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14.xml.rels" ContentType="application/vnd.openxmlformats-package.relationships+xml"/>
  <Override PartName="/xl/worksheets/_rels/sheet8.xml.rels" ContentType="application/vnd.openxmlformats-package.relationships+xml"/>
  <Override PartName="/xl/worksheets/_rels/sheet11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16.xml.rels" ContentType="application/vnd.openxmlformats-package.relationships+xml"/>
  <Override PartName="/xl/worksheets/_rels/sheet15.xml.rels" ContentType="application/vnd.openxmlformats-package.relationships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7.xml.rels" ContentType="application/vnd.openxmlformats-package.relationships+xml"/>
  <Override PartName="/xl/worksheets/_rels/sheet13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3.xml" ContentType="application/vnd.openxmlformats-officedocument.drawing+xml"/>
  <Override PartName="/xl/drawings/drawing4.xml" ContentType="application/vnd.openxmlformats-officedocument.drawing+xml"/>
  <Override PartName="/xl/drawings/drawing14.xml" ContentType="application/vnd.openxmlformats-officedocument.drawing+xml"/>
  <Override PartName="/xl/drawings/drawing5.xml" ContentType="application/vnd.openxmlformats-officedocument.drawing+xml"/>
  <Override PartName="/xl/drawings/drawing1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8.xml" ContentType="application/vnd.openxmlformats-officedocument.drawing+xml"/>
  <Override PartName="/xl/drawings/_rels/drawing3.xml.rels" ContentType="application/vnd.openxmlformats-package.relationships+xml"/>
  <Override PartName="/xl/drawings/_rels/drawing8.xml.rels" ContentType="application/vnd.openxmlformats-package.relationships+xml"/>
  <Override PartName="/xl/drawings/_rels/drawing13.xml.rels" ContentType="application/vnd.openxmlformats-package.relationships+xml"/>
  <Override PartName="/xl/drawings/_rels/drawing4.xml.rels" ContentType="application/vnd.openxmlformats-package.relationships+xml"/>
  <Override PartName="/xl/drawings/_rels/drawing14.xml.rels" ContentType="application/vnd.openxmlformats-package.relationships+xml"/>
  <Override PartName="/xl/drawings/_rels/drawing9.xml.rels" ContentType="application/vnd.openxmlformats-package.relationships+xml"/>
  <Override PartName="/xl/drawings/_rels/drawing5.xml.rels" ContentType="application/vnd.openxmlformats-package.relationships+xml"/>
  <Override PartName="/xl/drawings/_rels/drawing10.xml.rels" ContentType="application/vnd.openxmlformats-package.relationships+xml"/>
  <Override PartName="/xl/drawings/_rels/drawing15.xml.rels" ContentType="application/vnd.openxmlformats-package.relationships+xml"/>
  <Override PartName="/xl/drawings/_rels/drawing6.xml.rels" ContentType="application/vnd.openxmlformats-package.relationships+xml"/>
  <Override PartName="/xl/drawings/_rels/drawing11.xml.rels" ContentType="application/vnd.openxmlformats-package.relationships+xml"/>
  <Override PartName="/xl/drawings/_rels/drawing1.xml.rels" ContentType="application/vnd.openxmlformats-package.relationships+xml"/>
  <Override PartName="/xl/drawings/_rels/drawing7.xml.rels" ContentType="application/vnd.openxmlformats-package.relationships+xml"/>
  <Override PartName="/xl/drawings/_rels/drawing12.xml.rels" ContentType="application/vnd.openxmlformats-package.relationships+xml"/>
  <Override PartName="/xl/drawings/_rels/drawing2.xml.rels" ContentType="application/vnd.openxmlformats-package.relationships+xml"/>
  <Override PartName="/xl/drawings/drawing12.xml" ContentType="application/vnd.openxmlformats-officedocument.drawing+xml"/>
  <Override PartName="/xl/drawings/drawing3.xml" ContentType="application/vnd.openxmlformats-officedocument.drawing+xml"/>
  <Override PartName="/xl/drawings/drawing9.xml" ContentType="application/vnd.openxmlformats-officedocument.drawing+xml"/>
  <Override PartName="/xl/_rels/workbook.xml.rels" ContentType="application/vnd.openxmlformats-package.relationships+xml"/>
  <Override PartName="/xl/media/image541.jpeg" ContentType="image/jpeg"/>
  <Override PartName="/xl/media/image126.jpeg" ContentType="image/jpeg"/>
  <Override PartName="/xl/media/image540.jpeg" ContentType="image/jpeg"/>
  <Override PartName="/xl/media/image125.jpeg" ContentType="image/jpeg"/>
  <Override PartName="/xl/media/image533.jpeg" ContentType="image/jpeg"/>
  <Override PartName="/xl/media/image118.jpeg" ContentType="image/jpeg"/>
  <Override PartName="/xl/media/image532.jpeg" ContentType="image/jpeg"/>
  <Override PartName="/xl/media/image117.jpeg" ContentType="image/jpeg"/>
  <Override PartName="/xl/media/image531.jpeg" ContentType="image/jpeg"/>
  <Override PartName="/xl/media/image116.jpeg" ContentType="image/jpeg"/>
  <Override PartName="/xl/media/image530.jpeg" ContentType="image/jpeg"/>
  <Override PartName="/xl/media/image115.jpeg" ContentType="image/jpeg"/>
  <Override PartName="/xl/media/image523.jpeg" ContentType="image/jpeg"/>
  <Override PartName="/xl/media/image108.jpeg" ContentType="image/jpeg"/>
  <Override PartName="/xl/media/image494.jpeg" ContentType="image/jpeg"/>
  <Override PartName="/xl/media/image522.jpeg" ContentType="image/jpeg"/>
  <Override PartName="/xl/media/image107.jpeg" ContentType="image/jpeg"/>
  <Override PartName="/xl/media/image493.jpeg" ContentType="image/jpeg"/>
  <Override PartName="/xl/media/image521.jpeg" ContentType="image/jpeg"/>
  <Override PartName="/xl/media/image106.jpeg" ContentType="image/jpeg"/>
  <Override PartName="/xl/media/image492.jpeg" ContentType="image/jpeg"/>
  <Override PartName="/xl/media/image520.jpeg" ContentType="image/jpeg"/>
  <Override PartName="/xl/media/image105.jpeg" ContentType="image/jpeg"/>
  <Override PartName="/xl/media/image491.jpeg" ContentType="image/jpeg"/>
  <Override PartName="/xl/media/image513.jpeg" ContentType="image/jpeg"/>
  <Override PartName="/xl/media/image484.jpeg" ContentType="image/jpeg"/>
  <Override PartName="/xl/media/image512.jpeg" ContentType="image/jpeg"/>
  <Override PartName="/xl/media/image483.jpeg" ContentType="image/jpeg"/>
  <Override PartName="/xl/media/image511.jpeg" ContentType="image/jpeg"/>
  <Override PartName="/xl/media/image482.jpeg" ContentType="image/jpeg"/>
  <Override PartName="/xl/media/image510.jpeg" ContentType="image/jpeg"/>
  <Override PartName="/xl/media/image481.jpeg" ContentType="image/jpeg"/>
  <Override PartName="/xl/media/image503.jpeg" ContentType="image/jpeg"/>
  <Override PartName="/xl/media/image474.jpeg" ContentType="image/jpeg"/>
  <Override PartName="/xl/media/image502.jpeg" ContentType="image/jpeg"/>
  <Override PartName="/xl/media/image473.jpeg" ContentType="image/jpeg"/>
  <Override PartName="/xl/media/image501.jpeg" ContentType="image/jpeg"/>
  <Override PartName="/xl/media/image472.jpeg" ContentType="image/jpeg"/>
  <Override PartName="/xl/media/image500.jpeg" ContentType="image/jpeg"/>
  <Override PartName="/xl/media/image471.jpeg" ContentType="image/jpeg"/>
  <Override PartName="/xl/media/image499.jpeg" ContentType="image/jpeg"/>
  <Override PartName="/xl/media/image528.jpeg" ContentType="image/jpeg"/>
  <Override PartName="/xl/media/image453.jpeg" ContentType="image/jpeg"/>
  <Override PartName="/xl/media/image452.jpeg" ContentType="image/jpeg"/>
  <Override PartName="/xl/media/image451.jpeg" ContentType="image/jpeg"/>
  <Override PartName="/xl/media/image450.jpeg" ContentType="image/jpeg"/>
  <Override PartName="/xl/media/image52.jpeg" ContentType="image/jpeg"/>
  <Override PartName="/xl/media/image585.jpeg" ContentType="image/jpeg"/>
  <Override PartName="/xl/media/image404.jpeg" ContentType="image/jpeg"/>
  <Override PartName="/xl/media/image375.jpeg" ContentType="image/jpeg"/>
  <Override PartName="/xl/media/image210.jpeg" ContentType="image/jpeg"/>
  <Override PartName="/xl/media/image181.jpeg" ContentType="image/jpeg"/>
  <Override PartName="/xl/media/image50.jpeg" ContentType="image/jpeg"/>
  <Override PartName="/xl/media/image419.jpeg" ContentType="image/jpeg"/>
  <Override PartName="/xl/media/image390.jpeg" ContentType="image/jpeg"/>
  <Override PartName="/xl/media/image3.jpeg" ContentType="image/jpeg"/>
  <Override PartName="/xl/media/image423.jpeg" ContentType="image/jpeg"/>
  <Override PartName="/xl/media/image394.jpeg" ContentType="image/jpeg"/>
  <Override PartName="/xl/media/image229.jpeg" ContentType="image/jpeg"/>
  <Override PartName="/xl/media/image329.jpeg" ContentType="image/jpeg"/>
  <Override PartName="/xl/media/image135.jpeg" ContentType="image/jpeg"/>
  <Override PartName="/xl/media/image550.jpeg" ContentType="image/jpeg"/>
  <Override PartName="/xl/media/image576.jpeg" ContentType="image/jpeg"/>
  <Override PartName="/xl/media/image100.jpeg" ContentType="image/jpeg"/>
  <Override PartName="/xl/media/image1.png" ContentType="image/png"/>
  <Override PartName="/xl/media/image64.jpeg" ContentType="image/jpeg"/>
  <Override PartName="/xl/media/image389.jpeg" ContentType="image/jpeg"/>
  <Override PartName="/xl/media/image418.jpeg" ContentType="image/jpeg"/>
  <Override PartName="/xl/media/image195.jpeg" ContentType="image/jpeg"/>
  <Override PartName="/xl/media/image224.jpeg" ContentType="image/jpeg"/>
  <Override PartName="/xl/media/image47.jpeg" ContentType="image/jpeg"/>
  <Override PartName="/xl/media/image178.jpeg" ContentType="image/jpeg"/>
  <Override PartName="/xl/media/image207.jpeg" ContentType="image/jpeg"/>
  <Override PartName="/xl/media/image566.jpeg" ContentType="image/jpeg"/>
  <Override PartName="/xl/media/image231.jpeg" ContentType="image/jpeg"/>
  <Override PartName="/xl/media/image5.jpeg" ContentType="image/jpeg"/>
  <Override PartName="/xl/media/image65.jpeg" ContentType="image/jpeg"/>
  <Override PartName="/xl/media/image225.jpeg" ContentType="image/jpeg"/>
  <Override PartName="/xl/media/image196.jpeg" ContentType="image/jpeg"/>
  <Override PartName="/xl/media/image360.jpeg" ContentType="image/jpeg"/>
  <Override PartName="/xl/media/image48.jpeg" ContentType="image/jpeg"/>
  <Override PartName="/xl/media/image179.jpeg" ContentType="image/jpeg"/>
  <Override PartName="/xl/media/image208.jpeg" ContentType="image/jpeg"/>
  <Override PartName="/xl/media/image232.jpeg" ContentType="image/jpeg"/>
  <Override PartName="/xl/media/image6.jpeg" ContentType="image/jpeg"/>
  <Override PartName="/xl/media/image409.jpeg" ContentType="image/jpeg"/>
  <Override PartName="/xl/media/image380.jpeg" ContentType="image/jpeg"/>
  <Override PartName="/xl/media/image99.jpeg" ContentType="image/jpeg"/>
  <Override PartName="/xl/media/image338.jpeg" ContentType="image/jpeg"/>
  <Override PartName="/xl/media/image13.jpeg" ContentType="image/jpeg"/>
  <Override PartName="/xl/media/image144.jpeg" ContentType="image/jpeg"/>
  <Override PartName="/xl/media/image339.jpeg" ContentType="image/jpeg"/>
  <Override PartName="/xl/media/image14.jpeg" ContentType="image/jpeg"/>
  <Override PartName="/xl/media/image145.jpeg" ContentType="image/jpeg"/>
  <Override PartName="/xl/media/image560.jpeg" ContentType="image/jpeg"/>
  <Override PartName="/xl/media/image215.jpeg" ContentType="image/jpeg"/>
  <Override PartName="/xl/media/image186.jpeg" ContentType="image/jpeg"/>
  <Override PartName="/xl/media/image55.jpeg" ContentType="image/jpeg"/>
  <Override PartName="/xl/media/image217.jpeg" ContentType="image/jpeg"/>
  <Override PartName="/xl/media/image188.jpeg" ContentType="image/jpeg"/>
  <Override PartName="/xl/media/image57.jpeg" ContentType="image/jpeg"/>
  <Override PartName="/xl/media/image218.jpeg" ContentType="image/jpeg"/>
  <Override PartName="/xl/media/image189.jpeg" ContentType="image/jpeg"/>
  <Override PartName="/xl/media/image58.jpeg" ContentType="image/jpeg"/>
  <Override PartName="/xl/media/image370.jpeg" ContentType="image/jpeg"/>
  <Override PartName="/xl/media/image39.jpeg" ContentType="image/jpeg"/>
  <Override PartName="/xl/media/image365.jpeg" ContentType="image/jpeg"/>
  <Override PartName="/xl/media/image348.jpeg" ContentType="image/jpeg"/>
  <Override PartName="/xl/media/image154.jpeg" ContentType="image/jpeg"/>
  <Override PartName="/xl/media/image23.jpeg" ContentType="image/jpeg"/>
  <Override PartName="/xl/media/image366.jpeg" ContentType="image/jpeg"/>
  <Override PartName="/xl/media/image41.jpeg" ContentType="image/jpeg"/>
  <Override PartName="/xl/media/image201.jpeg" ContentType="image/jpeg"/>
  <Override PartName="/xl/media/image172.jpeg" ContentType="image/jpeg"/>
  <Override PartName="/xl/media/image349.jpeg" ContentType="image/jpeg"/>
  <Override PartName="/xl/media/image24.jpeg" ContentType="image/jpeg"/>
  <Override PartName="/xl/media/image81.jpeg" ContentType="image/jpeg"/>
  <Override PartName="/xl/media/image155.jpeg" ContentType="image/jpeg"/>
  <Override PartName="/xl/media/image570.jpeg" ContentType="image/jpeg"/>
  <Override PartName="/xl/media/image367.jpeg" ContentType="image/jpeg"/>
  <Override PartName="/xl/media/image42.jpeg" ContentType="image/jpeg"/>
  <Override PartName="/xl/media/image202.jpeg" ContentType="image/jpeg"/>
  <Override PartName="/xl/media/image173.jpeg" ContentType="image/jpeg"/>
  <Override PartName="/xl/media/image25.jpeg" ContentType="image/jpeg"/>
  <Override PartName="/xl/media/image368.jpeg" ContentType="image/jpeg"/>
  <Override PartName="/xl/media/image43.jpeg" ContentType="image/jpeg"/>
  <Override PartName="/xl/media/image26.jpeg" ContentType="image/jpeg"/>
  <Override PartName="/xl/media/image83.jpeg" ContentType="image/jpeg"/>
  <Override PartName="/xl/media/image226.jpeg" ContentType="image/jpeg"/>
  <Override PartName="/xl/media/image197.jpeg" ContentType="image/jpeg"/>
  <Override PartName="/xl/media/image66.jpeg" ContentType="image/jpeg"/>
  <Override PartName="/xl/media/image15.jpeg" ContentType="image/jpeg"/>
  <Override PartName="/xl/media/image561.jpeg" ContentType="image/jpeg"/>
  <Override PartName="/xl/media/image146.jpeg" ContentType="image/jpeg"/>
  <Override PartName="/xl/media/image157.jpeg" ContentType="image/jpeg"/>
  <Override PartName="/xl/media/image572.jpeg" ContentType="image/jpeg"/>
  <Override PartName="/xl/media/image369.jpeg" ContentType="image/jpeg"/>
  <Override PartName="/xl/media/image44.jpeg" ContentType="image/jpeg"/>
  <Override PartName="/xl/media/image204.jpeg" ContentType="image/jpeg"/>
  <Override PartName="/xl/media/image175.jpeg" ContentType="image/jpeg"/>
  <Override PartName="/xl/media/image27.jpeg" ContentType="image/jpeg"/>
  <Override PartName="/xl/media/image16.jpeg" ContentType="image/jpeg"/>
  <Override PartName="/xl/media/image158.jpeg" ContentType="image/jpeg"/>
  <Override PartName="/xl/media/image573.jpeg" ContentType="image/jpeg"/>
  <Override PartName="/xl/media/image45.jpeg" ContentType="image/jpeg"/>
  <Override PartName="/xl/media/image205.jpeg" ContentType="image/jpeg"/>
  <Override PartName="/xl/media/image176.jpeg" ContentType="image/jpeg"/>
  <Override PartName="/xl/media/image574.jpeg" ContentType="image/jpeg"/>
  <Override PartName="/xl/media/image159.jpeg" ContentType="image/jpeg"/>
  <Override PartName="/xl/media/image28.jpeg" ContentType="image/jpeg"/>
  <Override PartName="/xl/media/image7.jpeg" ContentType="image/jpeg"/>
  <Override PartName="/xl/media/image233.jpeg" ContentType="image/jpeg"/>
  <Override PartName="/xl/media/image17.jpeg" ContentType="image/jpeg"/>
  <Override PartName="/xl/media/image563.jpeg" ContentType="image/jpeg"/>
  <Override PartName="/xl/media/image148.jpeg" ContentType="image/jpeg"/>
  <Override PartName="/xl/media/image46.jpeg" ContentType="image/jpeg"/>
  <Override PartName="/xl/media/image160.jpeg" ContentType="image/jpeg"/>
  <Override PartName="/xl/media/image354.jpeg" ContentType="image/jpeg"/>
  <Override PartName="/xl/media/image548.jpeg" ContentType="image/jpeg"/>
  <Override PartName="/xl/media/image355.jpeg" ContentType="image/jpeg"/>
  <Override PartName="/xl/media/image577.jpeg" ContentType="image/jpeg"/>
  <Override PartName="/xl/media/image30.jpeg" ContentType="image/jpeg"/>
  <Override PartName="/xl/media/image161.jpeg" ContentType="image/jpeg"/>
  <Override PartName="/xl/media/image549.jpeg" ContentType="image/jpeg"/>
  <Override PartName="/xl/media/image49.jpeg" ContentType="image/jpeg"/>
  <Override PartName="/xl/media/image538.jpeg" ContentType="image/jpeg"/>
  <Override PartName="/xl/media/image344.jpeg" ContentType="image/jpeg"/>
  <Override PartName="/xl/media/image150.jpeg" ContentType="image/jpeg"/>
  <Override PartName="/xl/media/image356.jpeg" ContentType="image/jpeg"/>
  <Override PartName="/xl/media/image162.jpeg" ContentType="image/jpeg"/>
  <Override PartName="/xl/media/image31.jpeg" ContentType="image/jpeg"/>
  <Override PartName="/xl/media/image578.jpeg" ContentType="image/jpeg"/>
  <Override PartName="/xl/media/image219.jpeg" ContentType="image/jpeg"/>
  <Override PartName="/xl/media/image190.jpeg" ContentType="image/jpeg"/>
  <Override PartName="/xl/media/image357.jpeg" ContentType="image/jpeg"/>
  <Override PartName="/xl/media/image163.jpeg" ContentType="image/jpeg"/>
  <Override PartName="/xl/media/image209.jpeg" ContentType="image/jpeg"/>
  <Override PartName="/xl/media/image180.jpeg" ContentType="image/jpeg"/>
  <Override PartName="/xl/media/image236.jpeg" ContentType="image/jpeg"/>
  <Override PartName="/xl/media/image435.jpeg" ContentType="image/jpeg"/>
  <Override PartName="/xl/media/image241.jpeg" ContentType="image/jpeg"/>
  <Override PartName="/xl/media/image130.jpeg" ContentType="image/jpeg"/>
  <Override PartName="/xl/media/image539.jpeg" ContentType="image/jpeg"/>
  <Override PartName="/xl/media/image567.jpeg" ContentType="image/jpeg"/>
  <Override PartName="/xl/media/image20.jpeg" ContentType="image/jpeg"/>
  <Override PartName="/xl/media/image345.jpeg" ContentType="image/jpeg"/>
  <Override PartName="/xl/media/image151.jpeg" ContentType="image/jpeg"/>
  <Override PartName="/xl/media/image234.jpeg" ContentType="image/jpeg"/>
  <Override PartName="/xl/media/image8.jpeg" ContentType="image/jpeg"/>
  <Override PartName="/xl/media/image546.jpeg" ContentType="image/jpeg"/>
  <Override PartName="/xl/media/image352.jpeg" ContentType="image/jpeg"/>
  <Override PartName="/xl/media/image246.jpeg" ContentType="image/jpeg"/>
  <Override PartName="/xl/media/image436.jpeg" ContentType="image/jpeg"/>
  <Override PartName="/xl/media/image242.jpeg" ContentType="image/jpeg"/>
  <Override PartName="/xl/media/image131.jpeg" ContentType="image/jpeg"/>
  <Override PartName="/xl/media/image519.jpeg" ContentType="image/jpeg"/>
  <Override PartName="/xl/media/image235.jpeg" ContentType="image/jpeg"/>
  <Override PartName="/xl/media/image9.jpeg" ContentType="image/jpeg"/>
  <Override PartName="/xl/media/image429.jpeg" ContentType="image/jpeg"/>
  <Override PartName="/xl/media/image153.jpeg" ContentType="image/jpeg"/>
  <Override PartName="/xl/media/image569.jpeg" ContentType="image/jpeg"/>
  <Override PartName="/xl/media/image22.jpeg" ContentType="image/jpeg"/>
  <Override PartName="/xl/media/image347.jpeg" ContentType="image/jpeg"/>
  <Override PartName="/xl/media/image336.jpeg" ContentType="image/jpeg"/>
  <Override PartName="/xl/media/image142.jpeg" ContentType="image/jpeg"/>
  <Override PartName="/xl/media/image40.jpeg" ContentType="image/jpeg"/>
  <Override PartName="/xl/media/image587.jpeg" ContentType="image/jpeg"/>
  <Override PartName="/xl/media/image237.jpeg" ContentType="image/jpeg"/>
  <Override PartName="/xl/media/image559.jpeg" ContentType="image/jpeg"/>
  <Override PartName="/xl/media/image12.jpeg" ContentType="image/jpeg"/>
  <Override PartName="/xl/media/image337.jpeg" ContentType="image/jpeg"/>
  <Override PartName="/xl/media/image143.jpeg" ContentType="image/jpeg"/>
  <Override PartName="/xl/media/image586.jpeg" ContentType="image/jpeg"/>
  <Override PartName="/xl/media/image555.jpeg" ContentType="image/jpeg"/>
  <Override PartName="/xl/media/image361.jpeg" ContentType="image/jpeg"/>
  <Override PartName="/xl/media/image447.jpeg" ContentType="image/jpeg"/>
  <Override PartName="/xl/media/image253.jpeg" ContentType="image/jpeg"/>
  <Override PartName="/xl/media/image556.jpeg" ContentType="image/jpeg"/>
  <Override PartName="/xl/media/image362.jpeg" ContentType="image/jpeg"/>
  <Override PartName="/xl/media/image565.jpeg" ContentType="image/jpeg"/>
  <Override PartName="/xl/media/image177.jpeg" ContentType="image/jpeg"/>
  <Override PartName="/xl/media/image206.jpeg" ContentType="image/jpeg"/>
  <Override PartName="/xl/media/image18.jpeg" ContentType="image/jpeg"/>
  <Override PartName="/xl/media/image564.jpeg" ContentType="image/jpeg"/>
  <Override PartName="/xl/media/image149.jpeg" ContentType="image/jpeg"/>
  <Override PartName="/xl/media/image575.jpeg" ContentType="image/jpeg"/>
  <Override PartName="/xl/media/image59.jpeg" ContentType="image/jpeg"/>
  <Override PartName="/xl/media/image243.jpeg" ContentType="image/jpeg"/>
  <Override PartName="/xl/media/image437.jpeg" ContentType="image/jpeg"/>
  <Override PartName="/xl/media/image257.jpeg" ContentType="image/jpeg"/>
  <Override PartName="/xl/media/image547.jpeg" ContentType="image/jpeg"/>
  <Override PartName="/xl/media/image353.jpeg" ContentType="image/jpeg"/>
  <Override PartName="/xl/media/image256.jpeg" ContentType="image/jpeg"/>
  <Override PartName="/xl/media/image255.jpeg" ContentType="image/jpeg"/>
  <Override PartName="/xl/media/image449.jpeg" ContentType="image/jpeg"/>
  <Override PartName="/xl/media/image249.jpeg" ContentType="image/jpeg"/>
  <Override PartName="/xl/media/image248.jpeg" ContentType="image/jpeg"/>
  <Override PartName="/xl/media/image247.jpeg" ContentType="image/jpeg"/>
  <Override PartName="/xl/media/image568.jpeg" ContentType="image/jpeg"/>
  <Override PartName="/xl/media/image21.jpeg" ContentType="image/jpeg"/>
  <Override PartName="/xl/media/image346.jpeg" ContentType="image/jpeg"/>
  <Override PartName="/xl/media/image152.jpeg" ContentType="image/jpeg"/>
  <Override PartName="/xl/media/image529.jpeg" ContentType="image/jpeg"/>
  <Override PartName="/xl/media/image335.jpeg" ContentType="image/jpeg"/>
  <Override PartName="/xl/media/image141.jpeg" ContentType="image/jpeg"/>
  <Override PartName="/xl/media/image134.jpeg" ContentType="image/jpeg"/>
  <Override PartName="/xl/media/image439.jpeg" ContentType="image/jpeg"/>
  <Override PartName="/xl/media/image245.jpeg" ContentType="image/jpeg"/>
  <Override PartName="/xl/media/image244.jpeg" ContentType="image/jpeg"/>
  <Override PartName="/xl/media/image438.jpeg" ContentType="image/jpeg"/>
  <Override PartName="/xl/media/image239.jpeg" ContentType="image/jpeg"/>
  <Override PartName="/xl/media/image238.jpeg" ContentType="image/jpeg"/>
  <Override PartName="/xl/media/image90.jpeg" ContentType="image/jpeg"/>
  <Override PartName="/xl/media/image551.jpeg" ContentType="image/jpeg"/>
  <Override PartName="/xl/media/image136.jpeg" ContentType="image/jpeg"/>
  <Override PartName="/xl/media/image94.jpeg" ContentType="image/jpeg"/>
  <Override PartName="/xl/media/image334.jpeg" ContentType="image/jpeg"/>
  <Override PartName="/xl/media/image140.jpeg" ContentType="image/jpeg"/>
  <Override PartName="/xl/media/image93.jpeg" ContentType="image/jpeg"/>
  <Override PartName="/xl/media/image554.jpeg" ContentType="image/jpeg"/>
  <Override PartName="/xl/media/image139.jpeg" ContentType="image/jpeg"/>
  <Override PartName="/xl/media/image448.jpeg" ContentType="image/jpeg"/>
  <Override PartName="/xl/media/image254.jpeg" ContentType="image/jpeg"/>
  <Override PartName="/xl/media/image69.jpeg" ContentType="image/jpeg"/>
  <Override PartName="/xl/media/image11.jpeg" ContentType="image/jpeg"/>
  <Override PartName="/xl/media/image558.jpeg" ContentType="image/jpeg"/>
  <Override PartName="/xl/media/image170.jpeg" ContentType="image/jpeg"/>
  <Override PartName="/xl/media/image364.jpeg" ContentType="image/jpeg"/>
  <Override PartName="/xl/media/image164.jpeg" ContentType="image/jpeg"/>
  <Override PartName="/xl/media/image33.jpeg" ContentType="image/jpeg"/>
  <Override PartName="/xl/media/image358.jpeg" ContentType="image/jpeg"/>
  <Override PartName="/xl/media/image10.jpeg" ContentType="image/jpeg"/>
  <Override PartName="/xl/media/image557.jpeg" ContentType="image/jpeg"/>
  <Override PartName="/xl/media/image363.jpeg" ContentType="image/jpeg"/>
  <Override PartName="/xl/media/image133.jpeg" ContentType="image/jpeg"/>
  <Override PartName="/xl/media/image132.jpeg" ContentType="image/jpeg"/>
  <Override PartName="/xl/media/image56.jpeg" ContentType="image/jpeg"/>
  <Override PartName="/xl/media/image216.jpeg" ContentType="image/jpeg"/>
  <Override PartName="/xl/media/image187.jpeg" ContentType="image/jpeg"/>
  <Override PartName="/xl/media/image545.jpeg" ContentType="image/jpeg"/>
  <Override PartName="/xl/media/image351.jpeg" ContentType="image/jpeg"/>
  <Override PartName="/xl/media/image240.jpeg" ContentType="image/jpeg"/>
  <Override PartName="/xl/media/image434.jpeg" ContentType="image/jpeg"/>
  <Override PartName="/xl/media/image38.jpeg" ContentType="image/jpeg"/>
  <Override PartName="/xl/media/image584.jpeg" ContentType="image/jpeg"/>
  <Override PartName="/xl/media/image169.jpeg" ContentType="image/jpeg"/>
  <Override PartName="/xl/media/image147.jpeg" ContentType="image/jpeg"/>
  <Override PartName="/xl/media/image562.jpeg" ContentType="image/jpeg"/>
  <Override PartName="/xl/media/image174.jpeg" ContentType="image/jpeg"/>
  <Override PartName="/xl/media/image203.jpeg" ContentType="image/jpeg"/>
  <Override PartName="/xl/media/image129.jpeg" ContentType="image/jpeg"/>
  <Override PartName="/xl/media/image544.jpeg" ContentType="image/jpeg"/>
  <Override PartName="/xl/media/image350.jpeg" ContentType="image/jpeg"/>
  <Override PartName="/xl/media/image37.jpeg" ContentType="image/jpeg"/>
  <Override PartName="/xl/media/image583.jpeg" ContentType="image/jpeg"/>
  <Override PartName="/xl/media/image168.jpeg" ContentType="image/jpeg"/>
  <Override PartName="/xl/media/image54.jpeg" ContentType="image/jpeg"/>
  <Override PartName="/xl/media/image214.jpeg" ContentType="image/jpeg"/>
  <Override PartName="/xl/media/image185.jpeg" ContentType="image/jpeg"/>
  <Override PartName="/xl/media/image408.jpeg" ContentType="image/jpeg"/>
  <Override PartName="/xl/media/image379.jpeg" ContentType="image/jpeg"/>
  <Override PartName="/xl/media/image36.jpeg" ContentType="image/jpeg"/>
  <Override PartName="/xl/media/image582.jpeg" ContentType="image/jpeg"/>
  <Override PartName="/xl/media/image167.jpeg" ContentType="image/jpeg"/>
  <Override PartName="/xl/media/image127.jpeg" ContentType="image/jpeg"/>
  <Override PartName="/xl/media/image542.jpeg" ContentType="image/jpeg"/>
  <Override PartName="/xl/media/image53.jpeg" ContentType="image/jpeg"/>
  <Override PartName="/xl/media/image213.jpeg" ContentType="image/jpeg"/>
  <Override PartName="/xl/media/image184.jpeg" ContentType="image/jpeg"/>
  <Override PartName="/xl/media/image407.jpeg" ContentType="image/jpeg"/>
  <Override PartName="/xl/media/image378.jpeg" ContentType="image/jpeg"/>
  <Override PartName="/xl/media/image35.jpeg" ContentType="image/jpeg"/>
  <Override PartName="/xl/media/image581.jpeg" ContentType="image/jpeg"/>
  <Override PartName="/xl/media/image166.jpeg" ContentType="image/jpeg"/>
  <Override PartName="/xl/media/image91.jpeg" ContentType="image/jpeg"/>
  <Override PartName="/xl/media/image552.jpeg" ContentType="image/jpeg"/>
  <Override PartName="/xl/media/image137.jpeg" ContentType="image/jpeg"/>
  <Override PartName="/xl/media/image51.jpeg" ContentType="image/jpeg"/>
  <Override PartName="/xl/media/image211.jpeg" ContentType="image/jpeg"/>
  <Override PartName="/xl/media/image182.jpeg" ContentType="image/jpeg"/>
  <Override PartName="/xl/media/image405.jpeg" ContentType="image/jpeg"/>
  <Override PartName="/xl/media/image376.jpeg" ContentType="image/jpeg"/>
  <Override PartName="/xl/media/image580.jpeg" ContentType="image/jpeg"/>
  <Override PartName="/xl/media/image165.jpeg" ContentType="image/jpeg"/>
  <Override PartName="/xl/media/image34.jpeg" ContentType="image/jpeg"/>
  <Override PartName="/xl/media/image359.jpeg" ContentType="image/jpeg"/>
  <Override PartName="/xl/media/image82.jpeg" ContentType="image/jpeg"/>
  <Override PartName="/xl/media/image543.jpeg" ContentType="image/jpeg"/>
  <Override PartName="/xl/media/image128.jpeg" ContentType="image/jpeg"/>
  <Override PartName="/xl/media/image156.jpeg" ContentType="image/jpeg"/>
  <Override PartName="/xl/media/image571.jpeg" ContentType="image/jpeg"/>
  <Override PartName="/xl/media/image183.jpeg" ContentType="image/jpeg"/>
  <Override PartName="/xl/media/image212.jpeg" ContentType="image/jpeg"/>
  <Override PartName="/xl/media/image377.jpeg" ContentType="image/jpeg"/>
  <Override PartName="/xl/media/image406.jpeg" ContentType="image/jpeg"/>
  <Override PartName="/xl/media/image4.jpeg" ContentType="image/jpeg"/>
  <Override PartName="/xl/media/image230.jpeg" ContentType="image/jpeg"/>
  <Override PartName="/xl/media/image32.jpeg" ContentType="image/jpeg"/>
  <Override PartName="/xl/media/image579.jpeg" ContentType="image/jpeg"/>
  <Override PartName="/xl/media/image60.jpeg" ContentType="image/jpeg"/>
  <Override PartName="/xl/media/image96.jpeg" ContentType="image/jpeg"/>
  <Override PartName="/xl/media/image95.jpeg" ContentType="image/jpeg"/>
  <Override PartName="/xl/media/image553.jpeg" ContentType="image/jpeg"/>
  <Override PartName="/xl/media/image138.jpeg" ContentType="image/jpeg"/>
  <Override PartName="/xl/media/image92.jpeg" ContentType="image/jpeg"/>
  <Override PartName="/xl/media/image171.jpeg" ContentType="image/jpeg"/>
  <Override PartName="/xl/media/image200.jpeg" ContentType="image/jpeg"/>
  <Override PartName="/xl/media/image227.jpeg" ContentType="image/jpeg"/>
  <Override PartName="/xl/media/image198.jpeg" ContentType="image/jpeg"/>
  <Override PartName="/xl/media/image67.jpeg" ContentType="image/jpeg"/>
  <Override PartName="/xl/media/image84.jpeg" ContentType="image/jpeg"/>
  <Override PartName="/xl/media/image29.jpeg" ContentType="image/jpeg"/>
  <Override PartName="/xl/media/image97.jpeg" ContentType="image/jpeg"/>
  <Override PartName="/xl/media/image98.jpeg" ContentType="image/jpeg"/>
  <Override PartName="/xl/media/image466.jpeg" ContentType="image/jpeg"/>
  <Override PartName="/xl/media/image61.jpeg" ContentType="image/jpeg"/>
  <Override PartName="/xl/media/image221.jpeg" ContentType="image/jpeg"/>
  <Override PartName="/xl/media/image192.jpeg" ContentType="image/jpeg"/>
  <Override PartName="/xl/media/image415.jpeg" ContentType="image/jpeg"/>
  <Override PartName="/xl/media/image386.jpeg" ContentType="image/jpeg"/>
  <Override PartName="/xl/media/image467.jpeg" ContentType="image/jpeg"/>
  <Override PartName="/xl/media/image62.jpeg" ContentType="image/jpeg"/>
  <Override PartName="/xl/media/image222.jpeg" ContentType="image/jpeg"/>
  <Override PartName="/xl/media/image193.jpeg" ContentType="image/jpeg"/>
  <Override PartName="/xl/media/image416.jpeg" ContentType="image/jpeg"/>
  <Override PartName="/xl/media/image387.jpeg" ContentType="image/jpeg"/>
  <Override PartName="/xl/media/image468.jpeg" ContentType="image/jpeg"/>
  <Override PartName="/xl/media/image63.jpeg" ContentType="image/jpeg"/>
  <Override PartName="/xl/media/image223.jpeg" ContentType="image/jpeg"/>
  <Override PartName="/xl/media/image194.jpeg" ContentType="image/jpeg"/>
  <Override PartName="/xl/media/image417.jpeg" ContentType="image/jpeg"/>
  <Override PartName="/xl/media/image388.jpeg" ContentType="image/jpeg"/>
  <Override PartName="/xl/media/image250.jpeg" ContentType="image/jpeg"/>
  <Override PartName="/xl/media/image444.jpeg" ContentType="image/jpeg"/>
  <Override PartName="/xl/media/image251.jpeg" ContentType="image/jpeg"/>
  <Override PartName="/xl/media/image445.jpeg" ContentType="image/jpeg"/>
  <Override PartName="/xl/media/image252.jpeg" ContentType="image/jpeg"/>
  <Override PartName="/xl/media/image446.jpeg" ContentType="image/jpeg"/>
  <Override PartName="/xl/media/image68.jpeg" ContentType="image/jpeg"/>
  <Override PartName="/xl/media/image228.jpeg" ContentType="image/jpeg"/>
  <Override PartName="/xl/media/image199.jpeg" ContentType="image/jpeg"/>
  <Override PartName="/xl/media/image71.jpeg" ContentType="image/jpeg"/>
  <Override PartName="/xl/media/image425.jpeg" ContentType="image/jpeg"/>
  <Override PartName="/xl/media/image396.jpeg" ContentType="image/jpeg"/>
  <Override PartName="/xl/media/image72.jpeg" ContentType="image/jpeg"/>
  <Override PartName="/xl/media/image426.jpeg" ContentType="image/jpeg"/>
  <Override PartName="/xl/media/image397.jpeg" ContentType="image/jpeg"/>
  <Override PartName="/xl/media/image73.jpeg" ContentType="image/jpeg"/>
  <Override PartName="/xl/media/image427.jpeg" ContentType="image/jpeg"/>
  <Override PartName="/xl/media/image398.jpeg" ContentType="image/jpeg"/>
  <Override PartName="/xl/media/image74.jpeg" ContentType="image/jpeg"/>
  <Override PartName="/xl/media/image428.jpeg" ContentType="image/jpeg"/>
  <Override PartName="/xl/media/image399.jpeg" ContentType="image/jpeg"/>
  <Override PartName="/xl/media/image75.jpeg" ContentType="image/jpeg"/>
  <Override PartName="/xl/media/image76.jpeg" ContentType="image/jpeg"/>
  <Override PartName="/xl/media/image77.jpeg" ContentType="image/jpeg"/>
  <Override PartName="/xl/media/image78.jpeg" ContentType="image/jpeg"/>
  <Override PartName="/xl/media/image79.jpeg" ContentType="image/jpeg"/>
  <Override PartName="/xl/media/image110.jpeg" ContentType="image/jpeg"/>
  <Override PartName="/xl/media/image85.jpeg" ContentType="image/jpeg"/>
  <Override PartName="/xl/media/image86.jpeg" ContentType="image/jpeg"/>
  <Override PartName="/xl/media/image19.jpeg" ContentType="image/jpeg"/>
  <Override PartName="/xl/media/image87.jpeg" ContentType="image/jpeg"/>
  <Override PartName="/xl/media/image88.jpeg" ContentType="image/jpeg"/>
  <Override PartName="/xl/media/image89.jpeg" ContentType="image/jpeg"/>
  <Override PartName="/xl/media/image120.jpeg" ContentType="image/jpeg"/>
  <Override PartName="/xl/media/image101.jpeg" ContentType="image/jpeg"/>
  <Override PartName="/xl/media/image460.jpeg" ContentType="image/jpeg"/>
  <Override PartName="/xl/media/image102.jpeg" ContentType="image/jpeg"/>
  <Override PartName="/xl/media/image461.jpeg" ContentType="image/jpeg"/>
  <Override PartName="/xl/media/image103.jpeg" ContentType="image/jpeg"/>
  <Override PartName="/xl/media/image462.jpeg" ContentType="image/jpeg"/>
  <Override PartName="/xl/media/image490.jpeg" ContentType="image/jpeg"/>
  <Override PartName="/xl/media/image104.jpeg" ContentType="image/jpeg"/>
  <Override PartName="/xl/media/image463.jpeg" ContentType="image/jpeg"/>
  <Override PartName="/xl/media/image270.jpeg" ContentType="image/jpeg"/>
  <Override PartName="/xl/media/image464.jpeg" ContentType="image/jpeg"/>
  <Override PartName="/xl/media/image191.jpeg" ContentType="image/jpeg"/>
  <Override PartName="/xl/media/image220.jpeg" ContentType="image/jpeg"/>
  <Override PartName="/xl/media/image385.jpeg" ContentType="image/jpeg"/>
  <Override PartName="/xl/media/image414.jpeg" ContentType="image/jpeg"/>
  <Override PartName="/xl/media/image465.jpeg" ContentType="image/jpeg"/>
  <Override PartName="/xl/media/image111.jpeg" ContentType="image/jpeg"/>
  <Override PartName="/xl/media/image470.jpeg" ContentType="image/jpeg"/>
  <Override PartName="/xl/media/image112.jpeg" ContentType="image/jpeg"/>
  <Override PartName="/xl/media/image113.jpeg" ContentType="image/jpeg"/>
  <Override PartName="/xl/media/image114.jpeg" ContentType="image/jpeg"/>
  <Override PartName="/xl/media/image280.jpeg" ContentType="image/jpeg"/>
  <Override PartName="/xl/media/image309.jpeg" ContentType="image/jpeg"/>
  <Override PartName="/xl/media/image70.jpeg" ContentType="image/jpeg"/>
  <Override PartName="/xl/media/image424.jpeg" ContentType="image/jpeg"/>
  <Override PartName="/xl/media/image395.jpeg" ContentType="image/jpeg"/>
  <Override PartName="/xl/media/image121.jpeg" ContentType="image/jpeg"/>
  <Override PartName="/xl/media/image480.jpeg" ContentType="image/jpeg"/>
  <Override PartName="/xl/media/image509.jpeg" ContentType="image/jpeg"/>
  <Override PartName="/xl/media/image122.jpeg" ContentType="image/jpeg"/>
  <Override PartName="/xl/media/image123.jpeg" ContentType="image/jpeg"/>
  <Override PartName="/xl/media/image124.jpeg" ContentType="image/jpeg"/>
  <Override PartName="/xl/media/image290.jpeg" ContentType="image/jpeg"/>
  <Override PartName="/xl/media/image319.jpeg" ContentType="image/jpeg"/>
  <Override PartName="/xl/media/image80.jpeg" ContentType="image/jpeg"/>
  <Override PartName="/xl/media/image2.jpeg" ContentType="image/jpeg"/>
  <Override PartName="/xl/media/image393.jpeg" ContentType="image/jpeg"/>
  <Override PartName="/xl/media/image422.jpeg" ContentType="image/jpeg"/>
  <Override PartName="/xl/media/image258.jpeg" ContentType="image/jpeg"/>
  <Override PartName="/xl/media/image259.jpeg" ContentType="image/jpeg"/>
  <Override PartName="/xl/media/image260.jpeg" ContentType="image/jpeg"/>
  <Override PartName="/xl/media/image454.jpeg" ContentType="image/jpeg"/>
  <Override PartName="/xl/media/image261.jpeg" ContentType="image/jpeg"/>
  <Override PartName="/xl/media/image455.jpeg" ContentType="image/jpeg"/>
  <Override PartName="/xl/media/image262.jpeg" ContentType="image/jpeg"/>
  <Override PartName="/xl/media/image456.jpeg" ContentType="image/jpeg"/>
  <Override PartName="/xl/media/image263.jpeg" ContentType="image/jpeg"/>
  <Override PartName="/xl/media/image457.jpeg" ContentType="image/jpeg"/>
  <Override PartName="/xl/media/image264.jpeg" ContentType="image/jpeg"/>
  <Override PartName="/xl/media/image458.jpeg" ContentType="image/jpeg"/>
  <Override PartName="/xl/media/image265.jpeg" ContentType="image/jpeg"/>
  <Override PartName="/xl/media/image459.jpeg" ContentType="image/jpeg"/>
  <Override PartName="/xl/media/image266.jpeg" ContentType="image/jpeg"/>
  <Override PartName="/xl/media/image267.jpeg" ContentType="image/jpeg"/>
  <Override PartName="/xl/media/image268.jpeg" ContentType="image/jpeg"/>
  <Override PartName="/xl/media/image269.jpeg" ContentType="image/jpeg"/>
  <Override PartName="/xl/media/image304.jpeg" ContentType="image/jpeg"/>
  <Override PartName="/xl/media/image275.jpeg" ContentType="image/jpeg"/>
  <Override PartName="/xl/media/image469.jpeg" ContentType="image/jpeg"/>
  <Override PartName="/xl/media/image305.jpeg" ContentType="image/jpeg"/>
  <Override PartName="/xl/media/image276.jpeg" ContentType="image/jpeg"/>
  <Override PartName="/xl/media/image306.jpeg" ContentType="image/jpeg"/>
  <Override PartName="/xl/media/image277.jpeg" ContentType="image/jpeg"/>
  <Override PartName="/xl/media/image307.jpeg" ContentType="image/jpeg"/>
  <Override PartName="/xl/media/image278.jpeg" ContentType="image/jpeg"/>
  <Override PartName="/xl/media/image308.jpeg" ContentType="image/jpeg"/>
  <Override PartName="/xl/media/image279.jpeg" ContentType="image/jpeg"/>
  <Override PartName="/xl/media/image314.jpeg" ContentType="image/jpeg"/>
  <Override PartName="/xl/media/image285.jpeg" ContentType="image/jpeg"/>
  <Override PartName="/xl/media/image508.jpeg" ContentType="image/jpeg"/>
  <Override PartName="/xl/media/image479.jpeg" ContentType="image/jpeg"/>
  <Override PartName="/xl/media/image315.jpeg" ContentType="image/jpeg"/>
  <Override PartName="/xl/media/image286.jpeg" ContentType="image/jpeg"/>
  <Override PartName="/xl/media/image316.jpeg" ContentType="image/jpeg"/>
  <Override PartName="/xl/media/image287.jpeg" ContentType="image/jpeg"/>
  <Override PartName="/xl/media/image317.jpeg" ContentType="image/jpeg"/>
  <Override PartName="/xl/media/image288.jpeg" ContentType="image/jpeg"/>
  <Override PartName="/xl/media/image318.jpeg" ContentType="image/jpeg"/>
  <Override PartName="/xl/media/image289.jpeg" ContentType="image/jpeg"/>
  <Override PartName="/xl/media/image324.jpeg" ContentType="image/jpeg"/>
  <Override PartName="/xl/media/image295.jpeg" ContentType="image/jpeg"/>
  <Override PartName="/xl/media/image518.jpeg" ContentType="image/jpeg"/>
  <Override PartName="/xl/media/image489.jpeg" ContentType="image/jpeg"/>
  <Override PartName="/xl/media/image325.jpeg" ContentType="image/jpeg"/>
  <Override PartName="/xl/media/image296.jpeg" ContentType="image/jpeg"/>
  <Override PartName="/xl/media/image326.jpeg" ContentType="image/jpeg"/>
  <Override PartName="/xl/media/image297.jpeg" ContentType="image/jpeg"/>
  <Override PartName="/xl/media/image327.jpeg" ContentType="image/jpeg"/>
  <Override PartName="/xl/media/image298.jpeg" ContentType="image/jpeg"/>
  <Override PartName="/xl/media/image328.jpeg" ContentType="image/jpeg"/>
  <Override PartName="/xl/media/image299.jpeg" ContentType="image/jpeg"/>
  <Override PartName="/xl/media/image271.jpeg" ContentType="image/jpeg"/>
  <Override PartName="/xl/media/image300.jpeg" ContentType="image/jpeg"/>
  <Override PartName="/xl/media/image272.jpeg" ContentType="image/jpeg"/>
  <Override PartName="/xl/media/image301.jpeg" ContentType="image/jpeg"/>
  <Override PartName="/xl/media/image273.jpeg" ContentType="image/jpeg"/>
  <Override PartName="/xl/media/image302.jpeg" ContentType="image/jpeg"/>
  <Override PartName="/xl/media/image274.jpeg" ContentType="image/jpeg"/>
  <Override PartName="/xl/media/image303.jpeg" ContentType="image/jpeg"/>
  <Override PartName="/xl/media/image281.jpeg" ContentType="image/jpeg"/>
  <Override PartName="/xl/media/image310.jpeg" ContentType="image/jpeg"/>
  <Override PartName="/xl/media/image475.jpeg" ContentType="image/jpeg"/>
  <Override PartName="/xl/media/image504.jpeg" ContentType="image/jpeg"/>
  <Override PartName="/xl/media/image282.jpeg" ContentType="image/jpeg"/>
  <Override PartName="/xl/media/image311.jpeg" ContentType="image/jpeg"/>
  <Override PartName="/xl/media/image476.jpeg" ContentType="image/jpeg"/>
  <Override PartName="/xl/media/image505.jpeg" ContentType="image/jpeg"/>
  <Override PartName="/xl/media/image283.jpeg" ContentType="image/jpeg"/>
  <Override PartName="/xl/media/image312.jpeg" ContentType="image/jpeg"/>
  <Override PartName="/xl/media/image477.jpeg" ContentType="image/jpeg"/>
  <Override PartName="/xl/media/image506.jpeg" ContentType="image/jpeg"/>
  <Override PartName="/xl/media/image284.jpeg" ContentType="image/jpeg"/>
  <Override PartName="/xl/media/image313.jpeg" ContentType="image/jpeg"/>
  <Override PartName="/xl/media/image478.jpeg" ContentType="image/jpeg"/>
  <Override PartName="/xl/media/image507.jpeg" ContentType="image/jpeg"/>
  <Override PartName="/xl/media/image291.jpeg" ContentType="image/jpeg"/>
  <Override PartName="/xl/media/image320.jpeg" ContentType="image/jpeg"/>
  <Override PartName="/xl/media/image485.jpeg" ContentType="image/jpeg"/>
  <Override PartName="/xl/media/image514.jpeg" ContentType="image/jpeg"/>
  <Override PartName="/xl/media/image292.jpeg" ContentType="image/jpeg"/>
  <Override PartName="/xl/media/image321.jpeg" ContentType="image/jpeg"/>
  <Override PartName="/xl/media/image486.jpeg" ContentType="image/jpeg"/>
  <Override PartName="/xl/media/image515.jpeg" ContentType="image/jpeg"/>
  <Override PartName="/xl/media/image293.jpeg" ContentType="image/jpeg"/>
  <Override PartName="/xl/media/image322.jpeg" ContentType="image/jpeg"/>
  <Override PartName="/xl/media/image487.jpeg" ContentType="image/jpeg"/>
  <Override PartName="/xl/media/image516.jpeg" ContentType="image/jpeg"/>
  <Override PartName="/xl/media/image294.jpeg" ContentType="image/jpeg"/>
  <Override PartName="/xl/media/image323.jpeg" ContentType="image/jpeg"/>
  <Override PartName="/xl/media/image488.jpeg" ContentType="image/jpeg"/>
  <Override PartName="/xl/media/image517.jpeg" ContentType="image/jpeg"/>
  <Override PartName="/xl/media/image330.jpeg" ContentType="image/jpeg"/>
  <Override PartName="/xl/media/image495.jpeg" ContentType="image/jpeg"/>
  <Override PartName="/xl/media/image109.jpeg" ContentType="image/jpeg"/>
  <Override PartName="/xl/media/image524.jpeg" ContentType="image/jpeg"/>
  <Override PartName="/xl/media/image331.jpeg" ContentType="image/jpeg"/>
  <Override PartName="/xl/media/image496.jpeg" ContentType="image/jpeg"/>
  <Override PartName="/xl/media/image525.jpeg" ContentType="image/jpeg"/>
  <Override PartName="/xl/media/image332.jpeg" ContentType="image/jpeg"/>
  <Override PartName="/xl/media/image497.jpeg" ContentType="image/jpeg"/>
  <Override PartName="/xl/media/image526.jpeg" ContentType="image/jpeg"/>
  <Override PartName="/xl/media/image333.jpeg" ContentType="image/jpeg"/>
  <Override PartName="/xl/media/image498.jpeg" ContentType="image/jpeg"/>
  <Override PartName="/xl/media/image527.jpeg" ContentType="image/jpeg"/>
  <Override PartName="/xl/media/image340.jpeg" ContentType="image/jpeg"/>
  <Override PartName="/xl/media/image119.jpeg" ContentType="image/jpeg"/>
  <Override PartName="/xl/media/image534.jpeg" ContentType="image/jpeg"/>
  <Override PartName="/xl/media/image341.jpeg" ContentType="image/jpeg"/>
  <Override PartName="/xl/media/image535.jpeg" ContentType="image/jpeg"/>
  <Override PartName="/xl/media/image342.jpeg" ContentType="image/jpeg"/>
  <Override PartName="/xl/media/image536.jpeg" ContentType="image/jpeg"/>
  <Override PartName="/xl/media/image343.jpeg" ContentType="image/jpeg"/>
  <Override PartName="/xl/media/image537.jpeg" ContentType="image/jpeg"/>
  <Override PartName="/xl/media/image371.jpeg" ContentType="image/jpeg"/>
  <Override PartName="/xl/media/image400.jpeg" ContentType="image/jpeg"/>
  <Override PartName="/xl/media/image372.jpeg" ContentType="image/jpeg"/>
  <Override PartName="/xl/media/image401.jpeg" ContentType="image/jpeg"/>
  <Override PartName="/xl/media/image373.jpeg" ContentType="image/jpeg"/>
  <Override PartName="/xl/media/image402.jpeg" ContentType="image/jpeg"/>
  <Override PartName="/xl/media/image374.jpeg" ContentType="image/jpeg"/>
  <Override PartName="/xl/media/image403.jpeg" ContentType="image/jpeg"/>
  <Override PartName="/xl/media/image381.jpeg" ContentType="image/jpeg"/>
  <Override PartName="/xl/media/image410.jpeg" ContentType="image/jpeg"/>
  <Override PartName="/xl/media/image382.jpeg" ContentType="image/jpeg"/>
  <Override PartName="/xl/media/image411.jpeg" ContentType="image/jpeg"/>
  <Override PartName="/xl/media/image383.jpeg" ContentType="image/jpeg"/>
  <Override PartName="/xl/media/image412.jpeg" ContentType="image/jpeg"/>
  <Override PartName="/xl/media/image384.jpeg" ContentType="image/jpeg"/>
  <Override PartName="/xl/media/image413.jpeg" ContentType="image/jpeg"/>
  <Override PartName="/xl/media/image391.jpeg" ContentType="image/jpeg"/>
  <Override PartName="/xl/media/image420.jpeg" ContentType="image/jpeg"/>
  <Override PartName="/xl/media/image392.jpeg" ContentType="image/jpeg"/>
  <Override PartName="/xl/media/image421.jpeg" ContentType="image/jpeg"/>
  <Override PartName="/xl/media/image430.jpeg" ContentType="image/jpeg"/>
  <Override PartName="/xl/media/image431.jpeg" ContentType="image/jpeg"/>
  <Override PartName="/xl/media/image432.jpeg" ContentType="image/jpeg"/>
  <Override PartName="/xl/media/image433.jpeg" ContentType="image/jpeg"/>
  <Override PartName="/xl/media/image440.jpeg" ContentType="image/jpeg"/>
  <Override PartName="/xl/media/image441.jpeg" ContentType="image/jpeg"/>
  <Override PartName="/xl/media/image442.jpeg" ContentType="image/jpeg"/>
  <Override PartName="/xl/media/image443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Index" sheetId="2" state="visible" r:id="rId4"/>
    <sheet name="Timing Belts" sheetId="3" state="visible" r:id="rId5"/>
    <sheet name="Timing Pulleys &amp; Gears" sheetId="4" state="visible" r:id="rId6"/>
    <sheet name="Couplings" sheetId="5" state="visible" r:id="rId7"/>
    <sheet name="Lead Screws &amp; Nuts" sheetId="6" state="visible" r:id="rId8"/>
    <sheet name="Linear Motion &amp; Bearings" sheetId="7" state="visible" r:id="rId9"/>
    <sheet name="Stepper Motors" sheetId="8" state="visible" r:id="rId10"/>
    <sheet name="Linear Slides &amp; CNC" sheetId="9" state="visible" r:id="rId11"/>
    <sheet name="CNC Parts &amp; Tools" sheetId="10" state="visible" r:id="rId12"/>
    <sheet name="Aluminum Profile Parts" sheetId="11" state="visible" r:id="rId13"/>
    <sheet name="Screws &amp; Nuts" sheetId="12" state="visible" r:id="rId14"/>
    <sheet name="3D Printer Parts" sheetId="13" state="visible" r:id="rId15"/>
    <sheet name="Silicone Heaters" sheetId="14" state="visible" r:id="rId16"/>
    <sheet name="Kits &amp; Boxes" sheetId="15" state="visible" r:id="rId17"/>
    <sheet name="Packaging" sheetId="16" state="visible" r:id="rId18"/>
    <sheet name="All" sheetId="17" state="visible" r:id="rId19"/>
    <sheet name="_lists" sheetId="18" state="hidden" r:id="rId20"/>
  </sheets>
  <definedNames>
    <definedName function="false" hidden="false" name="FX" vbProcedure="false">Cover!$C$20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<sst xmlns="http://schemas.openxmlformats.org/spreadsheetml/2006/main" count="141774" uniqueCount="33146">
  <si>
    <t xml:space="preserve">Link cnc Product Price Catalog</t>
  </si>
  <si>
    <t xml:space="preserve">3D Printer &amp; CNC Parts</t>
  </si>
  <si>
    <t xml:space="preserve">Date: 2026-09-28    ·    588 products / 25,234 options</t>
  </si>
  <si>
    <t xml:space="preserve">• All prices are in USD per unit; where a pack quantity is shown (e.g. "10 pcs"), the price is per pack.</t>
  </si>
  <si>
    <t xml:space="preserve">• Shipping is not included.</t>
  </si>
  <si>
    <t xml:space="preserve">• "On request": please contact us for the price.</t>
  </si>
  <si>
    <t xml:space="preserve">• Prices are subject to change; the latest quotation prevails.</t>
  </si>
  <si>
    <t xml:space="preserve">• Please quote the SKU when ordering or asking for a quotation.</t>
  </si>
  <si>
    <t xml:space="preserve">• On the Index sheet, click a product name to jump to its details.</t>
  </si>
  <si>
    <t xml:space="preserve">• Each product has a "Quick quote" row: pick options in the yellow cells and the SKU and unit price appear; clear a cell to leave that option open.</t>
  </si>
  <si>
    <t xml:space="preserve">Exchange rate used (CNY per 1 USD):</t>
  </si>
  <si>
    <t xml:space="preserve">Category</t>
  </si>
  <si>
    <t xml:space="preserve">Product</t>
  </si>
  <si>
    <t xml:space="preserve">Options</t>
  </si>
  <si>
    <t xml:space="preserve">Price (USD)</t>
  </si>
  <si>
    <t xml:space="preserve">Timing Belts</t>
  </si>
  <si>
    <t xml:space="preserve">1.5GT Belts</t>
  </si>
  <si>
    <t xml:space="preserve">1.5GT Open Timing Belt (per meter)</t>
  </si>
  <si>
    <t xml:space="preserve">2GT Belts</t>
  </si>
  <si>
    <t xml:space="preserve">2GT Open Timing Belt (per meter)</t>
  </si>
  <si>
    <t xml:space="preserve">2GT Closed-Loop Timing Belt, Length 162-384mm</t>
  </si>
  <si>
    <t xml:space="preserve">2GT Closed-Loop Timing Belt, Length 386-3600mm</t>
  </si>
  <si>
    <t xml:space="preserve">2GT Closed-Loop Timing Belt, Length 50-160mm</t>
  </si>
  <si>
    <t xml:space="preserve">2GT Closed-Loop Timing Belt, Special (Anti-static / Eco / Thick / Punched)</t>
  </si>
  <si>
    <t xml:space="preserve">3GT Belts</t>
  </si>
  <si>
    <t xml:space="preserve">3GT Open Timing Belt (per meter)</t>
  </si>
  <si>
    <t xml:space="preserve">3GT Closed-Loop Timing Belt</t>
  </si>
  <si>
    <t xml:space="preserve">HTD8M Belts</t>
  </si>
  <si>
    <t xml:space="preserve">HTD8M Open Timing Belt (per meter)</t>
  </si>
  <si>
    <t xml:space="preserve">HTD8M Closed-Loop Timing Belt</t>
  </si>
  <si>
    <t xml:space="preserve">HTD3M Belts</t>
  </si>
  <si>
    <t xml:space="preserve">HTD3M Open Timing Belt (per meter)</t>
  </si>
  <si>
    <t xml:space="preserve">HTD3M Closed-Loop Timing Belt, Length 396-729mm</t>
  </si>
  <si>
    <t xml:space="preserve">HTD3M Closed-Loop Timing Belt, Length 60-393mm</t>
  </si>
  <si>
    <t xml:space="preserve">HTD3M Closed-Loop Timing Belt, Length 732-6804mm</t>
  </si>
  <si>
    <t xml:space="preserve">HTD5M Belts</t>
  </si>
  <si>
    <t xml:space="preserve">HTD5M Open Timing Belt (per meter)</t>
  </si>
  <si>
    <t xml:space="preserve">HTD5M Closed-Loop Timing Belt, Length 120-395mm</t>
  </si>
  <si>
    <t xml:space="preserve">HTD5M Closed-Loop Timing Belt, Length 400-675mm</t>
  </si>
  <si>
    <t xml:space="preserve">HTD5M Closed-Loop Timing Belt, Length 680-7000mm</t>
  </si>
  <si>
    <t xml:space="preserve">PU Steel-Cord 5M Joined Timing Belt</t>
  </si>
  <si>
    <t xml:space="preserve">L / XL Belts</t>
  </si>
  <si>
    <t xml:space="preserve">L / XL Closed-Loop Timing Belt</t>
  </si>
  <si>
    <t xml:space="preserve">XL Open Timing Belt (per meter)</t>
  </si>
  <si>
    <t xml:space="preserve">MXL Belts</t>
  </si>
  <si>
    <t xml:space="preserve">MXL Open Timing Belt (per meter)</t>
  </si>
  <si>
    <t xml:space="preserve">MXL Closed-Loop Timing Belt</t>
  </si>
  <si>
    <t xml:space="preserve">S2M / S3M / S5M Belts</t>
  </si>
  <si>
    <t xml:space="preserve">PU Steel-Cord S3M Joined Timing Belt</t>
  </si>
  <si>
    <t xml:space="preserve">PU Steel-Cord S3M Seamless Timing Belt</t>
  </si>
  <si>
    <t xml:space="preserve">S2M / S3M / S5M Closed-Loop Timing Belt</t>
  </si>
  <si>
    <t xml:space="preserve">S2M / S5M Open Timing Belt (per meter)</t>
  </si>
  <si>
    <t xml:space="preserve">T2.5 / T5 / T10 / AT5 Belts</t>
  </si>
  <si>
    <t xml:space="preserve">T2.5 / T5 / T10 / AT5 Closed-Loop Timing Belt</t>
  </si>
  <si>
    <t xml:space="preserve">T2.5 / T5 Open Timing Belt (per meter)</t>
  </si>
  <si>
    <t xml:space="preserve">Unitta / Gates</t>
  </si>
  <si>
    <t xml:space="preserve">Unitta Rubber Closed-Loop Timing Belt</t>
  </si>
  <si>
    <t xml:space="preserve">Gates Rubber Closed-Loop Timing Belt</t>
  </si>
  <si>
    <t xml:space="preserve">V-Belts / Round Belts / O-Rings</t>
  </si>
  <si>
    <t xml:space="preserve">A-Section Rubber V-Belt</t>
  </si>
  <si>
    <t xml:space="preserve">NBR O-Ring</t>
  </si>
  <si>
    <t xml:space="preserve">PU Single-Sided Toothed V-Belt MB250, 6mm</t>
  </si>
  <si>
    <t xml:space="preserve">PU Round Belt, Open (per meter / full roll)</t>
  </si>
  <si>
    <t xml:space="preserve">PU Round Belt, Closed Loop (Joined / Seamless)</t>
  </si>
  <si>
    <t xml:space="preserve">Red PU V-Belt, Joinable</t>
  </si>
  <si>
    <t xml:space="preserve">Belt Clamps</t>
  </si>
  <si>
    <t xml:space="preserve">Openbuilds Serrated Belt Clamp</t>
  </si>
  <si>
    <t xml:space="preserve">Timing Belt Clamp Plate</t>
  </si>
  <si>
    <t xml:space="preserve">Open Belt Clamp (2GT / 3M)</t>
  </si>
  <si>
    <t xml:space="preserve">Open Belt Toothed Clamp Plate (Trapezoidal / Curvilinear)</t>
  </si>
  <si>
    <t xml:space="preserve">Open Timing Belt Clip</t>
  </si>
  <si>
    <t xml:space="preserve">Kits</t>
  </si>
  <si>
    <t xml:space="preserve">2GT Belt + Pulley Set, 6mm</t>
  </si>
  <si>
    <t xml:space="preserve">2GT Closed-Loop Belt Set, 6mm</t>
  </si>
  <si>
    <t xml:space="preserve">HTD3M Pulley + Belt Set, 16T</t>
  </si>
  <si>
    <t xml:space="preserve">Timing Pulleys &amp; Gears</t>
  </si>
  <si>
    <t xml:space="preserve">2GT Pulleys</t>
  </si>
  <si>
    <t xml:space="preserve">2GT Timing Pulley (all types)</t>
  </si>
  <si>
    <t xml:space="preserve">3GT Pulleys</t>
  </si>
  <si>
    <t xml:space="preserve">3GT Timing Pulley (all types)</t>
  </si>
  <si>
    <t xml:space="preserve">HTD3M Pulleys</t>
  </si>
  <si>
    <t xml:space="preserve">HTD3M Timing Pulley (all types)</t>
  </si>
  <si>
    <t xml:space="preserve">HTD5M Pulleys</t>
  </si>
  <si>
    <t xml:space="preserve">HTD5M Timing Pulley (all types)</t>
  </si>
  <si>
    <t xml:space="preserve">MXL Pulleys</t>
  </si>
  <si>
    <t xml:space="preserve">MXL Timing Pulley (all types)</t>
  </si>
  <si>
    <t xml:space="preserve">S3M / S5M / S1.5M Pulleys</t>
  </si>
  <si>
    <t xml:space="preserve">S3M / S5M / S1.5M Timing Pulley (all types)</t>
  </si>
  <si>
    <t xml:space="preserve">T2.5 Pulleys</t>
  </si>
  <si>
    <t xml:space="preserve">T2.5 Timing Pulley (all types)</t>
  </si>
  <si>
    <t xml:space="preserve">XL Pulleys</t>
  </si>
  <si>
    <t xml:space="preserve">XL Timing Pulley (all types)</t>
  </si>
  <si>
    <t xml:space="preserve">V-Belt Pulleys</t>
  </si>
  <si>
    <t xml:space="preserve">A-Section V-Belt Pulley, Aluminum</t>
  </si>
  <si>
    <t xml:space="preserve">Gears</t>
  </si>
  <si>
    <t xml:space="preserve">M1.25 Helical Rack Gearbox</t>
  </si>
  <si>
    <t xml:space="preserve">Black Oxide Stepped Spur Gear (M1 / M1.5 / M2)</t>
  </si>
  <si>
    <t xml:space="preserve">Left-Hand Helical Gear M1.25 20T, Bore 14</t>
  </si>
  <si>
    <t xml:space="preserve">Left-Hand Helical Gear M1.25 20T, Bore 15 / 16</t>
  </si>
  <si>
    <t xml:space="preserve">CNC Helical Pinion Shaft for Gearbox</t>
  </si>
  <si>
    <t xml:space="preserve">Couplings</t>
  </si>
  <si>
    <t xml:space="preserve">SB Rigid Clamp</t>
  </si>
  <si>
    <t xml:space="preserve">SB Rigid Clamp Coupling (all sizes)</t>
  </si>
  <si>
    <t xml:space="preserve">XB Jaw Clamp (Slit)</t>
  </si>
  <si>
    <t xml:space="preserve">XB Jaw Clamp Coupling, Slit Type (all sizes)</t>
  </si>
  <si>
    <t xml:space="preserve">XB Jaw Clamp</t>
  </si>
  <si>
    <t xml:space="preserve">XB Jaw Clamp Coupling (all sizes)</t>
  </si>
  <si>
    <t xml:space="preserve">XS Jaw Set-Screw</t>
  </si>
  <si>
    <t xml:space="preserve">XS Jaw Set-Screw Coupling (all sizes)</t>
  </si>
  <si>
    <t xml:space="preserve">Universal Joints</t>
  </si>
  <si>
    <t xml:space="preserve">Servo Push Rod, Double-End Ball Link</t>
  </si>
  <si>
    <t xml:space="preserve">Telescopic Spline Universal Joint</t>
  </si>
  <si>
    <t xml:space="preserve">Metal Cross Universal Joint Coupling</t>
  </si>
  <si>
    <t xml:space="preserve">Rigid Set-Screw</t>
  </si>
  <si>
    <t xml:space="preserve">Rigid Set-Screw Coupling (all sizes)</t>
  </si>
  <si>
    <t xml:space="preserve">Oldham</t>
  </si>
  <si>
    <t xml:space="preserve">T8 Z-Axis Lead Screw Oldham Coupler (Ender3)</t>
  </si>
  <si>
    <t xml:space="preserve">Oldham Coupling (all sizes)</t>
  </si>
  <si>
    <t xml:space="preserve">Flexible Clamp</t>
  </si>
  <si>
    <t xml:space="preserve">Flexible Clamp Coupling (all sizes)</t>
  </si>
  <si>
    <t xml:space="preserve">Flexible Set-Screw</t>
  </si>
  <si>
    <t xml:space="preserve">Flexible Set-Screw Coupling (all sizes)</t>
  </si>
  <si>
    <t xml:space="preserve">Flange</t>
  </si>
  <si>
    <t xml:space="preserve">Steel Open-Type Flange Shaft Support STHWRB</t>
  </si>
  <si>
    <t xml:space="preserve">Plated Iron Flange, Shaft Support</t>
  </si>
  <si>
    <t xml:space="preserve">Aluminum Flange Coupling / Shaft Flange</t>
  </si>
  <si>
    <t xml:space="preserve">Diaphragm</t>
  </si>
  <si>
    <t xml:space="preserve">Diaphragm Coupling (all sizes)</t>
  </si>
  <si>
    <t xml:space="preserve">Brass</t>
  </si>
  <si>
    <t xml:space="preserve">Brass Hex Coupling OD 12 L 18</t>
  </si>
  <si>
    <t xml:space="preserve">Brass Coupling (all sizes)</t>
  </si>
  <si>
    <t xml:space="preserve">Lead Screws &amp; Nuts</t>
  </si>
  <si>
    <t xml:space="preserve">Lead Screws</t>
  </si>
  <si>
    <t xml:space="preserve">Trapezoidal Lead Screw, 304 Stainless (by length)</t>
  </si>
  <si>
    <t xml:space="preserve">Trapezoidal Lead Screw + Nut Kit (by length)</t>
  </si>
  <si>
    <t xml:space="preserve">Lead Screw Nuts</t>
  </si>
  <si>
    <t xml:space="preserve">Trapezoidal Lead Screw POM Nut / Nut Block (all types)</t>
  </si>
  <si>
    <t xml:space="preserve">Trapezoidal Lead Screw Brass Nut (all types)</t>
  </si>
  <si>
    <t xml:space="preserve">Linear Motion &amp; Bearings</t>
  </si>
  <si>
    <t xml:space="preserve">Shafts / Rails / Ball Screws</t>
  </si>
  <si>
    <t xml:space="preserve">304 Stainless Round Bar 8mm</t>
  </si>
  <si>
    <t xml:space="preserve">SBR Supported Linear Rail</t>
  </si>
  <si>
    <t xml:space="preserve">SBR Supported Rail Slide Kit</t>
  </si>
  <si>
    <t xml:space="preserve">SBR Rail Split Locking Collar</t>
  </si>
  <si>
    <t xml:space="preserve">SFU Ball Screw Nut, TBI (1204 / 1605 / 1610)</t>
  </si>
  <si>
    <t xml:space="preserve">SFU Ball Screw (1204-3205, machined / unmachined, by length)</t>
  </si>
  <si>
    <t xml:space="preserve">SG U-Groove Guide Bearing (SG15 / SG20 / SG25)</t>
  </si>
  <si>
    <t xml:space="preserve">U-Groove Bearing U604ZZ / U624ZZ</t>
  </si>
  <si>
    <t xml:space="preserve">WCS Chrome Hardened Linear Shaft (Dia 4-50mm, by length)</t>
  </si>
  <si>
    <t xml:space="preserve">T-Type Shaft Clamp</t>
  </si>
  <si>
    <t xml:space="preserve">Linear Rail Bolt Hole Cap</t>
  </si>
  <si>
    <t xml:space="preserve">Carbon Fiber Rod</t>
  </si>
  <si>
    <t xml:space="preserve">Carbon Fiber Tube</t>
  </si>
  <si>
    <t xml:space="preserve">Hollow Chrome Shaft OD 12 ID 6.7</t>
  </si>
  <si>
    <t xml:space="preserve">Precision Pin Gauge ±0.001</t>
  </si>
  <si>
    <t xml:space="preserve">Bearing Steel Shaft / Dowel Pin (Dia 3 / 5mm, 3–1050mm)</t>
  </si>
  <si>
    <t xml:space="preserve">Steel Cross Shaft Clamp</t>
  </si>
  <si>
    <t xml:space="preserve">Aluminum Cross Shaft Clamp</t>
  </si>
  <si>
    <t xml:space="preserve">Aluminum Round Flange Shaft Support</t>
  </si>
  <si>
    <t xml:space="preserve">Zinc Alloy Pillow Block Bearing (KP / KFL)</t>
  </si>
  <si>
    <t xml:space="preserve">Rod Ends</t>
  </si>
  <si>
    <t xml:space="preserve">Delta 5347 Ball Joint Rod End</t>
  </si>
  <si>
    <t xml:space="preserve">Delta Kossel Carbon Rod Ball Joint Kit</t>
  </si>
  <si>
    <t xml:space="preserve">Rod End Bearing (SI / SA, PHS / POS)</t>
  </si>
  <si>
    <t xml:space="preserve">Ball Joint Rod End (SQ Straight / Bent, CS)</t>
  </si>
  <si>
    <t xml:space="preserve">Self-Lubricating Spherical Plain Bearing GE4C</t>
  </si>
  <si>
    <t xml:space="preserve">Coated Pulley Bearings</t>
  </si>
  <si>
    <t xml:space="preserve">POM Coated Pulley Bearing (R / Flat / Arc)</t>
  </si>
  <si>
    <t xml:space="preserve">Ball Bearings</t>
  </si>
  <si>
    <t xml:space="preserve">304 Stainless Drilled &amp; Tapped Ball</t>
  </si>
  <si>
    <t xml:space="preserve">304 Steel Ball Flanged Linear Bearing LMH8GA</t>
  </si>
  <si>
    <t xml:space="preserve">420 Steel Ball Flanged Linear Bearing LMH8GA</t>
  </si>
  <si>
    <t xml:space="preserve">PEEK / Zirconia Deep Groove Bearing 6001 / 6003</t>
  </si>
  <si>
    <t xml:space="preserve">POM Plastic Bearing (608 / 626 / 6000)</t>
  </si>
  <si>
    <t xml:space="preserve">U-Groove Plastic Bearing Pulley</t>
  </si>
  <si>
    <t xml:space="preserve">Ball Transfer Unit, CY Series</t>
  </si>
  <si>
    <t xml:space="preserve">One-Way Bearing, CSK Series (keyed)</t>
  </si>
  <si>
    <t xml:space="preserve">Double-Row W-Groove Roller Bearing</t>
  </si>
  <si>
    <t xml:space="preserve">Spherical OD Bearing, UC Series</t>
  </si>
  <si>
    <t xml:space="preserve">Miniature Thrust Ball Bearing, F Series</t>
  </si>
  <si>
    <t xml:space="preserve">Miniature Flanged Bearing MF105-2RS etc.</t>
  </si>
  <si>
    <t xml:space="preserve">Zirconia Full Ceramic Bearing 608</t>
  </si>
  <si>
    <t xml:space="preserve">Flanged Step Bearing V623ZZ / V624ZZ</t>
  </si>
  <si>
    <t xml:space="preserve">Deep Groove Ball Bearing (ZZ / 2RS / Flanged / Stainless)</t>
  </si>
  <si>
    <t xml:space="preserve">Stud Type Track Roller, CF / KR Series</t>
  </si>
  <si>
    <t xml:space="preserve">Ceramic Bearing 608CE</t>
  </si>
  <si>
    <t xml:space="preserve">Supports &amp; Nut Housings</t>
  </si>
  <si>
    <t xml:space="preserve">SFU Ball Screw Kit (screw + BK/BF support + nut housing)</t>
  </si>
  <si>
    <t xml:space="preserve">Ball Screw Lock Nut (R Radial / RN Square)</t>
  </si>
  <si>
    <t xml:space="preserve">Side Mount Shaft Support CLTAM (heavy)</t>
  </si>
  <si>
    <t xml:space="preserve">Shaft Support SK / SHF</t>
  </si>
  <si>
    <t xml:space="preserve">Ball Screw End Support BK / BF / EK / EF / FK / FF</t>
  </si>
  <si>
    <t xml:space="preserve">Ball Screw Support SSX</t>
  </si>
  <si>
    <t xml:space="preserve">Ball Screw Nut Housing (SFU / HSG / DSG / HD)</t>
  </si>
  <si>
    <t xml:space="preserve">Linear Bearings &amp; Blocks</t>
  </si>
  <si>
    <t xml:space="preserve">HGR / EGR Linear Guide Rail &amp; Carriage</t>
  </si>
  <si>
    <t xml:space="preserve">LM Linear Bearing (Standard / Long / Open / Adjustable)</t>
  </si>
  <si>
    <t xml:space="preserve">MGN Miniature Linear Guide &amp; Carriage (MGN7-15)</t>
  </si>
  <si>
    <t xml:space="preserve">SBR Open Linear Bearing Block</t>
  </si>
  <si>
    <t xml:space="preserve">SCS Box Linear Bearing Block</t>
  </si>
  <si>
    <t xml:space="preserve">SCV Linear Bearing Aluminum Block</t>
  </si>
  <si>
    <t xml:space="preserve">SC Linear Bearing Block (Housing / Al-Plastic / All-Plastic)</t>
  </si>
  <si>
    <t xml:space="preserve">WCS8 Shaft Rail Kit with T8 Lead Screw 400mm</t>
  </si>
  <si>
    <t xml:space="preserve">WCS8 Shaft Rail Slide Kit, 8mm</t>
  </si>
  <si>
    <t xml:space="preserve">WCS8 Shaft Rail Slide Kit, 8mm (II)</t>
  </si>
  <si>
    <t xml:space="preserve">Maintenance-Free Plastic Box Slide</t>
  </si>
  <si>
    <t xml:space="preserve">Maintenance-free Al-Plastic Linear Bearing (Straight / Open / Flanged)</t>
  </si>
  <si>
    <t xml:space="preserve">Drawn Cup Linear Bearing, KH Series</t>
  </si>
  <si>
    <t xml:space="preserve">Plastic Linear Bearing LMK8LUU / LMH8LUU</t>
  </si>
  <si>
    <t xml:space="preserve">Engineering Plastic Linear Bearing, RJMP Series</t>
  </si>
  <si>
    <t xml:space="preserve">Open Linear Bearing Block, TBR Series</t>
  </si>
  <si>
    <t xml:space="preserve">Flanged Linear Bearing (LMF Round / LMK Square / LMH Oval)</t>
  </si>
  <si>
    <t xml:space="preserve">Linear Guide Clamp / Carriage Lock</t>
  </si>
  <si>
    <t xml:space="preserve">Linear Guide Stopper / Travel Limiter (HGH / EGH / MGN)</t>
  </si>
  <si>
    <t xml:space="preserve">Bushings &amp; Collars</t>
  </si>
  <si>
    <t xml:space="preserve">H59 Brass Bushing, Self-Lubricating</t>
  </si>
  <si>
    <t xml:space="preserve">JDB Graphite Bronze Bushing, Oil-Free</t>
  </si>
  <si>
    <t xml:space="preserve">JDB Graphite Bronze Flange Bushing</t>
  </si>
  <si>
    <t xml:space="preserve">Openbuilds Aluminum Spacer / Shim, ID 3-6mm</t>
  </si>
  <si>
    <t xml:space="preserve">SF-1 Oil-Free Composite Bushing</t>
  </si>
  <si>
    <t xml:space="preserve">Shaft Collar (Split / Clamp / Open / Set-Screw / Through-Hole)</t>
  </si>
  <si>
    <t xml:space="preserve">Round Aluminum Standoff, Female M4 Both Ends</t>
  </si>
  <si>
    <t xml:space="preserve">Steel-Backed Bronze Linear Bushing (LM / LMF)</t>
  </si>
  <si>
    <t xml:space="preserve">Ball Screw Bearing Spacer Sleeve</t>
  </si>
  <si>
    <t xml:space="preserve">Polyurethane Bumper Pad</t>
  </si>
  <si>
    <t xml:space="preserve">Metal Shaft Collar with Side Set Screw</t>
  </si>
  <si>
    <t xml:space="preserve">Stepper Motors</t>
  </si>
  <si>
    <t xml:space="preserve">Motors</t>
  </si>
  <si>
    <t xml:space="preserve">20mm Stepper Micro Lead Screw Slide</t>
  </si>
  <si>
    <t xml:space="preserve">NEMA17 42mm Stepper Motor (all models)</t>
  </si>
  <si>
    <t xml:space="preserve">NEMA23 Lead Screw Stepper 23HD56001Y-21B T8</t>
  </si>
  <si>
    <t xml:space="preserve">NEMA23 57mm Stepper Motor (CNC)</t>
  </si>
  <si>
    <t xml:space="preserve">NEMA8 Stepper Motor (all models)</t>
  </si>
  <si>
    <t xml:space="preserve">RS-775 High-Torque DC Motor</t>
  </si>
  <si>
    <t xml:space="preserve">T8 Lead Screw Stepper 17HS4401</t>
  </si>
  <si>
    <t xml:space="preserve">T8 Lead Screw Stepper 42BYGH48</t>
  </si>
  <si>
    <t xml:space="preserve">Micro Stepper Lead Screw Slide</t>
  </si>
  <si>
    <t xml:space="preserve">Motor Accessories &amp; Drivers</t>
  </si>
  <si>
    <t xml:space="preserve">20mm Planetary Gear Stepper (with Hall sensor)</t>
  </si>
  <si>
    <t xml:space="preserve">NEMA17 / NEMA23 Stepper Damper</t>
  </si>
  <si>
    <t xml:space="preserve">NEMA17 / 23 / 34 Steel Motor Bracket</t>
  </si>
  <si>
    <t xml:space="preserve">NEMA17 Plastic Motor Bracket</t>
  </si>
  <si>
    <t xml:space="preserve">NEMA17 Cork Damper Pad</t>
  </si>
  <si>
    <t xml:space="preserve">NEMA23 / NEMA34 Aluminum Motor Bracket</t>
  </si>
  <si>
    <t xml:space="preserve">NEMA23 / NEMA34 Stepper Driver (DMA860H alternative)</t>
  </si>
  <si>
    <t xml:space="preserve">NEMA23 Plastic Motor Base</t>
  </si>
  <si>
    <t xml:space="preserve">NEMA23 Motor Mount, Extended</t>
  </si>
  <si>
    <t xml:space="preserve">NEMA23 Motor Mount Connector Frame</t>
  </si>
  <si>
    <t xml:space="preserve">NEMA23 Aluminum Motor Base</t>
  </si>
  <si>
    <t xml:space="preserve">NEMA23 Profile Motor Clamp Mount</t>
  </si>
  <si>
    <t xml:space="preserve">NEMA34 Motor Mount</t>
  </si>
  <si>
    <t xml:space="preserve">CR-10 Z-Axis NEMA17 Mount Block</t>
  </si>
  <si>
    <t xml:space="preserve">DM420 Stepper Driver 2A 128 Microstep</t>
  </si>
  <si>
    <t xml:space="preserve">MACH3 5-Axis Breakout Board</t>
  </si>
  <si>
    <t xml:space="preserve">MACH3 5-Axis Breakout Board (with driver)</t>
  </si>
  <si>
    <t xml:space="preserve">MACH3 USB Motion Control Card</t>
  </si>
  <si>
    <t xml:space="preserve">TB6600 Upgraded Stepper Driver 4.0A 42V</t>
  </si>
  <si>
    <t xml:space="preserve">TB6600 Single-Axis Driver, Enclosed 5A</t>
  </si>
  <si>
    <t xml:space="preserve">TMC2208 Stepper Driver 1.4A</t>
  </si>
  <si>
    <t xml:space="preserve">Square Silicone Damper Pad</t>
  </si>
  <si>
    <t xml:space="preserve">Stepper Motor Cable, 4-Wire with Connector, 1m</t>
  </si>
  <si>
    <t xml:space="preserve">Stepper Cable XH254 / Dupont 6-pin to 4-pin</t>
  </si>
  <si>
    <t xml:space="preserve">Stepper Driver Smoother (A4988 / DRV8825)</t>
  </si>
  <si>
    <t xml:space="preserve">Profile Motor Mount (57 / 60 / 80 / 86)</t>
  </si>
  <si>
    <t xml:space="preserve">Linear Slides &amp; CNC</t>
  </si>
  <si>
    <t xml:space="preserve">4080U T8 Lead Screw Slide Module (with NEMA23)</t>
  </si>
  <si>
    <t xml:space="preserve">4080U Cross Lead Screw Slide with Handwheel (XY)</t>
  </si>
  <si>
    <t xml:space="preserve">Ooznest Desktop CNC Router (Openbuilds)</t>
  </si>
  <si>
    <t xml:space="preserve">Openbuilds 2040 V-Slot Belt Slide (Z-axis)</t>
  </si>
  <si>
    <t xml:space="preserve">Openbuilds 4080U T8 Lead Screw Slide (Z-axis)</t>
  </si>
  <si>
    <t xml:space="preserve">Openbuilds Mini Desktop CNC Frame</t>
  </si>
  <si>
    <t xml:space="preserve">Openbuilds Aluminum Linear Slide Arm</t>
  </si>
  <si>
    <t xml:space="preserve">T6 Lead Screw Mini Rail Slide (with NEMA11)</t>
  </si>
  <si>
    <t xml:space="preserve">THK90 Ball Screw Linear Slide Module</t>
  </si>
  <si>
    <t xml:space="preserve">2020 V-Slot Belt-Driven Linear Slide (with NEMA17)</t>
  </si>
  <si>
    <t xml:space="preserve">2040 V-Slot Belt-Driven Linear Slide (with NEMA17)</t>
  </si>
  <si>
    <t xml:space="preserve">2060 V-Slot Lead Screw Slide (with NEMA17)</t>
  </si>
  <si>
    <t xml:space="preserve">Heavy-Duty Dual-Rail Cross Slide Table</t>
  </si>
  <si>
    <t xml:space="preserve">CNC Parts &amp; Tools</t>
  </si>
  <si>
    <t xml:space="preserve">Taps / Cutters / Collets</t>
  </si>
  <si>
    <t xml:space="preserve">1/2 Shank Bottom Cleaning Router Bit</t>
  </si>
  <si>
    <t xml:space="preserve">1/4 Shank Long Double-Flute Straight Bit</t>
  </si>
  <si>
    <t xml:space="preserve">6mm Single-Flute MDF End Mill</t>
  </si>
  <si>
    <t xml:space="preserve">B10 Mini Drill Chuck 0.6-6mm</t>
  </si>
  <si>
    <t xml:space="preserve">B10 Drill Chuck Arbor / Taper Adapter</t>
  </si>
  <si>
    <t xml:space="preserve">B12 Drill Chuck Adapter Sleeve</t>
  </si>
  <si>
    <t xml:space="preserve">ER11 Air-Cooled Spindle 150W / 200W</t>
  </si>
  <si>
    <t xml:space="preserve">ER11 / ER16 Spindle Extension Rod</t>
  </si>
  <si>
    <t xml:space="preserve">ER11A Spindle Extension Nut (Black UM)</t>
  </si>
  <si>
    <t xml:space="preserve">ER11A / ER16A Spindle Nut</t>
  </si>
  <si>
    <t xml:space="preserve">ER16 Morse Taper Holder MTB1-ER16</t>
  </si>
  <si>
    <t xml:space="preserve">ER Spring Collet (ER8-ER40, all sizes)</t>
  </si>
  <si>
    <t xml:space="preserve">M35 Cobalt Machine Tap for Stainless</t>
  </si>
  <si>
    <t xml:space="preserve">M35 Cobalt Spiral Tap for Aluminum</t>
  </si>
  <si>
    <t xml:space="preserve">PCB Corn End Mill (Left / Right Hand)</t>
  </si>
  <si>
    <t xml:space="preserve">PCB Drill / End Mill Box (3.175 / 4mm)</t>
  </si>
  <si>
    <t xml:space="preserve">Trapezoidal Machine Tap T8-T20</t>
  </si>
  <si>
    <t xml:space="preserve">TCT Double-Flute Straight Router Bit 1/2 Shank</t>
  </si>
  <si>
    <t xml:space="preserve">Ultimaker 2 Bed Glass Clip</t>
  </si>
  <si>
    <t xml:space="preserve">Spindle Collet Reducer Sleeve</t>
  </si>
  <si>
    <t xml:space="preserve">Router Surfacing Bit, 8mm shank</t>
  </si>
  <si>
    <t xml:space="preserve">Hex Shank 3-in-1 Drill Tap</t>
  </si>
  <si>
    <t xml:space="preserve">Double-Bearing Flush Trim Router Bit</t>
  </si>
  <si>
    <t xml:space="preserve">Mini Lathe Tool Set 12mm, 21 pcs</t>
  </si>
  <si>
    <t xml:space="preserve">Diamond Burr Set (3mm shank)</t>
  </si>
  <si>
    <t xml:space="preserve">Steel Tap Wrench</t>
  </si>
  <si>
    <t xml:space="preserve">Carbide 4-Flute Roughing End Mill 55°</t>
  </si>
  <si>
    <t xml:space="preserve">Carbide PCB Micro Drill, 3.175mm shank</t>
  </si>
  <si>
    <t xml:space="preserve">Titanium Coated Spiral Machine Tap M2-M20</t>
  </si>
  <si>
    <t xml:space="preserve">Titanium Coated Spiral Drill Tap</t>
  </si>
  <si>
    <t xml:space="preserve">Engraving V-Bit (Flat / Triangular)</t>
  </si>
  <si>
    <t xml:space="preserve">Vises / Clamps / Tools</t>
  </si>
  <si>
    <t xml:space="preserve">90° Corner Clamp</t>
  </si>
  <si>
    <t xml:space="preserve">E3D / MK8 Nozzle L Socket Wrench</t>
  </si>
  <si>
    <t xml:space="preserve">E3D / MK8 Nozzle Open-End Wrench</t>
  </si>
  <si>
    <t xml:space="preserve">L-Type Ball-End Hex Key (single)</t>
  </si>
  <si>
    <t xml:space="preserve">MK8 Nozzle / Heater Block 5-in-1 Wrench</t>
  </si>
  <si>
    <t xml:space="preserve">PLATO-170 Flush Cutter</t>
  </si>
  <si>
    <t xml:space="preserve">Cross Slide Vise 4 in</t>
  </si>
  <si>
    <t xml:space="preserve">Vertical Toggle Clamp (GH-13005 etc.)</t>
  </si>
  <si>
    <t xml:space="preserve">Nylon A-Type Spring Clamp</t>
  </si>
  <si>
    <t xml:space="preserve">Nylon Hold-Down Clamp (CNC table)</t>
  </si>
  <si>
    <t xml:space="preserve">Mechanical Edge Finder VPS-302</t>
  </si>
  <si>
    <t xml:space="preserve">Ferrule Crimping Tool</t>
  </si>
  <si>
    <t xml:space="preserve">PTFE Tube Cutter</t>
  </si>
  <si>
    <t xml:space="preserve">Aluminum Spindle Motor Mount</t>
  </si>
  <si>
    <t xml:space="preserve">Aluminum Mini Vise 2.5 in</t>
  </si>
  <si>
    <t xml:space="preserve">Cast Aluminum Spindle Mount 62-125</t>
  </si>
  <si>
    <t xml:space="preserve">Anti-Static Pointed Tweezers ESD-10</t>
  </si>
  <si>
    <t xml:space="preserve">Switches / Coolant</t>
  </si>
  <si>
    <t xml:space="preserve">3D Printer Limit Switch (1m cable)</t>
  </si>
  <si>
    <t xml:space="preserve">KW12 Micro Limit Switch 5A</t>
  </si>
  <si>
    <t xml:space="preserve">Openbuilds Micro Switch Mount Plate</t>
  </si>
  <si>
    <t xml:space="preserve">Flexible Coolant Spray Nozzle (with valve)</t>
  </si>
  <si>
    <t xml:space="preserve">Optical Endstop (RAMPS 1.4)</t>
  </si>
  <si>
    <t xml:space="preserve">Optical Endstop Sensor (1m cable)</t>
  </si>
  <si>
    <t xml:space="preserve">Round Rocker Switch KCD1-105</t>
  </si>
  <si>
    <t xml:space="preserve">Illuminated Rocker Switch 3-Pin 2-Position</t>
  </si>
  <si>
    <t xml:space="preserve">Filament Runout Sensor Module</t>
  </si>
  <si>
    <t xml:space="preserve">Mechanical Endstop Module (RAMPS 1.4)</t>
  </si>
  <si>
    <t xml:space="preserve">Inductive Proximity Switch</t>
  </si>
  <si>
    <t xml:space="preserve">Mushroom Emergency Stop Button LAY37-11ZS</t>
  </si>
  <si>
    <t xml:space="preserve">Travel Switch TZ ME-8108</t>
  </si>
  <si>
    <t xml:space="preserve">Aluminum Push Button Enclosure</t>
  </si>
  <si>
    <t xml:space="preserve">Waterproof Push Button Box, BX Series</t>
  </si>
  <si>
    <t xml:space="preserve">Limit Switch (Optical / Mechanical / Inductive SN04-N)</t>
  </si>
  <si>
    <t xml:space="preserve">Limit Micro Switch V-156-1C25</t>
  </si>
  <si>
    <t xml:space="preserve">Spindle Cooling Submersible Pump</t>
  </si>
  <si>
    <t xml:space="preserve">Drag Chains</t>
  </si>
  <si>
    <t xml:space="preserve">Nylon Cable Drag Chain (all series)</t>
  </si>
  <si>
    <t xml:space="preserve">Electronics &amp; Cables</t>
  </si>
  <si>
    <t xml:space="preserve">DB15 Cable (2-row 15-pin)</t>
  </si>
  <si>
    <t xml:space="preserve">PWM Controller IC TL494CN DIP-16</t>
  </si>
  <si>
    <t xml:space="preserve">Red Line Laser Module MXD1230</t>
  </si>
  <si>
    <t xml:space="preserve">Single-Phase Solid State Relay SSR-25DA</t>
  </si>
  <si>
    <t xml:space="preserve">Red-Black Dupont Ribbon Wire</t>
  </si>
  <si>
    <t xml:space="preserve">Aluminum Potentiometer Knob</t>
  </si>
  <si>
    <t xml:space="preserve">Cable Sleeves</t>
  </si>
  <si>
    <t xml:space="preserve">PE Spiral Wrap Cable Sleeve</t>
  </si>
  <si>
    <t xml:space="preserve">PVC Heat Shrink Sleeve (battery packs)</t>
  </si>
  <si>
    <t xml:space="preserve">PVC Clear Oil Tube 4x2.5mm</t>
  </si>
  <si>
    <t xml:space="preserve">Plastic Cable Protection Tube</t>
  </si>
  <si>
    <t xml:space="preserve">Nylon Braided Expandable Sleeving</t>
  </si>
  <si>
    <t xml:space="preserve">Adhesive Cable Tie Mount (NC Series)</t>
  </si>
  <si>
    <t xml:space="preserve">Connectors</t>
  </si>
  <si>
    <t xml:space="preserve">GX12 / GX16 Aviation Connector</t>
  </si>
  <si>
    <t xml:space="preserve">GX16 Aviation Connector Dust Cap</t>
  </si>
  <si>
    <t xml:space="preserve">M12 Panel-Mount Aviation Connector 5-Pin</t>
  </si>
  <si>
    <t xml:space="preserve">YD20 Waterproof Aviation Connector (spindle motor)</t>
  </si>
  <si>
    <t xml:space="preserve">Power Inlet Socket (with switch &amp; fuse)</t>
  </si>
  <si>
    <t xml:space="preserve">Covers</t>
  </si>
  <si>
    <t xml:space="preserve">Flat Bellows Cover</t>
  </si>
  <si>
    <t xml:space="preserve">Linear Guide Bellows Dust Cover</t>
  </si>
  <si>
    <t xml:space="preserve">U-Type Bellows Cover</t>
  </si>
  <si>
    <t xml:space="preserve">CNC Router Dust Shoe</t>
  </si>
  <si>
    <t xml:space="preserve">CNC Accessories</t>
  </si>
  <si>
    <t xml:space="preserve">E3D Titan Plastic Extruder Gear M0.5 66T</t>
  </si>
  <si>
    <t xml:space="preserve">Z-Axis Tool Setter (MACH3)</t>
  </si>
  <si>
    <t xml:space="preserve">Wood Lathe Live Center Tailstock</t>
  </si>
  <si>
    <t xml:space="preserve">Stepper Motor Aluminum Handwheel (42 / 57 / 86)</t>
  </si>
  <si>
    <t xml:space="preserve">Laser Machine X-Axis Tensioner</t>
  </si>
  <si>
    <t xml:space="preserve">Vacuum Pump Filter Assembly F003</t>
  </si>
  <si>
    <t xml:space="preserve">Carbon Steel Helical Gear Rack M1.25</t>
  </si>
  <si>
    <t xml:space="preserve">Bakelite Alloy Back-Dished Handwheel</t>
  </si>
  <si>
    <t xml:space="preserve">Bakelite 3-Spoke Handwheel</t>
  </si>
  <si>
    <t xml:space="preserve">Aluminum Profile Seal / Cover Strip</t>
  </si>
  <si>
    <t xml:space="preserve">Air-Cooled High-Speed Spindle 400W</t>
  </si>
  <si>
    <t xml:space="preserve">Aluminum Profile Parts</t>
  </si>
  <si>
    <t xml:space="preserve">Casters &amp; Feet</t>
  </si>
  <si>
    <t xml:space="preserve">304 Stainless Leveling Foot</t>
  </si>
  <si>
    <t xml:space="preserve">Square Tube End Plug</t>
  </si>
  <si>
    <t xml:space="preserve">Orange PU Cart Caster</t>
  </si>
  <si>
    <t xml:space="preserve">Quiet Rubber Caster with Brake, 2 in M8</t>
  </si>
  <si>
    <t xml:space="preserve">Black Leveling Foot</t>
  </si>
  <si>
    <t xml:space="preserve">Castor with Leveling Foot</t>
  </si>
  <si>
    <t xml:space="preserve">Quiet PU Swivel Caster (Medium / Heavy)</t>
  </si>
  <si>
    <t xml:space="preserve">Mini Swivel Caster (1-2.5 in)</t>
  </si>
  <si>
    <t xml:space="preserve">Profile L-Type Floor Mount</t>
  </si>
  <si>
    <t xml:space="preserve">Aluminum Profile Leveling Foot (all sizes)</t>
  </si>
  <si>
    <t xml:space="preserve">Aluminum Profile Guide Pulley Assembly</t>
  </si>
  <si>
    <t xml:space="preserve">Profile End Plate (for casters / feet)</t>
  </si>
  <si>
    <t xml:space="preserve">Profile Foot Mount (3030 / 4040 / 4545)</t>
  </si>
  <si>
    <t xml:space="preserve">Cast Aluminum Corner Plate (for casters / feet)</t>
  </si>
  <si>
    <t xml:space="preserve">Conical Rubber Foot</t>
  </si>
  <si>
    <t xml:space="preserve">Brackets / Nuts / Hinges / Handles</t>
  </si>
  <si>
    <t xml:space="preserve">135° Corner Bracket</t>
  </si>
  <si>
    <t xml:space="preserve">1515 / 1525 Corner Bracket</t>
  </si>
  <si>
    <t xml:space="preserve">2040 Corner Bracket (Single / Double Support)</t>
  </si>
  <si>
    <t xml:space="preserve">2430 Corner Bracket</t>
  </si>
  <si>
    <t xml:space="preserve">3030 Flat-Base Corner Bracket</t>
  </si>
  <si>
    <t xml:space="preserve">3030 / 4040 Flat Cross Plate (45° / 90° / 180°)</t>
  </si>
  <si>
    <t xml:space="preserve">304 Stainless Internal L-Connector (20-40)</t>
  </si>
  <si>
    <t xml:space="preserve">3060-4080 Corner Bracket</t>
  </si>
  <si>
    <t xml:space="preserve">4040 End Connection Plate EP8 40x40x90</t>
  </si>
  <si>
    <t xml:space="preserve">4040 Corner Bracket</t>
  </si>
  <si>
    <t xml:space="preserve">45° Angled Corner Bracket</t>
  </si>
  <si>
    <t xml:space="preserve">C-Channel Rail Lock Nut</t>
  </si>
  <si>
    <t xml:space="preserve">Straight Flat Joining Plate</t>
  </si>
  <si>
    <t xml:space="preserve">Stainless Straight Slot Joiner</t>
  </si>
  <si>
    <t xml:space="preserve">Stainless Straight Connector Plate / Bed Support</t>
  </si>
  <si>
    <t xml:space="preserve">Heavy Adjustable 90° Bracket / Shelf Support</t>
  </si>
  <si>
    <t xml:space="preserve">Die-Cast Aluminum End Cap</t>
  </si>
  <si>
    <t xml:space="preserve">Whistle Type Internal Connector</t>
  </si>
  <si>
    <t xml:space="preserve">GB 1530 / 2040 2-Way Corner Block</t>
  </si>
  <si>
    <t xml:space="preserve">GB 2020 Corner Bracket</t>
  </si>
  <si>
    <t xml:space="preserve">Outside Corner Plate Set (Cross / Straight / T / L)</t>
  </si>
  <si>
    <t xml:space="preserve">Fence Floor Mount Base</t>
  </si>
  <si>
    <t xml:space="preserve">Fence Connector Clip / Clamp Ring</t>
  </si>
  <si>
    <t xml:space="preserve">Lift-off Detachable Hinge</t>
  </si>
  <si>
    <t xml:space="preserve">Robot Fixture Profile Cross Clamp</t>
  </si>
  <si>
    <t xml:space="preserve">EU 2028 Corner Bracket</t>
  </si>
  <si>
    <t xml:space="preserve">EU 4545 L Corner Bracket</t>
  </si>
  <si>
    <t xml:space="preserve">EU 6060 / 8080 Corner Bracket</t>
  </si>
  <si>
    <t xml:space="preserve">EU 2-Way / 3-Way Corner Cube</t>
  </si>
  <si>
    <t xml:space="preserve">EU 2020 T-Slot Boat Nut Set</t>
  </si>
  <si>
    <t xml:space="preserve">EU 4040 Quick-Assembly Block (fence mesh)</t>
  </si>
  <si>
    <t xml:space="preserve">EU Standard T-Bolt (all sizes)</t>
  </si>
  <si>
    <t xml:space="preserve">EU Parallel Clamp Connector</t>
  </si>
  <si>
    <t xml:space="preserve">EU Aluminum Decorative End Cap</t>
  </si>
  <si>
    <t xml:space="preserve">EU Profile End Cap (2020-4080)</t>
  </si>
  <si>
    <t xml:space="preserve">Carbon Steel Internal L-Connector (15-40)</t>
  </si>
  <si>
    <t xml:space="preserve">Carbon Steel Outside Corner Plate (Cross / Straight / T / L)</t>
  </si>
  <si>
    <t xml:space="preserve">Lean Pipe Straight Outer Connector</t>
  </si>
  <si>
    <t xml:space="preserve">Ultra-thin Hidden Magnetic Door Catch</t>
  </si>
  <si>
    <t xml:space="preserve">Aluminum Internal L-Connector (15-40)</t>
  </si>
  <si>
    <t xml:space="preserve">Aluminum Right-Angle Bracket</t>
  </si>
  <si>
    <t xml:space="preserve">Small Aluminum Handle (sliding / cabinet door)</t>
  </si>
  <si>
    <t xml:space="preserve">Aluminum / Nylon Square Handle (pitch 90-180)</t>
  </si>
  <si>
    <t xml:space="preserve">Aluminum Tube Handle</t>
  </si>
  <si>
    <t xml:space="preserve">Aluminum Window Handle</t>
  </si>
  <si>
    <t xml:space="preserve">Aluminum Quiet Butterfly Hinge</t>
  </si>
  <si>
    <t xml:space="preserve">Aluminum Profile Side Panel Fixing Clip (EU / GB 20-40)</t>
  </si>
  <si>
    <t xml:space="preserve">Profile Mesh Panel Clamp Nut</t>
  </si>
  <si>
    <t xml:space="preserve">Aluminum Profile Snap-in Internal Connector (20-45)</t>
  </si>
  <si>
    <t xml:space="preserve">Aluminum Profile Slot Strip</t>
  </si>
  <si>
    <t xml:space="preserve">Aluminum Profile Sliding Hook</t>
  </si>
  <si>
    <t xml:space="preserve">Aluminum Profile Nuts (all types)</t>
  </si>
  <si>
    <t xml:space="preserve">Aluminum Profile Threaded Sleeve / Nut Set (EU 20-45)</t>
  </si>
  <si>
    <t xml:space="preserve">Profile Swivel Corner</t>
  </si>
  <si>
    <t xml:space="preserve">Zinc Alloy Profile Hinge (2020-4040)</t>
  </si>
  <si>
    <t xml:space="preserve">Profile Panel L-Connector</t>
  </si>
  <si>
    <t xml:space="preserve">Aluminum Door Bolt (3030 / 4040)</t>
  </si>
  <si>
    <t xml:space="preserve">Zinc Alloy Internal L-Connector (15-40)</t>
  </si>
  <si>
    <t xml:space="preserve">Zinc Die-Cast Corner Bracket (with cover)</t>
  </si>
  <si>
    <t xml:space="preserve">Zinc Alloy Hinge</t>
  </si>
  <si>
    <t xml:space="preserve">Frame Triangle Corner Block (25 / 30 / 40 / 45)</t>
  </si>
  <si>
    <t xml:space="preserve">Hidden 3D Corner Connector (2020-4040)</t>
  </si>
  <si>
    <t xml:space="preserve">Black Bakelite U-Handle</t>
  </si>
  <si>
    <t xml:space="preserve">Plates &amp; Tubes</t>
  </si>
  <si>
    <t xml:space="preserve">6061 Aluminum Plate</t>
  </si>
  <si>
    <t xml:space="preserve">GB Standard Aluminum Profile (cut to length)</t>
  </si>
  <si>
    <t xml:space="preserve">EU Standard Aluminum Profile (cut to length)</t>
  </si>
  <si>
    <t xml:space="preserve">Aluminum Square Tube 25x25x3</t>
  </si>
  <si>
    <t xml:space="preserve">Screws &amp; Nuts</t>
  </si>
  <si>
    <t xml:space="preserve">Socket Screws</t>
  </si>
  <si>
    <t xml:space="preserve">ISO7380 Button Head Socket Screw, 10.9 Black Carbon Steel (M1.6-M20)</t>
  </si>
  <si>
    <t xml:space="preserve">DIN912 Socket Head Cap Screw, 12.9 Black Carbon Steel (M2-M16)</t>
  </si>
  <si>
    <t xml:space="preserve">DIN7984 Low Head Socket Screw, 304 Stainless (M3-M12)</t>
  </si>
  <si>
    <t xml:space="preserve">DIN912 Socket Head Cap Screw, 304 Stainless (M1.6-M16)</t>
  </si>
  <si>
    <t xml:space="preserve">ISO7380 Button Head Socket Screw, 304 Stainless (M2-M12)</t>
  </si>
  <si>
    <t xml:space="preserve">304 Stainless Solid Adjustable L-Handle</t>
  </si>
  <si>
    <t xml:space="preserve">304 Stainless SEMS Screw (DIN912 + Flat &amp; Spring Washer)</t>
  </si>
  <si>
    <t xml:space="preserve">304 Stainless Flanged Socket Screw (Button Flange / DIN251)</t>
  </si>
  <si>
    <t xml:space="preserve">304 Stainless Wafer Head Socket Screw (Ultra-thin / Chamfered)</t>
  </si>
  <si>
    <t xml:space="preserve">Adjustable Clamping Lever, L-Handle (Aluminum / Zinc Alloy)</t>
  </si>
  <si>
    <t xml:space="preserve">DIN7984 Low Head Socket Screw, 8.8 Black Carbon Steel (M3-M30)</t>
  </si>
  <si>
    <t xml:space="preserve">8.8 Grade Flanged Socket Screw M10</t>
  </si>
  <si>
    <t xml:space="preserve">DIN7991 Countersunk Socket Screw (10.9 Black / 304 Stainless)</t>
  </si>
  <si>
    <t xml:space="preserve">T / L Handle Thumb Screw (M3-M8, 1/4 in)</t>
  </si>
  <si>
    <t xml:space="preserve">Socket Set Screw (DIN916 / DIN913 / DIN914; Steel / 304 / Nylon)</t>
  </si>
  <si>
    <t xml:space="preserve">Aluminum Thumb Screw Knob (M5-M10, 1/4 in)</t>
  </si>
  <si>
    <t xml:space="preserve">Phillips Screws</t>
  </si>
  <si>
    <t xml:space="preserve">304 Stainless Phillips Pan Head Machine Screw (GB818 / DIN967)</t>
  </si>
  <si>
    <t xml:space="preserve">304 Stainless Phillips Countersunk Screw GB819</t>
  </si>
  <si>
    <t xml:space="preserve">304 Stainless Truss Head Self-Tapping Screw M5</t>
  </si>
  <si>
    <t xml:space="preserve">Nylon Phillips Countersunk Screw</t>
  </si>
  <si>
    <t xml:space="preserve">Washers &amp; Keys</t>
  </si>
  <si>
    <t xml:space="preserve">304 Stainless Flat Washer</t>
  </si>
  <si>
    <t xml:space="preserve">304 Stainless Spring Lock Washer GB93</t>
  </si>
  <si>
    <t xml:space="preserve">Hex Key (Nickel / Black)</t>
  </si>
  <si>
    <t xml:space="preserve">Knob Screws</t>
  </si>
  <si>
    <t xml:space="preserve">Star Knob Thumb Screw (304 Stainless / Zinc Steel)</t>
  </si>
  <si>
    <t xml:space="preserve">Threaded Rods / Hex Bolts</t>
  </si>
  <si>
    <t xml:space="preserve">304 Stainless Knob Handle Screw</t>
  </si>
  <si>
    <t xml:space="preserve">304 Stainless Threaded Rod DIN976</t>
  </si>
  <si>
    <t xml:space="preserve">Stainless Wing Screw DIN316 M3</t>
  </si>
  <si>
    <t xml:space="preserve">Zinc Carbon Steel Hex Bolt M6</t>
  </si>
  <si>
    <t xml:space="preserve">Nuts</t>
  </si>
  <si>
    <t xml:space="preserve">304 Stainless Hex Nut DIN934</t>
  </si>
  <si>
    <t xml:space="preserve">304 Stainless Heavy Hex Nut GB6175</t>
  </si>
  <si>
    <t xml:space="preserve">304 Stainless Nylon Lock Nut DIN985</t>
  </si>
  <si>
    <t xml:space="preserve">304 Stainless Thin Nut DIN439</t>
  </si>
  <si>
    <t xml:space="preserve">304 Stainless Wing Nut DIN315</t>
  </si>
  <si>
    <t xml:space="preserve">GB806 Knurled Step Thumb Nut</t>
  </si>
  <si>
    <t xml:space="preserve">GB807 Flat Knurled Thumb Nut</t>
  </si>
  <si>
    <t xml:space="preserve">MakerBeam XL Rectangular Nut M3</t>
  </si>
  <si>
    <t xml:space="preserve">Square Nut GB39 / DIN557</t>
  </si>
  <si>
    <t xml:space="preserve">Flange Nut DIN6923</t>
  </si>
  <si>
    <t xml:space="preserve">Brass Heat-Set Insert, Knurled</t>
  </si>
  <si>
    <t xml:space="preserve">Carbon Steel Hex Nut (4.8 / 8.8 / 12.9)</t>
  </si>
  <si>
    <t xml:space="preserve">Carbon Steel Clinch Nut</t>
  </si>
  <si>
    <t xml:space="preserve">Standoffs</t>
  </si>
  <si>
    <t xml:space="preserve">M2 Round Brass Standoff Assortment, 270 pcs</t>
  </si>
  <si>
    <t xml:space="preserve">Brass Standoff (Hex Male-Female / Round Knurled)</t>
  </si>
  <si>
    <t xml:space="preserve">3D Printer Parts</t>
  </si>
  <si>
    <t xml:space="preserve">Openbuilds</t>
  </si>
  <si>
    <t xml:space="preserve">4080U Profile End Mounting Plate</t>
  </si>
  <si>
    <t xml:space="preserve">CNC Build Plate</t>
  </si>
  <si>
    <t xml:space="preserve">CR-10S / Ender-3 Dual-Pulley Extruder Bracket</t>
  </si>
  <si>
    <t xml:space="preserve">Openbuilds NEMA23 Motor Mount Plate V-Slot 96.5x60x3</t>
  </si>
  <si>
    <t xml:space="preserve">Openbuilds C-Beam XLarge Gantry Plate</t>
  </si>
  <si>
    <t xml:space="preserve">Openbuilds C-Beam Double-Width Plate 6x77.15x155</t>
  </si>
  <si>
    <t xml:space="preserve">Openbuilds C-Beam End Mount Plate</t>
  </si>
  <si>
    <t xml:space="preserve">Openbuilds L-Bracket (1 / 2 / 3 holes)</t>
  </si>
  <si>
    <t xml:space="preserve">Openbuilds NEMA17 Motor Mount Plate</t>
  </si>
  <si>
    <t xml:space="preserve">Openbuilds NEMA17 Motor Bracket for 2040 V-Slot</t>
  </si>
  <si>
    <t xml:space="preserve">Openbuilds NEMA17 Threaded Rod Plate 3mm</t>
  </si>
  <si>
    <t xml:space="preserve">Openbuilds NEMA23 Threaded Rod Plate 3mm</t>
  </si>
  <si>
    <t xml:space="preserve">Openbuilds POM Coated Mini Wheel</t>
  </si>
  <si>
    <t xml:space="preserve">Openbuilds T8 Lead Screw Nut Block</t>
  </si>
  <si>
    <t xml:space="preserve">Openbuilds V-Slot Gantry Plate (2020 / 2040 / 3030 / 2060)</t>
  </si>
  <si>
    <t xml:space="preserve">Openbuilds Spindle Mount 52/65/71/80mm</t>
  </si>
  <si>
    <t xml:space="preserve">Openbuilds Low-Profile M5 Screw Set (with lock nuts)</t>
  </si>
  <si>
    <t xml:space="preserve">Openbuilds Plastic Idler Pulley</t>
  </si>
  <si>
    <t xml:space="preserve">Openbuilds Large Wheel Kit (Black / White)</t>
  </si>
  <si>
    <t xml:space="preserve">Openbuilds Idler Pulley Plate</t>
  </si>
  <si>
    <t xml:space="preserve">Openbuilds Zinc Steel T-Nut</t>
  </si>
  <si>
    <t xml:space="preserve">Openbuilds Aluminum Fixing Plate 5mm</t>
  </si>
  <si>
    <t xml:space="preserve">Openbuilds Profile End Cap Plate 20x20x3mm</t>
  </si>
  <si>
    <t xml:space="preserve">Openbuilds Profile Connector (2-way / 3-way / Triangle / Square)</t>
  </si>
  <si>
    <t xml:space="preserve">Openbuilds Aluminum Spacer Block / Mounting Plate</t>
  </si>
  <si>
    <t xml:space="preserve">Openbuilds CNC Fixed Plate</t>
  </si>
  <si>
    <t xml:space="preserve">T8 Lead Screw Z-Axis Holder (2020 V-Slot)</t>
  </si>
  <si>
    <t xml:space="preserve">V-Slot Eccentric Spacer, Hex, 5mm Bore</t>
  </si>
  <si>
    <t xml:space="preserve">Delta Carriage Arc Pulley</t>
  </si>
  <si>
    <t xml:space="preserve">Titan Aero Direct Extruder V-Slot Carriage Motor Bracket</t>
  </si>
  <si>
    <t xml:space="preserve">Sensors &amp; Cables</t>
  </si>
  <si>
    <t xml:space="preserve">3DTouch Auto Bed Leveling Sensor Kit</t>
  </si>
  <si>
    <t xml:space="preserve">NEMA23 Stepper Extension Cable (23HD56001Y-21B)</t>
  </si>
  <si>
    <t xml:space="preserve">K-Type Thermocouple Sensor</t>
  </si>
  <si>
    <t xml:space="preserve">VORON 2.4 Stealthburner Quick-Release Adapter Board</t>
  </si>
  <si>
    <t xml:space="preserve">3-Pin Power Cord (C13) 220V</t>
  </si>
  <si>
    <t xml:space="preserve">Other Small Parts</t>
  </si>
  <si>
    <t xml:space="preserve">410 Stainless Pan Flange Self-Drilling Screw M4.2 / M4.8</t>
  </si>
  <si>
    <t xml:space="preserve">K800 Round Magnet</t>
  </si>
  <si>
    <t xml:space="preserve">VORON 2.4 Enclosure Round Magnet</t>
  </si>
  <si>
    <t xml:space="preserve">Double Open-End Wrench, Hex 8mm</t>
  </si>
  <si>
    <t xml:space="preserve">Carbon Steel Low-Head Flat Socket Screw M5</t>
  </si>
  <si>
    <t xml:space="preserve">Brass / 304 Stainless Precision Flat Shim</t>
  </si>
  <si>
    <t xml:space="preserve">Nozzles / Heater Blocks / Heat Breaks</t>
  </si>
  <si>
    <t xml:space="preserve">3D Printer Nozzle (V6 / Volcano / MK8 / MK10 / CHT; Brass / Stainless / Hardened)</t>
  </si>
  <si>
    <t xml:space="preserve">Ender-3 Sprite Hotend Parts (Ti Heat Break / Block / Thermistor / Heater)</t>
  </si>
  <si>
    <t xml:space="preserve">Ender-3 V3 Integrated Ceramic Hotend Kit</t>
  </si>
  <si>
    <t xml:space="preserve">MK10 All-Metal Hotend Conversion Kit (Micro Swiss style)</t>
  </si>
  <si>
    <t xml:space="preserve">Makerbot MK8 Throat Mounting Block (Single / Dual)</t>
  </si>
  <si>
    <t xml:space="preserve">NTC 100K 3950 Thermistor Sensor</t>
  </si>
  <si>
    <t xml:space="preserve">Ultimaker 2 Hotend Stainless Holder</t>
  </si>
  <si>
    <t xml:space="preserve">V5/V6 Hotend Groove Mount Plate</t>
  </si>
  <si>
    <t xml:space="preserve">V6 Volcano Hotend Mounting Bracket</t>
  </si>
  <si>
    <t xml:space="preserve">VORON High-Flow Ceramic Hotend Kit E3D V6 24V</t>
  </si>
  <si>
    <t xml:space="preserve">i3 U-Shaped Aluminum Bracket</t>
  </si>
  <si>
    <t xml:space="preserve">Heater Block Silicone Sock (MK8 / MK9 / MK10 / V6)</t>
  </si>
  <si>
    <t xml:space="preserve">Heater Block Insulation Cotton 3mm</t>
  </si>
  <si>
    <t xml:space="preserve">Cartridge Heater (6x15 / 6x20, 12V / 24V)</t>
  </si>
  <si>
    <t xml:space="preserve">Rattlesnake X1 / Genius Hotend Kit</t>
  </si>
  <si>
    <t xml:space="preserve">Heat Break Throat (MK8 / V6 Direct &amp; Bowden / Mixing / MK10)</t>
  </si>
  <si>
    <t xml:space="preserve">Nozzle &amp; Filament Cleaning Tool Kit</t>
  </si>
  <si>
    <t xml:space="preserve">Nozzle Cleaning Needles, Stainless</t>
  </si>
  <si>
    <t xml:space="preserve">Nozzle Cleaning Needle Kit</t>
  </si>
  <si>
    <t xml:space="preserve">Bambu P1P / X1 Ceramic Heater &amp; Thermistor Cable</t>
  </si>
  <si>
    <t xml:space="preserve">Springs &amp; Leveling</t>
  </si>
  <si>
    <t xml:space="preserve">CR-10 Bed Leveling Kit M4 (nut / screw / spring)</t>
  </si>
  <si>
    <t xml:space="preserve">Ultimaker 2 Belt Slider Torsion Spring</t>
  </si>
  <si>
    <t xml:space="preserve">VORON PEI Double-Sided Spring Steel Sheet (with magnetic base)</t>
  </si>
  <si>
    <t xml:space="preserve">Stainless Conical Bed Leveling Spring 6x7x12</t>
  </si>
  <si>
    <t xml:space="preserve">Smooth PEI Spring Steel Sheet 257x257mm</t>
  </si>
  <si>
    <t xml:space="preserve">Timing Belt Tensioner Torsion Spring</t>
  </si>
  <si>
    <t xml:space="preserve">Bed Leveling Thumb Nut Knob M4</t>
  </si>
  <si>
    <t xml:space="preserve">Die Spring, Brown (OD 6-70mm)</t>
  </si>
  <si>
    <t xml:space="preserve">Die Spring, Light Green (OD 6-70mm)</t>
  </si>
  <si>
    <t xml:space="preserve">Die Spring, Red (OD 6-70mm)</t>
  </si>
  <si>
    <t xml:space="preserve">Die Spring, Green (OD 6-70mm)</t>
  </si>
  <si>
    <t xml:space="preserve">Die Spring, Blue (OD 6-70mm)</t>
  </si>
  <si>
    <t xml:space="preserve">Die Spring, Yellow (OD 6-70mm)</t>
  </si>
  <si>
    <t xml:space="preserve">Die Spring Assortment, Yellow</t>
  </si>
  <si>
    <t xml:space="preserve">Heated Bed Leveling Compression Spring (MK2A / MK2B / MK3)</t>
  </si>
  <si>
    <t xml:space="preserve">Bed Leveling Kit M3 (screw + spring + knob)</t>
  </si>
  <si>
    <t xml:space="preserve">Extruders &amp; Hotends</t>
  </si>
  <si>
    <t xml:space="preserve">2-in-1 Dual-Color Hotend, 2-in 1-out 1.75mm</t>
  </si>
  <si>
    <t xml:space="preserve">NEMA14 36mm Pancake Stepper, High-Temp (Voron extruder)</t>
  </si>
  <si>
    <t xml:space="preserve">NEMA17 All-Metal Bowden Extruder</t>
  </si>
  <si>
    <t xml:space="preserve">BMG Extruder Aluminum Bracket</t>
  </si>
  <si>
    <t xml:space="preserve">CR-10 Hotend</t>
  </si>
  <si>
    <t xml:space="preserve">CR-10S Pro Round Bowden Hotend Kit 24V</t>
  </si>
  <si>
    <t xml:space="preserve">CR-10S 2-in-1-out Hotend 1.75mm</t>
  </si>
  <si>
    <t xml:space="preserve">CR-6 SE Hotend Assembly 1.75mm</t>
  </si>
  <si>
    <t xml:space="preserve">CR8 Bowden Extruder Hotend E3D (12V / 24V)</t>
  </si>
  <si>
    <t xml:space="preserve">HGT Dual-Gear Reduction Extruder</t>
  </si>
  <si>
    <t xml:space="preserve">J-head E3D-V5 Metal Hotend (Direct / Bowden)</t>
  </si>
  <si>
    <t xml:space="preserve">MK10 Bowden / Direct Extruder Kit, Molded</t>
  </si>
  <si>
    <t xml:space="preserve">MK7 / MK8 Extruder Drive Gear</t>
  </si>
  <si>
    <t xml:space="preserve">MK8 All-Metal Extruder Hotend Kit (Prusa i3)</t>
  </si>
  <si>
    <t xml:space="preserve">MK8 All-Metal Bowden Extruder (Left / Right)</t>
  </si>
  <si>
    <t xml:space="preserve">MK8 Extruder Single-Nozzle Mount Block</t>
  </si>
  <si>
    <t xml:space="preserve">MK8 Bowden Extruder CR8 / CR10 1.75mm</t>
  </si>
  <si>
    <t xml:space="preserve">Makerbot MK8 Dual-Nozzle Throat Block</t>
  </si>
  <si>
    <t xml:space="preserve">Ultimaker 2 Stainless Knurled Drive Wheel</t>
  </si>
  <si>
    <t xml:space="preserve">V5/V6 Heater Block (CR-10 Hotend)</t>
  </si>
  <si>
    <t xml:space="preserve">V5 / V6 / CR8 Hotend Heatsink</t>
  </si>
  <si>
    <t xml:space="preserve">V6 Bowden Hotend Kit</t>
  </si>
  <si>
    <t xml:space="preserve">Wade Extruder Hobbed Bolt</t>
  </si>
  <si>
    <t xml:space="preserve">Bambu A1 / A1 mini Hardened Steel DLC Extruder Gear Kit</t>
  </si>
  <si>
    <t xml:space="preserve">Bambu X1 / P1P Hardened Steel Hotend V2.0</t>
  </si>
  <si>
    <t xml:space="preserve">Titan Aero Extruder Aluminum Idler Arm</t>
  </si>
  <si>
    <t xml:space="preserve">Dual-Gear Reduction Extruder for Flexible Filament</t>
  </si>
  <si>
    <t xml:space="preserve">Filament Drive Gear (Brass / Stainless)</t>
  </si>
  <si>
    <t xml:space="preserve">Fans &amp; Guards</t>
  </si>
  <si>
    <t xml:space="preserve">E3D V5/V6 Molded Fan Duct (3010)</t>
  </si>
  <si>
    <t xml:space="preserve">KB Countersunk Self-Tapping Screw M4 / M5</t>
  </si>
  <si>
    <t xml:space="preserve">MK7/MK8 Heatsink 40x40x11</t>
  </si>
  <si>
    <t xml:space="preserve">V5/V6 All-Metal Hotend Fan Bracket</t>
  </si>
  <si>
    <t xml:space="preserve">DC Cooling Fan 5V/12V/24V (2510-12038, Blower 4020/5015)</t>
  </si>
  <si>
    <t xml:space="preserve">Stepper Driver Heatsink (TMC2100 / LV8729)</t>
  </si>
  <si>
    <t xml:space="preserve">Fan Guard / Dust Filter (3-12cm)</t>
  </si>
  <si>
    <t xml:space="preserve">Fittings &amp; PTFE Tube</t>
  </si>
  <si>
    <t xml:space="preserve">KJH Male Thread Straight Push-in Fitting</t>
  </si>
  <si>
    <t xml:space="preserve">PC4 Pneumatic Push-in Fitting, Straight</t>
  </si>
  <si>
    <t xml:space="preserve">PTFE Tube F46, 1m</t>
  </si>
  <si>
    <t xml:space="preserve">UV Flatbed Printer 8-Line Ink Tube 3x2mm</t>
  </si>
  <si>
    <t xml:space="preserve">Push-in Fitting Collet Clip</t>
  </si>
  <si>
    <t xml:space="preserve">Bed Surfaces &amp; Tapes</t>
  </si>
  <si>
    <t xml:space="preserve">Low-Temp Double-Sided Matte PEI Plate (Bambu / Creality / Flashforge)</t>
  </si>
  <si>
    <t xml:space="preserve">Build Plate Adhesive Spray (washable)</t>
  </si>
  <si>
    <t xml:space="preserve">Heated Bed Silicone Leveling Column</t>
  </si>
  <si>
    <t xml:space="preserve">Blue High-Temp Masking Tape (roll)</t>
  </si>
  <si>
    <t xml:space="preserve">Blue High-Temp Masking Sheet</t>
  </si>
  <si>
    <t xml:space="preserve">Kapton Polyimide Tape (33m x 0.05mm, width 2-500mm)</t>
  </si>
  <si>
    <t xml:space="preserve">PTFE High-Temp Tape 0.13mm</t>
  </si>
  <si>
    <t xml:space="preserve">Brackets &amp; Structural</t>
  </si>
  <si>
    <t xml:space="preserve">2020 / 2040 Timing Belt Tensioner</t>
  </si>
  <si>
    <t xml:space="preserve">2020 Profile L / T Flat Joining Plate</t>
  </si>
  <si>
    <t xml:space="preserve">NEMA17 Motor Mount Plate (2020 profile)</t>
  </si>
  <si>
    <t xml:space="preserve">CR-10 Rear Sheet Metal Plate</t>
  </si>
  <si>
    <t xml:space="preserve">D-Cut Pulley Shaft 5mm</t>
  </si>
  <si>
    <t xml:space="preserve">LCD / SLA / DLP Z-Lift Mount</t>
  </si>
  <si>
    <t xml:space="preserve">MGN12 Rail Mount (2020 / 2040, BLV Ender-3)</t>
  </si>
  <si>
    <t xml:space="preserve">NEMA23 Gear Motor Bracket Plate 125x80x6mm</t>
  </si>
  <si>
    <t xml:space="preserve">T8 Lead Screw Z-Axis Handwheel, 8mm Bore</t>
  </si>
  <si>
    <t xml:space="preserve">Ultimaker 2 Original Molded Slider Block</t>
  </si>
  <si>
    <t xml:space="preserve">Ultimaker 2 Belt Aluminum Slider, 8mm Shaft</t>
  </si>
  <si>
    <t xml:space="preserve">Delta Effector Rod-End Connector</t>
  </si>
  <si>
    <t xml:space="preserve">Square 3-Way Shaft Clamp Block</t>
  </si>
  <si>
    <t xml:space="preserve">Aluminum 6-Sided Nut Cube Connector</t>
  </si>
  <si>
    <t xml:space="preserve">Aluminum Profile Joining Plate (L / T / Cross, 4-12 holes)</t>
  </si>
  <si>
    <t xml:space="preserve">Filament &amp; Tools</t>
  </si>
  <si>
    <t xml:space="preserve">PLA Filament 1.75mm 1kg</t>
  </si>
  <si>
    <t xml:space="preserve">Filament Cleaner 1.75 / 3mm</t>
  </si>
  <si>
    <t xml:space="preserve">Filament Connector 1.75mm</t>
  </si>
  <si>
    <t xml:space="preserve">Silicone Heaters</t>
  </si>
  <si>
    <t xml:space="preserve">Round</t>
  </si>
  <si>
    <t xml:space="preserve">Silicone Heater Pad, Round</t>
  </si>
  <si>
    <t xml:space="preserve">Square / Rectangular</t>
  </si>
  <si>
    <t xml:space="preserve">MK3 Aluminum Heated Bed Plate</t>
  </si>
  <si>
    <t xml:space="preserve">Silicone Heater Pad, Square / Rectangular</t>
  </si>
  <si>
    <t xml:space="preserve">Adhesive Silicone Heater Pad, Square / Rectangular</t>
  </si>
  <si>
    <t xml:space="preserve">Kits &amp; Boxes</t>
  </si>
  <si>
    <t xml:space="preserve">12.9 Grade Socket Screw Assortment Box</t>
  </si>
  <si>
    <t xml:space="preserve">304 Stainless DIN912 Socket Screw Assortment Box</t>
  </si>
  <si>
    <t xml:space="preserve">304 Stainless DIN934 Hex Nut Assortment Box</t>
  </si>
  <si>
    <t xml:space="preserve">Packaging</t>
  </si>
  <si>
    <t xml:space="preserve">PVC Stretch Wrap Film</t>
  </si>
  <si>
    <t xml:space="preserve">Tool Storage Tube (end mills / drills)</t>
  </si>
  <si>
    <t xml:space="preserve">Component Storage Box (removable dividers)</t>
  </si>
  <si>
    <t xml:space="preserve">Clear Zip-lock Bags</t>
  </si>
  <si>
    <t xml:space="preserve">All</t>
  </si>
  <si>
    <t xml:space="preserve">Packing Fee</t>
  </si>
  <si>
    <t xml:space="preserve">Deliveries</t>
  </si>
  <si>
    <t xml:space="preserve">Standard delivery</t>
  </si>
  <si>
    <t xml:space="preserve">1.5GT Open Timing Belt (per meter)  [1.5GT Belts]</t>
  </si>
  <si>
    <t xml:space="preserve">Open-ended belt is priced per meter. "1 m": bought by the meter, multiple meters may ship in separate pieces. "Full roll X m": the whole length ships as one uncut roll (same price per meter).</t>
  </si>
  <si>
    <t xml:space="preserve">▶ Quick quote</t>
  </si>
  <si>
    <t xml:space="preserve">SKU</t>
  </si>
  <si>
    <t xml:space="preserve">Unit Price (USD)</t>
  </si>
  <si>
    <t xml:space="preserve">Belt Width (mm)</t>
  </si>
  <si>
    <t xml:space="preserve">Material</t>
  </si>
  <si>
    <t xml:space="preserve">Pack</t>
  </si>
  <si>
    <t xml:space="preserve">Pick options in yellow cells</t>
  </si>
  <si>
    <t xml:space="preserve">10</t>
  </si>
  <si>
    <t xml:space="preserve">Rubber</t>
  </si>
  <si>
    <t xml:space="preserve">1m</t>
  </si>
  <si>
    <t xml:space="preserve">1.5GT-10-R-1M</t>
  </si>
  <si>
    <t xml:space="preserve">1.5GT-10-RF-1M</t>
  </si>
  <si>
    <t xml:space="preserve">Dust-proof rubber</t>
  </si>
  <si>
    <t xml:space="preserve">1.5GT-15-R-1M</t>
  </si>
  <si>
    <t xml:space="preserve">15</t>
  </si>
  <si>
    <t xml:space="preserve">1.5GT-6-R-1M</t>
  </si>
  <si>
    <t xml:space="preserve">6</t>
  </si>
  <si>
    <t xml:space="preserve">1.5GT-6-RF-1M</t>
  </si>
  <si>
    <t xml:space="preserve">1.5GT-9-R-1M</t>
  </si>
  <si>
    <t xml:space="preserve">9</t>
  </si>
  <si>
    <t xml:space="preserve">1.5GT-9-RF-1M</t>
  </si>
  <si>
    <t xml:space="preserve">2GT Open Timing Belt (per meter)  [2GT Belts]</t>
  </si>
  <si>
    <t xml:space="preserve">Color</t>
  </si>
  <si>
    <t xml:space="preserve">Style</t>
  </si>
  <si>
    <t xml:space="preserve">Black</t>
  </si>
  <si>
    <t xml:space="preserve">PU steel cord</t>
  </si>
  <si>
    <t xml:space="preserve">black cloth on teeth</t>
  </si>
  <si>
    <t xml:space="preserve">2GT-10-BPUB-1M</t>
  </si>
  <si>
    <t xml:space="preserve">2GT-10-BPUB-RL10</t>
  </si>
  <si>
    <t xml:space="preserve">full roll 10m</t>
  </si>
  <si>
    <t xml:space="preserve">2GT-10-BPUB-RL5</t>
  </si>
  <si>
    <t xml:space="preserve">full roll 5m</t>
  </si>
  <si>
    <t xml:space="preserve">2GT-10-BPUK-1M</t>
  </si>
  <si>
    <t xml:space="preserve">PU Kevlar</t>
  </si>
  <si>
    <t xml:space="preserve">Standard </t>
  </si>
  <si>
    <t xml:space="preserve">2GT-10-BPUT-1M</t>
  </si>
  <si>
    <t xml:space="preserve">Thick</t>
  </si>
  <si>
    <t xml:space="preserve">2GT-10-BPUT-RL10</t>
  </si>
  <si>
    <t xml:space="preserve">2GT-10-BPUT-RL100</t>
  </si>
  <si>
    <t xml:space="preserve">full roll 100m</t>
  </si>
  <si>
    <t xml:space="preserve">2GT-10-BPUT-RL20</t>
  </si>
  <si>
    <t xml:space="preserve">full roll 20m</t>
  </si>
  <si>
    <t xml:space="preserve">2GT-10-BPUT-RL5</t>
  </si>
  <si>
    <t xml:space="preserve">2GT-10-GLL-1M</t>
  </si>
  <si>
    <t xml:space="preserve">Gates LL</t>
  </si>
  <si>
    <t xml:space="preserve">2GT-10-RFS-1M</t>
  </si>
  <si>
    <t xml:space="preserve">2GT-10-RS-1M</t>
  </si>
  <si>
    <t xml:space="preserve">2GT-10-RS-RL4</t>
  </si>
  <si>
    <t xml:space="preserve">full roll 4m</t>
  </si>
  <si>
    <t xml:space="preserve">2GT-10-RT-1M</t>
  </si>
  <si>
    <t xml:space="preserve">2GT-10-WPUG-1M</t>
  </si>
  <si>
    <t xml:space="preserve">White</t>
  </si>
  <si>
    <t xml:space="preserve">green cloth on teeth</t>
  </si>
  <si>
    <t xml:space="preserve">2GT-10-WPUG-RL5</t>
  </si>
  <si>
    <t xml:space="preserve">2GT-10-WPUT-1M</t>
  </si>
  <si>
    <t xml:space="preserve">2GT-10-WPUT-RL1</t>
  </si>
  <si>
    <t xml:space="preserve">full roll 1m</t>
  </si>
  <si>
    <t xml:space="preserve">2GT-10-WPUT-RL10</t>
  </si>
  <si>
    <t xml:space="preserve">2GT-10-WPUT-RL20</t>
  </si>
  <si>
    <t xml:space="preserve">2GT-10-WPUT-RL5</t>
  </si>
  <si>
    <t xml:space="preserve">2GT-12-RFS-1M</t>
  </si>
  <si>
    <t xml:space="preserve">12</t>
  </si>
  <si>
    <t xml:space="preserve">2GT-15-BPUB-1M</t>
  </si>
  <si>
    <t xml:space="preserve">2GT-15-BPUK-1M</t>
  </si>
  <si>
    <t xml:space="preserve">2GT-15-BPUT-1M</t>
  </si>
  <si>
    <t xml:space="preserve">2GT-15-BPUT-RL1</t>
  </si>
  <si>
    <t xml:space="preserve">2GT-15-BPUT-RL10</t>
  </si>
  <si>
    <t xml:space="preserve">2GT-15-BPUT-RL100</t>
  </si>
  <si>
    <t xml:space="preserve">2GT-15-BPUT-RL20</t>
  </si>
  <si>
    <t xml:space="preserve">2GT-15-BPUT-RL5</t>
  </si>
  <si>
    <t xml:space="preserve">2GT-15-RFS-1M</t>
  </si>
  <si>
    <t xml:space="preserve">2GT-15-RS-1M</t>
  </si>
  <si>
    <t xml:space="preserve">2GT-15-RT-1M</t>
  </si>
  <si>
    <t xml:space="preserve">2GT-15-WPUG-1M</t>
  </si>
  <si>
    <t xml:space="preserve">2GT-15-WPUK-1M</t>
  </si>
  <si>
    <t xml:space="preserve">2GT-15-WPUK-RL100</t>
  </si>
  <si>
    <t xml:space="preserve">2GT-15-WPUK-RL2</t>
  </si>
  <si>
    <t xml:space="preserve">full roll 2m</t>
  </si>
  <si>
    <t xml:space="preserve">2GT-15-WPUK-RL5</t>
  </si>
  <si>
    <t xml:space="preserve">2GT-15-WPUT-1M</t>
  </si>
  <si>
    <t xml:space="preserve">2GT-15-WPUT-RL10</t>
  </si>
  <si>
    <t xml:space="preserve">2GT-15-WPUT-RL20</t>
  </si>
  <si>
    <t xml:space="preserve">2GT-15-WPUT-RL5</t>
  </si>
  <si>
    <t xml:space="preserve">2GT-30-BPU-RL10</t>
  </si>
  <si>
    <t xml:space="preserve">30</t>
  </si>
  <si>
    <t xml:space="preserve">2GT-30-BPUT-1M</t>
  </si>
  <si>
    <t xml:space="preserve">2GT-30-RT-1M</t>
  </si>
  <si>
    <t xml:space="preserve">2GT-30-WPUT-1M</t>
  </si>
  <si>
    <t xml:space="preserve">2GT-5-BPUT-1M</t>
  </si>
  <si>
    <t xml:space="preserve">5</t>
  </si>
  <si>
    <t xml:space="preserve">2GT-5-BPUT-RL100</t>
  </si>
  <si>
    <t xml:space="preserve">2GT-5-BPUT-RL5</t>
  </si>
  <si>
    <t xml:space="preserve">2GT-5-RFS-1M</t>
  </si>
  <si>
    <t xml:space="preserve">2GT-5-RT-1M</t>
  </si>
  <si>
    <t xml:space="preserve">2GT-5-WPUT-1M</t>
  </si>
  <si>
    <t xml:space="preserve">2GT-5-WPUT-RL10</t>
  </si>
  <si>
    <t xml:space="preserve">2GT-5-WPUT-RL100</t>
  </si>
  <si>
    <t xml:space="preserve">2GT-5-WPUT-RL5</t>
  </si>
  <si>
    <t xml:space="preserve">2GT-5-WPUT-RL50</t>
  </si>
  <si>
    <t xml:space="preserve">full roll 50m</t>
  </si>
  <si>
    <t xml:space="preserve">2GT-6-BPUB-1M</t>
  </si>
  <si>
    <t xml:space="preserve">2GT-6-BPUB-RL5</t>
  </si>
  <si>
    <t xml:space="preserve">2GT-6-BPUK-1M</t>
  </si>
  <si>
    <t xml:space="preserve">2GT-6-BPUS-1M</t>
  </si>
  <si>
    <t xml:space="preserve">2GT-6-BPUT-1M</t>
  </si>
  <si>
    <t xml:space="preserve">2GT-6-BPUT-RL10</t>
  </si>
  <si>
    <t xml:space="preserve">2GT-6-BPUT-RL5</t>
  </si>
  <si>
    <t xml:space="preserve">2GT-6-RFS-1M</t>
  </si>
  <si>
    <t xml:space="preserve">2GT-6-RS-1M</t>
  </si>
  <si>
    <t xml:space="preserve">2GT-6-RT-1M</t>
  </si>
  <si>
    <t xml:space="preserve">2GT-6-WPUG-1M</t>
  </si>
  <si>
    <t xml:space="preserve">2GT-6-WPUT-1M</t>
  </si>
  <si>
    <t xml:space="preserve">2GT-6-WPUT-RL10</t>
  </si>
  <si>
    <t xml:space="preserve">2GT-6-WPUT-RL5</t>
  </si>
  <si>
    <t xml:space="preserve">2GT-9-BPUT-1M</t>
  </si>
  <si>
    <t xml:space="preserve">2GT-9-BPUT-RL1</t>
  </si>
  <si>
    <t xml:space="preserve">2GT-9-BPUT-RL10</t>
  </si>
  <si>
    <t xml:space="preserve">2GT-9-BPUT-RL5</t>
  </si>
  <si>
    <t xml:space="preserve">2GT-9-GLL-1M</t>
  </si>
  <si>
    <t xml:space="preserve">2GT-9-GLL-RL5</t>
  </si>
  <si>
    <t xml:space="preserve">2GT-9-RFS-1M</t>
  </si>
  <si>
    <t xml:space="preserve">2GT-9-RS-1M</t>
  </si>
  <si>
    <t xml:space="preserve">2GT-9-RS-RL1</t>
  </si>
  <si>
    <t xml:space="preserve">2GT-9-RS-RL3</t>
  </si>
  <si>
    <t xml:space="preserve">full roll 3m</t>
  </si>
  <si>
    <t xml:space="preserve">2GT-9-RT-1M</t>
  </si>
  <si>
    <t xml:space="preserve">2GT-9-WPUT-1M</t>
  </si>
  <si>
    <t xml:space="preserve">2GT-9-WPUT-RL10</t>
  </si>
  <si>
    <t xml:space="preserve">2GT-9-WPUT-RL5</t>
  </si>
  <si>
    <t xml:space="preserve">2GT Closed-Loop Timing Belt, Length 162-384mm  [2GT Belts]</t>
  </si>
  <si>
    <t xml:space="preserve">Pitch Length (mm)</t>
  </si>
  <si>
    <t xml:space="preserve">Dust-proof</t>
  </si>
  <si>
    <t xml:space="preserve">162</t>
  </si>
  <si>
    <t xml:space="preserve">standard</t>
  </si>
  <si>
    <t xml:space="preserve">2GT-162-10</t>
  </si>
  <si>
    <t xml:space="preserve">2GT-162-15</t>
  </si>
  <si>
    <t xml:space="preserve">2GT-162-2</t>
  </si>
  <si>
    <t xml:space="preserve">2</t>
  </si>
  <si>
    <t xml:space="preserve">2GT-162-3</t>
  </si>
  <si>
    <t xml:space="preserve">3</t>
  </si>
  <si>
    <t xml:space="preserve">2GT-162-4</t>
  </si>
  <si>
    <t xml:space="preserve">4</t>
  </si>
  <si>
    <t xml:space="preserve">2GT-162-5</t>
  </si>
  <si>
    <t xml:space="preserve">2GT-162-6</t>
  </si>
  <si>
    <t xml:space="preserve">2GT-162-7</t>
  </si>
  <si>
    <t xml:space="preserve">7</t>
  </si>
  <si>
    <t xml:space="preserve">2GT-162-8</t>
  </si>
  <si>
    <t xml:space="preserve">8</t>
  </si>
  <si>
    <t xml:space="preserve">2GT-162-9</t>
  </si>
  <si>
    <t xml:space="preserve">2GT-164-10</t>
  </si>
  <si>
    <t xml:space="preserve">164</t>
  </si>
  <si>
    <t xml:space="preserve">2GT-164-15</t>
  </si>
  <si>
    <t xml:space="preserve">2GT-164-2</t>
  </si>
  <si>
    <t xml:space="preserve">2GT-164-3</t>
  </si>
  <si>
    <t xml:space="preserve">2GT-164-4</t>
  </si>
  <si>
    <t xml:space="preserve">2GT-164-5</t>
  </si>
  <si>
    <t xml:space="preserve">2GT-164-6</t>
  </si>
  <si>
    <t xml:space="preserve">2GT-164-7</t>
  </si>
  <si>
    <t xml:space="preserve">2GT-164-8</t>
  </si>
  <si>
    <t xml:space="preserve">2GT-164-9</t>
  </si>
  <si>
    <t xml:space="preserve">2GT-166-10</t>
  </si>
  <si>
    <t xml:space="preserve">166</t>
  </si>
  <si>
    <t xml:space="preserve">2GT-166-15</t>
  </si>
  <si>
    <t xml:space="preserve">2GT-166-2</t>
  </si>
  <si>
    <t xml:space="preserve">2GT-166-3</t>
  </si>
  <si>
    <t xml:space="preserve">2GT-166-4</t>
  </si>
  <si>
    <t xml:space="preserve">2GT-166-5</t>
  </si>
  <si>
    <t xml:space="preserve">2GT-166-6</t>
  </si>
  <si>
    <t xml:space="preserve">2GT-166-7</t>
  </si>
  <si>
    <t xml:space="preserve">2GT-166-8</t>
  </si>
  <si>
    <t xml:space="preserve">2GT-166-9</t>
  </si>
  <si>
    <t xml:space="preserve">2GT-168-10</t>
  </si>
  <si>
    <t xml:space="preserve">168</t>
  </si>
  <si>
    <t xml:space="preserve">2GT-168-15</t>
  </si>
  <si>
    <t xml:space="preserve">2GT-168-2</t>
  </si>
  <si>
    <t xml:space="preserve">2GT-168-3</t>
  </si>
  <si>
    <t xml:space="preserve">2GT-168-4</t>
  </si>
  <si>
    <t xml:space="preserve">2GT-168-5</t>
  </si>
  <si>
    <t xml:space="preserve">2GT-168-6</t>
  </si>
  <si>
    <t xml:space="preserve">2GT-168-7</t>
  </si>
  <si>
    <t xml:space="preserve">2GT-168-8</t>
  </si>
  <si>
    <t xml:space="preserve">2GT-168-9</t>
  </si>
  <si>
    <t xml:space="preserve">2GT-170-10</t>
  </si>
  <si>
    <t xml:space="preserve">170</t>
  </si>
  <si>
    <t xml:space="preserve">2GT-170-15</t>
  </si>
  <si>
    <t xml:space="preserve">2GT-170-2</t>
  </si>
  <si>
    <t xml:space="preserve">2GT-170-3</t>
  </si>
  <si>
    <t xml:space="preserve">2GT-170-4</t>
  </si>
  <si>
    <t xml:space="preserve">2GT-170-5</t>
  </si>
  <si>
    <t xml:space="preserve">2GT-170-6</t>
  </si>
  <si>
    <t xml:space="preserve">2GT-170-7</t>
  </si>
  <si>
    <t xml:space="preserve">2GT-170-8</t>
  </si>
  <si>
    <t xml:space="preserve">2GT-170-9</t>
  </si>
  <si>
    <t xml:space="preserve">2GT-172-10</t>
  </si>
  <si>
    <t xml:space="preserve">172</t>
  </si>
  <si>
    <t xml:space="preserve">2GT-172-15</t>
  </si>
  <si>
    <t xml:space="preserve">2GT-172-2</t>
  </si>
  <si>
    <t xml:space="preserve">2GT-172-3</t>
  </si>
  <si>
    <t xml:space="preserve">2GT-172-4</t>
  </si>
  <si>
    <t xml:space="preserve">2GT-172-5</t>
  </si>
  <si>
    <t xml:space="preserve">2GT-172-6</t>
  </si>
  <si>
    <t xml:space="preserve">2GT-172-7</t>
  </si>
  <si>
    <t xml:space="preserve">2GT-172-8</t>
  </si>
  <si>
    <t xml:space="preserve">2GT-172-9</t>
  </si>
  <si>
    <t xml:space="preserve">2GT-174-10</t>
  </si>
  <si>
    <t xml:space="preserve">174</t>
  </si>
  <si>
    <t xml:space="preserve">2GT-174-15</t>
  </si>
  <si>
    <t xml:space="preserve">2GT-174-2</t>
  </si>
  <si>
    <t xml:space="preserve">2GT-174-3</t>
  </si>
  <si>
    <t xml:space="preserve">2GT-174-4</t>
  </si>
  <si>
    <t xml:space="preserve">2GT-174-5</t>
  </si>
  <si>
    <t xml:space="preserve">2GT-174-6</t>
  </si>
  <si>
    <t xml:space="preserve">2GT-174-7</t>
  </si>
  <si>
    <t xml:space="preserve">2GT-174-8</t>
  </si>
  <si>
    <t xml:space="preserve">2GT-174-9</t>
  </si>
  <si>
    <t xml:space="preserve">2GT-176-10</t>
  </si>
  <si>
    <t xml:space="preserve">176</t>
  </si>
  <si>
    <t xml:space="preserve">2GT-176-15</t>
  </si>
  <si>
    <t xml:space="preserve">2GT-176-2</t>
  </si>
  <si>
    <t xml:space="preserve">2GT-176-3</t>
  </si>
  <si>
    <t xml:space="preserve">2GT-176-4</t>
  </si>
  <si>
    <t xml:space="preserve">2GT-176-5</t>
  </si>
  <si>
    <t xml:space="preserve">2GT-176-6</t>
  </si>
  <si>
    <t xml:space="preserve">2GT-176-7</t>
  </si>
  <si>
    <t xml:space="preserve">2GT-176-8</t>
  </si>
  <si>
    <t xml:space="preserve">2GT-176-9</t>
  </si>
  <si>
    <t xml:space="preserve">2GT-178-10</t>
  </si>
  <si>
    <t xml:space="preserve">178</t>
  </si>
  <si>
    <t xml:space="preserve">2GT-178-15</t>
  </si>
  <si>
    <t xml:space="preserve">2GT-178-2</t>
  </si>
  <si>
    <t xml:space="preserve">2GT-178-3</t>
  </si>
  <si>
    <t xml:space="preserve">2GT-178-4</t>
  </si>
  <si>
    <t xml:space="preserve">2GT-178-5</t>
  </si>
  <si>
    <t xml:space="preserve">2GT-178-6</t>
  </si>
  <si>
    <t xml:space="preserve">2GT-178-7</t>
  </si>
  <si>
    <t xml:space="preserve">2GT-178-8</t>
  </si>
  <si>
    <t xml:space="preserve">2GT-178-9</t>
  </si>
  <si>
    <t xml:space="preserve">2GT-180-10</t>
  </si>
  <si>
    <t xml:space="preserve">180</t>
  </si>
  <si>
    <t xml:space="preserve">2GT-180-15</t>
  </si>
  <si>
    <t xml:space="preserve">2GT-180-2</t>
  </si>
  <si>
    <t xml:space="preserve">2GT-180-3</t>
  </si>
  <si>
    <t xml:space="preserve">2GT-180-4</t>
  </si>
  <si>
    <t xml:space="preserve">2GT-180-5</t>
  </si>
  <si>
    <t xml:space="preserve">2GT-180-6</t>
  </si>
  <si>
    <t xml:space="preserve">2GT-180-7</t>
  </si>
  <si>
    <t xml:space="preserve">2GT-180-8</t>
  </si>
  <si>
    <t xml:space="preserve">2GT-180-9</t>
  </si>
  <si>
    <t xml:space="preserve">2GT-182-10</t>
  </si>
  <si>
    <t xml:space="preserve">182</t>
  </si>
  <si>
    <t xml:space="preserve">2GT-182-15</t>
  </si>
  <si>
    <t xml:space="preserve">2GT-182-2</t>
  </si>
  <si>
    <t xml:space="preserve">2GT-182-3</t>
  </si>
  <si>
    <t xml:space="preserve">2GT-182-4</t>
  </si>
  <si>
    <t xml:space="preserve">2GT-182-5</t>
  </si>
  <si>
    <t xml:space="preserve">2GT-182-6</t>
  </si>
  <si>
    <t xml:space="preserve">2GT-182-7</t>
  </si>
  <si>
    <t xml:space="preserve">2GT-182-8</t>
  </si>
  <si>
    <t xml:space="preserve">2GT-182-9</t>
  </si>
  <si>
    <t xml:space="preserve">2GT-184-10</t>
  </si>
  <si>
    <t xml:space="preserve">184</t>
  </si>
  <si>
    <t xml:space="preserve">2GT-184-15</t>
  </si>
  <si>
    <t xml:space="preserve">2GT-184-2</t>
  </si>
  <si>
    <t xml:space="preserve">2GT-184-3</t>
  </si>
  <si>
    <t xml:space="preserve">2GT-184-4</t>
  </si>
  <si>
    <t xml:space="preserve">2GT-184-5</t>
  </si>
  <si>
    <t xml:space="preserve">2GT-184-6</t>
  </si>
  <si>
    <t xml:space="preserve">2GT-184-7</t>
  </si>
  <si>
    <t xml:space="preserve">2GT-184-8</t>
  </si>
  <si>
    <t xml:space="preserve">2GT-184-9</t>
  </si>
  <si>
    <t xml:space="preserve">2GT-186-10</t>
  </si>
  <si>
    <t xml:space="preserve">186</t>
  </si>
  <si>
    <t xml:space="preserve">2GT-186-15</t>
  </si>
  <si>
    <t xml:space="preserve">2GT-186-2</t>
  </si>
  <si>
    <t xml:space="preserve">2GT-186-3</t>
  </si>
  <si>
    <t xml:space="preserve">2GT-186-4</t>
  </si>
  <si>
    <t xml:space="preserve">2GT-186-5</t>
  </si>
  <si>
    <t xml:space="preserve">2GT-186-6</t>
  </si>
  <si>
    <t xml:space="preserve">2GT-186-7</t>
  </si>
  <si>
    <t xml:space="preserve">2GT-186-8</t>
  </si>
  <si>
    <t xml:space="preserve">2GT-186-9</t>
  </si>
  <si>
    <t xml:space="preserve">2GT-188-10</t>
  </si>
  <si>
    <t xml:space="preserve">188</t>
  </si>
  <si>
    <t xml:space="preserve">2GT-188-15</t>
  </si>
  <si>
    <t xml:space="preserve">2GT-188-2</t>
  </si>
  <si>
    <t xml:space="preserve">2GT-188-3</t>
  </si>
  <si>
    <t xml:space="preserve">2GT-188-4</t>
  </si>
  <si>
    <t xml:space="preserve">2GT-188-5</t>
  </si>
  <si>
    <t xml:space="preserve">2GT-188-6</t>
  </si>
  <si>
    <t xml:space="preserve">2GT-188-7</t>
  </si>
  <si>
    <t xml:space="preserve">2GT-188-8</t>
  </si>
  <si>
    <t xml:space="preserve">2GT-188-9</t>
  </si>
  <si>
    <t xml:space="preserve">2GT-190-10</t>
  </si>
  <si>
    <t xml:space="preserve">190</t>
  </si>
  <si>
    <t xml:space="preserve">2GT-190-15</t>
  </si>
  <si>
    <t xml:space="preserve">2GT-190-2</t>
  </si>
  <si>
    <t xml:space="preserve">2GT-190-3</t>
  </si>
  <si>
    <t xml:space="preserve">2GT-190-4</t>
  </si>
  <si>
    <t xml:space="preserve">2GT-190-5</t>
  </si>
  <si>
    <t xml:space="preserve">2GT-190-6</t>
  </si>
  <si>
    <t xml:space="preserve">2GT-190-7</t>
  </si>
  <si>
    <t xml:space="preserve">2GT-190-8</t>
  </si>
  <si>
    <t xml:space="preserve">2GT-190-9</t>
  </si>
  <si>
    <t xml:space="preserve">2GT-192-10</t>
  </si>
  <si>
    <t xml:space="preserve">192</t>
  </si>
  <si>
    <t xml:space="preserve">2GT-192-15</t>
  </si>
  <si>
    <t xml:space="preserve">2GT-192-2</t>
  </si>
  <si>
    <t xml:space="preserve">2GT-192-3</t>
  </si>
  <si>
    <t xml:space="preserve">2GT-192-4</t>
  </si>
  <si>
    <t xml:space="preserve">2GT-192-5</t>
  </si>
  <si>
    <t xml:space="preserve">2GT-192-6</t>
  </si>
  <si>
    <t xml:space="preserve">2GT-192-7</t>
  </si>
  <si>
    <t xml:space="preserve">2GT-192-8</t>
  </si>
  <si>
    <t xml:space="preserve">2GT-192-9</t>
  </si>
  <si>
    <t xml:space="preserve">2GT-194-10</t>
  </si>
  <si>
    <t xml:space="preserve">194</t>
  </si>
  <si>
    <t xml:space="preserve">2GT-194-15</t>
  </si>
  <si>
    <t xml:space="preserve">2GT-194-2</t>
  </si>
  <si>
    <t xml:space="preserve">2GT-194-3</t>
  </si>
  <si>
    <t xml:space="preserve">2GT-194-4</t>
  </si>
  <si>
    <t xml:space="preserve">2GT-194-5</t>
  </si>
  <si>
    <t xml:space="preserve">2GT-194-6</t>
  </si>
  <si>
    <t xml:space="preserve">2GT-194-7</t>
  </si>
  <si>
    <t xml:space="preserve">2GT-194-8</t>
  </si>
  <si>
    <t xml:space="preserve">2GT-194-9</t>
  </si>
  <si>
    <t xml:space="preserve">2GT-196-10</t>
  </si>
  <si>
    <t xml:space="preserve">196</t>
  </si>
  <si>
    <t xml:space="preserve">2GT-196-15</t>
  </si>
  <si>
    <t xml:space="preserve">2GT-196-2</t>
  </si>
  <si>
    <t xml:space="preserve">2GT-196-3</t>
  </si>
  <si>
    <t xml:space="preserve">2GT-196-4</t>
  </si>
  <si>
    <t xml:space="preserve">2GT-196-5</t>
  </si>
  <si>
    <t xml:space="preserve">2GT-196-6</t>
  </si>
  <si>
    <t xml:space="preserve">2GT-196-7</t>
  </si>
  <si>
    <t xml:space="preserve">2GT-196-8</t>
  </si>
  <si>
    <t xml:space="preserve">2GT-196-9</t>
  </si>
  <si>
    <t xml:space="preserve">2GT-198-10</t>
  </si>
  <si>
    <t xml:space="preserve">198</t>
  </si>
  <si>
    <t xml:space="preserve">2GT-198-15</t>
  </si>
  <si>
    <t xml:space="preserve">2GT-198-2</t>
  </si>
  <si>
    <t xml:space="preserve">2GT-198-3</t>
  </si>
  <si>
    <t xml:space="preserve">2GT-198-4</t>
  </si>
  <si>
    <t xml:space="preserve">2GT-198-5</t>
  </si>
  <si>
    <t xml:space="preserve">2GT-198-6</t>
  </si>
  <si>
    <t xml:space="preserve">2GT-198-7</t>
  </si>
  <si>
    <t xml:space="preserve">2GT-198-8</t>
  </si>
  <si>
    <t xml:space="preserve">2GT-198-9</t>
  </si>
  <si>
    <t xml:space="preserve">2GT-200-10</t>
  </si>
  <si>
    <t xml:space="preserve">200</t>
  </si>
  <si>
    <t xml:space="preserve">2GT-200-15</t>
  </si>
  <si>
    <t xml:space="preserve">2GT-200-2</t>
  </si>
  <si>
    <t xml:space="preserve">2GT-200-3</t>
  </si>
  <si>
    <t xml:space="preserve">2GT-200-4</t>
  </si>
  <si>
    <t xml:space="preserve">2GT-200-5</t>
  </si>
  <si>
    <t xml:space="preserve">2GT-200-6</t>
  </si>
  <si>
    <t xml:space="preserve">2GT-200-7</t>
  </si>
  <si>
    <t xml:space="preserve">2GT-200-8</t>
  </si>
  <si>
    <t xml:space="preserve">2GT-200-9</t>
  </si>
  <si>
    <t xml:space="preserve">2GT-202-10</t>
  </si>
  <si>
    <t xml:space="preserve">202</t>
  </si>
  <si>
    <t xml:space="preserve">2GT-202-15</t>
  </si>
  <si>
    <t xml:space="preserve">2GT-202-2</t>
  </si>
  <si>
    <t xml:space="preserve">2GT-202-3</t>
  </si>
  <si>
    <t xml:space="preserve">2GT-202-4</t>
  </si>
  <si>
    <t xml:space="preserve">2GT-202-5</t>
  </si>
  <si>
    <t xml:space="preserve">2GT-202-6</t>
  </si>
  <si>
    <t xml:space="preserve">2GT-202-7</t>
  </si>
  <si>
    <t xml:space="preserve">2GT-202-8</t>
  </si>
  <si>
    <t xml:space="preserve">2GT-202-9</t>
  </si>
  <si>
    <t xml:space="preserve">2GT-204-10</t>
  </si>
  <si>
    <t xml:space="preserve">204</t>
  </si>
  <si>
    <t xml:space="preserve">2GT-204-15</t>
  </si>
  <si>
    <t xml:space="preserve">2GT-204-2</t>
  </si>
  <si>
    <t xml:space="preserve">2GT-204-3</t>
  </si>
  <si>
    <t xml:space="preserve">2GT-204-4</t>
  </si>
  <si>
    <t xml:space="preserve">2GT-204-5</t>
  </si>
  <si>
    <t xml:space="preserve">2GT-204-6</t>
  </si>
  <si>
    <t xml:space="preserve">2GT-204-7</t>
  </si>
  <si>
    <t xml:space="preserve">2GT-204-8</t>
  </si>
  <si>
    <t xml:space="preserve">2GT-204-9</t>
  </si>
  <si>
    <t xml:space="preserve">2GT-206-10</t>
  </si>
  <si>
    <t xml:space="preserve">206</t>
  </si>
  <si>
    <t xml:space="preserve">2GT-206-15</t>
  </si>
  <si>
    <t xml:space="preserve">2GT-206-2</t>
  </si>
  <si>
    <t xml:space="preserve">2GT-206-3</t>
  </si>
  <si>
    <t xml:space="preserve">2GT-206-4</t>
  </si>
  <si>
    <t xml:space="preserve">2GT-206-5</t>
  </si>
  <si>
    <t xml:space="preserve">2GT-206-6</t>
  </si>
  <si>
    <t xml:space="preserve">2GT-206-7</t>
  </si>
  <si>
    <t xml:space="preserve">2GT-206-8</t>
  </si>
  <si>
    <t xml:space="preserve">2GT-206-9</t>
  </si>
  <si>
    <t xml:space="preserve">2GT-208-10</t>
  </si>
  <si>
    <t xml:space="preserve">208</t>
  </si>
  <si>
    <t xml:space="preserve">2GT-208-15</t>
  </si>
  <si>
    <t xml:space="preserve">2GT-208-2</t>
  </si>
  <si>
    <t xml:space="preserve">2GT-208-3</t>
  </si>
  <si>
    <t xml:space="preserve">2GT-208-4</t>
  </si>
  <si>
    <t xml:space="preserve">2GT-208-5</t>
  </si>
  <si>
    <t xml:space="preserve">2GT-208-6</t>
  </si>
  <si>
    <t xml:space="preserve">2GT-208-7</t>
  </si>
  <si>
    <t xml:space="preserve">2GT-208-8</t>
  </si>
  <si>
    <t xml:space="preserve">2GT-208-9</t>
  </si>
  <si>
    <t xml:space="preserve">2GT-210-10</t>
  </si>
  <si>
    <t xml:space="preserve">210</t>
  </si>
  <si>
    <t xml:space="preserve">2GT-210-15</t>
  </si>
  <si>
    <t xml:space="preserve">2GT-210-2</t>
  </si>
  <si>
    <t xml:space="preserve">2GT-210-3</t>
  </si>
  <si>
    <t xml:space="preserve">2GT-210-4</t>
  </si>
  <si>
    <t xml:space="preserve">2GT-210-5</t>
  </si>
  <si>
    <t xml:space="preserve">2GT-210-6</t>
  </si>
  <si>
    <t xml:space="preserve">2GT-210-7</t>
  </si>
  <si>
    <t xml:space="preserve">2GT-210-8</t>
  </si>
  <si>
    <t xml:space="preserve">2GT-210-9</t>
  </si>
  <si>
    <t xml:space="preserve">2GT-212-10</t>
  </si>
  <si>
    <t xml:space="preserve">212</t>
  </si>
  <si>
    <t xml:space="preserve">2GT-212-15</t>
  </si>
  <si>
    <t xml:space="preserve">2GT-212-2</t>
  </si>
  <si>
    <t xml:space="preserve">2GT-212-3</t>
  </si>
  <si>
    <t xml:space="preserve">2GT-212-4</t>
  </si>
  <si>
    <t xml:space="preserve">2GT-212-5</t>
  </si>
  <si>
    <t xml:space="preserve">2GT-212-6</t>
  </si>
  <si>
    <t xml:space="preserve">2GT-212-7</t>
  </si>
  <si>
    <t xml:space="preserve">2GT-212-8</t>
  </si>
  <si>
    <t xml:space="preserve">2GT-212-9</t>
  </si>
  <si>
    <t xml:space="preserve">2GT-214-10</t>
  </si>
  <si>
    <t xml:space="preserve">214</t>
  </si>
  <si>
    <t xml:space="preserve">2GT-214-15</t>
  </si>
  <si>
    <t xml:space="preserve">2GT-214-2</t>
  </si>
  <si>
    <t xml:space="preserve">2GT-214-3</t>
  </si>
  <si>
    <t xml:space="preserve">2GT-214-4</t>
  </si>
  <si>
    <t xml:space="preserve">2GT-214-5</t>
  </si>
  <si>
    <t xml:space="preserve">2GT-214-6</t>
  </si>
  <si>
    <t xml:space="preserve">2GT-214-7</t>
  </si>
  <si>
    <t xml:space="preserve">2GT-214-8</t>
  </si>
  <si>
    <t xml:space="preserve">2GT-214-9</t>
  </si>
  <si>
    <t xml:space="preserve">2GT-216-10</t>
  </si>
  <si>
    <t xml:space="preserve">216</t>
  </si>
  <si>
    <t xml:space="preserve">2GT-216-15</t>
  </si>
  <si>
    <t xml:space="preserve">2GT-216-2</t>
  </si>
  <si>
    <t xml:space="preserve">2GT-216-3</t>
  </si>
  <si>
    <t xml:space="preserve">2GT-216-4</t>
  </si>
  <si>
    <t xml:space="preserve">2GT-216-5</t>
  </si>
  <si>
    <t xml:space="preserve">2GT-216-6</t>
  </si>
  <si>
    <t xml:space="preserve">2GT-216-7</t>
  </si>
  <si>
    <t xml:space="preserve">2GT-216-8</t>
  </si>
  <si>
    <t xml:space="preserve">2GT-216-9</t>
  </si>
  <si>
    <t xml:space="preserve">2GT-218-10</t>
  </si>
  <si>
    <t xml:space="preserve">218</t>
  </si>
  <si>
    <t xml:space="preserve">2GT-218-15</t>
  </si>
  <si>
    <t xml:space="preserve">2GT-218-2</t>
  </si>
  <si>
    <t xml:space="preserve">2GT-218-3</t>
  </si>
  <si>
    <t xml:space="preserve">2GT-218-4</t>
  </si>
  <si>
    <t xml:space="preserve">2GT-218-5</t>
  </si>
  <si>
    <t xml:space="preserve">2GT-218-6</t>
  </si>
  <si>
    <t xml:space="preserve">2GT-218-7</t>
  </si>
  <si>
    <t xml:space="preserve">2GT-218-8</t>
  </si>
  <si>
    <t xml:space="preserve">2GT-218-9</t>
  </si>
  <si>
    <t xml:space="preserve">2GT-220-10</t>
  </si>
  <si>
    <t xml:space="preserve">220</t>
  </si>
  <si>
    <t xml:space="preserve">2GT-220-15</t>
  </si>
  <si>
    <t xml:space="preserve">2GT-220-2</t>
  </si>
  <si>
    <t xml:space="preserve">2GT-220-3</t>
  </si>
  <si>
    <t xml:space="preserve">2GT-220-4</t>
  </si>
  <si>
    <t xml:space="preserve">2GT-220-5</t>
  </si>
  <si>
    <t xml:space="preserve">2GT-220-6</t>
  </si>
  <si>
    <t xml:space="preserve">2GT-220-7</t>
  </si>
  <si>
    <t xml:space="preserve">2GT-220-8</t>
  </si>
  <si>
    <t xml:space="preserve">2GT-220-9</t>
  </si>
  <si>
    <t xml:space="preserve">2GT-222-10</t>
  </si>
  <si>
    <t xml:space="preserve">222</t>
  </si>
  <si>
    <t xml:space="preserve">2GT-222-15</t>
  </si>
  <si>
    <t xml:space="preserve">2GT-222-2</t>
  </si>
  <si>
    <t xml:space="preserve">2GT-222-3</t>
  </si>
  <si>
    <t xml:space="preserve">2GT-222-4</t>
  </si>
  <si>
    <t xml:space="preserve">2GT-222-5</t>
  </si>
  <si>
    <t xml:space="preserve">2GT-222-6</t>
  </si>
  <si>
    <t xml:space="preserve">2GT-222-7</t>
  </si>
  <si>
    <t xml:space="preserve">2GT-222-8</t>
  </si>
  <si>
    <t xml:space="preserve">2GT-222-9</t>
  </si>
  <si>
    <t xml:space="preserve">2GT-224-10</t>
  </si>
  <si>
    <t xml:space="preserve">224</t>
  </si>
  <si>
    <t xml:space="preserve">2GT-224-15</t>
  </si>
  <si>
    <t xml:space="preserve">2GT-224-2</t>
  </si>
  <si>
    <t xml:space="preserve">2GT-224-3</t>
  </si>
  <si>
    <t xml:space="preserve">2GT-224-4</t>
  </si>
  <si>
    <t xml:space="preserve">2GT-224-5</t>
  </si>
  <si>
    <t xml:space="preserve">2GT-224-6</t>
  </si>
  <si>
    <t xml:space="preserve">2GT-224-7</t>
  </si>
  <si>
    <t xml:space="preserve">2GT-224-8</t>
  </si>
  <si>
    <t xml:space="preserve">2GT-224-9</t>
  </si>
  <si>
    <t xml:space="preserve">2GT-226-10</t>
  </si>
  <si>
    <t xml:space="preserve">226</t>
  </si>
  <si>
    <t xml:space="preserve">2GT-226-15</t>
  </si>
  <si>
    <t xml:space="preserve">2GT-226-2</t>
  </si>
  <si>
    <t xml:space="preserve">2GT-226-3</t>
  </si>
  <si>
    <t xml:space="preserve">2GT-226-4</t>
  </si>
  <si>
    <t xml:space="preserve">2GT-226-5</t>
  </si>
  <si>
    <t xml:space="preserve">2GT-226-6</t>
  </si>
  <si>
    <t xml:space="preserve">2GT-226-7</t>
  </si>
  <si>
    <t xml:space="preserve">2GT-226-8</t>
  </si>
  <si>
    <t xml:space="preserve">2GT-226-9</t>
  </si>
  <si>
    <t xml:space="preserve">2GT-228-10</t>
  </si>
  <si>
    <t xml:space="preserve">228</t>
  </si>
  <si>
    <t xml:space="preserve">2GT-228-15</t>
  </si>
  <si>
    <t xml:space="preserve">2GT-228-2</t>
  </si>
  <si>
    <t xml:space="preserve">2GT-228-3</t>
  </si>
  <si>
    <t xml:space="preserve">2GT-228-4</t>
  </si>
  <si>
    <t xml:space="preserve">2GT-228-5</t>
  </si>
  <si>
    <t xml:space="preserve">2GT-228-6</t>
  </si>
  <si>
    <t xml:space="preserve">2GT-228-7</t>
  </si>
  <si>
    <t xml:space="preserve">2GT-228-8</t>
  </si>
  <si>
    <t xml:space="preserve">2GT-228-9</t>
  </si>
  <si>
    <t xml:space="preserve">2GT-230-10</t>
  </si>
  <si>
    <t xml:space="preserve">230</t>
  </si>
  <si>
    <t xml:space="preserve">2GT-230-15</t>
  </si>
  <si>
    <t xml:space="preserve">2GT-230-2</t>
  </si>
  <si>
    <t xml:space="preserve">2GT-230-3</t>
  </si>
  <si>
    <t xml:space="preserve">2GT-230-4</t>
  </si>
  <si>
    <t xml:space="preserve">2GT-230-5</t>
  </si>
  <si>
    <t xml:space="preserve">2GT-230-6</t>
  </si>
  <si>
    <t xml:space="preserve">2GT-230-7</t>
  </si>
  <si>
    <t xml:space="preserve">2GT-230-8</t>
  </si>
  <si>
    <t xml:space="preserve">2GT-230-9</t>
  </si>
  <si>
    <t xml:space="preserve">2GT-232-10</t>
  </si>
  <si>
    <t xml:space="preserve">232</t>
  </si>
  <si>
    <t xml:space="preserve">2GT-232-15</t>
  </si>
  <si>
    <t xml:space="preserve">2GT-232-2</t>
  </si>
  <si>
    <t xml:space="preserve">2GT-232-3</t>
  </si>
  <si>
    <t xml:space="preserve">2GT-232-4</t>
  </si>
  <si>
    <t xml:space="preserve">2GT-232-5</t>
  </si>
  <si>
    <t xml:space="preserve">2GT-232-6</t>
  </si>
  <si>
    <t xml:space="preserve">2GT-232-7</t>
  </si>
  <si>
    <t xml:space="preserve">2GT-232-8</t>
  </si>
  <si>
    <t xml:space="preserve">2GT-232-9</t>
  </si>
  <si>
    <t xml:space="preserve">2GT-234-10</t>
  </si>
  <si>
    <t xml:space="preserve">234</t>
  </si>
  <si>
    <t xml:space="preserve">2GT-234-15</t>
  </si>
  <si>
    <t xml:space="preserve">2GT-234-2</t>
  </si>
  <si>
    <t xml:space="preserve">2GT-234-3</t>
  </si>
  <si>
    <t xml:space="preserve">2GT-234-4</t>
  </si>
  <si>
    <t xml:space="preserve">2GT-234-5</t>
  </si>
  <si>
    <t xml:space="preserve">2GT-234-6</t>
  </si>
  <si>
    <t xml:space="preserve">2GT-234-7</t>
  </si>
  <si>
    <t xml:space="preserve">2GT-234-8</t>
  </si>
  <si>
    <t xml:space="preserve">2GT-234-9</t>
  </si>
  <si>
    <t xml:space="preserve">2GT-236-10</t>
  </si>
  <si>
    <t xml:space="preserve">236</t>
  </si>
  <si>
    <t xml:space="preserve">2GT-236-15</t>
  </si>
  <si>
    <t xml:space="preserve">2GT-236-2</t>
  </si>
  <si>
    <t xml:space="preserve">2GT-236-3</t>
  </si>
  <si>
    <t xml:space="preserve">2GT-236-4</t>
  </si>
  <si>
    <t xml:space="preserve">2GT-236-5</t>
  </si>
  <si>
    <t xml:space="preserve">2GT-236-6</t>
  </si>
  <si>
    <t xml:space="preserve">2GT-236-7</t>
  </si>
  <si>
    <t xml:space="preserve">2GT-236-8</t>
  </si>
  <si>
    <t xml:space="preserve">2GT-236-9</t>
  </si>
  <si>
    <t xml:space="preserve">2GT-238-10</t>
  </si>
  <si>
    <t xml:space="preserve">238</t>
  </si>
  <si>
    <t xml:space="preserve">2GT-238-15</t>
  </si>
  <si>
    <t xml:space="preserve">2GT-238-2</t>
  </si>
  <si>
    <t xml:space="preserve">2GT-238-3</t>
  </si>
  <si>
    <t xml:space="preserve">2GT-238-4</t>
  </si>
  <si>
    <t xml:space="preserve">2GT-238-5</t>
  </si>
  <si>
    <t xml:space="preserve">2GT-238-6</t>
  </si>
  <si>
    <t xml:space="preserve">2GT-238-7</t>
  </si>
  <si>
    <t xml:space="preserve">2GT-238-8</t>
  </si>
  <si>
    <t xml:space="preserve">2GT-238-9</t>
  </si>
  <si>
    <t xml:space="preserve">2GT-240-10</t>
  </si>
  <si>
    <t xml:space="preserve">240</t>
  </si>
  <si>
    <t xml:space="preserve">2GT-240-15</t>
  </si>
  <si>
    <t xml:space="preserve">2GT-240-2</t>
  </si>
  <si>
    <t xml:space="preserve">2GT-240-3</t>
  </si>
  <si>
    <t xml:space="preserve">2GT-240-4</t>
  </si>
  <si>
    <t xml:space="preserve">2GT-240-5</t>
  </si>
  <si>
    <t xml:space="preserve">2GT-240-6</t>
  </si>
  <si>
    <t xml:space="preserve">2GT-240-7</t>
  </si>
  <si>
    <t xml:space="preserve">2GT-240-8</t>
  </si>
  <si>
    <t xml:space="preserve">2GT-240-9</t>
  </si>
  <si>
    <t xml:space="preserve">2GT-242-10</t>
  </si>
  <si>
    <t xml:space="preserve">242</t>
  </si>
  <si>
    <t xml:space="preserve">2GT-242-15</t>
  </si>
  <si>
    <t xml:space="preserve">2GT-242-2</t>
  </si>
  <si>
    <t xml:space="preserve">2GT-242-3</t>
  </si>
  <si>
    <t xml:space="preserve">2GT-242-4</t>
  </si>
  <si>
    <t xml:space="preserve">2GT-242-5</t>
  </si>
  <si>
    <t xml:space="preserve">2GT-242-6</t>
  </si>
  <si>
    <t xml:space="preserve">2GT-242-7</t>
  </si>
  <si>
    <t xml:space="preserve">2GT-242-8</t>
  </si>
  <si>
    <t xml:space="preserve">2GT-242-9</t>
  </si>
  <si>
    <t xml:space="preserve">2GT-244-10</t>
  </si>
  <si>
    <t xml:space="preserve">244</t>
  </si>
  <si>
    <t xml:space="preserve">2GT-244-15</t>
  </si>
  <si>
    <t xml:space="preserve">2GT-244-2</t>
  </si>
  <si>
    <t xml:space="preserve">2GT-244-3</t>
  </si>
  <si>
    <t xml:space="preserve">2GT-244-4</t>
  </si>
  <si>
    <t xml:space="preserve">2GT-244-5</t>
  </si>
  <si>
    <t xml:space="preserve">2GT-244-6</t>
  </si>
  <si>
    <t xml:space="preserve">2GT-244-7</t>
  </si>
  <si>
    <t xml:space="preserve">2GT-244-8</t>
  </si>
  <si>
    <t xml:space="preserve">2GT-244-9</t>
  </si>
  <si>
    <t xml:space="preserve">2GT-246-10</t>
  </si>
  <si>
    <t xml:space="preserve">246</t>
  </si>
  <si>
    <t xml:space="preserve">2GT-246-15</t>
  </si>
  <si>
    <t xml:space="preserve">2GT-246-2</t>
  </si>
  <si>
    <t xml:space="preserve">2GT-246-3</t>
  </si>
  <si>
    <t xml:space="preserve">2GT-246-4</t>
  </si>
  <si>
    <t xml:space="preserve">2GT-246-5</t>
  </si>
  <si>
    <t xml:space="preserve">2GT-246-6</t>
  </si>
  <si>
    <t xml:space="preserve">2GT-246-7</t>
  </si>
  <si>
    <t xml:space="preserve">2GT-246-8</t>
  </si>
  <si>
    <t xml:space="preserve">2GT-246-9</t>
  </si>
  <si>
    <t xml:space="preserve">2GT-248-10</t>
  </si>
  <si>
    <t xml:space="preserve">248</t>
  </si>
  <si>
    <t xml:space="preserve">2GT-248-15</t>
  </si>
  <si>
    <t xml:space="preserve">2GT-248-2</t>
  </si>
  <si>
    <t xml:space="preserve">2GT-248-3</t>
  </si>
  <si>
    <t xml:space="preserve">2GT-248-4</t>
  </si>
  <si>
    <t xml:space="preserve">2GT-248-5</t>
  </si>
  <si>
    <t xml:space="preserve">2GT-248-6</t>
  </si>
  <si>
    <t xml:space="preserve">2GT-248-7</t>
  </si>
  <si>
    <t xml:space="preserve">2GT-248-8</t>
  </si>
  <si>
    <t xml:space="preserve">2GT-248-9</t>
  </si>
  <si>
    <t xml:space="preserve">2GT-250-10</t>
  </si>
  <si>
    <t xml:space="preserve">250</t>
  </si>
  <si>
    <t xml:space="preserve">2GT-250-15</t>
  </si>
  <si>
    <t xml:space="preserve">2GT-250-2</t>
  </si>
  <si>
    <t xml:space="preserve">2GT-250-3</t>
  </si>
  <si>
    <t xml:space="preserve">2GT-250-4</t>
  </si>
  <si>
    <t xml:space="preserve">2GT-250-5</t>
  </si>
  <si>
    <t xml:space="preserve">2GT-250-6</t>
  </si>
  <si>
    <t xml:space="preserve">2GT-250-7</t>
  </si>
  <si>
    <t xml:space="preserve">2GT-250-8</t>
  </si>
  <si>
    <t xml:space="preserve">2GT-250-9</t>
  </si>
  <si>
    <t xml:space="preserve">2GT-252-10</t>
  </si>
  <si>
    <t xml:space="preserve">252</t>
  </si>
  <si>
    <t xml:space="preserve">2GT-252-15</t>
  </si>
  <si>
    <t xml:space="preserve">2GT-252-2</t>
  </si>
  <si>
    <t xml:space="preserve">2GT-252-3</t>
  </si>
  <si>
    <t xml:space="preserve">2GT-252-4</t>
  </si>
  <si>
    <t xml:space="preserve">2GT-252-5</t>
  </si>
  <si>
    <t xml:space="preserve">2GT-252-6</t>
  </si>
  <si>
    <t xml:space="preserve">2GT-252-7</t>
  </si>
  <si>
    <t xml:space="preserve">2GT-252-8</t>
  </si>
  <si>
    <t xml:space="preserve">2GT-252-9</t>
  </si>
  <si>
    <t xml:space="preserve">2GT-254-10</t>
  </si>
  <si>
    <t xml:space="preserve">254</t>
  </si>
  <si>
    <t xml:space="preserve">2GT-254-15</t>
  </si>
  <si>
    <t xml:space="preserve">2GT-254-2</t>
  </si>
  <si>
    <t xml:space="preserve">2GT-254-3</t>
  </si>
  <si>
    <t xml:space="preserve">2GT-254-4</t>
  </si>
  <si>
    <t xml:space="preserve">2GT-254-5</t>
  </si>
  <si>
    <t xml:space="preserve">2GT-254-6</t>
  </si>
  <si>
    <t xml:space="preserve">2GT-254-7</t>
  </si>
  <si>
    <t xml:space="preserve">2GT-254-8</t>
  </si>
  <si>
    <t xml:space="preserve">2GT-254-9</t>
  </si>
  <si>
    <t xml:space="preserve">2GT-256-10</t>
  </si>
  <si>
    <t xml:space="preserve">256</t>
  </si>
  <si>
    <t xml:space="preserve">2GT-256-15</t>
  </si>
  <si>
    <t xml:space="preserve">2GT-256-2</t>
  </si>
  <si>
    <t xml:space="preserve">2GT-256-3</t>
  </si>
  <si>
    <t xml:space="preserve">2GT-256-4</t>
  </si>
  <si>
    <t xml:space="preserve">2GT-256-5</t>
  </si>
  <si>
    <t xml:space="preserve">2GT-256-6</t>
  </si>
  <si>
    <t xml:space="preserve">2GT-256-7</t>
  </si>
  <si>
    <t xml:space="preserve">2GT-256-8</t>
  </si>
  <si>
    <t xml:space="preserve">2GT-256-9</t>
  </si>
  <si>
    <t xml:space="preserve">2GT-258-10</t>
  </si>
  <si>
    <t xml:space="preserve">258</t>
  </si>
  <si>
    <t xml:space="preserve">2GT-258-15</t>
  </si>
  <si>
    <t xml:space="preserve">2GT-258-2</t>
  </si>
  <si>
    <t xml:space="preserve">2GT-258-3</t>
  </si>
  <si>
    <t xml:space="preserve">2GT-258-4</t>
  </si>
  <si>
    <t xml:space="preserve">2GT-258-5</t>
  </si>
  <si>
    <t xml:space="preserve">2GT-258-6</t>
  </si>
  <si>
    <t xml:space="preserve">2GT-258-7</t>
  </si>
  <si>
    <t xml:space="preserve">2GT-258-8</t>
  </si>
  <si>
    <t xml:space="preserve">2GT-258-9</t>
  </si>
  <si>
    <t xml:space="preserve">2GT-260-10</t>
  </si>
  <si>
    <t xml:space="preserve">260</t>
  </si>
  <si>
    <t xml:space="preserve">2GT-260-15</t>
  </si>
  <si>
    <t xml:space="preserve">2GT-260-2</t>
  </si>
  <si>
    <t xml:space="preserve">2GT-260-3</t>
  </si>
  <si>
    <t xml:space="preserve">2GT-260-4</t>
  </si>
  <si>
    <t xml:space="preserve">2GT-260-5</t>
  </si>
  <si>
    <t xml:space="preserve">2GT-260-6</t>
  </si>
  <si>
    <t xml:space="preserve">2GT-260-7</t>
  </si>
  <si>
    <t xml:space="preserve">2GT-260-8</t>
  </si>
  <si>
    <t xml:space="preserve">2GT-260-9</t>
  </si>
  <si>
    <t xml:space="preserve">2GT-262-10</t>
  </si>
  <si>
    <t xml:space="preserve">262</t>
  </si>
  <si>
    <t xml:space="preserve">2GT-262-15</t>
  </si>
  <si>
    <t xml:space="preserve">2GT-262-2</t>
  </si>
  <si>
    <t xml:space="preserve">2GT-262-3</t>
  </si>
  <si>
    <t xml:space="preserve">2GT-262-4</t>
  </si>
  <si>
    <t xml:space="preserve">2GT-262-5</t>
  </si>
  <si>
    <t xml:space="preserve">2GT-262-6</t>
  </si>
  <si>
    <t xml:space="preserve">2GT-262-7</t>
  </si>
  <si>
    <t xml:space="preserve">2GT-262-8</t>
  </si>
  <si>
    <t xml:space="preserve">2GT-262-9</t>
  </si>
  <si>
    <t xml:space="preserve">2GT-264-10</t>
  </si>
  <si>
    <t xml:space="preserve">264</t>
  </si>
  <si>
    <t xml:space="preserve">2GT-264-15</t>
  </si>
  <si>
    <t xml:space="preserve">2GT-264-2</t>
  </si>
  <si>
    <t xml:space="preserve">2GT-264-3</t>
  </si>
  <si>
    <t xml:space="preserve">2GT-264-4</t>
  </si>
  <si>
    <t xml:space="preserve">2GT-264-5</t>
  </si>
  <si>
    <t xml:space="preserve">2GT-264-6</t>
  </si>
  <si>
    <t xml:space="preserve">2GT-264-7</t>
  </si>
  <si>
    <t xml:space="preserve">2GT-264-8</t>
  </si>
  <si>
    <t xml:space="preserve">2GT-264-9</t>
  </si>
  <si>
    <t xml:space="preserve">2GT-266-10</t>
  </si>
  <si>
    <t xml:space="preserve">266</t>
  </si>
  <si>
    <t xml:space="preserve">2GT-266-15</t>
  </si>
  <si>
    <t xml:space="preserve">2GT-266-2</t>
  </si>
  <si>
    <t xml:space="preserve">2GT-266-3</t>
  </si>
  <si>
    <t xml:space="preserve">2GT-266-4</t>
  </si>
  <si>
    <t xml:space="preserve">2GT-266-5</t>
  </si>
  <si>
    <t xml:space="preserve">2GT-266-6</t>
  </si>
  <si>
    <t xml:space="preserve">2GT-266-7</t>
  </si>
  <si>
    <t xml:space="preserve">2GT-266-8</t>
  </si>
  <si>
    <t xml:space="preserve">2GT-266-9</t>
  </si>
  <si>
    <t xml:space="preserve">2GT-268-10</t>
  </si>
  <si>
    <t xml:space="preserve">268</t>
  </si>
  <si>
    <t xml:space="preserve">2GT-268-15</t>
  </si>
  <si>
    <t xml:space="preserve">2GT-268-2</t>
  </si>
  <si>
    <t xml:space="preserve">2GT-268-3</t>
  </si>
  <si>
    <t xml:space="preserve">2GT-268-4</t>
  </si>
  <si>
    <t xml:space="preserve">2GT-268-5</t>
  </si>
  <si>
    <t xml:space="preserve">2GT-268-6</t>
  </si>
  <si>
    <t xml:space="preserve">2GT-268-7</t>
  </si>
  <si>
    <t xml:space="preserve">2GT-268-8</t>
  </si>
  <si>
    <t xml:space="preserve">2GT-268-9</t>
  </si>
  <si>
    <t xml:space="preserve">2GT-270-10</t>
  </si>
  <si>
    <t xml:space="preserve">270</t>
  </si>
  <si>
    <t xml:space="preserve">2GT-270-15</t>
  </si>
  <si>
    <t xml:space="preserve">2GT-270-2</t>
  </si>
  <si>
    <t xml:space="preserve">2GT-270-3</t>
  </si>
  <si>
    <t xml:space="preserve">2GT-270-4</t>
  </si>
  <si>
    <t xml:space="preserve">2GT-270-5</t>
  </si>
  <si>
    <t xml:space="preserve">2GT-270-6</t>
  </si>
  <si>
    <t xml:space="preserve">2GT-270-7</t>
  </si>
  <si>
    <t xml:space="preserve">2GT-270-8</t>
  </si>
  <si>
    <t xml:space="preserve">2GT-270-9</t>
  </si>
  <si>
    <t xml:space="preserve">2GT-272-10</t>
  </si>
  <si>
    <t xml:space="preserve">272</t>
  </si>
  <si>
    <t xml:space="preserve">2GT-272-15</t>
  </si>
  <si>
    <t xml:space="preserve">2GT-272-2</t>
  </si>
  <si>
    <t xml:space="preserve">2GT-272-3</t>
  </si>
  <si>
    <t xml:space="preserve">2GT-272-4</t>
  </si>
  <si>
    <t xml:space="preserve">2GT-272-5</t>
  </si>
  <si>
    <t xml:space="preserve">2GT-272-6</t>
  </si>
  <si>
    <t xml:space="preserve">2GT-272-7</t>
  </si>
  <si>
    <t xml:space="preserve">2GT-272-8</t>
  </si>
  <si>
    <t xml:space="preserve">2GT-272-9</t>
  </si>
  <si>
    <t xml:space="preserve">2GT-274-10</t>
  </si>
  <si>
    <t xml:space="preserve">274</t>
  </si>
  <si>
    <t xml:space="preserve">2GT-274-15</t>
  </si>
  <si>
    <t xml:space="preserve">2GT-274-6</t>
  </si>
  <si>
    <t xml:space="preserve">2GT-274-9</t>
  </si>
  <si>
    <t xml:space="preserve">2GT-276-10</t>
  </si>
  <si>
    <t xml:space="preserve">276</t>
  </si>
  <si>
    <t xml:space="preserve">2GT-276-15</t>
  </si>
  <si>
    <t xml:space="preserve">2GT-276-6</t>
  </si>
  <si>
    <t xml:space="preserve">2GT-276-9</t>
  </si>
  <si>
    <t xml:space="preserve">2GT-278-10</t>
  </si>
  <si>
    <t xml:space="preserve">278</t>
  </si>
  <si>
    <t xml:space="preserve">2GT-278-15</t>
  </si>
  <si>
    <t xml:space="preserve">2GT-278-6</t>
  </si>
  <si>
    <t xml:space="preserve">2GT-278-9</t>
  </si>
  <si>
    <t xml:space="preserve">2GT-280-10</t>
  </si>
  <si>
    <t xml:space="preserve">280</t>
  </si>
  <si>
    <t xml:space="preserve">2GT-280-15</t>
  </si>
  <si>
    <t xml:space="preserve">2GT-280-6</t>
  </si>
  <si>
    <t xml:space="preserve">2GT-280-9</t>
  </si>
  <si>
    <t xml:space="preserve">2GT-282-10</t>
  </si>
  <si>
    <t xml:space="preserve">282</t>
  </si>
  <si>
    <t xml:space="preserve">2GT-282-15</t>
  </si>
  <si>
    <t xml:space="preserve">2GT-282-6</t>
  </si>
  <si>
    <t xml:space="preserve">2GT-282-9</t>
  </si>
  <si>
    <t xml:space="preserve">2GT-284-10</t>
  </si>
  <si>
    <t xml:space="preserve">284</t>
  </si>
  <si>
    <t xml:space="preserve">2GT-284-15</t>
  </si>
  <si>
    <t xml:space="preserve">2GT-284-6</t>
  </si>
  <si>
    <t xml:space="preserve">2GT-284-9</t>
  </si>
  <si>
    <t xml:space="preserve">2GT-286-10</t>
  </si>
  <si>
    <t xml:space="preserve">286</t>
  </si>
  <si>
    <t xml:space="preserve">2GT-286-15</t>
  </si>
  <si>
    <t xml:space="preserve">2GT-286-6</t>
  </si>
  <si>
    <t xml:space="preserve">2GT-286-9</t>
  </si>
  <si>
    <t xml:space="preserve">2GT-288-10</t>
  </si>
  <si>
    <t xml:space="preserve">288</t>
  </si>
  <si>
    <t xml:space="preserve">2GT-288-15</t>
  </si>
  <si>
    <t xml:space="preserve">2GT-288-6</t>
  </si>
  <si>
    <t xml:space="preserve">2GT-288-9</t>
  </si>
  <si>
    <t xml:space="preserve">2GT-290-10</t>
  </si>
  <si>
    <t xml:space="preserve">290</t>
  </si>
  <si>
    <t xml:space="preserve">2GT-290-15</t>
  </si>
  <si>
    <t xml:space="preserve">2GT-290-6</t>
  </si>
  <si>
    <t xml:space="preserve">2GT-290-9</t>
  </si>
  <si>
    <t xml:space="preserve">2GT-292-10</t>
  </si>
  <si>
    <t xml:space="preserve">292</t>
  </si>
  <si>
    <t xml:space="preserve">2GT-292-15</t>
  </si>
  <si>
    <t xml:space="preserve">2GT-292-6</t>
  </si>
  <si>
    <t xml:space="preserve">2GT-292-9</t>
  </si>
  <si>
    <t xml:space="preserve">2GT-294-10</t>
  </si>
  <si>
    <t xml:space="preserve">294</t>
  </si>
  <si>
    <t xml:space="preserve">2GT-294-15</t>
  </si>
  <si>
    <t xml:space="preserve">2GT-294-6</t>
  </si>
  <si>
    <t xml:space="preserve">2GT-294-9</t>
  </si>
  <si>
    <t xml:space="preserve">2GT-296-10</t>
  </si>
  <si>
    <t xml:space="preserve">296</t>
  </si>
  <si>
    <t xml:space="preserve">2GT-296-15</t>
  </si>
  <si>
    <t xml:space="preserve">2GT-296-6</t>
  </si>
  <si>
    <t xml:space="preserve">2GT-296-9</t>
  </si>
  <si>
    <t xml:space="preserve">2GT-298-10</t>
  </si>
  <si>
    <t xml:space="preserve">298</t>
  </si>
  <si>
    <t xml:space="preserve">2GT-298-15</t>
  </si>
  <si>
    <t xml:space="preserve">2GT-298-6</t>
  </si>
  <si>
    <t xml:space="preserve">2GT-298-9</t>
  </si>
  <si>
    <t xml:space="preserve">2GT-300-10</t>
  </si>
  <si>
    <t xml:space="preserve">300</t>
  </si>
  <si>
    <t xml:space="preserve">2GT-300-15</t>
  </si>
  <si>
    <t xml:space="preserve">2GT-300-6</t>
  </si>
  <si>
    <t xml:space="preserve">2GT-300-9</t>
  </si>
  <si>
    <t xml:space="preserve">2GT-302-10</t>
  </si>
  <si>
    <t xml:space="preserve">302</t>
  </si>
  <si>
    <t xml:space="preserve">2GT-302-15</t>
  </si>
  <si>
    <t xml:space="preserve">2GT-302-6</t>
  </si>
  <si>
    <t xml:space="preserve">2GT-302-9</t>
  </si>
  <si>
    <t xml:space="preserve">2GT-304-10</t>
  </si>
  <si>
    <t xml:space="preserve">304</t>
  </si>
  <si>
    <t xml:space="preserve">2GT-304-15</t>
  </si>
  <si>
    <t xml:space="preserve">2GT-304-6</t>
  </si>
  <si>
    <t xml:space="preserve">2GT-304-9</t>
  </si>
  <si>
    <t xml:space="preserve">2GT-306-10</t>
  </si>
  <si>
    <t xml:space="preserve">306</t>
  </si>
  <si>
    <t xml:space="preserve">2GT-306-15</t>
  </si>
  <si>
    <t xml:space="preserve">2GT-306-6</t>
  </si>
  <si>
    <t xml:space="preserve">2GT-306-9</t>
  </si>
  <si>
    <t xml:space="preserve">2GT-308-10</t>
  </si>
  <si>
    <t xml:space="preserve">308</t>
  </si>
  <si>
    <t xml:space="preserve">2GT-308-15</t>
  </si>
  <si>
    <t xml:space="preserve">2GT-308-6</t>
  </si>
  <si>
    <t xml:space="preserve">2GT-308-9</t>
  </si>
  <si>
    <t xml:space="preserve">2GT-310-10</t>
  </si>
  <si>
    <t xml:space="preserve">310</t>
  </si>
  <si>
    <t xml:space="preserve">2GT-310-15</t>
  </si>
  <si>
    <t xml:space="preserve">2GT-310-6</t>
  </si>
  <si>
    <t xml:space="preserve">2GT-310-9</t>
  </si>
  <si>
    <t xml:space="preserve">2GT-312-10</t>
  </si>
  <si>
    <t xml:space="preserve">312</t>
  </si>
  <si>
    <t xml:space="preserve">2GT-312-15</t>
  </si>
  <si>
    <t xml:space="preserve">2GT-312-6</t>
  </si>
  <si>
    <t xml:space="preserve">2GT-312-9</t>
  </si>
  <si>
    <t xml:space="preserve">2GT-314-10</t>
  </si>
  <si>
    <t xml:space="preserve">314</t>
  </si>
  <si>
    <t xml:space="preserve">2GT-314-15</t>
  </si>
  <si>
    <t xml:space="preserve">2GT-314-6</t>
  </si>
  <si>
    <t xml:space="preserve">2GT-314-9</t>
  </si>
  <si>
    <t xml:space="preserve">2GT-316-10</t>
  </si>
  <si>
    <t xml:space="preserve">316</t>
  </si>
  <si>
    <t xml:space="preserve">2GT-316-15</t>
  </si>
  <si>
    <t xml:space="preserve">2GT-316-6</t>
  </si>
  <si>
    <t xml:space="preserve">2GT-316-9</t>
  </si>
  <si>
    <t xml:space="preserve">2GT-318-10</t>
  </si>
  <si>
    <t xml:space="preserve">318</t>
  </si>
  <si>
    <t xml:space="preserve">2GT-318-15</t>
  </si>
  <si>
    <t xml:space="preserve">2GT-318-6</t>
  </si>
  <si>
    <t xml:space="preserve">2GT-318-9</t>
  </si>
  <si>
    <t xml:space="preserve">2GT-320-10</t>
  </si>
  <si>
    <t xml:space="preserve">320</t>
  </si>
  <si>
    <t xml:space="preserve">2GT-320-15</t>
  </si>
  <si>
    <t xml:space="preserve">2GT-320-6</t>
  </si>
  <si>
    <t xml:space="preserve">2GT-320-9</t>
  </si>
  <si>
    <t xml:space="preserve">2GT-322-10</t>
  </si>
  <si>
    <t xml:space="preserve">322</t>
  </si>
  <si>
    <t xml:space="preserve">2GT-322-15</t>
  </si>
  <si>
    <t xml:space="preserve">2GT-322-6</t>
  </si>
  <si>
    <t xml:space="preserve">2GT-322-9</t>
  </si>
  <si>
    <t xml:space="preserve">2GT-324-10</t>
  </si>
  <si>
    <t xml:space="preserve">324</t>
  </si>
  <si>
    <t xml:space="preserve">2GT-324-15</t>
  </si>
  <si>
    <t xml:space="preserve">2GT-324-6</t>
  </si>
  <si>
    <t xml:space="preserve">2GT-324-9</t>
  </si>
  <si>
    <t xml:space="preserve">2GT-326-10</t>
  </si>
  <si>
    <t xml:space="preserve">326</t>
  </si>
  <si>
    <t xml:space="preserve">2GT-326-15</t>
  </si>
  <si>
    <t xml:space="preserve">2GT-326-6</t>
  </si>
  <si>
    <t xml:space="preserve">2GT-326-9</t>
  </si>
  <si>
    <t xml:space="preserve">2GT-328-10</t>
  </si>
  <si>
    <t xml:space="preserve">328</t>
  </si>
  <si>
    <t xml:space="preserve">2GT-328-15</t>
  </si>
  <si>
    <t xml:space="preserve">2GT-328-6</t>
  </si>
  <si>
    <t xml:space="preserve">2GT-328-9</t>
  </si>
  <si>
    <t xml:space="preserve">2GT-330-10</t>
  </si>
  <si>
    <t xml:space="preserve">330</t>
  </si>
  <si>
    <t xml:space="preserve">2GT-330-15</t>
  </si>
  <si>
    <t xml:space="preserve">2GT-330-6</t>
  </si>
  <si>
    <t xml:space="preserve">2GT-330-9</t>
  </si>
  <si>
    <t xml:space="preserve">2GT-334-10</t>
  </si>
  <si>
    <t xml:space="preserve">334</t>
  </si>
  <si>
    <t xml:space="preserve">2GT-334-15</t>
  </si>
  <si>
    <t xml:space="preserve">2GT-334-6</t>
  </si>
  <si>
    <t xml:space="preserve">2GT-334-9</t>
  </si>
  <si>
    <t xml:space="preserve">2GT-336-10</t>
  </si>
  <si>
    <t xml:space="preserve">336</t>
  </si>
  <si>
    <t xml:space="preserve">2GT-336-15</t>
  </si>
  <si>
    <t xml:space="preserve">2GT-336-6</t>
  </si>
  <si>
    <t xml:space="preserve">2GT-336-9</t>
  </si>
  <si>
    <t xml:space="preserve">2GT-338-10</t>
  </si>
  <si>
    <t xml:space="preserve">338</t>
  </si>
  <si>
    <t xml:space="preserve">2GT-338-15</t>
  </si>
  <si>
    <t xml:space="preserve">2GT-338-6</t>
  </si>
  <si>
    <t xml:space="preserve">2GT-338-9</t>
  </si>
  <si>
    <t xml:space="preserve">2GT-340-10</t>
  </si>
  <si>
    <t xml:space="preserve">340</t>
  </si>
  <si>
    <t xml:space="preserve">2GT-340-15</t>
  </si>
  <si>
    <t xml:space="preserve">2GT-340-6</t>
  </si>
  <si>
    <t xml:space="preserve">2GT-340-9</t>
  </si>
  <si>
    <t xml:space="preserve">2GT-342-10</t>
  </si>
  <si>
    <t xml:space="preserve">342</t>
  </si>
  <si>
    <t xml:space="preserve">2GT-342-15</t>
  </si>
  <si>
    <t xml:space="preserve">2GT-342-6</t>
  </si>
  <si>
    <t xml:space="preserve">2GT-342-9</t>
  </si>
  <si>
    <t xml:space="preserve">2GT-344-10</t>
  </si>
  <si>
    <t xml:space="preserve">344</t>
  </si>
  <si>
    <t xml:space="preserve">2GT-344-15</t>
  </si>
  <si>
    <t xml:space="preserve">2GT-344-6</t>
  </si>
  <si>
    <t xml:space="preserve">2GT-344-9</t>
  </si>
  <si>
    <t xml:space="preserve">2GT-348-10</t>
  </si>
  <si>
    <t xml:space="preserve">348</t>
  </si>
  <si>
    <t xml:space="preserve">2GT-348-15</t>
  </si>
  <si>
    <t xml:space="preserve">2GT-348-6</t>
  </si>
  <si>
    <t xml:space="preserve">2GT-348-9</t>
  </si>
  <si>
    <t xml:space="preserve">2GT-350-10</t>
  </si>
  <si>
    <t xml:space="preserve">350</t>
  </si>
  <si>
    <t xml:space="preserve">2GT-350-15</t>
  </si>
  <si>
    <t xml:space="preserve">2GT-350-6</t>
  </si>
  <si>
    <t xml:space="preserve">2GT-350-9</t>
  </si>
  <si>
    <t xml:space="preserve">2GT-354-10</t>
  </si>
  <si>
    <t xml:space="preserve">354</t>
  </si>
  <si>
    <t xml:space="preserve">2GT-354-15</t>
  </si>
  <si>
    <t xml:space="preserve">2GT-354-6</t>
  </si>
  <si>
    <t xml:space="preserve">2GT-354-9</t>
  </si>
  <si>
    <t xml:space="preserve">2GT-356-10</t>
  </si>
  <si>
    <t xml:space="preserve">356</t>
  </si>
  <si>
    <t xml:space="preserve">2GT-356-15</t>
  </si>
  <si>
    <t xml:space="preserve">2GT-356-6</t>
  </si>
  <si>
    <t xml:space="preserve">2GT-356-9</t>
  </si>
  <si>
    <t xml:space="preserve">2GT-358-10</t>
  </si>
  <si>
    <t xml:space="preserve">358</t>
  </si>
  <si>
    <t xml:space="preserve">2GT-358-15</t>
  </si>
  <si>
    <t xml:space="preserve">2GT-358-6</t>
  </si>
  <si>
    <t xml:space="preserve">2GT-358-9</t>
  </si>
  <si>
    <t xml:space="preserve">2GT-360-10</t>
  </si>
  <si>
    <t xml:space="preserve">360</t>
  </si>
  <si>
    <t xml:space="preserve">2GT-360-15</t>
  </si>
  <si>
    <t xml:space="preserve">2GT-360-6</t>
  </si>
  <si>
    <t xml:space="preserve">2GT-360-9</t>
  </si>
  <si>
    <t xml:space="preserve">2GT-364-10</t>
  </si>
  <si>
    <t xml:space="preserve">364</t>
  </si>
  <si>
    <t xml:space="preserve">2GT-364-15</t>
  </si>
  <si>
    <t xml:space="preserve">2GT-364-6</t>
  </si>
  <si>
    <t xml:space="preserve">2GT-364-9</t>
  </si>
  <si>
    <t xml:space="preserve">2GT-366-10</t>
  </si>
  <si>
    <t xml:space="preserve">366</t>
  </si>
  <si>
    <t xml:space="preserve">2GT-366-15</t>
  </si>
  <si>
    <t xml:space="preserve">2GT-366-6</t>
  </si>
  <si>
    <t xml:space="preserve">2GT-366-9</t>
  </si>
  <si>
    <t xml:space="preserve">2GT-370-10</t>
  </si>
  <si>
    <t xml:space="preserve">370</t>
  </si>
  <si>
    <t xml:space="preserve">2GT-370-15</t>
  </si>
  <si>
    <t xml:space="preserve">2GT-370-6</t>
  </si>
  <si>
    <t xml:space="preserve">2GT-370-9</t>
  </si>
  <si>
    <t xml:space="preserve">2GT-372-10</t>
  </si>
  <si>
    <t xml:space="preserve">372</t>
  </si>
  <si>
    <t xml:space="preserve">2GT-372-15</t>
  </si>
  <si>
    <t xml:space="preserve">2GT-372-6</t>
  </si>
  <si>
    <t xml:space="preserve">2GT-372-9</t>
  </si>
  <si>
    <t xml:space="preserve">2GT-376-10</t>
  </si>
  <si>
    <t xml:space="preserve">376</t>
  </si>
  <si>
    <t xml:space="preserve">2GT-376-15</t>
  </si>
  <si>
    <t xml:space="preserve">2GT-376-6</t>
  </si>
  <si>
    <t xml:space="preserve">2GT-376-9</t>
  </si>
  <si>
    <t xml:space="preserve">2GT-380-10</t>
  </si>
  <si>
    <t xml:space="preserve">380</t>
  </si>
  <si>
    <t xml:space="preserve">2GT-380-15</t>
  </si>
  <si>
    <t xml:space="preserve">2GT-380-6</t>
  </si>
  <si>
    <t xml:space="preserve">2GT-380-9</t>
  </si>
  <si>
    <t xml:space="preserve">2GT-384-10</t>
  </si>
  <si>
    <t xml:space="preserve">384</t>
  </si>
  <si>
    <t xml:space="preserve">2GT-384-15</t>
  </si>
  <si>
    <t xml:space="preserve">2GT-384-6</t>
  </si>
  <si>
    <t xml:space="preserve">2GT-384-9</t>
  </si>
  <si>
    <t xml:space="preserve">RF-2GT-172-10</t>
  </si>
  <si>
    <t xml:space="preserve">Brown</t>
  </si>
  <si>
    <t xml:space="preserve">RF Dust-proof</t>
  </si>
  <si>
    <t xml:space="preserve">RF-2GT-172-15</t>
  </si>
  <si>
    <t xml:space="preserve">RF-2GT-172-6</t>
  </si>
  <si>
    <t xml:space="preserve">RF-2GT-172-9</t>
  </si>
  <si>
    <t xml:space="preserve">RF-2GT-180-10</t>
  </si>
  <si>
    <t xml:space="preserve">RF-2GT-180-15</t>
  </si>
  <si>
    <t xml:space="preserve">RF-2GT-180-6</t>
  </si>
  <si>
    <t xml:space="preserve">RF-2GT-180-9</t>
  </si>
  <si>
    <t xml:space="preserve">RF-2GT-188-10</t>
  </si>
  <si>
    <t xml:space="preserve">RF-2GT-188-15</t>
  </si>
  <si>
    <t xml:space="preserve">RF-2GT-188-6</t>
  </si>
  <si>
    <t xml:space="preserve">RF-2GT-188-9</t>
  </si>
  <si>
    <t xml:space="preserve">RF-2GT-200-10</t>
  </si>
  <si>
    <t xml:space="preserve">RF-2GT-200-15</t>
  </si>
  <si>
    <t xml:space="preserve">RF-2GT-200-6</t>
  </si>
  <si>
    <t xml:space="preserve">RF-2GT-200-9</t>
  </si>
  <si>
    <t xml:space="preserve">RF-2GT-232-10</t>
  </si>
  <si>
    <t xml:space="preserve">RF-2GT-232-15</t>
  </si>
  <si>
    <t xml:space="preserve">RF-2GT-232-6</t>
  </si>
  <si>
    <t xml:space="preserve">RF-2GT-232-9</t>
  </si>
  <si>
    <t xml:space="preserve">RF-2GT-250-10</t>
  </si>
  <si>
    <t xml:space="preserve">RF-2GT-250-15</t>
  </si>
  <si>
    <t xml:space="preserve">RF-2GT-250-6</t>
  </si>
  <si>
    <t xml:space="preserve">RF-2GT-250-9</t>
  </si>
  <si>
    <t xml:space="preserve">RF-2GT-300-10</t>
  </si>
  <si>
    <t xml:space="preserve">RF-2GT-300-15</t>
  </si>
  <si>
    <t xml:space="preserve">RF-2GT-300-6</t>
  </si>
  <si>
    <t xml:space="preserve">RF-2GT-300-9</t>
  </si>
  <si>
    <t xml:space="preserve">RF-2GT-320-10</t>
  </si>
  <si>
    <t xml:space="preserve">RF-2GT-320-15</t>
  </si>
  <si>
    <t xml:space="preserve">RF-2GT-320-6</t>
  </si>
  <si>
    <t xml:space="preserve">RF-2GT-320-9</t>
  </si>
  <si>
    <t xml:space="preserve">RF-2GT-376-10</t>
  </si>
  <si>
    <t xml:space="preserve">RF-2GT-376-15</t>
  </si>
  <si>
    <t xml:space="preserve">RF-2GT-376-6</t>
  </si>
  <si>
    <t xml:space="preserve">RF-2GT-376-9</t>
  </si>
  <si>
    <t xml:space="preserve">2GT Closed-Loop Timing Belt, Length 386-3600mm  [2GT Belts]</t>
  </si>
  <si>
    <t xml:space="preserve">1000</t>
  </si>
  <si>
    <t xml:space="preserve">2GT-1000-10</t>
  </si>
  <si>
    <t xml:space="preserve">2GT-1000-15</t>
  </si>
  <si>
    <t xml:space="preserve">2GT-1000-4</t>
  </si>
  <si>
    <t xml:space="preserve">2GT-1000-6</t>
  </si>
  <si>
    <t xml:space="preserve">2GT-1000-9</t>
  </si>
  <si>
    <t xml:space="preserve">2GT-1040-10</t>
  </si>
  <si>
    <t xml:space="preserve">1040</t>
  </si>
  <si>
    <t xml:space="preserve">2GT-1040-15</t>
  </si>
  <si>
    <t xml:space="preserve">2GT-1040-4</t>
  </si>
  <si>
    <t xml:space="preserve">2GT-1040-6</t>
  </si>
  <si>
    <t xml:space="preserve">2GT-1040-9</t>
  </si>
  <si>
    <t xml:space="preserve">2GT-1050-10</t>
  </si>
  <si>
    <t xml:space="preserve">1050</t>
  </si>
  <si>
    <t xml:space="preserve">2GT-1050-15</t>
  </si>
  <si>
    <t xml:space="preserve">2GT-1050-4</t>
  </si>
  <si>
    <t xml:space="preserve">2GT-1050-6</t>
  </si>
  <si>
    <t xml:space="preserve">2GT-1050-9</t>
  </si>
  <si>
    <t xml:space="preserve">2GT-1060-10</t>
  </si>
  <si>
    <t xml:space="preserve">1060</t>
  </si>
  <si>
    <t xml:space="preserve">2GT-1060-6</t>
  </si>
  <si>
    <t xml:space="preserve">2GT-1060-9</t>
  </si>
  <si>
    <t xml:space="preserve">2GT-1068-10</t>
  </si>
  <si>
    <t xml:space="preserve">1068</t>
  </si>
  <si>
    <t xml:space="preserve">2GT-1068-6</t>
  </si>
  <si>
    <t xml:space="preserve">2GT-1068-9</t>
  </si>
  <si>
    <t xml:space="preserve">2GT-1080-10</t>
  </si>
  <si>
    <t xml:space="preserve">1080</t>
  </si>
  <si>
    <t xml:space="preserve">2GT-1080-6</t>
  </si>
  <si>
    <t xml:space="preserve">2GT-1080-9</t>
  </si>
  <si>
    <t xml:space="preserve">2GT-1090-10</t>
  </si>
  <si>
    <t xml:space="preserve">1090</t>
  </si>
  <si>
    <t xml:space="preserve">2GT-1090-6</t>
  </si>
  <si>
    <t xml:space="preserve">2GT-1090-9</t>
  </si>
  <si>
    <t xml:space="preserve">2GT-1100-10</t>
  </si>
  <si>
    <t xml:space="preserve">1100</t>
  </si>
  <si>
    <t xml:space="preserve">2GT-1100-6</t>
  </si>
  <si>
    <t xml:space="preserve">2GT-1100-9</t>
  </si>
  <si>
    <t xml:space="preserve">2GT-1136-10</t>
  </si>
  <si>
    <t xml:space="preserve">1136</t>
  </si>
  <si>
    <t xml:space="preserve">2GT-1136-6</t>
  </si>
  <si>
    <t xml:space="preserve">2GT-1136-9</t>
  </si>
  <si>
    <t xml:space="preserve">2GT-1140-10</t>
  </si>
  <si>
    <t xml:space="preserve">1140</t>
  </si>
  <si>
    <t xml:space="preserve">2GT-1140-6</t>
  </si>
  <si>
    <t xml:space="preserve">2GT-1140-9</t>
  </si>
  <si>
    <t xml:space="preserve">2GT-1142-10</t>
  </si>
  <si>
    <t xml:space="preserve">1142</t>
  </si>
  <si>
    <t xml:space="preserve">2GT-1142-6</t>
  </si>
  <si>
    <t xml:space="preserve">2GT-1142-9</t>
  </si>
  <si>
    <t xml:space="preserve">2GT-1150-10</t>
  </si>
  <si>
    <t xml:space="preserve">1150</t>
  </si>
  <si>
    <t xml:space="preserve">2GT-1150-6</t>
  </si>
  <si>
    <t xml:space="preserve">2GT-1150-9</t>
  </si>
  <si>
    <t xml:space="preserve">2GT-1164-10</t>
  </si>
  <si>
    <t xml:space="preserve">1164</t>
  </si>
  <si>
    <t xml:space="preserve">2GT-1164-6</t>
  </si>
  <si>
    <t xml:space="preserve">2GT-1164-9</t>
  </si>
  <si>
    <t xml:space="preserve">2GT-1180-10</t>
  </si>
  <si>
    <t xml:space="preserve">1180</t>
  </si>
  <si>
    <t xml:space="preserve">2GT-1180-4</t>
  </si>
  <si>
    <t xml:space="preserve">2GT-1180-6</t>
  </si>
  <si>
    <t xml:space="preserve">2GT-1180-9</t>
  </si>
  <si>
    <t xml:space="preserve">2GT-1190-10</t>
  </si>
  <si>
    <t xml:space="preserve">1190</t>
  </si>
  <si>
    <t xml:space="preserve">2GT-1190-4</t>
  </si>
  <si>
    <t xml:space="preserve">2GT-1190-6</t>
  </si>
  <si>
    <t xml:space="preserve">2GT-1190-9</t>
  </si>
  <si>
    <t xml:space="preserve">2GT-1210-10</t>
  </si>
  <si>
    <t xml:space="preserve">1210</t>
  </si>
  <si>
    <t xml:space="preserve">2GT-1210-4</t>
  </si>
  <si>
    <t xml:space="preserve">2GT-1210-6</t>
  </si>
  <si>
    <t xml:space="preserve">2GT-1210-9</t>
  </si>
  <si>
    <t xml:space="preserve">2GT-1220-10</t>
  </si>
  <si>
    <t xml:space="preserve">1220</t>
  </si>
  <si>
    <t xml:space="preserve">2GT-1220-4</t>
  </si>
  <si>
    <t xml:space="preserve">2GT-1220-6</t>
  </si>
  <si>
    <t xml:space="preserve">2GT-1220-9</t>
  </si>
  <si>
    <t xml:space="preserve">2GT-1228-10</t>
  </si>
  <si>
    <t xml:space="preserve">1228</t>
  </si>
  <si>
    <t xml:space="preserve">2GT-1228-4</t>
  </si>
  <si>
    <t xml:space="preserve">2GT-1228-6</t>
  </si>
  <si>
    <t xml:space="preserve">2GT-1228-9</t>
  </si>
  <si>
    <t xml:space="preserve">2GT-1240-10</t>
  </si>
  <si>
    <t xml:space="preserve">1240</t>
  </si>
  <si>
    <t xml:space="preserve">2GT-1240-4</t>
  </si>
  <si>
    <t xml:space="preserve">2GT-1240-6</t>
  </si>
  <si>
    <t xml:space="preserve">2GT-1240-9</t>
  </si>
  <si>
    <t xml:space="preserve">2GT-1250-10</t>
  </si>
  <si>
    <t xml:space="preserve">1250</t>
  </si>
  <si>
    <t xml:space="preserve">2GT-1250-4</t>
  </si>
  <si>
    <t xml:space="preserve">2GT-1250-6</t>
  </si>
  <si>
    <t xml:space="preserve">2GT-1250-9</t>
  </si>
  <si>
    <t xml:space="preserve">2GT-1270-10</t>
  </si>
  <si>
    <t xml:space="preserve">1270</t>
  </si>
  <si>
    <t xml:space="preserve">2GT-1270-4</t>
  </si>
  <si>
    <t xml:space="preserve">2GT-1270-6</t>
  </si>
  <si>
    <t xml:space="preserve">2GT-1270-9</t>
  </si>
  <si>
    <t xml:space="preserve">2GT-1310-10</t>
  </si>
  <si>
    <t xml:space="preserve">1310</t>
  </si>
  <si>
    <t xml:space="preserve">2GT-1310-6</t>
  </si>
  <si>
    <t xml:space="preserve">2GT-1310-9</t>
  </si>
  <si>
    <t xml:space="preserve">2GT-1324-10</t>
  </si>
  <si>
    <t xml:space="preserve">1324</t>
  </si>
  <si>
    <t xml:space="preserve">2GT-1324-6</t>
  </si>
  <si>
    <t xml:space="preserve">2GT-1324-9</t>
  </si>
  <si>
    <t xml:space="preserve">2GT-1340-10</t>
  </si>
  <si>
    <t xml:space="preserve">1340</t>
  </si>
  <si>
    <t xml:space="preserve">2GT-1340-6</t>
  </si>
  <si>
    <t xml:space="preserve">2GT-1340-9</t>
  </si>
  <si>
    <t xml:space="preserve">2GT-1350-10</t>
  </si>
  <si>
    <t xml:space="preserve">1350</t>
  </si>
  <si>
    <t xml:space="preserve">2GT-1350-6</t>
  </si>
  <si>
    <t xml:space="preserve">2GT-1350-9</t>
  </si>
  <si>
    <t xml:space="preserve">2GT-1360-10</t>
  </si>
  <si>
    <t xml:space="preserve">1360</t>
  </si>
  <si>
    <t xml:space="preserve">2GT-1360-6</t>
  </si>
  <si>
    <t xml:space="preserve">2GT-1360-9</t>
  </si>
  <si>
    <t xml:space="preserve">2GT-1390-10</t>
  </si>
  <si>
    <t xml:space="preserve">1390</t>
  </si>
  <si>
    <t xml:space="preserve">2GT-1390-6</t>
  </si>
  <si>
    <t xml:space="preserve">2GT-1390-9</t>
  </si>
  <si>
    <t xml:space="preserve">2GT-1424-10</t>
  </si>
  <si>
    <t xml:space="preserve">1424</t>
  </si>
  <si>
    <t xml:space="preserve">2GT-1424-15</t>
  </si>
  <si>
    <t xml:space="preserve">2GT-1424-6</t>
  </si>
  <si>
    <t xml:space="preserve">2GT-1424-9</t>
  </si>
  <si>
    <t xml:space="preserve">2GT-1434-10</t>
  </si>
  <si>
    <t xml:space="preserve">1434</t>
  </si>
  <si>
    <t xml:space="preserve">2GT-1434-15</t>
  </si>
  <si>
    <t xml:space="preserve">2GT-1434-6</t>
  </si>
  <si>
    <t xml:space="preserve">2GT-1434-9</t>
  </si>
  <si>
    <t xml:space="preserve">2GT-1440-10</t>
  </si>
  <si>
    <t xml:space="preserve">1440</t>
  </si>
  <si>
    <t xml:space="preserve">2GT-1440-15</t>
  </si>
  <si>
    <t xml:space="preserve">2GT-1440-6</t>
  </si>
  <si>
    <t xml:space="preserve">2GT-1440-9</t>
  </si>
  <si>
    <t xml:space="preserve">2GT-1444-10</t>
  </si>
  <si>
    <t xml:space="preserve">1444</t>
  </si>
  <si>
    <t xml:space="preserve">2GT-1444-15</t>
  </si>
  <si>
    <t xml:space="preserve">2GT-1444-6</t>
  </si>
  <si>
    <t xml:space="preserve">2GT-1444-9</t>
  </si>
  <si>
    <t xml:space="preserve">2GT-1474-10</t>
  </si>
  <si>
    <t xml:space="preserve">1474</t>
  </si>
  <si>
    <t xml:space="preserve">2GT-1474-15</t>
  </si>
  <si>
    <t xml:space="preserve">2GT-1474-6</t>
  </si>
  <si>
    <t xml:space="preserve">2GT-1474-9</t>
  </si>
  <si>
    <t xml:space="preserve">2GT-1500-10</t>
  </si>
  <si>
    <t xml:space="preserve">1500</t>
  </si>
  <si>
    <t xml:space="preserve">2GT-1500-15</t>
  </si>
  <si>
    <t xml:space="preserve">2GT-1500-6</t>
  </si>
  <si>
    <t xml:space="preserve">2GT-1500-9</t>
  </si>
  <si>
    <t xml:space="preserve">2GT-1510-10</t>
  </si>
  <si>
    <t xml:space="preserve">1510</t>
  </si>
  <si>
    <t xml:space="preserve">2GT-1510-15</t>
  </si>
  <si>
    <t xml:space="preserve">2GT-1510-6</t>
  </si>
  <si>
    <t xml:space="preserve">2GT-1512-10</t>
  </si>
  <si>
    <t xml:space="preserve">1512</t>
  </si>
  <si>
    <t xml:space="preserve">2GT-1512-15</t>
  </si>
  <si>
    <t xml:space="preserve">2GT-1512-6</t>
  </si>
  <si>
    <t xml:space="preserve">2GT-1520-10</t>
  </si>
  <si>
    <t xml:space="preserve">1520</t>
  </si>
  <si>
    <t xml:space="preserve">2GT-1520-15</t>
  </si>
  <si>
    <t xml:space="preserve">2GT-1520-6</t>
  </si>
  <si>
    <t xml:space="preserve">2GT-1524-10</t>
  </si>
  <si>
    <t xml:space="preserve">1524</t>
  </si>
  <si>
    <t xml:space="preserve">2GT-1524-15</t>
  </si>
  <si>
    <t xml:space="preserve">2GT-1524-6</t>
  </si>
  <si>
    <t xml:space="preserve">2GT-1540-10</t>
  </si>
  <si>
    <t xml:space="preserve">1540</t>
  </si>
  <si>
    <t xml:space="preserve">2GT-1540-15</t>
  </si>
  <si>
    <t xml:space="preserve">2GT-1540-6</t>
  </si>
  <si>
    <t xml:space="preserve">2GT-1572-10</t>
  </si>
  <si>
    <t xml:space="preserve">1572</t>
  </si>
  <si>
    <t xml:space="preserve">2GT-1572-15</t>
  </si>
  <si>
    <t xml:space="preserve">2GT-1572-6</t>
  </si>
  <si>
    <t xml:space="preserve">2GT-1600-10</t>
  </si>
  <si>
    <t xml:space="preserve">1600</t>
  </si>
  <si>
    <t xml:space="preserve">2GT-1600-15</t>
  </si>
  <si>
    <t xml:space="preserve">2GT-1600-6</t>
  </si>
  <si>
    <t xml:space="preserve">2GT-1610-10</t>
  </si>
  <si>
    <t xml:space="preserve">1610</t>
  </si>
  <si>
    <t xml:space="preserve">2GT-1610-15</t>
  </si>
  <si>
    <t xml:space="preserve">2GT-1610-6</t>
  </si>
  <si>
    <t xml:space="preserve">2GT-1644-10</t>
  </si>
  <si>
    <t xml:space="preserve">1644</t>
  </si>
  <si>
    <t xml:space="preserve">2GT-1644-12</t>
  </si>
  <si>
    <t xml:space="preserve">2GT-1644-15</t>
  </si>
  <si>
    <t xml:space="preserve">2GT-1644-6</t>
  </si>
  <si>
    <t xml:space="preserve">2GT-1644-9</t>
  </si>
  <si>
    <t xml:space="preserve">2GT-2000-10</t>
  </si>
  <si>
    <t xml:space="preserve">2000</t>
  </si>
  <si>
    <t xml:space="preserve">2GT-2000-12</t>
  </si>
  <si>
    <t xml:space="preserve">2GT-2000-15</t>
  </si>
  <si>
    <t xml:space="preserve">2GT-2000-6</t>
  </si>
  <si>
    <t xml:space="preserve">2GT-2000-9</t>
  </si>
  <si>
    <t xml:space="preserve">2GT-2160-10</t>
  </si>
  <si>
    <t xml:space="preserve">2160</t>
  </si>
  <si>
    <t xml:space="preserve">2GT-2160-12</t>
  </si>
  <si>
    <t xml:space="preserve">2GT-2160-15</t>
  </si>
  <si>
    <t xml:space="preserve">2GT-2160-6</t>
  </si>
  <si>
    <t xml:space="preserve">2GT-2160-9</t>
  </si>
  <si>
    <t xml:space="preserve">2GT-2220-10</t>
  </si>
  <si>
    <t xml:space="preserve">2220</t>
  </si>
  <si>
    <t xml:space="preserve">2GT-2220-12</t>
  </si>
  <si>
    <t xml:space="preserve">2GT-2220-15</t>
  </si>
  <si>
    <t xml:space="preserve">2GT-2220-6</t>
  </si>
  <si>
    <t xml:space="preserve">2GT-2220-9</t>
  </si>
  <si>
    <t xml:space="preserve">2GT-2270-10</t>
  </si>
  <si>
    <t xml:space="preserve">2270</t>
  </si>
  <si>
    <t xml:space="preserve">2GT-2270-12</t>
  </si>
  <si>
    <t xml:space="preserve">2GT-2270-15</t>
  </si>
  <si>
    <t xml:space="preserve">2GT-2270-6</t>
  </si>
  <si>
    <t xml:space="preserve">2GT-2270-9</t>
  </si>
  <si>
    <t xml:space="preserve">2GT-2500-10</t>
  </si>
  <si>
    <t xml:space="preserve">2500</t>
  </si>
  <si>
    <t xml:space="preserve">2GT-2500-12</t>
  </si>
  <si>
    <t xml:space="preserve">2GT-2500-15</t>
  </si>
  <si>
    <t xml:space="preserve">2GT-2500-6</t>
  </si>
  <si>
    <t xml:space="preserve">2GT-2500-9</t>
  </si>
  <si>
    <t xml:space="preserve">2GT-3000-10</t>
  </si>
  <si>
    <t xml:space="preserve">3000</t>
  </si>
  <si>
    <t xml:space="preserve">2GT-3000-12</t>
  </si>
  <si>
    <t xml:space="preserve">2GT-3000-15</t>
  </si>
  <si>
    <t xml:space="preserve">2GT-3000-6</t>
  </si>
  <si>
    <t xml:space="preserve">2GT-3000-9</t>
  </si>
  <si>
    <t xml:space="preserve">2GT-3230-10</t>
  </si>
  <si>
    <t xml:space="preserve">3230</t>
  </si>
  <si>
    <t xml:space="preserve">2GT-3230-12</t>
  </si>
  <si>
    <t xml:space="preserve">2GT-3230-15</t>
  </si>
  <si>
    <t xml:space="preserve">2GT-3230-6</t>
  </si>
  <si>
    <t xml:space="preserve">2GT-3230-9</t>
  </si>
  <si>
    <t xml:space="preserve">2GT-3600-10</t>
  </si>
  <si>
    <t xml:space="preserve">3600</t>
  </si>
  <si>
    <t xml:space="preserve">2GT-3600-12</t>
  </si>
  <si>
    <t xml:space="preserve">2GT-3600-15</t>
  </si>
  <si>
    <t xml:space="preserve">2GT-3600-6</t>
  </si>
  <si>
    <t xml:space="preserve">2GT-3600-9</t>
  </si>
  <si>
    <t xml:space="preserve">2GT-386-10</t>
  </si>
  <si>
    <t xml:space="preserve">386</t>
  </si>
  <si>
    <t xml:space="preserve">2GT-386-15</t>
  </si>
  <si>
    <t xml:space="preserve">2GT-386-6</t>
  </si>
  <si>
    <t xml:space="preserve">2GT-386-9</t>
  </si>
  <si>
    <t xml:space="preserve">2GT-388-10</t>
  </si>
  <si>
    <t xml:space="preserve">388</t>
  </si>
  <si>
    <t xml:space="preserve">2GT-388-15</t>
  </si>
  <si>
    <t xml:space="preserve">2GT-388-6</t>
  </si>
  <si>
    <t xml:space="preserve">2GT-388-9</t>
  </si>
  <si>
    <t xml:space="preserve">2GT-390-10</t>
  </si>
  <si>
    <t xml:space="preserve">390</t>
  </si>
  <si>
    <t xml:space="preserve">2GT-390-15</t>
  </si>
  <si>
    <t xml:space="preserve">2GT-390-6</t>
  </si>
  <si>
    <t xml:space="preserve">2GT-390-9</t>
  </si>
  <si>
    <t xml:space="preserve">2GT-392-10</t>
  </si>
  <si>
    <t xml:space="preserve">392</t>
  </si>
  <si>
    <t xml:space="preserve">2GT-392-15</t>
  </si>
  <si>
    <t xml:space="preserve">2GT-392-6</t>
  </si>
  <si>
    <t xml:space="preserve">2GT-392-9</t>
  </si>
  <si>
    <t xml:space="preserve">2GT-394-10</t>
  </si>
  <si>
    <t xml:space="preserve">394</t>
  </si>
  <si>
    <t xml:space="preserve">2GT-394-15</t>
  </si>
  <si>
    <t xml:space="preserve">2GT-394-6</t>
  </si>
  <si>
    <t xml:space="preserve">2GT-394-9</t>
  </si>
  <si>
    <t xml:space="preserve">2GT-396-10</t>
  </si>
  <si>
    <t xml:space="preserve">396</t>
  </si>
  <si>
    <t xml:space="preserve">2GT-396-15</t>
  </si>
  <si>
    <t xml:space="preserve">2GT-396-6</t>
  </si>
  <si>
    <t xml:space="preserve">2GT-396-9</t>
  </si>
  <si>
    <t xml:space="preserve">2GT-400-10</t>
  </si>
  <si>
    <t xml:space="preserve">400</t>
  </si>
  <si>
    <t xml:space="preserve">2GT-400-15</t>
  </si>
  <si>
    <t xml:space="preserve">2GT-400-6</t>
  </si>
  <si>
    <t xml:space="preserve">2GT-400-9</t>
  </si>
  <si>
    <t xml:space="preserve">2GT-404-10</t>
  </si>
  <si>
    <t xml:space="preserve">404</t>
  </si>
  <si>
    <t xml:space="preserve">2GT-404-15</t>
  </si>
  <si>
    <t xml:space="preserve">2GT-404-6</t>
  </si>
  <si>
    <t xml:space="preserve">2GT-404-9</t>
  </si>
  <si>
    <t xml:space="preserve">2GT-406-10</t>
  </si>
  <si>
    <t xml:space="preserve">406</t>
  </si>
  <si>
    <t xml:space="preserve">2GT-406-15</t>
  </si>
  <si>
    <t xml:space="preserve">2GT-406-6</t>
  </si>
  <si>
    <t xml:space="preserve">2GT-406-9</t>
  </si>
  <si>
    <t xml:space="preserve">2GT-410-10</t>
  </si>
  <si>
    <t xml:space="preserve">410</t>
  </si>
  <si>
    <t xml:space="preserve">2GT-410-15</t>
  </si>
  <si>
    <t xml:space="preserve">2GT-410-6</t>
  </si>
  <si>
    <t xml:space="preserve">2GT-410-9</t>
  </si>
  <si>
    <t xml:space="preserve">2GT-420-10</t>
  </si>
  <si>
    <t xml:space="preserve">420</t>
  </si>
  <si>
    <t xml:space="preserve">2GT-420-15</t>
  </si>
  <si>
    <t xml:space="preserve">2GT-420-6</t>
  </si>
  <si>
    <t xml:space="preserve">2GT-420-9</t>
  </si>
  <si>
    <t xml:space="preserve">2GT-426-10</t>
  </si>
  <si>
    <t xml:space="preserve">426</t>
  </si>
  <si>
    <t xml:space="preserve">2GT-426-15</t>
  </si>
  <si>
    <t xml:space="preserve">2GT-426-6</t>
  </si>
  <si>
    <t xml:space="preserve">2GT-426-9</t>
  </si>
  <si>
    <t xml:space="preserve">2GT-428-10</t>
  </si>
  <si>
    <t xml:space="preserve">428</t>
  </si>
  <si>
    <t xml:space="preserve">2GT-428-15</t>
  </si>
  <si>
    <t xml:space="preserve">2GT-428-6</t>
  </si>
  <si>
    <t xml:space="preserve">2GT-428-9</t>
  </si>
  <si>
    <t xml:space="preserve">2GT-430-10</t>
  </si>
  <si>
    <t xml:space="preserve">430</t>
  </si>
  <si>
    <t xml:space="preserve">2GT-430-15</t>
  </si>
  <si>
    <t xml:space="preserve">2GT-430-6</t>
  </si>
  <si>
    <t xml:space="preserve">2GT-430-9</t>
  </si>
  <si>
    <t xml:space="preserve">2GT-436-10</t>
  </si>
  <si>
    <t xml:space="preserve">436</t>
  </si>
  <si>
    <t xml:space="preserve">2GT-436-15</t>
  </si>
  <si>
    <t xml:space="preserve">2GT-436-6</t>
  </si>
  <si>
    <t xml:space="preserve">2GT-436-9</t>
  </si>
  <si>
    <t xml:space="preserve">2GT-438-10</t>
  </si>
  <si>
    <t xml:space="preserve">438</t>
  </si>
  <si>
    <t xml:space="preserve">2GT-438-15</t>
  </si>
  <si>
    <t xml:space="preserve">2GT-438-6</t>
  </si>
  <si>
    <t xml:space="preserve">2GT-438-9</t>
  </si>
  <si>
    <t xml:space="preserve">2GT-440-10</t>
  </si>
  <si>
    <t xml:space="preserve">440</t>
  </si>
  <si>
    <t xml:space="preserve">2GT-440-15</t>
  </si>
  <si>
    <t xml:space="preserve">2GT-440-6</t>
  </si>
  <si>
    <t xml:space="preserve">2GT-440-9</t>
  </si>
  <si>
    <t xml:space="preserve">2GT-444-10</t>
  </si>
  <si>
    <t xml:space="preserve">444</t>
  </si>
  <si>
    <t xml:space="preserve">2GT-444-15</t>
  </si>
  <si>
    <t xml:space="preserve">2GT-444-6</t>
  </si>
  <si>
    <t xml:space="preserve">2GT-444-9</t>
  </si>
  <si>
    <t xml:space="preserve">2GT-448-10</t>
  </si>
  <si>
    <t xml:space="preserve">448</t>
  </si>
  <si>
    <t xml:space="preserve">2GT-448-15</t>
  </si>
  <si>
    <t xml:space="preserve">2GT-448-6</t>
  </si>
  <si>
    <t xml:space="preserve">2GT-448-9</t>
  </si>
  <si>
    <t xml:space="preserve">2GT-450-10</t>
  </si>
  <si>
    <t xml:space="preserve">450</t>
  </si>
  <si>
    <t xml:space="preserve">2GT-450-15</t>
  </si>
  <si>
    <t xml:space="preserve">2GT-450-6</t>
  </si>
  <si>
    <t xml:space="preserve">2GT-450-9</t>
  </si>
  <si>
    <t xml:space="preserve">2GT-454-10</t>
  </si>
  <si>
    <t xml:space="preserve">454</t>
  </si>
  <si>
    <t xml:space="preserve">2GT-454-15</t>
  </si>
  <si>
    <t xml:space="preserve">2GT-454-6</t>
  </si>
  <si>
    <t xml:space="preserve">2GT-454-9</t>
  </si>
  <si>
    <t xml:space="preserve">2GT-456-10</t>
  </si>
  <si>
    <t xml:space="preserve">456</t>
  </si>
  <si>
    <t xml:space="preserve">2GT-456-15</t>
  </si>
  <si>
    <t xml:space="preserve">2GT-456-6</t>
  </si>
  <si>
    <t xml:space="preserve">2GT-456-9</t>
  </si>
  <si>
    <t xml:space="preserve">2GT-460-10</t>
  </si>
  <si>
    <t xml:space="preserve">460</t>
  </si>
  <si>
    <t xml:space="preserve">2GT-460-15</t>
  </si>
  <si>
    <t xml:space="preserve">2GT-460-6</t>
  </si>
  <si>
    <t xml:space="preserve">2GT-460-9</t>
  </si>
  <si>
    <t xml:space="preserve">2GT-466-10</t>
  </si>
  <si>
    <t xml:space="preserve">466</t>
  </si>
  <si>
    <t xml:space="preserve">2GT-466-15</t>
  </si>
  <si>
    <t xml:space="preserve">2GT-466-6</t>
  </si>
  <si>
    <t xml:space="preserve">2GT-466-9</t>
  </si>
  <si>
    <t xml:space="preserve">2GT-468-10</t>
  </si>
  <si>
    <t xml:space="preserve">468</t>
  </si>
  <si>
    <t xml:space="preserve">2GT-468-15</t>
  </si>
  <si>
    <t xml:space="preserve">2GT-468-6</t>
  </si>
  <si>
    <t xml:space="preserve">2GT-468-9</t>
  </si>
  <si>
    <t xml:space="preserve">2GT-470-10</t>
  </si>
  <si>
    <t xml:space="preserve">470</t>
  </si>
  <si>
    <t xml:space="preserve">2GT-470-15</t>
  </si>
  <si>
    <t xml:space="preserve">2GT-470-6</t>
  </si>
  <si>
    <t xml:space="preserve">2GT-470-9</t>
  </si>
  <si>
    <t xml:space="preserve">2GT-476-10</t>
  </si>
  <si>
    <t xml:space="preserve">476</t>
  </si>
  <si>
    <t xml:space="preserve">2GT-476-15</t>
  </si>
  <si>
    <t xml:space="preserve">2GT-476-6</t>
  </si>
  <si>
    <t xml:space="preserve">2GT-476-9</t>
  </si>
  <si>
    <t xml:space="preserve">2GT-478-10</t>
  </si>
  <si>
    <t xml:space="preserve">478</t>
  </si>
  <si>
    <t xml:space="preserve">2GT-478-15</t>
  </si>
  <si>
    <t xml:space="preserve">2GT-478-6</t>
  </si>
  <si>
    <t xml:space="preserve">2GT-478-9</t>
  </si>
  <si>
    <t xml:space="preserve">2GT-480-10</t>
  </si>
  <si>
    <t xml:space="preserve">480</t>
  </si>
  <si>
    <t xml:space="preserve">2GT-480-15</t>
  </si>
  <si>
    <t xml:space="preserve">2GT-480-6</t>
  </si>
  <si>
    <t xml:space="preserve">2GT-480-9</t>
  </si>
  <si>
    <t xml:space="preserve">2GT-484-10</t>
  </si>
  <si>
    <t xml:space="preserve">484</t>
  </si>
  <si>
    <t xml:space="preserve">2GT-484-15</t>
  </si>
  <si>
    <t xml:space="preserve">2GT-484-6</t>
  </si>
  <si>
    <t xml:space="preserve">2GT-484-9</t>
  </si>
  <si>
    <t xml:space="preserve">2GT-488-10</t>
  </si>
  <si>
    <t xml:space="preserve">488</t>
  </si>
  <si>
    <t xml:space="preserve">2GT-488-15</t>
  </si>
  <si>
    <t xml:space="preserve">2GT-488-6</t>
  </si>
  <si>
    <t xml:space="preserve">2GT-488-9</t>
  </si>
  <si>
    <t xml:space="preserve">2GT-490-10</t>
  </si>
  <si>
    <t xml:space="preserve">490</t>
  </si>
  <si>
    <t xml:space="preserve">2GT-490-15</t>
  </si>
  <si>
    <t xml:space="preserve">2GT-490-6</t>
  </si>
  <si>
    <t xml:space="preserve">2GT-490-9</t>
  </si>
  <si>
    <t xml:space="preserve">2GT-492-10</t>
  </si>
  <si>
    <t xml:space="preserve">492</t>
  </si>
  <si>
    <t xml:space="preserve">2GT-492-15</t>
  </si>
  <si>
    <t xml:space="preserve">2GT-492-6</t>
  </si>
  <si>
    <t xml:space="preserve">2GT-492-9</t>
  </si>
  <si>
    <t xml:space="preserve">2GT-494-10</t>
  </si>
  <si>
    <t xml:space="preserve">494</t>
  </si>
  <si>
    <t xml:space="preserve">2GT-494-15</t>
  </si>
  <si>
    <t xml:space="preserve">2GT-494-6</t>
  </si>
  <si>
    <t xml:space="preserve">2GT-494-9</t>
  </si>
  <si>
    <t xml:space="preserve">2GT-500-10</t>
  </si>
  <si>
    <t xml:space="preserve">500</t>
  </si>
  <si>
    <t xml:space="preserve">2GT-500-15</t>
  </si>
  <si>
    <t xml:space="preserve">2GT-500-6</t>
  </si>
  <si>
    <t xml:space="preserve">2GT-500-7</t>
  </si>
  <si>
    <t xml:space="preserve">2GT-506-10</t>
  </si>
  <si>
    <t xml:space="preserve">506</t>
  </si>
  <si>
    <t xml:space="preserve">2GT-506-15</t>
  </si>
  <si>
    <t xml:space="preserve">2GT-506-6</t>
  </si>
  <si>
    <t xml:space="preserve">2GT-506-7</t>
  </si>
  <si>
    <t xml:space="preserve">2GT-516-10</t>
  </si>
  <si>
    <t xml:space="preserve">516</t>
  </si>
  <si>
    <t xml:space="preserve">2GT-516-15</t>
  </si>
  <si>
    <t xml:space="preserve">2GT-516-6</t>
  </si>
  <si>
    <t xml:space="preserve">2GT-516-7</t>
  </si>
  <si>
    <t xml:space="preserve">2GT-518-10</t>
  </si>
  <si>
    <t xml:space="preserve">518</t>
  </si>
  <si>
    <t xml:space="preserve">2GT-518-15</t>
  </si>
  <si>
    <t xml:space="preserve">2GT-518-6</t>
  </si>
  <si>
    <t xml:space="preserve">2GT-518-7</t>
  </si>
  <si>
    <t xml:space="preserve">2GT-520-10</t>
  </si>
  <si>
    <t xml:space="preserve">520</t>
  </si>
  <si>
    <t xml:space="preserve">2GT-520-15</t>
  </si>
  <si>
    <t xml:space="preserve">2GT-520-6</t>
  </si>
  <si>
    <t xml:space="preserve">2GT-520-7</t>
  </si>
  <si>
    <t xml:space="preserve">2GT-524-10</t>
  </si>
  <si>
    <t xml:space="preserve">524</t>
  </si>
  <si>
    <t xml:space="preserve">2GT-524-15</t>
  </si>
  <si>
    <t xml:space="preserve">2GT-524-6</t>
  </si>
  <si>
    <t xml:space="preserve">2GT-524-7</t>
  </si>
  <si>
    <t xml:space="preserve">2GT-528-10</t>
  </si>
  <si>
    <t xml:space="preserve">528</t>
  </si>
  <si>
    <t xml:space="preserve">2GT-528-15</t>
  </si>
  <si>
    <t xml:space="preserve">2GT-528-6</t>
  </si>
  <si>
    <t xml:space="preserve">2GT-528-7</t>
  </si>
  <si>
    <t xml:space="preserve">2GT-530-10</t>
  </si>
  <si>
    <t xml:space="preserve">530</t>
  </si>
  <si>
    <t xml:space="preserve">2GT-530-15</t>
  </si>
  <si>
    <t xml:space="preserve">2GT-530-6</t>
  </si>
  <si>
    <t xml:space="preserve">2GT-530-7</t>
  </si>
  <si>
    <t xml:space="preserve">2GT-540-10</t>
  </si>
  <si>
    <t xml:space="preserve">540</t>
  </si>
  <si>
    <t xml:space="preserve">2GT-540-15</t>
  </si>
  <si>
    <t xml:space="preserve">2GT-540-6</t>
  </si>
  <si>
    <t xml:space="preserve">2GT-540-7</t>
  </si>
  <si>
    <t xml:space="preserve">2GT-550-10</t>
  </si>
  <si>
    <t xml:space="preserve">550</t>
  </si>
  <si>
    <t xml:space="preserve">2GT-550-15</t>
  </si>
  <si>
    <t xml:space="preserve">2GT-550-6</t>
  </si>
  <si>
    <t xml:space="preserve">2GT-550-7</t>
  </si>
  <si>
    <t xml:space="preserve">2GT-554-10</t>
  </si>
  <si>
    <t xml:space="preserve">554</t>
  </si>
  <si>
    <t xml:space="preserve">2GT-554-15</t>
  </si>
  <si>
    <t xml:space="preserve">2GT-554-6</t>
  </si>
  <si>
    <t xml:space="preserve">2GT-554-7</t>
  </si>
  <si>
    <t xml:space="preserve">2GT-556-10</t>
  </si>
  <si>
    <t xml:space="preserve">556</t>
  </si>
  <si>
    <t xml:space="preserve">2GT-556-15</t>
  </si>
  <si>
    <t xml:space="preserve">2GT-556-6</t>
  </si>
  <si>
    <t xml:space="preserve">2GT-556-7</t>
  </si>
  <si>
    <t xml:space="preserve">2GT-558-10</t>
  </si>
  <si>
    <t xml:space="preserve">558</t>
  </si>
  <si>
    <t xml:space="preserve">2GT-558-15</t>
  </si>
  <si>
    <t xml:space="preserve">2GT-558-6</t>
  </si>
  <si>
    <t xml:space="preserve">2GT-558-7</t>
  </si>
  <si>
    <t xml:space="preserve">2GT-562-10</t>
  </si>
  <si>
    <t xml:space="preserve">562</t>
  </si>
  <si>
    <t xml:space="preserve">2GT-562-15</t>
  </si>
  <si>
    <t xml:space="preserve">2GT-562-6</t>
  </si>
  <si>
    <t xml:space="preserve">2GT-562-7</t>
  </si>
  <si>
    <t xml:space="preserve">2GT-570-10</t>
  </si>
  <si>
    <t xml:space="preserve">570</t>
  </si>
  <si>
    <t xml:space="preserve">2GT-570-15</t>
  </si>
  <si>
    <t xml:space="preserve">2GT-570-6</t>
  </si>
  <si>
    <t xml:space="preserve">2GT-570-7</t>
  </si>
  <si>
    <t xml:space="preserve">2GT-578-10</t>
  </si>
  <si>
    <t xml:space="preserve">578</t>
  </si>
  <si>
    <t xml:space="preserve">2GT-578-15</t>
  </si>
  <si>
    <t xml:space="preserve">2GT-578-6</t>
  </si>
  <si>
    <t xml:space="preserve">2GT-578-7</t>
  </si>
  <si>
    <t xml:space="preserve">2GT-586-10</t>
  </si>
  <si>
    <t xml:space="preserve">586</t>
  </si>
  <si>
    <t xml:space="preserve">2GT-586-15</t>
  </si>
  <si>
    <t xml:space="preserve">2GT-586-6</t>
  </si>
  <si>
    <t xml:space="preserve">2GT-586-7</t>
  </si>
  <si>
    <t xml:space="preserve">2GT-600-10</t>
  </si>
  <si>
    <t xml:space="preserve">600</t>
  </si>
  <si>
    <t xml:space="preserve">2GT-600-15</t>
  </si>
  <si>
    <t xml:space="preserve">2GT-600-6</t>
  </si>
  <si>
    <t xml:space="preserve">2GT-600-7</t>
  </si>
  <si>
    <t xml:space="preserve">2GT-604-10</t>
  </si>
  <si>
    <t xml:space="preserve">604</t>
  </si>
  <si>
    <t xml:space="preserve">2GT-604-15</t>
  </si>
  <si>
    <t xml:space="preserve">2GT-604-6</t>
  </si>
  <si>
    <t xml:space="preserve">2GT-604-7</t>
  </si>
  <si>
    <t xml:space="preserve">2GT-606-10</t>
  </si>
  <si>
    <t xml:space="preserve">606</t>
  </si>
  <si>
    <t xml:space="preserve">2GT-606-15</t>
  </si>
  <si>
    <t xml:space="preserve">2GT-606-6</t>
  </si>
  <si>
    <t xml:space="preserve">2GT-606-7</t>
  </si>
  <si>
    <t xml:space="preserve">2GT-610-10</t>
  </si>
  <si>
    <t xml:space="preserve">610</t>
  </si>
  <si>
    <t xml:space="preserve">2GT-610-15</t>
  </si>
  <si>
    <t xml:space="preserve">2GT-610-6</t>
  </si>
  <si>
    <t xml:space="preserve">2GT-610-6.5</t>
  </si>
  <si>
    <t xml:space="preserve">6.5</t>
  </si>
  <si>
    <t xml:space="preserve">2GT-610-9</t>
  </si>
  <si>
    <t xml:space="preserve">2GT-616-10</t>
  </si>
  <si>
    <t xml:space="preserve">616</t>
  </si>
  <si>
    <t xml:space="preserve">2GT-616-15</t>
  </si>
  <si>
    <t xml:space="preserve">2GT-616-6</t>
  </si>
  <si>
    <t xml:space="preserve">2GT-616-6.5</t>
  </si>
  <si>
    <t xml:space="preserve">2GT-616-9</t>
  </si>
  <si>
    <t xml:space="preserve">2GT-622-10</t>
  </si>
  <si>
    <t xml:space="preserve">622</t>
  </si>
  <si>
    <t xml:space="preserve">2GT-622-15</t>
  </si>
  <si>
    <t xml:space="preserve">2GT-622-6</t>
  </si>
  <si>
    <t xml:space="preserve">2GT-622-6.5</t>
  </si>
  <si>
    <t xml:space="preserve">2GT-622-9</t>
  </si>
  <si>
    <t xml:space="preserve">2GT-630-10</t>
  </si>
  <si>
    <t xml:space="preserve">630</t>
  </si>
  <si>
    <t xml:space="preserve">2GT-630-15</t>
  </si>
  <si>
    <t xml:space="preserve">2GT-630-6</t>
  </si>
  <si>
    <t xml:space="preserve">2GT-630-6.5</t>
  </si>
  <si>
    <t xml:space="preserve">2GT-630-9</t>
  </si>
  <si>
    <t xml:space="preserve">2GT-634-10</t>
  </si>
  <si>
    <t xml:space="preserve">634</t>
  </si>
  <si>
    <t xml:space="preserve">2GT-634-15</t>
  </si>
  <si>
    <t xml:space="preserve">2GT-634-6</t>
  </si>
  <si>
    <t xml:space="preserve">2GT-634-6.5</t>
  </si>
  <si>
    <t xml:space="preserve">2GT-634-9</t>
  </si>
  <si>
    <t xml:space="preserve">2GT-636-10</t>
  </si>
  <si>
    <t xml:space="preserve">636</t>
  </si>
  <si>
    <t xml:space="preserve">2GT-636-15</t>
  </si>
  <si>
    <t xml:space="preserve">2GT-636-6</t>
  </si>
  <si>
    <t xml:space="preserve">2GT-636-6.5</t>
  </si>
  <si>
    <t xml:space="preserve">2GT-636-9</t>
  </si>
  <si>
    <t xml:space="preserve">2GT-640-10</t>
  </si>
  <si>
    <t xml:space="preserve">640</t>
  </si>
  <si>
    <t xml:space="preserve">2GT-640-15</t>
  </si>
  <si>
    <t xml:space="preserve">2GT-640-6</t>
  </si>
  <si>
    <t xml:space="preserve">2GT-640-6.5</t>
  </si>
  <si>
    <t xml:space="preserve">2GT-640-9</t>
  </si>
  <si>
    <t xml:space="preserve">2GT-646-10</t>
  </si>
  <si>
    <t xml:space="preserve">646</t>
  </si>
  <si>
    <t xml:space="preserve">2GT-646-15</t>
  </si>
  <si>
    <t xml:space="preserve">2GT-646-6</t>
  </si>
  <si>
    <t xml:space="preserve">2GT-646-6.5</t>
  </si>
  <si>
    <t xml:space="preserve">2GT-646-9</t>
  </si>
  <si>
    <t xml:space="preserve">2GT-648-10</t>
  </si>
  <si>
    <t xml:space="preserve">648</t>
  </si>
  <si>
    <t xml:space="preserve">2GT-648-15</t>
  </si>
  <si>
    <t xml:space="preserve">2GT-648-6</t>
  </si>
  <si>
    <t xml:space="preserve">2GT-648-6.5</t>
  </si>
  <si>
    <t xml:space="preserve">2GT-648-9</t>
  </si>
  <si>
    <t xml:space="preserve">2GT-650-10</t>
  </si>
  <si>
    <t xml:space="preserve">650</t>
  </si>
  <si>
    <t xml:space="preserve">2GT-650-15</t>
  </si>
  <si>
    <t xml:space="preserve">2GT-650-6</t>
  </si>
  <si>
    <t xml:space="preserve">2GT-650-6.5</t>
  </si>
  <si>
    <t xml:space="preserve">2GT-650-9</t>
  </si>
  <si>
    <t xml:space="preserve">2GT-656-10</t>
  </si>
  <si>
    <t xml:space="preserve">656</t>
  </si>
  <si>
    <t xml:space="preserve">2GT-656-15</t>
  </si>
  <si>
    <t xml:space="preserve">2GT-656-6</t>
  </si>
  <si>
    <t xml:space="preserve">2GT-656-6.5</t>
  </si>
  <si>
    <t xml:space="preserve">2GT-656-9</t>
  </si>
  <si>
    <t xml:space="preserve">2GT-660-10</t>
  </si>
  <si>
    <t xml:space="preserve">660</t>
  </si>
  <si>
    <t xml:space="preserve">2GT-660-15</t>
  </si>
  <si>
    <t xml:space="preserve">2GT-660-6</t>
  </si>
  <si>
    <t xml:space="preserve">2GT-660-6.5</t>
  </si>
  <si>
    <t xml:space="preserve">2GT-660-9</t>
  </si>
  <si>
    <t xml:space="preserve">2GT-670-10</t>
  </si>
  <si>
    <t xml:space="preserve">670</t>
  </si>
  <si>
    <t xml:space="preserve">2GT-670-15</t>
  </si>
  <si>
    <t xml:space="preserve">2GT-670-6</t>
  </si>
  <si>
    <t xml:space="preserve">2GT-670-6.5</t>
  </si>
  <si>
    <t xml:space="preserve">2GT-670-9</t>
  </si>
  <si>
    <t xml:space="preserve">2GT-676-10</t>
  </si>
  <si>
    <t xml:space="preserve">676</t>
  </si>
  <si>
    <t xml:space="preserve">2GT-676-15</t>
  </si>
  <si>
    <t xml:space="preserve">2GT-676-6</t>
  </si>
  <si>
    <t xml:space="preserve">2GT-676-6.5</t>
  </si>
  <si>
    <t xml:space="preserve">2GT-676-9</t>
  </si>
  <si>
    <t xml:space="preserve">2GT-680-10</t>
  </si>
  <si>
    <t xml:space="preserve">680</t>
  </si>
  <si>
    <t xml:space="preserve">2GT-680-15</t>
  </si>
  <si>
    <t xml:space="preserve">2GT-680-6</t>
  </si>
  <si>
    <t xml:space="preserve">2GT-680-6.5</t>
  </si>
  <si>
    <t xml:space="preserve">2GT-680-9</t>
  </si>
  <si>
    <t xml:space="preserve">2GT-686-10</t>
  </si>
  <si>
    <t xml:space="preserve">686</t>
  </si>
  <si>
    <t xml:space="preserve">2GT-686-15</t>
  </si>
  <si>
    <t xml:space="preserve">2GT-686-6</t>
  </si>
  <si>
    <t xml:space="preserve">2GT-686-6.5</t>
  </si>
  <si>
    <t xml:space="preserve">2GT-686-9</t>
  </si>
  <si>
    <t xml:space="preserve">2GT-690-10</t>
  </si>
  <si>
    <t xml:space="preserve">690</t>
  </si>
  <si>
    <t xml:space="preserve">2GT-690-15</t>
  </si>
  <si>
    <t xml:space="preserve">2GT-690-6</t>
  </si>
  <si>
    <t xml:space="preserve">2GT-690-6.5</t>
  </si>
  <si>
    <t xml:space="preserve">2GT-690-9</t>
  </si>
  <si>
    <t xml:space="preserve">2GT-696-10</t>
  </si>
  <si>
    <t xml:space="preserve">696</t>
  </si>
  <si>
    <t xml:space="preserve">2GT-696-15</t>
  </si>
  <si>
    <t xml:space="preserve">2GT-696-6</t>
  </si>
  <si>
    <t xml:space="preserve">2GT-696-6.5</t>
  </si>
  <si>
    <t xml:space="preserve">2GT-696-9</t>
  </si>
  <si>
    <t xml:space="preserve">2GT-700-10</t>
  </si>
  <si>
    <t xml:space="preserve">700</t>
  </si>
  <si>
    <t xml:space="preserve">2GT-700-15</t>
  </si>
  <si>
    <t xml:space="preserve">2GT-700-6</t>
  </si>
  <si>
    <t xml:space="preserve">2GT-700-6.5</t>
  </si>
  <si>
    <t xml:space="preserve">2GT-700-9</t>
  </si>
  <si>
    <t xml:space="preserve">2GT-702-10</t>
  </si>
  <si>
    <t xml:space="preserve">702</t>
  </si>
  <si>
    <t xml:space="preserve">2GT-702-15</t>
  </si>
  <si>
    <t xml:space="preserve">2GT-702-6</t>
  </si>
  <si>
    <t xml:space="preserve">2GT-702-6.5</t>
  </si>
  <si>
    <t xml:space="preserve">2GT-702-9</t>
  </si>
  <si>
    <t xml:space="preserve">2GT-710-10</t>
  </si>
  <si>
    <t xml:space="preserve">710</t>
  </si>
  <si>
    <t xml:space="preserve">2GT-710-15</t>
  </si>
  <si>
    <t xml:space="preserve">2GT-710-6</t>
  </si>
  <si>
    <t xml:space="preserve">2GT-710-6.5</t>
  </si>
  <si>
    <t xml:space="preserve">2GT-710-9</t>
  </si>
  <si>
    <t xml:space="preserve">2GT-720-10</t>
  </si>
  <si>
    <t xml:space="preserve">720</t>
  </si>
  <si>
    <t xml:space="preserve">2GT-720-15</t>
  </si>
  <si>
    <t xml:space="preserve">2GT-720-6</t>
  </si>
  <si>
    <t xml:space="preserve">2GT-720-6.5</t>
  </si>
  <si>
    <t xml:space="preserve">2GT-720-9</t>
  </si>
  <si>
    <t xml:space="preserve">2GT-726-10</t>
  </si>
  <si>
    <t xml:space="preserve">726</t>
  </si>
  <si>
    <t xml:space="preserve">2GT-726-15</t>
  </si>
  <si>
    <t xml:space="preserve">2GT-726-6</t>
  </si>
  <si>
    <t xml:space="preserve">2GT-726-9</t>
  </si>
  <si>
    <t xml:space="preserve">2GT-730-10</t>
  </si>
  <si>
    <t xml:space="preserve">730</t>
  </si>
  <si>
    <t xml:space="preserve">2GT-730-15</t>
  </si>
  <si>
    <t xml:space="preserve">2GT-730-6</t>
  </si>
  <si>
    <t xml:space="preserve">2GT-730-9</t>
  </si>
  <si>
    <t xml:space="preserve">2GT-738-10</t>
  </si>
  <si>
    <t xml:space="preserve">738</t>
  </si>
  <si>
    <t xml:space="preserve">2GT-738-15</t>
  </si>
  <si>
    <t xml:space="preserve">2GT-738-6</t>
  </si>
  <si>
    <t xml:space="preserve">2GT-738-9</t>
  </si>
  <si>
    <t xml:space="preserve">2GT-740-10</t>
  </si>
  <si>
    <t xml:space="preserve">740</t>
  </si>
  <si>
    <t xml:space="preserve">2GT-740-15</t>
  </si>
  <si>
    <t xml:space="preserve">2GT-740-6</t>
  </si>
  <si>
    <t xml:space="preserve">2GT-740-9</t>
  </si>
  <si>
    <t xml:space="preserve">2GT-742-10</t>
  </si>
  <si>
    <t xml:space="preserve">742</t>
  </si>
  <si>
    <t xml:space="preserve">2GT-742-15</t>
  </si>
  <si>
    <t xml:space="preserve">2GT-742-6</t>
  </si>
  <si>
    <t xml:space="preserve">2GT-742-9</t>
  </si>
  <si>
    <t xml:space="preserve">2GT-750-10</t>
  </si>
  <si>
    <t xml:space="preserve">750</t>
  </si>
  <si>
    <t xml:space="preserve">2GT-750-15</t>
  </si>
  <si>
    <t xml:space="preserve">2GT-750-6</t>
  </si>
  <si>
    <t xml:space="preserve">2GT-750-9</t>
  </si>
  <si>
    <t xml:space="preserve">2GT-752-10</t>
  </si>
  <si>
    <t xml:space="preserve">752</t>
  </si>
  <si>
    <t xml:space="preserve">2GT-752-15</t>
  </si>
  <si>
    <t xml:space="preserve">2GT-752-6</t>
  </si>
  <si>
    <t xml:space="preserve">2GT-752-9</t>
  </si>
  <si>
    <t xml:space="preserve">2GT-760-10</t>
  </si>
  <si>
    <t xml:space="preserve">760</t>
  </si>
  <si>
    <t xml:space="preserve">2GT-760-15</t>
  </si>
  <si>
    <t xml:space="preserve">2GT-760-6</t>
  </si>
  <si>
    <t xml:space="preserve">2GT-760-9</t>
  </si>
  <si>
    <t xml:space="preserve">2GT-766-10</t>
  </si>
  <si>
    <t xml:space="preserve">766</t>
  </si>
  <si>
    <t xml:space="preserve">2GT-766-15</t>
  </si>
  <si>
    <t xml:space="preserve">2GT-766-6</t>
  </si>
  <si>
    <t xml:space="preserve">2GT-766-9</t>
  </si>
  <si>
    <t xml:space="preserve">2GT-770-10</t>
  </si>
  <si>
    <t xml:space="preserve">770</t>
  </si>
  <si>
    <t xml:space="preserve">2GT-770-15</t>
  </si>
  <si>
    <t xml:space="preserve">2GT-770-6</t>
  </si>
  <si>
    <t xml:space="preserve">2GT-770-9</t>
  </si>
  <si>
    <t xml:space="preserve">2GT-782-10</t>
  </si>
  <si>
    <t xml:space="preserve">782</t>
  </si>
  <si>
    <t xml:space="preserve">2GT-782-15</t>
  </si>
  <si>
    <t xml:space="preserve">2GT-782-6</t>
  </si>
  <si>
    <t xml:space="preserve">2GT-782-9</t>
  </si>
  <si>
    <t xml:space="preserve">2GT-784-10</t>
  </si>
  <si>
    <t xml:space="preserve">784</t>
  </si>
  <si>
    <t xml:space="preserve">2GT-784-15</t>
  </si>
  <si>
    <t xml:space="preserve">2GT-784-6</t>
  </si>
  <si>
    <t xml:space="preserve">2GT-784-9</t>
  </si>
  <si>
    <t xml:space="preserve">2GT-796-10</t>
  </si>
  <si>
    <t xml:space="preserve">796</t>
  </si>
  <si>
    <t xml:space="preserve">2GT-796-15</t>
  </si>
  <si>
    <t xml:space="preserve">2GT-796-6</t>
  </si>
  <si>
    <t xml:space="preserve">2GT-796-9</t>
  </si>
  <si>
    <t xml:space="preserve">2GT-800-10</t>
  </si>
  <si>
    <t xml:space="preserve">800</t>
  </si>
  <si>
    <t xml:space="preserve">2GT-800-15</t>
  </si>
  <si>
    <t xml:space="preserve">2GT-800-6</t>
  </si>
  <si>
    <t xml:space="preserve">2GT-800-9</t>
  </si>
  <si>
    <t xml:space="preserve">2GT-810-10</t>
  </si>
  <si>
    <t xml:space="preserve">810</t>
  </si>
  <si>
    <t xml:space="preserve">2GT-810-15</t>
  </si>
  <si>
    <t xml:space="preserve">2GT-810-6</t>
  </si>
  <si>
    <t xml:space="preserve">2GT-810-9</t>
  </si>
  <si>
    <t xml:space="preserve">2GT-824-10</t>
  </si>
  <si>
    <t xml:space="preserve">824</t>
  </si>
  <si>
    <t xml:space="preserve">2GT-824-15</t>
  </si>
  <si>
    <t xml:space="preserve">2GT-824-6</t>
  </si>
  <si>
    <t xml:space="preserve">2GT-824-9</t>
  </si>
  <si>
    <t xml:space="preserve">2GT-826-10</t>
  </si>
  <si>
    <t xml:space="preserve">826</t>
  </si>
  <si>
    <t xml:space="preserve">2GT-826-15</t>
  </si>
  <si>
    <t xml:space="preserve">2GT-826-6</t>
  </si>
  <si>
    <t xml:space="preserve">2GT-826-9</t>
  </si>
  <si>
    <t xml:space="preserve">2GT-840-10</t>
  </si>
  <si>
    <t xml:space="preserve">840</t>
  </si>
  <si>
    <t xml:space="preserve">2GT-840-15</t>
  </si>
  <si>
    <t xml:space="preserve">2GT-840-6</t>
  </si>
  <si>
    <t xml:space="preserve">2GT-840-9</t>
  </si>
  <si>
    <t xml:space="preserve">2GT-848-10</t>
  </si>
  <si>
    <t xml:space="preserve">848</t>
  </si>
  <si>
    <t xml:space="preserve">2GT-848-15</t>
  </si>
  <si>
    <t xml:space="preserve">2GT-848-6</t>
  </si>
  <si>
    <t xml:space="preserve">2GT-848-9</t>
  </si>
  <si>
    <t xml:space="preserve">2GT-850-10</t>
  </si>
  <si>
    <t xml:space="preserve">850</t>
  </si>
  <si>
    <t xml:space="preserve">2GT-850-15</t>
  </si>
  <si>
    <t xml:space="preserve">2GT-850-6</t>
  </si>
  <si>
    <t xml:space="preserve">2GT-850-9</t>
  </si>
  <si>
    <t xml:space="preserve">2GT-852-10</t>
  </si>
  <si>
    <t xml:space="preserve">852</t>
  </si>
  <si>
    <t xml:space="preserve">2GT-852-15</t>
  </si>
  <si>
    <t xml:space="preserve">2GT-852-6</t>
  </si>
  <si>
    <t xml:space="preserve">2GT-852-9</t>
  </si>
  <si>
    <t xml:space="preserve">2GT-860-10</t>
  </si>
  <si>
    <t xml:space="preserve">860</t>
  </si>
  <si>
    <t xml:space="preserve">2GT-860-15</t>
  </si>
  <si>
    <t xml:space="preserve">2GT-860-6</t>
  </si>
  <si>
    <t xml:space="preserve">2GT-860-9</t>
  </si>
  <si>
    <t xml:space="preserve">2GT-870-10</t>
  </si>
  <si>
    <t xml:space="preserve">870</t>
  </si>
  <si>
    <t xml:space="preserve">2GT-870-15</t>
  </si>
  <si>
    <t xml:space="preserve">2GT-870-6</t>
  </si>
  <si>
    <t xml:space="preserve">2GT-870-9</t>
  </si>
  <si>
    <t xml:space="preserve">2GT-872-10</t>
  </si>
  <si>
    <t xml:space="preserve">872</t>
  </si>
  <si>
    <t xml:space="preserve">2GT-872-15</t>
  </si>
  <si>
    <t xml:space="preserve">2GT-872-6</t>
  </si>
  <si>
    <t xml:space="preserve">2GT-872-9</t>
  </si>
  <si>
    <t xml:space="preserve">2GT-892-10</t>
  </si>
  <si>
    <t xml:space="preserve">892</t>
  </si>
  <si>
    <t xml:space="preserve">2GT-892-15</t>
  </si>
  <si>
    <t xml:space="preserve">2GT-892-6</t>
  </si>
  <si>
    <t xml:space="preserve">2GT-892-9</t>
  </si>
  <si>
    <t xml:space="preserve">2GT-900-10</t>
  </si>
  <si>
    <t xml:space="preserve">900</t>
  </si>
  <si>
    <t xml:space="preserve">2GT-900-15</t>
  </si>
  <si>
    <t xml:space="preserve">2GT-900-6</t>
  </si>
  <si>
    <t xml:space="preserve">2GT-900-9</t>
  </si>
  <si>
    <t xml:space="preserve">2GT-906-10</t>
  </si>
  <si>
    <t xml:space="preserve">906</t>
  </si>
  <si>
    <t xml:space="preserve">2GT-906-15</t>
  </si>
  <si>
    <t xml:space="preserve">2GT-906-6</t>
  </si>
  <si>
    <t xml:space="preserve">2GT-906-9</t>
  </si>
  <si>
    <t xml:space="preserve">2GT-910-10</t>
  </si>
  <si>
    <t xml:space="preserve">910</t>
  </si>
  <si>
    <t xml:space="preserve">2GT-910-15</t>
  </si>
  <si>
    <t xml:space="preserve">2GT-910-6</t>
  </si>
  <si>
    <t xml:space="preserve">2GT-910-9</t>
  </si>
  <si>
    <t xml:space="preserve">2GT-918-10</t>
  </si>
  <si>
    <t xml:space="preserve">918</t>
  </si>
  <si>
    <t xml:space="preserve">2GT-918-15</t>
  </si>
  <si>
    <t xml:space="preserve">2GT-918-6</t>
  </si>
  <si>
    <t xml:space="preserve">2GT-918-9</t>
  </si>
  <si>
    <t xml:space="preserve">2GT-920-10</t>
  </si>
  <si>
    <t xml:space="preserve">920</t>
  </si>
  <si>
    <t xml:space="preserve">2GT-920-15</t>
  </si>
  <si>
    <t xml:space="preserve">2GT-920-6</t>
  </si>
  <si>
    <t xml:space="preserve">2GT-920-9</t>
  </si>
  <si>
    <t xml:space="preserve">2GT-922-10</t>
  </si>
  <si>
    <t xml:space="preserve">922</t>
  </si>
  <si>
    <t xml:space="preserve">2GT-922-15</t>
  </si>
  <si>
    <t xml:space="preserve">2GT-922-6</t>
  </si>
  <si>
    <t xml:space="preserve">2GT-922-9</t>
  </si>
  <si>
    <t xml:space="preserve">2GT-930-10</t>
  </si>
  <si>
    <t xml:space="preserve">930</t>
  </si>
  <si>
    <t xml:space="preserve">2GT-930-15</t>
  </si>
  <si>
    <t xml:space="preserve">2GT-930-6</t>
  </si>
  <si>
    <t xml:space="preserve">2GT-930-9</t>
  </si>
  <si>
    <t xml:space="preserve">2GT-932-10</t>
  </si>
  <si>
    <t xml:space="preserve">932</t>
  </si>
  <si>
    <t xml:space="preserve">2GT-932-15</t>
  </si>
  <si>
    <t xml:space="preserve">2GT-932-6</t>
  </si>
  <si>
    <t xml:space="preserve">2GT-932-9</t>
  </si>
  <si>
    <t xml:space="preserve">2GT-950-10</t>
  </si>
  <si>
    <t xml:space="preserve">950</t>
  </si>
  <si>
    <t xml:space="preserve">2GT-950-15</t>
  </si>
  <si>
    <t xml:space="preserve">2GT-950-4</t>
  </si>
  <si>
    <t xml:space="preserve">2GT-950-6</t>
  </si>
  <si>
    <t xml:space="preserve">2GT-950-9</t>
  </si>
  <si>
    <t xml:space="preserve">2GT-960-10</t>
  </si>
  <si>
    <t xml:space="preserve">960</t>
  </si>
  <si>
    <t xml:space="preserve">2GT-960-15</t>
  </si>
  <si>
    <t xml:space="preserve">2GT-960-4</t>
  </si>
  <si>
    <t xml:space="preserve">2GT-960-6</t>
  </si>
  <si>
    <t xml:space="preserve">2GT-960-9</t>
  </si>
  <si>
    <t xml:space="preserve">2GT-972-10</t>
  </si>
  <si>
    <t xml:space="preserve">972</t>
  </si>
  <si>
    <t xml:space="preserve">2GT-972-15</t>
  </si>
  <si>
    <t xml:space="preserve">2GT-972-4</t>
  </si>
  <si>
    <t xml:space="preserve">2GT-972-6</t>
  </si>
  <si>
    <t xml:space="preserve">2GT-972-9</t>
  </si>
  <si>
    <t xml:space="preserve">2GT-976-10</t>
  </si>
  <si>
    <t xml:space="preserve">976</t>
  </si>
  <si>
    <t xml:space="preserve">2GT-976-15</t>
  </si>
  <si>
    <t xml:space="preserve">2GT-976-4</t>
  </si>
  <si>
    <t xml:space="preserve">2GT-976-6</t>
  </si>
  <si>
    <t xml:space="preserve">2GT-976-9</t>
  </si>
  <si>
    <t xml:space="preserve">RF-2GT-1220-10</t>
  </si>
  <si>
    <t xml:space="preserve">RF-2GT-1220-15</t>
  </si>
  <si>
    <t xml:space="preserve">RF-2GT-1220-6</t>
  </si>
  <si>
    <t xml:space="preserve">RF-2GT-1220-9</t>
  </si>
  <si>
    <t xml:space="preserve">RF-2GT-1228-10</t>
  </si>
  <si>
    <t xml:space="preserve">RF-2GT-1228-15</t>
  </si>
  <si>
    <t xml:space="preserve">RF-2GT-1228-6</t>
  </si>
  <si>
    <t xml:space="preserve">RF-2GT-1228-9</t>
  </si>
  <si>
    <t xml:space="preserve">RF-2GT-1424-10</t>
  </si>
  <si>
    <t xml:space="preserve">RF-2GT-1424-15</t>
  </si>
  <si>
    <t xml:space="preserve">RF-2GT-1424-6</t>
  </si>
  <si>
    <t xml:space="preserve">RF-2GT-1424-9</t>
  </si>
  <si>
    <t xml:space="preserve">RF-2GT-1500-10</t>
  </si>
  <si>
    <t xml:space="preserve">RF-2GT-1500-15</t>
  </si>
  <si>
    <t xml:space="preserve">RF-2GT-1500-6</t>
  </si>
  <si>
    <t xml:space="preserve">RF-2GT-1500-9</t>
  </si>
  <si>
    <t xml:space="preserve">RF-2GT-2000-10</t>
  </si>
  <si>
    <t xml:space="preserve">RF-2GT-2000-15</t>
  </si>
  <si>
    <t xml:space="preserve">RF-2GT-2000-6</t>
  </si>
  <si>
    <t xml:space="preserve">RF-2GT-2000-9</t>
  </si>
  <si>
    <t xml:space="preserve">RF-2GT-400-10</t>
  </si>
  <si>
    <t xml:space="preserve">RF-2GT-400-15</t>
  </si>
  <si>
    <t xml:space="preserve">RF-2GT-400-6</t>
  </si>
  <si>
    <t xml:space="preserve">RF-2GT-400-9</t>
  </si>
  <si>
    <t xml:space="preserve">RF-2GT-610-10</t>
  </si>
  <si>
    <t xml:space="preserve">RF-2GT-610-15</t>
  </si>
  <si>
    <t xml:space="preserve">RF-2GT-610-6</t>
  </si>
  <si>
    <t xml:space="preserve">RF-2GT-610-9</t>
  </si>
  <si>
    <t xml:space="preserve">RF-2GT-852-10</t>
  </si>
  <si>
    <t xml:space="preserve">RF-2GT-852-15</t>
  </si>
  <si>
    <t xml:space="preserve">RF-2GT-852-6</t>
  </si>
  <si>
    <t xml:space="preserve">RF-2GT-852-9</t>
  </si>
  <si>
    <t xml:space="preserve">RF-2GT-976-10</t>
  </si>
  <si>
    <t xml:space="preserve">RF-2GT-976-15</t>
  </si>
  <si>
    <t xml:space="preserve">RF-2GT-976-6</t>
  </si>
  <si>
    <t xml:space="preserve">RF-2GT-976-9</t>
  </si>
  <si>
    <t xml:space="preserve">2GT Closed-Loop Timing Belt, Length 50-160mm  [2GT Belts]</t>
  </si>
  <si>
    <t xml:space="preserve">100</t>
  </si>
  <si>
    <t xml:space="preserve">2GT-100-10</t>
  </si>
  <si>
    <t xml:space="preserve">2GT-100-12</t>
  </si>
  <si>
    <t xml:space="preserve">2GT-100-15</t>
  </si>
  <si>
    <t xml:space="preserve">2GT-100-2</t>
  </si>
  <si>
    <t xml:space="preserve">2GT-100-3</t>
  </si>
  <si>
    <t xml:space="preserve">2GT-100-4</t>
  </si>
  <si>
    <t xml:space="preserve">2GT-100-5</t>
  </si>
  <si>
    <t xml:space="preserve">2GT-100-6</t>
  </si>
  <si>
    <t xml:space="preserve">2GT-100-9</t>
  </si>
  <si>
    <t xml:space="preserve">2GT-102-10</t>
  </si>
  <si>
    <t xml:space="preserve">102</t>
  </si>
  <si>
    <t xml:space="preserve">2GT-102-12</t>
  </si>
  <si>
    <t xml:space="preserve">2GT-102-15</t>
  </si>
  <si>
    <t xml:space="preserve">2GT-102-2</t>
  </si>
  <si>
    <t xml:space="preserve">2GT-102-3</t>
  </si>
  <si>
    <t xml:space="preserve">2GT-102-4</t>
  </si>
  <si>
    <t xml:space="preserve">2GT-102-5</t>
  </si>
  <si>
    <t xml:space="preserve">2GT-102-6</t>
  </si>
  <si>
    <t xml:space="preserve">2GT-102-9</t>
  </si>
  <si>
    <t xml:space="preserve">2GT-104-10</t>
  </si>
  <si>
    <t xml:space="preserve">104</t>
  </si>
  <si>
    <t xml:space="preserve">2GT-104-12</t>
  </si>
  <si>
    <t xml:space="preserve">2GT-104-15</t>
  </si>
  <si>
    <t xml:space="preserve">2GT-104-2</t>
  </si>
  <si>
    <t xml:space="preserve">2GT-104-3</t>
  </si>
  <si>
    <t xml:space="preserve">2GT-104-4</t>
  </si>
  <si>
    <t xml:space="preserve">2GT-104-5</t>
  </si>
  <si>
    <t xml:space="preserve">2GT-104-6</t>
  </si>
  <si>
    <t xml:space="preserve">2GT-104-9</t>
  </si>
  <si>
    <t xml:space="preserve">2GT-106-10</t>
  </si>
  <si>
    <t xml:space="preserve">106</t>
  </si>
  <si>
    <t xml:space="preserve">2GT-106-12</t>
  </si>
  <si>
    <t xml:space="preserve">2GT-106-15</t>
  </si>
  <si>
    <t xml:space="preserve">2GT-106-2</t>
  </si>
  <si>
    <t xml:space="preserve">2GT-106-3</t>
  </si>
  <si>
    <t xml:space="preserve">2GT-106-4</t>
  </si>
  <si>
    <t xml:space="preserve">2GT-106-5</t>
  </si>
  <si>
    <t xml:space="preserve">2GT-106-6</t>
  </si>
  <si>
    <t xml:space="preserve">2GT-106-9</t>
  </si>
  <si>
    <t xml:space="preserve">2GT-108-10</t>
  </si>
  <si>
    <t xml:space="preserve">108</t>
  </si>
  <si>
    <t xml:space="preserve">2GT-108-12</t>
  </si>
  <si>
    <t xml:space="preserve">2GT-108-15</t>
  </si>
  <si>
    <t xml:space="preserve">2GT-108-2</t>
  </si>
  <si>
    <t xml:space="preserve">2GT-108-3</t>
  </si>
  <si>
    <t xml:space="preserve">2GT-108-4</t>
  </si>
  <si>
    <t xml:space="preserve">2GT-108-5</t>
  </si>
  <si>
    <t xml:space="preserve">2GT-108-6</t>
  </si>
  <si>
    <t xml:space="preserve">2GT-108-9</t>
  </si>
  <si>
    <t xml:space="preserve">2GT-110-10</t>
  </si>
  <si>
    <t xml:space="preserve">110</t>
  </si>
  <si>
    <t xml:space="preserve">2GT-110-12</t>
  </si>
  <si>
    <t xml:space="preserve">2GT-110-15</t>
  </si>
  <si>
    <t xml:space="preserve">2GT-110-2</t>
  </si>
  <si>
    <t xml:space="preserve">2GT-110-3</t>
  </si>
  <si>
    <t xml:space="preserve">2GT-110-4</t>
  </si>
  <si>
    <t xml:space="preserve">2GT-110-5</t>
  </si>
  <si>
    <t xml:space="preserve">2GT-110-6</t>
  </si>
  <si>
    <t xml:space="preserve">2GT-110-9</t>
  </si>
  <si>
    <t xml:space="preserve">2GT-112-10</t>
  </si>
  <si>
    <t xml:space="preserve">112</t>
  </si>
  <si>
    <t xml:space="preserve">2GT-112-12</t>
  </si>
  <si>
    <t xml:space="preserve">2GT-112-15</t>
  </si>
  <si>
    <t xml:space="preserve">2GT-112-2</t>
  </si>
  <si>
    <t xml:space="preserve">2GT-112-3</t>
  </si>
  <si>
    <t xml:space="preserve">2GT-112-4</t>
  </si>
  <si>
    <t xml:space="preserve">2GT-112-5</t>
  </si>
  <si>
    <t xml:space="preserve">2GT-112-6</t>
  </si>
  <si>
    <t xml:space="preserve">2GT-112-9</t>
  </si>
  <si>
    <t xml:space="preserve">2GT-114-10</t>
  </si>
  <si>
    <t xml:space="preserve">114</t>
  </si>
  <si>
    <t xml:space="preserve">2GT-114-12</t>
  </si>
  <si>
    <t xml:space="preserve">2GT-114-15</t>
  </si>
  <si>
    <t xml:space="preserve">2GT-114-2</t>
  </si>
  <si>
    <t xml:space="preserve">2GT-114-3</t>
  </si>
  <si>
    <t xml:space="preserve">2GT-114-4</t>
  </si>
  <si>
    <t xml:space="preserve">2GT-114-5</t>
  </si>
  <si>
    <t xml:space="preserve">2GT-114-6</t>
  </si>
  <si>
    <t xml:space="preserve">2GT-114-9</t>
  </si>
  <si>
    <t xml:space="preserve">2GT-116-10</t>
  </si>
  <si>
    <t xml:space="preserve">116</t>
  </si>
  <si>
    <t xml:space="preserve">2GT-116-12</t>
  </si>
  <si>
    <t xml:space="preserve">2GT-116-15</t>
  </si>
  <si>
    <t xml:space="preserve">2GT-116-2</t>
  </si>
  <si>
    <t xml:space="preserve">2GT-116-3</t>
  </si>
  <si>
    <t xml:space="preserve">2GT-116-4</t>
  </si>
  <si>
    <t xml:space="preserve">2GT-116-5</t>
  </si>
  <si>
    <t xml:space="preserve">2GT-116-6</t>
  </si>
  <si>
    <t xml:space="preserve">2GT-116-9</t>
  </si>
  <si>
    <t xml:space="preserve">2GT-118-10</t>
  </si>
  <si>
    <t xml:space="preserve">118</t>
  </si>
  <si>
    <t xml:space="preserve">2GT-118-12</t>
  </si>
  <si>
    <t xml:space="preserve">2GT-118-15</t>
  </si>
  <si>
    <t xml:space="preserve">2GT-118-2</t>
  </si>
  <si>
    <t xml:space="preserve">2GT-118-3</t>
  </si>
  <si>
    <t xml:space="preserve">2GT-118-4</t>
  </si>
  <si>
    <t xml:space="preserve">2GT-118-5</t>
  </si>
  <si>
    <t xml:space="preserve">2GT-118-6</t>
  </si>
  <si>
    <t xml:space="preserve">2GT-118-9</t>
  </si>
  <si>
    <t xml:space="preserve">2GT-120-10</t>
  </si>
  <si>
    <t xml:space="preserve">120</t>
  </si>
  <si>
    <t xml:space="preserve">2GT-120-12</t>
  </si>
  <si>
    <t xml:space="preserve">2GT-120-15</t>
  </si>
  <si>
    <t xml:space="preserve">2GT-120-2</t>
  </si>
  <si>
    <t xml:space="preserve">2GT-120-3</t>
  </si>
  <si>
    <t xml:space="preserve">2GT-120-4</t>
  </si>
  <si>
    <t xml:space="preserve">2GT-120-5</t>
  </si>
  <si>
    <t xml:space="preserve">2GT-120-6</t>
  </si>
  <si>
    <t xml:space="preserve">2GT-120-9</t>
  </si>
  <si>
    <t xml:space="preserve">2GT-122-10</t>
  </si>
  <si>
    <t xml:space="preserve">122</t>
  </si>
  <si>
    <t xml:space="preserve">2GT-122-12</t>
  </si>
  <si>
    <t xml:space="preserve">2GT-122-15</t>
  </si>
  <si>
    <t xml:space="preserve">2GT-122-2</t>
  </si>
  <si>
    <t xml:space="preserve">2GT-122-3</t>
  </si>
  <si>
    <t xml:space="preserve">2GT-122-4</t>
  </si>
  <si>
    <t xml:space="preserve">2GT-122-5</t>
  </si>
  <si>
    <t xml:space="preserve">2GT-122-6</t>
  </si>
  <si>
    <t xml:space="preserve">2GT-122-9</t>
  </si>
  <si>
    <t xml:space="preserve">2GT-124-10</t>
  </si>
  <si>
    <t xml:space="preserve">124</t>
  </si>
  <si>
    <t xml:space="preserve">2GT-124-12</t>
  </si>
  <si>
    <t xml:space="preserve">2GT-124-15</t>
  </si>
  <si>
    <t xml:space="preserve">2GT-124-2</t>
  </si>
  <si>
    <t xml:space="preserve">2GT-124-3</t>
  </si>
  <si>
    <t xml:space="preserve">2GT-124-4</t>
  </si>
  <si>
    <t xml:space="preserve">2GT-124-5</t>
  </si>
  <si>
    <t xml:space="preserve">2GT-124-6</t>
  </si>
  <si>
    <t xml:space="preserve">2GT-124-9</t>
  </si>
  <si>
    <t xml:space="preserve">2GT-126-10</t>
  </si>
  <si>
    <t xml:space="preserve">126</t>
  </si>
  <si>
    <t xml:space="preserve">2GT-126-12</t>
  </si>
  <si>
    <t xml:space="preserve">2GT-126-15</t>
  </si>
  <si>
    <t xml:space="preserve">2GT-126-2</t>
  </si>
  <si>
    <t xml:space="preserve">2GT-126-3</t>
  </si>
  <si>
    <t xml:space="preserve">2GT-126-4</t>
  </si>
  <si>
    <t xml:space="preserve">2GT-126-5</t>
  </si>
  <si>
    <t xml:space="preserve">2GT-126-6</t>
  </si>
  <si>
    <t xml:space="preserve">2GT-126-9</t>
  </si>
  <si>
    <t xml:space="preserve">2GT-128-10</t>
  </si>
  <si>
    <t xml:space="preserve">128</t>
  </si>
  <si>
    <t xml:space="preserve">2GT-128-12</t>
  </si>
  <si>
    <t xml:space="preserve">2GT-128-15</t>
  </si>
  <si>
    <t xml:space="preserve">2GT-128-2</t>
  </si>
  <si>
    <t xml:space="preserve">2GT-128-3</t>
  </si>
  <si>
    <t xml:space="preserve">2GT-128-4</t>
  </si>
  <si>
    <t xml:space="preserve">2GT-128-5</t>
  </si>
  <si>
    <t xml:space="preserve">2GT-128-6</t>
  </si>
  <si>
    <t xml:space="preserve">2GT-128-9</t>
  </si>
  <si>
    <t xml:space="preserve">2GT-130-10</t>
  </si>
  <si>
    <t xml:space="preserve">130</t>
  </si>
  <si>
    <t xml:space="preserve">2GT-130-12</t>
  </si>
  <si>
    <t xml:space="preserve">2GT-130-15</t>
  </si>
  <si>
    <t xml:space="preserve">2GT-130-2</t>
  </si>
  <si>
    <t xml:space="preserve">2GT-130-3</t>
  </si>
  <si>
    <t xml:space="preserve">2GT-130-4</t>
  </si>
  <si>
    <t xml:space="preserve">2GT-130-5</t>
  </si>
  <si>
    <t xml:space="preserve">2GT-130-6</t>
  </si>
  <si>
    <t xml:space="preserve">2GT-130-9</t>
  </si>
  <si>
    <t xml:space="preserve">2GT-132-10</t>
  </si>
  <si>
    <t xml:space="preserve">132</t>
  </si>
  <si>
    <t xml:space="preserve">2GT-132-12</t>
  </si>
  <si>
    <t xml:space="preserve">2GT-132-15</t>
  </si>
  <si>
    <t xml:space="preserve">2GT-132-2</t>
  </si>
  <si>
    <t xml:space="preserve">2GT-132-3</t>
  </si>
  <si>
    <t xml:space="preserve">2GT-132-4</t>
  </si>
  <si>
    <t xml:space="preserve">2GT-132-5</t>
  </si>
  <si>
    <t xml:space="preserve">2GT-132-6</t>
  </si>
  <si>
    <t xml:space="preserve">2GT-132-9</t>
  </si>
  <si>
    <t xml:space="preserve">2GT-134-10</t>
  </si>
  <si>
    <t xml:space="preserve">134</t>
  </si>
  <si>
    <t xml:space="preserve">2GT-134-12</t>
  </si>
  <si>
    <t xml:space="preserve">2GT-134-15</t>
  </si>
  <si>
    <t xml:space="preserve">2GT-134-2</t>
  </si>
  <si>
    <t xml:space="preserve">2GT-134-3</t>
  </si>
  <si>
    <t xml:space="preserve">2GT-134-4</t>
  </si>
  <si>
    <t xml:space="preserve">2GT-134-5</t>
  </si>
  <si>
    <t xml:space="preserve">2GT-134-6</t>
  </si>
  <si>
    <t xml:space="preserve">2GT-134-9</t>
  </si>
  <si>
    <t xml:space="preserve">2GT-136-10</t>
  </si>
  <si>
    <t xml:space="preserve">136</t>
  </si>
  <si>
    <t xml:space="preserve">2GT-136-12</t>
  </si>
  <si>
    <t xml:space="preserve">2GT-136-15</t>
  </si>
  <si>
    <t xml:space="preserve">2GT-136-2</t>
  </si>
  <si>
    <t xml:space="preserve">2GT-136-3</t>
  </si>
  <si>
    <t xml:space="preserve">2GT-136-4</t>
  </si>
  <si>
    <t xml:space="preserve">2GT-136-5</t>
  </si>
  <si>
    <t xml:space="preserve">2GT-136-6</t>
  </si>
  <si>
    <t xml:space="preserve">2GT-136-9</t>
  </si>
  <si>
    <t xml:space="preserve">2GT-138-10</t>
  </si>
  <si>
    <t xml:space="preserve">138</t>
  </si>
  <si>
    <t xml:space="preserve">2GT-138-12</t>
  </si>
  <si>
    <t xml:space="preserve">2GT-138-15</t>
  </si>
  <si>
    <t xml:space="preserve">2GT-138-2</t>
  </si>
  <si>
    <t xml:space="preserve">2GT-138-3</t>
  </si>
  <si>
    <t xml:space="preserve">2GT-138-4</t>
  </si>
  <si>
    <t xml:space="preserve">2GT-138-5</t>
  </si>
  <si>
    <t xml:space="preserve">2GT-138-6</t>
  </si>
  <si>
    <t xml:space="preserve">2GT-138-9</t>
  </si>
  <si>
    <t xml:space="preserve">2GT-140-10</t>
  </si>
  <si>
    <t xml:space="preserve">140</t>
  </si>
  <si>
    <t xml:space="preserve">2GT-140-12</t>
  </si>
  <si>
    <t xml:space="preserve">2GT-140-15</t>
  </si>
  <si>
    <t xml:space="preserve">2GT-140-2</t>
  </si>
  <si>
    <t xml:space="preserve">2GT-140-3</t>
  </si>
  <si>
    <t xml:space="preserve">2GT-140-4</t>
  </si>
  <si>
    <t xml:space="preserve">2GT-140-5</t>
  </si>
  <si>
    <t xml:space="preserve">2GT-140-6</t>
  </si>
  <si>
    <t xml:space="preserve">2GT-140-9</t>
  </si>
  <si>
    <t xml:space="preserve">2GT-142-10</t>
  </si>
  <si>
    <t xml:space="preserve">142</t>
  </si>
  <si>
    <t xml:space="preserve">2GT-142-12</t>
  </si>
  <si>
    <t xml:space="preserve">2GT-142-15</t>
  </si>
  <si>
    <t xml:space="preserve">2GT-142-2</t>
  </si>
  <si>
    <t xml:space="preserve">2GT-142-3</t>
  </si>
  <si>
    <t xml:space="preserve">2GT-142-4</t>
  </si>
  <si>
    <t xml:space="preserve">2GT-142-5</t>
  </si>
  <si>
    <t xml:space="preserve">2GT-142-6</t>
  </si>
  <si>
    <t xml:space="preserve">2GT-142-9</t>
  </si>
  <si>
    <t xml:space="preserve">2GT-144-10</t>
  </si>
  <si>
    <t xml:space="preserve">144</t>
  </si>
  <si>
    <t xml:space="preserve">2GT-144-12</t>
  </si>
  <si>
    <t xml:space="preserve">2GT-144-15</t>
  </si>
  <si>
    <t xml:space="preserve">2GT-144-2</t>
  </si>
  <si>
    <t xml:space="preserve">2GT-144-3</t>
  </si>
  <si>
    <t xml:space="preserve">2GT-144-4</t>
  </si>
  <si>
    <t xml:space="preserve">2GT-144-5</t>
  </si>
  <si>
    <t xml:space="preserve">2GT-144-6</t>
  </si>
  <si>
    <t xml:space="preserve">2GT-144-9</t>
  </si>
  <si>
    <t xml:space="preserve">2GT-146-10</t>
  </si>
  <si>
    <t xml:space="preserve">146</t>
  </si>
  <si>
    <t xml:space="preserve">2GT-146-12</t>
  </si>
  <si>
    <t xml:space="preserve">2GT-146-15</t>
  </si>
  <si>
    <t xml:space="preserve">2GT-146-2</t>
  </si>
  <si>
    <t xml:space="preserve">2GT-146-3</t>
  </si>
  <si>
    <t xml:space="preserve">2GT-146-4</t>
  </si>
  <si>
    <t xml:space="preserve">2GT-146-5</t>
  </si>
  <si>
    <t xml:space="preserve">2GT-146-6</t>
  </si>
  <si>
    <t xml:space="preserve">2GT-146-9</t>
  </si>
  <si>
    <t xml:space="preserve">2GT-148-10</t>
  </si>
  <si>
    <t xml:space="preserve">148</t>
  </si>
  <si>
    <t xml:space="preserve">2GT-148-12</t>
  </si>
  <si>
    <t xml:space="preserve">2GT-148-15</t>
  </si>
  <si>
    <t xml:space="preserve">2GT-148-2</t>
  </si>
  <si>
    <t xml:space="preserve">2GT-148-3</t>
  </si>
  <si>
    <t xml:space="preserve">2GT-148-4</t>
  </si>
  <si>
    <t xml:space="preserve">2GT-148-5</t>
  </si>
  <si>
    <t xml:space="preserve">2GT-148-6</t>
  </si>
  <si>
    <t xml:space="preserve">2GT-148-9</t>
  </si>
  <si>
    <t xml:space="preserve">2GT-150-10</t>
  </si>
  <si>
    <t xml:space="preserve">150</t>
  </si>
  <si>
    <t xml:space="preserve">2GT-150-12</t>
  </si>
  <si>
    <t xml:space="preserve">2GT-150-15</t>
  </si>
  <si>
    <t xml:space="preserve">2GT-150-2</t>
  </si>
  <si>
    <t xml:space="preserve">2GT-150-3</t>
  </si>
  <si>
    <t xml:space="preserve">2GT-150-4</t>
  </si>
  <si>
    <t xml:space="preserve">2GT-150-5</t>
  </si>
  <si>
    <t xml:space="preserve">2GT-150-6</t>
  </si>
  <si>
    <t xml:space="preserve">2GT-150-9</t>
  </si>
  <si>
    <t xml:space="preserve">2GT-152-10</t>
  </si>
  <si>
    <t xml:space="preserve">152</t>
  </si>
  <si>
    <t xml:space="preserve">2GT-152-12</t>
  </si>
  <si>
    <t xml:space="preserve">2GT-152-15</t>
  </si>
  <si>
    <t xml:space="preserve">2GT-152-2</t>
  </si>
  <si>
    <t xml:space="preserve">2GT-152-3</t>
  </si>
  <si>
    <t xml:space="preserve">2GT-152-4</t>
  </si>
  <si>
    <t xml:space="preserve">2GT-152-5</t>
  </si>
  <si>
    <t xml:space="preserve">2GT-152-6</t>
  </si>
  <si>
    <t xml:space="preserve">2GT-152-9</t>
  </si>
  <si>
    <t xml:space="preserve">2GT-154-10</t>
  </si>
  <si>
    <t xml:space="preserve">154</t>
  </si>
  <si>
    <t xml:space="preserve">2GT-154-12</t>
  </si>
  <si>
    <t xml:space="preserve">2GT-154-15</t>
  </si>
  <si>
    <t xml:space="preserve">2GT-154-2</t>
  </si>
  <si>
    <t xml:space="preserve">2GT-154-3</t>
  </si>
  <si>
    <t xml:space="preserve">2GT-154-4</t>
  </si>
  <si>
    <t xml:space="preserve">2GT-154-5</t>
  </si>
  <si>
    <t xml:space="preserve">2GT-154-6</t>
  </si>
  <si>
    <t xml:space="preserve">2GT-154-9</t>
  </si>
  <si>
    <t xml:space="preserve">2GT-156-10</t>
  </si>
  <si>
    <t xml:space="preserve">156</t>
  </si>
  <si>
    <t xml:space="preserve">2GT-156-12</t>
  </si>
  <si>
    <t xml:space="preserve">2GT-156-15</t>
  </si>
  <si>
    <t xml:space="preserve">2GT-156-2</t>
  </si>
  <si>
    <t xml:space="preserve">2GT-156-3</t>
  </si>
  <si>
    <t xml:space="preserve">2GT-156-4</t>
  </si>
  <si>
    <t xml:space="preserve">2GT-156-5</t>
  </si>
  <si>
    <t xml:space="preserve">2GT-156-6</t>
  </si>
  <si>
    <t xml:space="preserve">2GT-156-9</t>
  </si>
  <si>
    <t xml:space="preserve">2GT-158-10</t>
  </si>
  <si>
    <t xml:space="preserve">158</t>
  </si>
  <si>
    <t xml:space="preserve">2GT-158-12</t>
  </si>
  <si>
    <t xml:space="preserve">2GT-158-15</t>
  </si>
  <si>
    <t xml:space="preserve">2GT-158-2</t>
  </si>
  <si>
    <t xml:space="preserve">2GT-158-3</t>
  </si>
  <si>
    <t xml:space="preserve">2GT-158-4</t>
  </si>
  <si>
    <t xml:space="preserve">2GT-158-5</t>
  </si>
  <si>
    <t xml:space="preserve">2GT-158-6</t>
  </si>
  <si>
    <t xml:space="preserve">2GT-158-9</t>
  </si>
  <si>
    <t xml:space="preserve">2GT-160-10</t>
  </si>
  <si>
    <t xml:space="preserve">160</t>
  </si>
  <si>
    <t xml:space="preserve">2GT-160-12</t>
  </si>
  <si>
    <t xml:space="preserve">2GT-160-15</t>
  </si>
  <si>
    <t xml:space="preserve">2GT-160-2</t>
  </si>
  <si>
    <t xml:space="preserve">2GT-160-3</t>
  </si>
  <si>
    <t xml:space="preserve">2GT-160-4</t>
  </si>
  <si>
    <t xml:space="preserve">2GT-160-5</t>
  </si>
  <si>
    <t xml:space="preserve">2GT-160-6</t>
  </si>
  <si>
    <t xml:space="preserve">2GT-160-9</t>
  </si>
  <si>
    <t xml:space="preserve">2GT-50-10</t>
  </si>
  <si>
    <t xml:space="preserve">50</t>
  </si>
  <si>
    <t xml:space="preserve">2GT-50-12</t>
  </si>
  <si>
    <t xml:space="preserve">2GT-50-15</t>
  </si>
  <si>
    <t xml:space="preserve">2GT-50-2</t>
  </si>
  <si>
    <t xml:space="preserve">2GT-50-3</t>
  </si>
  <si>
    <t xml:space="preserve">2GT-50-4</t>
  </si>
  <si>
    <t xml:space="preserve">2GT-50-5</t>
  </si>
  <si>
    <t xml:space="preserve">2GT-50-6</t>
  </si>
  <si>
    <t xml:space="preserve">2GT-50-9</t>
  </si>
  <si>
    <t xml:space="preserve">2GT-52-10</t>
  </si>
  <si>
    <t xml:space="preserve">52</t>
  </si>
  <si>
    <t xml:space="preserve">2GT-52-12</t>
  </si>
  <si>
    <t xml:space="preserve">2GT-52-15</t>
  </si>
  <si>
    <t xml:space="preserve">2GT-52-2</t>
  </si>
  <si>
    <t xml:space="preserve">2GT-52-3</t>
  </si>
  <si>
    <t xml:space="preserve">2GT-52-4</t>
  </si>
  <si>
    <t xml:space="preserve">2GT-52-5</t>
  </si>
  <si>
    <t xml:space="preserve">2GT-52-6</t>
  </si>
  <si>
    <t xml:space="preserve">2GT-52-9</t>
  </si>
  <si>
    <t xml:space="preserve">2GT-54-10</t>
  </si>
  <si>
    <t xml:space="preserve">54</t>
  </si>
  <si>
    <t xml:space="preserve">2GT-54-12</t>
  </si>
  <si>
    <t xml:space="preserve">2GT-54-15</t>
  </si>
  <si>
    <t xml:space="preserve">2GT-54-2</t>
  </si>
  <si>
    <t xml:space="preserve">2GT-54-3</t>
  </si>
  <si>
    <t xml:space="preserve">2GT-54-4</t>
  </si>
  <si>
    <t xml:space="preserve">2GT-54-5</t>
  </si>
  <si>
    <t xml:space="preserve">2GT-54-6</t>
  </si>
  <si>
    <t xml:space="preserve">2GT-54-9</t>
  </si>
  <si>
    <t xml:space="preserve">2GT-56-10</t>
  </si>
  <si>
    <t xml:space="preserve">56</t>
  </si>
  <si>
    <t xml:space="preserve">2GT-56-12</t>
  </si>
  <si>
    <t xml:space="preserve">2GT-56-15</t>
  </si>
  <si>
    <t xml:space="preserve">2GT-56-2</t>
  </si>
  <si>
    <t xml:space="preserve">2GT-56-3</t>
  </si>
  <si>
    <t xml:space="preserve">2GT-56-4</t>
  </si>
  <si>
    <t xml:space="preserve">2GT-56-5</t>
  </si>
  <si>
    <t xml:space="preserve">2GT-56-6</t>
  </si>
  <si>
    <t xml:space="preserve">2GT-56-9</t>
  </si>
  <si>
    <t xml:space="preserve">2GT-58-10</t>
  </si>
  <si>
    <t xml:space="preserve">58</t>
  </si>
  <si>
    <t xml:space="preserve">2GT-58-12</t>
  </si>
  <si>
    <t xml:space="preserve">2GT-58-15</t>
  </si>
  <si>
    <t xml:space="preserve">2GT-58-2</t>
  </si>
  <si>
    <t xml:space="preserve">2GT-58-3</t>
  </si>
  <si>
    <t xml:space="preserve">2GT-58-4</t>
  </si>
  <si>
    <t xml:space="preserve">2GT-58-5</t>
  </si>
  <si>
    <t xml:space="preserve">2GT-58-6</t>
  </si>
  <si>
    <t xml:space="preserve">2GT-58-9</t>
  </si>
  <si>
    <t xml:space="preserve">2GT-60-10</t>
  </si>
  <si>
    <t xml:space="preserve">60</t>
  </si>
  <si>
    <t xml:space="preserve">2GT-60-12</t>
  </si>
  <si>
    <t xml:space="preserve">2GT-60-15</t>
  </si>
  <si>
    <t xml:space="preserve">2GT-60-2</t>
  </si>
  <si>
    <t xml:space="preserve">2GT-60-3</t>
  </si>
  <si>
    <t xml:space="preserve">2GT-60-4</t>
  </si>
  <si>
    <t xml:space="preserve">2GT-60-5</t>
  </si>
  <si>
    <t xml:space="preserve">2GT-60-6</t>
  </si>
  <si>
    <t xml:space="preserve">2GT-60-9</t>
  </si>
  <si>
    <t xml:space="preserve">2GT-62-10</t>
  </si>
  <si>
    <t xml:space="preserve">62</t>
  </si>
  <si>
    <t xml:space="preserve">2GT-62-12</t>
  </si>
  <si>
    <t xml:space="preserve">2GT-62-15</t>
  </si>
  <si>
    <t xml:space="preserve">2GT-62-2</t>
  </si>
  <si>
    <t xml:space="preserve">2GT-62-3</t>
  </si>
  <si>
    <t xml:space="preserve">2GT-62-4</t>
  </si>
  <si>
    <t xml:space="preserve">2GT-62-5</t>
  </si>
  <si>
    <t xml:space="preserve">2GT-62-6</t>
  </si>
  <si>
    <t xml:space="preserve">2GT-62-9</t>
  </si>
  <si>
    <t xml:space="preserve">2GT-64-10</t>
  </si>
  <si>
    <t xml:space="preserve">64</t>
  </si>
  <si>
    <t xml:space="preserve">2GT-64-12</t>
  </si>
  <si>
    <t xml:space="preserve">2GT-64-15</t>
  </si>
  <si>
    <t xml:space="preserve">2GT-64-2</t>
  </si>
  <si>
    <t xml:space="preserve">2GT-64-3</t>
  </si>
  <si>
    <t xml:space="preserve">2GT-64-4</t>
  </si>
  <si>
    <t xml:space="preserve">2GT-64-5</t>
  </si>
  <si>
    <t xml:space="preserve">2GT-64-6</t>
  </si>
  <si>
    <t xml:space="preserve">2GT-64-9</t>
  </si>
  <si>
    <t xml:space="preserve">2GT-66-10</t>
  </si>
  <si>
    <t xml:space="preserve">66</t>
  </si>
  <si>
    <t xml:space="preserve">2GT-66-12</t>
  </si>
  <si>
    <t xml:space="preserve">2GT-66-15</t>
  </si>
  <si>
    <t xml:space="preserve">2GT-66-2</t>
  </si>
  <si>
    <t xml:space="preserve">2GT-66-3</t>
  </si>
  <si>
    <t xml:space="preserve">2GT-66-4</t>
  </si>
  <si>
    <t xml:space="preserve">2GT-66-5</t>
  </si>
  <si>
    <t xml:space="preserve">2GT-66-6</t>
  </si>
  <si>
    <t xml:space="preserve">2GT-66-9</t>
  </si>
  <si>
    <t xml:space="preserve">2GT-68-10</t>
  </si>
  <si>
    <t xml:space="preserve">68</t>
  </si>
  <si>
    <t xml:space="preserve">2GT-68-12</t>
  </si>
  <si>
    <t xml:space="preserve">2GT-68-15</t>
  </si>
  <si>
    <t xml:space="preserve">2GT-68-2</t>
  </si>
  <si>
    <t xml:space="preserve">2GT-68-3</t>
  </si>
  <si>
    <t xml:space="preserve">2GT-68-4</t>
  </si>
  <si>
    <t xml:space="preserve">2GT-68-5</t>
  </si>
  <si>
    <t xml:space="preserve">2GT-68-6</t>
  </si>
  <si>
    <t xml:space="preserve">2GT-68-9</t>
  </si>
  <si>
    <t xml:space="preserve">2GT-70-10</t>
  </si>
  <si>
    <t xml:space="preserve">70</t>
  </si>
  <si>
    <t xml:space="preserve">2GT-70-12</t>
  </si>
  <si>
    <t xml:space="preserve">2GT-70-15</t>
  </si>
  <si>
    <t xml:space="preserve">2GT-70-2</t>
  </si>
  <si>
    <t xml:space="preserve">2GT-70-3</t>
  </si>
  <si>
    <t xml:space="preserve">2GT-70-4</t>
  </si>
  <si>
    <t xml:space="preserve">2GT-70-5</t>
  </si>
  <si>
    <t xml:space="preserve">2GT-70-6</t>
  </si>
  <si>
    <t xml:space="preserve">2GT-70-9</t>
  </si>
  <si>
    <t xml:space="preserve">2GT-72-10</t>
  </si>
  <si>
    <t xml:space="preserve">72</t>
  </si>
  <si>
    <t xml:space="preserve">2GT-72-12</t>
  </si>
  <si>
    <t xml:space="preserve">2GT-72-15</t>
  </si>
  <si>
    <t xml:space="preserve">2GT-72-2</t>
  </si>
  <si>
    <t xml:space="preserve">2GT-72-3</t>
  </si>
  <si>
    <t xml:space="preserve">2GT-72-4</t>
  </si>
  <si>
    <t xml:space="preserve">2GT-72-5</t>
  </si>
  <si>
    <t xml:space="preserve">2GT-72-6</t>
  </si>
  <si>
    <t xml:space="preserve">2GT-72-9</t>
  </si>
  <si>
    <t xml:space="preserve">2GT-74-10</t>
  </si>
  <si>
    <t xml:space="preserve">74</t>
  </si>
  <si>
    <t xml:space="preserve">2GT-74-12</t>
  </si>
  <si>
    <t xml:space="preserve">2GT-74-15</t>
  </si>
  <si>
    <t xml:space="preserve">2GT-74-2</t>
  </si>
  <si>
    <t xml:space="preserve">2GT-74-3</t>
  </si>
  <si>
    <t xml:space="preserve">2GT-74-4</t>
  </si>
  <si>
    <t xml:space="preserve">2GT-74-5</t>
  </si>
  <si>
    <t xml:space="preserve">2GT-74-6</t>
  </si>
  <si>
    <t xml:space="preserve">2GT-74-9</t>
  </si>
  <si>
    <t xml:space="preserve">2GT-76-10</t>
  </si>
  <si>
    <t xml:space="preserve">76</t>
  </si>
  <si>
    <t xml:space="preserve">2GT-76-12</t>
  </si>
  <si>
    <t xml:space="preserve">2GT-76-15</t>
  </si>
  <si>
    <t xml:space="preserve">2GT-76-2</t>
  </si>
  <si>
    <t xml:space="preserve">2GT-76-3</t>
  </si>
  <si>
    <t xml:space="preserve">2GT-76-4</t>
  </si>
  <si>
    <t xml:space="preserve">2GT-76-5</t>
  </si>
  <si>
    <t xml:space="preserve">2GT-76-6</t>
  </si>
  <si>
    <t xml:space="preserve">2GT-76-9</t>
  </si>
  <si>
    <t xml:space="preserve">2GT-78-10</t>
  </si>
  <si>
    <t xml:space="preserve">78</t>
  </si>
  <si>
    <t xml:space="preserve">2GT-78-12</t>
  </si>
  <si>
    <t xml:space="preserve">2GT-78-15</t>
  </si>
  <si>
    <t xml:space="preserve">2GT-78-2</t>
  </si>
  <si>
    <t xml:space="preserve">2GT-78-3</t>
  </si>
  <si>
    <t xml:space="preserve">2GT-78-4</t>
  </si>
  <si>
    <t xml:space="preserve">2GT-78-5</t>
  </si>
  <si>
    <t xml:space="preserve">2GT-78-6</t>
  </si>
  <si>
    <t xml:space="preserve">2GT-78-9</t>
  </si>
  <si>
    <t xml:space="preserve">2GT-80-10</t>
  </si>
  <si>
    <t xml:space="preserve">80</t>
  </si>
  <si>
    <t xml:space="preserve">2GT-80-12</t>
  </si>
  <si>
    <t xml:space="preserve">2GT-80-15</t>
  </si>
  <si>
    <t xml:space="preserve">2GT-80-2</t>
  </si>
  <si>
    <t xml:space="preserve">2GT-80-3</t>
  </si>
  <si>
    <t xml:space="preserve">2GT-80-4</t>
  </si>
  <si>
    <t xml:space="preserve">2GT-80-5</t>
  </si>
  <si>
    <t xml:space="preserve">2GT-80-6</t>
  </si>
  <si>
    <t xml:space="preserve">2GT-80-9</t>
  </si>
  <si>
    <t xml:space="preserve">2GT-82-10</t>
  </si>
  <si>
    <t xml:space="preserve">82</t>
  </si>
  <si>
    <t xml:space="preserve">2GT-82-12</t>
  </si>
  <si>
    <t xml:space="preserve">2GT-82-15</t>
  </si>
  <si>
    <t xml:space="preserve">2GT-82-2</t>
  </si>
  <si>
    <t xml:space="preserve">2GT-82-3</t>
  </si>
  <si>
    <t xml:space="preserve">2GT-82-4</t>
  </si>
  <si>
    <t xml:space="preserve">2GT-82-5</t>
  </si>
  <si>
    <t xml:space="preserve">2GT-82-6</t>
  </si>
  <si>
    <t xml:space="preserve">2GT-82-9</t>
  </si>
  <si>
    <t xml:space="preserve">2GT-84-10</t>
  </si>
  <si>
    <t xml:space="preserve">84</t>
  </si>
  <si>
    <t xml:space="preserve">2GT-84-12</t>
  </si>
  <si>
    <t xml:space="preserve">2GT-84-15</t>
  </si>
  <si>
    <t xml:space="preserve">2GT-84-2</t>
  </si>
  <si>
    <t xml:space="preserve">2GT-84-3</t>
  </si>
  <si>
    <t xml:space="preserve">2GT-84-4</t>
  </si>
  <si>
    <t xml:space="preserve">2GT-84-5</t>
  </si>
  <si>
    <t xml:space="preserve">2GT-84-6</t>
  </si>
  <si>
    <t xml:space="preserve">2GT-84-9</t>
  </si>
  <si>
    <t xml:space="preserve">2GT-86-10</t>
  </si>
  <si>
    <t xml:space="preserve">86</t>
  </si>
  <si>
    <t xml:space="preserve">2GT-86-12</t>
  </si>
  <si>
    <t xml:space="preserve">2GT-86-15</t>
  </si>
  <si>
    <t xml:space="preserve">2GT-86-2</t>
  </si>
  <si>
    <t xml:space="preserve">2GT-86-3</t>
  </si>
  <si>
    <t xml:space="preserve">2GT-86-4</t>
  </si>
  <si>
    <t xml:space="preserve">2GT-86-5</t>
  </si>
  <si>
    <t xml:space="preserve">2GT-86-6</t>
  </si>
  <si>
    <t xml:space="preserve">2GT-86-9</t>
  </si>
  <si>
    <t xml:space="preserve">2GT-88-10</t>
  </si>
  <si>
    <t xml:space="preserve">88</t>
  </si>
  <si>
    <t xml:space="preserve">2GT-88-12</t>
  </si>
  <si>
    <t xml:space="preserve">2GT-88-15</t>
  </si>
  <si>
    <t xml:space="preserve">2GT-88-2</t>
  </si>
  <si>
    <t xml:space="preserve">2GT-88-3</t>
  </si>
  <si>
    <t xml:space="preserve">2GT-88-4</t>
  </si>
  <si>
    <t xml:space="preserve">2GT-88-5</t>
  </si>
  <si>
    <t xml:space="preserve">2GT-88-6</t>
  </si>
  <si>
    <t xml:space="preserve">2GT-88-9</t>
  </si>
  <si>
    <t xml:space="preserve">2GT-90-10</t>
  </si>
  <si>
    <t xml:space="preserve">90</t>
  </si>
  <si>
    <t xml:space="preserve">2GT-90-12</t>
  </si>
  <si>
    <t xml:space="preserve">2GT-90-15</t>
  </si>
  <si>
    <t xml:space="preserve">2GT-90-2</t>
  </si>
  <si>
    <t xml:space="preserve">2GT-90-3</t>
  </si>
  <si>
    <t xml:space="preserve">2GT-90-4</t>
  </si>
  <si>
    <t xml:space="preserve">2GT-90-5</t>
  </si>
  <si>
    <t xml:space="preserve">2GT-90-6</t>
  </si>
  <si>
    <t xml:space="preserve">2GT-90-9</t>
  </si>
  <si>
    <t xml:space="preserve">2GT-92-10</t>
  </si>
  <si>
    <t xml:space="preserve">92</t>
  </si>
  <si>
    <t xml:space="preserve">2GT-92-12</t>
  </si>
  <si>
    <t xml:space="preserve">2GT-92-15</t>
  </si>
  <si>
    <t xml:space="preserve">2GT-92-2</t>
  </si>
  <si>
    <t xml:space="preserve">2GT-92-3</t>
  </si>
  <si>
    <t xml:space="preserve">2GT-92-4</t>
  </si>
  <si>
    <t xml:space="preserve">2GT-92-5</t>
  </si>
  <si>
    <t xml:space="preserve">2GT-92-6</t>
  </si>
  <si>
    <t xml:space="preserve">2GT-92-9</t>
  </si>
  <si>
    <t xml:space="preserve">2GT-94-10</t>
  </si>
  <si>
    <t xml:space="preserve">94</t>
  </si>
  <si>
    <t xml:space="preserve">2GT-94-12</t>
  </si>
  <si>
    <t xml:space="preserve">2GT-94-15</t>
  </si>
  <si>
    <t xml:space="preserve">2GT-94-2</t>
  </si>
  <si>
    <t xml:space="preserve">2GT-94-3</t>
  </si>
  <si>
    <t xml:space="preserve">2GT-94-4</t>
  </si>
  <si>
    <t xml:space="preserve">2GT-94-5</t>
  </si>
  <si>
    <t xml:space="preserve">2GT-94-6</t>
  </si>
  <si>
    <t xml:space="preserve">2GT-94-9</t>
  </si>
  <si>
    <t xml:space="preserve">2GT-96-10</t>
  </si>
  <si>
    <t xml:space="preserve">96</t>
  </si>
  <si>
    <t xml:space="preserve">2GT-96-12</t>
  </si>
  <si>
    <t xml:space="preserve">2GT-96-15</t>
  </si>
  <si>
    <t xml:space="preserve">2GT-96-2</t>
  </si>
  <si>
    <t xml:space="preserve">2GT-96-3</t>
  </si>
  <si>
    <t xml:space="preserve">2GT-96-4</t>
  </si>
  <si>
    <t xml:space="preserve">2GT-96-5</t>
  </si>
  <si>
    <t xml:space="preserve">2GT-96-6</t>
  </si>
  <si>
    <t xml:space="preserve">2GT-96-9</t>
  </si>
  <si>
    <t xml:space="preserve">2GT-98-10</t>
  </si>
  <si>
    <t xml:space="preserve">98</t>
  </si>
  <si>
    <t xml:space="preserve">2GT-98-12</t>
  </si>
  <si>
    <t xml:space="preserve">2GT-98-15</t>
  </si>
  <si>
    <t xml:space="preserve">2GT-98-2</t>
  </si>
  <si>
    <t xml:space="preserve">2GT-98-3</t>
  </si>
  <si>
    <t xml:space="preserve">2GT-98-4</t>
  </si>
  <si>
    <t xml:space="preserve">2GT-98-5</t>
  </si>
  <si>
    <t xml:space="preserve">2GT-98-6</t>
  </si>
  <si>
    <t xml:space="preserve">2GT-98-9</t>
  </si>
  <si>
    <t xml:space="preserve">RF-2GT-100-10</t>
  </si>
  <si>
    <t xml:space="preserve">RF-2GT-100-15</t>
  </si>
  <si>
    <t xml:space="preserve">RF-2GT-100-6</t>
  </si>
  <si>
    <t xml:space="preserve">RF-2GT-100-9</t>
  </si>
  <si>
    <t xml:space="preserve">RF-2GT-110-10</t>
  </si>
  <si>
    <t xml:space="preserve">RF-2GT-110-15</t>
  </si>
  <si>
    <t xml:space="preserve">RF-2GT-110-6</t>
  </si>
  <si>
    <t xml:space="preserve">RF-2GT-110-9</t>
  </si>
  <si>
    <t xml:space="preserve">RF-2GT-112-10</t>
  </si>
  <si>
    <t xml:space="preserve">RF-2GT-112-15</t>
  </si>
  <si>
    <t xml:space="preserve">RF-2GT-112-6</t>
  </si>
  <si>
    <t xml:space="preserve">RF-2GT-112-9</t>
  </si>
  <si>
    <t xml:space="preserve">RF-2GT-140-10</t>
  </si>
  <si>
    <t xml:space="preserve">RF-2GT-140-15</t>
  </si>
  <si>
    <t xml:space="preserve">RF-2GT-140-6</t>
  </si>
  <si>
    <t xml:space="preserve">RF-2GT-140-9</t>
  </si>
  <si>
    <t xml:space="preserve">RF-2GT-154-10</t>
  </si>
  <si>
    <t xml:space="preserve">RF-2GT-154-15</t>
  </si>
  <si>
    <t xml:space="preserve">RF-2GT-154-6</t>
  </si>
  <si>
    <t xml:space="preserve">RF-2GT-154-9</t>
  </si>
  <si>
    <t xml:space="preserve">RF-2GT-158-10</t>
  </si>
  <si>
    <t xml:space="preserve">RF-2GT-158-15</t>
  </si>
  <si>
    <t xml:space="preserve">RF-2GT-158-6</t>
  </si>
  <si>
    <t xml:space="preserve">RF-2GT-158-9</t>
  </si>
  <si>
    <t xml:space="preserve">RF-2GT-160-10</t>
  </si>
  <si>
    <t xml:space="preserve">RF-2GT-160-15</t>
  </si>
  <si>
    <t xml:space="preserve">RF-2GT-160-6</t>
  </si>
  <si>
    <t xml:space="preserve">RF-2GT-160-9</t>
  </si>
  <si>
    <t xml:space="preserve">RF-2GT-92-10</t>
  </si>
  <si>
    <t xml:space="preserve">RF-2GT-92-15</t>
  </si>
  <si>
    <t xml:space="preserve">RF-2GT-92-6</t>
  </si>
  <si>
    <t xml:space="preserve">RF-2GT-92-9</t>
  </si>
  <si>
    <t xml:space="preserve">2GT Closed-Loop Timing Belt, Special (Anti-static / Eco / Thick / Punched)  [2GT Belts]</t>
  </si>
  <si>
    <t xml:space="preserve">Anti-static</t>
  </si>
  <si>
    <t xml:space="preserve">AS-2GT-320-10</t>
  </si>
  <si>
    <t xml:space="preserve">AS-2GT-320-6</t>
  </si>
  <si>
    <t xml:space="preserve">AS-2GT-354-10</t>
  </si>
  <si>
    <t xml:space="preserve">AS-2GT-354-6</t>
  </si>
  <si>
    <t xml:space="preserve">AS-2GT-660-10</t>
  </si>
  <si>
    <t xml:space="preserve">AS-2GT-660-6</t>
  </si>
  <si>
    <t xml:space="preserve">ECO-2GT-232-6</t>
  </si>
  <si>
    <t xml:space="preserve">Eco</t>
  </si>
  <si>
    <t xml:space="preserve">ECO-2GT-450-6</t>
  </si>
  <si>
    <t xml:space="preserve">ECO-2GT-570-6</t>
  </si>
  <si>
    <t xml:space="preserve">H42-2GT-710-9</t>
  </si>
  <si>
    <t xml:space="preserve">Punched 4.2</t>
  </si>
  <si>
    <t xml:space="preserve">H42-2GT-800-9</t>
  </si>
  <si>
    <t xml:space="preserve">T27-2GT-240-6</t>
  </si>
  <si>
    <t xml:space="preserve">Thick 2.7mm</t>
  </si>
  <si>
    <t xml:space="preserve">3GT Open Timing Belt (per meter)  [3GT Belts]</t>
  </si>
  <si>
    <t xml:space="preserve">3GT-10-R-1M</t>
  </si>
  <si>
    <t xml:space="preserve">3GT-10-R-RL100</t>
  </si>
  <si>
    <t xml:space="preserve">3GT-15-R-1M</t>
  </si>
  <si>
    <t xml:space="preserve">3GT-6-R-1M</t>
  </si>
  <si>
    <t xml:space="preserve">3GT-9-R-1M</t>
  </si>
  <si>
    <t xml:space="preserve">3GT Closed-Loop Timing Belt  [3GT Belts]</t>
  </si>
  <si>
    <t xml:space="preserve">1041</t>
  </si>
  <si>
    <t xml:space="preserve">3GT-1041-10</t>
  </si>
  <si>
    <t xml:space="preserve">3GT-1041-6</t>
  </si>
  <si>
    <t xml:space="preserve">3GT-1041-9</t>
  </si>
  <si>
    <t xml:space="preserve">3GT-1050-10</t>
  </si>
  <si>
    <t xml:space="preserve">3GT-1050-6</t>
  </si>
  <si>
    <t xml:space="preserve">3GT-1050-9</t>
  </si>
  <si>
    <t xml:space="preserve">3GT-1245-10</t>
  </si>
  <si>
    <t xml:space="preserve">1245</t>
  </si>
  <si>
    <t xml:space="preserve">3GT-1245-6</t>
  </si>
  <si>
    <t xml:space="preserve">3GT-1245-9</t>
  </si>
  <si>
    <t xml:space="preserve">3GT-1305-10</t>
  </si>
  <si>
    <t xml:space="preserve">1305</t>
  </si>
  <si>
    <t xml:space="preserve">3GT-1305-6</t>
  </si>
  <si>
    <t xml:space="preserve">3GT-1305-9</t>
  </si>
  <si>
    <t xml:space="preserve">3GT-1986-10</t>
  </si>
  <si>
    <t xml:space="preserve">1986</t>
  </si>
  <si>
    <t xml:space="preserve">3GT-1986-6</t>
  </si>
  <si>
    <t xml:space="preserve">3GT-1986-9</t>
  </si>
  <si>
    <t xml:space="preserve">3GT-519-10</t>
  </si>
  <si>
    <t xml:space="preserve">519</t>
  </si>
  <si>
    <t xml:space="preserve">3GT-519-6</t>
  </si>
  <si>
    <t xml:space="preserve">3GT-519-9</t>
  </si>
  <si>
    <t xml:space="preserve">3GT-549-10</t>
  </si>
  <si>
    <t xml:space="preserve">549</t>
  </si>
  <si>
    <t xml:space="preserve">3GT-549-6</t>
  </si>
  <si>
    <t xml:space="preserve">3GT-549-9</t>
  </si>
  <si>
    <t xml:space="preserve">JOMO-3GT-1986-10</t>
  </si>
  <si>
    <t xml:space="preserve">JOMO</t>
  </si>
  <si>
    <t xml:space="preserve">JOMO-3GT-519-10</t>
  </si>
  <si>
    <t xml:space="preserve">HTD8M Open Timing Belt (per meter)  [HTD8M Belts]</t>
  </si>
  <si>
    <t xml:space="preserve">20</t>
  </si>
  <si>
    <t xml:space="preserve">HTD8M-20-BPU-1M</t>
  </si>
  <si>
    <t xml:space="preserve">HTD8M-20-WPU-1M</t>
  </si>
  <si>
    <t xml:space="preserve">HTD8M-20-WPUG-1M</t>
  </si>
  <si>
    <t xml:space="preserve">HTD8M-30-R-1M</t>
  </si>
  <si>
    <t xml:space="preserve">HTD8M Closed-Loop Timing Belt  [HTD8M Belts]</t>
  </si>
  <si>
    <t xml:space="preserve">1200</t>
  </si>
  <si>
    <t xml:space="preserve">8M-1200-20</t>
  </si>
  <si>
    <t xml:space="preserve">8M-1200-50</t>
  </si>
  <si>
    <t xml:space="preserve">8M-1280-20</t>
  </si>
  <si>
    <t xml:space="preserve">1280</t>
  </si>
  <si>
    <t xml:space="preserve">8M-1280-50</t>
  </si>
  <si>
    <t xml:space="preserve">8M-1600-20</t>
  </si>
  <si>
    <t xml:space="preserve">8M-1600-50</t>
  </si>
  <si>
    <t xml:space="preserve">8M-2000-20</t>
  </si>
  <si>
    <t xml:space="preserve">8M-2000-50</t>
  </si>
  <si>
    <t xml:space="preserve">8M-800-20</t>
  </si>
  <si>
    <t xml:space="preserve">8M-800-50</t>
  </si>
  <si>
    <t xml:space="preserve">RF-8M-600-50</t>
  </si>
  <si>
    <t xml:space="preserve">Brown RF Dust-proof</t>
  </si>
  <si>
    <t xml:space="preserve">HTD3M Open Timing Belt (per meter)  [HTD3M Belts]</t>
  </si>
  <si>
    <t xml:space="preserve">HTD3M-10-BPU-1M</t>
  </si>
  <si>
    <t xml:space="preserve">HTD3M-10-BPU-RL10</t>
  </si>
  <si>
    <t xml:space="preserve">HTD3M-10-BPU-RL5</t>
  </si>
  <si>
    <t xml:space="preserve">HTD3M-10-BPUB-1M</t>
  </si>
  <si>
    <t xml:space="preserve">HTD3M-10-BPUB-RL10</t>
  </si>
  <si>
    <t xml:space="preserve">HTD3M-10-BPUB-RL20</t>
  </si>
  <si>
    <t xml:space="preserve">HTD3M-10-BPUB-RL5</t>
  </si>
  <si>
    <t xml:space="preserve">HTD3M-10-BPUK-1M</t>
  </si>
  <si>
    <t xml:space="preserve">HTD3M-10-R-1M</t>
  </si>
  <si>
    <t xml:space="preserve">HTD3M-10-RF-1M</t>
  </si>
  <si>
    <t xml:space="preserve">HTD3M-10-WPU-1M</t>
  </si>
  <si>
    <t xml:space="preserve">HTD3M-10-WPU-RL10</t>
  </si>
  <si>
    <t xml:space="preserve">HTD3M-10-WPU-RL5</t>
  </si>
  <si>
    <t xml:space="preserve">HTD3M-10-WPUG-1M</t>
  </si>
  <si>
    <t xml:space="preserve">HTD3M-10-WPUG-RL10</t>
  </si>
  <si>
    <t xml:space="preserve">HTD3M-10-WPUG-RL20</t>
  </si>
  <si>
    <t xml:space="preserve">HTD3M-12-BPU-1M</t>
  </si>
  <si>
    <t xml:space="preserve">HTD3M-12-R-1M</t>
  </si>
  <si>
    <t xml:space="preserve">HTD3M-12-RF-1M</t>
  </si>
  <si>
    <t xml:space="preserve">HTD3M-12-WPU-1M</t>
  </si>
  <si>
    <t xml:space="preserve">HTD3M-12-WPUG-1M</t>
  </si>
  <si>
    <t xml:space="preserve">HTD3M-15-BPU-1M</t>
  </si>
  <si>
    <t xml:space="preserve">HTD3M-15-BPU-RL10</t>
  </si>
  <si>
    <t xml:space="preserve">HTD3M-15-BPU-RL20</t>
  </si>
  <si>
    <t xml:space="preserve">HTD3M-15-BPU-RL30</t>
  </si>
  <si>
    <t xml:space="preserve">full roll 30m</t>
  </si>
  <si>
    <t xml:space="preserve">HTD3M-15-BPU-RL5</t>
  </si>
  <si>
    <t xml:space="preserve">HTD3M-15-BPUB-1M</t>
  </si>
  <si>
    <t xml:space="preserve">HTD3M-15-BPUK-1M</t>
  </si>
  <si>
    <t xml:space="preserve">HTD3M-15-R-1M</t>
  </si>
  <si>
    <t xml:space="preserve">HTD3M-15-R-RL5</t>
  </si>
  <si>
    <t xml:space="preserve">HTD3M-15-R-RL50</t>
  </si>
  <si>
    <t xml:space="preserve">HTD3M-15-RF-1M</t>
  </si>
  <si>
    <t xml:space="preserve">HTD3M-15-WPU-1M</t>
  </si>
  <si>
    <t xml:space="preserve">HTD3M-15-WPU-RL10</t>
  </si>
  <si>
    <t xml:space="preserve">HTD3M-15-WPU-RL20</t>
  </si>
  <si>
    <t xml:space="preserve">HTD3M-15-WPU-RL30</t>
  </si>
  <si>
    <t xml:space="preserve">HTD3M-15-WPU-RL5</t>
  </si>
  <si>
    <t xml:space="preserve">HTD3M-15-WPUG-1M</t>
  </si>
  <si>
    <t xml:space="preserve">HTD3M-15-WPUG-RL10</t>
  </si>
  <si>
    <t xml:space="preserve">HTD3M-15-WPUG-RL20</t>
  </si>
  <si>
    <t xml:space="preserve">HTD3M-20-BPU-1M</t>
  </si>
  <si>
    <t xml:space="preserve">HTD3M-20-R-1M</t>
  </si>
  <si>
    <t xml:space="preserve">HTD3M-20-RF-1M</t>
  </si>
  <si>
    <t xml:space="preserve">HTD3M-20-WPU-1M</t>
  </si>
  <si>
    <t xml:space="preserve">HTD3M-20-WPU-RL10</t>
  </si>
  <si>
    <t xml:space="preserve">HTD3M-20-WPUG-1M</t>
  </si>
  <si>
    <t xml:space="preserve">HTD3M-20-WPUG-RL5</t>
  </si>
  <si>
    <t xml:space="preserve">HTD3M-25-BPU-1M</t>
  </si>
  <si>
    <t xml:space="preserve">25</t>
  </si>
  <si>
    <t xml:space="preserve">HTD3M-25-R-1M</t>
  </si>
  <si>
    <t xml:space="preserve">HTD3M-25-RF-1M</t>
  </si>
  <si>
    <t xml:space="preserve">HTD3M-25-WPU-1M</t>
  </si>
  <si>
    <t xml:space="preserve">HTD3M-25-WPUG-1M</t>
  </si>
  <si>
    <t xml:space="preserve">HTD3M-30-BPU-1M</t>
  </si>
  <si>
    <t xml:space="preserve">HTD3M-30-R-1M</t>
  </si>
  <si>
    <t xml:space="preserve">HTD3M-30-RF-1M</t>
  </si>
  <si>
    <t xml:space="preserve">HTD3M-30-WPU-1M</t>
  </si>
  <si>
    <t xml:space="preserve">HTD3M-30-WPUG-1M</t>
  </si>
  <si>
    <t xml:space="preserve">HTD3M-35-BPU-1M</t>
  </si>
  <si>
    <t xml:space="preserve">35</t>
  </si>
  <si>
    <t xml:space="preserve">HTD3M-35-WPU-1M</t>
  </si>
  <si>
    <t xml:space="preserve">HTD3M-5-BPU-1M</t>
  </si>
  <si>
    <t xml:space="preserve">HTD3M-5-R-1M</t>
  </si>
  <si>
    <t xml:space="preserve">HTD3M-5-RF-1M</t>
  </si>
  <si>
    <t xml:space="preserve">HTD3M-5-WPU-1M</t>
  </si>
  <si>
    <t xml:space="preserve">HTD3M-5-WPUG-1M</t>
  </si>
  <si>
    <t xml:space="preserve">HTD3M-6-R-1M</t>
  </si>
  <si>
    <t xml:space="preserve">HTD3M-9-BPU-1M</t>
  </si>
  <si>
    <t xml:space="preserve">HTD3M-9-R-1M</t>
  </si>
  <si>
    <t xml:space="preserve">HTD3M-9-RF-1M</t>
  </si>
  <si>
    <t xml:space="preserve">HTD3M-9-WPU-1M</t>
  </si>
  <si>
    <t xml:space="preserve">HTD3M-9-WPUG-1M</t>
  </si>
  <si>
    <t xml:space="preserve">HTD3M Closed-Loop Timing Belt, Length 396-729mm  [HTD3M Belts]</t>
  </si>
  <si>
    <t xml:space="preserve">3M-396-10</t>
  </si>
  <si>
    <t xml:space="preserve">3M-396-15</t>
  </si>
  <si>
    <t xml:space="preserve">3M-396-4</t>
  </si>
  <si>
    <t xml:space="preserve">3M-396-5</t>
  </si>
  <si>
    <t xml:space="preserve">3M-396-6</t>
  </si>
  <si>
    <t xml:space="preserve">3M-396-8</t>
  </si>
  <si>
    <t xml:space="preserve">3M-396-9</t>
  </si>
  <si>
    <t xml:space="preserve">3M-399-10</t>
  </si>
  <si>
    <t xml:space="preserve">399</t>
  </si>
  <si>
    <t xml:space="preserve">3M-399-15</t>
  </si>
  <si>
    <t xml:space="preserve">3M-399-4</t>
  </si>
  <si>
    <t xml:space="preserve">3M-399-5</t>
  </si>
  <si>
    <t xml:space="preserve">3M-399-6</t>
  </si>
  <si>
    <t xml:space="preserve">3M-399-8</t>
  </si>
  <si>
    <t xml:space="preserve">3M-399-9</t>
  </si>
  <si>
    <t xml:space="preserve">3M-402-10</t>
  </si>
  <si>
    <t xml:space="preserve">402</t>
  </si>
  <si>
    <t xml:space="preserve">3M-402-15</t>
  </si>
  <si>
    <t xml:space="preserve">3M-402-4</t>
  </si>
  <si>
    <t xml:space="preserve">3M-402-5</t>
  </si>
  <si>
    <t xml:space="preserve">3M-402-6</t>
  </si>
  <si>
    <t xml:space="preserve">3M-402-8</t>
  </si>
  <si>
    <t xml:space="preserve">3M-402-9</t>
  </si>
  <si>
    <t xml:space="preserve">3M-405-10</t>
  </si>
  <si>
    <t xml:space="preserve">405</t>
  </si>
  <si>
    <t xml:space="preserve">3M-405-15</t>
  </si>
  <si>
    <t xml:space="preserve">3M-405-4</t>
  </si>
  <si>
    <t xml:space="preserve">3M-405-5</t>
  </si>
  <si>
    <t xml:space="preserve">3M-405-6</t>
  </si>
  <si>
    <t xml:space="preserve">3M-405-8</t>
  </si>
  <si>
    <t xml:space="preserve">3M-405-9</t>
  </si>
  <si>
    <t xml:space="preserve">3M-408-10</t>
  </si>
  <si>
    <t xml:space="preserve">408</t>
  </si>
  <si>
    <t xml:space="preserve">3M-408-15</t>
  </si>
  <si>
    <t xml:space="preserve">3M-408-4</t>
  </si>
  <si>
    <t xml:space="preserve">3M-408-5</t>
  </si>
  <si>
    <t xml:space="preserve">3M-408-6</t>
  </si>
  <si>
    <t xml:space="preserve">3M-408-8</t>
  </si>
  <si>
    <t xml:space="preserve">3M-408-9</t>
  </si>
  <si>
    <t xml:space="preserve">3M-411-10</t>
  </si>
  <si>
    <t xml:space="preserve">411</t>
  </si>
  <si>
    <t xml:space="preserve">3M-411-15</t>
  </si>
  <si>
    <t xml:space="preserve">3M-411-4</t>
  </si>
  <si>
    <t xml:space="preserve">3M-411-5</t>
  </si>
  <si>
    <t xml:space="preserve">3M-411-6</t>
  </si>
  <si>
    <t xml:space="preserve">3M-411-8</t>
  </si>
  <si>
    <t xml:space="preserve">3M-411-9</t>
  </si>
  <si>
    <t xml:space="preserve">3M-414-10</t>
  </si>
  <si>
    <t xml:space="preserve">414</t>
  </si>
  <si>
    <t xml:space="preserve">3M-414-15</t>
  </si>
  <si>
    <t xml:space="preserve">3M-414-4</t>
  </si>
  <si>
    <t xml:space="preserve">3M-414-5</t>
  </si>
  <si>
    <t xml:space="preserve">3M-414-6</t>
  </si>
  <si>
    <t xml:space="preserve">3M-414-8</t>
  </si>
  <si>
    <t xml:space="preserve">3M-414-9</t>
  </si>
  <si>
    <t xml:space="preserve">3M-417-10</t>
  </si>
  <si>
    <t xml:space="preserve">417</t>
  </si>
  <si>
    <t xml:space="preserve">3M-417-15</t>
  </si>
  <si>
    <t xml:space="preserve">3M-417-4</t>
  </si>
  <si>
    <t xml:space="preserve">3M-417-5</t>
  </si>
  <si>
    <t xml:space="preserve">3M-417-6</t>
  </si>
  <si>
    <t xml:space="preserve">3M-417-8</t>
  </si>
  <si>
    <t xml:space="preserve">3M-417-9</t>
  </si>
  <si>
    <t xml:space="preserve">3M-420-10</t>
  </si>
  <si>
    <t xml:space="preserve">3M-420-15</t>
  </si>
  <si>
    <t xml:space="preserve">3M-420-4</t>
  </si>
  <si>
    <t xml:space="preserve">3M-420-5</t>
  </si>
  <si>
    <t xml:space="preserve">3M-420-6</t>
  </si>
  <si>
    <t xml:space="preserve">3M-420-8</t>
  </si>
  <si>
    <t xml:space="preserve">3M-420-9</t>
  </si>
  <si>
    <t xml:space="preserve">3M-423-10</t>
  </si>
  <si>
    <t xml:space="preserve">423</t>
  </si>
  <si>
    <t xml:space="preserve">3M-423-15</t>
  </si>
  <si>
    <t xml:space="preserve">3M-423-4</t>
  </si>
  <si>
    <t xml:space="preserve">3M-423-5</t>
  </si>
  <si>
    <t xml:space="preserve">3M-423-6</t>
  </si>
  <si>
    <t xml:space="preserve">3M-423-8</t>
  </si>
  <si>
    <t xml:space="preserve">3M-423-9</t>
  </si>
  <si>
    <t xml:space="preserve">3M-426-10</t>
  </si>
  <si>
    <t xml:space="preserve">3M-426-15</t>
  </si>
  <si>
    <t xml:space="preserve">3M-426-4</t>
  </si>
  <si>
    <t xml:space="preserve">3M-426-5</t>
  </si>
  <si>
    <t xml:space="preserve">3M-426-6</t>
  </si>
  <si>
    <t xml:space="preserve">3M-426-8</t>
  </si>
  <si>
    <t xml:space="preserve">3M-426-9</t>
  </si>
  <si>
    <t xml:space="preserve">3M-429-10</t>
  </si>
  <si>
    <t xml:space="preserve">429</t>
  </si>
  <si>
    <t xml:space="preserve">3M-429-15</t>
  </si>
  <si>
    <t xml:space="preserve">3M-429-4</t>
  </si>
  <si>
    <t xml:space="preserve">3M-429-5</t>
  </si>
  <si>
    <t xml:space="preserve">3M-429-6</t>
  </si>
  <si>
    <t xml:space="preserve">3M-429-8</t>
  </si>
  <si>
    <t xml:space="preserve">3M-429-9</t>
  </si>
  <si>
    <t xml:space="preserve">3M-432-10</t>
  </si>
  <si>
    <t xml:space="preserve">432</t>
  </si>
  <si>
    <t xml:space="preserve">3M-432-15</t>
  </si>
  <si>
    <t xml:space="preserve">3M-432-4</t>
  </si>
  <si>
    <t xml:space="preserve">3M-432-5</t>
  </si>
  <si>
    <t xml:space="preserve">3M-432-6</t>
  </si>
  <si>
    <t xml:space="preserve">3M-432-8</t>
  </si>
  <si>
    <t xml:space="preserve">3M-432-9</t>
  </si>
  <si>
    <t xml:space="preserve">3M-435-10</t>
  </si>
  <si>
    <t xml:space="preserve">435</t>
  </si>
  <si>
    <t xml:space="preserve">3M-435-15</t>
  </si>
  <si>
    <t xml:space="preserve">3M-435-4</t>
  </si>
  <si>
    <t xml:space="preserve">3M-435-5</t>
  </si>
  <si>
    <t xml:space="preserve">3M-435-6</t>
  </si>
  <si>
    <t xml:space="preserve">3M-435-8</t>
  </si>
  <si>
    <t xml:space="preserve">3M-435-9</t>
  </si>
  <si>
    <t xml:space="preserve">3M-438-10</t>
  </si>
  <si>
    <t xml:space="preserve">3M-438-15</t>
  </si>
  <si>
    <t xml:space="preserve">3M-438-4</t>
  </si>
  <si>
    <t xml:space="preserve">3M-438-5</t>
  </si>
  <si>
    <t xml:space="preserve">3M-438-6</t>
  </si>
  <si>
    <t xml:space="preserve">3M-438-8</t>
  </si>
  <si>
    <t xml:space="preserve">3M-438-9</t>
  </si>
  <si>
    <t xml:space="preserve">3M-441-10</t>
  </si>
  <si>
    <t xml:space="preserve">441</t>
  </si>
  <si>
    <t xml:space="preserve">3M-441-15</t>
  </si>
  <si>
    <t xml:space="preserve">3M-441-4</t>
  </si>
  <si>
    <t xml:space="preserve">3M-441-5</t>
  </si>
  <si>
    <t xml:space="preserve">3M-441-6</t>
  </si>
  <si>
    <t xml:space="preserve">3M-441-8</t>
  </si>
  <si>
    <t xml:space="preserve">3M-441-9</t>
  </si>
  <si>
    <t xml:space="preserve">3M-444-10</t>
  </si>
  <si>
    <t xml:space="preserve">3M-444-15</t>
  </si>
  <si>
    <t xml:space="preserve">3M-444-4</t>
  </si>
  <si>
    <t xml:space="preserve">3M-444-5</t>
  </si>
  <si>
    <t xml:space="preserve">3M-444-6</t>
  </si>
  <si>
    <t xml:space="preserve">3M-444-8</t>
  </si>
  <si>
    <t xml:space="preserve">3M-444-9</t>
  </si>
  <si>
    <t xml:space="preserve">3M-447-10</t>
  </si>
  <si>
    <t xml:space="preserve">447</t>
  </si>
  <si>
    <t xml:space="preserve">3M-447-15</t>
  </si>
  <si>
    <t xml:space="preserve">3M-447-4</t>
  </si>
  <si>
    <t xml:space="preserve">3M-447-5</t>
  </si>
  <si>
    <t xml:space="preserve">3M-447-6</t>
  </si>
  <si>
    <t xml:space="preserve">3M-447-8</t>
  </si>
  <si>
    <t xml:space="preserve">3M-447-9</t>
  </si>
  <si>
    <t xml:space="preserve">3M-450-10</t>
  </si>
  <si>
    <t xml:space="preserve">3M-450-15</t>
  </si>
  <si>
    <t xml:space="preserve">3M-450-4</t>
  </si>
  <si>
    <t xml:space="preserve">3M-450-5</t>
  </si>
  <si>
    <t xml:space="preserve">3M-450-6</t>
  </si>
  <si>
    <t xml:space="preserve">3M-450-8</t>
  </si>
  <si>
    <t xml:space="preserve">3M-450-9</t>
  </si>
  <si>
    <t xml:space="preserve">3M-453-10</t>
  </si>
  <si>
    <t xml:space="preserve">453</t>
  </si>
  <si>
    <t xml:space="preserve">3M-453-15</t>
  </si>
  <si>
    <t xml:space="preserve">3M-453-4</t>
  </si>
  <si>
    <t xml:space="preserve">3M-453-5</t>
  </si>
  <si>
    <t xml:space="preserve">3M-453-6</t>
  </si>
  <si>
    <t xml:space="preserve">3M-453-8</t>
  </si>
  <si>
    <t xml:space="preserve">3M-453-9</t>
  </si>
  <si>
    <t xml:space="preserve">3M-456-10</t>
  </si>
  <si>
    <t xml:space="preserve">3M-456-15</t>
  </si>
  <si>
    <t xml:space="preserve">3M-456-4</t>
  </si>
  <si>
    <t xml:space="preserve">3M-456-5</t>
  </si>
  <si>
    <t xml:space="preserve">3M-456-6</t>
  </si>
  <si>
    <t xml:space="preserve">3M-456-8</t>
  </si>
  <si>
    <t xml:space="preserve">3M-456-9</t>
  </si>
  <si>
    <t xml:space="preserve">3M-459-10</t>
  </si>
  <si>
    <t xml:space="preserve">459</t>
  </si>
  <si>
    <t xml:space="preserve">3M-459-15</t>
  </si>
  <si>
    <t xml:space="preserve">3M-459-4</t>
  </si>
  <si>
    <t xml:space="preserve">3M-459-5</t>
  </si>
  <si>
    <t xml:space="preserve">3M-459-6</t>
  </si>
  <si>
    <t xml:space="preserve">3M-459-8</t>
  </si>
  <si>
    <t xml:space="preserve">3M-459-9</t>
  </si>
  <si>
    <t xml:space="preserve">3M-462-10</t>
  </si>
  <si>
    <t xml:space="preserve">462</t>
  </si>
  <si>
    <t xml:space="preserve">3M-462-15</t>
  </si>
  <si>
    <t xml:space="preserve">3M-462-4</t>
  </si>
  <si>
    <t xml:space="preserve">3M-462-5</t>
  </si>
  <si>
    <t xml:space="preserve">3M-462-6</t>
  </si>
  <si>
    <t xml:space="preserve">3M-462-8</t>
  </si>
  <si>
    <t xml:space="preserve">3M-462-9</t>
  </si>
  <si>
    <t xml:space="preserve">3M-465-10</t>
  </si>
  <si>
    <t xml:space="preserve">465</t>
  </si>
  <si>
    <t xml:space="preserve">3M-465-15</t>
  </si>
  <si>
    <t xml:space="preserve">3M-465-4</t>
  </si>
  <si>
    <t xml:space="preserve">3M-465-5</t>
  </si>
  <si>
    <t xml:space="preserve">3M-465-6</t>
  </si>
  <si>
    <t xml:space="preserve">3M-465-8</t>
  </si>
  <si>
    <t xml:space="preserve">3M-465-9</t>
  </si>
  <si>
    <t xml:space="preserve">3M-468-10</t>
  </si>
  <si>
    <t xml:space="preserve">3M-468-15</t>
  </si>
  <si>
    <t xml:space="preserve">3M-468-4</t>
  </si>
  <si>
    <t xml:space="preserve">3M-468-5</t>
  </si>
  <si>
    <t xml:space="preserve">3M-468-6</t>
  </si>
  <si>
    <t xml:space="preserve">3M-468-8</t>
  </si>
  <si>
    <t xml:space="preserve">3M-468-9</t>
  </si>
  <si>
    <t xml:space="preserve">3M-471-10</t>
  </si>
  <si>
    <t xml:space="preserve">471</t>
  </si>
  <si>
    <t xml:space="preserve">3M-471-15</t>
  </si>
  <si>
    <t xml:space="preserve">3M-471-4</t>
  </si>
  <si>
    <t xml:space="preserve">3M-471-5</t>
  </si>
  <si>
    <t xml:space="preserve">3M-471-6</t>
  </si>
  <si>
    <t xml:space="preserve">3M-471-8</t>
  </si>
  <si>
    <t xml:space="preserve">3M-471-9</t>
  </si>
  <si>
    <t xml:space="preserve">3M-474-10</t>
  </si>
  <si>
    <t xml:space="preserve">474</t>
  </si>
  <si>
    <t xml:space="preserve">3M-474-15</t>
  </si>
  <si>
    <t xml:space="preserve">3M-474-4</t>
  </si>
  <si>
    <t xml:space="preserve">3M-474-5</t>
  </si>
  <si>
    <t xml:space="preserve">3M-474-6</t>
  </si>
  <si>
    <t xml:space="preserve">3M-474-8</t>
  </si>
  <si>
    <t xml:space="preserve">3M-474-9</t>
  </si>
  <si>
    <t xml:space="preserve">3M-477-10</t>
  </si>
  <si>
    <t xml:space="preserve">477</t>
  </si>
  <si>
    <t xml:space="preserve">3M-477-15</t>
  </si>
  <si>
    <t xml:space="preserve">3M-477-4</t>
  </si>
  <si>
    <t xml:space="preserve">3M-477-5</t>
  </si>
  <si>
    <t xml:space="preserve">3M-477-6</t>
  </si>
  <si>
    <t xml:space="preserve">3M-477-8</t>
  </si>
  <si>
    <t xml:space="preserve">3M-477-9</t>
  </si>
  <si>
    <t xml:space="preserve">3M-480-10</t>
  </si>
  <si>
    <t xml:space="preserve">3M-480-15</t>
  </si>
  <si>
    <t xml:space="preserve">3M-480-4</t>
  </si>
  <si>
    <t xml:space="preserve">3M-480-5</t>
  </si>
  <si>
    <t xml:space="preserve">3M-480-6</t>
  </si>
  <si>
    <t xml:space="preserve">3M-480-8</t>
  </si>
  <si>
    <t xml:space="preserve">3M-480-9</t>
  </si>
  <si>
    <t xml:space="preserve">3M-483-10</t>
  </si>
  <si>
    <t xml:space="preserve">483</t>
  </si>
  <si>
    <t xml:space="preserve">3M-483-15</t>
  </si>
  <si>
    <t xml:space="preserve">3M-483-4</t>
  </si>
  <si>
    <t xml:space="preserve">3M-483-5</t>
  </si>
  <si>
    <t xml:space="preserve">3M-483-6</t>
  </si>
  <si>
    <t xml:space="preserve">3M-483-8</t>
  </si>
  <si>
    <t xml:space="preserve">3M-483-9</t>
  </si>
  <si>
    <t xml:space="preserve">3M-486-10</t>
  </si>
  <si>
    <t xml:space="preserve">486</t>
  </si>
  <si>
    <t xml:space="preserve">3M-486-15</t>
  </si>
  <si>
    <t xml:space="preserve">3M-486-4</t>
  </si>
  <si>
    <t xml:space="preserve">3M-486-5</t>
  </si>
  <si>
    <t xml:space="preserve">3M-486-6</t>
  </si>
  <si>
    <t xml:space="preserve">3M-486-8</t>
  </si>
  <si>
    <t xml:space="preserve">3M-486-9</t>
  </si>
  <si>
    <t xml:space="preserve">3M-489-10</t>
  </si>
  <si>
    <t xml:space="preserve">489</t>
  </si>
  <si>
    <t xml:space="preserve">3M-489-15</t>
  </si>
  <si>
    <t xml:space="preserve">3M-489-4</t>
  </si>
  <si>
    <t xml:space="preserve">3M-489-5</t>
  </si>
  <si>
    <t xml:space="preserve">3M-489-6</t>
  </si>
  <si>
    <t xml:space="preserve">3M-489-8</t>
  </si>
  <si>
    <t xml:space="preserve">3M-489-9</t>
  </si>
  <si>
    <t xml:space="preserve">3M-492-10</t>
  </si>
  <si>
    <t xml:space="preserve">3M-492-15</t>
  </si>
  <si>
    <t xml:space="preserve">3M-492-4</t>
  </si>
  <si>
    <t xml:space="preserve">3M-492-5</t>
  </si>
  <si>
    <t xml:space="preserve">3M-492-6</t>
  </si>
  <si>
    <t xml:space="preserve">3M-492-8</t>
  </si>
  <si>
    <t xml:space="preserve">3M-492-9</t>
  </si>
  <si>
    <t xml:space="preserve">3M-495-10</t>
  </si>
  <si>
    <t xml:space="preserve">495</t>
  </si>
  <si>
    <t xml:space="preserve">3M-495-15</t>
  </si>
  <si>
    <t xml:space="preserve">3M-495-4</t>
  </si>
  <si>
    <t xml:space="preserve">3M-495-5</t>
  </si>
  <si>
    <t xml:space="preserve">3M-495-6</t>
  </si>
  <si>
    <t xml:space="preserve">3M-495-8</t>
  </si>
  <si>
    <t xml:space="preserve">3M-495-9</t>
  </si>
  <si>
    <t xml:space="preserve">3M-498-10</t>
  </si>
  <si>
    <t xml:space="preserve">498</t>
  </si>
  <si>
    <t xml:space="preserve">3M-498-15</t>
  </si>
  <si>
    <t xml:space="preserve">3M-498-4</t>
  </si>
  <si>
    <t xml:space="preserve">3M-498-5</t>
  </si>
  <si>
    <t xml:space="preserve">3M-498-6</t>
  </si>
  <si>
    <t xml:space="preserve">3M-498-8</t>
  </si>
  <si>
    <t xml:space="preserve">3M-498-9</t>
  </si>
  <si>
    <t xml:space="preserve">3M-501-10</t>
  </si>
  <si>
    <t xml:space="preserve">501</t>
  </si>
  <si>
    <t xml:space="preserve">3M-501-15</t>
  </si>
  <si>
    <t xml:space="preserve">3M-501-4</t>
  </si>
  <si>
    <t xml:space="preserve">3M-501-5</t>
  </si>
  <si>
    <t xml:space="preserve">3M-501-6</t>
  </si>
  <si>
    <t xml:space="preserve">3M-501-8</t>
  </si>
  <si>
    <t xml:space="preserve">3M-501-9</t>
  </si>
  <si>
    <t xml:space="preserve">3M-504-10</t>
  </si>
  <si>
    <t xml:space="preserve">504</t>
  </si>
  <si>
    <t xml:space="preserve">3M-504-15</t>
  </si>
  <si>
    <t xml:space="preserve">3M-504-4</t>
  </si>
  <si>
    <t xml:space="preserve">3M-504-5</t>
  </si>
  <si>
    <t xml:space="preserve">3M-504-6</t>
  </si>
  <si>
    <t xml:space="preserve">3M-504-8</t>
  </si>
  <si>
    <t xml:space="preserve">3M-504-9</t>
  </si>
  <si>
    <t xml:space="preserve">3M-507-10</t>
  </si>
  <si>
    <t xml:space="preserve">507</t>
  </si>
  <si>
    <t xml:space="preserve">3M-507-15</t>
  </si>
  <si>
    <t xml:space="preserve">3M-507-4</t>
  </si>
  <si>
    <t xml:space="preserve">3M-507-5</t>
  </si>
  <si>
    <t xml:space="preserve">3M-507-6</t>
  </si>
  <si>
    <t xml:space="preserve">3M-507-8</t>
  </si>
  <si>
    <t xml:space="preserve">3M-507-9</t>
  </si>
  <si>
    <t xml:space="preserve">3M-510-10</t>
  </si>
  <si>
    <t xml:space="preserve">510</t>
  </si>
  <si>
    <t xml:space="preserve">3M-510-15</t>
  </si>
  <si>
    <t xml:space="preserve">3M-510-4</t>
  </si>
  <si>
    <t xml:space="preserve">3M-510-5</t>
  </si>
  <si>
    <t xml:space="preserve">3M-510-6</t>
  </si>
  <si>
    <t xml:space="preserve">3M-510-8</t>
  </si>
  <si>
    <t xml:space="preserve">3M-510-9</t>
  </si>
  <si>
    <t xml:space="preserve">3M-513-10</t>
  </si>
  <si>
    <t xml:space="preserve">513</t>
  </si>
  <si>
    <t xml:space="preserve">3M-513-15</t>
  </si>
  <si>
    <t xml:space="preserve">3M-513-4</t>
  </si>
  <si>
    <t xml:space="preserve">3M-513-5</t>
  </si>
  <si>
    <t xml:space="preserve">3M-513-6</t>
  </si>
  <si>
    <t xml:space="preserve">3M-513-8</t>
  </si>
  <si>
    <t xml:space="preserve">3M-513-9</t>
  </si>
  <si>
    <t xml:space="preserve">3M-516-10</t>
  </si>
  <si>
    <t xml:space="preserve">3M-516-15</t>
  </si>
  <si>
    <t xml:space="preserve">3M-516-4</t>
  </si>
  <si>
    <t xml:space="preserve">3M-516-5</t>
  </si>
  <si>
    <t xml:space="preserve">3M-516-6</t>
  </si>
  <si>
    <t xml:space="preserve">3M-516-8</t>
  </si>
  <si>
    <t xml:space="preserve">3M-516-9</t>
  </si>
  <si>
    <t xml:space="preserve">3M-519-10</t>
  </si>
  <si>
    <t xml:space="preserve">3M-519-15</t>
  </si>
  <si>
    <t xml:space="preserve">3M-519-4</t>
  </si>
  <si>
    <t xml:space="preserve">3M-519-5</t>
  </si>
  <si>
    <t xml:space="preserve">3M-519-6</t>
  </si>
  <si>
    <t xml:space="preserve">3M-519-8</t>
  </si>
  <si>
    <t xml:space="preserve">3M-519-9</t>
  </si>
  <si>
    <t xml:space="preserve">3M-522-10</t>
  </si>
  <si>
    <t xml:space="preserve">522</t>
  </si>
  <si>
    <t xml:space="preserve">3M-522-15</t>
  </si>
  <si>
    <t xml:space="preserve">3M-522-4</t>
  </si>
  <si>
    <t xml:space="preserve">3M-522-5</t>
  </si>
  <si>
    <t xml:space="preserve">3M-522-6</t>
  </si>
  <si>
    <t xml:space="preserve">3M-522-8</t>
  </si>
  <si>
    <t xml:space="preserve">3M-522-9</t>
  </si>
  <si>
    <t xml:space="preserve">3M-525-10</t>
  </si>
  <si>
    <t xml:space="preserve">525</t>
  </si>
  <si>
    <t xml:space="preserve">3M-525-15</t>
  </si>
  <si>
    <t xml:space="preserve">3M-525-4</t>
  </si>
  <si>
    <t xml:space="preserve">3M-525-5</t>
  </si>
  <si>
    <t xml:space="preserve">3M-525-6</t>
  </si>
  <si>
    <t xml:space="preserve">3M-525-8</t>
  </si>
  <si>
    <t xml:space="preserve">3M-525-9</t>
  </si>
  <si>
    <t xml:space="preserve">3M-528-10</t>
  </si>
  <si>
    <t xml:space="preserve">3M-528-15</t>
  </si>
  <si>
    <t xml:space="preserve">3M-528-4</t>
  </si>
  <si>
    <t xml:space="preserve">3M-528-5</t>
  </si>
  <si>
    <t xml:space="preserve">3M-528-6</t>
  </si>
  <si>
    <t xml:space="preserve">3M-528-8</t>
  </si>
  <si>
    <t xml:space="preserve">3M-528-9</t>
  </si>
  <si>
    <t xml:space="preserve">3M-531-10</t>
  </si>
  <si>
    <t xml:space="preserve">531</t>
  </si>
  <si>
    <t xml:space="preserve">3M-531-15</t>
  </si>
  <si>
    <t xml:space="preserve">3M-531-4</t>
  </si>
  <si>
    <t xml:space="preserve">3M-531-5</t>
  </si>
  <si>
    <t xml:space="preserve">3M-531-6</t>
  </si>
  <si>
    <t xml:space="preserve">3M-531-8</t>
  </si>
  <si>
    <t xml:space="preserve">3M-531-9</t>
  </si>
  <si>
    <t xml:space="preserve">3M-537-10</t>
  </si>
  <si>
    <t xml:space="preserve">537</t>
  </si>
  <si>
    <t xml:space="preserve">3M-537-15</t>
  </si>
  <si>
    <t xml:space="preserve">3M-537-4</t>
  </si>
  <si>
    <t xml:space="preserve">3M-537-5</t>
  </si>
  <si>
    <t xml:space="preserve">3M-537-6</t>
  </si>
  <si>
    <t xml:space="preserve">3M-537-8</t>
  </si>
  <si>
    <t xml:space="preserve">3M-537-9</t>
  </si>
  <si>
    <t xml:space="preserve">3M-540-10</t>
  </si>
  <si>
    <t xml:space="preserve">3M-540-15</t>
  </si>
  <si>
    <t xml:space="preserve">3M-540-4</t>
  </si>
  <si>
    <t xml:space="preserve">3M-540-5</t>
  </si>
  <si>
    <t xml:space="preserve">3M-540-6</t>
  </si>
  <si>
    <t xml:space="preserve">3M-540-8</t>
  </si>
  <si>
    <t xml:space="preserve">3M-540-9</t>
  </si>
  <si>
    <t xml:space="preserve">3M-549-10</t>
  </si>
  <si>
    <t xml:space="preserve">3M-549-15</t>
  </si>
  <si>
    <t xml:space="preserve">3M-549-4</t>
  </si>
  <si>
    <t xml:space="preserve">3M-549-5</t>
  </si>
  <si>
    <t xml:space="preserve">3M-549-6</t>
  </si>
  <si>
    <t xml:space="preserve">3M-549-8</t>
  </si>
  <si>
    <t xml:space="preserve">3M-549-9</t>
  </si>
  <si>
    <t xml:space="preserve">3M-564-10</t>
  </si>
  <si>
    <t xml:space="preserve">564</t>
  </si>
  <si>
    <t xml:space="preserve">3M-564-15</t>
  </si>
  <si>
    <t xml:space="preserve">3M-564-6</t>
  </si>
  <si>
    <t xml:space="preserve">3M-564-9</t>
  </si>
  <si>
    <t xml:space="preserve">3M-570-10</t>
  </si>
  <si>
    <t xml:space="preserve">3M-570-15</t>
  </si>
  <si>
    <t xml:space="preserve">3M-570-6</t>
  </si>
  <si>
    <t xml:space="preserve">3M-570-9</t>
  </si>
  <si>
    <t xml:space="preserve">3M-585-10</t>
  </si>
  <si>
    <t xml:space="preserve">585</t>
  </si>
  <si>
    <t xml:space="preserve">3M-585-15</t>
  </si>
  <si>
    <t xml:space="preserve">3M-585-6</t>
  </si>
  <si>
    <t xml:space="preserve">3M-585-9</t>
  </si>
  <si>
    <t xml:space="preserve">3M-597-10</t>
  </si>
  <si>
    <t xml:space="preserve">597</t>
  </si>
  <si>
    <t xml:space="preserve">3M-597-15</t>
  </si>
  <si>
    <t xml:space="preserve">3M-597-6</t>
  </si>
  <si>
    <t xml:space="preserve">3M-597-9</t>
  </si>
  <si>
    <t xml:space="preserve">3M-600-10</t>
  </si>
  <si>
    <t xml:space="preserve">3M-600-15</t>
  </si>
  <si>
    <t xml:space="preserve">3M-600-6</t>
  </si>
  <si>
    <t xml:space="preserve">3M-600-9</t>
  </si>
  <si>
    <t xml:space="preserve">3M-603-10</t>
  </si>
  <si>
    <t xml:space="preserve">603</t>
  </si>
  <si>
    <t xml:space="preserve">3M-603-15</t>
  </si>
  <si>
    <t xml:space="preserve">3M-603-6</t>
  </si>
  <si>
    <t xml:space="preserve">3M-603-9</t>
  </si>
  <si>
    <t xml:space="preserve">3M-609-10</t>
  </si>
  <si>
    <t xml:space="preserve">609</t>
  </si>
  <si>
    <t xml:space="preserve">3M-609-15</t>
  </si>
  <si>
    <t xml:space="preserve">3M-609-6</t>
  </si>
  <si>
    <t xml:space="preserve">3M-609-9</t>
  </si>
  <si>
    <t xml:space="preserve">3M-630-10</t>
  </si>
  <si>
    <t xml:space="preserve">3M-630-15</t>
  </si>
  <si>
    <t xml:space="preserve">3M-630-6</t>
  </si>
  <si>
    <t xml:space="preserve">3M-630-9</t>
  </si>
  <si>
    <t xml:space="preserve">3M-639-10</t>
  </si>
  <si>
    <t xml:space="preserve">639</t>
  </si>
  <si>
    <t xml:space="preserve">3M-639-15</t>
  </si>
  <si>
    <t xml:space="preserve">3M-639-6</t>
  </si>
  <si>
    <t xml:space="preserve">3M-639-9</t>
  </si>
  <si>
    <t xml:space="preserve">3M-648-10</t>
  </si>
  <si>
    <t xml:space="preserve">3M-648-15</t>
  </si>
  <si>
    <t xml:space="preserve">3M-648-6</t>
  </si>
  <si>
    <t xml:space="preserve">3M-648-9</t>
  </si>
  <si>
    <t xml:space="preserve">3M-654-10</t>
  </si>
  <si>
    <t xml:space="preserve">654</t>
  </si>
  <si>
    <t xml:space="preserve">3M-654-15</t>
  </si>
  <si>
    <t xml:space="preserve">3M-654-6</t>
  </si>
  <si>
    <t xml:space="preserve">3M-654-9</t>
  </si>
  <si>
    <t xml:space="preserve">3M-663-10</t>
  </si>
  <si>
    <t xml:space="preserve">663</t>
  </si>
  <si>
    <t xml:space="preserve">3M-663-15</t>
  </si>
  <si>
    <t xml:space="preserve">3M-663-6</t>
  </si>
  <si>
    <t xml:space="preserve">3M-663-9</t>
  </si>
  <si>
    <t xml:space="preserve">3M-669-10</t>
  </si>
  <si>
    <t xml:space="preserve">669</t>
  </si>
  <si>
    <t xml:space="preserve">3M-669-15</t>
  </si>
  <si>
    <t xml:space="preserve">3M-669-6</t>
  </si>
  <si>
    <t xml:space="preserve">3M-669-9</t>
  </si>
  <si>
    <t xml:space="preserve">3M-675-10</t>
  </si>
  <si>
    <t xml:space="preserve">675</t>
  </si>
  <si>
    <t xml:space="preserve">3M-675-15</t>
  </si>
  <si>
    <t xml:space="preserve">3M-675-6</t>
  </si>
  <si>
    <t xml:space="preserve">3M-675-9</t>
  </si>
  <si>
    <t xml:space="preserve">3M-681-10</t>
  </si>
  <si>
    <t xml:space="preserve">681</t>
  </si>
  <si>
    <t xml:space="preserve">3M-681-15</t>
  </si>
  <si>
    <t xml:space="preserve">3M-681-6</t>
  </si>
  <si>
    <t xml:space="preserve">3M-681-9</t>
  </si>
  <si>
    <t xml:space="preserve">3M-687-10</t>
  </si>
  <si>
    <t xml:space="preserve">687</t>
  </si>
  <si>
    <t xml:space="preserve">3M-687-15</t>
  </si>
  <si>
    <t xml:space="preserve">3M-687-6</t>
  </si>
  <si>
    <t xml:space="preserve">3M-687-9</t>
  </si>
  <si>
    <t xml:space="preserve">3M-690-10</t>
  </si>
  <si>
    <t xml:space="preserve">3M-690-15</t>
  </si>
  <si>
    <t xml:space="preserve">3M-690-6</t>
  </si>
  <si>
    <t xml:space="preserve">3M-690-9</t>
  </si>
  <si>
    <t xml:space="preserve">3M-696-10</t>
  </si>
  <si>
    <t xml:space="preserve">3M-696-15</t>
  </si>
  <si>
    <t xml:space="preserve">3M-696-6</t>
  </si>
  <si>
    <t xml:space="preserve">3M-696-9</t>
  </si>
  <si>
    <t xml:space="preserve">3M-699-10</t>
  </si>
  <si>
    <t xml:space="preserve">699</t>
  </si>
  <si>
    <t xml:space="preserve">3M-699-15</t>
  </si>
  <si>
    <t xml:space="preserve">3M-699-6</t>
  </si>
  <si>
    <t xml:space="preserve">3M-699-9</t>
  </si>
  <si>
    <t xml:space="preserve">3M-708-10</t>
  </si>
  <si>
    <t xml:space="preserve">708</t>
  </si>
  <si>
    <t xml:space="preserve">3M-708-15</t>
  </si>
  <si>
    <t xml:space="preserve">3M-708-6</t>
  </si>
  <si>
    <t xml:space="preserve">3M-708-9</t>
  </si>
  <si>
    <t xml:space="preserve">DS-3M-609-10</t>
  </si>
  <si>
    <t xml:space="preserve">Double-sided teeth</t>
  </si>
  <si>
    <t xml:space="preserve">DS-3M-609-15</t>
  </si>
  <si>
    <t xml:space="preserve">JIEBAO-3M-417-10</t>
  </si>
  <si>
    <t xml:space="preserve">JIE-BAO</t>
  </si>
  <si>
    <t xml:space="preserve">JIEBAO-3M-432-10</t>
  </si>
  <si>
    <t xml:space="preserve">JOMO-3M-471-10</t>
  </si>
  <si>
    <t xml:space="preserve">JOMO-3M-471-15</t>
  </si>
  <si>
    <t xml:space="preserve">JOMO-3M-471-6</t>
  </si>
  <si>
    <t xml:space="preserve">JOMO-3M-654-10</t>
  </si>
  <si>
    <t xml:space="preserve">JOMO-3M-654-15</t>
  </si>
  <si>
    <t xml:space="preserve">JOMO-3M-654-6</t>
  </si>
  <si>
    <t xml:space="preserve">JOMO-3M-690-10</t>
  </si>
  <si>
    <t xml:space="preserve">JOMO-3M-690-15</t>
  </si>
  <si>
    <t xml:space="preserve">JOMO-3M-690-6</t>
  </si>
  <si>
    <t xml:space="preserve">HTD3M Closed-Loop Timing Belt, Length 60-393mm  [HTD3M Belts]</t>
  </si>
  <si>
    <t xml:space="preserve">117</t>
  </si>
  <si>
    <t xml:space="preserve">3M-117-10</t>
  </si>
  <si>
    <t xml:space="preserve">3M-117-15</t>
  </si>
  <si>
    <t xml:space="preserve">3M-117-16</t>
  </si>
  <si>
    <t xml:space="preserve">16</t>
  </si>
  <si>
    <t xml:space="preserve">3M-117-6</t>
  </si>
  <si>
    <t xml:space="preserve">3M-117-9</t>
  </si>
  <si>
    <t xml:space="preserve">3M-141-10</t>
  </si>
  <si>
    <t xml:space="preserve">141</t>
  </si>
  <si>
    <t xml:space="preserve">3M-141-15</t>
  </si>
  <si>
    <t xml:space="preserve">3M-141-16</t>
  </si>
  <si>
    <t xml:space="preserve">3M-141-6</t>
  </si>
  <si>
    <t xml:space="preserve">3M-141-9</t>
  </si>
  <si>
    <t xml:space="preserve">3M-144-10</t>
  </si>
  <si>
    <t xml:space="preserve">3M-144-15</t>
  </si>
  <si>
    <t xml:space="preserve">3M-144-16</t>
  </si>
  <si>
    <t xml:space="preserve">3M-144-6</t>
  </si>
  <si>
    <t xml:space="preserve">3M-144-9</t>
  </si>
  <si>
    <t xml:space="preserve">3M-147-10</t>
  </si>
  <si>
    <t xml:space="preserve">147</t>
  </si>
  <si>
    <t xml:space="preserve">3M-147-15</t>
  </si>
  <si>
    <t xml:space="preserve">3M-147-16</t>
  </si>
  <si>
    <t xml:space="preserve">3M-147-6</t>
  </si>
  <si>
    <t xml:space="preserve">3M-147-9</t>
  </si>
  <si>
    <t xml:space="preserve">3M-150-10</t>
  </si>
  <si>
    <t xml:space="preserve">3M-150-15</t>
  </si>
  <si>
    <t xml:space="preserve">3M-150-16</t>
  </si>
  <si>
    <t xml:space="preserve">3M-150-6</t>
  </si>
  <si>
    <t xml:space="preserve">3M-150-9</t>
  </si>
  <si>
    <t xml:space="preserve">3M-153-10</t>
  </si>
  <si>
    <t xml:space="preserve">153</t>
  </si>
  <si>
    <t xml:space="preserve">3M-153-15</t>
  </si>
  <si>
    <t xml:space="preserve">3M-153-16</t>
  </si>
  <si>
    <t xml:space="preserve">3M-153-6</t>
  </si>
  <si>
    <t xml:space="preserve">3M-153-9</t>
  </si>
  <si>
    <t xml:space="preserve">3M-156-10</t>
  </si>
  <si>
    <t xml:space="preserve">3M-156-15</t>
  </si>
  <si>
    <t xml:space="preserve">3M-156-16</t>
  </si>
  <si>
    <t xml:space="preserve">3M-156-6</t>
  </si>
  <si>
    <t xml:space="preserve">3M-156-9</t>
  </si>
  <si>
    <t xml:space="preserve">3M-159-10</t>
  </si>
  <si>
    <t xml:space="preserve">159</t>
  </si>
  <si>
    <t xml:space="preserve">3M-159-15</t>
  </si>
  <si>
    <t xml:space="preserve">3M-159-16</t>
  </si>
  <si>
    <t xml:space="preserve">3M-159-6</t>
  </si>
  <si>
    <t xml:space="preserve">3M-159-9</t>
  </si>
  <si>
    <t xml:space="preserve">3M-162-10</t>
  </si>
  <si>
    <t xml:space="preserve">3M-162-15</t>
  </si>
  <si>
    <t xml:space="preserve">3M-162-16</t>
  </si>
  <si>
    <t xml:space="preserve">3M-162-6</t>
  </si>
  <si>
    <t xml:space="preserve">3M-162-9</t>
  </si>
  <si>
    <t xml:space="preserve">3M-165-10</t>
  </si>
  <si>
    <t xml:space="preserve">165</t>
  </si>
  <si>
    <t xml:space="preserve">3M-165-15</t>
  </si>
  <si>
    <t xml:space="preserve">3M-165-16</t>
  </si>
  <si>
    <t xml:space="preserve">3M-165-6</t>
  </si>
  <si>
    <t xml:space="preserve">3M-165-9</t>
  </si>
  <si>
    <t xml:space="preserve">3M-168-10</t>
  </si>
  <si>
    <t xml:space="preserve">3M-168-15</t>
  </si>
  <si>
    <t xml:space="preserve">3M-168-16</t>
  </si>
  <si>
    <t xml:space="preserve">3M-168-6</t>
  </si>
  <si>
    <t xml:space="preserve">3M-168-9</t>
  </si>
  <si>
    <t xml:space="preserve">3M-171-10</t>
  </si>
  <si>
    <t xml:space="preserve">171</t>
  </si>
  <si>
    <t xml:space="preserve">3M-171-15</t>
  </si>
  <si>
    <t xml:space="preserve">3M-171-16</t>
  </si>
  <si>
    <t xml:space="preserve">3M-171-6</t>
  </si>
  <si>
    <t xml:space="preserve">3M-171-9</t>
  </si>
  <si>
    <t xml:space="preserve">3M-174-10</t>
  </si>
  <si>
    <t xml:space="preserve">3M-174-15</t>
  </si>
  <si>
    <t xml:space="preserve">3M-174-16</t>
  </si>
  <si>
    <t xml:space="preserve">3M-174-6</t>
  </si>
  <si>
    <t xml:space="preserve">3M-174-9</t>
  </si>
  <si>
    <t xml:space="preserve">3M-177-10</t>
  </si>
  <si>
    <t xml:space="preserve">177</t>
  </si>
  <si>
    <t xml:space="preserve">3M-177-15</t>
  </si>
  <si>
    <t xml:space="preserve">3M-177-16</t>
  </si>
  <si>
    <t xml:space="preserve">3M-177-6</t>
  </si>
  <si>
    <t xml:space="preserve">3M-177-9</t>
  </si>
  <si>
    <t xml:space="preserve">3M-180-10</t>
  </si>
  <si>
    <t xml:space="preserve">3M-180-15</t>
  </si>
  <si>
    <t xml:space="preserve">3M-180-16</t>
  </si>
  <si>
    <t xml:space="preserve">3M-180-6</t>
  </si>
  <si>
    <t xml:space="preserve">3M-180-9</t>
  </si>
  <si>
    <t xml:space="preserve">3M-183-10</t>
  </si>
  <si>
    <t xml:space="preserve">183</t>
  </si>
  <si>
    <t xml:space="preserve">3M-183-15</t>
  </si>
  <si>
    <t xml:space="preserve">3M-183-16</t>
  </si>
  <si>
    <t xml:space="preserve">3M-183-6</t>
  </si>
  <si>
    <t xml:space="preserve">3M-183-9</t>
  </si>
  <si>
    <t xml:space="preserve">3M-186-10</t>
  </si>
  <si>
    <t xml:space="preserve">3M-186-15</t>
  </si>
  <si>
    <t xml:space="preserve">3M-186-16</t>
  </si>
  <si>
    <t xml:space="preserve">3M-186-6</t>
  </si>
  <si>
    <t xml:space="preserve">3M-186-9</t>
  </si>
  <si>
    <t xml:space="preserve">3M-189-10</t>
  </si>
  <si>
    <t xml:space="preserve">189</t>
  </si>
  <si>
    <t xml:space="preserve">3M-189-15</t>
  </si>
  <si>
    <t xml:space="preserve">3M-189-16</t>
  </si>
  <si>
    <t xml:space="preserve">3M-189-6</t>
  </si>
  <si>
    <t xml:space="preserve">3M-189-9</t>
  </si>
  <si>
    <t xml:space="preserve">3M-192-10</t>
  </si>
  <si>
    <t xml:space="preserve">3M-192-15</t>
  </si>
  <si>
    <t xml:space="preserve">3M-192-16</t>
  </si>
  <si>
    <t xml:space="preserve">3M-192-6</t>
  </si>
  <si>
    <t xml:space="preserve">3M-192-9</t>
  </si>
  <si>
    <t xml:space="preserve">3M-195-10</t>
  </si>
  <si>
    <t xml:space="preserve">195</t>
  </si>
  <si>
    <t xml:space="preserve">3M-195-15</t>
  </si>
  <si>
    <t xml:space="preserve">3M-195-16</t>
  </si>
  <si>
    <t xml:space="preserve">3M-195-6</t>
  </si>
  <si>
    <t xml:space="preserve">3M-195-9</t>
  </si>
  <si>
    <t xml:space="preserve">3M-198-10</t>
  </si>
  <si>
    <t xml:space="preserve">3M-198-15</t>
  </si>
  <si>
    <t xml:space="preserve">3M-198-16</t>
  </si>
  <si>
    <t xml:space="preserve">3M-198-6</t>
  </si>
  <si>
    <t xml:space="preserve">3M-198-9</t>
  </si>
  <si>
    <t xml:space="preserve">3M-201-10</t>
  </si>
  <si>
    <t xml:space="preserve">201</t>
  </si>
  <si>
    <t xml:space="preserve">3M-201-15</t>
  </si>
  <si>
    <t xml:space="preserve">3M-201-16</t>
  </si>
  <si>
    <t xml:space="preserve">3M-201-6</t>
  </si>
  <si>
    <t xml:space="preserve">3M-201-9</t>
  </si>
  <si>
    <t xml:space="preserve">3M-204-10</t>
  </si>
  <si>
    <t xml:space="preserve">3M-204-15</t>
  </si>
  <si>
    <t xml:space="preserve">3M-204-16</t>
  </si>
  <si>
    <t xml:space="preserve">3M-204-6</t>
  </si>
  <si>
    <t xml:space="preserve">3M-204-9</t>
  </si>
  <si>
    <t xml:space="preserve">3M-207-10</t>
  </si>
  <si>
    <t xml:space="preserve">207</t>
  </si>
  <si>
    <t xml:space="preserve">3M-207-15</t>
  </si>
  <si>
    <t xml:space="preserve">3M-207-16</t>
  </si>
  <si>
    <t xml:space="preserve">3M-207-6</t>
  </si>
  <si>
    <t xml:space="preserve">3M-207-9</t>
  </si>
  <si>
    <t xml:space="preserve">3M-210-10</t>
  </si>
  <si>
    <t xml:space="preserve">3M-210-15</t>
  </si>
  <si>
    <t xml:space="preserve">3M-210-16</t>
  </si>
  <si>
    <t xml:space="preserve">3M-210-6</t>
  </si>
  <si>
    <t xml:space="preserve">3M-210-9</t>
  </si>
  <si>
    <t xml:space="preserve">3M-213-10</t>
  </si>
  <si>
    <t xml:space="preserve">213</t>
  </si>
  <si>
    <t xml:space="preserve">3M-213-15</t>
  </si>
  <si>
    <t xml:space="preserve">3M-213-16</t>
  </si>
  <si>
    <t xml:space="preserve">3M-213-6</t>
  </si>
  <si>
    <t xml:space="preserve">3M-213-9</t>
  </si>
  <si>
    <t xml:space="preserve">3M-216-10</t>
  </si>
  <si>
    <t xml:space="preserve">3M-216-15</t>
  </si>
  <si>
    <t xml:space="preserve">3M-216-16</t>
  </si>
  <si>
    <t xml:space="preserve">3M-216-6</t>
  </si>
  <si>
    <t xml:space="preserve">3M-216-9</t>
  </si>
  <si>
    <t xml:space="preserve">3M-219-10</t>
  </si>
  <si>
    <t xml:space="preserve">219</t>
  </si>
  <si>
    <t xml:space="preserve">3M-219-15</t>
  </si>
  <si>
    <t xml:space="preserve">3M-219-16</t>
  </si>
  <si>
    <t xml:space="preserve">3M-219-6</t>
  </si>
  <si>
    <t xml:space="preserve">3M-219-9</t>
  </si>
  <si>
    <t xml:space="preserve">3M-222-10</t>
  </si>
  <si>
    <t xml:space="preserve">3M-222-15</t>
  </si>
  <si>
    <t xml:space="preserve">3M-222-16</t>
  </si>
  <si>
    <t xml:space="preserve">3M-222-6</t>
  </si>
  <si>
    <t xml:space="preserve">3M-222-9</t>
  </si>
  <si>
    <t xml:space="preserve">3M-225-10</t>
  </si>
  <si>
    <t xml:space="preserve">225</t>
  </si>
  <si>
    <t xml:space="preserve">3M-225-15</t>
  </si>
  <si>
    <t xml:space="preserve">3M-225-16</t>
  </si>
  <si>
    <t xml:space="preserve">3M-225-6</t>
  </si>
  <si>
    <t xml:space="preserve">3M-225-9</t>
  </si>
  <si>
    <t xml:space="preserve">3M-228-10</t>
  </si>
  <si>
    <t xml:space="preserve">3M-228-15</t>
  </si>
  <si>
    <t xml:space="preserve">3M-228-16</t>
  </si>
  <si>
    <t xml:space="preserve">3M-228-18</t>
  </si>
  <si>
    <t xml:space="preserve">18</t>
  </si>
  <si>
    <t xml:space="preserve">3M-228-20</t>
  </si>
  <si>
    <t xml:space="preserve">3M-228-25</t>
  </si>
  <si>
    <t xml:space="preserve">3M-228-6</t>
  </si>
  <si>
    <t xml:space="preserve">3M-228-8</t>
  </si>
  <si>
    <t xml:space="preserve">3M-228-9</t>
  </si>
  <si>
    <t xml:space="preserve">3M-231-10</t>
  </si>
  <si>
    <t xml:space="preserve">231</t>
  </si>
  <si>
    <t xml:space="preserve">3M-231-15</t>
  </si>
  <si>
    <t xml:space="preserve">3M-231-16</t>
  </si>
  <si>
    <t xml:space="preserve">3M-231-18</t>
  </si>
  <si>
    <t xml:space="preserve">3M-231-20</t>
  </si>
  <si>
    <t xml:space="preserve">3M-231-25</t>
  </si>
  <si>
    <t xml:space="preserve">3M-231-6</t>
  </si>
  <si>
    <t xml:space="preserve">3M-231-8</t>
  </si>
  <si>
    <t xml:space="preserve">3M-231-9</t>
  </si>
  <si>
    <t xml:space="preserve">3M-234-10</t>
  </si>
  <si>
    <t xml:space="preserve">3M-234-15</t>
  </si>
  <si>
    <t xml:space="preserve">3M-234-16</t>
  </si>
  <si>
    <t xml:space="preserve">3M-234-18</t>
  </si>
  <si>
    <t xml:space="preserve">3M-234-20</t>
  </si>
  <si>
    <t xml:space="preserve">3M-234-25</t>
  </si>
  <si>
    <t xml:space="preserve">3M-234-6</t>
  </si>
  <si>
    <t xml:space="preserve">3M-234-8</t>
  </si>
  <si>
    <t xml:space="preserve">3M-234-9</t>
  </si>
  <si>
    <t xml:space="preserve">3M-237-10</t>
  </si>
  <si>
    <t xml:space="preserve">237</t>
  </si>
  <si>
    <t xml:space="preserve">3M-237-15</t>
  </si>
  <si>
    <t xml:space="preserve">3M-237-16</t>
  </si>
  <si>
    <t xml:space="preserve">3M-237-18</t>
  </si>
  <si>
    <t xml:space="preserve">3M-237-20</t>
  </si>
  <si>
    <t xml:space="preserve">3M-237-25</t>
  </si>
  <si>
    <t xml:space="preserve">3M-237-6</t>
  </si>
  <si>
    <t xml:space="preserve">3M-237-8</t>
  </si>
  <si>
    <t xml:space="preserve">3M-237-9</t>
  </si>
  <si>
    <t xml:space="preserve">3M-240-10</t>
  </si>
  <si>
    <t xml:space="preserve">3M-240-15</t>
  </si>
  <si>
    <t xml:space="preserve">3M-240-16</t>
  </si>
  <si>
    <t xml:space="preserve">3M-240-18</t>
  </si>
  <si>
    <t xml:space="preserve">3M-240-20</t>
  </si>
  <si>
    <t xml:space="preserve">3M-240-25</t>
  </si>
  <si>
    <t xml:space="preserve">3M-240-6</t>
  </si>
  <si>
    <t xml:space="preserve">3M-240-8</t>
  </si>
  <si>
    <t xml:space="preserve">3M-240-9</t>
  </si>
  <si>
    <t xml:space="preserve">3M-243-10</t>
  </si>
  <si>
    <t xml:space="preserve">243</t>
  </si>
  <si>
    <t xml:space="preserve">3M-243-15</t>
  </si>
  <si>
    <t xml:space="preserve">3M-243-16</t>
  </si>
  <si>
    <t xml:space="preserve">3M-243-18</t>
  </si>
  <si>
    <t xml:space="preserve">3M-243-20</t>
  </si>
  <si>
    <t xml:space="preserve">3M-243-25</t>
  </si>
  <si>
    <t xml:space="preserve">3M-243-6</t>
  </si>
  <si>
    <t xml:space="preserve">3M-243-8</t>
  </si>
  <si>
    <t xml:space="preserve">3M-243-9</t>
  </si>
  <si>
    <t xml:space="preserve">3M-246-10</t>
  </si>
  <si>
    <t xml:space="preserve">3M-246-15</t>
  </si>
  <si>
    <t xml:space="preserve">3M-246-16</t>
  </si>
  <si>
    <t xml:space="preserve">3M-246-18</t>
  </si>
  <si>
    <t xml:space="preserve">3M-246-20</t>
  </si>
  <si>
    <t xml:space="preserve">3M-246-25</t>
  </si>
  <si>
    <t xml:space="preserve">3M-246-6</t>
  </si>
  <si>
    <t xml:space="preserve">3M-246-8</t>
  </si>
  <si>
    <t xml:space="preserve">3M-246-9</t>
  </si>
  <si>
    <t xml:space="preserve">3M-249-10</t>
  </si>
  <si>
    <t xml:space="preserve">249</t>
  </si>
  <si>
    <t xml:space="preserve">3M-249-15</t>
  </si>
  <si>
    <t xml:space="preserve">3M-249-16</t>
  </si>
  <si>
    <t xml:space="preserve">3M-249-18</t>
  </si>
  <si>
    <t xml:space="preserve">3M-249-20</t>
  </si>
  <si>
    <t xml:space="preserve">3M-249-25</t>
  </si>
  <si>
    <t xml:space="preserve">3M-249-6</t>
  </si>
  <si>
    <t xml:space="preserve">3M-249-8</t>
  </si>
  <si>
    <t xml:space="preserve">3M-249-9</t>
  </si>
  <si>
    <t xml:space="preserve">3M-252-10</t>
  </si>
  <si>
    <t xml:space="preserve">3M-252-15</t>
  </si>
  <si>
    <t xml:space="preserve">3M-252-16</t>
  </si>
  <si>
    <t xml:space="preserve">3M-252-18</t>
  </si>
  <si>
    <t xml:space="preserve">3M-252-20</t>
  </si>
  <si>
    <t xml:space="preserve">3M-252-25</t>
  </si>
  <si>
    <t xml:space="preserve">3M-252-6</t>
  </si>
  <si>
    <t xml:space="preserve">3M-252-8</t>
  </si>
  <si>
    <t xml:space="preserve">3M-252-9</t>
  </si>
  <si>
    <t xml:space="preserve">3M-255-10</t>
  </si>
  <si>
    <t xml:space="preserve">255</t>
  </si>
  <si>
    <t xml:space="preserve">3M-255-15</t>
  </si>
  <si>
    <t xml:space="preserve">3M-255-16</t>
  </si>
  <si>
    <t xml:space="preserve">3M-255-18</t>
  </si>
  <si>
    <t xml:space="preserve">3M-255-20</t>
  </si>
  <si>
    <t xml:space="preserve">3M-255-25</t>
  </si>
  <si>
    <t xml:space="preserve">3M-255-6</t>
  </si>
  <si>
    <t xml:space="preserve">3M-255-8</t>
  </si>
  <si>
    <t xml:space="preserve">3M-255-9</t>
  </si>
  <si>
    <t xml:space="preserve">3M-258-10</t>
  </si>
  <si>
    <t xml:space="preserve">3M-258-15</t>
  </si>
  <si>
    <t xml:space="preserve">3M-258-16</t>
  </si>
  <si>
    <t xml:space="preserve">3M-258-18</t>
  </si>
  <si>
    <t xml:space="preserve">3M-258-20</t>
  </si>
  <si>
    <t xml:space="preserve">3M-258-25</t>
  </si>
  <si>
    <t xml:space="preserve">3M-258-6</t>
  </si>
  <si>
    <t xml:space="preserve">3M-258-8</t>
  </si>
  <si>
    <t xml:space="preserve">3M-258-9</t>
  </si>
  <si>
    <t xml:space="preserve">3M-260-10</t>
  </si>
  <si>
    <t xml:space="preserve">3M-260-15</t>
  </si>
  <si>
    <t xml:space="preserve">3M-260-16</t>
  </si>
  <si>
    <t xml:space="preserve">3M-260-18</t>
  </si>
  <si>
    <t xml:space="preserve">3M-260-20</t>
  </si>
  <si>
    <t xml:space="preserve">3M-260-25</t>
  </si>
  <si>
    <t xml:space="preserve">3M-260-6</t>
  </si>
  <si>
    <t xml:space="preserve">3M-260-8</t>
  </si>
  <si>
    <t xml:space="preserve">3M-260-9</t>
  </si>
  <si>
    <t xml:space="preserve">3M-261-10</t>
  </si>
  <si>
    <t xml:space="preserve">261</t>
  </si>
  <si>
    <t xml:space="preserve">3M-261-15</t>
  </si>
  <si>
    <t xml:space="preserve">3M-261-16</t>
  </si>
  <si>
    <t xml:space="preserve">3M-261-18</t>
  </si>
  <si>
    <t xml:space="preserve">3M-261-20</t>
  </si>
  <si>
    <t xml:space="preserve">3M-261-25</t>
  </si>
  <si>
    <t xml:space="preserve">3M-261-6</t>
  </si>
  <si>
    <t xml:space="preserve">3M-261-8</t>
  </si>
  <si>
    <t xml:space="preserve">3M-261-9</t>
  </si>
  <si>
    <t xml:space="preserve">3M-264-10</t>
  </si>
  <si>
    <t xml:space="preserve">3M-264-15</t>
  </si>
  <si>
    <t xml:space="preserve">3M-264-16</t>
  </si>
  <si>
    <t xml:space="preserve">3M-264-18</t>
  </si>
  <si>
    <t xml:space="preserve">3M-264-20</t>
  </si>
  <si>
    <t xml:space="preserve">3M-264-25</t>
  </si>
  <si>
    <t xml:space="preserve">3M-264-6</t>
  </si>
  <si>
    <t xml:space="preserve">3M-264-8</t>
  </si>
  <si>
    <t xml:space="preserve">3M-264-9</t>
  </si>
  <si>
    <t xml:space="preserve">3M-265-10</t>
  </si>
  <si>
    <t xml:space="preserve">265</t>
  </si>
  <si>
    <t xml:space="preserve">3M-265-15</t>
  </si>
  <si>
    <t xml:space="preserve">3M-265-16</t>
  </si>
  <si>
    <t xml:space="preserve">3M-265-18</t>
  </si>
  <si>
    <t xml:space="preserve">3M-265-20</t>
  </si>
  <si>
    <t xml:space="preserve">3M-265-25</t>
  </si>
  <si>
    <t xml:space="preserve">3M-265-6</t>
  </si>
  <si>
    <t xml:space="preserve">3M-265-8</t>
  </si>
  <si>
    <t xml:space="preserve">3M-265-9</t>
  </si>
  <si>
    <t xml:space="preserve">3M-267-10</t>
  </si>
  <si>
    <t xml:space="preserve">267</t>
  </si>
  <si>
    <t xml:space="preserve">3M-267-15</t>
  </si>
  <si>
    <t xml:space="preserve">3M-267-16</t>
  </si>
  <si>
    <t xml:space="preserve">3M-267-18</t>
  </si>
  <si>
    <t xml:space="preserve">3M-267-20</t>
  </si>
  <si>
    <t xml:space="preserve">3M-267-25</t>
  </si>
  <si>
    <t xml:space="preserve">3M-267-6</t>
  </si>
  <si>
    <t xml:space="preserve">3M-267-8</t>
  </si>
  <si>
    <t xml:space="preserve">3M-267-9</t>
  </si>
  <si>
    <t xml:space="preserve">3M-270-10</t>
  </si>
  <si>
    <t xml:space="preserve">3M-270-15</t>
  </si>
  <si>
    <t xml:space="preserve">3M-270-16</t>
  </si>
  <si>
    <t xml:space="preserve">3M-270-18</t>
  </si>
  <si>
    <t xml:space="preserve">3M-270-20</t>
  </si>
  <si>
    <t xml:space="preserve">3M-270-25</t>
  </si>
  <si>
    <t xml:space="preserve">3M-270-6</t>
  </si>
  <si>
    <t xml:space="preserve">3M-270-8</t>
  </si>
  <si>
    <t xml:space="preserve">3M-270-9</t>
  </si>
  <si>
    <t xml:space="preserve">3M-273-10</t>
  </si>
  <si>
    <t xml:space="preserve">273</t>
  </si>
  <si>
    <t xml:space="preserve">3M-273-15</t>
  </si>
  <si>
    <t xml:space="preserve">3M-273-16</t>
  </si>
  <si>
    <t xml:space="preserve">3M-273-18</t>
  </si>
  <si>
    <t xml:space="preserve">3M-273-20</t>
  </si>
  <si>
    <t xml:space="preserve">3M-273-25</t>
  </si>
  <si>
    <t xml:space="preserve">3M-273-6</t>
  </si>
  <si>
    <t xml:space="preserve">3M-273-8</t>
  </si>
  <si>
    <t xml:space="preserve">3M-273-9</t>
  </si>
  <si>
    <t xml:space="preserve">3M-276-10</t>
  </si>
  <si>
    <t xml:space="preserve">3M-276-15</t>
  </si>
  <si>
    <t xml:space="preserve">3M-276-16</t>
  </si>
  <si>
    <t xml:space="preserve">3M-276-18</t>
  </si>
  <si>
    <t xml:space="preserve">3M-276-20</t>
  </si>
  <si>
    <t xml:space="preserve">3M-276-25</t>
  </si>
  <si>
    <t xml:space="preserve">3M-276-6</t>
  </si>
  <si>
    <t xml:space="preserve">3M-276-8</t>
  </si>
  <si>
    <t xml:space="preserve">3M-276-9</t>
  </si>
  <si>
    <t xml:space="preserve">3M-279-10</t>
  </si>
  <si>
    <t xml:space="preserve">279</t>
  </si>
  <si>
    <t xml:space="preserve">3M-279-15</t>
  </si>
  <si>
    <t xml:space="preserve">3M-279-16</t>
  </si>
  <si>
    <t xml:space="preserve">3M-279-18</t>
  </si>
  <si>
    <t xml:space="preserve">3M-279-20</t>
  </si>
  <si>
    <t xml:space="preserve">3M-279-25</t>
  </si>
  <si>
    <t xml:space="preserve">3M-279-6</t>
  </si>
  <si>
    <t xml:space="preserve">3M-279-8</t>
  </si>
  <si>
    <t xml:space="preserve">3M-279-9</t>
  </si>
  <si>
    <t xml:space="preserve">3M-282-10</t>
  </si>
  <si>
    <t xml:space="preserve">3M-282-15</t>
  </si>
  <si>
    <t xml:space="preserve">3M-282-16</t>
  </si>
  <si>
    <t xml:space="preserve">3M-282-18</t>
  </si>
  <si>
    <t xml:space="preserve">3M-282-20</t>
  </si>
  <si>
    <t xml:space="preserve">3M-282-25</t>
  </si>
  <si>
    <t xml:space="preserve">3M-282-6</t>
  </si>
  <si>
    <t xml:space="preserve">3M-282-8</t>
  </si>
  <si>
    <t xml:space="preserve">3M-282-9</t>
  </si>
  <si>
    <t xml:space="preserve">3M-285-10</t>
  </si>
  <si>
    <t xml:space="preserve">285</t>
  </si>
  <si>
    <t xml:space="preserve">3M-285-15</t>
  </si>
  <si>
    <t xml:space="preserve">3M-285-16</t>
  </si>
  <si>
    <t xml:space="preserve">3M-285-18</t>
  </si>
  <si>
    <t xml:space="preserve">3M-285-20</t>
  </si>
  <si>
    <t xml:space="preserve">3M-285-25</t>
  </si>
  <si>
    <t xml:space="preserve">3M-285-6</t>
  </si>
  <si>
    <t xml:space="preserve">3M-285-8</t>
  </si>
  <si>
    <t xml:space="preserve">3M-285-9</t>
  </si>
  <si>
    <t xml:space="preserve">3M-288-10</t>
  </si>
  <si>
    <t xml:space="preserve">3M-288-15</t>
  </si>
  <si>
    <t xml:space="preserve">3M-288-16</t>
  </si>
  <si>
    <t xml:space="preserve">3M-288-18</t>
  </si>
  <si>
    <t xml:space="preserve">3M-288-20</t>
  </si>
  <si>
    <t xml:space="preserve">3M-288-25</t>
  </si>
  <si>
    <t xml:space="preserve">3M-288-6</t>
  </si>
  <si>
    <t xml:space="preserve">3M-288-8</t>
  </si>
  <si>
    <t xml:space="preserve">3M-288-9</t>
  </si>
  <si>
    <t xml:space="preserve">3M-291-10</t>
  </si>
  <si>
    <t xml:space="preserve">291</t>
  </si>
  <si>
    <t xml:space="preserve">3M-291-15</t>
  </si>
  <si>
    <t xml:space="preserve">3M-291-16</t>
  </si>
  <si>
    <t xml:space="preserve">3M-291-18</t>
  </si>
  <si>
    <t xml:space="preserve">3M-291-20</t>
  </si>
  <si>
    <t xml:space="preserve">3M-291-25</t>
  </si>
  <si>
    <t xml:space="preserve">3M-291-6</t>
  </si>
  <si>
    <t xml:space="preserve">3M-291-8</t>
  </si>
  <si>
    <t xml:space="preserve">3M-291-9</t>
  </si>
  <si>
    <t xml:space="preserve">3M-294-10</t>
  </si>
  <si>
    <t xml:space="preserve">3M-294-15</t>
  </si>
  <si>
    <t xml:space="preserve">3M-294-16</t>
  </si>
  <si>
    <t xml:space="preserve">3M-294-18</t>
  </si>
  <si>
    <t xml:space="preserve">3M-294-20</t>
  </si>
  <si>
    <t xml:space="preserve">3M-294-25</t>
  </si>
  <si>
    <t xml:space="preserve">3M-294-6</t>
  </si>
  <si>
    <t xml:space="preserve">3M-294-8</t>
  </si>
  <si>
    <t xml:space="preserve">3M-294-9</t>
  </si>
  <si>
    <t xml:space="preserve">3M-297-10</t>
  </si>
  <si>
    <t xml:space="preserve">297</t>
  </si>
  <si>
    <t xml:space="preserve">3M-297-15</t>
  </si>
  <si>
    <t xml:space="preserve">3M-297-16</t>
  </si>
  <si>
    <t xml:space="preserve">3M-297-18</t>
  </si>
  <si>
    <t xml:space="preserve">3M-297-20</t>
  </si>
  <si>
    <t xml:space="preserve">3M-297-25</t>
  </si>
  <si>
    <t xml:space="preserve">3M-297-6</t>
  </si>
  <si>
    <t xml:space="preserve">3M-297-8</t>
  </si>
  <si>
    <t xml:space="preserve">3M-297-9</t>
  </si>
  <si>
    <t xml:space="preserve">3M-300-10</t>
  </si>
  <si>
    <t xml:space="preserve">3M-300-15</t>
  </si>
  <si>
    <t xml:space="preserve">3M-300-16</t>
  </si>
  <si>
    <t xml:space="preserve">3M-300-18</t>
  </si>
  <si>
    <t xml:space="preserve">3M-300-20</t>
  </si>
  <si>
    <t xml:space="preserve">3M-300-25</t>
  </si>
  <si>
    <t xml:space="preserve">3M-300-6</t>
  </si>
  <si>
    <t xml:space="preserve">3M-300-8</t>
  </si>
  <si>
    <t xml:space="preserve">3M-300-9</t>
  </si>
  <si>
    <t xml:space="preserve">3M-303-10</t>
  </si>
  <si>
    <t xml:space="preserve">303</t>
  </si>
  <si>
    <t xml:space="preserve">3M-303-15</t>
  </si>
  <si>
    <t xml:space="preserve">3M-303-16</t>
  </si>
  <si>
    <t xml:space="preserve">3M-303-18</t>
  </si>
  <si>
    <t xml:space="preserve">3M-303-20</t>
  </si>
  <si>
    <t xml:space="preserve">3M-303-25</t>
  </si>
  <si>
    <t xml:space="preserve">3M-303-6</t>
  </si>
  <si>
    <t xml:space="preserve">3M-303-8</t>
  </si>
  <si>
    <t xml:space="preserve">3M-303-9</t>
  </si>
  <si>
    <t xml:space="preserve">3M-306-10</t>
  </si>
  <si>
    <t xml:space="preserve">3M-306-15</t>
  </si>
  <si>
    <t xml:space="preserve">3M-306-16</t>
  </si>
  <si>
    <t xml:space="preserve">3M-306-18</t>
  </si>
  <si>
    <t xml:space="preserve">3M-306-20</t>
  </si>
  <si>
    <t xml:space="preserve">3M-306-25</t>
  </si>
  <si>
    <t xml:space="preserve">3M-306-6</t>
  </si>
  <si>
    <t xml:space="preserve">3M-306-8</t>
  </si>
  <si>
    <t xml:space="preserve">3M-306-9</t>
  </si>
  <si>
    <t xml:space="preserve">3M-309-10</t>
  </si>
  <si>
    <t xml:space="preserve">309</t>
  </si>
  <si>
    <t xml:space="preserve">3M-309-15</t>
  </si>
  <si>
    <t xml:space="preserve">3M-309-16</t>
  </si>
  <si>
    <t xml:space="preserve">3M-309-18</t>
  </si>
  <si>
    <t xml:space="preserve">3M-309-20</t>
  </si>
  <si>
    <t xml:space="preserve">3M-309-25</t>
  </si>
  <si>
    <t xml:space="preserve">3M-309-6</t>
  </si>
  <si>
    <t xml:space="preserve">3M-309-8</t>
  </si>
  <si>
    <t xml:space="preserve">3M-309-9</t>
  </si>
  <si>
    <t xml:space="preserve">3M-312-10</t>
  </si>
  <si>
    <t xml:space="preserve">3M-312-15</t>
  </si>
  <si>
    <t xml:space="preserve">3M-312-16</t>
  </si>
  <si>
    <t xml:space="preserve">3M-312-18</t>
  </si>
  <si>
    <t xml:space="preserve">3M-312-20</t>
  </si>
  <si>
    <t xml:space="preserve">3M-312-25</t>
  </si>
  <si>
    <t xml:space="preserve">3M-312-6</t>
  </si>
  <si>
    <t xml:space="preserve">3M-312-8</t>
  </si>
  <si>
    <t xml:space="preserve">3M-312-9</t>
  </si>
  <si>
    <t xml:space="preserve">3M-315-10</t>
  </si>
  <si>
    <t xml:space="preserve">315</t>
  </si>
  <si>
    <t xml:space="preserve">3M-315-15</t>
  </si>
  <si>
    <t xml:space="preserve">3M-315-16</t>
  </si>
  <si>
    <t xml:space="preserve">3M-315-18</t>
  </si>
  <si>
    <t xml:space="preserve">3M-315-20</t>
  </si>
  <si>
    <t xml:space="preserve">3M-315-25</t>
  </si>
  <si>
    <t xml:space="preserve">3M-315-6</t>
  </si>
  <si>
    <t xml:space="preserve">3M-315-8</t>
  </si>
  <si>
    <t xml:space="preserve">3M-315-9</t>
  </si>
  <si>
    <t xml:space="preserve">3M-318-10</t>
  </si>
  <si>
    <t xml:space="preserve">3M-318-15</t>
  </si>
  <si>
    <t xml:space="preserve">3M-318-16</t>
  </si>
  <si>
    <t xml:space="preserve">3M-318-18</t>
  </si>
  <si>
    <t xml:space="preserve">3M-318-20</t>
  </si>
  <si>
    <t xml:space="preserve">3M-318-25</t>
  </si>
  <si>
    <t xml:space="preserve">3M-318-6</t>
  </si>
  <si>
    <t xml:space="preserve">3M-318-8</t>
  </si>
  <si>
    <t xml:space="preserve">3M-318-9</t>
  </si>
  <si>
    <t xml:space="preserve">3M-321-10</t>
  </si>
  <si>
    <t xml:space="preserve">321</t>
  </si>
  <si>
    <t xml:space="preserve">3M-321-15</t>
  </si>
  <si>
    <t xml:space="preserve">3M-321-16</t>
  </si>
  <si>
    <t xml:space="preserve">3M-321-18</t>
  </si>
  <si>
    <t xml:space="preserve">3M-321-20</t>
  </si>
  <si>
    <t xml:space="preserve">3M-321-25</t>
  </si>
  <si>
    <t xml:space="preserve">3M-321-6</t>
  </si>
  <si>
    <t xml:space="preserve">3M-321-8</t>
  </si>
  <si>
    <t xml:space="preserve">3M-321-9</t>
  </si>
  <si>
    <t xml:space="preserve">3M-324-10</t>
  </si>
  <si>
    <t xml:space="preserve">3M-324-15</t>
  </si>
  <si>
    <t xml:space="preserve">3M-324-16</t>
  </si>
  <si>
    <t xml:space="preserve">3M-324-18</t>
  </si>
  <si>
    <t xml:space="preserve">3M-324-20</t>
  </si>
  <si>
    <t xml:space="preserve">3M-324-25</t>
  </si>
  <si>
    <t xml:space="preserve">3M-324-6</t>
  </si>
  <si>
    <t xml:space="preserve">3M-324-8</t>
  </si>
  <si>
    <t xml:space="preserve">3M-324-9</t>
  </si>
  <si>
    <t xml:space="preserve">3M-327-10</t>
  </si>
  <si>
    <t xml:space="preserve">327</t>
  </si>
  <si>
    <t xml:space="preserve">3M-327-15</t>
  </si>
  <si>
    <t xml:space="preserve">3M-327-16</t>
  </si>
  <si>
    <t xml:space="preserve">3M-327-18</t>
  </si>
  <si>
    <t xml:space="preserve">3M-327-20</t>
  </si>
  <si>
    <t xml:space="preserve">3M-327-25</t>
  </si>
  <si>
    <t xml:space="preserve">3M-327-6</t>
  </si>
  <si>
    <t xml:space="preserve">3M-327-8</t>
  </si>
  <si>
    <t xml:space="preserve">3M-327-9</t>
  </si>
  <si>
    <t xml:space="preserve">3M-330-10</t>
  </si>
  <si>
    <t xml:space="preserve">3M-330-15</t>
  </si>
  <si>
    <t xml:space="preserve">3M-330-16</t>
  </si>
  <si>
    <t xml:space="preserve">3M-330-18</t>
  </si>
  <si>
    <t xml:space="preserve">3M-330-20</t>
  </si>
  <si>
    <t xml:space="preserve">3M-330-25</t>
  </si>
  <si>
    <t xml:space="preserve">3M-330-6</t>
  </si>
  <si>
    <t xml:space="preserve">3M-330-8</t>
  </si>
  <si>
    <t xml:space="preserve">3M-330-9</t>
  </si>
  <si>
    <t xml:space="preserve">3M-333-10</t>
  </si>
  <si>
    <t xml:space="preserve">333</t>
  </si>
  <si>
    <t xml:space="preserve">3M-333-15</t>
  </si>
  <si>
    <t xml:space="preserve">3M-333-16</t>
  </si>
  <si>
    <t xml:space="preserve">3M-333-18</t>
  </si>
  <si>
    <t xml:space="preserve">3M-333-20</t>
  </si>
  <si>
    <t xml:space="preserve">3M-333-25</t>
  </si>
  <si>
    <t xml:space="preserve">3M-333-6</t>
  </si>
  <si>
    <t xml:space="preserve">3M-333-8</t>
  </si>
  <si>
    <t xml:space="preserve">3M-333-9</t>
  </si>
  <si>
    <t xml:space="preserve">3M-336-10</t>
  </si>
  <si>
    <t xml:space="preserve">3M-336-15</t>
  </si>
  <si>
    <t xml:space="preserve">3M-336-16</t>
  </si>
  <si>
    <t xml:space="preserve">3M-336-18</t>
  </si>
  <si>
    <t xml:space="preserve">3M-336-20</t>
  </si>
  <si>
    <t xml:space="preserve">3M-336-25</t>
  </si>
  <si>
    <t xml:space="preserve">3M-336-6</t>
  </si>
  <si>
    <t xml:space="preserve">3M-336-8</t>
  </si>
  <si>
    <t xml:space="preserve">3M-336-9</t>
  </si>
  <si>
    <t xml:space="preserve">3M-339-10</t>
  </si>
  <si>
    <t xml:space="preserve">339</t>
  </si>
  <si>
    <t xml:space="preserve">3M-339-15</t>
  </si>
  <si>
    <t xml:space="preserve">3M-339-16</t>
  </si>
  <si>
    <t xml:space="preserve">3M-339-18</t>
  </si>
  <si>
    <t xml:space="preserve">3M-339-20</t>
  </si>
  <si>
    <t xml:space="preserve">3M-339-25</t>
  </si>
  <si>
    <t xml:space="preserve">3M-339-6</t>
  </si>
  <si>
    <t xml:space="preserve">3M-339-8</t>
  </si>
  <si>
    <t xml:space="preserve">3M-339-9</t>
  </si>
  <si>
    <t xml:space="preserve">3M-342-10</t>
  </si>
  <si>
    <t xml:space="preserve">3M-342-15</t>
  </si>
  <si>
    <t xml:space="preserve">3M-342-16</t>
  </si>
  <si>
    <t xml:space="preserve">3M-342-18</t>
  </si>
  <si>
    <t xml:space="preserve">3M-342-20</t>
  </si>
  <si>
    <t xml:space="preserve">3M-342-25</t>
  </si>
  <si>
    <t xml:space="preserve">3M-342-6</t>
  </si>
  <si>
    <t xml:space="preserve">3M-342-8</t>
  </si>
  <si>
    <t xml:space="preserve">3M-342-9</t>
  </si>
  <si>
    <t xml:space="preserve">3M-345-10</t>
  </si>
  <si>
    <t xml:space="preserve">345</t>
  </si>
  <si>
    <t xml:space="preserve">3M-345-15</t>
  </si>
  <si>
    <t xml:space="preserve">3M-345-16</t>
  </si>
  <si>
    <t xml:space="preserve">3M-345-18</t>
  </si>
  <si>
    <t xml:space="preserve">3M-345-20</t>
  </si>
  <si>
    <t xml:space="preserve">3M-345-25</t>
  </si>
  <si>
    <t xml:space="preserve">3M-345-6</t>
  </si>
  <si>
    <t xml:space="preserve">3M-345-8</t>
  </si>
  <si>
    <t xml:space="preserve">3M-345-9</t>
  </si>
  <si>
    <t xml:space="preserve">3M-348-10</t>
  </si>
  <si>
    <t xml:space="preserve">3M-348-15</t>
  </si>
  <si>
    <t xml:space="preserve">3M-348-16</t>
  </si>
  <si>
    <t xml:space="preserve">3M-348-18</t>
  </si>
  <si>
    <t xml:space="preserve">3M-348-20</t>
  </si>
  <si>
    <t xml:space="preserve">3M-348-25</t>
  </si>
  <si>
    <t xml:space="preserve">3M-348-6</t>
  </si>
  <si>
    <t xml:space="preserve">3M-348-8</t>
  </si>
  <si>
    <t xml:space="preserve">3M-348-9</t>
  </si>
  <si>
    <t xml:space="preserve">3M-351-10</t>
  </si>
  <si>
    <t xml:space="preserve">351</t>
  </si>
  <si>
    <t xml:space="preserve">3M-351-15</t>
  </si>
  <si>
    <t xml:space="preserve">3M-351-16</t>
  </si>
  <si>
    <t xml:space="preserve">3M-351-18</t>
  </si>
  <si>
    <t xml:space="preserve">3M-351-20</t>
  </si>
  <si>
    <t xml:space="preserve">3M-351-25</t>
  </si>
  <si>
    <t xml:space="preserve">3M-351-6</t>
  </si>
  <si>
    <t xml:space="preserve">3M-351-8</t>
  </si>
  <si>
    <t xml:space="preserve">3M-351-9</t>
  </si>
  <si>
    <t xml:space="preserve">3M-354-10</t>
  </si>
  <si>
    <t xml:space="preserve">3M-354-15</t>
  </si>
  <si>
    <t xml:space="preserve">3M-354-16</t>
  </si>
  <si>
    <t xml:space="preserve">3M-354-18</t>
  </si>
  <si>
    <t xml:space="preserve">3M-354-20</t>
  </si>
  <si>
    <t xml:space="preserve">3M-354-25</t>
  </si>
  <si>
    <t xml:space="preserve">3M-354-6</t>
  </si>
  <si>
    <t xml:space="preserve">3M-354-8</t>
  </si>
  <si>
    <t xml:space="preserve">3M-354-9</t>
  </si>
  <si>
    <t xml:space="preserve">3M-357-10</t>
  </si>
  <si>
    <t xml:space="preserve">357</t>
  </si>
  <si>
    <t xml:space="preserve">3M-357-15</t>
  </si>
  <si>
    <t xml:space="preserve">3M-357-16</t>
  </si>
  <si>
    <t xml:space="preserve">3M-357-18</t>
  </si>
  <si>
    <t xml:space="preserve">3M-357-20</t>
  </si>
  <si>
    <t xml:space="preserve">3M-357-25</t>
  </si>
  <si>
    <t xml:space="preserve">3M-357-6</t>
  </si>
  <si>
    <t xml:space="preserve">3M-357-8</t>
  </si>
  <si>
    <t xml:space="preserve">3M-357-9</t>
  </si>
  <si>
    <t xml:space="preserve">3M-360-10</t>
  </si>
  <si>
    <t xml:space="preserve">3M-360-15</t>
  </si>
  <si>
    <t xml:space="preserve">3M-360-16</t>
  </si>
  <si>
    <t xml:space="preserve">3M-360-18</t>
  </si>
  <si>
    <t xml:space="preserve">3M-360-20</t>
  </si>
  <si>
    <t xml:space="preserve">3M-360-25</t>
  </si>
  <si>
    <t xml:space="preserve">3M-360-6</t>
  </si>
  <si>
    <t xml:space="preserve">3M-360-8</t>
  </si>
  <si>
    <t xml:space="preserve">3M-360-9</t>
  </si>
  <si>
    <t xml:space="preserve">3M-363-10</t>
  </si>
  <si>
    <t xml:space="preserve">363</t>
  </si>
  <si>
    <t xml:space="preserve">3M-363-15</t>
  </si>
  <si>
    <t xml:space="preserve">3M-363-16</t>
  </si>
  <si>
    <t xml:space="preserve">3M-363-18</t>
  </si>
  <si>
    <t xml:space="preserve">3M-363-20</t>
  </si>
  <si>
    <t xml:space="preserve">3M-363-25</t>
  </si>
  <si>
    <t xml:space="preserve">3M-363-6</t>
  </si>
  <si>
    <t xml:space="preserve">3M-363-8</t>
  </si>
  <si>
    <t xml:space="preserve">3M-363-9</t>
  </si>
  <si>
    <t xml:space="preserve">3M-366-10</t>
  </si>
  <si>
    <t xml:space="preserve">3M-366-15</t>
  </si>
  <si>
    <t xml:space="preserve">3M-366-16</t>
  </si>
  <si>
    <t xml:space="preserve">3M-366-18</t>
  </si>
  <si>
    <t xml:space="preserve">3M-366-20</t>
  </si>
  <si>
    <t xml:space="preserve">3M-366-25</t>
  </si>
  <si>
    <t xml:space="preserve">3M-366-6</t>
  </si>
  <si>
    <t xml:space="preserve">3M-366-8</t>
  </si>
  <si>
    <t xml:space="preserve">3M-366-9</t>
  </si>
  <si>
    <t xml:space="preserve">3M-369-10</t>
  </si>
  <si>
    <t xml:space="preserve">369</t>
  </si>
  <si>
    <t xml:space="preserve">3M-369-15</t>
  </si>
  <si>
    <t xml:space="preserve">3M-369-16</t>
  </si>
  <si>
    <t xml:space="preserve">3M-369-18</t>
  </si>
  <si>
    <t xml:space="preserve">3M-369-20</t>
  </si>
  <si>
    <t xml:space="preserve">3M-369-25</t>
  </si>
  <si>
    <t xml:space="preserve">3M-369-6</t>
  </si>
  <si>
    <t xml:space="preserve">3M-369-8</t>
  </si>
  <si>
    <t xml:space="preserve">3M-369-9</t>
  </si>
  <si>
    <t xml:space="preserve">3M-372-10</t>
  </si>
  <si>
    <t xml:space="preserve">3M-372-15</t>
  </si>
  <si>
    <t xml:space="preserve">3M-372-16</t>
  </si>
  <si>
    <t xml:space="preserve">3M-372-18</t>
  </si>
  <si>
    <t xml:space="preserve">3M-372-20</t>
  </si>
  <si>
    <t xml:space="preserve">3M-372-25</t>
  </si>
  <si>
    <t xml:space="preserve">3M-372-6</t>
  </si>
  <si>
    <t xml:space="preserve">3M-372-8</t>
  </si>
  <si>
    <t xml:space="preserve">3M-372-9</t>
  </si>
  <si>
    <t xml:space="preserve">3M-375-10</t>
  </si>
  <si>
    <t xml:space="preserve">375</t>
  </si>
  <si>
    <t xml:space="preserve">3M-375-15</t>
  </si>
  <si>
    <t xml:space="preserve">3M-375-16</t>
  </si>
  <si>
    <t xml:space="preserve">3M-375-18</t>
  </si>
  <si>
    <t xml:space="preserve">3M-375-20</t>
  </si>
  <si>
    <t xml:space="preserve">3M-375-25</t>
  </si>
  <si>
    <t xml:space="preserve">3M-375-6</t>
  </si>
  <si>
    <t xml:space="preserve">3M-375-8</t>
  </si>
  <si>
    <t xml:space="preserve">3M-375-9</t>
  </si>
  <si>
    <t xml:space="preserve">3M-378-10</t>
  </si>
  <si>
    <t xml:space="preserve">378</t>
  </si>
  <si>
    <t xml:space="preserve">3M-378-15</t>
  </si>
  <si>
    <t xml:space="preserve">3M-378-16</t>
  </si>
  <si>
    <t xml:space="preserve">3M-378-18</t>
  </si>
  <si>
    <t xml:space="preserve">3M-378-20</t>
  </si>
  <si>
    <t xml:space="preserve">3M-378-25</t>
  </si>
  <si>
    <t xml:space="preserve">3M-378-6</t>
  </si>
  <si>
    <t xml:space="preserve">3M-378-8</t>
  </si>
  <si>
    <t xml:space="preserve">3M-378-9</t>
  </si>
  <si>
    <t xml:space="preserve">3M-381-10</t>
  </si>
  <si>
    <t xml:space="preserve">381</t>
  </si>
  <si>
    <t xml:space="preserve">3M-381-15</t>
  </si>
  <si>
    <t xml:space="preserve">3M-381-16</t>
  </si>
  <si>
    <t xml:space="preserve">3M-381-18</t>
  </si>
  <si>
    <t xml:space="preserve">3M-381-20</t>
  </si>
  <si>
    <t xml:space="preserve">3M-381-25</t>
  </si>
  <si>
    <t xml:space="preserve">3M-381-6</t>
  </si>
  <si>
    <t xml:space="preserve">3M-381-8</t>
  </si>
  <si>
    <t xml:space="preserve">3M-381-9</t>
  </si>
  <si>
    <t xml:space="preserve">3M-384-10</t>
  </si>
  <si>
    <t xml:space="preserve">3M-384-15</t>
  </si>
  <si>
    <t xml:space="preserve">3M-384-16</t>
  </si>
  <si>
    <t xml:space="preserve">3M-384-18</t>
  </si>
  <si>
    <t xml:space="preserve">3M-384-20</t>
  </si>
  <si>
    <t xml:space="preserve">3M-384-25</t>
  </si>
  <si>
    <t xml:space="preserve">3M-384-6</t>
  </si>
  <si>
    <t xml:space="preserve">3M-384-8</t>
  </si>
  <si>
    <t xml:space="preserve">3M-384-9</t>
  </si>
  <si>
    <t xml:space="preserve">3M-387-10</t>
  </si>
  <si>
    <t xml:space="preserve">387</t>
  </si>
  <si>
    <t xml:space="preserve">3M-387-15</t>
  </si>
  <si>
    <t xml:space="preserve">3M-387-16</t>
  </si>
  <si>
    <t xml:space="preserve">3M-387-18</t>
  </si>
  <si>
    <t xml:space="preserve">3M-387-20</t>
  </si>
  <si>
    <t xml:space="preserve">3M-387-25</t>
  </si>
  <si>
    <t xml:space="preserve">3M-387-6</t>
  </si>
  <si>
    <t xml:space="preserve">3M-387-8</t>
  </si>
  <si>
    <t xml:space="preserve">3M-387-9</t>
  </si>
  <si>
    <t xml:space="preserve">3M-390-10</t>
  </si>
  <si>
    <t xml:space="preserve">3M-390-15</t>
  </si>
  <si>
    <t xml:space="preserve">3M-390-16</t>
  </si>
  <si>
    <t xml:space="preserve">3M-390-18</t>
  </si>
  <si>
    <t xml:space="preserve">3M-390-20</t>
  </si>
  <si>
    <t xml:space="preserve">3M-390-25</t>
  </si>
  <si>
    <t xml:space="preserve">3M-390-6</t>
  </si>
  <si>
    <t xml:space="preserve">3M-390-8</t>
  </si>
  <si>
    <t xml:space="preserve">3M-390-9</t>
  </si>
  <si>
    <t xml:space="preserve">3M-393-10</t>
  </si>
  <si>
    <t xml:space="preserve">393</t>
  </si>
  <si>
    <t xml:space="preserve">3M-393-15</t>
  </si>
  <si>
    <t xml:space="preserve">3M-393-16</t>
  </si>
  <si>
    <t xml:space="preserve">3M-393-18</t>
  </si>
  <si>
    <t xml:space="preserve">3M-393-20</t>
  </si>
  <si>
    <t xml:space="preserve">3M-393-25</t>
  </si>
  <si>
    <t xml:space="preserve">3M-393-6</t>
  </si>
  <si>
    <t xml:space="preserve">3M-393-8</t>
  </si>
  <si>
    <t xml:space="preserve">3M-393-9</t>
  </si>
  <si>
    <t xml:space="preserve">3M-60-10</t>
  </si>
  <si>
    <t xml:space="preserve">3M-60-15</t>
  </si>
  <si>
    <t xml:space="preserve">3M-60-16</t>
  </si>
  <si>
    <t xml:space="preserve">3M-60-6</t>
  </si>
  <si>
    <t xml:space="preserve">3M-60-9</t>
  </si>
  <si>
    <t xml:space="preserve">3M-81-10</t>
  </si>
  <si>
    <t xml:space="preserve">81</t>
  </si>
  <si>
    <t xml:space="preserve">3M-81-15</t>
  </si>
  <si>
    <t xml:space="preserve">3M-81-16</t>
  </si>
  <si>
    <t xml:space="preserve">3M-81-6</t>
  </si>
  <si>
    <t xml:space="preserve">3M-81-9</t>
  </si>
  <si>
    <t xml:space="preserve">DS-3M-252-10</t>
  </si>
  <si>
    <t xml:space="preserve">DS-3M-252-15</t>
  </si>
  <si>
    <t xml:space="preserve">PU-3M-267-15</t>
  </si>
  <si>
    <t xml:space="preserve">HTD3M Closed-Loop Timing Belt, Length 732-6804mm  [HTD3M Belts]</t>
  </si>
  <si>
    <t xml:space="preserve">1002</t>
  </si>
  <si>
    <t xml:space="preserve">3M-1002-10</t>
  </si>
  <si>
    <t xml:space="preserve">3M-1002-15</t>
  </si>
  <si>
    <t xml:space="preserve">3M-1002-18</t>
  </si>
  <si>
    <t xml:space="preserve">3M-1002-6</t>
  </si>
  <si>
    <t xml:space="preserve">3M-1119-10</t>
  </si>
  <si>
    <t xml:space="preserve">1119</t>
  </si>
  <si>
    <t xml:space="preserve">3M-1119-15</t>
  </si>
  <si>
    <t xml:space="preserve">3M-1119-18</t>
  </si>
  <si>
    <t xml:space="preserve">3M-1119-6</t>
  </si>
  <si>
    <t xml:space="preserve">3M-1125-10</t>
  </si>
  <si>
    <t xml:space="preserve">1125</t>
  </si>
  <si>
    <t xml:space="preserve">3M-1125-15</t>
  </si>
  <si>
    <t xml:space="preserve">3M-1125-18</t>
  </si>
  <si>
    <t xml:space="preserve">3M-1125-6</t>
  </si>
  <si>
    <t xml:space="preserve">3M-1245-10</t>
  </si>
  <si>
    <t xml:space="preserve">3M-1245-15</t>
  </si>
  <si>
    <t xml:space="preserve">3M-1245-18</t>
  </si>
  <si>
    <t xml:space="preserve">3M-1245-6</t>
  </si>
  <si>
    <t xml:space="preserve">3M-1569-10</t>
  </si>
  <si>
    <t xml:space="preserve">1569</t>
  </si>
  <si>
    <t xml:space="preserve">3M-1569-15</t>
  </si>
  <si>
    <t xml:space="preserve">3M-1569-18</t>
  </si>
  <si>
    <t xml:space="preserve">3M-1569-6</t>
  </si>
  <si>
    <t xml:space="preserve">3M-1599-10</t>
  </si>
  <si>
    <t xml:space="preserve">1599</t>
  </si>
  <si>
    <t xml:space="preserve">3M-1599-15</t>
  </si>
  <si>
    <t xml:space="preserve">3M-1599-18</t>
  </si>
  <si>
    <t xml:space="preserve">3M-1599-6</t>
  </si>
  <si>
    <t xml:space="preserve">3M-1638-10</t>
  </si>
  <si>
    <t xml:space="preserve">1638</t>
  </si>
  <si>
    <t xml:space="preserve">3M-1638-15</t>
  </si>
  <si>
    <t xml:space="preserve">3M-1638-18</t>
  </si>
  <si>
    <t xml:space="preserve">3M-1638-6</t>
  </si>
  <si>
    <t xml:space="preserve">3M-1686-10</t>
  </si>
  <si>
    <t xml:space="preserve">1686</t>
  </si>
  <si>
    <t xml:space="preserve">3M-1686-15</t>
  </si>
  <si>
    <t xml:space="preserve">3M-1686-18</t>
  </si>
  <si>
    <t xml:space="preserve">3M-1686-6</t>
  </si>
  <si>
    <t xml:space="preserve">3M-1701-10</t>
  </si>
  <si>
    <t xml:space="preserve">1701</t>
  </si>
  <si>
    <t xml:space="preserve">3M-1701-15</t>
  </si>
  <si>
    <t xml:space="preserve">3M-1701-18</t>
  </si>
  <si>
    <t xml:space="preserve">3M-1701-6</t>
  </si>
  <si>
    <t xml:space="preserve">3M-1800-10</t>
  </si>
  <si>
    <t xml:space="preserve">1800</t>
  </si>
  <si>
    <t xml:space="preserve">3M-1800-15</t>
  </si>
  <si>
    <t xml:space="preserve">3M-1800-18</t>
  </si>
  <si>
    <t xml:space="preserve">3M-1800-6</t>
  </si>
  <si>
    <t xml:space="preserve">3M-1905-10</t>
  </si>
  <si>
    <t xml:space="preserve">1905</t>
  </si>
  <si>
    <t xml:space="preserve">3M-1905-15</t>
  </si>
  <si>
    <t xml:space="preserve">3M-1905-18</t>
  </si>
  <si>
    <t xml:space="preserve">3M-1905-6</t>
  </si>
  <si>
    <t xml:space="preserve">3M-2190-10</t>
  </si>
  <si>
    <t xml:space="preserve">2190</t>
  </si>
  <si>
    <t xml:space="preserve">3M-2190-15</t>
  </si>
  <si>
    <t xml:space="preserve">3M-2190-18</t>
  </si>
  <si>
    <t xml:space="preserve">3M-2190-6</t>
  </si>
  <si>
    <t xml:space="preserve">3M-2220-10</t>
  </si>
  <si>
    <t xml:space="preserve">3M-2220-15</t>
  </si>
  <si>
    <t xml:space="preserve">3M-2220-18</t>
  </si>
  <si>
    <t xml:space="preserve">3M-2220-6</t>
  </si>
  <si>
    <t xml:space="preserve">3M-2388-10</t>
  </si>
  <si>
    <t xml:space="preserve">2388</t>
  </si>
  <si>
    <t xml:space="preserve">3M-2388-15</t>
  </si>
  <si>
    <t xml:space="preserve">3M-2388-18</t>
  </si>
  <si>
    <t xml:space="preserve">3M-2388-6</t>
  </si>
  <si>
    <t xml:space="preserve">3M-3000-10</t>
  </si>
  <si>
    <t xml:space="preserve">3M-3000-15</t>
  </si>
  <si>
    <t xml:space="preserve">3M-3000-18</t>
  </si>
  <si>
    <t xml:space="preserve">3M-3000-6</t>
  </si>
  <si>
    <t xml:space="preserve">3M-3210-10</t>
  </si>
  <si>
    <t xml:space="preserve">3210</t>
  </si>
  <si>
    <t xml:space="preserve">3M-3210-15</t>
  </si>
  <si>
    <t xml:space="preserve">3M-3210-18</t>
  </si>
  <si>
    <t xml:space="preserve">3M-3210-6</t>
  </si>
  <si>
    <t xml:space="preserve">3M-3225-10</t>
  </si>
  <si>
    <t xml:space="preserve">3225</t>
  </si>
  <si>
    <t xml:space="preserve">3M-3225-15</t>
  </si>
  <si>
    <t xml:space="preserve">3M-3225-18</t>
  </si>
  <si>
    <t xml:space="preserve">3M-3225-6</t>
  </si>
  <si>
    <t xml:space="preserve">3M-3390-10</t>
  </si>
  <si>
    <t xml:space="preserve">3390</t>
  </si>
  <si>
    <t xml:space="preserve">3M-3390-15</t>
  </si>
  <si>
    <t xml:space="preserve">3M-3390-18</t>
  </si>
  <si>
    <t xml:space="preserve">3M-3390-6</t>
  </si>
  <si>
    <t xml:space="preserve">3M-3600-10</t>
  </si>
  <si>
    <t xml:space="preserve">3M-3600-15</t>
  </si>
  <si>
    <t xml:space="preserve">3M-3600-18</t>
  </si>
  <si>
    <t xml:space="preserve">3M-3600-6</t>
  </si>
  <si>
    <t xml:space="preserve">3M-4311-10</t>
  </si>
  <si>
    <t xml:space="preserve">4311</t>
  </si>
  <si>
    <t xml:space="preserve">3M-4311-15</t>
  </si>
  <si>
    <t xml:space="preserve">3M-4311-18</t>
  </si>
  <si>
    <t xml:space="preserve">3M-4311-6</t>
  </si>
  <si>
    <t xml:space="preserve">3M-4314-10</t>
  </si>
  <si>
    <t xml:space="preserve">4314</t>
  </si>
  <si>
    <t xml:space="preserve">3M-4314-15</t>
  </si>
  <si>
    <t xml:space="preserve">3M-4314-18</t>
  </si>
  <si>
    <t xml:space="preserve">3M-4314-6</t>
  </si>
  <si>
    <t xml:space="preserve">3M-4317-10</t>
  </si>
  <si>
    <t xml:space="preserve">4317</t>
  </si>
  <si>
    <t xml:space="preserve">3M-4317-15</t>
  </si>
  <si>
    <t xml:space="preserve">3M-4317-18</t>
  </si>
  <si>
    <t xml:space="preserve">3M-4317-6</t>
  </si>
  <si>
    <t xml:space="preserve">3M-4326-10</t>
  </si>
  <si>
    <t xml:space="preserve">4326</t>
  </si>
  <si>
    <t xml:space="preserve">3M-4326-15</t>
  </si>
  <si>
    <t xml:space="preserve">3M-4326-18</t>
  </si>
  <si>
    <t xml:space="preserve">3M-4326-6</t>
  </si>
  <si>
    <t xml:space="preserve">3M-738-10</t>
  </si>
  <si>
    <t xml:space="preserve">3M-738-15</t>
  </si>
  <si>
    <t xml:space="preserve">3M-738-18</t>
  </si>
  <si>
    <t xml:space="preserve">3M-738-6</t>
  </si>
  <si>
    <t xml:space="preserve">3M-801-10</t>
  </si>
  <si>
    <t xml:space="preserve">801</t>
  </si>
  <si>
    <t xml:space="preserve">3M-801-15</t>
  </si>
  <si>
    <t xml:space="preserve">3M-801-18</t>
  </si>
  <si>
    <t xml:space="preserve">3M-801-6</t>
  </si>
  <si>
    <t xml:space="preserve">3M-810-10</t>
  </si>
  <si>
    <t xml:space="preserve">3M-810-15</t>
  </si>
  <si>
    <t xml:space="preserve">3M-810-18</t>
  </si>
  <si>
    <t xml:space="preserve">3M-810-6</t>
  </si>
  <si>
    <t xml:space="preserve">3M-900-10</t>
  </si>
  <si>
    <t xml:space="preserve">3M-900-15</t>
  </si>
  <si>
    <t xml:space="preserve">3M-900-18</t>
  </si>
  <si>
    <t xml:space="preserve">3M-900-6</t>
  </si>
  <si>
    <t xml:space="preserve">3M-918-10</t>
  </si>
  <si>
    <t xml:space="preserve">3M-918-15</t>
  </si>
  <si>
    <t xml:space="preserve">3M-918-18</t>
  </si>
  <si>
    <t xml:space="preserve">3M-918-6</t>
  </si>
  <si>
    <t xml:space="preserve">3M-972-10</t>
  </si>
  <si>
    <t xml:space="preserve">3M-972-15</t>
  </si>
  <si>
    <t xml:space="preserve">3M-972-18</t>
  </si>
  <si>
    <t xml:space="preserve">3M-972-6</t>
  </si>
  <si>
    <t xml:space="preserve">DS-3M-789-10</t>
  </si>
  <si>
    <t xml:space="preserve">789</t>
  </si>
  <si>
    <t xml:space="preserve">DS-3M-789-15</t>
  </si>
  <si>
    <t xml:space="preserve">JOMO-3M-2190-10</t>
  </si>
  <si>
    <t xml:space="preserve">JOMO-3M-2190-15</t>
  </si>
  <si>
    <t xml:space="preserve">JOMO-3M-2190-6</t>
  </si>
  <si>
    <t xml:space="preserve">JOMO-3M-972-10</t>
  </si>
  <si>
    <t xml:space="preserve">JOMO-3M-972-15</t>
  </si>
  <si>
    <t xml:space="preserve">JOMO-3M-972-6</t>
  </si>
  <si>
    <t xml:space="preserve">HTD5M Open Timing Belt (per meter)  [HTD5M Belts]</t>
  </si>
  <si>
    <t xml:space="preserve">HTD5M-10-BPU-1M</t>
  </si>
  <si>
    <t xml:space="preserve">HTD5M-10-BPU-RL1</t>
  </si>
  <si>
    <t xml:space="preserve">HTD5M-10-BPU-RL10</t>
  </si>
  <si>
    <t xml:space="preserve">HTD5M-10-BPU-RL5</t>
  </si>
  <si>
    <t xml:space="preserve">HTD5M-10-WPU-1M</t>
  </si>
  <si>
    <t xml:space="preserve">HTD5M-10-WPU-RL10</t>
  </si>
  <si>
    <t xml:space="preserve">HTD5M-10-WPUG-1M</t>
  </si>
  <si>
    <t xml:space="preserve">HTD5M-10-WPUG-RL10</t>
  </si>
  <si>
    <t xml:space="preserve">HTD5M-12-R-1M</t>
  </si>
  <si>
    <t xml:space="preserve">HTD5M-12-R-RL5</t>
  </si>
  <si>
    <t xml:space="preserve">HTD5M-14-BPU-1M</t>
  </si>
  <si>
    <t xml:space="preserve">14</t>
  </si>
  <si>
    <t xml:space="preserve">HTD5M-14-WPU-1M</t>
  </si>
  <si>
    <t xml:space="preserve">HTD5M-14-WPUG-1M</t>
  </si>
  <si>
    <t xml:space="preserve">HTD5M-15-BPU-1M</t>
  </si>
  <si>
    <t xml:space="preserve">HTD5M-15-BPU-RL10</t>
  </si>
  <si>
    <t xml:space="preserve">HTD5M-15-BPU-RL20</t>
  </si>
  <si>
    <t xml:space="preserve">HTD5M-15-BPU-RL30</t>
  </si>
  <si>
    <t xml:space="preserve">HTD5M-15-BPU-RL5</t>
  </si>
  <si>
    <t xml:space="preserve">HTD5M-15-BPUB-1M</t>
  </si>
  <si>
    <t xml:space="preserve">HTD5M-15-BPUK-1M</t>
  </si>
  <si>
    <t xml:space="preserve">HTD5M-15-R-1M</t>
  </si>
  <si>
    <t xml:space="preserve">HTD5M-15-R-RL5</t>
  </si>
  <si>
    <t xml:space="preserve">HTD5M-15-RF-1M</t>
  </si>
  <si>
    <t xml:space="preserve">HTD5M-15-WPU-1M</t>
  </si>
  <si>
    <t xml:space="preserve">HTD5M-15-WPU-RL30</t>
  </si>
  <si>
    <t xml:space="preserve">HTD5M-15-WPU-RL5</t>
  </si>
  <si>
    <t xml:space="preserve">HTD5M-15-WPUG-1M</t>
  </si>
  <si>
    <t xml:space="preserve">HTD5M-16-WPU-1M</t>
  </si>
  <si>
    <t xml:space="preserve">HTD5M-16-WPUG-1M</t>
  </si>
  <si>
    <t xml:space="preserve">HTD5M-20-BPU-1M</t>
  </si>
  <si>
    <t xml:space="preserve">HTD5M-20-BPU-RL10</t>
  </si>
  <si>
    <t xml:space="preserve">HTD5M-20-BPU-RL20</t>
  </si>
  <si>
    <t xml:space="preserve">HTD5M-20-R-1M</t>
  </si>
  <si>
    <t xml:space="preserve">HTD5M-20-WPU-1M</t>
  </si>
  <si>
    <t xml:space="preserve">HTD5M-20-WPU-RL10</t>
  </si>
  <si>
    <t xml:space="preserve">HTD5M-20-WPUG-RL10</t>
  </si>
  <si>
    <t xml:space="preserve">HTD5M-20-WPUG-RL20</t>
  </si>
  <si>
    <t xml:space="preserve">HTD5M-20-WPUG-RL30</t>
  </si>
  <si>
    <t xml:space="preserve">HTD5M-25-BPU-1M</t>
  </si>
  <si>
    <t xml:space="preserve">HTD5M-25-BPU-RL10</t>
  </si>
  <si>
    <t xml:space="preserve">HTD5M-25-BPU-RL5</t>
  </si>
  <si>
    <t xml:space="preserve">HTD5M-25-R-1M</t>
  </si>
  <si>
    <t xml:space="preserve">HTD5M-25-WPU-1M</t>
  </si>
  <si>
    <t xml:space="preserve">HTD5M-25-WPU-RL10</t>
  </si>
  <si>
    <t xml:space="preserve">HTD5M-25-WPU-RL100</t>
  </si>
  <si>
    <t xml:space="preserve">HTD5M-25-WPU-RL5</t>
  </si>
  <si>
    <t xml:space="preserve">HTD5M Closed-Loop Timing Belt, Length 120-395mm  [HTD5M Belts]</t>
  </si>
  <si>
    <t xml:space="preserve">5M-150-10</t>
  </si>
  <si>
    <t xml:space="preserve">5M-150-12</t>
  </si>
  <si>
    <t xml:space="preserve">5M-150-13</t>
  </si>
  <si>
    <t xml:space="preserve">13</t>
  </si>
  <si>
    <t xml:space="preserve">5M-150-15</t>
  </si>
  <si>
    <t xml:space="preserve">5M-150-20</t>
  </si>
  <si>
    <t xml:space="preserve">5M-150-25</t>
  </si>
  <si>
    <t xml:space="preserve">5M-150-6</t>
  </si>
  <si>
    <t xml:space="preserve">5M-150-9</t>
  </si>
  <si>
    <t xml:space="preserve">5M-200-10</t>
  </si>
  <si>
    <t xml:space="preserve">5M-200-12</t>
  </si>
  <si>
    <t xml:space="preserve">5M-200-13</t>
  </si>
  <si>
    <t xml:space="preserve">5M-200-15</t>
  </si>
  <si>
    <t xml:space="preserve">5M-200-20</t>
  </si>
  <si>
    <t xml:space="preserve">5M-200-25</t>
  </si>
  <si>
    <t xml:space="preserve">5M-200-6</t>
  </si>
  <si>
    <t xml:space="preserve">5M-200-9</t>
  </si>
  <si>
    <t xml:space="preserve">5M-205-10</t>
  </si>
  <si>
    <t xml:space="preserve">205</t>
  </si>
  <si>
    <t xml:space="preserve">5M-205-12</t>
  </si>
  <si>
    <t xml:space="preserve">5M-205-13</t>
  </si>
  <si>
    <t xml:space="preserve">5M-205-15</t>
  </si>
  <si>
    <t xml:space="preserve">5M-205-20</t>
  </si>
  <si>
    <t xml:space="preserve">5M-205-25</t>
  </si>
  <si>
    <t xml:space="preserve">5M-205-6</t>
  </si>
  <si>
    <t xml:space="preserve">5M-205-9</t>
  </si>
  <si>
    <t xml:space="preserve">5M-210-10</t>
  </si>
  <si>
    <t xml:space="preserve">5M-210-12</t>
  </si>
  <si>
    <t xml:space="preserve">5M-210-13</t>
  </si>
  <si>
    <t xml:space="preserve">5M-210-15</t>
  </si>
  <si>
    <t xml:space="preserve">5M-210-20</t>
  </si>
  <si>
    <t xml:space="preserve">5M-210-25</t>
  </si>
  <si>
    <t xml:space="preserve">5M-210-6</t>
  </si>
  <si>
    <t xml:space="preserve">5M-210-9</t>
  </si>
  <si>
    <t xml:space="preserve">5M-215-10</t>
  </si>
  <si>
    <t xml:space="preserve">215</t>
  </si>
  <si>
    <t xml:space="preserve">5M-215-12</t>
  </si>
  <si>
    <t xml:space="preserve">5M-215-13</t>
  </si>
  <si>
    <t xml:space="preserve">5M-215-15</t>
  </si>
  <si>
    <t xml:space="preserve">5M-215-20</t>
  </si>
  <si>
    <t xml:space="preserve">5M-215-25</t>
  </si>
  <si>
    <t xml:space="preserve">5M-215-6</t>
  </si>
  <si>
    <t xml:space="preserve">5M-215-9</t>
  </si>
  <si>
    <t xml:space="preserve">5M-220-10</t>
  </si>
  <si>
    <t xml:space="preserve">5M-220-12</t>
  </si>
  <si>
    <t xml:space="preserve">5M-220-13</t>
  </si>
  <si>
    <t xml:space="preserve">5M-220-15</t>
  </si>
  <si>
    <t xml:space="preserve">5M-220-20</t>
  </si>
  <si>
    <t xml:space="preserve">5M-220-25</t>
  </si>
  <si>
    <t xml:space="preserve">5M-220-6</t>
  </si>
  <si>
    <t xml:space="preserve">5M-220-9</t>
  </si>
  <si>
    <t xml:space="preserve">5M-225-10</t>
  </si>
  <si>
    <t xml:space="preserve">5M-225-12</t>
  </si>
  <si>
    <t xml:space="preserve">5M-225-13</t>
  </si>
  <si>
    <t xml:space="preserve">5M-225-15</t>
  </si>
  <si>
    <t xml:space="preserve">5M-225-20</t>
  </si>
  <si>
    <t xml:space="preserve">5M-225-25</t>
  </si>
  <si>
    <t xml:space="preserve">5M-225-6</t>
  </si>
  <si>
    <t xml:space="preserve">5M-225-9</t>
  </si>
  <si>
    <t xml:space="preserve">5M-230-10</t>
  </si>
  <si>
    <t xml:space="preserve">5M-230-12</t>
  </si>
  <si>
    <t xml:space="preserve">5M-230-13</t>
  </si>
  <si>
    <t xml:space="preserve">5M-230-15</t>
  </si>
  <si>
    <t xml:space="preserve">5M-230-20</t>
  </si>
  <si>
    <t xml:space="preserve">5M-230-25</t>
  </si>
  <si>
    <t xml:space="preserve">5M-230-6</t>
  </si>
  <si>
    <t xml:space="preserve">5M-230-9</t>
  </si>
  <si>
    <t xml:space="preserve">5M-235-10</t>
  </si>
  <si>
    <t xml:space="preserve">235</t>
  </si>
  <si>
    <t xml:space="preserve">5M-235-12</t>
  </si>
  <si>
    <t xml:space="preserve">5M-235-13</t>
  </si>
  <si>
    <t xml:space="preserve">5M-235-15</t>
  </si>
  <si>
    <t xml:space="preserve">5M-235-20</t>
  </si>
  <si>
    <t xml:space="preserve">5M-235-25</t>
  </si>
  <si>
    <t xml:space="preserve">5M-235-6</t>
  </si>
  <si>
    <t xml:space="preserve">5M-235-9</t>
  </si>
  <si>
    <t xml:space="preserve">5M-240-10</t>
  </si>
  <si>
    <t xml:space="preserve">5M-240-12</t>
  </si>
  <si>
    <t xml:space="preserve">5M-240-13</t>
  </si>
  <si>
    <t xml:space="preserve">5M-240-15</t>
  </si>
  <si>
    <t xml:space="preserve">5M-240-20</t>
  </si>
  <si>
    <t xml:space="preserve">5M-240-25</t>
  </si>
  <si>
    <t xml:space="preserve">5M-240-6</t>
  </si>
  <si>
    <t xml:space="preserve">5M-240-9</t>
  </si>
  <si>
    <t xml:space="preserve">5M-250-10</t>
  </si>
  <si>
    <t xml:space="preserve">5M-250-12</t>
  </si>
  <si>
    <t xml:space="preserve">5M-250-13</t>
  </si>
  <si>
    <t xml:space="preserve">5M-250-15</t>
  </si>
  <si>
    <t xml:space="preserve">5M-250-20</t>
  </si>
  <si>
    <t xml:space="preserve">5M-250-25</t>
  </si>
  <si>
    <t xml:space="preserve">5M-250-6</t>
  </si>
  <si>
    <t xml:space="preserve">5M-250-9</t>
  </si>
  <si>
    <t xml:space="preserve">5M-255-10</t>
  </si>
  <si>
    <t xml:space="preserve">5M-255-12</t>
  </si>
  <si>
    <t xml:space="preserve">5M-255-13</t>
  </si>
  <si>
    <t xml:space="preserve">5M-255-15</t>
  </si>
  <si>
    <t xml:space="preserve">5M-255-20</t>
  </si>
  <si>
    <t xml:space="preserve">5M-255-25</t>
  </si>
  <si>
    <t xml:space="preserve">5M-255-6</t>
  </si>
  <si>
    <t xml:space="preserve">5M-255-9</t>
  </si>
  <si>
    <t xml:space="preserve">5M-260-10</t>
  </si>
  <si>
    <t xml:space="preserve">5M-260-12</t>
  </si>
  <si>
    <t xml:space="preserve">5M-260-13</t>
  </si>
  <si>
    <t xml:space="preserve">5M-260-15</t>
  </si>
  <si>
    <t xml:space="preserve">5M-260-20</t>
  </si>
  <si>
    <t xml:space="preserve">5M-260-25</t>
  </si>
  <si>
    <t xml:space="preserve">5M-260-6</t>
  </si>
  <si>
    <t xml:space="preserve">5M-260-9</t>
  </si>
  <si>
    <t xml:space="preserve">5M-265-10</t>
  </si>
  <si>
    <t xml:space="preserve">5M-265-12</t>
  </si>
  <si>
    <t xml:space="preserve">5M-265-13</t>
  </si>
  <si>
    <t xml:space="preserve">5M-265-15</t>
  </si>
  <si>
    <t xml:space="preserve">5M-265-20</t>
  </si>
  <si>
    <t xml:space="preserve">5M-265-25</t>
  </si>
  <si>
    <t xml:space="preserve">5M-265-6</t>
  </si>
  <si>
    <t xml:space="preserve">5M-265-9</t>
  </si>
  <si>
    <t xml:space="preserve">5M-270-10</t>
  </si>
  <si>
    <t xml:space="preserve">5M-270-12</t>
  </si>
  <si>
    <t xml:space="preserve">5M-270-13</t>
  </si>
  <si>
    <t xml:space="preserve">5M-270-15</t>
  </si>
  <si>
    <t xml:space="preserve">5M-270-20</t>
  </si>
  <si>
    <t xml:space="preserve">5M-270-25</t>
  </si>
  <si>
    <t xml:space="preserve">5M-270-6</t>
  </si>
  <si>
    <t xml:space="preserve">5M-270-9</t>
  </si>
  <si>
    <t xml:space="preserve">5M-275-10</t>
  </si>
  <si>
    <t xml:space="preserve">275</t>
  </si>
  <si>
    <t xml:space="preserve">5M-275-12</t>
  </si>
  <si>
    <t xml:space="preserve">5M-275-13</t>
  </si>
  <si>
    <t xml:space="preserve">5M-275-15</t>
  </si>
  <si>
    <t xml:space="preserve">5M-275-20</t>
  </si>
  <si>
    <t xml:space="preserve">5M-275-25</t>
  </si>
  <si>
    <t xml:space="preserve">5M-275-6</t>
  </si>
  <si>
    <t xml:space="preserve">5M-275-9</t>
  </si>
  <si>
    <t xml:space="preserve">5M-280-10</t>
  </si>
  <si>
    <t xml:space="preserve">5M-280-12</t>
  </si>
  <si>
    <t xml:space="preserve">5M-280-13</t>
  </si>
  <si>
    <t xml:space="preserve">5M-280-15</t>
  </si>
  <si>
    <t xml:space="preserve">5M-280-20</t>
  </si>
  <si>
    <t xml:space="preserve">5M-280-25</t>
  </si>
  <si>
    <t xml:space="preserve">5M-280-6</t>
  </si>
  <si>
    <t xml:space="preserve">5M-280-9</t>
  </si>
  <si>
    <t xml:space="preserve">5M-290-10</t>
  </si>
  <si>
    <t xml:space="preserve">5M-290-12</t>
  </si>
  <si>
    <t xml:space="preserve">5M-290-13</t>
  </si>
  <si>
    <t xml:space="preserve">5M-290-15</t>
  </si>
  <si>
    <t xml:space="preserve">5M-290-20</t>
  </si>
  <si>
    <t xml:space="preserve">5M-290-25</t>
  </si>
  <si>
    <t xml:space="preserve">5M-290-6</t>
  </si>
  <si>
    <t xml:space="preserve">5M-290-9</t>
  </si>
  <si>
    <t xml:space="preserve">5M-295-10</t>
  </si>
  <si>
    <t xml:space="preserve">295</t>
  </si>
  <si>
    <t xml:space="preserve">5M-295-12</t>
  </si>
  <si>
    <t xml:space="preserve">5M-295-13</t>
  </si>
  <si>
    <t xml:space="preserve">5M-295-15</t>
  </si>
  <si>
    <t xml:space="preserve">5M-295-20</t>
  </si>
  <si>
    <t xml:space="preserve">5M-295-25</t>
  </si>
  <si>
    <t xml:space="preserve">5M-295-6</t>
  </si>
  <si>
    <t xml:space="preserve">5M-295-9</t>
  </si>
  <si>
    <t xml:space="preserve">5M-300-10</t>
  </si>
  <si>
    <t xml:space="preserve">5M-300-12</t>
  </si>
  <si>
    <t xml:space="preserve">5M-300-13</t>
  </si>
  <si>
    <t xml:space="preserve">5M-300-15</t>
  </si>
  <si>
    <t xml:space="preserve">5M-300-20</t>
  </si>
  <si>
    <t xml:space="preserve">5M-300-25</t>
  </si>
  <si>
    <t xml:space="preserve">5M-300-6</t>
  </si>
  <si>
    <t xml:space="preserve">5M-300-9</t>
  </si>
  <si>
    <t xml:space="preserve">5M-305-10</t>
  </si>
  <si>
    <t xml:space="preserve">305</t>
  </si>
  <si>
    <t xml:space="preserve">5M-305-12</t>
  </si>
  <si>
    <t xml:space="preserve">5M-305-13</t>
  </si>
  <si>
    <t xml:space="preserve">5M-305-15</t>
  </si>
  <si>
    <t xml:space="preserve">5M-305-20</t>
  </si>
  <si>
    <t xml:space="preserve">5M-305-25</t>
  </si>
  <si>
    <t xml:space="preserve">5M-305-6</t>
  </si>
  <si>
    <t xml:space="preserve">5M-305-9</t>
  </si>
  <si>
    <t xml:space="preserve">5M-310-10</t>
  </si>
  <si>
    <t xml:space="preserve">5M-310-12</t>
  </si>
  <si>
    <t xml:space="preserve">5M-310-13</t>
  </si>
  <si>
    <t xml:space="preserve">5M-310-15</t>
  </si>
  <si>
    <t xml:space="preserve">5M-310-20</t>
  </si>
  <si>
    <t xml:space="preserve">5M-310-25</t>
  </si>
  <si>
    <t xml:space="preserve">5M-310-6</t>
  </si>
  <si>
    <t xml:space="preserve">5M-310-9</t>
  </si>
  <si>
    <t xml:space="preserve">5M-315-10</t>
  </si>
  <si>
    <t xml:space="preserve">5M-315-12</t>
  </si>
  <si>
    <t xml:space="preserve">5M-315-13</t>
  </si>
  <si>
    <t xml:space="preserve">5M-315-15</t>
  </si>
  <si>
    <t xml:space="preserve">5M-315-20</t>
  </si>
  <si>
    <t xml:space="preserve">5M-315-25</t>
  </si>
  <si>
    <t xml:space="preserve">5M-315-6</t>
  </si>
  <si>
    <t xml:space="preserve">5M-315-9</t>
  </si>
  <si>
    <t xml:space="preserve">5M-320-10</t>
  </si>
  <si>
    <t xml:space="preserve">5M-320-12</t>
  </si>
  <si>
    <t xml:space="preserve">5M-320-13</t>
  </si>
  <si>
    <t xml:space="preserve">5M-320-15</t>
  </si>
  <si>
    <t xml:space="preserve">5M-320-20</t>
  </si>
  <si>
    <t xml:space="preserve">5M-320-25</t>
  </si>
  <si>
    <t xml:space="preserve">5M-320-6</t>
  </si>
  <si>
    <t xml:space="preserve">5M-320-9</t>
  </si>
  <si>
    <t xml:space="preserve">5M-325-10</t>
  </si>
  <si>
    <t xml:space="preserve">325</t>
  </si>
  <si>
    <t xml:space="preserve">5M-325-12</t>
  </si>
  <si>
    <t xml:space="preserve">5M-325-13</t>
  </si>
  <si>
    <t xml:space="preserve">5M-325-15</t>
  </si>
  <si>
    <t xml:space="preserve">5M-325-20</t>
  </si>
  <si>
    <t xml:space="preserve">5M-325-25</t>
  </si>
  <si>
    <t xml:space="preserve">5M-325-6</t>
  </si>
  <si>
    <t xml:space="preserve">5M-325-9</t>
  </si>
  <si>
    <t xml:space="preserve">5M-330-10</t>
  </si>
  <si>
    <t xml:space="preserve">5M-330-12</t>
  </si>
  <si>
    <t xml:space="preserve">5M-330-13</t>
  </si>
  <si>
    <t xml:space="preserve">5M-330-15</t>
  </si>
  <si>
    <t xml:space="preserve">5M-330-20</t>
  </si>
  <si>
    <t xml:space="preserve">5M-330-25</t>
  </si>
  <si>
    <t xml:space="preserve">5M-330-6</t>
  </si>
  <si>
    <t xml:space="preserve">5M-330-9</t>
  </si>
  <si>
    <t xml:space="preserve">5M-335-10</t>
  </si>
  <si>
    <t xml:space="preserve">335</t>
  </si>
  <si>
    <t xml:space="preserve">5M-335-12</t>
  </si>
  <si>
    <t xml:space="preserve">5M-335-13</t>
  </si>
  <si>
    <t xml:space="preserve">5M-335-15</t>
  </si>
  <si>
    <t xml:space="preserve">5M-335-20</t>
  </si>
  <si>
    <t xml:space="preserve">5M-335-25</t>
  </si>
  <si>
    <t xml:space="preserve">5M-335-6</t>
  </si>
  <si>
    <t xml:space="preserve">5M-335-9</t>
  </si>
  <si>
    <t xml:space="preserve">5M-340-10</t>
  </si>
  <si>
    <t xml:space="preserve">5M-340-12</t>
  </si>
  <si>
    <t xml:space="preserve">5M-340-13</t>
  </si>
  <si>
    <t xml:space="preserve">5M-340-15</t>
  </si>
  <si>
    <t xml:space="preserve">5M-340-20</t>
  </si>
  <si>
    <t xml:space="preserve">5M-340-25</t>
  </si>
  <si>
    <t xml:space="preserve">5M-340-6</t>
  </si>
  <si>
    <t xml:space="preserve">5M-340-9</t>
  </si>
  <si>
    <t xml:space="preserve">5M-345-10</t>
  </si>
  <si>
    <t xml:space="preserve">5M-345-12</t>
  </si>
  <si>
    <t xml:space="preserve">5M-345-13</t>
  </si>
  <si>
    <t xml:space="preserve">5M-345-15</t>
  </si>
  <si>
    <t xml:space="preserve">5M-345-20</t>
  </si>
  <si>
    <t xml:space="preserve">5M-345-25</t>
  </si>
  <si>
    <t xml:space="preserve">5M-345-6</t>
  </si>
  <si>
    <t xml:space="preserve">5M-345-9</t>
  </si>
  <si>
    <t xml:space="preserve">5M-350-10</t>
  </si>
  <si>
    <t xml:space="preserve">5M-350-12</t>
  </si>
  <si>
    <t xml:space="preserve">5M-350-13</t>
  </si>
  <si>
    <t xml:space="preserve">5M-350-15</t>
  </si>
  <si>
    <t xml:space="preserve">5M-350-20</t>
  </si>
  <si>
    <t xml:space="preserve">5M-350-25</t>
  </si>
  <si>
    <t xml:space="preserve">5M-350-6</t>
  </si>
  <si>
    <t xml:space="preserve">5M-350-9</t>
  </si>
  <si>
    <t xml:space="preserve">5M-355-10</t>
  </si>
  <si>
    <t xml:space="preserve">355</t>
  </si>
  <si>
    <t xml:space="preserve">5M-355-12</t>
  </si>
  <si>
    <t xml:space="preserve">5M-355-13</t>
  </si>
  <si>
    <t xml:space="preserve">5M-355-15</t>
  </si>
  <si>
    <t xml:space="preserve">5M-355-20</t>
  </si>
  <si>
    <t xml:space="preserve">5M-355-25</t>
  </si>
  <si>
    <t xml:space="preserve">5M-355-6</t>
  </si>
  <si>
    <t xml:space="preserve">5M-355-9</t>
  </si>
  <si>
    <t xml:space="preserve">5M-360-10</t>
  </si>
  <si>
    <t xml:space="preserve">5M-360-12</t>
  </si>
  <si>
    <t xml:space="preserve">5M-360-13</t>
  </si>
  <si>
    <t xml:space="preserve">5M-360-15</t>
  </si>
  <si>
    <t xml:space="preserve">5M-360-20</t>
  </si>
  <si>
    <t xml:space="preserve">5M-360-25</t>
  </si>
  <si>
    <t xml:space="preserve">5M-360-6</t>
  </si>
  <si>
    <t xml:space="preserve">5M-360-9</t>
  </si>
  <si>
    <t xml:space="preserve">5M-365-10</t>
  </si>
  <si>
    <t xml:space="preserve">365</t>
  </si>
  <si>
    <t xml:space="preserve">5M-365-12</t>
  </si>
  <si>
    <t xml:space="preserve">5M-365-13</t>
  </si>
  <si>
    <t xml:space="preserve">5M-365-15</t>
  </si>
  <si>
    <t xml:space="preserve">5M-365-20</t>
  </si>
  <si>
    <t xml:space="preserve">5M-365-25</t>
  </si>
  <si>
    <t xml:space="preserve">5M-365-6</t>
  </si>
  <si>
    <t xml:space="preserve">5M-365-9</t>
  </si>
  <si>
    <t xml:space="preserve">5M-370-10</t>
  </si>
  <si>
    <t xml:space="preserve">5M-370-12</t>
  </si>
  <si>
    <t xml:space="preserve">5M-370-13</t>
  </si>
  <si>
    <t xml:space="preserve">5M-370-15</t>
  </si>
  <si>
    <t xml:space="preserve">5M-370-20</t>
  </si>
  <si>
    <t xml:space="preserve">5M-370-25</t>
  </si>
  <si>
    <t xml:space="preserve">5M-370-6</t>
  </si>
  <si>
    <t xml:space="preserve">5M-370-9</t>
  </si>
  <si>
    <t xml:space="preserve">5M-375-10</t>
  </si>
  <si>
    <t xml:space="preserve">5M-375-12</t>
  </si>
  <si>
    <t xml:space="preserve">5M-375-13</t>
  </si>
  <si>
    <t xml:space="preserve">5M-375-15</t>
  </si>
  <si>
    <t xml:space="preserve">5M-375-20</t>
  </si>
  <si>
    <t xml:space="preserve">5M-375-25</t>
  </si>
  <si>
    <t xml:space="preserve">5M-375-6</t>
  </si>
  <si>
    <t xml:space="preserve">5M-375-9</t>
  </si>
  <si>
    <t xml:space="preserve">5M-380-10</t>
  </si>
  <si>
    <t xml:space="preserve">5M-380-12</t>
  </si>
  <si>
    <t xml:space="preserve">5M-380-13</t>
  </si>
  <si>
    <t xml:space="preserve">5M-380-15</t>
  </si>
  <si>
    <t xml:space="preserve">5M-380-20</t>
  </si>
  <si>
    <t xml:space="preserve">5M-380-25</t>
  </si>
  <si>
    <t xml:space="preserve">5M-380-6</t>
  </si>
  <si>
    <t xml:space="preserve">5M-380-9</t>
  </si>
  <si>
    <t xml:space="preserve">5M-385-10</t>
  </si>
  <si>
    <t xml:space="preserve">385</t>
  </si>
  <si>
    <t xml:space="preserve">5M-385-12</t>
  </si>
  <si>
    <t xml:space="preserve">5M-385-13</t>
  </si>
  <si>
    <t xml:space="preserve">5M-385-15</t>
  </si>
  <si>
    <t xml:space="preserve">5M-385-20</t>
  </si>
  <si>
    <t xml:space="preserve">5M-385-25</t>
  </si>
  <si>
    <t xml:space="preserve">5M-385-6</t>
  </si>
  <si>
    <t xml:space="preserve">5M-385-9</t>
  </si>
  <si>
    <t xml:space="preserve">5M-390-10</t>
  </si>
  <si>
    <t xml:space="preserve">5M-390-12</t>
  </si>
  <si>
    <t xml:space="preserve">5M-390-13</t>
  </si>
  <si>
    <t xml:space="preserve">5M-390-15</t>
  </si>
  <si>
    <t xml:space="preserve">5M-390-20</t>
  </si>
  <si>
    <t xml:space="preserve">5M-390-25</t>
  </si>
  <si>
    <t xml:space="preserve">5M-390-6</t>
  </si>
  <si>
    <t xml:space="preserve">5M-390-9</t>
  </si>
  <si>
    <t xml:space="preserve">5M-395-10</t>
  </si>
  <si>
    <t xml:space="preserve">395</t>
  </si>
  <si>
    <t xml:space="preserve">5M-395-12</t>
  </si>
  <si>
    <t xml:space="preserve">5M-395-13</t>
  </si>
  <si>
    <t xml:space="preserve">5M-395-15</t>
  </si>
  <si>
    <t xml:space="preserve">5M-395-20</t>
  </si>
  <si>
    <t xml:space="preserve">5M-395-25</t>
  </si>
  <si>
    <t xml:space="preserve">5M-395-6</t>
  </si>
  <si>
    <t xml:space="preserve">5M-395-9</t>
  </si>
  <si>
    <t xml:space="preserve">PU-5M-280-15</t>
  </si>
  <si>
    <t xml:space="preserve">PU seamless steel cord</t>
  </si>
  <si>
    <t xml:space="preserve">PU-5M-280-25</t>
  </si>
  <si>
    <t xml:space="preserve">PU-5M-295-15</t>
  </si>
  <si>
    <t xml:space="preserve">PU-5M-295-25</t>
  </si>
  <si>
    <t xml:space="preserve">HTD5M Closed-Loop Timing Belt, Length 400-675mm  [HTD5M Belts]</t>
  </si>
  <si>
    <t xml:space="preserve">5M-400-10</t>
  </si>
  <si>
    <t xml:space="preserve">5M-400-11</t>
  </si>
  <si>
    <t xml:space="preserve">11</t>
  </si>
  <si>
    <t xml:space="preserve">5M-400-13</t>
  </si>
  <si>
    <t xml:space="preserve">5M-400-14</t>
  </si>
  <si>
    <t xml:space="preserve">5M-400-15</t>
  </si>
  <si>
    <t xml:space="preserve">5M-400-20</t>
  </si>
  <si>
    <t xml:space="preserve">5M-400-22</t>
  </si>
  <si>
    <t xml:space="preserve">22</t>
  </si>
  <si>
    <t xml:space="preserve">5M-400-25</t>
  </si>
  <si>
    <t xml:space="preserve">5M-400-30</t>
  </si>
  <si>
    <t xml:space="preserve">5M-400-35</t>
  </si>
  <si>
    <t xml:space="preserve">5M-400-6</t>
  </si>
  <si>
    <t xml:space="preserve">5M-400-9</t>
  </si>
  <si>
    <t xml:space="preserve">5M-405-10</t>
  </si>
  <si>
    <t xml:space="preserve">5M-405-11</t>
  </si>
  <si>
    <t xml:space="preserve">5M-405-13</t>
  </si>
  <si>
    <t xml:space="preserve">5M-405-14</t>
  </si>
  <si>
    <t xml:space="preserve">5M-405-15</t>
  </si>
  <si>
    <t xml:space="preserve">5M-405-20</t>
  </si>
  <si>
    <t xml:space="preserve">5M-405-22</t>
  </si>
  <si>
    <t xml:space="preserve">5M-405-25</t>
  </si>
  <si>
    <t xml:space="preserve">5M-405-30</t>
  </si>
  <si>
    <t xml:space="preserve">5M-405-35</t>
  </si>
  <si>
    <t xml:space="preserve">5M-405-6</t>
  </si>
  <si>
    <t xml:space="preserve">5M-405-9</t>
  </si>
  <si>
    <t xml:space="preserve">5M-410-10</t>
  </si>
  <si>
    <t xml:space="preserve">5M-410-11</t>
  </si>
  <si>
    <t xml:space="preserve">5M-410-13</t>
  </si>
  <si>
    <t xml:space="preserve">5M-410-14</t>
  </si>
  <si>
    <t xml:space="preserve">5M-410-15</t>
  </si>
  <si>
    <t xml:space="preserve">5M-410-20</t>
  </si>
  <si>
    <t xml:space="preserve">5M-410-22</t>
  </si>
  <si>
    <t xml:space="preserve">5M-410-25</t>
  </si>
  <si>
    <t xml:space="preserve">5M-410-30</t>
  </si>
  <si>
    <t xml:space="preserve">5M-410-35</t>
  </si>
  <si>
    <t xml:space="preserve">5M-410-6</t>
  </si>
  <si>
    <t xml:space="preserve">5M-410-9</t>
  </si>
  <si>
    <t xml:space="preserve">5M-415-10</t>
  </si>
  <si>
    <t xml:space="preserve">415</t>
  </si>
  <si>
    <t xml:space="preserve">5M-415-11</t>
  </si>
  <si>
    <t xml:space="preserve">5M-415-13</t>
  </si>
  <si>
    <t xml:space="preserve">5M-415-14</t>
  </si>
  <si>
    <t xml:space="preserve">5M-415-15</t>
  </si>
  <si>
    <t xml:space="preserve">5M-415-20</t>
  </si>
  <si>
    <t xml:space="preserve">5M-415-22</t>
  </si>
  <si>
    <t xml:space="preserve">5M-415-25</t>
  </si>
  <si>
    <t xml:space="preserve">5M-415-30</t>
  </si>
  <si>
    <t xml:space="preserve">5M-415-35</t>
  </si>
  <si>
    <t xml:space="preserve">5M-415-6</t>
  </si>
  <si>
    <t xml:space="preserve">5M-415-9</t>
  </si>
  <si>
    <t xml:space="preserve">5M-420-10</t>
  </si>
  <si>
    <t xml:space="preserve">5M-420-11</t>
  </si>
  <si>
    <t xml:space="preserve">5M-420-13</t>
  </si>
  <si>
    <t xml:space="preserve">5M-420-14</t>
  </si>
  <si>
    <t xml:space="preserve">5M-420-15</t>
  </si>
  <si>
    <t xml:space="preserve">5M-420-20</t>
  </si>
  <si>
    <t xml:space="preserve">5M-420-22</t>
  </si>
  <si>
    <t xml:space="preserve">5M-420-25</t>
  </si>
  <si>
    <t xml:space="preserve">5M-420-30</t>
  </si>
  <si>
    <t xml:space="preserve">5M-420-35</t>
  </si>
  <si>
    <t xml:space="preserve">5M-420-6</t>
  </si>
  <si>
    <t xml:space="preserve">5M-420-9</t>
  </si>
  <si>
    <t xml:space="preserve">5M-425-10</t>
  </si>
  <si>
    <t xml:space="preserve">425</t>
  </si>
  <si>
    <t xml:space="preserve">5M-425-11</t>
  </si>
  <si>
    <t xml:space="preserve">5M-425-13</t>
  </si>
  <si>
    <t xml:space="preserve">5M-425-14</t>
  </si>
  <si>
    <t xml:space="preserve">5M-425-15</t>
  </si>
  <si>
    <t xml:space="preserve">5M-425-20</t>
  </si>
  <si>
    <t xml:space="preserve">5M-425-22</t>
  </si>
  <si>
    <t xml:space="preserve">5M-425-25</t>
  </si>
  <si>
    <t xml:space="preserve">5M-425-30</t>
  </si>
  <si>
    <t xml:space="preserve">5M-425-35</t>
  </si>
  <si>
    <t xml:space="preserve">5M-425-6</t>
  </si>
  <si>
    <t xml:space="preserve">5M-425-9</t>
  </si>
  <si>
    <t xml:space="preserve">5M-430-10</t>
  </si>
  <si>
    <t xml:space="preserve">5M-430-11</t>
  </si>
  <si>
    <t xml:space="preserve">5M-430-13</t>
  </si>
  <si>
    <t xml:space="preserve">5M-430-14</t>
  </si>
  <si>
    <t xml:space="preserve">5M-430-15</t>
  </si>
  <si>
    <t xml:space="preserve">5M-430-20</t>
  </si>
  <si>
    <t xml:space="preserve">5M-430-22</t>
  </si>
  <si>
    <t xml:space="preserve">5M-430-25</t>
  </si>
  <si>
    <t xml:space="preserve">5M-430-30</t>
  </si>
  <si>
    <t xml:space="preserve">5M-430-35</t>
  </si>
  <si>
    <t xml:space="preserve">5M-430-6</t>
  </si>
  <si>
    <t xml:space="preserve">5M-430-9</t>
  </si>
  <si>
    <t xml:space="preserve">5M-435-10</t>
  </si>
  <si>
    <t xml:space="preserve">5M-435-11</t>
  </si>
  <si>
    <t xml:space="preserve">5M-435-13</t>
  </si>
  <si>
    <t xml:space="preserve">5M-435-14</t>
  </si>
  <si>
    <t xml:space="preserve">5M-435-15</t>
  </si>
  <si>
    <t xml:space="preserve">5M-435-20</t>
  </si>
  <si>
    <t xml:space="preserve">5M-435-22</t>
  </si>
  <si>
    <t xml:space="preserve">5M-435-25</t>
  </si>
  <si>
    <t xml:space="preserve">5M-435-30</t>
  </si>
  <si>
    <t xml:space="preserve">5M-435-35</t>
  </si>
  <si>
    <t xml:space="preserve">5M-435-6</t>
  </si>
  <si>
    <t xml:space="preserve">5M-435-9</t>
  </si>
  <si>
    <t xml:space="preserve">5M-440-10</t>
  </si>
  <si>
    <t xml:space="preserve">5M-440-11</t>
  </si>
  <si>
    <t xml:space="preserve">5M-440-13</t>
  </si>
  <si>
    <t xml:space="preserve">5M-440-14</t>
  </si>
  <si>
    <t xml:space="preserve">5M-440-15</t>
  </si>
  <si>
    <t xml:space="preserve">5M-440-20</t>
  </si>
  <si>
    <t xml:space="preserve">5M-440-22</t>
  </si>
  <si>
    <t xml:space="preserve">5M-440-25</t>
  </si>
  <si>
    <t xml:space="preserve">5M-440-30</t>
  </si>
  <si>
    <t xml:space="preserve">5M-440-35</t>
  </si>
  <si>
    <t xml:space="preserve">5M-440-6</t>
  </si>
  <si>
    <t xml:space="preserve">5M-440-9</t>
  </si>
  <si>
    <t xml:space="preserve">5M-450-10</t>
  </si>
  <si>
    <t xml:space="preserve">5M-450-11</t>
  </si>
  <si>
    <t xml:space="preserve">5M-450-13</t>
  </si>
  <si>
    <t xml:space="preserve">5M-450-14</t>
  </si>
  <si>
    <t xml:space="preserve">5M-450-15</t>
  </si>
  <si>
    <t xml:space="preserve">5M-450-20</t>
  </si>
  <si>
    <t xml:space="preserve">5M-450-22</t>
  </si>
  <si>
    <t xml:space="preserve">5M-450-25</t>
  </si>
  <si>
    <t xml:space="preserve">5M-450-30</t>
  </si>
  <si>
    <t xml:space="preserve">5M-450-35</t>
  </si>
  <si>
    <t xml:space="preserve">5M-450-6</t>
  </si>
  <si>
    <t xml:space="preserve">5M-450-9</t>
  </si>
  <si>
    <t xml:space="preserve">5M-455-10</t>
  </si>
  <si>
    <t xml:space="preserve">455</t>
  </si>
  <si>
    <t xml:space="preserve">5M-455-11</t>
  </si>
  <si>
    <t xml:space="preserve">5M-455-13</t>
  </si>
  <si>
    <t xml:space="preserve">5M-455-14</t>
  </si>
  <si>
    <t xml:space="preserve">5M-455-15</t>
  </si>
  <si>
    <t xml:space="preserve">5M-455-20</t>
  </si>
  <si>
    <t xml:space="preserve">5M-455-22</t>
  </si>
  <si>
    <t xml:space="preserve">5M-455-25</t>
  </si>
  <si>
    <t xml:space="preserve">5M-455-30</t>
  </si>
  <si>
    <t xml:space="preserve">5M-455-35</t>
  </si>
  <si>
    <t xml:space="preserve">5M-455-6</t>
  </si>
  <si>
    <t xml:space="preserve">5M-455-9</t>
  </si>
  <si>
    <t xml:space="preserve">5M-460-10</t>
  </si>
  <si>
    <t xml:space="preserve">5M-460-11</t>
  </si>
  <si>
    <t xml:space="preserve">5M-460-13</t>
  </si>
  <si>
    <t xml:space="preserve">5M-460-14</t>
  </si>
  <si>
    <t xml:space="preserve">5M-460-15</t>
  </si>
  <si>
    <t xml:space="preserve">5M-460-20</t>
  </si>
  <si>
    <t xml:space="preserve">5M-460-22</t>
  </si>
  <si>
    <t xml:space="preserve">5M-460-25</t>
  </si>
  <si>
    <t xml:space="preserve">5M-460-30</t>
  </si>
  <si>
    <t xml:space="preserve">5M-460-35</t>
  </si>
  <si>
    <t xml:space="preserve">5M-460-6</t>
  </si>
  <si>
    <t xml:space="preserve">5M-460-9</t>
  </si>
  <si>
    <t xml:space="preserve">5M-465-10</t>
  </si>
  <si>
    <t xml:space="preserve">5M-465-11</t>
  </si>
  <si>
    <t xml:space="preserve">5M-465-13</t>
  </si>
  <si>
    <t xml:space="preserve">5M-465-14</t>
  </si>
  <si>
    <t xml:space="preserve">5M-465-15</t>
  </si>
  <si>
    <t xml:space="preserve">5M-465-20</t>
  </si>
  <si>
    <t xml:space="preserve">5M-465-22</t>
  </si>
  <si>
    <t xml:space="preserve">5M-465-25</t>
  </si>
  <si>
    <t xml:space="preserve">5M-465-30</t>
  </si>
  <si>
    <t xml:space="preserve">5M-465-35</t>
  </si>
  <si>
    <t xml:space="preserve">5M-465-6</t>
  </si>
  <si>
    <t xml:space="preserve">5M-465-9</t>
  </si>
  <si>
    <t xml:space="preserve">5M-470-10</t>
  </si>
  <si>
    <t xml:space="preserve">5M-470-11</t>
  </si>
  <si>
    <t xml:space="preserve">5M-470-13</t>
  </si>
  <si>
    <t xml:space="preserve">5M-470-14</t>
  </si>
  <si>
    <t xml:space="preserve">5M-470-15</t>
  </si>
  <si>
    <t xml:space="preserve">5M-470-20</t>
  </si>
  <si>
    <t xml:space="preserve">5M-470-22</t>
  </si>
  <si>
    <t xml:space="preserve">5M-470-25</t>
  </si>
  <si>
    <t xml:space="preserve">5M-470-30</t>
  </si>
  <si>
    <t xml:space="preserve">5M-470-35</t>
  </si>
  <si>
    <t xml:space="preserve">5M-470-6</t>
  </si>
  <si>
    <t xml:space="preserve">5M-470-9</t>
  </si>
  <si>
    <t xml:space="preserve">5M-475-10</t>
  </si>
  <si>
    <t xml:space="preserve">475</t>
  </si>
  <si>
    <t xml:space="preserve">5M-475-11</t>
  </si>
  <si>
    <t xml:space="preserve">5M-475-13</t>
  </si>
  <si>
    <t xml:space="preserve">5M-475-14</t>
  </si>
  <si>
    <t xml:space="preserve">5M-475-15</t>
  </si>
  <si>
    <t xml:space="preserve">5M-475-20</t>
  </si>
  <si>
    <t xml:space="preserve">5M-475-22</t>
  </si>
  <si>
    <t xml:space="preserve">5M-475-25</t>
  </si>
  <si>
    <t xml:space="preserve">5M-475-30</t>
  </si>
  <si>
    <t xml:space="preserve">5M-475-35</t>
  </si>
  <si>
    <t xml:space="preserve">5M-475-6</t>
  </si>
  <si>
    <t xml:space="preserve">5M-475-9</t>
  </si>
  <si>
    <t xml:space="preserve">5M-480-10</t>
  </si>
  <si>
    <t xml:space="preserve">5M-480-11</t>
  </si>
  <si>
    <t xml:space="preserve">5M-480-13</t>
  </si>
  <si>
    <t xml:space="preserve">5M-480-14</t>
  </si>
  <si>
    <t xml:space="preserve">5M-480-15</t>
  </si>
  <si>
    <t xml:space="preserve">5M-480-20</t>
  </si>
  <si>
    <t xml:space="preserve">5M-480-22</t>
  </si>
  <si>
    <t xml:space="preserve">5M-480-25</t>
  </si>
  <si>
    <t xml:space="preserve">5M-480-30</t>
  </si>
  <si>
    <t xml:space="preserve">5M-480-35</t>
  </si>
  <si>
    <t xml:space="preserve">5M-480-6</t>
  </si>
  <si>
    <t xml:space="preserve">5M-480-9</t>
  </si>
  <si>
    <t xml:space="preserve">5M-485-10</t>
  </si>
  <si>
    <t xml:space="preserve">485</t>
  </si>
  <si>
    <t xml:space="preserve">5M-485-11</t>
  </si>
  <si>
    <t xml:space="preserve">5M-485-13</t>
  </si>
  <si>
    <t xml:space="preserve">5M-485-14</t>
  </si>
  <si>
    <t xml:space="preserve">5M-485-15</t>
  </si>
  <si>
    <t xml:space="preserve">5M-485-20</t>
  </si>
  <si>
    <t xml:space="preserve">5M-485-22</t>
  </si>
  <si>
    <t xml:space="preserve">5M-485-25</t>
  </si>
  <si>
    <t xml:space="preserve">5M-485-30</t>
  </si>
  <si>
    <t xml:space="preserve">5M-485-35</t>
  </si>
  <si>
    <t xml:space="preserve">5M-485-6</t>
  </si>
  <si>
    <t xml:space="preserve">5M-485-9</t>
  </si>
  <si>
    <t xml:space="preserve">5M-490-10</t>
  </si>
  <si>
    <t xml:space="preserve">5M-490-11</t>
  </si>
  <si>
    <t xml:space="preserve">5M-490-13</t>
  </si>
  <si>
    <t xml:space="preserve">5M-490-14</t>
  </si>
  <si>
    <t xml:space="preserve">5M-490-15</t>
  </si>
  <si>
    <t xml:space="preserve">5M-490-20</t>
  </si>
  <si>
    <t xml:space="preserve">5M-490-22</t>
  </si>
  <si>
    <t xml:space="preserve">5M-490-25</t>
  </si>
  <si>
    <t xml:space="preserve">5M-490-30</t>
  </si>
  <si>
    <t xml:space="preserve">5M-490-35</t>
  </si>
  <si>
    <t xml:space="preserve">5M-490-6</t>
  </si>
  <si>
    <t xml:space="preserve">5M-490-9</t>
  </si>
  <si>
    <t xml:space="preserve">5M-495-10</t>
  </si>
  <si>
    <t xml:space="preserve">5M-495-11</t>
  </si>
  <si>
    <t xml:space="preserve">5M-495-13</t>
  </si>
  <si>
    <t xml:space="preserve">5M-495-14</t>
  </si>
  <si>
    <t xml:space="preserve">5M-495-15</t>
  </si>
  <si>
    <t xml:space="preserve">5M-495-20</t>
  </si>
  <si>
    <t xml:space="preserve">5M-495-22</t>
  </si>
  <si>
    <t xml:space="preserve">5M-495-25</t>
  </si>
  <si>
    <t xml:space="preserve">5M-495-30</t>
  </si>
  <si>
    <t xml:space="preserve">5M-495-35</t>
  </si>
  <si>
    <t xml:space="preserve">5M-495-6</t>
  </si>
  <si>
    <t xml:space="preserve">5M-495-9</t>
  </si>
  <si>
    <t xml:space="preserve">5M-500-10</t>
  </si>
  <si>
    <t xml:space="preserve">5M-500-11</t>
  </si>
  <si>
    <t xml:space="preserve">5M-500-13</t>
  </si>
  <si>
    <t xml:space="preserve">5M-500-14</t>
  </si>
  <si>
    <t xml:space="preserve">5M-500-15</t>
  </si>
  <si>
    <t xml:space="preserve">5M-500-20</t>
  </si>
  <si>
    <t xml:space="preserve">5M-500-22</t>
  </si>
  <si>
    <t xml:space="preserve">5M-500-25</t>
  </si>
  <si>
    <t xml:space="preserve">5M-500-30</t>
  </si>
  <si>
    <t xml:space="preserve">5M-500-35</t>
  </si>
  <si>
    <t xml:space="preserve">5M-500-6</t>
  </si>
  <si>
    <t xml:space="preserve">5M-500-9</t>
  </si>
  <si>
    <t xml:space="preserve">5M-505-10</t>
  </si>
  <si>
    <t xml:space="preserve">505</t>
  </si>
  <si>
    <t xml:space="preserve">5M-505-11</t>
  </si>
  <si>
    <t xml:space="preserve">5M-505-13</t>
  </si>
  <si>
    <t xml:space="preserve">5M-505-14</t>
  </si>
  <si>
    <t xml:space="preserve">5M-505-15</t>
  </si>
  <si>
    <t xml:space="preserve">5M-505-20</t>
  </si>
  <si>
    <t xml:space="preserve">5M-505-22</t>
  </si>
  <si>
    <t xml:space="preserve">5M-505-25</t>
  </si>
  <si>
    <t xml:space="preserve">5M-505-30</t>
  </si>
  <si>
    <t xml:space="preserve">5M-505-35</t>
  </si>
  <si>
    <t xml:space="preserve">5M-505-6</t>
  </si>
  <si>
    <t xml:space="preserve">5M-505-9</t>
  </si>
  <si>
    <t xml:space="preserve">5M-510-10</t>
  </si>
  <si>
    <t xml:space="preserve">5M-510-11</t>
  </si>
  <si>
    <t xml:space="preserve">5M-510-13</t>
  </si>
  <si>
    <t xml:space="preserve">5M-510-14</t>
  </si>
  <si>
    <t xml:space="preserve">5M-510-15</t>
  </si>
  <si>
    <t xml:space="preserve">5M-510-20</t>
  </si>
  <si>
    <t xml:space="preserve">5M-510-22</t>
  </si>
  <si>
    <t xml:space="preserve">5M-510-25</t>
  </si>
  <si>
    <t xml:space="preserve">5M-510-30</t>
  </si>
  <si>
    <t xml:space="preserve">5M-510-35</t>
  </si>
  <si>
    <t xml:space="preserve">5M-510-6</t>
  </si>
  <si>
    <t xml:space="preserve">5M-510-9</t>
  </si>
  <si>
    <t xml:space="preserve">5M-515-10</t>
  </si>
  <si>
    <t xml:space="preserve">515</t>
  </si>
  <si>
    <t xml:space="preserve">5M-515-11</t>
  </si>
  <si>
    <t xml:space="preserve">5M-515-13</t>
  </si>
  <si>
    <t xml:space="preserve">5M-515-14</t>
  </si>
  <si>
    <t xml:space="preserve">5M-515-15</t>
  </si>
  <si>
    <t xml:space="preserve">5M-515-20</t>
  </si>
  <si>
    <t xml:space="preserve">5M-515-22</t>
  </si>
  <si>
    <t xml:space="preserve">5M-515-25</t>
  </si>
  <si>
    <t xml:space="preserve">5M-515-30</t>
  </si>
  <si>
    <t xml:space="preserve">5M-515-35</t>
  </si>
  <si>
    <t xml:space="preserve">5M-515-6</t>
  </si>
  <si>
    <t xml:space="preserve">5M-515-9</t>
  </si>
  <si>
    <t xml:space="preserve">5M-520-10</t>
  </si>
  <si>
    <t xml:space="preserve">5M-520-11</t>
  </si>
  <si>
    <t xml:space="preserve">5M-520-13</t>
  </si>
  <si>
    <t xml:space="preserve">5M-520-14</t>
  </si>
  <si>
    <t xml:space="preserve">5M-520-15</t>
  </si>
  <si>
    <t xml:space="preserve">5M-520-20</t>
  </si>
  <si>
    <t xml:space="preserve">5M-520-22</t>
  </si>
  <si>
    <t xml:space="preserve">5M-520-25</t>
  </si>
  <si>
    <t xml:space="preserve">5M-520-30</t>
  </si>
  <si>
    <t xml:space="preserve">5M-520-35</t>
  </si>
  <si>
    <t xml:space="preserve">5M-520-6</t>
  </si>
  <si>
    <t xml:space="preserve">5M-520-9</t>
  </si>
  <si>
    <t xml:space="preserve">5M-525-10</t>
  </si>
  <si>
    <t xml:space="preserve">5M-525-11</t>
  </si>
  <si>
    <t xml:space="preserve">5M-525-13</t>
  </si>
  <si>
    <t xml:space="preserve">5M-525-14</t>
  </si>
  <si>
    <t xml:space="preserve">5M-525-15</t>
  </si>
  <si>
    <t xml:space="preserve">5M-525-20</t>
  </si>
  <si>
    <t xml:space="preserve">5M-525-22</t>
  </si>
  <si>
    <t xml:space="preserve">5M-525-25</t>
  </si>
  <si>
    <t xml:space="preserve">5M-525-30</t>
  </si>
  <si>
    <t xml:space="preserve">5M-525-35</t>
  </si>
  <si>
    <t xml:space="preserve">5M-525-6</t>
  </si>
  <si>
    <t xml:space="preserve">5M-525-9</t>
  </si>
  <si>
    <t xml:space="preserve">5M-530-10</t>
  </si>
  <si>
    <t xml:space="preserve">5M-530-11</t>
  </si>
  <si>
    <t xml:space="preserve">5M-530-13</t>
  </si>
  <si>
    <t xml:space="preserve">5M-530-14</t>
  </si>
  <si>
    <t xml:space="preserve">5M-530-15</t>
  </si>
  <si>
    <t xml:space="preserve">5M-530-20</t>
  </si>
  <si>
    <t xml:space="preserve">5M-530-22</t>
  </si>
  <si>
    <t xml:space="preserve">5M-530-25</t>
  </si>
  <si>
    <t xml:space="preserve">5M-530-30</t>
  </si>
  <si>
    <t xml:space="preserve">5M-530-35</t>
  </si>
  <si>
    <t xml:space="preserve">5M-530-6</t>
  </si>
  <si>
    <t xml:space="preserve">5M-530-9</t>
  </si>
  <si>
    <t xml:space="preserve">5M-550-10</t>
  </si>
  <si>
    <t xml:space="preserve">5M-550-11</t>
  </si>
  <si>
    <t xml:space="preserve">5M-550-13</t>
  </si>
  <si>
    <t xml:space="preserve">5M-550-14</t>
  </si>
  <si>
    <t xml:space="preserve">5M-550-15</t>
  </si>
  <si>
    <t xml:space="preserve">5M-550-20</t>
  </si>
  <si>
    <t xml:space="preserve">5M-550-22</t>
  </si>
  <si>
    <t xml:space="preserve">5M-550-25</t>
  </si>
  <si>
    <t xml:space="preserve">5M-550-30</t>
  </si>
  <si>
    <t xml:space="preserve">5M-550-35</t>
  </si>
  <si>
    <t xml:space="preserve">5M-550-6</t>
  </si>
  <si>
    <t xml:space="preserve">5M-550-9</t>
  </si>
  <si>
    <t xml:space="preserve">5M-595-10</t>
  </si>
  <si>
    <t xml:space="preserve">595</t>
  </si>
  <si>
    <t xml:space="preserve">5M-595-11</t>
  </si>
  <si>
    <t xml:space="preserve">5M-595-13</t>
  </si>
  <si>
    <t xml:space="preserve">5M-595-14</t>
  </si>
  <si>
    <t xml:space="preserve">5M-595-15</t>
  </si>
  <si>
    <t xml:space="preserve">5M-595-20</t>
  </si>
  <si>
    <t xml:space="preserve">5M-595-22</t>
  </si>
  <si>
    <t xml:space="preserve">5M-595-25</t>
  </si>
  <si>
    <t xml:space="preserve">5M-595-30</t>
  </si>
  <si>
    <t xml:space="preserve">5M-595-35</t>
  </si>
  <si>
    <t xml:space="preserve">5M-595-6</t>
  </si>
  <si>
    <t xml:space="preserve">5M-595-9</t>
  </si>
  <si>
    <t xml:space="preserve">5M-600-10</t>
  </si>
  <si>
    <t xml:space="preserve">5M-600-11</t>
  </si>
  <si>
    <t xml:space="preserve">5M-600-13</t>
  </si>
  <si>
    <t xml:space="preserve">5M-600-14</t>
  </si>
  <si>
    <t xml:space="preserve">5M-600-15</t>
  </si>
  <si>
    <t xml:space="preserve">5M-600-20</t>
  </si>
  <si>
    <t xml:space="preserve">5M-600-22</t>
  </si>
  <si>
    <t xml:space="preserve">5M-600-25</t>
  </si>
  <si>
    <t xml:space="preserve">5M-600-30</t>
  </si>
  <si>
    <t xml:space="preserve">5M-600-35</t>
  </si>
  <si>
    <t xml:space="preserve">5M-600-6</t>
  </si>
  <si>
    <t xml:space="preserve">5M-600-9</t>
  </si>
  <si>
    <t xml:space="preserve">5M-620-10</t>
  </si>
  <si>
    <t xml:space="preserve">620</t>
  </si>
  <si>
    <t xml:space="preserve">5M-620-11</t>
  </si>
  <si>
    <t xml:space="preserve">5M-620-13</t>
  </si>
  <si>
    <t xml:space="preserve">5M-620-14</t>
  </si>
  <si>
    <t xml:space="preserve">5M-620-15</t>
  </si>
  <si>
    <t xml:space="preserve">5M-620-20</t>
  </si>
  <si>
    <t xml:space="preserve">5M-620-22</t>
  </si>
  <si>
    <t xml:space="preserve">5M-620-25</t>
  </si>
  <si>
    <t xml:space="preserve">5M-620-30</t>
  </si>
  <si>
    <t xml:space="preserve">5M-620-35</t>
  </si>
  <si>
    <t xml:space="preserve">5M-620-6</t>
  </si>
  <si>
    <t xml:space="preserve">5M-620-9</t>
  </si>
  <si>
    <t xml:space="preserve">5M-640-10</t>
  </si>
  <si>
    <t xml:space="preserve">5M-640-11</t>
  </si>
  <si>
    <t xml:space="preserve">5M-640-13</t>
  </si>
  <si>
    <t xml:space="preserve">5M-640-14</t>
  </si>
  <si>
    <t xml:space="preserve">5M-640-15</t>
  </si>
  <si>
    <t xml:space="preserve">5M-640-20</t>
  </si>
  <si>
    <t xml:space="preserve">5M-640-22</t>
  </si>
  <si>
    <t xml:space="preserve">5M-640-25</t>
  </si>
  <si>
    <t xml:space="preserve">5M-640-30</t>
  </si>
  <si>
    <t xml:space="preserve">5M-640-35</t>
  </si>
  <si>
    <t xml:space="preserve">5M-640-6</t>
  </si>
  <si>
    <t xml:space="preserve">5M-640-9</t>
  </si>
  <si>
    <t xml:space="preserve">5M-655-10</t>
  </si>
  <si>
    <t xml:space="preserve">655</t>
  </si>
  <si>
    <t xml:space="preserve">5M-655-11</t>
  </si>
  <si>
    <t xml:space="preserve">5M-655-13</t>
  </si>
  <si>
    <t xml:space="preserve">5M-655-14</t>
  </si>
  <si>
    <t xml:space="preserve">5M-655-15</t>
  </si>
  <si>
    <t xml:space="preserve">5M-655-20</t>
  </si>
  <si>
    <t xml:space="preserve">5M-655-22</t>
  </si>
  <si>
    <t xml:space="preserve">5M-655-25</t>
  </si>
  <si>
    <t xml:space="preserve">5M-655-30</t>
  </si>
  <si>
    <t xml:space="preserve">5M-655-35</t>
  </si>
  <si>
    <t xml:space="preserve">5M-655-6</t>
  </si>
  <si>
    <t xml:space="preserve">5M-655-9</t>
  </si>
  <si>
    <t xml:space="preserve">PU-5M-530-15</t>
  </si>
  <si>
    <t xml:space="preserve">PU-5M-530-25</t>
  </si>
  <si>
    <t xml:space="preserve">PU-5M-655-15</t>
  </si>
  <si>
    <t xml:space="preserve">PU-5M-655-25</t>
  </si>
  <si>
    <t xml:space="preserve">HTD5M Closed-Loop Timing Belt, Length 680-7000mm  [HTD5M Belts]</t>
  </si>
  <si>
    <t xml:space="preserve">5M-1000-15</t>
  </si>
  <si>
    <t xml:space="preserve">5M-1000-17</t>
  </si>
  <si>
    <t xml:space="preserve">17</t>
  </si>
  <si>
    <t xml:space="preserve">5M-1000-18</t>
  </si>
  <si>
    <t xml:space="preserve">5M-1000-25</t>
  </si>
  <si>
    <t xml:space="preserve">5M-1000-38</t>
  </si>
  <si>
    <t xml:space="preserve">38</t>
  </si>
  <si>
    <t xml:space="preserve">5M-1080-15</t>
  </si>
  <si>
    <t xml:space="preserve">5M-1080-17</t>
  </si>
  <si>
    <t xml:space="preserve">5M-1080-18</t>
  </si>
  <si>
    <t xml:space="preserve">5M-1080-25</t>
  </si>
  <si>
    <t xml:space="preserve">5M-1080-38</t>
  </si>
  <si>
    <t xml:space="preserve">5M-1200-15</t>
  </si>
  <si>
    <t xml:space="preserve">5M-1200-17</t>
  </si>
  <si>
    <t xml:space="preserve">5M-1200-18</t>
  </si>
  <si>
    <t xml:space="preserve">5M-1200-25</t>
  </si>
  <si>
    <t xml:space="preserve">5M-1200-38</t>
  </si>
  <si>
    <t xml:space="preserve">5M-1220-15</t>
  </si>
  <si>
    <t xml:space="preserve">5M-1220-17</t>
  </si>
  <si>
    <t xml:space="preserve">5M-1220-18</t>
  </si>
  <si>
    <t xml:space="preserve">5M-1220-25</t>
  </si>
  <si>
    <t xml:space="preserve">5M-1220-38</t>
  </si>
  <si>
    <t xml:space="preserve">5M-1300-15</t>
  </si>
  <si>
    <t xml:space="preserve">1300</t>
  </si>
  <si>
    <t xml:space="preserve">5M-1300-17</t>
  </si>
  <si>
    <t xml:space="preserve">5M-1300-18</t>
  </si>
  <si>
    <t xml:space="preserve">5M-1300-25</t>
  </si>
  <si>
    <t xml:space="preserve">5M-1300-38</t>
  </si>
  <si>
    <t xml:space="preserve">5M-1400-15</t>
  </si>
  <si>
    <t xml:space="preserve">1400</t>
  </si>
  <si>
    <t xml:space="preserve">5M-1400-17</t>
  </si>
  <si>
    <t xml:space="preserve">5M-1400-18</t>
  </si>
  <si>
    <t xml:space="preserve">5M-1400-25</t>
  </si>
  <si>
    <t xml:space="preserve">5M-1400-38</t>
  </si>
  <si>
    <t xml:space="preserve">5M-1700-15</t>
  </si>
  <si>
    <t xml:space="preserve">1700</t>
  </si>
  <si>
    <t xml:space="preserve">5M-1700-17</t>
  </si>
  <si>
    <t xml:space="preserve">5M-1700-18</t>
  </si>
  <si>
    <t xml:space="preserve">5M-1700-25</t>
  </si>
  <si>
    <t xml:space="preserve">5M-1700-38</t>
  </si>
  <si>
    <t xml:space="preserve">5M-1870-15</t>
  </si>
  <si>
    <t xml:space="preserve">1870</t>
  </si>
  <si>
    <t xml:space="preserve">5M-1870-17</t>
  </si>
  <si>
    <t xml:space="preserve">5M-1870-18</t>
  </si>
  <si>
    <t xml:space="preserve">5M-1870-25</t>
  </si>
  <si>
    <t xml:space="preserve">5M-1870-38</t>
  </si>
  <si>
    <t xml:space="preserve">5M-2000-15</t>
  </si>
  <si>
    <t xml:space="preserve">5M-2000-17</t>
  </si>
  <si>
    <t xml:space="preserve">5M-2000-18</t>
  </si>
  <si>
    <t xml:space="preserve">5M-2000-25</t>
  </si>
  <si>
    <t xml:space="preserve">5M-2000-38</t>
  </si>
  <si>
    <t xml:space="preserve">5M-2350-15</t>
  </si>
  <si>
    <t xml:space="preserve">2350</t>
  </si>
  <si>
    <t xml:space="preserve">5M-2350-17</t>
  </si>
  <si>
    <t xml:space="preserve">5M-2350-18</t>
  </si>
  <si>
    <t xml:space="preserve">5M-2350-25</t>
  </si>
  <si>
    <t xml:space="preserve">5M-2350-38</t>
  </si>
  <si>
    <t xml:space="preserve">5M-2950-15</t>
  </si>
  <si>
    <t xml:space="preserve">2950</t>
  </si>
  <si>
    <t xml:space="preserve">5M-2950-17</t>
  </si>
  <si>
    <t xml:space="preserve">5M-2950-18</t>
  </si>
  <si>
    <t xml:space="preserve">5M-2950-25</t>
  </si>
  <si>
    <t xml:space="preserve">5M-2950-38</t>
  </si>
  <si>
    <t xml:space="preserve">5M-4360-15</t>
  </si>
  <si>
    <t xml:space="preserve">4360</t>
  </si>
  <si>
    <t xml:space="preserve">5M-4360-17</t>
  </si>
  <si>
    <t xml:space="preserve">5M-4360-18</t>
  </si>
  <si>
    <t xml:space="preserve">5M-4360-25</t>
  </si>
  <si>
    <t xml:space="preserve">5M-4360-38</t>
  </si>
  <si>
    <t xml:space="preserve">5M-4500-15</t>
  </si>
  <si>
    <t xml:space="preserve">4500</t>
  </si>
  <si>
    <t xml:space="preserve">5M-4500-17</t>
  </si>
  <si>
    <t xml:space="preserve">5M-4500-18</t>
  </si>
  <si>
    <t xml:space="preserve">5M-4500-25</t>
  </si>
  <si>
    <t xml:space="preserve">5M-4500-38</t>
  </si>
  <si>
    <t xml:space="preserve">5M-5705-15</t>
  </si>
  <si>
    <t xml:space="preserve">5705</t>
  </si>
  <si>
    <t xml:space="preserve">5M-5705-17</t>
  </si>
  <si>
    <t xml:space="preserve">5M-5705-18</t>
  </si>
  <si>
    <t xml:space="preserve">5M-5705-25</t>
  </si>
  <si>
    <t xml:space="preserve">5M-5705-38</t>
  </si>
  <si>
    <t xml:space="preserve">5M-700-15</t>
  </si>
  <si>
    <t xml:space="preserve">5M-700-17</t>
  </si>
  <si>
    <t xml:space="preserve">5M-700-18</t>
  </si>
  <si>
    <t xml:space="preserve">5M-700-25</t>
  </si>
  <si>
    <t xml:space="preserve">5M-700-38</t>
  </si>
  <si>
    <t xml:space="preserve">5M-750-15</t>
  </si>
  <si>
    <t xml:space="preserve">5M-750-17</t>
  </si>
  <si>
    <t xml:space="preserve">5M-750-18</t>
  </si>
  <si>
    <t xml:space="preserve">5M-750-25</t>
  </si>
  <si>
    <t xml:space="preserve">5M-750-38</t>
  </si>
  <si>
    <t xml:space="preserve">5M-800-15</t>
  </si>
  <si>
    <t xml:space="preserve">5M-800-17</t>
  </si>
  <si>
    <t xml:space="preserve">5M-800-18</t>
  </si>
  <si>
    <t xml:space="preserve">5M-800-25</t>
  </si>
  <si>
    <t xml:space="preserve">5M-800-38</t>
  </si>
  <si>
    <t xml:space="preserve">5M-820-15</t>
  </si>
  <si>
    <t xml:space="preserve">820</t>
  </si>
  <si>
    <t xml:space="preserve">5M-820-17</t>
  </si>
  <si>
    <t xml:space="preserve">5M-820-18</t>
  </si>
  <si>
    <t xml:space="preserve">5M-820-25</t>
  </si>
  <si>
    <t xml:space="preserve">5M-820-38</t>
  </si>
  <si>
    <t xml:space="preserve">5M-880-15</t>
  </si>
  <si>
    <t xml:space="preserve">880</t>
  </si>
  <si>
    <t xml:space="preserve">5M-880-17</t>
  </si>
  <si>
    <t xml:space="preserve">5M-880-18</t>
  </si>
  <si>
    <t xml:space="preserve">5M-880-25</t>
  </si>
  <si>
    <t xml:space="preserve">5M-880-38</t>
  </si>
  <si>
    <t xml:space="preserve">5M-900-15</t>
  </si>
  <si>
    <t xml:space="preserve">5M-900-17</t>
  </si>
  <si>
    <t xml:space="preserve">5M-900-18</t>
  </si>
  <si>
    <t xml:space="preserve">5M-900-25</t>
  </si>
  <si>
    <t xml:space="preserve">5M-900-38</t>
  </si>
  <si>
    <t xml:space="preserve">JB-5M-1500-25</t>
  </si>
  <si>
    <t xml:space="preserve">Joined belt</t>
  </si>
  <si>
    <t xml:space="preserve">JB-5M-3520-25</t>
  </si>
  <si>
    <t xml:space="preserve">3520</t>
  </si>
  <si>
    <t xml:space="preserve">JOMO-5M-4360-15</t>
  </si>
  <si>
    <t xml:space="preserve">JOMO-5M-4360-38</t>
  </si>
  <si>
    <t xml:space="preserve">PU Steel-Cord 5M Joined Timing Belt  [HTD5M Belts]</t>
  </si>
  <si>
    <t xml:space="preserve">Specification</t>
  </si>
  <si>
    <t xml:space="preserve">TB-010</t>
  </si>
  <si>
    <t xml:space="preserve">—</t>
  </si>
  <si>
    <t xml:space="preserve">L / XL Closed-Loop Timing Belt  [L / XL Belts]</t>
  </si>
  <si>
    <t xml:space="preserve">114XL</t>
  </si>
  <si>
    <t xml:space="preserve">114XL-10</t>
  </si>
  <si>
    <t xml:space="preserve">114XL-6</t>
  </si>
  <si>
    <t xml:space="preserve">114XL-9</t>
  </si>
  <si>
    <t xml:space="preserve">120XL-10</t>
  </si>
  <si>
    <t xml:space="preserve">120XL</t>
  </si>
  <si>
    <t xml:space="preserve">124L-25</t>
  </si>
  <si>
    <t xml:space="preserve">124L</t>
  </si>
  <si>
    <t xml:space="preserve">124L-8</t>
  </si>
  <si>
    <t xml:space="preserve">138XL-10</t>
  </si>
  <si>
    <t xml:space="preserve">138XL</t>
  </si>
  <si>
    <t xml:space="preserve">150XL-10</t>
  </si>
  <si>
    <t xml:space="preserve">150XL</t>
  </si>
  <si>
    <t xml:space="preserve">176XL-7</t>
  </si>
  <si>
    <t xml:space="preserve">176XL</t>
  </si>
  <si>
    <t xml:space="preserve">307L-25</t>
  </si>
  <si>
    <t xml:space="preserve">307L</t>
  </si>
  <si>
    <t xml:space="preserve">307L-8</t>
  </si>
  <si>
    <t xml:space="preserve">427L-25</t>
  </si>
  <si>
    <t xml:space="preserve">427L</t>
  </si>
  <si>
    <t xml:space="preserve">427L-8</t>
  </si>
  <si>
    <t xml:space="preserve">48XL-10</t>
  </si>
  <si>
    <t xml:space="preserve">48XL</t>
  </si>
  <si>
    <t xml:space="preserve">70XL-10</t>
  </si>
  <si>
    <t xml:space="preserve">70XL</t>
  </si>
  <si>
    <t xml:space="preserve">96XL-10</t>
  </si>
  <si>
    <t xml:space="preserve">96XL</t>
  </si>
  <si>
    <t xml:space="preserve">96XL-6</t>
  </si>
  <si>
    <t xml:space="preserve">PU-134XL-12</t>
  </si>
  <si>
    <t xml:space="preserve">134XL</t>
  </si>
  <si>
    <t xml:space="preserve">PU-134XL-6</t>
  </si>
  <si>
    <t xml:space="preserve">XL Open Timing Belt (per meter)  [L / XL Belts]</t>
  </si>
  <si>
    <t xml:space="preserve">XL-10-BPU-1M</t>
  </si>
  <si>
    <t xml:space="preserve">XL-10-R-1M</t>
  </si>
  <si>
    <t xml:space="preserve">XL-10-R-RL100</t>
  </si>
  <si>
    <t xml:space="preserve">XL-10-WPU-1M</t>
  </si>
  <si>
    <t xml:space="preserve">XL-12-WPU-RL50</t>
  </si>
  <si>
    <t xml:space="preserve">XL-15-BPU-1M</t>
  </si>
  <si>
    <t xml:space="preserve">XL-15-R-1M</t>
  </si>
  <si>
    <t xml:space="preserve">XL-15-WPU-1M</t>
  </si>
  <si>
    <t xml:space="preserve">XL-6-R-1M</t>
  </si>
  <si>
    <t xml:space="preserve">XL-9-BPU-1M</t>
  </si>
  <si>
    <t xml:space="preserve">XL-9-WPU-1M</t>
  </si>
  <si>
    <t xml:space="preserve">MXL Open Timing Belt (per meter)  [MXL Belts]</t>
  </si>
  <si>
    <t xml:space="preserve">MXL-10-R-1M</t>
  </si>
  <si>
    <t xml:space="preserve">MXL-12-R-1M</t>
  </si>
  <si>
    <t xml:space="preserve">MXL-15-R-1M</t>
  </si>
  <si>
    <t xml:space="preserve">MXL-4-R-1M</t>
  </si>
  <si>
    <t xml:space="preserve">MXL-5-R-1M</t>
  </si>
  <si>
    <t xml:space="preserve">MXL-6-R-1M</t>
  </si>
  <si>
    <t xml:space="preserve">MXL-8-R-1M</t>
  </si>
  <si>
    <t xml:space="preserve">MXL Closed-Loop Timing Belt  [MXL Belts]</t>
  </si>
  <si>
    <t xml:space="preserve">B100MXL (80MXL)</t>
  </si>
  <si>
    <t xml:space="preserve">B100MXL-10</t>
  </si>
  <si>
    <t xml:space="preserve">B100MXL-3</t>
  </si>
  <si>
    <t xml:space="preserve">B100MXL-4</t>
  </si>
  <si>
    <t xml:space="preserve">B100MXL-5</t>
  </si>
  <si>
    <t xml:space="preserve">B100MXL-6</t>
  </si>
  <si>
    <t xml:space="preserve">B100MXL-7</t>
  </si>
  <si>
    <t xml:space="preserve">B100MXL-9</t>
  </si>
  <si>
    <t xml:space="preserve">B103MXL-10</t>
  </si>
  <si>
    <t xml:space="preserve">B103MXL (82MXL)</t>
  </si>
  <si>
    <t xml:space="preserve">B103MXL-3</t>
  </si>
  <si>
    <t xml:space="preserve">B103MXL-4</t>
  </si>
  <si>
    <t xml:space="preserve">B103MXL-5</t>
  </si>
  <si>
    <t xml:space="preserve">B103MXL-6</t>
  </si>
  <si>
    <t xml:space="preserve">B103MXL-7</t>
  </si>
  <si>
    <t xml:space="preserve">B103MXL-9</t>
  </si>
  <si>
    <t xml:space="preserve">B106MXL-10</t>
  </si>
  <si>
    <t xml:space="preserve">B106MXL (85MXL)</t>
  </si>
  <si>
    <t xml:space="preserve">B106MXL-3</t>
  </si>
  <si>
    <t xml:space="preserve">B106MXL-4</t>
  </si>
  <si>
    <t xml:space="preserve">B106MXL-5</t>
  </si>
  <si>
    <t xml:space="preserve">B106MXL-6</t>
  </si>
  <si>
    <t xml:space="preserve">B106MXL-7</t>
  </si>
  <si>
    <t xml:space="preserve">B106MXL-9</t>
  </si>
  <si>
    <t xml:space="preserve">B107MXL-10</t>
  </si>
  <si>
    <t xml:space="preserve">B107MXL</t>
  </si>
  <si>
    <t xml:space="preserve">B107MXL-3</t>
  </si>
  <si>
    <t xml:space="preserve">B107MXL-4</t>
  </si>
  <si>
    <t xml:space="preserve">B107MXL-5</t>
  </si>
  <si>
    <t xml:space="preserve">B107MXL-6</t>
  </si>
  <si>
    <t xml:space="preserve">B107MXL-7</t>
  </si>
  <si>
    <t xml:space="preserve">B107MXL-9</t>
  </si>
  <si>
    <t xml:space="preserve">B109MXL-10</t>
  </si>
  <si>
    <t xml:space="preserve">B109MXL</t>
  </si>
  <si>
    <t xml:space="preserve">B109MXL-3</t>
  </si>
  <si>
    <t xml:space="preserve">B109MXL-4</t>
  </si>
  <si>
    <t xml:space="preserve">B109MXL-5</t>
  </si>
  <si>
    <t xml:space="preserve">B109MXL-6</t>
  </si>
  <si>
    <t xml:space="preserve">B109MXL-7</t>
  </si>
  <si>
    <t xml:space="preserve">B109MXL-9</t>
  </si>
  <si>
    <t xml:space="preserve">B110MXL-10</t>
  </si>
  <si>
    <t xml:space="preserve">B110MXL (88MXL)</t>
  </si>
  <si>
    <t xml:space="preserve">B110MXL-3</t>
  </si>
  <si>
    <t xml:space="preserve">B110MXL-4</t>
  </si>
  <si>
    <t xml:space="preserve">B110MXL-5</t>
  </si>
  <si>
    <t xml:space="preserve">B110MXL-6</t>
  </si>
  <si>
    <t xml:space="preserve">B110MXL-7</t>
  </si>
  <si>
    <t xml:space="preserve">B110MXL-9</t>
  </si>
  <si>
    <t xml:space="preserve">B112MXL-10</t>
  </si>
  <si>
    <t xml:space="preserve">B112MXL</t>
  </si>
  <si>
    <t xml:space="preserve">B112MXL-3</t>
  </si>
  <si>
    <t xml:space="preserve">B112MXL-4</t>
  </si>
  <si>
    <t xml:space="preserve">B112MXL-5</t>
  </si>
  <si>
    <t xml:space="preserve">B112MXL-6</t>
  </si>
  <si>
    <t xml:space="preserve">B112MXL-7</t>
  </si>
  <si>
    <t xml:space="preserve">B112MXL-9</t>
  </si>
  <si>
    <t xml:space="preserve">B113MXL-10</t>
  </si>
  <si>
    <t xml:space="preserve">B113MXL</t>
  </si>
  <si>
    <t xml:space="preserve">B113MXL-3</t>
  </si>
  <si>
    <t xml:space="preserve">B113MXL-4</t>
  </si>
  <si>
    <t xml:space="preserve">B113MXL-5</t>
  </si>
  <si>
    <t xml:space="preserve">B113MXL-6</t>
  </si>
  <si>
    <t xml:space="preserve">B113MXL-7</t>
  </si>
  <si>
    <t xml:space="preserve">B113MXL-9</t>
  </si>
  <si>
    <t xml:space="preserve">B114MXL-10</t>
  </si>
  <si>
    <t xml:space="preserve">B114MXL (91MXL)</t>
  </si>
  <si>
    <t xml:space="preserve">B114MXL-3</t>
  </si>
  <si>
    <t xml:space="preserve">B114MXL-4</t>
  </si>
  <si>
    <t xml:space="preserve">B114MXL-5</t>
  </si>
  <si>
    <t xml:space="preserve">B114MXL-6</t>
  </si>
  <si>
    <t xml:space="preserve">B114MXL-7</t>
  </si>
  <si>
    <t xml:space="preserve">B114MXL-9</t>
  </si>
  <si>
    <t xml:space="preserve">B115MXL-10</t>
  </si>
  <si>
    <t xml:space="preserve">B115MXL (92MXL)</t>
  </si>
  <si>
    <t xml:space="preserve">B115MXL-3</t>
  </si>
  <si>
    <t xml:space="preserve">B115MXL-4</t>
  </si>
  <si>
    <t xml:space="preserve">B115MXL-5</t>
  </si>
  <si>
    <t xml:space="preserve">B115MXL-6</t>
  </si>
  <si>
    <t xml:space="preserve">B115MXL-7</t>
  </si>
  <si>
    <t xml:space="preserve">B115MXL-9</t>
  </si>
  <si>
    <t xml:space="preserve">B118MXL-10</t>
  </si>
  <si>
    <t xml:space="preserve">B118MXL (94MXL)</t>
  </si>
  <si>
    <t xml:space="preserve">B118MXL-3</t>
  </si>
  <si>
    <t xml:space="preserve">B118MXL-4</t>
  </si>
  <si>
    <t xml:space="preserve">B118MXL-5</t>
  </si>
  <si>
    <t xml:space="preserve">B118MXL-6</t>
  </si>
  <si>
    <t xml:space="preserve">B118MXL-7</t>
  </si>
  <si>
    <t xml:space="preserve">B118MXL-9</t>
  </si>
  <si>
    <t xml:space="preserve">B120MXL-10</t>
  </si>
  <si>
    <t xml:space="preserve">B120MXL (96MXL)</t>
  </si>
  <si>
    <t xml:space="preserve">B120MXL-3</t>
  </si>
  <si>
    <t xml:space="preserve">B120MXL-4</t>
  </si>
  <si>
    <t xml:space="preserve">B120MXL-5</t>
  </si>
  <si>
    <t xml:space="preserve">B120MXL-6</t>
  </si>
  <si>
    <t xml:space="preserve">B120MXL-7</t>
  </si>
  <si>
    <t xml:space="preserve">B120MXL-9</t>
  </si>
  <si>
    <t xml:space="preserve">B126MXL-10</t>
  </si>
  <si>
    <t xml:space="preserve">B126MXL (101MXL)</t>
  </si>
  <si>
    <t xml:space="preserve">B126MXL-3</t>
  </si>
  <si>
    <t xml:space="preserve">B126MXL-4</t>
  </si>
  <si>
    <t xml:space="preserve">B126MXL-5</t>
  </si>
  <si>
    <t xml:space="preserve">B126MXL-6</t>
  </si>
  <si>
    <t xml:space="preserve">B126MXL-7</t>
  </si>
  <si>
    <t xml:space="preserve">B126MXL-9</t>
  </si>
  <si>
    <t xml:space="preserve">B127MXL-10</t>
  </si>
  <si>
    <t xml:space="preserve">B127MXL</t>
  </si>
  <si>
    <t xml:space="preserve">B127MXL-3</t>
  </si>
  <si>
    <t xml:space="preserve">B127MXL-4</t>
  </si>
  <si>
    <t xml:space="preserve">B127MXL-5</t>
  </si>
  <si>
    <t xml:space="preserve">B127MXL-6</t>
  </si>
  <si>
    <t xml:space="preserve">B127MXL-7</t>
  </si>
  <si>
    <t xml:space="preserve">B127MXL-9</t>
  </si>
  <si>
    <t xml:space="preserve">B130MXL-10</t>
  </si>
  <si>
    <t xml:space="preserve">B130MXL (104MXL)</t>
  </si>
  <si>
    <t xml:space="preserve">B130MXL-3</t>
  </si>
  <si>
    <t xml:space="preserve">B130MXL-4</t>
  </si>
  <si>
    <t xml:space="preserve">B130MXL-5</t>
  </si>
  <si>
    <t xml:space="preserve">B130MXL-6</t>
  </si>
  <si>
    <t xml:space="preserve">B130MXL-7</t>
  </si>
  <si>
    <t xml:space="preserve">B130MXL-9</t>
  </si>
  <si>
    <t xml:space="preserve">B134MXL-10</t>
  </si>
  <si>
    <t xml:space="preserve">B134MXL</t>
  </si>
  <si>
    <t xml:space="preserve">B134MXL-3</t>
  </si>
  <si>
    <t xml:space="preserve">B134MXL-4</t>
  </si>
  <si>
    <t xml:space="preserve">B134MXL-5</t>
  </si>
  <si>
    <t xml:space="preserve">B134MXL-6</t>
  </si>
  <si>
    <t xml:space="preserve">B134MXL-7</t>
  </si>
  <si>
    <t xml:space="preserve">B134MXL-9</t>
  </si>
  <si>
    <t xml:space="preserve">B138MXL-10</t>
  </si>
  <si>
    <t xml:space="preserve">B138MXL</t>
  </si>
  <si>
    <t xml:space="preserve">B138MXL-3</t>
  </si>
  <si>
    <t xml:space="preserve">B138MXL-4</t>
  </si>
  <si>
    <t xml:space="preserve">B138MXL-5</t>
  </si>
  <si>
    <t xml:space="preserve">B138MXL-6</t>
  </si>
  <si>
    <t xml:space="preserve">B138MXL-7</t>
  </si>
  <si>
    <t xml:space="preserve">B138MXL-9</t>
  </si>
  <si>
    <t xml:space="preserve">B140MXL-10</t>
  </si>
  <si>
    <t xml:space="preserve">B140MXL (112MXL)</t>
  </si>
  <si>
    <t xml:space="preserve">B140MXL-3</t>
  </si>
  <si>
    <t xml:space="preserve">B140MXL-4</t>
  </si>
  <si>
    <t xml:space="preserve">B140MXL-5</t>
  </si>
  <si>
    <t xml:space="preserve">B140MXL-6</t>
  </si>
  <si>
    <t xml:space="preserve">B140MXL-7</t>
  </si>
  <si>
    <t xml:space="preserve">B140MXL-9</t>
  </si>
  <si>
    <t xml:space="preserve">B144MXL-10</t>
  </si>
  <si>
    <t xml:space="preserve">B144MXL (115MXL)</t>
  </si>
  <si>
    <t xml:space="preserve">B144MXL-3</t>
  </si>
  <si>
    <t xml:space="preserve">B144MXL-4</t>
  </si>
  <si>
    <t xml:space="preserve">B144MXL-5</t>
  </si>
  <si>
    <t xml:space="preserve">B144MXL-6</t>
  </si>
  <si>
    <t xml:space="preserve">B144MXL-7</t>
  </si>
  <si>
    <t xml:space="preserve">B144MXL-9</t>
  </si>
  <si>
    <t xml:space="preserve">B146MXL-10</t>
  </si>
  <si>
    <t xml:space="preserve">B146MXL</t>
  </si>
  <si>
    <t xml:space="preserve">B146MXL-3</t>
  </si>
  <si>
    <t xml:space="preserve">B146MXL-4</t>
  </si>
  <si>
    <t xml:space="preserve">B146MXL-5</t>
  </si>
  <si>
    <t xml:space="preserve">B146MXL-6</t>
  </si>
  <si>
    <t xml:space="preserve">B146MXL-7</t>
  </si>
  <si>
    <t xml:space="preserve">B146MXL-9</t>
  </si>
  <si>
    <t xml:space="preserve">B150MXL-10</t>
  </si>
  <si>
    <t xml:space="preserve">B150MXL (120MXL)</t>
  </si>
  <si>
    <t xml:space="preserve">B150MXL-3</t>
  </si>
  <si>
    <t xml:space="preserve">B150MXL-4</t>
  </si>
  <si>
    <t xml:space="preserve">B150MXL-5</t>
  </si>
  <si>
    <t xml:space="preserve">B150MXL-6</t>
  </si>
  <si>
    <t xml:space="preserve">B150MXL-7</t>
  </si>
  <si>
    <t xml:space="preserve">B150MXL-9</t>
  </si>
  <si>
    <t xml:space="preserve">B156MXL-10</t>
  </si>
  <si>
    <t xml:space="preserve">B156MXL (125MXL)</t>
  </si>
  <si>
    <t xml:space="preserve">B156MXL-3</t>
  </si>
  <si>
    <t xml:space="preserve">B156MXL-4</t>
  </si>
  <si>
    <t xml:space="preserve">B156MXL-5</t>
  </si>
  <si>
    <t xml:space="preserve">B156MXL-6</t>
  </si>
  <si>
    <t xml:space="preserve">B156MXL-7</t>
  </si>
  <si>
    <t xml:space="preserve">B156MXL-9</t>
  </si>
  <si>
    <t xml:space="preserve">B158MXL-10</t>
  </si>
  <si>
    <t xml:space="preserve">B158MXL (126MXL)</t>
  </si>
  <si>
    <t xml:space="preserve">B158MXL-3</t>
  </si>
  <si>
    <t xml:space="preserve">B158MXL-4</t>
  </si>
  <si>
    <t xml:space="preserve">B158MXL-5</t>
  </si>
  <si>
    <t xml:space="preserve">B158MXL-6</t>
  </si>
  <si>
    <t xml:space="preserve">B158MXL-7</t>
  </si>
  <si>
    <t xml:space="preserve">B158MXL-9</t>
  </si>
  <si>
    <t xml:space="preserve">B160MXL-10</t>
  </si>
  <si>
    <t xml:space="preserve">B160MXL (128MXL)</t>
  </si>
  <si>
    <t xml:space="preserve">B160MXL-3</t>
  </si>
  <si>
    <t xml:space="preserve">B160MXL-4</t>
  </si>
  <si>
    <t xml:space="preserve">B160MXL-5</t>
  </si>
  <si>
    <t xml:space="preserve">B160MXL-6</t>
  </si>
  <si>
    <t xml:space="preserve">B160MXL-7</t>
  </si>
  <si>
    <t xml:space="preserve">B160MXL-9</t>
  </si>
  <si>
    <t xml:space="preserve">B175MXL-10</t>
  </si>
  <si>
    <t xml:space="preserve">B175MXL (140MXL)</t>
  </si>
  <si>
    <t xml:space="preserve">B175MXL-3</t>
  </si>
  <si>
    <t xml:space="preserve">B175MXL-4</t>
  </si>
  <si>
    <t xml:space="preserve">B175MXL-5</t>
  </si>
  <si>
    <t xml:space="preserve">B175MXL-6</t>
  </si>
  <si>
    <t xml:space="preserve">B175MXL-7</t>
  </si>
  <si>
    <t xml:space="preserve">B175MXL-9</t>
  </si>
  <si>
    <t xml:space="preserve">B180MXL-10</t>
  </si>
  <si>
    <t xml:space="preserve">B180MXL (144MXL)</t>
  </si>
  <si>
    <t xml:space="preserve">B180MXL-3</t>
  </si>
  <si>
    <t xml:space="preserve">B180MXL-4</t>
  </si>
  <si>
    <t xml:space="preserve">B180MXL-5</t>
  </si>
  <si>
    <t xml:space="preserve">B180MXL-6</t>
  </si>
  <si>
    <t xml:space="preserve">B180MXL-7</t>
  </si>
  <si>
    <t xml:space="preserve">B180MXL-9</t>
  </si>
  <si>
    <t xml:space="preserve">B187MXL-10</t>
  </si>
  <si>
    <t xml:space="preserve">B187MXL</t>
  </si>
  <si>
    <t xml:space="preserve">B187MXL-3</t>
  </si>
  <si>
    <t xml:space="preserve">B187MXL-4</t>
  </si>
  <si>
    <t xml:space="preserve">B187MXL-5</t>
  </si>
  <si>
    <t xml:space="preserve">B187MXL-6</t>
  </si>
  <si>
    <t xml:space="preserve">B187MXL-7</t>
  </si>
  <si>
    <t xml:space="preserve">B187MXL-9</t>
  </si>
  <si>
    <t xml:space="preserve">B197MXL-10</t>
  </si>
  <si>
    <t xml:space="preserve">B197MXL</t>
  </si>
  <si>
    <t xml:space="preserve">B197MXL-3</t>
  </si>
  <si>
    <t xml:space="preserve">B197MXL-4</t>
  </si>
  <si>
    <t xml:space="preserve">B197MXL-5</t>
  </si>
  <si>
    <t xml:space="preserve">B197MXL-6</t>
  </si>
  <si>
    <t xml:space="preserve">B197MXL-7</t>
  </si>
  <si>
    <t xml:space="preserve">B197MXL-9</t>
  </si>
  <si>
    <t xml:space="preserve">B200MXL-10</t>
  </si>
  <si>
    <t xml:space="preserve">B200MXL (160MXL)</t>
  </si>
  <si>
    <t xml:space="preserve">B200MXL-3</t>
  </si>
  <si>
    <t xml:space="preserve">B200MXL-4</t>
  </si>
  <si>
    <t xml:space="preserve">B200MXL-5</t>
  </si>
  <si>
    <t xml:space="preserve">B200MXL-6</t>
  </si>
  <si>
    <t xml:space="preserve">B200MXL-7</t>
  </si>
  <si>
    <t xml:space="preserve">B200MXL-9</t>
  </si>
  <si>
    <t xml:space="preserve">B230MXL-10</t>
  </si>
  <si>
    <t xml:space="preserve">B230MXL (184MXL)</t>
  </si>
  <si>
    <t xml:space="preserve">B230MXL-3</t>
  </si>
  <si>
    <t xml:space="preserve">B230MXL-4</t>
  </si>
  <si>
    <t xml:space="preserve">B230MXL-5</t>
  </si>
  <si>
    <t xml:space="preserve">B230MXL-6</t>
  </si>
  <si>
    <t xml:space="preserve">B230MXL-7</t>
  </si>
  <si>
    <t xml:space="preserve">B230MXL-9</t>
  </si>
  <si>
    <t xml:space="preserve">B240MXL-10</t>
  </si>
  <si>
    <t xml:space="preserve">B240MXL (192MXL)</t>
  </si>
  <si>
    <t xml:space="preserve">B240MXL-3</t>
  </si>
  <si>
    <t xml:space="preserve">B240MXL-4</t>
  </si>
  <si>
    <t xml:space="preserve">B240MXL-5</t>
  </si>
  <si>
    <t xml:space="preserve">B240MXL-6</t>
  </si>
  <si>
    <t xml:space="preserve">B240MXL-7</t>
  </si>
  <si>
    <t xml:space="preserve">B240MXL-9</t>
  </si>
  <si>
    <t xml:space="preserve">B250MXL-10</t>
  </si>
  <si>
    <t xml:space="preserve">B250MXL (200MXL)</t>
  </si>
  <si>
    <t xml:space="preserve">B250MXL-3</t>
  </si>
  <si>
    <t xml:space="preserve">B250MXL-4</t>
  </si>
  <si>
    <t xml:space="preserve">B250MXL-5</t>
  </si>
  <si>
    <t xml:space="preserve">B250MXL-6</t>
  </si>
  <si>
    <t xml:space="preserve">B250MXL-7</t>
  </si>
  <si>
    <t xml:space="preserve">B250MXL-9</t>
  </si>
  <si>
    <t xml:space="preserve">B256MXL-10</t>
  </si>
  <si>
    <t xml:space="preserve">B256MXL (205MXL)</t>
  </si>
  <si>
    <t xml:space="preserve">B256MXL-3</t>
  </si>
  <si>
    <t xml:space="preserve">B256MXL-4</t>
  </si>
  <si>
    <t xml:space="preserve">B256MXL-5</t>
  </si>
  <si>
    <t xml:space="preserve">B256MXL-6</t>
  </si>
  <si>
    <t xml:space="preserve">B256MXL-7</t>
  </si>
  <si>
    <t xml:space="preserve">B256MXL-9</t>
  </si>
  <si>
    <t xml:space="preserve">B300MXL-10</t>
  </si>
  <si>
    <t xml:space="preserve">B300MXL (240MXL)</t>
  </si>
  <si>
    <t xml:space="preserve">B300MXL-3</t>
  </si>
  <si>
    <t xml:space="preserve">B300MXL-4</t>
  </si>
  <si>
    <t xml:space="preserve">B300MXL-5</t>
  </si>
  <si>
    <t xml:space="preserve">B300MXL-6</t>
  </si>
  <si>
    <t xml:space="preserve">B300MXL-7</t>
  </si>
  <si>
    <t xml:space="preserve">B300MXL-9</t>
  </si>
  <si>
    <t xml:space="preserve">B320MXL-10</t>
  </si>
  <si>
    <t xml:space="preserve">B320MXL (256MXL)</t>
  </si>
  <si>
    <t xml:space="preserve">B320MXL-3</t>
  </si>
  <si>
    <t xml:space="preserve">B320MXL-4</t>
  </si>
  <si>
    <t xml:space="preserve">B320MXL-5</t>
  </si>
  <si>
    <t xml:space="preserve">B320MXL-6</t>
  </si>
  <si>
    <t xml:space="preserve">B320MXL-7</t>
  </si>
  <si>
    <t xml:space="preserve">B320MXL-9</t>
  </si>
  <si>
    <t xml:space="preserve">B347MXL-10</t>
  </si>
  <si>
    <t xml:space="preserve">B347MXL (278MXL)</t>
  </si>
  <si>
    <t xml:space="preserve">B347MXL-3</t>
  </si>
  <si>
    <t xml:space="preserve">B347MXL-4</t>
  </si>
  <si>
    <t xml:space="preserve">B347MXL-5</t>
  </si>
  <si>
    <t xml:space="preserve">B347MXL-6</t>
  </si>
  <si>
    <t xml:space="preserve">B347MXL-7</t>
  </si>
  <si>
    <t xml:space="preserve">B347MXL-9</t>
  </si>
  <si>
    <t xml:space="preserve">B34MXL-10</t>
  </si>
  <si>
    <t xml:space="preserve">B34MXL (27MXL)</t>
  </si>
  <si>
    <t xml:space="preserve">B34MXL-3</t>
  </si>
  <si>
    <t xml:space="preserve">B34MXL-4</t>
  </si>
  <si>
    <t xml:space="preserve">B34MXL-5</t>
  </si>
  <si>
    <t xml:space="preserve">B34MXL-6</t>
  </si>
  <si>
    <t xml:space="preserve">B34MXL-7</t>
  </si>
  <si>
    <t xml:space="preserve">B34MXL-9</t>
  </si>
  <si>
    <t xml:space="preserve">B371MXL-10</t>
  </si>
  <si>
    <t xml:space="preserve">B371MXL (297MXL)</t>
  </si>
  <si>
    <t xml:space="preserve">B371MXL-3</t>
  </si>
  <si>
    <t xml:space="preserve">B371MXL-4</t>
  </si>
  <si>
    <t xml:space="preserve">B371MXL-5</t>
  </si>
  <si>
    <t xml:space="preserve">B371MXL-6</t>
  </si>
  <si>
    <t xml:space="preserve">B371MXL-7</t>
  </si>
  <si>
    <t xml:space="preserve">B371MXL-9</t>
  </si>
  <si>
    <t xml:space="preserve">B43MXL-10</t>
  </si>
  <si>
    <t xml:space="preserve">B43MXL (34MXL)</t>
  </si>
  <si>
    <t xml:space="preserve">B43MXL-3</t>
  </si>
  <si>
    <t xml:space="preserve">B43MXL-4</t>
  </si>
  <si>
    <t xml:space="preserve">B43MXL-5</t>
  </si>
  <si>
    <t xml:space="preserve">B43MXL-6</t>
  </si>
  <si>
    <t xml:space="preserve">B43MXL-7</t>
  </si>
  <si>
    <t xml:space="preserve">B43MXL-9</t>
  </si>
  <si>
    <t xml:space="preserve">B45MXL-10</t>
  </si>
  <si>
    <t xml:space="preserve">B45MXL (36MXL)</t>
  </si>
  <si>
    <t xml:space="preserve">B45MXL-3</t>
  </si>
  <si>
    <t xml:space="preserve">B45MXL-4</t>
  </si>
  <si>
    <t xml:space="preserve">B45MXL-5</t>
  </si>
  <si>
    <t xml:space="preserve">B45MXL-6</t>
  </si>
  <si>
    <t xml:space="preserve">B45MXL-7</t>
  </si>
  <si>
    <t xml:space="preserve">B45MXL-9</t>
  </si>
  <si>
    <t xml:space="preserve">B478MXL-10</t>
  </si>
  <si>
    <t xml:space="preserve">B478MXL</t>
  </si>
  <si>
    <t xml:space="preserve">B478MXL-3</t>
  </si>
  <si>
    <t xml:space="preserve">B478MXL-4</t>
  </si>
  <si>
    <t xml:space="preserve">B478MXL-5</t>
  </si>
  <si>
    <t xml:space="preserve">B478MXL-6</t>
  </si>
  <si>
    <t xml:space="preserve">B478MXL-7</t>
  </si>
  <si>
    <t xml:space="preserve">B478MXL-9</t>
  </si>
  <si>
    <t xml:space="preserve">B505MXL-10</t>
  </si>
  <si>
    <t xml:space="preserve">B505MXL (404MXL)</t>
  </si>
  <si>
    <t xml:space="preserve">B505MXL-3</t>
  </si>
  <si>
    <t xml:space="preserve">B505MXL-4</t>
  </si>
  <si>
    <t xml:space="preserve">B505MXL-5</t>
  </si>
  <si>
    <t xml:space="preserve">B505MXL-6</t>
  </si>
  <si>
    <t xml:space="preserve">B505MXL-7</t>
  </si>
  <si>
    <t xml:space="preserve">B505MXL-9</t>
  </si>
  <si>
    <t xml:space="preserve">B53MXL-10</t>
  </si>
  <si>
    <t xml:space="preserve">B53MXL (42MXL)</t>
  </si>
  <si>
    <t xml:space="preserve">B53MXL-3</t>
  </si>
  <si>
    <t xml:space="preserve">B53MXL-4</t>
  </si>
  <si>
    <t xml:space="preserve">B53MXL-5</t>
  </si>
  <si>
    <t xml:space="preserve">B53MXL-6</t>
  </si>
  <si>
    <t xml:space="preserve">B53MXL-7</t>
  </si>
  <si>
    <t xml:space="preserve">B53MXL-9</t>
  </si>
  <si>
    <t xml:space="preserve">B56MXL-10</t>
  </si>
  <si>
    <t xml:space="preserve">B56MXL (45MXL)</t>
  </si>
  <si>
    <t xml:space="preserve">B56MXL-3</t>
  </si>
  <si>
    <t xml:space="preserve">B56MXL-4</t>
  </si>
  <si>
    <t xml:space="preserve">B56MXL-5</t>
  </si>
  <si>
    <t xml:space="preserve">B56MXL-6</t>
  </si>
  <si>
    <t xml:space="preserve">B56MXL-7</t>
  </si>
  <si>
    <t xml:space="preserve">B56MXL-9</t>
  </si>
  <si>
    <t xml:space="preserve">B60MXL-10</t>
  </si>
  <si>
    <t xml:space="preserve">B60MXL (48MXL)</t>
  </si>
  <si>
    <t xml:space="preserve">B60MXL-3</t>
  </si>
  <si>
    <t xml:space="preserve">B60MXL-4</t>
  </si>
  <si>
    <t xml:space="preserve">B60MXL-5</t>
  </si>
  <si>
    <t xml:space="preserve">B60MXL-6</t>
  </si>
  <si>
    <t xml:space="preserve">B60MXL-7</t>
  </si>
  <si>
    <t xml:space="preserve">B60MXL-9</t>
  </si>
  <si>
    <t xml:space="preserve">B63MXL-10</t>
  </si>
  <si>
    <t xml:space="preserve">B63MXL (50MXL)</t>
  </si>
  <si>
    <t xml:space="preserve">B63MXL-3</t>
  </si>
  <si>
    <t xml:space="preserve">B63MXL-4</t>
  </si>
  <si>
    <t xml:space="preserve">B63MXL-5</t>
  </si>
  <si>
    <t xml:space="preserve">B63MXL-6</t>
  </si>
  <si>
    <t xml:space="preserve">B63MXL-7</t>
  </si>
  <si>
    <t xml:space="preserve">B63MXL-9</t>
  </si>
  <si>
    <t xml:space="preserve">B66MXL-10</t>
  </si>
  <si>
    <t xml:space="preserve">B66MXL (53MXL)</t>
  </si>
  <si>
    <t xml:space="preserve">B66MXL-3</t>
  </si>
  <si>
    <t xml:space="preserve">B66MXL-4</t>
  </si>
  <si>
    <t xml:space="preserve">B66MXL-5</t>
  </si>
  <si>
    <t xml:space="preserve">B66MXL-6</t>
  </si>
  <si>
    <t xml:space="preserve">B66MXL-7</t>
  </si>
  <si>
    <t xml:space="preserve">B66MXL-9</t>
  </si>
  <si>
    <t xml:space="preserve">B68MXL-10</t>
  </si>
  <si>
    <t xml:space="preserve">B68MXL (54MXL)</t>
  </si>
  <si>
    <t xml:space="preserve">B68MXL-3</t>
  </si>
  <si>
    <t xml:space="preserve">B68MXL-4</t>
  </si>
  <si>
    <t xml:space="preserve">B68MXL-5</t>
  </si>
  <si>
    <t xml:space="preserve">B68MXL-6</t>
  </si>
  <si>
    <t xml:space="preserve">B68MXL-7</t>
  </si>
  <si>
    <t xml:space="preserve">B68MXL-9</t>
  </si>
  <si>
    <t xml:space="preserve">B73MXL-10</t>
  </si>
  <si>
    <t xml:space="preserve">B73MXL</t>
  </si>
  <si>
    <t xml:space="preserve">B73MXL-3</t>
  </si>
  <si>
    <t xml:space="preserve">B73MXL-4</t>
  </si>
  <si>
    <t xml:space="preserve">B73MXL-5</t>
  </si>
  <si>
    <t xml:space="preserve">B73MXL-6</t>
  </si>
  <si>
    <t xml:space="preserve">B73MXL-7</t>
  </si>
  <si>
    <t xml:space="preserve">B73MXL-9</t>
  </si>
  <si>
    <t xml:space="preserve">B75MXL-10</t>
  </si>
  <si>
    <t xml:space="preserve">B75MXL (60MXL)</t>
  </si>
  <si>
    <t xml:space="preserve">B75MXL-3</t>
  </si>
  <si>
    <t xml:space="preserve">B75MXL-4</t>
  </si>
  <si>
    <t xml:space="preserve">B75MXL-5</t>
  </si>
  <si>
    <t xml:space="preserve">B75MXL-6</t>
  </si>
  <si>
    <t xml:space="preserve">B75MXL-7</t>
  </si>
  <si>
    <t xml:space="preserve">B75MXL-9</t>
  </si>
  <si>
    <t xml:space="preserve">B76MXL-10</t>
  </si>
  <si>
    <t xml:space="preserve">B76MXL (61MXL)</t>
  </si>
  <si>
    <t xml:space="preserve">B76MXL-3</t>
  </si>
  <si>
    <t xml:space="preserve">B76MXL-4</t>
  </si>
  <si>
    <t xml:space="preserve">B76MXL-5</t>
  </si>
  <si>
    <t xml:space="preserve">B76MXL-6</t>
  </si>
  <si>
    <t xml:space="preserve">B76MXL-7</t>
  </si>
  <si>
    <t xml:space="preserve">B76MXL-9</t>
  </si>
  <si>
    <t xml:space="preserve">B77MXL-10</t>
  </si>
  <si>
    <t xml:space="preserve">B77MXL</t>
  </si>
  <si>
    <t xml:space="preserve">B77MXL-3</t>
  </si>
  <si>
    <t xml:space="preserve">B77MXL-4</t>
  </si>
  <si>
    <t xml:space="preserve">B77MXL-5</t>
  </si>
  <si>
    <t xml:space="preserve">B77MXL-6</t>
  </si>
  <si>
    <t xml:space="preserve">B77MXL-7</t>
  </si>
  <si>
    <t xml:space="preserve">B77MXL-9</t>
  </si>
  <si>
    <t xml:space="preserve">B78MXL-10</t>
  </si>
  <si>
    <t xml:space="preserve">B78MXL (62MXL)</t>
  </si>
  <si>
    <t xml:space="preserve">B78MXL-3</t>
  </si>
  <si>
    <t xml:space="preserve">B78MXL-4</t>
  </si>
  <si>
    <t xml:space="preserve">B78MXL-5</t>
  </si>
  <si>
    <t xml:space="preserve">B78MXL-6</t>
  </si>
  <si>
    <t xml:space="preserve">B78MXL-7</t>
  </si>
  <si>
    <t xml:space="preserve">B78MXL-9</t>
  </si>
  <si>
    <t xml:space="preserve">B80MXL-10</t>
  </si>
  <si>
    <t xml:space="preserve">B80MXL (64MXL)</t>
  </si>
  <si>
    <t xml:space="preserve">B80MXL-3</t>
  </si>
  <si>
    <t xml:space="preserve">B80MXL-4</t>
  </si>
  <si>
    <t xml:space="preserve">B80MXL-5</t>
  </si>
  <si>
    <t xml:space="preserve">B80MXL-6</t>
  </si>
  <si>
    <t xml:space="preserve">B80MXL-7</t>
  </si>
  <si>
    <t xml:space="preserve">B80MXL-9</t>
  </si>
  <si>
    <t xml:space="preserve">B84MXL-10</t>
  </si>
  <si>
    <t xml:space="preserve">B84MXL (67MXL)</t>
  </si>
  <si>
    <t xml:space="preserve">B84MXL-3</t>
  </si>
  <si>
    <t xml:space="preserve">B84MXL-4</t>
  </si>
  <si>
    <t xml:space="preserve">B84MXL-5</t>
  </si>
  <si>
    <t xml:space="preserve">B84MXL-6</t>
  </si>
  <si>
    <t xml:space="preserve">B84MXL-7</t>
  </si>
  <si>
    <t xml:space="preserve">B84MXL-9</t>
  </si>
  <si>
    <t xml:space="preserve">B85MXL-10</t>
  </si>
  <si>
    <t xml:space="preserve">B85MXL (68MXL)</t>
  </si>
  <si>
    <t xml:space="preserve">B85MXL-3</t>
  </si>
  <si>
    <t xml:space="preserve">B85MXL-4</t>
  </si>
  <si>
    <t xml:space="preserve">B85MXL-5</t>
  </si>
  <si>
    <t xml:space="preserve">B85MXL-6</t>
  </si>
  <si>
    <t xml:space="preserve">B85MXL-7</t>
  </si>
  <si>
    <t xml:space="preserve">B85MXL-9</t>
  </si>
  <si>
    <t xml:space="preserve">B87MXL-10</t>
  </si>
  <si>
    <t xml:space="preserve">B87MXL (69MXL)</t>
  </si>
  <si>
    <t xml:space="preserve">B87MXL-3</t>
  </si>
  <si>
    <t xml:space="preserve">B87MXL-4</t>
  </si>
  <si>
    <t xml:space="preserve">B87MXL-5</t>
  </si>
  <si>
    <t xml:space="preserve">B87MXL-6</t>
  </si>
  <si>
    <t xml:space="preserve">B87MXL-7</t>
  </si>
  <si>
    <t xml:space="preserve">B87MXL-9</t>
  </si>
  <si>
    <t xml:space="preserve">B90MXL-10</t>
  </si>
  <si>
    <t xml:space="preserve">B90MXL (72MXL)</t>
  </si>
  <si>
    <t xml:space="preserve">B90MXL-3</t>
  </si>
  <si>
    <t xml:space="preserve">B90MXL-4</t>
  </si>
  <si>
    <t xml:space="preserve">B90MXL-5</t>
  </si>
  <si>
    <t xml:space="preserve">B90MXL-6</t>
  </si>
  <si>
    <t xml:space="preserve">B90MXL-7</t>
  </si>
  <si>
    <t xml:space="preserve">B90MXL-9</t>
  </si>
  <si>
    <t xml:space="preserve">B92MXL-10</t>
  </si>
  <si>
    <t xml:space="preserve">B92MXL (74MXL)</t>
  </si>
  <si>
    <t xml:space="preserve">B92MXL-3</t>
  </si>
  <si>
    <t xml:space="preserve">B92MXL-4</t>
  </si>
  <si>
    <t xml:space="preserve">B92MXL-5</t>
  </si>
  <si>
    <t xml:space="preserve">B92MXL-6</t>
  </si>
  <si>
    <t xml:space="preserve">B92MXL-7</t>
  </si>
  <si>
    <t xml:space="preserve">B92MXL-9</t>
  </si>
  <si>
    <t xml:space="preserve">B95MXL-10</t>
  </si>
  <si>
    <t xml:space="preserve">B95MXL (76MXL)</t>
  </si>
  <si>
    <t xml:space="preserve">B95MXL-3</t>
  </si>
  <si>
    <t xml:space="preserve">B95MXL-4</t>
  </si>
  <si>
    <t xml:space="preserve">B95MXL-5</t>
  </si>
  <si>
    <t xml:space="preserve">B95MXL-6</t>
  </si>
  <si>
    <t xml:space="preserve">B95MXL-7</t>
  </si>
  <si>
    <t xml:space="preserve">B95MXL-9</t>
  </si>
  <si>
    <t xml:space="preserve">B98MXL-10</t>
  </si>
  <si>
    <t xml:space="preserve">B98MXL (78MXL)</t>
  </si>
  <si>
    <t xml:space="preserve">B98MXL-3</t>
  </si>
  <si>
    <t xml:space="preserve">B98MXL-4</t>
  </si>
  <si>
    <t xml:space="preserve">B98MXL-5</t>
  </si>
  <si>
    <t xml:space="preserve">B98MXL-6</t>
  </si>
  <si>
    <t xml:space="preserve">B98MXL-7</t>
  </si>
  <si>
    <t xml:space="preserve">B98MXL-9</t>
  </si>
  <si>
    <t xml:space="preserve">PU Steel-Cord S3M Joined Timing Belt  [S2M / S3M / S5M Belts]</t>
  </si>
  <si>
    <t xml:space="preserve">TB-012</t>
  </si>
  <si>
    <t xml:space="preserve">PU Steel-Cord S3M Seamless Timing Belt  [S2M / S3M / S5M Belts]</t>
  </si>
  <si>
    <t xml:space="preserve">TB-002</t>
  </si>
  <si>
    <t xml:space="preserve">S2M / S3M / S5M Closed-Loop Timing Belt  [S2M / S3M / S5M Belts]</t>
  </si>
  <si>
    <t xml:space="preserve">Model</t>
  </si>
  <si>
    <t xml:space="preserve">S3M</t>
  </si>
  <si>
    <t xml:space="preserve">PU-S3M-408-15</t>
  </si>
  <si>
    <t xml:space="preserve">PU-S5M-275-15</t>
  </si>
  <si>
    <t xml:space="preserve">S5M</t>
  </si>
  <si>
    <t xml:space="preserve">S2M-1016-10</t>
  </si>
  <si>
    <t xml:space="preserve">1016</t>
  </si>
  <si>
    <t xml:space="preserve">S2M</t>
  </si>
  <si>
    <t xml:space="preserve">S2M-1016-15</t>
  </si>
  <si>
    <t xml:space="preserve">S2M-1016-6</t>
  </si>
  <si>
    <t xml:space="preserve">S2M-1224-10</t>
  </si>
  <si>
    <t xml:space="preserve">1224</t>
  </si>
  <si>
    <t xml:space="preserve">S2M-1224-15</t>
  </si>
  <si>
    <t xml:space="preserve">S2M-1224-6</t>
  </si>
  <si>
    <t xml:space="preserve">S2M-152-10</t>
  </si>
  <si>
    <t xml:space="preserve">S2M-152-15</t>
  </si>
  <si>
    <t xml:space="preserve">S2M-152-6</t>
  </si>
  <si>
    <t xml:space="preserve">S2M-210-10</t>
  </si>
  <si>
    <t xml:space="preserve">S2M-210-15</t>
  </si>
  <si>
    <t xml:space="preserve">S2M-210-6</t>
  </si>
  <si>
    <t xml:space="preserve">S2M-250-10</t>
  </si>
  <si>
    <t xml:space="preserve">S2M-250-15</t>
  </si>
  <si>
    <t xml:space="preserve">S2M-250-6</t>
  </si>
  <si>
    <t xml:space="preserve">S2M-302-10</t>
  </si>
  <si>
    <t xml:space="preserve">S2M-302-15</t>
  </si>
  <si>
    <t xml:space="preserve">S2M-302-6</t>
  </si>
  <si>
    <t xml:space="preserve">S2M-330-10</t>
  </si>
  <si>
    <t xml:space="preserve">S2M-330-15</t>
  </si>
  <si>
    <t xml:space="preserve">S2M-330-6</t>
  </si>
  <si>
    <t xml:space="preserve">S2M-386-10</t>
  </si>
  <si>
    <t xml:space="preserve">S2M-386-15</t>
  </si>
  <si>
    <t xml:space="preserve">S2M-386-6</t>
  </si>
  <si>
    <t xml:space="preserve">S2M-418-10</t>
  </si>
  <si>
    <t xml:space="preserve">418</t>
  </si>
  <si>
    <t xml:space="preserve">S2M-418-15</t>
  </si>
  <si>
    <t xml:space="preserve">S2M-418-6</t>
  </si>
  <si>
    <t xml:space="preserve">S2M-460-10</t>
  </si>
  <si>
    <t xml:space="preserve">S2M-460-15</t>
  </si>
  <si>
    <t xml:space="preserve">S2M-460-6</t>
  </si>
  <si>
    <t xml:space="preserve">S2M-518-10</t>
  </si>
  <si>
    <t xml:space="preserve">S2M-518-15</t>
  </si>
  <si>
    <t xml:space="preserve">S2M-518-6</t>
  </si>
  <si>
    <t xml:space="preserve">S2M-800-10</t>
  </si>
  <si>
    <t xml:space="preserve">S2M-800-15</t>
  </si>
  <si>
    <t xml:space="preserve">S2M-800-6</t>
  </si>
  <si>
    <t xml:space="preserve">S2M-912-10</t>
  </si>
  <si>
    <t xml:space="preserve">912</t>
  </si>
  <si>
    <t xml:space="preserve">S2M-912-15</t>
  </si>
  <si>
    <t xml:space="preserve">S2M-912-6</t>
  </si>
  <si>
    <t xml:space="preserve">S3M-102-10</t>
  </si>
  <si>
    <t xml:space="preserve">S3M-102-6</t>
  </si>
  <si>
    <t xml:space="preserve">S3M-1356-10</t>
  </si>
  <si>
    <t xml:space="preserve">1356</t>
  </si>
  <si>
    <t xml:space="preserve">S3M-1356-6</t>
  </si>
  <si>
    <t xml:space="preserve">S3M-1737-10</t>
  </si>
  <si>
    <t xml:space="preserve">1737</t>
  </si>
  <si>
    <t xml:space="preserve">S3M-1737-6</t>
  </si>
  <si>
    <t xml:space="preserve">S3M-228-10</t>
  </si>
  <si>
    <t xml:space="preserve">S3M-228-6</t>
  </si>
  <si>
    <t xml:space="preserve">S3M-2730-10</t>
  </si>
  <si>
    <t xml:space="preserve">2730</t>
  </si>
  <si>
    <t xml:space="preserve">S3M-2730-6</t>
  </si>
  <si>
    <t xml:space="preserve">S3M-2733-10</t>
  </si>
  <si>
    <t xml:space="preserve">2733</t>
  </si>
  <si>
    <t xml:space="preserve">S3M-2733-6</t>
  </si>
  <si>
    <t xml:space="preserve">S3M-291-10</t>
  </si>
  <si>
    <t xml:space="preserve">S3M-291-6</t>
  </si>
  <si>
    <t xml:space="preserve">S3M-381-10</t>
  </si>
  <si>
    <t xml:space="preserve">S3M-381-6</t>
  </si>
  <si>
    <t xml:space="preserve">S5M-630-15</t>
  </si>
  <si>
    <t xml:space="preserve">S2M / S5M Open Timing Belt (per meter)  [S2M / S3M / S5M Belts]</t>
  </si>
  <si>
    <t xml:space="preserve">S2M-10-R-1M</t>
  </si>
  <si>
    <t xml:space="preserve">S2M-5-R-1M</t>
  </si>
  <si>
    <t xml:space="preserve">S2M-6-R-1M</t>
  </si>
  <si>
    <t xml:space="preserve">S5M-25-WPU-1M</t>
  </si>
  <si>
    <t xml:space="preserve">T2.5 / T5 / T10 / AT5 Closed-Loop Timing Belt  [T2.5 / T5 / T10 / AT5 Belts]</t>
  </si>
  <si>
    <t xml:space="preserve">AT5</t>
  </si>
  <si>
    <t xml:space="preserve">PU-AT5-300-16</t>
  </si>
  <si>
    <t xml:space="preserve">PU-AT5-700-10</t>
  </si>
  <si>
    <t xml:space="preserve">PU-T5-1000-10</t>
  </si>
  <si>
    <t xml:space="preserve">T5</t>
  </si>
  <si>
    <t xml:space="preserve">PU-T5-295-10</t>
  </si>
  <si>
    <t xml:space="preserve">T10-1390-10</t>
  </si>
  <si>
    <t xml:space="preserve">T10</t>
  </si>
  <si>
    <t xml:space="preserve">T10-1390-32</t>
  </si>
  <si>
    <t xml:space="preserve">32</t>
  </si>
  <si>
    <t xml:space="preserve">T10-1390-40</t>
  </si>
  <si>
    <t xml:space="preserve">40</t>
  </si>
  <si>
    <t xml:space="preserve">T10-630-10</t>
  </si>
  <si>
    <t xml:space="preserve">T10-630-32</t>
  </si>
  <si>
    <t xml:space="preserve">T10-630-40</t>
  </si>
  <si>
    <t xml:space="preserve">T10-840-10</t>
  </si>
  <si>
    <t xml:space="preserve">T10-840-32</t>
  </si>
  <si>
    <t xml:space="preserve">T10-840-40</t>
  </si>
  <si>
    <t xml:space="preserve">T10-920-10</t>
  </si>
  <si>
    <t xml:space="preserve">T10-920-32</t>
  </si>
  <si>
    <t xml:space="preserve">T10-920-40</t>
  </si>
  <si>
    <t xml:space="preserve">T10-980-10</t>
  </si>
  <si>
    <t xml:space="preserve">980</t>
  </si>
  <si>
    <t xml:space="preserve">T10-980-32</t>
  </si>
  <si>
    <t xml:space="preserve">T10-980-40</t>
  </si>
  <si>
    <t xml:space="preserve">T2.5-160-10</t>
  </si>
  <si>
    <t xml:space="preserve">T2.5</t>
  </si>
  <si>
    <t xml:space="preserve">T2.5-160-4</t>
  </si>
  <si>
    <t xml:space="preserve">T2.5-160-6</t>
  </si>
  <si>
    <t xml:space="preserve">T2.5-160-9</t>
  </si>
  <si>
    <t xml:space="preserve">T2.5-170-10</t>
  </si>
  <si>
    <t xml:space="preserve">T2.5-170-4</t>
  </si>
  <si>
    <t xml:space="preserve">T2.5-170-6</t>
  </si>
  <si>
    <t xml:space="preserve">T2.5-170-9</t>
  </si>
  <si>
    <t xml:space="preserve">T2.5-200-10</t>
  </si>
  <si>
    <t xml:space="preserve">T2.5-200-4</t>
  </si>
  <si>
    <t xml:space="preserve">T2.5-200-6</t>
  </si>
  <si>
    <t xml:space="preserve">T2.5-200-9</t>
  </si>
  <si>
    <t xml:space="preserve">T2.5-242-10</t>
  </si>
  <si>
    <t xml:space="preserve">T2.5-242-4</t>
  </si>
  <si>
    <t xml:space="preserve">T2.5-242-6</t>
  </si>
  <si>
    <t xml:space="preserve">T2.5-242-9</t>
  </si>
  <si>
    <t xml:space="preserve">T2.5-245-10</t>
  </si>
  <si>
    <t xml:space="preserve">245</t>
  </si>
  <si>
    <t xml:space="preserve">T2.5-245-4</t>
  </si>
  <si>
    <t xml:space="preserve">T2.5-245-6</t>
  </si>
  <si>
    <t xml:space="preserve">T2.5-245-9</t>
  </si>
  <si>
    <t xml:space="preserve">T2.5-335-10</t>
  </si>
  <si>
    <t xml:space="preserve">T2.5-335-4</t>
  </si>
  <si>
    <t xml:space="preserve">T2.5-335-6</t>
  </si>
  <si>
    <t xml:space="preserve">T2.5-335-9</t>
  </si>
  <si>
    <t xml:space="preserve">T2.5-480-10</t>
  </si>
  <si>
    <t xml:space="preserve">T2.5-480-4</t>
  </si>
  <si>
    <t xml:space="preserve">T2.5-480-6</t>
  </si>
  <si>
    <t xml:space="preserve">T2.5-480-9</t>
  </si>
  <si>
    <t xml:space="preserve">T2.5-780-10</t>
  </si>
  <si>
    <t xml:space="preserve">780</t>
  </si>
  <si>
    <t xml:space="preserve">T2.5-780-4</t>
  </si>
  <si>
    <t xml:space="preserve">T2.5-780-6</t>
  </si>
  <si>
    <t xml:space="preserve">T2.5-780-9</t>
  </si>
  <si>
    <t xml:space="preserve">T5-1000-10</t>
  </si>
  <si>
    <t xml:space="preserve">T5-1000-20</t>
  </si>
  <si>
    <t xml:space="preserve">T5-1200-20</t>
  </si>
  <si>
    <t xml:space="preserve">T5-1420-20</t>
  </si>
  <si>
    <t xml:space="preserve">1420</t>
  </si>
  <si>
    <t xml:space="preserve">T5-1740-20</t>
  </si>
  <si>
    <t xml:space="preserve">1740</t>
  </si>
  <si>
    <t xml:space="preserve">T5-1905-20</t>
  </si>
  <si>
    <t xml:space="preserve">T5-2000-20</t>
  </si>
  <si>
    <t xml:space="preserve">T5-250-20</t>
  </si>
  <si>
    <t xml:space="preserve">T5-295-10</t>
  </si>
  <si>
    <t xml:space="preserve">T5-300-20</t>
  </si>
  <si>
    <t xml:space="preserve">T5-350-20</t>
  </si>
  <si>
    <t xml:space="preserve">T5-400-20</t>
  </si>
  <si>
    <t xml:space="preserve">T5-630-10</t>
  </si>
  <si>
    <t xml:space="preserve">T5-750-20</t>
  </si>
  <si>
    <t xml:space="preserve">T5-900-20</t>
  </si>
  <si>
    <t xml:space="preserve">T2.5 / T5 Open Timing Belt (per meter)  [T2.5 / T5 / T10 / AT5 Belts]</t>
  </si>
  <si>
    <t xml:space="preserve">T2.5-4-R-1M</t>
  </si>
  <si>
    <t xml:space="preserve">T2.5-6-R-1M</t>
  </si>
  <si>
    <t xml:space="preserve">T5-10-R-1M</t>
  </si>
  <si>
    <t xml:space="preserve">T5-10-WPU-1M</t>
  </si>
  <si>
    <t xml:space="preserve">T5-15-WPU-1M</t>
  </si>
  <si>
    <t xml:space="preserve">T5-16-BPU-1M</t>
  </si>
  <si>
    <t xml:space="preserve">T5-16-WPU-1M</t>
  </si>
  <si>
    <t xml:space="preserve">T5-20-BPU-1M</t>
  </si>
  <si>
    <t xml:space="preserve">T5-20-R-1M</t>
  </si>
  <si>
    <t xml:space="preserve">T5-20-WPU-1M</t>
  </si>
  <si>
    <t xml:space="preserve">T5-6-BPU-1M</t>
  </si>
  <si>
    <t xml:space="preserve">T5-6-WPU-1M</t>
  </si>
  <si>
    <t xml:space="preserve">Unitta Rubber Closed-Loop Timing Belt  [Unitta / Gates]</t>
  </si>
  <si>
    <t xml:space="preserve">TB-018</t>
  </si>
  <si>
    <t xml:space="preserve">Gates Rubber Closed-Loop Timing Belt  [Unitta / Gates]</t>
  </si>
  <si>
    <t xml:space="preserve">Type</t>
  </si>
  <si>
    <t xml:space="preserve">Width (mm)</t>
  </si>
  <si>
    <t xml:space="preserve">376-2GT</t>
  </si>
  <si>
    <t xml:space="preserve">T</t>
  </si>
  <si>
    <t xml:space="preserve">TB-009-BK-C-376-2GT-KD6</t>
  </si>
  <si>
    <t xml:space="preserve">TB-009-BK-C-61.5-1.5GT-KD3</t>
  </si>
  <si>
    <t xml:space="preserve">61.5-1.5GT</t>
  </si>
  <si>
    <t xml:space="preserve">TB-009-ZSC-376-2GT-KD6</t>
  </si>
  <si>
    <t xml:space="preserve">None</t>
  </si>
  <si>
    <t xml:space="preserve">Brown teeth</t>
  </si>
  <si>
    <t xml:space="preserve">TB-009-ZSC-92-2GT-KD6</t>
  </si>
  <si>
    <t xml:space="preserve">92-2GT</t>
  </si>
  <si>
    <t xml:space="preserve">A-Section Rubber V-Belt  [V-Belts / Round Belts / O-Rings]</t>
  </si>
  <si>
    <t xml:space="preserve">A-28</t>
  </si>
  <si>
    <t xml:space="preserve">TB-016-A-28</t>
  </si>
  <si>
    <t xml:space="preserve">TB-016-A-30</t>
  </si>
  <si>
    <t xml:space="preserve">A-30</t>
  </si>
  <si>
    <t xml:space="preserve">NBR O-Ring  [V-Belts / Round Belts / O-Rings]</t>
  </si>
  <si>
    <t xml:space="preserve">TB-013</t>
  </si>
  <si>
    <t xml:space="preserve">PU Single-Sided Toothed V-Belt MB250, 6mm  [V-Belts / Round Belts / O-Rings]</t>
  </si>
  <si>
    <t xml:space="preserve">MB250</t>
  </si>
  <si>
    <t xml:space="preserve">TB-014-MB250</t>
  </si>
  <si>
    <t xml:space="preserve">TB-014-MD80</t>
  </si>
  <si>
    <t xml:space="preserve">MD80</t>
  </si>
  <si>
    <t xml:space="preserve">PU Round Belt, Open (per meter / full roll)  [V-Belts / Round Belts / O-Rings]</t>
  </si>
  <si>
    <t xml:space="preserve">Round belt is priced by length; the value in brackets is the length per piece. "Full roll X m" ships as one uncut roll.</t>
  </si>
  <si>
    <t xml:space="preserve">Finish</t>
  </si>
  <si>
    <t xml:space="preserve">Diameter (mm)</t>
  </si>
  <si>
    <t xml:space="preserve">Green</t>
  </si>
  <si>
    <t xml:space="preserve">2m</t>
  </si>
  <si>
    <t xml:space="preserve">Textured</t>
  </si>
  <si>
    <t xml:space="preserve">1.5</t>
  </si>
  <si>
    <t xml:space="preserve">PUR-1.5-RG-2M</t>
  </si>
  <si>
    <t xml:space="preserve">PUR-1.5-SRD-2M</t>
  </si>
  <si>
    <t xml:space="preserve">Red</t>
  </si>
  <si>
    <t xml:space="preserve">Smooth</t>
  </si>
  <si>
    <t xml:space="preserve">PUR-10-RG-1M</t>
  </si>
  <si>
    <t xml:space="preserve">PUR-10-RG-RL50</t>
  </si>
  <si>
    <t xml:space="preserve">PUR-10-RW-1M</t>
  </si>
  <si>
    <t xml:space="preserve">PUR-10-SRD-1M</t>
  </si>
  <si>
    <t xml:space="preserve">PUR-10-ST-1M</t>
  </si>
  <si>
    <t xml:space="preserve">Clear</t>
  </si>
  <si>
    <t xml:space="preserve">PUR-11-RG-1M</t>
  </si>
  <si>
    <t xml:space="preserve">PUR-12-RG-1M</t>
  </si>
  <si>
    <t xml:space="preserve">PUR-12-SRD-1M</t>
  </si>
  <si>
    <t xml:space="preserve">PUR-15-RG-1M</t>
  </si>
  <si>
    <t xml:space="preserve">PUR-15-SRD-1M</t>
  </si>
  <si>
    <t xml:space="preserve">PUR-15-SRD-RL30</t>
  </si>
  <si>
    <t xml:space="preserve">PUR-18-RG-1M</t>
  </si>
  <si>
    <t xml:space="preserve">PUR-18-SRD-1M</t>
  </si>
  <si>
    <t xml:space="preserve">PUR-18-SRD-RL30</t>
  </si>
  <si>
    <t xml:space="preserve">PUR-2-RG-2M</t>
  </si>
  <si>
    <t xml:space="preserve">PUR-2-SRD-2M</t>
  </si>
  <si>
    <t xml:space="preserve">PUR-2-ST-2M</t>
  </si>
  <si>
    <t xml:space="preserve">PUR-2.5-SRD-2M</t>
  </si>
  <si>
    <t xml:space="preserve">2.5</t>
  </si>
  <si>
    <t xml:space="preserve">PUR-2.5-ST-2M</t>
  </si>
  <si>
    <t xml:space="preserve">PUR-20-RG-1M</t>
  </si>
  <si>
    <t xml:space="preserve">PUR-20-RG-RL30</t>
  </si>
  <si>
    <t xml:space="preserve">PUR-20-SRD-1M</t>
  </si>
  <si>
    <t xml:space="preserve">PUR-20-SRD-RL30</t>
  </si>
  <si>
    <t xml:space="preserve">PUR-3-RG-2M</t>
  </si>
  <si>
    <t xml:space="preserve">PUR-3-RG-RL400</t>
  </si>
  <si>
    <t xml:space="preserve">full roll 400m</t>
  </si>
  <si>
    <t xml:space="preserve">PUR-3-RW-2M</t>
  </si>
  <si>
    <t xml:space="preserve">PUR-3-SRD-2M</t>
  </si>
  <si>
    <t xml:space="preserve">PUR-3-ST-2M</t>
  </si>
  <si>
    <t xml:space="preserve">PUR-3.5-RG-2M</t>
  </si>
  <si>
    <t xml:space="preserve">3.5</t>
  </si>
  <si>
    <t xml:space="preserve">PUR-3.5-RW-2M</t>
  </si>
  <si>
    <t xml:space="preserve">PUR-3.5-RW-RL200</t>
  </si>
  <si>
    <t xml:space="preserve">full roll 200m</t>
  </si>
  <si>
    <t xml:space="preserve">PUR-3.5-SRD-2M</t>
  </si>
  <si>
    <t xml:space="preserve">PUR-3.5-ST-2M</t>
  </si>
  <si>
    <t xml:space="preserve">PUR-4-RG-2M</t>
  </si>
  <si>
    <t xml:space="preserve">PUR-4-RW-1M</t>
  </si>
  <si>
    <t xml:space="preserve">PUR-4-SRD-2M</t>
  </si>
  <si>
    <t xml:space="preserve">PUR-4-ST-1M</t>
  </si>
  <si>
    <t xml:space="preserve">PUR-4.2-RG-1M</t>
  </si>
  <si>
    <t xml:space="preserve">4.2</t>
  </si>
  <si>
    <t xml:space="preserve">PUR-4.2-RG-RL200</t>
  </si>
  <si>
    <t xml:space="preserve">PUR-4.5-RG-1M</t>
  </si>
  <si>
    <t xml:space="preserve">4.5</t>
  </si>
  <si>
    <t xml:space="preserve">PUR-4.5-SRD-1M</t>
  </si>
  <si>
    <t xml:space="preserve">PUR-5-RG-1M</t>
  </si>
  <si>
    <t xml:space="preserve">PUR-5-RG-RL200</t>
  </si>
  <si>
    <t xml:space="preserve">PUR-5-RW-1M</t>
  </si>
  <si>
    <t xml:space="preserve">PUR-5-SRD-1M</t>
  </si>
  <si>
    <t xml:space="preserve">PUR-5-ST-1M</t>
  </si>
  <si>
    <t xml:space="preserve">PUR-5.5-RG-1M</t>
  </si>
  <si>
    <t xml:space="preserve">5.5</t>
  </si>
  <si>
    <t xml:space="preserve">PUR-5.5-SRD-1M</t>
  </si>
  <si>
    <t xml:space="preserve">PUR-6-RG-1M</t>
  </si>
  <si>
    <t xml:space="preserve">PUR-6-RG-RL100</t>
  </si>
  <si>
    <t xml:space="preserve">PUR-6-RW-1M</t>
  </si>
  <si>
    <t xml:space="preserve">PUR-6-SRD-1M</t>
  </si>
  <si>
    <t xml:space="preserve">PUR-6-ST-1M</t>
  </si>
  <si>
    <t xml:space="preserve">PUR-7-RG-1M</t>
  </si>
  <si>
    <t xml:space="preserve">PUR-7-SRD-1M</t>
  </si>
  <si>
    <t xml:space="preserve">PUR-8-RG-1M</t>
  </si>
  <si>
    <t xml:space="preserve">PUR-8-RG-RL100</t>
  </si>
  <si>
    <t xml:space="preserve">PUR-8-RW-1M</t>
  </si>
  <si>
    <t xml:space="preserve">PUR-8-SRD-1M</t>
  </si>
  <si>
    <t xml:space="preserve">PUR-8-ST-1M</t>
  </si>
  <si>
    <t xml:space="preserve">PUR-9-RG-1M</t>
  </si>
  <si>
    <t xml:space="preserve">PUR-9-SRD-1M</t>
  </si>
  <si>
    <t xml:space="preserve">PUR-9-SRD-RL100</t>
  </si>
  <si>
    <t xml:space="preserve">PU Round Belt, Closed Loop (Joined / Seamless)  [V-Belts / Round Belts / O-Rings]</t>
  </si>
  <si>
    <t xml:space="preserve">Process</t>
  </si>
  <si>
    <t xml:space="preserve">Joined</t>
  </si>
  <si>
    <t xml:space="preserve">PUR-JB-10-290-RG</t>
  </si>
  <si>
    <t xml:space="preserve">PUR-JB-10-310-RG</t>
  </si>
  <si>
    <t xml:space="preserve">PUR-JB-4-440-RG</t>
  </si>
  <si>
    <t xml:space="preserve">PUR-JB-4-575-RG</t>
  </si>
  <si>
    <t xml:space="preserve">575</t>
  </si>
  <si>
    <t xml:space="preserve">PUR-JB-4-660-RG</t>
  </si>
  <si>
    <t xml:space="preserve">PUR-JB-4-880-RG</t>
  </si>
  <si>
    <t xml:space="preserve">PUR-JB-4-890-RG</t>
  </si>
  <si>
    <t xml:space="preserve">890</t>
  </si>
  <si>
    <t xml:space="preserve">PUR-JB-5-255-RG</t>
  </si>
  <si>
    <t xml:space="preserve">PUR-JB-5-290-ST</t>
  </si>
  <si>
    <t xml:space="preserve">PUR-JB-5-330-RG</t>
  </si>
  <si>
    <t xml:space="preserve">PUR-JB-5-370-RG</t>
  </si>
  <si>
    <t xml:space="preserve">PUR-JB-5-375-RG</t>
  </si>
  <si>
    <t xml:space="preserve">PUR-JB-5-720-RG</t>
  </si>
  <si>
    <t xml:space="preserve">PUR-JB-6-330-RG</t>
  </si>
  <si>
    <t xml:space="preserve">PUR-JB-6-400-SRD</t>
  </si>
  <si>
    <t xml:space="preserve">PUR-SL-4-215-RG</t>
  </si>
  <si>
    <t xml:space="preserve">Seamless</t>
  </si>
  <si>
    <t xml:space="preserve">PUR-SL-4-225-RG</t>
  </si>
  <si>
    <t xml:space="preserve">PUR-SL-4-300-RG</t>
  </si>
  <si>
    <t xml:space="preserve">PUR-SL-4-330-RG</t>
  </si>
  <si>
    <t xml:space="preserve">PUR-SL-4-390-RG</t>
  </si>
  <si>
    <t xml:space="preserve">PUR-SL-4-404-RG</t>
  </si>
  <si>
    <t xml:space="preserve">PUR-SL-4-440-RG</t>
  </si>
  <si>
    <t xml:space="preserve">PUR-SL-4-460-RG</t>
  </si>
  <si>
    <t xml:space="preserve">PUR-SL-4-480-RG</t>
  </si>
  <si>
    <t xml:space="preserve">PUR-SL-4-505-RG</t>
  </si>
  <si>
    <t xml:space="preserve">PUR-SL-4-575-RG</t>
  </si>
  <si>
    <t xml:space="preserve">PUR-SL-4-660-RG</t>
  </si>
  <si>
    <t xml:space="preserve">PUR-SL-4-880-RG</t>
  </si>
  <si>
    <t xml:space="preserve">PUR-SL-4-890-SG</t>
  </si>
  <si>
    <t xml:space="preserve">PUR-SL-5-165-RG</t>
  </si>
  <si>
    <t xml:space="preserve">PUR-SL-5-200-RG</t>
  </si>
  <si>
    <t xml:space="preserve">PUR-SL-5-240-RG</t>
  </si>
  <si>
    <t xml:space="preserve">PUR-SL-5-256-RG</t>
  </si>
  <si>
    <t xml:space="preserve">PUR-SL-5-275-RG</t>
  </si>
  <si>
    <t xml:space="preserve">PUR-SL-5-300-RG</t>
  </si>
  <si>
    <t xml:space="preserve">PUR-SL-5-306-RG</t>
  </si>
  <si>
    <t xml:space="preserve">PUR-SL-5-310-RG</t>
  </si>
  <si>
    <t xml:space="preserve">PUR-SL-5-330-RG</t>
  </si>
  <si>
    <t xml:space="preserve">PUR-SL-5-360-RG</t>
  </si>
  <si>
    <t xml:space="preserve">PUR-SL-5-380-RG</t>
  </si>
  <si>
    <t xml:space="preserve">PUR-SL-5-400-RG</t>
  </si>
  <si>
    <t xml:space="preserve">PUR-SL-5-420-RG</t>
  </si>
  <si>
    <t xml:space="preserve">PUR-SL-5-440-RG</t>
  </si>
  <si>
    <t xml:space="preserve">PUR-SL-5-460-RG</t>
  </si>
  <si>
    <t xml:space="preserve">PUR-SL-5-470-RG</t>
  </si>
  <si>
    <t xml:space="preserve">PUR-SL-5-485-RG</t>
  </si>
  <si>
    <t xml:space="preserve">PUR-SL-5-500-RG</t>
  </si>
  <si>
    <t xml:space="preserve">PUR-SL-5-520-RG</t>
  </si>
  <si>
    <t xml:space="preserve">PUR-SL-5-600-RG</t>
  </si>
  <si>
    <t xml:space="preserve">PUR-SL-5-720-RG</t>
  </si>
  <si>
    <t xml:space="preserve">PUR-SL-5-772-SG</t>
  </si>
  <si>
    <t xml:space="preserve">772</t>
  </si>
  <si>
    <t xml:space="preserve">PUR-SL-5-802-SG</t>
  </si>
  <si>
    <t xml:space="preserve">802</t>
  </si>
  <si>
    <t xml:space="preserve">PUR-SL-5-860-SG</t>
  </si>
  <si>
    <t xml:space="preserve">PUR-SL-6-175-RG</t>
  </si>
  <si>
    <t xml:space="preserve">175</t>
  </si>
  <si>
    <t xml:space="preserve">PUR-SL-6-275-RG</t>
  </si>
  <si>
    <t xml:space="preserve">PUR-SL-6-300-RG</t>
  </si>
  <si>
    <t xml:space="preserve">PUR-SL-6-330-RG</t>
  </si>
  <si>
    <t xml:space="preserve">PUR-SL-6-400-RG</t>
  </si>
  <si>
    <t xml:space="preserve">PUR-SL-6-420-RG</t>
  </si>
  <si>
    <t xml:space="preserve">PUR-SL-6-440-RG</t>
  </si>
  <si>
    <t xml:space="preserve">PUR-SL-6-460-RG</t>
  </si>
  <si>
    <t xml:space="preserve">PUR-SL-6-470-RG</t>
  </si>
  <si>
    <t xml:space="preserve">PUR-SL-6-490-RG</t>
  </si>
  <si>
    <t xml:space="preserve">PUR-SL-6-500-RG</t>
  </si>
  <si>
    <t xml:space="preserve">PUR-SL-6-520-RG</t>
  </si>
  <si>
    <t xml:space="preserve">PUR-SL-6-565-RG</t>
  </si>
  <si>
    <t xml:space="preserve">565</t>
  </si>
  <si>
    <t xml:space="preserve">PUR-SL-6-600-RG</t>
  </si>
  <si>
    <t xml:space="preserve">PUR-SL-6-626-RG</t>
  </si>
  <si>
    <t xml:space="preserve">626</t>
  </si>
  <si>
    <t xml:space="preserve">PUR-SL-6-640-RG</t>
  </si>
  <si>
    <t xml:space="preserve">PUR-SL-6-665-RG</t>
  </si>
  <si>
    <t xml:space="preserve">665</t>
  </si>
  <si>
    <t xml:space="preserve">PUR-SL-6-730-RG</t>
  </si>
  <si>
    <t xml:space="preserve">PUR-SL-6-860-RG</t>
  </si>
  <si>
    <t xml:space="preserve">PUR-SL-7-270-RG</t>
  </si>
  <si>
    <t xml:space="preserve">PUR-SL-8-615-RG</t>
  </si>
  <si>
    <t xml:space="preserve">615</t>
  </si>
  <si>
    <t xml:space="preserve">Red PU V-Belt, Joinable  [V-Belts / Round Belts / O-Rings]</t>
  </si>
  <si>
    <t xml:space="preserve">Size</t>
  </si>
  <si>
    <t xml:space="preserve">V-belt Z-type (1m)</t>
  </si>
  <si>
    <t xml:space="preserve">10x6</t>
  </si>
  <si>
    <t xml:space="preserve">TB-011-10x6-SJD-ZX-1M</t>
  </si>
  <si>
    <t xml:space="preserve">TB-011-10x6-SJD-ZX-ZP50M</t>
  </si>
  <si>
    <t xml:space="preserve">V-belt Z-type (full roll 50m)</t>
  </si>
  <si>
    <t xml:space="preserve">TB-011-32x19-SJD-DX-1M</t>
  </si>
  <si>
    <t xml:space="preserve">V-belt D-type (1m)</t>
  </si>
  <si>
    <t xml:space="preserve">32x19</t>
  </si>
  <si>
    <t xml:space="preserve">TB-011-32x19-SJD-DX-ZP30M</t>
  </si>
  <si>
    <t xml:space="preserve">V-belt D-type (full roll 30m)</t>
  </si>
  <si>
    <t xml:space="preserve">TB-011-FX-31M</t>
  </si>
  <si>
    <t xml:space="preserve">Square 3mm (1m)</t>
  </si>
  <si>
    <t xml:space="preserve">Openbuilds Serrated Belt Clamp  [Belt Clamps]</t>
  </si>
  <si>
    <t xml:space="preserve">width 6mm 100 pcs</t>
  </si>
  <si>
    <t xml:space="preserve">TB-004-DK-6-100G</t>
  </si>
  <si>
    <t xml:space="preserve">TB-004-DK-6-10G</t>
  </si>
  <si>
    <t xml:space="preserve">width 6mm 10 pcs</t>
  </si>
  <si>
    <t xml:space="preserve">TB-004-DK-6-10G-2</t>
  </si>
  <si>
    <t xml:space="preserve">width 6mm 10 pcs (2)</t>
  </si>
  <si>
    <t xml:space="preserve">Timing Belt Clamp Plate  [Belt Clamps]</t>
  </si>
  <si>
    <t xml:space="preserve">Nylon pitch 2mm W 9mm</t>
  </si>
  <si>
    <t xml:space="preserve">TB-003-BK-NL-CJ2-KD9</t>
  </si>
  <si>
    <t xml:space="preserve">TB-003-BK-NL-CJ3-KD10</t>
  </si>
  <si>
    <t xml:space="preserve">Nylon pitch 3mm W 10mm</t>
  </si>
  <si>
    <t xml:space="preserve">TB-003-SV-AL-CJ2-KD9</t>
  </si>
  <si>
    <t xml:space="preserve">Silver</t>
  </si>
  <si>
    <t xml:space="preserve">Aluminum</t>
  </si>
  <si>
    <t xml:space="preserve">pitch 2mm W 9mm</t>
  </si>
  <si>
    <t xml:space="preserve">TB-003-SV-AL-CJ3-KD10</t>
  </si>
  <si>
    <t xml:space="preserve">pitch 3mm W 10mm</t>
  </si>
  <si>
    <t xml:space="preserve">TB-003-SV-AL-CJ5-KD15</t>
  </si>
  <si>
    <t xml:space="preserve">pitch 5mm W 15mm</t>
  </si>
  <si>
    <t xml:space="preserve">TB-003-SV-AL-CJ5-KD25</t>
  </si>
  <si>
    <t xml:space="preserve">pitch 5mm W 25mm</t>
  </si>
  <si>
    <t xml:space="preserve">Open Belt Clamp (2GT / 3M)  [Belt Clamps]</t>
  </si>
  <si>
    <t xml:space="preserve">Outer Dimensions</t>
  </si>
  <si>
    <t xml:space="preserve">3M</t>
  </si>
  <si>
    <t xml:space="preserve">W 10</t>
  </si>
  <si>
    <t xml:space="preserve">TB-006-K10-BK-3M-MM</t>
  </si>
  <si>
    <t xml:space="preserve">TB-006-K10-SV-3M-MM</t>
  </si>
  <si>
    <t xml:space="preserve">TB-006-K15-BK-3M-MM</t>
  </si>
  <si>
    <t xml:space="preserve">W 15</t>
  </si>
  <si>
    <t xml:space="preserve">TB-006-K6-BK-2GT-MM-BZHDY</t>
  </si>
  <si>
    <t xml:space="preserve">2GT mm standard thickness</t>
  </si>
  <si>
    <t xml:space="preserve">W 6</t>
  </si>
  <si>
    <t xml:space="preserve">TB-006-K6-SV-2GT-MM-BZHDY</t>
  </si>
  <si>
    <t xml:space="preserve">Open Belt Toothed Clamp Plate (Trapezoidal / Curvilinear)  [Belt Clamps]</t>
  </si>
  <si>
    <t xml:space="preserve">Single toothed clamp 2GT timing belt</t>
  </si>
  <si>
    <t xml:space="preserve">TB-015-K10-DKCB-2GTTBD-D-MM</t>
  </si>
  <si>
    <t xml:space="preserve">TB-015-K10-DKCB-2M2GTTBD-D-MM</t>
  </si>
  <si>
    <t xml:space="preserve">Single toothed clamp 2M/2GT timing belt</t>
  </si>
  <si>
    <t xml:space="preserve">TB-015-K10-DKCB-3MTBDD-MM</t>
  </si>
  <si>
    <t xml:space="preserve">Single toothed clamp 3M timing belt</t>
  </si>
  <si>
    <t xml:space="preserve">TB-015-K10-DKCB-5MTBD-D-MM</t>
  </si>
  <si>
    <t xml:space="preserve">Single toothed clamp 5M timing belt</t>
  </si>
  <si>
    <t xml:space="preserve">TB-015-K10-DKCB-MxLTBD-D-MM</t>
  </si>
  <si>
    <t xml:space="preserve">Single toothed clamp MXL timing belt</t>
  </si>
  <si>
    <t xml:space="preserve">TB-015-K10-DKCB-S2MTBD-D-MM</t>
  </si>
  <si>
    <t xml:space="preserve">Single toothed clamp S2M timing belt</t>
  </si>
  <si>
    <t xml:space="preserve">TB-015-K10-DKCB-S3M-D-MM-BYLSLM</t>
  </si>
  <si>
    <t xml:space="preserve">Single toothed clamp S3M belt mm no screws/nuts</t>
  </si>
  <si>
    <t xml:space="preserve">TB-015-K10-DKCB-S3M-D-MM-PLSLM</t>
  </si>
  <si>
    <t xml:space="preserve">Single toothed clamp S3M belt mm with screws/nuts</t>
  </si>
  <si>
    <t xml:space="preserve">TB-015-K10-DKCB-S5MTBD-D-MM</t>
  </si>
  <si>
    <t xml:space="preserve">Single toothed clamp S5M timing belt</t>
  </si>
  <si>
    <t xml:space="preserve">TB-015-K10-DKCB-T5TBD-D-MM</t>
  </si>
  <si>
    <t xml:space="preserve">Single toothed clamp T5 timing belt</t>
  </si>
  <si>
    <t xml:space="preserve">TB-015-K12.7-DKCB-MxLTBD-D-MM</t>
  </si>
  <si>
    <t xml:space="preserve">W 12.7</t>
  </si>
  <si>
    <t xml:space="preserve">TB-015-K15-DKCB-2M2GT-D-MM-BYLSLM</t>
  </si>
  <si>
    <t xml:space="preserve">Single toothed clamp 2M/2GT belt mm no screws/nuts</t>
  </si>
  <si>
    <t xml:space="preserve">TB-015-K15-DKCB-2M2GT-D-MM-PLSLM</t>
  </si>
  <si>
    <t xml:space="preserve">Single toothed clamp 2M/2GT belt mm with screws/nuts</t>
  </si>
  <si>
    <t xml:space="preserve">TB-015-K15-DKCB-3M-D-MM-BYLSLM</t>
  </si>
  <si>
    <t xml:space="preserve">Single toothed clamp 3M belt mm no screws/nuts</t>
  </si>
  <si>
    <t xml:space="preserve">TB-015-K15-DKCB-3M-D-MM-PLSLM</t>
  </si>
  <si>
    <t xml:space="preserve">Single toothed clamp 3M belt mm with screws/nuts</t>
  </si>
  <si>
    <t xml:space="preserve">TB-015-K15-DKCB-5MTBD-D-MM</t>
  </si>
  <si>
    <t xml:space="preserve">TB-015-K15-DKCB-8MTBD-D-MM</t>
  </si>
  <si>
    <t xml:space="preserve">Single toothed clamp 8M timing belt</t>
  </si>
  <si>
    <t xml:space="preserve">TB-015-K15-DKCB-S2MTBD-D-MM</t>
  </si>
  <si>
    <t xml:space="preserve">TB-015-K15-DKCB-S3MTBD-D-MM</t>
  </si>
  <si>
    <t xml:space="preserve">Single toothed clamp S3M timing belt</t>
  </si>
  <si>
    <t xml:space="preserve">TB-015-K15-DKCB-S5MTBD-D-MM</t>
  </si>
  <si>
    <t xml:space="preserve">TB-015-K15-DKCB-S8MTBD-D-MM</t>
  </si>
  <si>
    <t xml:space="preserve">Single toothed clamp S8M timing belt</t>
  </si>
  <si>
    <t xml:space="preserve">TB-015-K15-DKCB-T5TBD-D-MM</t>
  </si>
  <si>
    <t xml:space="preserve">TB-015-K20-DKCB-3MTBD-D-MM</t>
  </si>
  <si>
    <t xml:space="preserve">W 20</t>
  </si>
  <si>
    <t xml:space="preserve">TB-015-K20-DKCB-5M-D-MM-BYLSLM</t>
  </si>
  <si>
    <t xml:space="preserve">Single toothed clamp 5M belt mm no screws/nuts</t>
  </si>
  <si>
    <t xml:space="preserve">TB-015-K20-DKCB-5M-D-MM-PLSLM</t>
  </si>
  <si>
    <t xml:space="preserve">Single toothed clamp 5M belt mm with screws/nuts</t>
  </si>
  <si>
    <t xml:space="preserve">TB-015-K20-DKCB-8MTBD-D-MM</t>
  </si>
  <si>
    <t xml:space="preserve">TB-015-K20-DKCB-MxLTBD-D-MM</t>
  </si>
  <si>
    <t xml:space="preserve">TB-015-K20-DKCB-S3MTBD-D-MM</t>
  </si>
  <si>
    <t xml:space="preserve">TB-015-K20-DKCB-S5MTBD-D-MM</t>
  </si>
  <si>
    <t xml:space="preserve">TB-015-K20-DKCB-S8MTBD-D-MM</t>
  </si>
  <si>
    <t xml:space="preserve">TB-015-K20-DKCB-T5TBD-D-MM</t>
  </si>
  <si>
    <t xml:space="preserve">TB-015-K25-DKCB-3MTBD-D-MM</t>
  </si>
  <si>
    <t xml:space="preserve">W 25</t>
  </si>
  <si>
    <t xml:space="preserve">TB-015-K25-DKCB-5M-D-MM-BYLSLM</t>
  </si>
  <si>
    <t xml:space="preserve">TB-015-K25-DKCB-5M-D-MM-PLSLM</t>
  </si>
  <si>
    <t xml:space="preserve">TB-015-K25-DKCB-8MTBD-D-MM</t>
  </si>
  <si>
    <t xml:space="preserve">TB-015-K25-DKCB-S3MTBD-D-MM</t>
  </si>
  <si>
    <t xml:space="preserve">TB-015-K25-DKCB-S5MTBD-D-MM</t>
  </si>
  <si>
    <t xml:space="preserve">TB-015-K25-DKCB-S8MTBD-D-MM</t>
  </si>
  <si>
    <t xml:space="preserve">TB-015-K25-DKCB-T5TBD-D-MM</t>
  </si>
  <si>
    <t xml:space="preserve">TB-015-K30-DKCB-3MTBD-D-MM</t>
  </si>
  <si>
    <t xml:space="preserve">W 30</t>
  </si>
  <si>
    <t xml:space="preserve">TB-015-K30-DKCB-5MTBD-D-MM</t>
  </si>
  <si>
    <t xml:space="preserve">TB-015-K30-DKCB-S3MTBD-D-MM</t>
  </si>
  <si>
    <t xml:space="preserve">TB-015-K30-DKCB-S5MTBD-D-MM</t>
  </si>
  <si>
    <t xml:space="preserve">TB-015-K30-DKCB-S8MTBD-D-MM</t>
  </si>
  <si>
    <t xml:space="preserve">TB-015-K30-DKCB-T5TBD-D-MM</t>
  </si>
  <si>
    <t xml:space="preserve">TB-015-K35-DKCB-5MTBD-D-MM</t>
  </si>
  <si>
    <t xml:space="preserve">W 35</t>
  </si>
  <si>
    <t xml:space="preserve">TB-015-K35-DKCB-8MTBD-D-MM</t>
  </si>
  <si>
    <t xml:space="preserve">TB-015-K35-DKCB-S5MTBD-D-MM</t>
  </si>
  <si>
    <t xml:space="preserve">TB-015-K35-DKCB-S8MTBD-D-MM</t>
  </si>
  <si>
    <t xml:space="preserve">TB-015-K4-DKCB-S2MTBD-D-MM</t>
  </si>
  <si>
    <t xml:space="preserve">W 4</t>
  </si>
  <si>
    <t xml:space="preserve">TB-015-K40-DKCB-5MTBD-D-MM</t>
  </si>
  <si>
    <t xml:space="preserve">W 40</t>
  </si>
  <si>
    <t xml:space="preserve">TB-015-K40-DKCB-8MTBD-D-MM</t>
  </si>
  <si>
    <t xml:space="preserve">TB-015-K40-DKCB-S5MTBD-D-MM</t>
  </si>
  <si>
    <t xml:space="preserve">TB-015-K40-DKCB-S8MTBD-D-MM</t>
  </si>
  <si>
    <t xml:space="preserve">TB-015-K40-DKCB-T5TBD-D-MM</t>
  </si>
  <si>
    <t xml:space="preserve">TB-015-K45-DKCB-8MTBD-D-MM</t>
  </si>
  <si>
    <t xml:space="preserve">W 45</t>
  </si>
  <si>
    <t xml:space="preserve">TB-015-K45-DKCB-S8MTBD-D-MM</t>
  </si>
  <si>
    <t xml:space="preserve">TB-015-K50-DKCB-5MTBD-D-MM</t>
  </si>
  <si>
    <t xml:space="preserve">W 50</t>
  </si>
  <si>
    <t xml:space="preserve">TB-015-K50-DKCB-8MTBD-D-MM</t>
  </si>
  <si>
    <t xml:space="preserve">TB-015-K50-DKCB-S5MTBD-D-MM</t>
  </si>
  <si>
    <t xml:space="preserve">TB-015-K50-DKCB-S8MTBD-D-MM</t>
  </si>
  <si>
    <t xml:space="preserve">TB-015-K50-DKCB-T5TBD-D-MM</t>
  </si>
  <si>
    <t xml:space="preserve">TB-015-K6-DKCB-2GTTBD-D-MM</t>
  </si>
  <si>
    <t xml:space="preserve">TB-015-K6-DKCB-2M2GT-D-MM-BYLSLM</t>
  </si>
  <si>
    <t xml:space="preserve">TB-015-K6-DKCB-2M2GT-D-MM-PLSLM</t>
  </si>
  <si>
    <t xml:space="preserve">TB-015-K6-DKCB-3MTBD-D-MM</t>
  </si>
  <si>
    <t xml:space="preserve">TB-015-K6-DKCB-MxLTBD-D-MM</t>
  </si>
  <si>
    <t xml:space="preserve">TB-015-K6-DKCB-S2MTBD-D-MM</t>
  </si>
  <si>
    <t xml:space="preserve">TB-015-K6-DKCB-S3MTBD-D-MM</t>
  </si>
  <si>
    <t xml:space="preserve">TB-015-K6-DKCB-xLTBD-D-MM</t>
  </si>
  <si>
    <t xml:space="preserve">Single toothed clamp XL timing belt</t>
  </si>
  <si>
    <t xml:space="preserve">TB-015-K7.9-DKCB-xLTBD-D-MM</t>
  </si>
  <si>
    <t xml:space="preserve">W 7.9</t>
  </si>
  <si>
    <t xml:space="preserve">Open Timing Belt Clip  [Belt Clamps]</t>
  </si>
  <si>
    <t xml:space="preserve">TB-007</t>
  </si>
  <si>
    <t xml:space="preserve">2GT Belt + Pulley Set, 6mm  [Kits]</t>
  </si>
  <si>
    <t xml:space="preserve">Glossy 20T bore 8 +2GT-180 belt</t>
  </si>
  <si>
    <t xml:space="preserve">TB-005-BR-20CNJ8-+2GT-180-D</t>
  </si>
  <si>
    <t xml:space="preserve">TB-005-MT-16CNJ5-+48CNJ10-+2GT-260-D</t>
  </si>
  <si>
    <t xml:space="preserve">Matte 16T bore 5 +48T bore 10 +2GT-260 belt</t>
  </si>
  <si>
    <t xml:space="preserve">TB-005-MT-16CNJ5-+48CNJ5-+2GT-260-D</t>
  </si>
  <si>
    <t xml:space="preserve">Matte 16T bore 5 +48T bore 5 +2GT-260 belt</t>
  </si>
  <si>
    <t xml:space="preserve">TB-005-MT-20CNJ5-+60CNJ8-+2GT-200-D</t>
  </si>
  <si>
    <t xml:space="preserve">Matte 20T bore 5 +60T bore 8 +2GT-200 belt</t>
  </si>
  <si>
    <t xml:space="preserve">TB-005-MT-20CNJ8-+2GT-180-D</t>
  </si>
  <si>
    <t xml:space="preserve">Matte 20T bore 8 +2GT-180 belt</t>
  </si>
  <si>
    <t xml:space="preserve">TB-005-MT-20CNJ8-+80CNJ10-+2GT-250-D</t>
  </si>
  <si>
    <t xml:space="preserve">Matte 20T bore 8 +80T bore 10 +2GT-250 belt</t>
  </si>
  <si>
    <t xml:space="preserve">2GT Closed-Loop Belt Set, 6mm  [Kits]</t>
  </si>
  <si>
    <t xml:space="preserve">set A</t>
  </si>
  <si>
    <t xml:space="preserve">TB-001-KA</t>
  </si>
  <si>
    <t xml:space="preserve">TB-001-KB</t>
  </si>
  <si>
    <t xml:space="preserve">set B</t>
  </si>
  <si>
    <t xml:space="preserve">HTD3M Pulley + Belt Set, 16T  [Kits]</t>
  </si>
  <si>
    <t xml:space="preserve">TB-008</t>
  </si>
  <si>
    <t xml:space="preserve">2GT Timing Pulley (all types)  [2GT Pulleys]</t>
  </si>
  <si>
    <t xml:space="preserve">Teeth</t>
  </si>
  <si>
    <t xml:space="preserve">Bore (mm)</t>
  </si>
  <si>
    <t xml:space="preserve">No screw hole</t>
  </si>
  <si>
    <t xml:space="preserve">Matte silver</t>
  </si>
  <si>
    <t xml:space="preserve">AF-type</t>
  </si>
  <si>
    <t xml:space="preserve">2GT-AF14-3-6-MS-NS</t>
  </si>
  <si>
    <t xml:space="preserve">2GT-AF14-4-6-MS-NS</t>
  </si>
  <si>
    <t xml:space="preserve">2GT-AF14-6-6-MS-NS</t>
  </si>
  <si>
    <t xml:space="preserve">2GT-AF16-3-6-MS</t>
  </si>
  <si>
    <t xml:space="preserve">2GT-AF16-4-6-MS</t>
  </si>
  <si>
    <t xml:space="preserve">2GT-AF16-5-6-GS</t>
  </si>
  <si>
    <t xml:space="preserve">Glossy silver</t>
  </si>
  <si>
    <t xml:space="preserve">2GT-AF16-5-6-MS</t>
  </si>
  <si>
    <t xml:space="preserve">2GT-AF18-3.175-10-MS</t>
  </si>
  <si>
    <t xml:space="preserve">3.175</t>
  </si>
  <si>
    <t xml:space="preserve">2GT-AF20-3-6-GS</t>
  </si>
  <si>
    <t xml:space="preserve">2GT-AF20-4-10-OS</t>
  </si>
  <si>
    <t xml:space="preserve">Anodized silver</t>
  </si>
  <si>
    <t xml:space="preserve">2GT-AF20-4-6-OS</t>
  </si>
  <si>
    <t xml:space="preserve">2GT-AF20-5-10-MS</t>
  </si>
  <si>
    <t xml:space="preserve">2GT-AF20-5-6-BK</t>
  </si>
  <si>
    <t xml:space="preserve">2GT-AF20-5-6-GS</t>
  </si>
  <si>
    <t xml:space="preserve">2GT-AF20-5-6-OS</t>
  </si>
  <si>
    <t xml:space="preserve">2GT-AF20-6-10-OS</t>
  </si>
  <si>
    <t xml:space="preserve">2GT-AF20-6-6-MS</t>
  </si>
  <si>
    <t xml:space="preserve">2GT-AF20-8-10-MS-NS</t>
  </si>
  <si>
    <t xml:space="preserve">2GT-AF20-8-6-MS-NS</t>
  </si>
  <si>
    <t xml:space="preserve">2GT-AF24-4-10-MS</t>
  </si>
  <si>
    <t xml:space="preserve">24</t>
  </si>
  <si>
    <t xml:space="preserve">2GT-AF30-12-30-OS</t>
  </si>
  <si>
    <t xml:space="preserve">2GT-AF30-4-6-MS</t>
  </si>
  <si>
    <t xml:space="preserve">2GT-AF30-8-10-MS</t>
  </si>
  <si>
    <t xml:space="preserve">2GT-AF30-8-30-OS</t>
  </si>
  <si>
    <t xml:space="preserve">2GT-AF30-8-6-MS</t>
  </si>
  <si>
    <t xml:space="preserve">2GT-AF36-10-10-OS</t>
  </si>
  <si>
    <t xml:space="preserve">36</t>
  </si>
  <si>
    <t xml:space="preserve">2GT-AF36-10-6-MS</t>
  </si>
  <si>
    <t xml:space="preserve">2GT-AF36-6-4-NO</t>
  </si>
  <si>
    <t xml:space="preserve">Unanodized</t>
  </si>
  <si>
    <t xml:space="preserve">2GT-AF36-8-30-MS-NS</t>
  </si>
  <si>
    <t xml:space="preserve">2GT-AF36-8-30-OS</t>
  </si>
  <si>
    <t xml:space="preserve">2GT-AF36-8-6-MS</t>
  </si>
  <si>
    <t xml:space="preserve">2GT-AF40-16-30-MS</t>
  </si>
  <si>
    <t xml:space="preserve">2GT-AF40-6-10-MS</t>
  </si>
  <si>
    <t xml:space="preserve">2GT-AF40-6.35-10-MS</t>
  </si>
  <si>
    <t xml:space="preserve">6.35</t>
  </si>
  <si>
    <t xml:space="preserve">2GT-AF48-10-10-MS</t>
  </si>
  <si>
    <t xml:space="preserve">48</t>
  </si>
  <si>
    <t xml:space="preserve">2GT-AF48-14-6-MS</t>
  </si>
  <si>
    <t xml:space="preserve">2GT-AF48-8-10-MS</t>
  </si>
  <si>
    <t xml:space="preserve">2GT-AF48-8-6-OS</t>
  </si>
  <si>
    <t xml:space="preserve">2GT-AF50-10-10-MS</t>
  </si>
  <si>
    <t xml:space="preserve">2GT-AF50-6-6-MS</t>
  </si>
  <si>
    <t xml:space="preserve">2GT-AF50-8-6-MS</t>
  </si>
  <si>
    <t xml:space="preserve">2GT-AF60-10-10-MS-M5</t>
  </si>
  <si>
    <t xml:space="preserve">Threaded hole M5</t>
  </si>
  <si>
    <t xml:space="preserve">2GT-AF60-10-6-MS-M5</t>
  </si>
  <si>
    <t xml:space="preserve">2GT-AF60-12-10-MS</t>
  </si>
  <si>
    <t xml:space="preserve">2GT-AF60-12-10-MS-M5</t>
  </si>
  <si>
    <t xml:space="preserve">2GT-AF60-5-6-MS-M5</t>
  </si>
  <si>
    <t xml:space="preserve">2GT-AF60-8-10-MS-M5</t>
  </si>
  <si>
    <t xml:space="preserve">2GT-AF60-8-4-MS-M5</t>
  </si>
  <si>
    <t xml:space="preserve">2GT-BF100-12-10-MS</t>
  </si>
  <si>
    <t xml:space="preserve">BF-type</t>
  </si>
  <si>
    <t xml:space="preserve">2GT-BF100-25-6-MS</t>
  </si>
  <si>
    <t xml:space="preserve">2GT-BF100-8-10-MS</t>
  </si>
  <si>
    <t xml:space="preserve">2GT-BF100-8-6-MS</t>
  </si>
  <si>
    <t xml:space="preserve">2GT-BF120-12-6-MS</t>
  </si>
  <si>
    <t xml:space="preserve">2GT-BF120-25-6-MS</t>
  </si>
  <si>
    <t xml:space="preserve">2GT-BF120-5-6-MS</t>
  </si>
  <si>
    <t xml:space="preserve">2GT-BF120-6-6-MS</t>
  </si>
  <si>
    <t xml:space="preserve">2GT-BF120-6.35-6-MS</t>
  </si>
  <si>
    <t xml:space="preserve">2GT-BF28-6.35-10-OS</t>
  </si>
  <si>
    <t xml:space="preserve">28</t>
  </si>
  <si>
    <t xml:space="preserve">2GT-BF28-6.35-6-OS</t>
  </si>
  <si>
    <t xml:space="preserve">2GT-BF28-8-10-OS</t>
  </si>
  <si>
    <t xml:space="preserve">2GT-BF30-4-6-MS</t>
  </si>
  <si>
    <t xml:space="preserve">2GT-BF30-5-10-NO</t>
  </si>
  <si>
    <t xml:space="preserve">2GT-BF30-5-15-OS</t>
  </si>
  <si>
    <t xml:space="preserve">2GT-BF30-5-6-GS</t>
  </si>
  <si>
    <t xml:space="preserve">2GT-BF30-5-6-OS</t>
  </si>
  <si>
    <t xml:space="preserve">2GT-BF30-6-10-NO</t>
  </si>
  <si>
    <t xml:space="preserve">2GT-BF30-6-6-OS</t>
  </si>
  <si>
    <t xml:space="preserve">2GT-BF30-6.35-10-NO</t>
  </si>
  <si>
    <t xml:space="preserve">2GT-BF30-6.35-15-OS</t>
  </si>
  <si>
    <t xml:space="preserve">2GT-BF30-6.35-6-GS</t>
  </si>
  <si>
    <t xml:space="preserve">2GT-BF30-6.35-6-NO</t>
  </si>
  <si>
    <t xml:space="preserve">2GT-BF30-8-10-GS</t>
  </si>
  <si>
    <t xml:space="preserve">2GT-BF30-8-10-MS</t>
  </si>
  <si>
    <t xml:space="preserve">2GT-BF30-8-15-OS</t>
  </si>
  <si>
    <t xml:space="preserve">2GT-BF30-8-6-GS</t>
  </si>
  <si>
    <t xml:space="preserve">2GT-BF30-8-6-NO</t>
  </si>
  <si>
    <t xml:space="preserve">2GT-BF30-8-6-OS-KW3x3</t>
  </si>
  <si>
    <t xml:space="preserve">keyway 3x3</t>
  </si>
  <si>
    <t xml:space="preserve">2GT-BF32-10-10-NO</t>
  </si>
  <si>
    <t xml:space="preserve">2GT-BF32-10-6-NO</t>
  </si>
  <si>
    <t xml:space="preserve">2GT-BF32-12-10-MS</t>
  </si>
  <si>
    <t xml:space="preserve">2GT-BF32-12-6-MS</t>
  </si>
  <si>
    <t xml:space="preserve">2GT-BF32-5-10-NO</t>
  </si>
  <si>
    <t xml:space="preserve">2GT-BF32-5-6-OS</t>
  </si>
  <si>
    <t xml:space="preserve">2GT-BF32-6-10-NO</t>
  </si>
  <si>
    <t xml:space="preserve">2GT-BF32-6-6-NO</t>
  </si>
  <si>
    <t xml:space="preserve">2GT-BF32-6-6-OS-D</t>
  </si>
  <si>
    <t xml:space="preserve">D holes</t>
  </si>
  <si>
    <t xml:space="preserve">2GT-BF32-6.35-10-OS</t>
  </si>
  <si>
    <t xml:space="preserve">2GT-BF32-6.35-6-NO</t>
  </si>
  <si>
    <t xml:space="preserve">2GT-BF32-8-10-OS</t>
  </si>
  <si>
    <t xml:space="preserve">2GT-BF32-8-6-OS</t>
  </si>
  <si>
    <t xml:space="preserve">2GT-BF32-8-9-NO</t>
  </si>
  <si>
    <t xml:space="preserve">2GT-BF34-4-10-MS</t>
  </si>
  <si>
    <t xml:space="preserve">34</t>
  </si>
  <si>
    <t xml:space="preserve">2GT-BF36-10-10-NO</t>
  </si>
  <si>
    <t xml:space="preserve">2GT-BF36-10-15-OS</t>
  </si>
  <si>
    <t xml:space="preserve">2GT-BF36-10-6-GS</t>
  </si>
  <si>
    <t xml:space="preserve">2GT-BF36-10-6-NO</t>
  </si>
  <si>
    <t xml:space="preserve">2GT-BF36-10-9-NO</t>
  </si>
  <si>
    <t xml:space="preserve">2GT-BF36-12-10-NO</t>
  </si>
  <si>
    <t xml:space="preserve">2GT-BF36-12-15-NO</t>
  </si>
  <si>
    <t xml:space="preserve">2GT-BF36-12-6-NO</t>
  </si>
  <si>
    <t xml:space="preserve">2GT-BF36-12.7-6-NO</t>
  </si>
  <si>
    <t xml:space="preserve">12.7</t>
  </si>
  <si>
    <t xml:space="preserve">2GT-BF36-5-10-NO</t>
  </si>
  <si>
    <t xml:space="preserve">2GT-BF36-5-6-GS</t>
  </si>
  <si>
    <t xml:space="preserve">2GT-BF36-5-6-MS</t>
  </si>
  <si>
    <t xml:space="preserve">2GT-BF36-5-9-NO</t>
  </si>
  <si>
    <t xml:space="preserve">2GT-BF36-6-10-NO</t>
  </si>
  <si>
    <t xml:space="preserve">2GT-BF36-6-6-MS</t>
  </si>
  <si>
    <t xml:space="preserve">2GT-BF36-6-9-NO</t>
  </si>
  <si>
    <t xml:space="preserve">2GT-BF36-6.35-10-NO</t>
  </si>
  <si>
    <t xml:space="preserve">2GT-BF36-6.35-6-NO</t>
  </si>
  <si>
    <t xml:space="preserve">2GT-BF36-6.35-9-NO</t>
  </si>
  <si>
    <t xml:space="preserve">2GT-BF36-8-10-NO</t>
  </si>
  <si>
    <t xml:space="preserve">2GT-BF36-8-15-OS</t>
  </si>
  <si>
    <t xml:space="preserve">2GT-BF36-8-6-GS</t>
  </si>
  <si>
    <t xml:space="preserve">2GT-BF36-8-6-OS</t>
  </si>
  <si>
    <t xml:space="preserve">2GT-BF36-8-9-NO</t>
  </si>
  <si>
    <t xml:space="preserve">2GT-BF40-10-10-MS</t>
  </si>
  <si>
    <t xml:space="preserve">2GT-BF40-10-15-OS</t>
  </si>
  <si>
    <t xml:space="preserve">2GT-BF40-10-6-NO</t>
  </si>
  <si>
    <t xml:space="preserve">2GT-BF40-10-9-NO</t>
  </si>
  <si>
    <t xml:space="preserve">2GT-BF40-12-10-GS</t>
  </si>
  <si>
    <t xml:space="preserve">2GT-BF40-12-10-OS</t>
  </si>
  <si>
    <t xml:space="preserve">2GT-BF40-12-15-OS</t>
  </si>
  <si>
    <t xml:space="preserve">2GT-BF40-12-6-GS</t>
  </si>
  <si>
    <t xml:space="preserve">2GT-BF40-12-6-NO</t>
  </si>
  <si>
    <t xml:space="preserve">2GT-BF40-12-9-NO</t>
  </si>
  <si>
    <t xml:space="preserve">2GT-BF40-14-10-NO</t>
  </si>
  <si>
    <t xml:space="preserve">2GT-BF40-5-10-GS</t>
  </si>
  <si>
    <t xml:space="preserve">2GT-BF40-5-10-OS</t>
  </si>
  <si>
    <t xml:space="preserve">2GT-BF40-5-15-NO</t>
  </si>
  <si>
    <t xml:space="preserve">2GT-BF40-5-6-GS</t>
  </si>
  <si>
    <t xml:space="preserve">2GT-BF40-5-6-MS</t>
  </si>
  <si>
    <t xml:space="preserve">2GT-BF40-5-9-NO</t>
  </si>
  <si>
    <t xml:space="preserve">2GT-BF40-6-10-NO</t>
  </si>
  <si>
    <t xml:space="preserve">2GT-BF40-6-6-NO</t>
  </si>
  <si>
    <t xml:space="preserve">2GT-BF40-6-9-NO</t>
  </si>
  <si>
    <t xml:space="preserve">2GT-BF40-6-9-OS-D</t>
  </si>
  <si>
    <t xml:space="preserve">2GT-BF40-6.35-10-NO</t>
  </si>
  <si>
    <t xml:space="preserve">2GT-BF40-6.35-15-NO</t>
  </si>
  <si>
    <t xml:space="preserve">2GT-BF40-6.35-6-GS</t>
  </si>
  <si>
    <t xml:space="preserve">2GT-BF40-6.35-6-OS</t>
  </si>
  <si>
    <t xml:space="preserve">2GT-BF40-6.35-9-NO</t>
  </si>
  <si>
    <t xml:space="preserve">2GT-BF40-8-10-OS</t>
  </si>
  <si>
    <t xml:space="preserve">2GT-BF40-8-15-OS</t>
  </si>
  <si>
    <t xml:space="preserve">2GT-BF40-8-6-GS</t>
  </si>
  <si>
    <t xml:space="preserve">2GT-BF40-8-6-MS</t>
  </si>
  <si>
    <t xml:space="preserve">2GT-BF40-8-6-OB</t>
  </si>
  <si>
    <t xml:space="preserve">Anodized black</t>
  </si>
  <si>
    <t xml:space="preserve">2GT-BF40-8-9-NO</t>
  </si>
  <si>
    <t xml:space="preserve">2GT-BF48-10-10-NO</t>
  </si>
  <si>
    <t xml:space="preserve">2GT-BF48-10-15-OS</t>
  </si>
  <si>
    <t xml:space="preserve">2GT-BF48-10-6-NO</t>
  </si>
  <si>
    <t xml:space="preserve">2GT-BF48-12-10-NO</t>
  </si>
  <si>
    <t xml:space="preserve">2GT-BF48-12-15-NO</t>
  </si>
  <si>
    <t xml:space="preserve">2GT-BF48-12-6-MS</t>
  </si>
  <si>
    <t xml:space="preserve">2GT-BF48-12.7-6-NO</t>
  </si>
  <si>
    <t xml:space="preserve">2GT-BF48-14-6-MS</t>
  </si>
  <si>
    <t xml:space="preserve">2GT-BF48-5-10-NO</t>
  </si>
  <si>
    <t xml:space="preserve">2GT-BF48-5-6-OS</t>
  </si>
  <si>
    <t xml:space="preserve">2GT-BF48-6-10-MS</t>
  </si>
  <si>
    <t xml:space="preserve">2GT-BF48-6-6-MS</t>
  </si>
  <si>
    <t xml:space="preserve">2GT-BF48-6.35-10-NO</t>
  </si>
  <si>
    <t xml:space="preserve">2GT-BF48-6.35-6-NO</t>
  </si>
  <si>
    <t xml:space="preserve">2GT-BF48-8-10-OS</t>
  </si>
  <si>
    <t xml:space="preserve">2GT-BF48-8-15-OS</t>
  </si>
  <si>
    <t xml:space="preserve">2GT-BF48-8-6-GS</t>
  </si>
  <si>
    <t xml:space="preserve">2GT-BF48-8-6-NO</t>
  </si>
  <si>
    <t xml:space="preserve">2GT-BF50-5-6-NO</t>
  </si>
  <si>
    <t xml:space="preserve">2GT-BF50-6-6-NO</t>
  </si>
  <si>
    <t xml:space="preserve">2GT-BF50-6.35-6-NO</t>
  </si>
  <si>
    <t xml:space="preserve">2GT-BF50-8-6-NO</t>
  </si>
  <si>
    <t xml:space="preserve">2GT-BF60-10-10-MS</t>
  </si>
  <si>
    <t xml:space="preserve">2GT-BF60-10-15-NO</t>
  </si>
  <si>
    <t xml:space="preserve">2GT-BF60-10-6-MS</t>
  </si>
  <si>
    <t xml:space="preserve">2GT-BF60-12-10-NO</t>
  </si>
  <si>
    <t xml:space="preserve">2GT-BF60-12-15-NO</t>
  </si>
  <si>
    <t xml:space="preserve">2GT-BF60-12-6-NO</t>
  </si>
  <si>
    <t xml:space="preserve">2GT-BF60-14-10-NO</t>
  </si>
  <si>
    <t xml:space="preserve">2GT-BF60-14-15-NO</t>
  </si>
  <si>
    <t xml:space="preserve">2GT-BF60-14-6-MS</t>
  </si>
  <si>
    <t xml:space="preserve">2GT-BF60-15-10-OS</t>
  </si>
  <si>
    <t xml:space="preserve">2GT-BF60-15-15-NO</t>
  </si>
  <si>
    <t xml:space="preserve">2GT-BF60-15-6-MS</t>
  </si>
  <si>
    <t xml:space="preserve">2GT-BF60-5-10-NO</t>
  </si>
  <si>
    <t xml:space="preserve">2GT-BF60-5-15-OS</t>
  </si>
  <si>
    <t xml:space="preserve">2GT-BF60-5-6-GS</t>
  </si>
  <si>
    <t xml:space="preserve">2GT-BF60-5-6-MS</t>
  </si>
  <si>
    <t xml:space="preserve">2GT-BF60-5-9-GS</t>
  </si>
  <si>
    <t xml:space="preserve">2GT-BF60-6-10-NO</t>
  </si>
  <si>
    <t xml:space="preserve">2GT-BF60-6-15-OS</t>
  </si>
  <si>
    <t xml:space="preserve">2GT-BF60-6-6-OS</t>
  </si>
  <si>
    <t xml:space="preserve">2GT-BF60-6-9-NO</t>
  </si>
  <si>
    <t xml:space="preserve">2GT-BF60-6.35-10-NO</t>
  </si>
  <si>
    <t xml:space="preserve">2GT-BF60-6.35-15-OS</t>
  </si>
  <si>
    <t xml:space="preserve">2GT-BF60-6.35-6-NO</t>
  </si>
  <si>
    <t xml:space="preserve">2GT-BF60-8-10-OS</t>
  </si>
  <si>
    <t xml:space="preserve">2GT-BF60-8-15-NO</t>
  </si>
  <si>
    <t xml:space="preserve">2GT-BF60-8-6-GS</t>
  </si>
  <si>
    <t xml:space="preserve">2GT-BF60-8-6-MS</t>
  </si>
  <si>
    <t xml:space="preserve">2GT-BF60-8-9-NO</t>
  </si>
  <si>
    <t xml:space="preserve">2GT-BF80-10-10-OS</t>
  </si>
  <si>
    <t xml:space="preserve">2GT-BF80-10-15-OS</t>
  </si>
  <si>
    <t xml:space="preserve">2GT-BF80-10-6-GS</t>
  </si>
  <si>
    <t xml:space="preserve">2GT-BF80-10-6-NO</t>
  </si>
  <si>
    <t xml:space="preserve">2GT-BF80-12-10-OS</t>
  </si>
  <si>
    <t xml:space="preserve">2GT-BF80-12-15-OS</t>
  </si>
  <si>
    <t xml:space="preserve">2GT-BF80-12-6-GS</t>
  </si>
  <si>
    <t xml:space="preserve">2GT-BF80-12-6-NO</t>
  </si>
  <si>
    <t xml:space="preserve">2GT-BF80-12.7-10-MS</t>
  </si>
  <si>
    <t xml:space="preserve">2GT-BF80-12.7-6-NO</t>
  </si>
  <si>
    <t xml:space="preserve">2GT-BF80-14-10-NO</t>
  </si>
  <si>
    <t xml:space="preserve">2GT-BF80-14-10-OB</t>
  </si>
  <si>
    <t xml:space="preserve">2GT-BF80-14-6-MS</t>
  </si>
  <si>
    <t xml:space="preserve">2GT-BF80-15-10-MS</t>
  </si>
  <si>
    <t xml:space="preserve">2GT-BF80-15-15-MS</t>
  </si>
  <si>
    <t xml:space="preserve">2GT-BF80-15-6-MS</t>
  </si>
  <si>
    <t xml:space="preserve">2GT-BF80-16-10-OS</t>
  </si>
  <si>
    <t xml:space="preserve">2GT-BF80-16-15-MS</t>
  </si>
  <si>
    <t xml:space="preserve">2GT-BF80-16-6-NO</t>
  </si>
  <si>
    <t xml:space="preserve">2GT-BF80-17-10-MS</t>
  </si>
  <si>
    <t xml:space="preserve">2GT-BF80-17-6-MS</t>
  </si>
  <si>
    <t xml:space="preserve">2GT-BF80-18-10-MS</t>
  </si>
  <si>
    <t xml:space="preserve">2GT-BF80-18-15-MS</t>
  </si>
  <si>
    <t xml:space="preserve">2GT-BF80-18-6-MS</t>
  </si>
  <si>
    <t xml:space="preserve">2GT-BF80-19-10-MS</t>
  </si>
  <si>
    <t xml:space="preserve">19</t>
  </si>
  <si>
    <t xml:space="preserve">2GT-BF80-19-15-MS</t>
  </si>
  <si>
    <t xml:space="preserve">2GT-BF80-19-6-MS</t>
  </si>
  <si>
    <t xml:space="preserve">2GT-BF80-20-10-MS</t>
  </si>
  <si>
    <t xml:space="preserve">2GT-BF80-20-15-MS</t>
  </si>
  <si>
    <t xml:space="preserve">2GT-BF80-20-6-MS</t>
  </si>
  <si>
    <t xml:space="preserve">2GT-BF80-25-6-NO</t>
  </si>
  <si>
    <t xml:space="preserve">2GT-BF80-5-10-NO</t>
  </si>
  <si>
    <t xml:space="preserve">2GT-BF80-5-10-OB</t>
  </si>
  <si>
    <t xml:space="preserve">2GT-BF80-5-6-BK</t>
  </si>
  <si>
    <t xml:space="preserve">2GT-BF80-5-6-GS</t>
  </si>
  <si>
    <t xml:space="preserve">2GT-BF80-5-6-MS</t>
  </si>
  <si>
    <t xml:space="preserve">2GT-BF80-5-6-OB</t>
  </si>
  <si>
    <t xml:space="preserve">2GT-BF80-6-10-NO</t>
  </si>
  <si>
    <t xml:space="preserve">2GT-BF80-6-6-NO</t>
  </si>
  <si>
    <t xml:space="preserve">2GT-BF80-6.35-10-OS</t>
  </si>
  <si>
    <t xml:space="preserve">2GT-BF80-6.35-6-NO</t>
  </si>
  <si>
    <t xml:space="preserve">2GT-BF80-7-6-MS</t>
  </si>
  <si>
    <t xml:space="preserve">2GT-BF80-8-10-MS</t>
  </si>
  <si>
    <t xml:space="preserve">2GT-BF80-8-10-OB</t>
  </si>
  <si>
    <t xml:space="preserve">2GT-BF80-8-15-OS</t>
  </si>
  <si>
    <t xml:space="preserve">2GT-BF80-8-6-BK</t>
  </si>
  <si>
    <t xml:space="preserve">2GT-BF80-8-6-GS</t>
  </si>
  <si>
    <t xml:space="preserve">2GT-BF80-8-6-MS</t>
  </si>
  <si>
    <t xml:space="preserve">2GT-BF80-8-6-OB</t>
  </si>
  <si>
    <t xml:space="preserve">2GT-BF80-8-6-RD</t>
  </si>
  <si>
    <t xml:space="preserve">2GT-CF25-10-6-OS</t>
  </si>
  <si>
    <t xml:space="preserve">CF-type</t>
  </si>
  <si>
    <t xml:space="preserve">2GT-CF25-4-6-OS</t>
  </si>
  <si>
    <t xml:space="preserve">2GT-CF25-5-10-MS</t>
  </si>
  <si>
    <t xml:space="preserve">2GT-CF25-5-6-MS</t>
  </si>
  <si>
    <t xml:space="preserve">2GT-CF25-6-6-OS</t>
  </si>
  <si>
    <t xml:space="preserve">2GT-CF25-6.35-6-OS</t>
  </si>
  <si>
    <t xml:space="preserve">2GT-CF25-8-10-MS</t>
  </si>
  <si>
    <t xml:space="preserve">2GT-CF25-8-6-OS</t>
  </si>
  <si>
    <t xml:space="preserve">2GT-DH20-5-8-OS</t>
  </si>
  <si>
    <t xml:space="preserve">Double</t>
  </si>
  <si>
    <t xml:space="preserve">2GT-DH20-6-8-OS</t>
  </si>
  <si>
    <t xml:space="preserve">2GT-DH20-6.35-8-OS</t>
  </si>
  <si>
    <t xml:space="preserve">2GT-DH20-8-8-OS</t>
  </si>
  <si>
    <t xml:space="preserve">2GT-DH32-10-10-MS</t>
  </si>
  <si>
    <t xml:space="preserve">2GT-IDS16-3-6-BK</t>
  </si>
  <si>
    <t xml:space="preserve">Idler, smooth</t>
  </si>
  <si>
    <t xml:space="preserve">2GT-IDS16-3-6-BK-OD13</t>
  </si>
  <si>
    <t xml:space="preserve">OD 13</t>
  </si>
  <si>
    <t xml:space="preserve">2GT-IDS16-3-6-OS-OD13</t>
  </si>
  <si>
    <t xml:space="preserve">2GT-IDS16-4-6-BK-OD13</t>
  </si>
  <si>
    <t xml:space="preserve">2GT-IDS16-4-6-OS-OD13</t>
  </si>
  <si>
    <t xml:space="preserve">2GT-IDS20-3-10-BK-OD18</t>
  </si>
  <si>
    <t xml:space="preserve">OD 18</t>
  </si>
  <si>
    <t xml:space="preserve">2GT-IDS20-3-10-OS</t>
  </si>
  <si>
    <t xml:space="preserve">2GT-IDS20-3-10-OS-OD18</t>
  </si>
  <si>
    <t xml:space="preserve">2GT-IDS20-3-6-BK-OD18</t>
  </si>
  <si>
    <t xml:space="preserve">2GT-IDS20-3-6-OS</t>
  </si>
  <si>
    <t xml:space="preserve">2GT-IDS20-3-6-OS-OD18</t>
  </si>
  <si>
    <t xml:space="preserve">2GT-IDS20-4-10-OS</t>
  </si>
  <si>
    <t xml:space="preserve">2GT-IDS20-4-10-OS-OD18</t>
  </si>
  <si>
    <t xml:space="preserve">2GT-IDS20-4-6-BK-OD18</t>
  </si>
  <si>
    <t xml:space="preserve">2GT-IDS20-4-6-OS-OD18</t>
  </si>
  <si>
    <t xml:space="preserve">2GT-IDS20-5-10-BK-OD18</t>
  </si>
  <si>
    <t xml:space="preserve">2GT-IDS20-5-10-OS</t>
  </si>
  <si>
    <t xml:space="preserve">2GT-IDS20-5-10-OS-OD18</t>
  </si>
  <si>
    <t xml:space="preserve">2GT-IDS20-5-12-OS</t>
  </si>
  <si>
    <t xml:space="preserve">2GT-IDS20-5-12-OS-OD18</t>
  </si>
  <si>
    <t xml:space="preserve">2GT-IDS20-5-15-OS</t>
  </si>
  <si>
    <t xml:space="preserve">2GT-IDS20-5-15-OS-OD18</t>
  </si>
  <si>
    <t xml:space="preserve">2GT-IDS20-5-6-BK-OD18</t>
  </si>
  <si>
    <t xml:space="preserve">2GT-IDS20-5-6-MS</t>
  </si>
  <si>
    <t xml:space="preserve">2GT-IDS20-5-6-OS-OD15</t>
  </si>
  <si>
    <t xml:space="preserve">OD 15</t>
  </si>
  <si>
    <t xml:space="preserve">2GT-IDS20-5-6-OS-OD17</t>
  </si>
  <si>
    <t xml:space="preserve">OD 17</t>
  </si>
  <si>
    <t xml:space="preserve">2GT-IDS20-5-6-OS-OD18</t>
  </si>
  <si>
    <t xml:space="preserve">2GT-IDS20-5-9-BK-OD18</t>
  </si>
  <si>
    <t xml:space="preserve">2GT-IDS20-5-9-OS-OD18</t>
  </si>
  <si>
    <t xml:space="preserve">2GT-IDS20-6-10-BK-OD18</t>
  </si>
  <si>
    <t xml:space="preserve">2GT-IDS20-6-10-OS-OD18</t>
  </si>
  <si>
    <t xml:space="preserve">2GT-IDS20-6-15-OS-OD18</t>
  </si>
  <si>
    <t xml:space="preserve">2GT-IDS20-6-6-OS-OD18</t>
  </si>
  <si>
    <t xml:space="preserve">2GT-IDS23-8-10-BK</t>
  </si>
  <si>
    <t xml:space="preserve">23</t>
  </si>
  <si>
    <t xml:space="preserve">2GT-IDS23-8-10-OS</t>
  </si>
  <si>
    <t xml:space="preserve">2GT-IDS23-8-15-OS</t>
  </si>
  <si>
    <t xml:space="preserve">2GT-IDS23-8-6-OS</t>
  </si>
  <si>
    <t xml:space="preserve">2GT-IDS25-5-6-OS</t>
  </si>
  <si>
    <t xml:space="preserve">2GT-IDS30-10-30-MS</t>
  </si>
  <si>
    <t xml:space="preserve">2GT-IDS30-5-6-OS</t>
  </si>
  <si>
    <t xml:space="preserve">2GT-IDS30-8-6-MS</t>
  </si>
  <si>
    <t xml:space="preserve">2GT-IDS36-5-6-OS</t>
  </si>
  <si>
    <t xml:space="preserve">2GT-IDT16-3-6-BK-OD13</t>
  </si>
  <si>
    <t xml:space="preserve">Idler, toothed</t>
  </si>
  <si>
    <t xml:space="preserve">2GT-IDT16-3-6-OS-OD13</t>
  </si>
  <si>
    <t xml:space="preserve">2GT-IDT20-3-10-BK-OD18</t>
  </si>
  <si>
    <t xml:space="preserve">2GT-IDT20-3-10-OS</t>
  </si>
  <si>
    <t xml:space="preserve">2GT-IDT20-3-10-OS-OD18</t>
  </si>
  <si>
    <t xml:space="preserve">2GT-IDT20-3-6-BK-OD18</t>
  </si>
  <si>
    <t xml:space="preserve">2GT-IDT20-3-6-OS</t>
  </si>
  <si>
    <t xml:space="preserve">2GT-IDT20-3-6-OS-OD18</t>
  </si>
  <si>
    <t xml:space="preserve">2GT-IDT20-3-9-OS</t>
  </si>
  <si>
    <t xml:space="preserve">2GT-IDT20-4-10-OS</t>
  </si>
  <si>
    <t xml:space="preserve">2GT-IDT20-4-10-OS-OD18</t>
  </si>
  <si>
    <t xml:space="preserve">2GT-IDT20-4-6-BK-OD18</t>
  </si>
  <si>
    <t xml:space="preserve">2GT-IDT20-4-6-OS</t>
  </si>
  <si>
    <t xml:space="preserve">2GT-IDT20-4-6-OS-OD18</t>
  </si>
  <si>
    <t xml:space="preserve">2GT-IDT20-5-10-BK-OD18</t>
  </si>
  <si>
    <t xml:space="preserve">2GT-IDT20-5-10-OS</t>
  </si>
  <si>
    <t xml:space="preserve">2GT-IDT20-5-10-OS-OD18</t>
  </si>
  <si>
    <t xml:space="preserve">2GT-IDT20-5-11-OS-OD18</t>
  </si>
  <si>
    <t xml:space="preserve">2GT-IDT20-5-12-OS</t>
  </si>
  <si>
    <t xml:space="preserve">2GT-IDT20-5-15-OS</t>
  </si>
  <si>
    <t xml:space="preserve">2GT-IDT20-5-15-OS-OD18</t>
  </si>
  <si>
    <t xml:space="preserve">2GT-IDT20-5-6-BK-OD18</t>
  </si>
  <si>
    <t xml:space="preserve">2GT-IDT20-5-6-OS</t>
  </si>
  <si>
    <t xml:space="preserve">2GT-IDT20-5-6-OS-OD18</t>
  </si>
  <si>
    <t xml:space="preserve">2GT-IDT20-5-9-BK</t>
  </si>
  <si>
    <t xml:space="preserve">2GT-IDT20-5-9-BK-OD18</t>
  </si>
  <si>
    <t xml:space="preserve">2GT-IDT20-5-9-OS-OD18</t>
  </si>
  <si>
    <t xml:space="preserve">2GT-IDT20-6-10-OS-OD18</t>
  </si>
  <si>
    <t xml:space="preserve">2GT-IDT20-6-6-OS-OD18</t>
  </si>
  <si>
    <t xml:space="preserve">2GT-IDT25-5-6-OS</t>
  </si>
  <si>
    <t xml:space="preserve">2GT-IDT26-8-10-OS</t>
  </si>
  <si>
    <t xml:space="preserve">26</t>
  </si>
  <si>
    <t xml:space="preserve">2GT-IDT26-8-15-OS</t>
  </si>
  <si>
    <t xml:space="preserve">2GT-IDT26-8-6-MS</t>
  </si>
  <si>
    <t xml:space="preserve">2GT-IDT30-5-6-OS</t>
  </si>
  <si>
    <t xml:space="preserve">2GT-IDT36-5-6-OS</t>
  </si>
  <si>
    <t xml:space="preserve">2GT-K12-3-6-MS</t>
  </si>
  <si>
    <t xml:space="preserve">K-type</t>
  </si>
  <si>
    <t xml:space="preserve">2GT-K12-3.175-6-MS</t>
  </si>
  <si>
    <t xml:space="preserve">2GT-K12-4-10-MS</t>
  </si>
  <si>
    <t xml:space="preserve">2GT-K12-4-6-NO</t>
  </si>
  <si>
    <t xml:space="preserve">2GT-K12-5-10-MS</t>
  </si>
  <si>
    <t xml:space="preserve">2GT-K12-5-15-NO</t>
  </si>
  <si>
    <t xml:space="preserve">2GT-K12-5-6-MB</t>
  </si>
  <si>
    <t xml:space="preserve">Matte black</t>
  </si>
  <si>
    <t xml:space="preserve">2GT-K12-5-6-MS</t>
  </si>
  <si>
    <t xml:space="preserve">2GT-K12-5-6-NO</t>
  </si>
  <si>
    <t xml:space="preserve">2GT-K14-5-10-NO</t>
  </si>
  <si>
    <t xml:space="preserve">2GT-K14-5-6-NO</t>
  </si>
  <si>
    <t xml:space="preserve">2GT-K14-6-6-MS</t>
  </si>
  <si>
    <t xml:space="preserve">2GT-K15-4-9-BK</t>
  </si>
  <si>
    <t xml:space="preserve">2GT-K15-5-10-MS</t>
  </si>
  <si>
    <t xml:space="preserve">2GT-K15-5-6-NO</t>
  </si>
  <si>
    <t xml:space="preserve">2GT-K16-3-10-GS</t>
  </si>
  <si>
    <t xml:space="preserve">2GT-K16-3-6-GS</t>
  </si>
  <si>
    <t xml:space="preserve">2GT-K16-3-6-OS</t>
  </si>
  <si>
    <t xml:space="preserve">2GT-K16-3.175-10-GS</t>
  </si>
  <si>
    <t xml:space="preserve">2GT-K16-3.175-6-GS</t>
  </si>
  <si>
    <t xml:space="preserve">2GT-K16-3.175-6-OS</t>
  </si>
  <si>
    <t xml:space="preserve">2GT-K16-4-10-MS</t>
  </si>
  <si>
    <t xml:space="preserve">2GT-K16-4-6-GS</t>
  </si>
  <si>
    <t xml:space="preserve">2GT-K16-4-6-NO</t>
  </si>
  <si>
    <t xml:space="preserve">2GT-K16-5-10-OS</t>
  </si>
  <si>
    <t xml:space="preserve">2GT-K16-5-15-NO</t>
  </si>
  <si>
    <t xml:space="preserve">2GT-K16-5-5-OB</t>
  </si>
  <si>
    <t xml:space="preserve">2GT-K16-5-6-GS</t>
  </si>
  <si>
    <t xml:space="preserve">2GT-K16-5-6-OB</t>
  </si>
  <si>
    <t xml:space="preserve">2GT-K16-5-6-OS</t>
  </si>
  <si>
    <t xml:space="preserve">2GT-K16-5-7-NO</t>
  </si>
  <si>
    <t xml:space="preserve">2GT-K16-5-9-NO</t>
  </si>
  <si>
    <t xml:space="preserve">2GT-K16-5.5-15-OS</t>
  </si>
  <si>
    <t xml:space="preserve">2GT-K16-6-10-NO</t>
  </si>
  <si>
    <t xml:space="preserve">2GT-K16-6-6-NO</t>
  </si>
  <si>
    <t xml:space="preserve">2GT-K16-6-9-NO</t>
  </si>
  <si>
    <t xml:space="preserve">2GT-K16-6.35-10-NO</t>
  </si>
  <si>
    <t xml:space="preserve">2GT-K16-6.35-15-OS</t>
  </si>
  <si>
    <t xml:space="preserve">2GT-K16-6.35-6-NO</t>
  </si>
  <si>
    <t xml:space="preserve">2GT-K17-5-6-OS</t>
  </si>
  <si>
    <t xml:space="preserve">2GT-K18-3.175-10-OS</t>
  </si>
  <si>
    <t xml:space="preserve">2GT-K18-5-6-OS</t>
  </si>
  <si>
    <t xml:space="preserve">2GT-K18-6.35-6-OS</t>
  </si>
  <si>
    <t xml:space="preserve">2GT-K19-5-6-OS</t>
  </si>
  <si>
    <t xml:space="preserve">2GT-K19-6-6-OS</t>
  </si>
  <si>
    <t xml:space="preserve">2GT-K20-3-10-GS</t>
  </si>
  <si>
    <t xml:space="preserve">2GT-K20-3-6-GS</t>
  </si>
  <si>
    <t xml:space="preserve">2GT-K20-3-6-MS</t>
  </si>
  <si>
    <t xml:space="preserve">2GT-K20-3-6-OB</t>
  </si>
  <si>
    <t xml:space="preserve">2GT-K20-3.175-10-NO</t>
  </si>
  <si>
    <t xml:space="preserve">2GT-K20-3.175-6-NO</t>
  </si>
  <si>
    <t xml:space="preserve">2GT-K20-3.175-6-OB</t>
  </si>
  <si>
    <t xml:space="preserve">2GT-K20-4-10-NO</t>
  </si>
  <si>
    <t xml:space="preserve">2GT-K20-4-6-NO</t>
  </si>
  <si>
    <t xml:space="preserve">2GT-K20-4-6-OB</t>
  </si>
  <si>
    <t xml:space="preserve">2GT-K20-4-9-NO</t>
  </si>
  <si>
    <t xml:space="preserve">2GT-K20-5-10-GS</t>
  </si>
  <si>
    <t xml:space="preserve">2GT-K20-5-10-MS</t>
  </si>
  <si>
    <t xml:space="preserve">2GT-K20-5-10-OB</t>
  </si>
  <si>
    <t xml:space="preserve">2GT-K20-5-15-NO</t>
  </si>
  <si>
    <t xml:space="preserve">2GT-K20-5-6-GS</t>
  </si>
  <si>
    <t xml:space="preserve">2GT-K20-5-6-MS</t>
  </si>
  <si>
    <t xml:space="preserve">2GT-K20-5-6-OB</t>
  </si>
  <si>
    <t xml:space="preserve">2GT-K20-5-9-NO</t>
  </si>
  <si>
    <t xml:space="preserve">2GT-K20-5-9-OB</t>
  </si>
  <si>
    <t xml:space="preserve">2GT-K20-6-10-MS</t>
  </si>
  <si>
    <t xml:space="preserve">2GT-K20-6-15-NO</t>
  </si>
  <si>
    <t xml:space="preserve">2GT-K20-6-6-GS</t>
  </si>
  <si>
    <t xml:space="preserve">2GT-K20-6-6-MS</t>
  </si>
  <si>
    <t xml:space="preserve">2GT-K20-6-6-OB</t>
  </si>
  <si>
    <t xml:space="preserve">2GT-K20-6-9-NO</t>
  </si>
  <si>
    <t xml:space="preserve">2GT-K20-6.35-10-NO</t>
  </si>
  <si>
    <t xml:space="preserve">2GT-K20-6.35-15-NO</t>
  </si>
  <si>
    <t xml:space="preserve">2GT-K20-6.35-6-GS</t>
  </si>
  <si>
    <t xml:space="preserve">2GT-K20-6.35-6-MS</t>
  </si>
  <si>
    <t xml:space="preserve">2GT-K20-6.35-6-OB</t>
  </si>
  <si>
    <t xml:space="preserve">2GT-K20-6.35-9-NO</t>
  </si>
  <si>
    <t xml:space="preserve">2GT-K20-7-10-MS</t>
  </si>
  <si>
    <t xml:space="preserve">2GT-K20-7-6-MS</t>
  </si>
  <si>
    <t xml:space="preserve">2GT-K20-8-10-GS</t>
  </si>
  <si>
    <t xml:space="preserve">2GT-K20-8-10-MS</t>
  </si>
  <si>
    <t xml:space="preserve">2GT-K20-8-15-MS</t>
  </si>
  <si>
    <t xml:space="preserve">2GT-K20-8-6-GS</t>
  </si>
  <si>
    <t xml:space="preserve">2GT-K20-8-6-MS</t>
  </si>
  <si>
    <t xml:space="preserve">2GT-K20-8-6-OB</t>
  </si>
  <si>
    <t xml:space="preserve">2GT-K20-8-9-NO</t>
  </si>
  <si>
    <t xml:space="preserve">2GT-K22-5-10-NO</t>
  </si>
  <si>
    <t xml:space="preserve">2GT-K22-6.35-10-NO</t>
  </si>
  <si>
    <t xml:space="preserve">2GT-K24-5-10-OS</t>
  </si>
  <si>
    <t xml:space="preserve">2GT-K24-5-6-MS</t>
  </si>
  <si>
    <t xml:space="preserve">2GT-K24-6-10-OS</t>
  </si>
  <si>
    <t xml:space="preserve">2GT-K24-6-6-OS</t>
  </si>
  <si>
    <t xml:space="preserve">2GT-K24-6.35-10-OS</t>
  </si>
  <si>
    <t xml:space="preserve">2GT-K24-6.35-6-OS</t>
  </si>
  <si>
    <t xml:space="preserve">2GT-K24-8-10-OS</t>
  </si>
  <si>
    <t xml:space="preserve">2GT-K24-8-6-OS</t>
  </si>
  <si>
    <t xml:space="preserve">3GT Timing Pulley (all types)  [3GT Pulleys]</t>
  </si>
  <si>
    <t xml:space="preserve">3GT-AF32-8-9-OS</t>
  </si>
  <si>
    <t xml:space="preserve">3GT-BF20-5-10-MS</t>
  </si>
  <si>
    <t xml:space="preserve">3GT-BF20-5-6-OS</t>
  </si>
  <si>
    <t xml:space="preserve">3GT-BF20-6-10-OS</t>
  </si>
  <si>
    <t xml:space="preserve">3GT-BF20-6.35-10-OS</t>
  </si>
  <si>
    <t xml:space="preserve">3GT-BF20-6.35-6-OS</t>
  </si>
  <si>
    <t xml:space="preserve">3GT-BF20-8-10-OS</t>
  </si>
  <si>
    <t xml:space="preserve">3GT-BF20-8-6-OS</t>
  </si>
  <si>
    <t xml:space="preserve">3GT-BF24-8-6-MS</t>
  </si>
  <si>
    <t xml:space="preserve">3GT-BF30-6.35-9-MS</t>
  </si>
  <si>
    <t xml:space="preserve">3GT-BF30-8-10-MS</t>
  </si>
  <si>
    <t xml:space="preserve">3GT-BF32-5-9-NO</t>
  </si>
  <si>
    <t xml:space="preserve">3GT-BF32-6-9-NO</t>
  </si>
  <si>
    <t xml:space="preserve">3GT-BF32-6.35-9-NO</t>
  </si>
  <si>
    <t xml:space="preserve">3GT-BF32-8-10-OS</t>
  </si>
  <si>
    <t xml:space="preserve">3GT-BF32-8-9-NO</t>
  </si>
  <si>
    <t xml:space="preserve">3GT-BF36-6.35-6-OS</t>
  </si>
  <si>
    <t xml:space="preserve">3GT-BF60-8-10-MS</t>
  </si>
  <si>
    <t xml:space="preserve">3GT-K20-4-6-NO</t>
  </si>
  <si>
    <t xml:space="preserve">3GT-K20-5-10-OS</t>
  </si>
  <si>
    <t xml:space="preserve">3GT-K20-5-6-NO</t>
  </si>
  <si>
    <t xml:space="preserve">3GT-K20-6-6-NO</t>
  </si>
  <si>
    <t xml:space="preserve">3GT-K20-6.35-10-NO</t>
  </si>
  <si>
    <t xml:space="preserve">3GT-K20-6.35-6-NO</t>
  </si>
  <si>
    <t xml:space="preserve">3GT-K20-8-10-OS</t>
  </si>
  <si>
    <t xml:space="preserve">3GT-K20-8-6-NO</t>
  </si>
  <si>
    <t xml:space="preserve">3GT-K24-14-10-MS</t>
  </si>
  <si>
    <t xml:space="preserve">3GT-K30-10-10-MS</t>
  </si>
  <si>
    <t xml:space="preserve">3GT-K30-10-15-MS</t>
  </si>
  <si>
    <t xml:space="preserve">3GT-K30-10-6-NO</t>
  </si>
  <si>
    <t xml:space="preserve">3GT-K30-12-10-NO</t>
  </si>
  <si>
    <t xml:space="preserve">3GT-K30-12-15-MS</t>
  </si>
  <si>
    <t xml:space="preserve">3GT-K30-12-6-OS</t>
  </si>
  <si>
    <t xml:space="preserve">3GT-K30-8-10-MS</t>
  </si>
  <si>
    <t xml:space="preserve">3GT-K30-8-15-MS</t>
  </si>
  <si>
    <t xml:space="preserve">3GT-K30-8-6-MS</t>
  </si>
  <si>
    <t xml:space="preserve">HTD3M Timing Pulley (all types)  [HTD3M Pulleys]</t>
  </si>
  <si>
    <t xml:space="preserve">3M-AF120-25-15-MS</t>
  </si>
  <si>
    <t xml:space="preserve">3M-AF18-10-15-OS</t>
  </si>
  <si>
    <t xml:space="preserve">3M-AF18-6.35-15-OS</t>
  </si>
  <si>
    <t xml:space="preserve">3M-AF18-7-15-OS</t>
  </si>
  <si>
    <t xml:space="preserve">3M-AF18-8-10-OS</t>
  </si>
  <si>
    <t xml:space="preserve">3M-AF18-8-15-OS</t>
  </si>
  <si>
    <t xml:space="preserve">3M-AF20-10-15-NO</t>
  </si>
  <si>
    <t xml:space="preserve">3M-AF20-10-20-MS</t>
  </si>
  <si>
    <t xml:space="preserve">3M-AF20-4-6-MS</t>
  </si>
  <si>
    <t xml:space="preserve">3M-AF20-5-10-MS</t>
  </si>
  <si>
    <t xml:space="preserve">3M-AF20-5-15-MS</t>
  </si>
  <si>
    <t xml:space="preserve">3M-AF20-6-10-OS</t>
  </si>
  <si>
    <t xml:space="preserve">3M-AF20-6-15-OS</t>
  </si>
  <si>
    <t xml:space="preserve">3M-AF20-6.35-10-NO</t>
  </si>
  <si>
    <t xml:space="preserve">3M-AF20-6.35-8-MS</t>
  </si>
  <si>
    <t xml:space="preserve">3M-AF20-6.55-8-MS</t>
  </si>
  <si>
    <t xml:space="preserve">6.55</t>
  </si>
  <si>
    <t xml:space="preserve">3M-AF20-7-10-MS</t>
  </si>
  <si>
    <t xml:space="preserve">3M-AF20-7-15-OS</t>
  </si>
  <si>
    <t xml:space="preserve">3M-AF20-8-10-OS</t>
  </si>
  <si>
    <t xml:space="preserve">3M-AF20-8-15-NO</t>
  </si>
  <si>
    <t xml:space="preserve">3M-AF20-8-20-MS</t>
  </si>
  <si>
    <t xml:space="preserve">3M-AF22-10-10-OS</t>
  </si>
  <si>
    <t xml:space="preserve">3M-AF22-8-10-OS</t>
  </si>
  <si>
    <t xml:space="preserve">3M-AF24-10-10-OS</t>
  </si>
  <si>
    <t xml:space="preserve">3M-AF24-10-15-OS</t>
  </si>
  <si>
    <t xml:space="preserve">3M-AF24-10-16-OS</t>
  </si>
  <si>
    <t xml:space="preserve">3M-AF24-10-20-OS</t>
  </si>
  <si>
    <t xml:space="preserve">3M-AF24-10-25-OS</t>
  </si>
  <si>
    <t xml:space="preserve">3M-AF24-12-10-OS</t>
  </si>
  <si>
    <t xml:space="preserve">3M-AF24-12-15-OS</t>
  </si>
  <si>
    <t xml:space="preserve">3M-AF24-12-16-OS</t>
  </si>
  <si>
    <t xml:space="preserve">3M-AF24-12-20-OS</t>
  </si>
  <si>
    <t xml:space="preserve">3M-AF24-12-25-OS</t>
  </si>
  <si>
    <t xml:space="preserve">3M-AF24-12-30-OS</t>
  </si>
  <si>
    <t xml:space="preserve">3M-AF24-14-10-MS</t>
  </si>
  <si>
    <t xml:space="preserve">3M-AF24-14-15-OS</t>
  </si>
  <si>
    <t xml:space="preserve">3M-AF24-6-10-MS</t>
  </si>
  <si>
    <t xml:space="preserve">3M-AF24-6-15-OS</t>
  </si>
  <si>
    <t xml:space="preserve">3M-AF24-8-10-MS</t>
  </si>
  <si>
    <t xml:space="preserve">3M-AF24-8-15-OS</t>
  </si>
  <si>
    <t xml:space="preserve">3M-AF24-8-16-OS</t>
  </si>
  <si>
    <t xml:space="preserve">3M-AF24-8-25-OS</t>
  </si>
  <si>
    <t xml:space="preserve">3M-AF25-10-10-OS</t>
  </si>
  <si>
    <t xml:space="preserve">3M-AF25-7-10-OS</t>
  </si>
  <si>
    <t xml:space="preserve">3M-AF25-8-10-OS</t>
  </si>
  <si>
    <t xml:space="preserve">3M-AF28-8-10-MS</t>
  </si>
  <si>
    <t xml:space="preserve">3M-AF30-10-15-MS</t>
  </si>
  <si>
    <t xml:space="preserve">3M-AF30-12-15-MS</t>
  </si>
  <si>
    <t xml:space="preserve">3M-AF30-14-10-MS</t>
  </si>
  <si>
    <t xml:space="preserve">3M-AF30-14-15-MS</t>
  </si>
  <si>
    <t xml:space="preserve">3M-AF30-7-10-MS</t>
  </si>
  <si>
    <t xml:space="preserve">3M-AF30-8-10-MS</t>
  </si>
  <si>
    <t xml:space="preserve">3M-AF30-8-15-MS</t>
  </si>
  <si>
    <t xml:space="preserve">3M-AF30-8-6-MS</t>
  </si>
  <si>
    <t xml:space="preserve">3M-AF32-10-10-OS</t>
  </si>
  <si>
    <t xml:space="preserve">3M-AF32-12-10-OS</t>
  </si>
  <si>
    <t xml:space="preserve">3M-AF32-8-10-OS</t>
  </si>
  <si>
    <t xml:space="preserve">3M-AF32-8-9-OS</t>
  </si>
  <si>
    <t xml:space="preserve">3M-AF36-10-10-MS-KW4x1.8</t>
  </si>
  <si>
    <t xml:space="preserve">keyway 4x1.8</t>
  </si>
  <si>
    <t xml:space="preserve">3M-AF36-10-15-OS</t>
  </si>
  <si>
    <t xml:space="preserve">3M-AF36-10-16-OS</t>
  </si>
  <si>
    <t xml:space="preserve">3M-AF36-12-10-MS</t>
  </si>
  <si>
    <t xml:space="preserve">3M-AF36-12-16-OS</t>
  </si>
  <si>
    <t xml:space="preserve">3M-AF36-8-15-MS</t>
  </si>
  <si>
    <t xml:space="preserve">3M-AF40-12-15-OS</t>
  </si>
  <si>
    <t xml:space="preserve">3M-AF40-12-16-OS</t>
  </si>
  <si>
    <t xml:space="preserve">3M-AF40-14-10-OS</t>
  </si>
  <si>
    <t xml:space="preserve">3M-AF40-8-10-MS</t>
  </si>
  <si>
    <t xml:space="preserve">3M-AF48-12-10-MS</t>
  </si>
  <si>
    <t xml:space="preserve">3M-AF54-12-10-MS</t>
  </si>
  <si>
    <t xml:space="preserve">3M-AF55-12-15-OS</t>
  </si>
  <si>
    <t xml:space="preserve">55</t>
  </si>
  <si>
    <t xml:space="preserve">3M-AF55-12-16-OS</t>
  </si>
  <si>
    <t xml:space="preserve">3M-AF55-19-15-MS</t>
  </si>
  <si>
    <t xml:space="preserve">3M-AF55-8-15-OS</t>
  </si>
  <si>
    <t xml:space="preserve">3M-AF55-8-16-OS</t>
  </si>
  <si>
    <t xml:space="preserve">3M-BF120-10-10-OS</t>
  </si>
  <si>
    <t xml:space="preserve">3M-BF120-10-9-MS</t>
  </si>
  <si>
    <t xml:space="preserve">3M-BF120-12-10-MS</t>
  </si>
  <si>
    <t xml:space="preserve">3M-BF120-8-10-OS</t>
  </si>
  <si>
    <t xml:space="preserve">3M-BF120-8-15-MS</t>
  </si>
  <si>
    <t xml:space="preserve">3M-BF20-10-25-MS</t>
  </si>
  <si>
    <t xml:space="preserve">3M-BF20-5-10-NO</t>
  </si>
  <si>
    <t xml:space="preserve">3M-BF20-5-15-NO</t>
  </si>
  <si>
    <t xml:space="preserve">3M-BF20-6-10-MS</t>
  </si>
  <si>
    <t xml:space="preserve">3M-BF20-6-15-NO</t>
  </si>
  <si>
    <t xml:space="preserve">3M-BF20-6-9-OS</t>
  </si>
  <si>
    <t xml:space="preserve">3M-BF20-6.35-10-MS</t>
  </si>
  <si>
    <t xml:space="preserve">3M-BF20-6.35-15-NO</t>
  </si>
  <si>
    <t xml:space="preserve">3M-BF20-8-10-NO</t>
  </si>
  <si>
    <t xml:space="preserve">3M-BF20-8-10-POM</t>
  </si>
  <si>
    <t xml:space="preserve">POM plastic</t>
  </si>
  <si>
    <t xml:space="preserve">3M-BF20-8-15-NO</t>
  </si>
  <si>
    <t xml:space="preserve">3M-BF20-8-25-MS</t>
  </si>
  <si>
    <t xml:space="preserve">3M-BF20-8-9-NO</t>
  </si>
  <si>
    <t xml:space="preserve">3M-BF24-10-15-MS</t>
  </si>
  <si>
    <t xml:space="preserve">3M-BF24-5-15-MS</t>
  </si>
  <si>
    <t xml:space="preserve">3M-BF24-6-15-MS</t>
  </si>
  <si>
    <t xml:space="preserve">3M-BF24-6.35-15-MS</t>
  </si>
  <si>
    <t xml:space="preserve">3M-BF24-8-10-MS</t>
  </si>
  <si>
    <t xml:space="preserve">3M-BF24-8-15-MS</t>
  </si>
  <si>
    <t xml:space="preserve">3M-BF25-7-10-OS</t>
  </si>
  <si>
    <t xml:space="preserve">3M-BF26-12-10-OS</t>
  </si>
  <si>
    <t xml:space="preserve">3M-BF26-8-10-OS</t>
  </si>
  <si>
    <t xml:space="preserve">3M-BF28-10-10-OS</t>
  </si>
  <si>
    <t xml:space="preserve">3M-BF28-10-15-OS</t>
  </si>
  <si>
    <t xml:space="preserve">3M-BF28-12-10-OS</t>
  </si>
  <si>
    <t xml:space="preserve">3M-BF28-12-15-OS</t>
  </si>
  <si>
    <t xml:space="preserve">3M-BF28-12.7-10-OS</t>
  </si>
  <si>
    <t xml:space="preserve">3M-BF28-14-10-OS</t>
  </si>
  <si>
    <t xml:space="preserve">3M-BF28-14-15-OS</t>
  </si>
  <si>
    <t xml:space="preserve">3M-BF28-5-10-OS</t>
  </si>
  <si>
    <t xml:space="preserve">3M-BF28-6-10-OS</t>
  </si>
  <si>
    <t xml:space="preserve">3M-BF28-6-15-OS</t>
  </si>
  <si>
    <t xml:space="preserve">3M-BF28-6.35-10-OS</t>
  </si>
  <si>
    <t xml:space="preserve">3M-BF28-6.35-15-OS</t>
  </si>
  <si>
    <t xml:space="preserve">3M-BF28-8-10-MS</t>
  </si>
  <si>
    <t xml:space="preserve">3M-BF28-8-15-OS</t>
  </si>
  <si>
    <t xml:space="preserve">3M-BF30-10-10-NO</t>
  </si>
  <si>
    <t xml:space="preserve">3M-BF30-10-15-MS</t>
  </si>
  <si>
    <t xml:space="preserve">3M-BF30-12-15-NO</t>
  </si>
  <si>
    <t xml:space="preserve">3M-BF30-14-15-MS</t>
  </si>
  <si>
    <t xml:space="preserve">3M-BF30-5-10-MS</t>
  </si>
  <si>
    <t xml:space="preserve">3M-BF30-5-15-NO</t>
  </si>
  <si>
    <t xml:space="preserve">3M-BF30-6-15-NO</t>
  </si>
  <si>
    <t xml:space="preserve">3M-BF30-6.35-10-NO</t>
  </si>
  <si>
    <t xml:space="preserve">3M-BF30-6.35-15-NO</t>
  </si>
  <si>
    <t xml:space="preserve">3M-BF30-8-10-NO</t>
  </si>
  <si>
    <t xml:space="preserve">3M-BF30-8-15-MS</t>
  </si>
  <si>
    <t xml:space="preserve">3M-BF32-14-15-MS</t>
  </si>
  <si>
    <t xml:space="preserve">3M-BF32-6.35-9-OS</t>
  </si>
  <si>
    <t xml:space="preserve">3M-BF32-8-10-MS</t>
  </si>
  <si>
    <t xml:space="preserve">3M-BF32-8-15-MS</t>
  </si>
  <si>
    <t xml:space="preserve">3M-BF32-8-9-OS</t>
  </si>
  <si>
    <t xml:space="preserve">3M-BF36-10-15-OS</t>
  </si>
  <si>
    <t xml:space="preserve">3M-BF36-6.35-10-MS</t>
  </si>
  <si>
    <t xml:space="preserve">3M-BF36-8-15-OS</t>
  </si>
  <si>
    <t xml:space="preserve">3M-BF40-10-10-MS</t>
  </si>
  <si>
    <t xml:space="preserve">3M-BF40-10-15-OS</t>
  </si>
  <si>
    <t xml:space="preserve">3M-BF40-12-10-OS</t>
  </si>
  <si>
    <t xml:space="preserve">3M-BF40-12-15-OS</t>
  </si>
  <si>
    <t xml:space="preserve">3M-BF40-12.7-10-OS</t>
  </si>
  <si>
    <t xml:space="preserve">3M-BF40-14-15-OS</t>
  </si>
  <si>
    <t xml:space="preserve">3M-BF40-16-15-MS</t>
  </si>
  <si>
    <t xml:space="preserve">3M-BF40-22-15-MS-KW6x2.8</t>
  </si>
  <si>
    <t xml:space="preserve">keyway 6x2.8</t>
  </si>
  <si>
    <t xml:space="preserve">3M-BF40-5-10-MS</t>
  </si>
  <si>
    <t xml:space="preserve">3M-BF40-5-15-OS</t>
  </si>
  <si>
    <t xml:space="preserve">3M-BF40-6-15-OS</t>
  </si>
  <si>
    <t xml:space="preserve">3M-BF40-6.35-10-OS</t>
  </si>
  <si>
    <t xml:space="preserve">3M-BF40-6.35-15-MS</t>
  </si>
  <si>
    <t xml:space="preserve">3M-BF40-8-10-OS</t>
  </si>
  <si>
    <t xml:space="preserve">3M-BF40-8-15-MS</t>
  </si>
  <si>
    <t xml:space="preserve">3M-BF45-8-10-OS</t>
  </si>
  <si>
    <t xml:space="preserve">45</t>
  </si>
  <si>
    <t xml:space="preserve">3M-BF48-10-10-MS</t>
  </si>
  <si>
    <t xml:space="preserve">3M-BF48-10-15-NO</t>
  </si>
  <si>
    <t xml:space="preserve">3M-BF48-12-15-NO</t>
  </si>
  <si>
    <t xml:space="preserve">3M-BF48-14-15-NO</t>
  </si>
  <si>
    <t xml:space="preserve">3M-BF48-5-15-OS</t>
  </si>
  <si>
    <t xml:space="preserve">3M-BF48-6-15-NO</t>
  </si>
  <si>
    <t xml:space="preserve">3M-BF48-6.35-15-NO</t>
  </si>
  <si>
    <t xml:space="preserve">3M-BF48-8-10-MS</t>
  </si>
  <si>
    <t xml:space="preserve">3M-BF48-8-15-NO</t>
  </si>
  <si>
    <t xml:space="preserve">3M-BF54-8-10-OS</t>
  </si>
  <si>
    <t xml:space="preserve">3M-BF60-10-10-OS</t>
  </si>
  <si>
    <t xml:space="preserve">3M-BF60-10-15-OS</t>
  </si>
  <si>
    <t xml:space="preserve">3M-BF60-12-10-OS</t>
  </si>
  <si>
    <t xml:space="preserve">3M-BF60-12-15-OS</t>
  </si>
  <si>
    <t xml:space="preserve">3M-BF60-12.7-15-MS</t>
  </si>
  <si>
    <t xml:space="preserve">3M-BF60-14-15-OS</t>
  </si>
  <si>
    <t xml:space="preserve">3M-BF60-22-15-MS-KW6x2.8</t>
  </si>
  <si>
    <t xml:space="preserve">3M-BF60-28-15-MS-KW6x2.8</t>
  </si>
  <si>
    <t xml:space="preserve">3M-BF60-5-15-OS</t>
  </si>
  <si>
    <t xml:space="preserve">3M-BF60-6-15-OS</t>
  </si>
  <si>
    <t xml:space="preserve">3M-BF60-6.35-10-OS</t>
  </si>
  <si>
    <t xml:space="preserve">3M-BF60-6.35-15-OS</t>
  </si>
  <si>
    <t xml:space="preserve">3M-BF60-8-10-OS</t>
  </si>
  <si>
    <t xml:space="preserve">3M-BF60-8-15-MS</t>
  </si>
  <si>
    <t xml:space="preserve">3M-BF64-8-15-MS</t>
  </si>
  <si>
    <t xml:space="preserve">3M-BF72-10-10-NO</t>
  </si>
  <si>
    <t xml:space="preserve">3M-BF72-10-15-NO</t>
  </si>
  <si>
    <t xml:space="preserve">3M-BF72-12-10-NO</t>
  </si>
  <si>
    <t xml:space="preserve">3M-BF72-12-15-NO</t>
  </si>
  <si>
    <t xml:space="preserve">3M-BF72-14-15-NO</t>
  </si>
  <si>
    <t xml:space="preserve">3M-BF72-20-15-OS-KW5x2.3</t>
  </si>
  <si>
    <t xml:space="preserve">keyway 5x2.3</t>
  </si>
  <si>
    <t xml:space="preserve">3M-BF72-6-15-NO</t>
  </si>
  <si>
    <t xml:space="preserve">3M-BF72-6.35-15-NO</t>
  </si>
  <si>
    <t xml:space="preserve">3M-BF72-8-10-NO</t>
  </si>
  <si>
    <t xml:space="preserve">3M-BF72-8-15-OS</t>
  </si>
  <si>
    <t xml:space="preserve">3M-BF75-10-10-OS</t>
  </si>
  <si>
    <t xml:space="preserve">75</t>
  </si>
  <si>
    <t xml:space="preserve">3M-BF75-8-10-OS</t>
  </si>
  <si>
    <t xml:space="preserve">3M-BF80-10-10-OS</t>
  </si>
  <si>
    <t xml:space="preserve">3M-BF80-28-15-MS-KW6x2.8</t>
  </si>
  <si>
    <t xml:space="preserve">3M-BF80-8-10-MS</t>
  </si>
  <si>
    <t xml:space="preserve">3M-BF80-8-15-MS</t>
  </si>
  <si>
    <t xml:space="preserve">3M-BS30-10-17-OS</t>
  </si>
  <si>
    <t xml:space="preserve">BS-type</t>
  </si>
  <si>
    <t xml:space="preserve">3M-BS72-10-10-OS</t>
  </si>
  <si>
    <t xml:space="preserve">3M-CL25-8-15-MS</t>
  </si>
  <si>
    <t xml:space="preserve">Clamp type</t>
  </si>
  <si>
    <t xml:space="preserve">3M-IDS18-5-10-OS</t>
  </si>
  <si>
    <t xml:space="preserve">3M-IDS18-5-15-OS</t>
  </si>
  <si>
    <t xml:space="preserve">3M-IDS20-5-10-OS</t>
  </si>
  <si>
    <t xml:space="preserve">3M-IDS20-8-10-OS</t>
  </si>
  <si>
    <t xml:space="preserve">3M-IDS20-8-15-MS</t>
  </si>
  <si>
    <t xml:space="preserve">3M-IDS24-12-16-OS</t>
  </si>
  <si>
    <t xml:space="preserve">3M-IDS24-5-10-OS</t>
  </si>
  <si>
    <t xml:space="preserve">3M-IDS24-5-15-OS</t>
  </si>
  <si>
    <t xml:space="preserve">3M-IDS24-6-10-OS</t>
  </si>
  <si>
    <t xml:space="preserve">3M-IDS24-8-15-OS</t>
  </si>
  <si>
    <t xml:space="preserve">3M-IDS25-10-15-OS</t>
  </si>
  <si>
    <t xml:space="preserve">3M-IDS25-5-10-MS</t>
  </si>
  <si>
    <t xml:space="preserve">3M-IDS25-5-15-MS</t>
  </si>
  <si>
    <t xml:space="preserve">3M-IDS25-6-15-OS</t>
  </si>
  <si>
    <t xml:space="preserve">3M-IDS25-8-15-OS</t>
  </si>
  <si>
    <t xml:space="preserve">3M-IDS25-8-25-MS</t>
  </si>
  <si>
    <t xml:space="preserve">3M-IDS30-12-10-OS</t>
  </si>
  <si>
    <t xml:space="preserve">3M-IDS30-12-15-OS</t>
  </si>
  <si>
    <t xml:space="preserve">3M-IDS30-8-10-OS</t>
  </si>
  <si>
    <t xml:space="preserve">3M-IDS40-8-10-OS</t>
  </si>
  <si>
    <t xml:space="preserve">3M-IDS40-8-15-OS</t>
  </si>
  <si>
    <t xml:space="preserve">3M-IDT18-5-10-OS</t>
  </si>
  <si>
    <t xml:space="preserve">3M-IDT18-5-15-OS</t>
  </si>
  <si>
    <t xml:space="preserve">3M-IDT20-5-10-OS</t>
  </si>
  <si>
    <t xml:space="preserve">3M-IDT20-5-15-MS</t>
  </si>
  <si>
    <t xml:space="preserve">3M-IDT20-8-10-OS</t>
  </si>
  <si>
    <t xml:space="preserve">3M-IDT20-8-15-OS</t>
  </si>
  <si>
    <t xml:space="preserve">3M-IDT24-5-10-OS</t>
  </si>
  <si>
    <t xml:space="preserve">3M-IDT24-5-15-OS</t>
  </si>
  <si>
    <t xml:space="preserve">3M-IDT24-6-10-OS</t>
  </si>
  <si>
    <t xml:space="preserve">3M-IDT24-8-10-OS</t>
  </si>
  <si>
    <t xml:space="preserve">3M-IDT24-8-15-OS</t>
  </si>
  <si>
    <t xml:space="preserve">3M-IDT25-6-15-OS</t>
  </si>
  <si>
    <t xml:space="preserve">3M-IDT25-8-15-OS</t>
  </si>
  <si>
    <t xml:space="preserve">3M-IDT28-10-16-MS</t>
  </si>
  <si>
    <t xml:space="preserve">3M-IDT30-12-15-OS</t>
  </si>
  <si>
    <t xml:space="preserve">3M-IDT30-8-10-OS</t>
  </si>
  <si>
    <t xml:space="preserve">3M-IDT40-8-10-MS</t>
  </si>
  <si>
    <t xml:space="preserve">3M-IDT40-8-15-OS</t>
  </si>
  <si>
    <t xml:space="preserve">3M-K12-4-10-NO</t>
  </si>
  <si>
    <t xml:space="preserve">3M-K12-4-10-POM</t>
  </si>
  <si>
    <t xml:space="preserve">3M-K12-5-10-NO</t>
  </si>
  <si>
    <t xml:space="preserve">3M-K12-5-10-POM</t>
  </si>
  <si>
    <t xml:space="preserve">3M-K12-5-15-NO</t>
  </si>
  <si>
    <t xml:space="preserve">3M-K12-6-10-NO</t>
  </si>
  <si>
    <t xml:space="preserve">3M-K12-6-10-POM</t>
  </si>
  <si>
    <t xml:space="preserve">3M-K12-6-6-OS</t>
  </si>
  <si>
    <t xml:space="preserve">3M-K12-6.35-10-NO</t>
  </si>
  <si>
    <t xml:space="preserve">3M-K12-6.35-15-NO</t>
  </si>
  <si>
    <t xml:space="preserve">3M-K13-8-12-OS</t>
  </si>
  <si>
    <t xml:space="preserve">3M-K14-4-10-POM</t>
  </si>
  <si>
    <t xml:space="preserve">3M-K14-8-10-MS</t>
  </si>
  <si>
    <t xml:space="preserve">3M-K14-8-15-MS</t>
  </si>
  <si>
    <t xml:space="preserve">3M-K15-4-10-NO</t>
  </si>
  <si>
    <t xml:space="preserve">3M-K15-4-10-POM</t>
  </si>
  <si>
    <t xml:space="preserve">3M-K15-4-15-NO</t>
  </si>
  <si>
    <t xml:space="preserve">3M-K15-5-10-NO</t>
  </si>
  <si>
    <t xml:space="preserve">3M-K15-5-14-MS</t>
  </si>
  <si>
    <t xml:space="preserve">3M-K15-5-15-MS</t>
  </si>
  <si>
    <t xml:space="preserve">3M-K15-6-10-OS</t>
  </si>
  <si>
    <t xml:space="preserve">3M-K15-6-15-NO</t>
  </si>
  <si>
    <t xml:space="preserve">3M-K15-6.35-10-NO</t>
  </si>
  <si>
    <t xml:space="preserve">3M-K15-6.35-15-MS</t>
  </si>
  <si>
    <t xml:space="preserve">3M-K15-8-10-NO</t>
  </si>
  <si>
    <t xml:space="preserve">3M-K15-8-15-MS</t>
  </si>
  <si>
    <t xml:space="preserve">3M-K15-8-20-MS</t>
  </si>
  <si>
    <t xml:space="preserve">3M-K15-8-9-MS</t>
  </si>
  <si>
    <t xml:space="preserve">3M-K16-10-10-OS</t>
  </si>
  <si>
    <t xml:space="preserve">3M-K16-10-15-NO</t>
  </si>
  <si>
    <t xml:space="preserve">3M-K16-4-10-POM</t>
  </si>
  <si>
    <t xml:space="preserve">3M-K16-5-10-OS</t>
  </si>
  <si>
    <t xml:space="preserve">3M-K16-5-10-POM</t>
  </si>
  <si>
    <t xml:space="preserve">3M-K16-5-15-OS</t>
  </si>
  <si>
    <t xml:space="preserve">3M-K16-6-10-NO</t>
  </si>
  <si>
    <t xml:space="preserve">3M-K16-6.35-10-NO</t>
  </si>
  <si>
    <t xml:space="preserve">3M-K16-6.35-15-NO</t>
  </si>
  <si>
    <t xml:space="preserve">3M-K16-8-10-OS</t>
  </si>
  <si>
    <t xml:space="preserve">3M-K16-8-15-NO</t>
  </si>
  <si>
    <t xml:space="preserve">3M-K16-8-15-OS</t>
  </si>
  <si>
    <t xml:space="preserve">3M-K17-4-10-POM</t>
  </si>
  <si>
    <t xml:space="preserve">3M-K18-4-10-POM</t>
  </si>
  <si>
    <t xml:space="preserve">3M-K18-5-10-OS</t>
  </si>
  <si>
    <t xml:space="preserve">3M-K18-6-15-OS</t>
  </si>
  <si>
    <t xml:space="preserve">3M-K18-6.35-10-OS</t>
  </si>
  <si>
    <t xml:space="preserve">3M-K18-6.35-15-OS</t>
  </si>
  <si>
    <t xml:space="preserve">3M-K18-8-10-OS</t>
  </si>
  <si>
    <t xml:space="preserve">3M-K18-8-15-OS</t>
  </si>
  <si>
    <t xml:space="preserve">3M-K20-10-10-MS</t>
  </si>
  <si>
    <t xml:space="preserve">3M-K20-10-15-NO</t>
  </si>
  <si>
    <t xml:space="preserve">3M-K20-12-15-MS</t>
  </si>
  <si>
    <t xml:space="preserve">3M-K20-12-25-MS</t>
  </si>
  <si>
    <t xml:space="preserve">3M-K20-5-10-OS</t>
  </si>
  <si>
    <t xml:space="preserve">3M-K20-5-15-NO</t>
  </si>
  <si>
    <t xml:space="preserve">3M-K20-6-10-MS</t>
  </si>
  <si>
    <t xml:space="preserve">3M-K20-6.35-10-NO</t>
  </si>
  <si>
    <t xml:space="preserve">3M-K20-6.35-15-NO</t>
  </si>
  <si>
    <t xml:space="preserve">3M-K20-7-10-OS</t>
  </si>
  <si>
    <t xml:space="preserve">3M-K20-8-10-MS</t>
  </si>
  <si>
    <t xml:space="preserve">3M-K20-8-15-MS</t>
  </si>
  <si>
    <t xml:space="preserve">3M-K20-8-6-MS</t>
  </si>
  <si>
    <t xml:space="preserve">3M-K24-10-15-OS</t>
  </si>
  <si>
    <t xml:space="preserve">3M-K24-12-15-OS</t>
  </si>
  <si>
    <t xml:space="preserve">3M-K24-12-25-OS</t>
  </si>
  <si>
    <t xml:space="preserve">3M-K24-14-15-MS</t>
  </si>
  <si>
    <t xml:space="preserve">3M-K24-15-15-MS</t>
  </si>
  <si>
    <t xml:space="preserve">3M-K24-5-15-OS</t>
  </si>
  <si>
    <t xml:space="preserve">3M-K24-6-15-OS</t>
  </si>
  <si>
    <t xml:space="preserve">3M-K24-6.35-15-OS</t>
  </si>
  <si>
    <t xml:space="preserve">3M-K24-8-10-OS</t>
  </si>
  <si>
    <t xml:space="preserve">3M-K24-8-15-OS</t>
  </si>
  <si>
    <t xml:space="preserve">3M-K24-8-25-OS</t>
  </si>
  <si>
    <t xml:space="preserve">3M-K24-8-6-MS</t>
  </si>
  <si>
    <t xml:space="preserve">3M-K25-14-20-OS</t>
  </si>
  <si>
    <t xml:space="preserve">HTD5M Timing Pulley (all types)  [HTD5M Pulleys]</t>
  </si>
  <si>
    <t xml:space="preserve">5M-AF12-8-20-MS</t>
  </si>
  <si>
    <t xml:space="preserve">5M-AF15-10-6-OS</t>
  </si>
  <si>
    <t xml:space="preserve">5M-AF15-6-6-OS</t>
  </si>
  <si>
    <t xml:space="preserve">5M-AF15-8-15-OS</t>
  </si>
  <si>
    <t xml:space="preserve">5M-AF15-8-16-OS</t>
  </si>
  <si>
    <t xml:space="preserve">5M-AF18-18-15-OS</t>
  </si>
  <si>
    <t xml:space="preserve">5M-AF20-10-15-MS</t>
  </si>
  <si>
    <t xml:space="preserve">5M-AF20-14-15-OS</t>
  </si>
  <si>
    <t xml:space="preserve">5M-AF20-14-20-OS</t>
  </si>
  <si>
    <t xml:space="preserve">5M-AF20-15-15-MS</t>
  </si>
  <si>
    <t xml:space="preserve">5M-AF20-5-20-MS</t>
  </si>
  <si>
    <t xml:space="preserve">5M-AF20-6-13-OS</t>
  </si>
  <si>
    <t xml:space="preserve">5M-AF20-8-10-OS</t>
  </si>
  <si>
    <t xml:space="preserve">5M-AF20-8-15-OS</t>
  </si>
  <si>
    <t xml:space="preserve">5M-AF20-8-16-OS</t>
  </si>
  <si>
    <t xml:space="preserve">5M-AF20-8-20-OS</t>
  </si>
  <si>
    <t xml:space="preserve">5M-AF25-14-19-OS</t>
  </si>
  <si>
    <t xml:space="preserve">5M-AF38-15-30-MS</t>
  </si>
  <si>
    <t xml:space="preserve">5M-AF38-20-35-MS</t>
  </si>
  <si>
    <t xml:space="preserve">5M-BF100-8-15-MS</t>
  </si>
  <si>
    <t xml:space="preserve">5M-BF15-10-15-NO</t>
  </si>
  <si>
    <t xml:space="preserve">5M-BF15-12-15-OS</t>
  </si>
  <si>
    <t xml:space="preserve">5M-BF15-14-15-NO</t>
  </si>
  <si>
    <t xml:space="preserve">5M-BF15-6.35-10-NO</t>
  </si>
  <si>
    <t xml:space="preserve">5M-BF15-6.35-15-MS</t>
  </si>
  <si>
    <t xml:space="preserve">5M-BF15-8-15-NO</t>
  </si>
  <si>
    <t xml:space="preserve">5M-BF18-10-15-NO</t>
  </si>
  <si>
    <t xml:space="preserve">5M-BF18-12-15-NO</t>
  </si>
  <si>
    <t xml:space="preserve">5M-BF18-12.7-13-CS</t>
  </si>
  <si>
    <t xml:space="preserve">Black carbon steel</t>
  </si>
  <si>
    <t xml:space="preserve">5M-BF18-12.7-15-MS-KW5x2.3</t>
  </si>
  <si>
    <t xml:space="preserve">5M-BF18-14-13-CS</t>
  </si>
  <si>
    <t xml:space="preserve">5M-BF18-14-15-MS-KW5x2.3</t>
  </si>
  <si>
    <t xml:space="preserve">5M-BF18-14-15-NO</t>
  </si>
  <si>
    <t xml:space="preserve">5M-BF18-6-15-NO</t>
  </si>
  <si>
    <t xml:space="preserve">5M-BF18-6.35-15-NO</t>
  </si>
  <si>
    <t xml:space="preserve">5M-BF18-8-15-OS</t>
  </si>
  <si>
    <t xml:space="preserve">5M-BF20-10-15-OS</t>
  </si>
  <si>
    <t xml:space="preserve">5M-BF20-10-20-OS</t>
  </si>
  <si>
    <t xml:space="preserve">5M-BF20-10-25-MS</t>
  </si>
  <si>
    <t xml:space="preserve">5M-BF20-12-15-CS</t>
  </si>
  <si>
    <t xml:space="preserve">5M-BF20-12-15-OS</t>
  </si>
  <si>
    <t xml:space="preserve">5M-BF20-12.7-15-CS</t>
  </si>
  <si>
    <t xml:space="preserve">5M-BF20-12.7-15-MS-KW5x2.3</t>
  </si>
  <si>
    <t xml:space="preserve">5M-BF20-14-13-OS-KW4x2</t>
  </si>
  <si>
    <t xml:space="preserve">keyway 4x2</t>
  </si>
  <si>
    <t xml:space="preserve">5M-BF20-14-15-CS</t>
  </si>
  <si>
    <t xml:space="preserve">5M-BF20-14-15-OS</t>
  </si>
  <si>
    <t xml:space="preserve">5M-BF20-14-15-OS-KW5x2.3</t>
  </si>
  <si>
    <t xml:space="preserve">5M-BF20-14-25-MS</t>
  </si>
  <si>
    <t xml:space="preserve">5M-BF20-14-26-MS</t>
  </si>
  <si>
    <t xml:space="preserve">5M-BF20-15-NA-CS</t>
  </si>
  <si>
    <t xml:space="preserve">Unspecified</t>
  </si>
  <si>
    <t xml:space="preserve">5M-BF20-5-15-OS</t>
  </si>
  <si>
    <t xml:space="preserve">5M-BF20-6.35-10-OS</t>
  </si>
  <si>
    <t xml:space="preserve">5M-BF20-6.35-15-OS</t>
  </si>
  <si>
    <t xml:space="preserve">5M-BF20-8-15-MS</t>
  </si>
  <si>
    <t xml:space="preserve">5M-BF20-8-25-MS</t>
  </si>
  <si>
    <t xml:space="preserve">5M-BF20-8-26-MS</t>
  </si>
  <si>
    <t xml:space="preserve">5M-BF22-8-15-OS</t>
  </si>
  <si>
    <t xml:space="preserve">5M-BF22-8-16-OS</t>
  </si>
  <si>
    <t xml:space="preserve">5M-BF25-14-NA-CS</t>
  </si>
  <si>
    <t xml:space="preserve">5M-BF25-19-NA-CS</t>
  </si>
  <si>
    <t xml:space="preserve">5M-BF30-10-15-NO</t>
  </si>
  <si>
    <t xml:space="preserve">5M-BF30-12-15-NO</t>
  </si>
  <si>
    <t xml:space="preserve">5M-BF30-14-15-OS</t>
  </si>
  <si>
    <t xml:space="preserve">5M-BF30-14-18-CS</t>
  </si>
  <si>
    <t xml:space="preserve">5M-BF30-19-18-CS</t>
  </si>
  <si>
    <t xml:space="preserve">5M-BF30-6.35-15-NO</t>
  </si>
  <si>
    <t xml:space="preserve">5M-BF30-8-15-OS</t>
  </si>
  <si>
    <t xml:space="preserve">5M-BF30-8-25-OS</t>
  </si>
  <si>
    <t xml:space="preserve">5M-BF36-10-15-MS</t>
  </si>
  <si>
    <t xml:space="preserve">5M-BF36-10-15-MS-KW4x1.8</t>
  </si>
  <si>
    <t xml:space="preserve">5M-BF36-10-16-OS</t>
  </si>
  <si>
    <t xml:space="preserve">5M-BF36-12-15-OS</t>
  </si>
  <si>
    <t xml:space="preserve">5M-BF36-14-15-OS</t>
  </si>
  <si>
    <t xml:space="preserve">5M-BF36-8-15-OS</t>
  </si>
  <si>
    <t xml:space="preserve">5M-BF40-10-15-NO</t>
  </si>
  <si>
    <t xml:space="preserve">5M-BF40-10-15-OB</t>
  </si>
  <si>
    <t xml:space="preserve">5M-BF40-12-15-OS</t>
  </si>
  <si>
    <t xml:space="preserve">5M-BF40-14-15-NO</t>
  </si>
  <si>
    <t xml:space="preserve">5M-BF40-6.35-15-NO</t>
  </si>
  <si>
    <t xml:space="preserve">5M-BF40-8-15-NO</t>
  </si>
  <si>
    <t xml:space="preserve">5M-BF40-8-25-OS</t>
  </si>
  <si>
    <t xml:space="preserve">5M-BF60-10-15-NO</t>
  </si>
  <si>
    <t xml:space="preserve">5M-BF60-12-15-OS</t>
  </si>
  <si>
    <t xml:space="preserve">5M-BF60-14-15-NO</t>
  </si>
  <si>
    <t xml:space="preserve">5M-BF60-6.35-15-NO</t>
  </si>
  <si>
    <t xml:space="preserve">5M-BF60-8-15-MS</t>
  </si>
  <si>
    <t xml:space="preserve">5M-BF60-8-25-MS</t>
  </si>
  <si>
    <t xml:space="preserve">5M-BF80-10-15-MS</t>
  </si>
  <si>
    <t xml:space="preserve">5M-BF80-8-15-MS</t>
  </si>
  <si>
    <t xml:space="preserve">5M-BF90-14-11-CS-TN</t>
  </si>
  <si>
    <t xml:space="preserve">thin</t>
  </si>
  <si>
    <t xml:space="preserve">5M-BF90-14-13-CS-TK</t>
  </si>
  <si>
    <t xml:space="preserve">5M-BF90-19-13-CS</t>
  </si>
  <si>
    <t xml:space="preserve">5M-IDS15-8-15-OS</t>
  </si>
  <si>
    <t xml:space="preserve">5M-IDS15-8-16-MS</t>
  </si>
  <si>
    <t xml:space="preserve">5M-IDS18-8-15-OS</t>
  </si>
  <si>
    <t xml:space="preserve">5M-IDS20-10-15-OS</t>
  </si>
  <si>
    <t xml:space="preserve">5M-IDS20-8-15-MS</t>
  </si>
  <si>
    <t xml:space="preserve">5M-IDS20-8-16-OS</t>
  </si>
  <si>
    <t xml:space="preserve">5M-IDT15-5-15-MS</t>
  </si>
  <si>
    <t xml:space="preserve">5M-IDT15-8-15-MS</t>
  </si>
  <si>
    <t xml:space="preserve">5M-IDT20-10-15-OS</t>
  </si>
  <si>
    <t xml:space="preserve">5M-IDT20-6-13-NO</t>
  </si>
  <si>
    <t xml:space="preserve">5M-IDT20-8-15-OS</t>
  </si>
  <si>
    <t xml:space="preserve">5M-IDT24-8-20-OS</t>
  </si>
  <si>
    <t xml:space="preserve">5M-K10-6.35-10-OS</t>
  </si>
  <si>
    <t xml:space="preserve">5M-K10-8-15-OS</t>
  </si>
  <si>
    <t xml:space="preserve">5M-K12-10-20-MS</t>
  </si>
  <si>
    <t xml:space="preserve">5M-K12-6.35-15-NO</t>
  </si>
  <si>
    <t xml:space="preserve">5M-K12-8-15-OS</t>
  </si>
  <si>
    <t xml:space="preserve">5M-K12-8-20-MS</t>
  </si>
  <si>
    <t xml:space="preserve">5M-K15-12-15-OS</t>
  </si>
  <si>
    <t xml:space="preserve">5M-K15-14-15-NO</t>
  </si>
  <si>
    <t xml:space="preserve">5M-K15-6.35-15-OS</t>
  </si>
  <si>
    <t xml:space="preserve">5M-K15-8-15-NO</t>
  </si>
  <si>
    <t xml:space="preserve">MXL Timing Pulley (all types)  [MXL Pulleys]</t>
  </si>
  <si>
    <t xml:space="preserve">MXL-AF16-5-10-MS-NS</t>
  </si>
  <si>
    <t xml:space="preserve">MXL-AF16-5-6-MS-NS</t>
  </si>
  <si>
    <t xml:space="preserve">MXL-AF20-4-10-MS</t>
  </si>
  <si>
    <t xml:space="preserve">MXL-AF20-5-10-MS</t>
  </si>
  <si>
    <t xml:space="preserve">MXL-AF20-5-6-MB</t>
  </si>
  <si>
    <t xml:space="preserve">MXL-AF20-5-6-MS</t>
  </si>
  <si>
    <t xml:space="preserve">MXL-AF22-4-8-OS-NS</t>
  </si>
  <si>
    <t xml:space="preserve">MXL-AF32-8-10-MS</t>
  </si>
  <si>
    <t xml:space="preserve">MXL-BF150-12-10-OS</t>
  </si>
  <si>
    <t xml:space="preserve">MXL-BF22-6-8-OS</t>
  </si>
  <si>
    <t xml:space="preserve">MXL-BF32-6.35-6-OS</t>
  </si>
  <si>
    <t xml:space="preserve">MXL-IDS20-5-10-MS</t>
  </si>
  <si>
    <t xml:space="preserve">MXL-IDS50-5-15-OS</t>
  </si>
  <si>
    <t xml:space="preserve">MXL-IDT20-5-10-MS</t>
  </si>
  <si>
    <t xml:space="preserve">MXL-K14-5-10-OS</t>
  </si>
  <si>
    <t xml:space="preserve">MXL-K14-5-8-OS</t>
  </si>
  <si>
    <t xml:space="preserve">MXL-K20-4-10-OS</t>
  </si>
  <si>
    <t xml:space="preserve">MXL-K20-4-6-OS</t>
  </si>
  <si>
    <t xml:space="preserve">MXL-K20-5-10-OS</t>
  </si>
  <si>
    <t xml:space="preserve">MXL-K20-5-6-OS</t>
  </si>
  <si>
    <t xml:space="preserve">MXL-K20-6-10-OS</t>
  </si>
  <si>
    <t xml:space="preserve">MXL-K20-6-6-OS</t>
  </si>
  <si>
    <t xml:space="preserve">MXL-K20-6-6-POM</t>
  </si>
  <si>
    <t xml:space="preserve">MXL-K20-6.35-10-OS</t>
  </si>
  <si>
    <t xml:space="preserve">MXL-K20-6.35-6-OS</t>
  </si>
  <si>
    <t xml:space="preserve">MXL-K20-8-10-OS</t>
  </si>
  <si>
    <t xml:space="preserve">MXL-K20-8-6-OS</t>
  </si>
  <si>
    <t xml:space="preserve">MXL-K25-5-15-OS</t>
  </si>
  <si>
    <t xml:space="preserve">MXL-K25-6-15-OS</t>
  </si>
  <si>
    <t xml:space="preserve">MXL-K25-6.35-10-OS</t>
  </si>
  <si>
    <t xml:space="preserve">MXL-K25-6.35-15-OS</t>
  </si>
  <si>
    <t xml:space="preserve">MXL-K25-8-15-OS</t>
  </si>
  <si>
    <t xml:space="preserve">S3M / S5M / S1.5M Timing Pulley (all types)  [S3M / S5M / S1.5M Pulleys]</t>
  </si>
  <si>
    <t xml:space="preserve">S1.5M</t>
  </si>
  <si>
    <t xml:space="preserve">S1.5M-K19-4-NA-MS</t>
  </si>
  <si>
    <t xml:space="preserve">S3M-BF20-6.35-10-OS</t>
  </si>
  <si>
    <t xml:space="preserve">S3M-BF20-8-10-OS</t>
  </si>
  <si>
    <t xml:space="preserve">S3M-BF30-6.35-10-OS</t>
  </si>
  <si>
    <t xml:space="preserve">S3M-BF30-8-10-OS</t>
  </si>
  <si>
    <t xml:space="preserve">S3M-BF40-6.35-10-OS</t>
  </si>
  <si>
    <t xml:space="preserve">S3M-BF40-8-10-OS</t>
  </si>
  <si>
    <t xml:space="preserve">S3M-BF60-6.35-10-OS</t>
  </si>
  <si>
    <t xml:space="preserve">S3M-BF60-8-10-OS</t>
  </si>
  <si>
    <t xml:space="preserve">S3M-K18-8-10-OS</t>
  </si>
  <si>
    <t xml:space="preserve">S5M-IDT15-8-15-MS</t>
  </si>
  <si>
    <t xml:space="preserve">T2.5 Timing Pulley (all types)  [T2.5 Pulleys]</t>
  </si>
  <si>
    <t xml:space="preserve">T2.5-K15-5-10-OS</t>
  </si>
  <si>
    <t xml:space="preserve">T2.5-K15-5-6-OS</t>
  </si>
  <si>
    <t xml:space="preserve">T2.5-K16-5-6-OS</t>
  </si>
  <si>
    <t xml:space="preserve">T2.5-K16-6-6-MS</t>
  </si>
  <si>
    <t xml:space="preserve">T2.5-K20-5-6-MS</t>
  </si>
  <si>
    <t xml:space="preserve">T2.5-K20-6.35-6-OS</t>
  </si>
  <si>
    <t xml:space="preserve">XL Timing Pulley (all types)  [XL Pulleys]</t>
  </si>
  <si>
    <t xml:space="preserve">XL-AF15-10-6-OS</t>
  </si>
  <si>
    <t xml:space="preserve">XL-AF23-8-10-OS</t>
  </si>
  <si>
    <t xml:space="preserve">XL-AF25-8-17-OS</t>
  </si>
  <si>
    <t xml:space="preserve">XL-BF10-5-10-OS</t>
  </si>
  <si>
    <t xml:space="preserve">XL-BF10-6-10-OS</t>
  </si>
  <si>
    <t xml:space="preserve">XL-BF10-6.35-10-OS</t>
  </si>
  <si>
    <t xml:space="preserve">XL-BF20-5-10-OS</t>
  </si>
  <si>
    <t xml:space="preserve">XL-BF23-12-10-OS</t>
  </si>
  <si>
    <t xml:space="preserve">XL-BF30-10-10-OS</t>
  </si>
  <si>
    <t xml:space="preserve">XL-BF30-12-10-OS</t>
  </si>
  <si>
    <t xml:space="preserve">XL-BF30-5-10-OS</t>
  </si>
  <si>
    <t xml:space="preserve">XL-BF30-6.35-10-OS</t>
  </si>
  <si>
    <t xml:space="preserve">XL-BF30-8-10-OS</t>
  </si>
  <si>
    <t xml:space="preserve">XL-K10-5-10-OS</t>
  </si>
  <si>
    <t xml:space="preserve">XL-K10-6-10-OS</t>
  </si>
  <si>
    <t xml:space="preserve">XL-K10-6.35-10-OS</t>
  </si>
  <si>
    <t xml:space="preserve">XL-K11-8-10-OS</t>
  </si>
  <si>
    <t xml:space="preserve">A-Section V-Belt Pulley, Aluminum  [V-Belt Pulleys]</t>
  </si>
  <si>
    <t xml:space="preserve">Inner Diameter (mm)</t>
  </si>
  <si>
    <t xml:space="preserve">A-type single slot OD 20mm</t>
  </si>
  <si>
    <t xml:space="preserve">TP-006-5-AX-DC-WJ20</t>
  </si>
  <si>
    <t xml:space="preserve">TP-006-5-AX-DC-WJ30</t>
  </si>
  <si>
    <t xml:space="preserve">A-type single slot OD 30mm</t>
  </si>
  <si>
    <t xml:space="preserve">TP-006-5-AX-DC-WJ40</t>
  </si>
  <si>
    <t xml:space="preserve">A-type single slot OD 40mm</t>
  </si>
  <si>
    <t xml:space="preserve">TP-006-5-AX-DC-WJ50</t>
  </si>
  <si>
    <t xml:space="preserve">A-type single slot OD 50mm</t>
  </si>
  <si>
    <t xml:space="preserve">TP-006-5-AX-DC-WJ60</t>
  </si>
  <si>
    <t xml:space="preserve">A-type single slot OD 60mm</t>
  </si>
  <si>
    <t xml:space="preserve">TP-006-5-AX-DC-WJ80</t>
  </si>
  <si>
    <t xml:space="preserve">A-type single slot OD 80mm</t>
  </si>
  <si>
    <t xml:space="preserve">TP-006-6-AX-DC-WJ60</t>
  </si>
  <si>
    <t xml:space="preserve">TP-006-8-AX-DC-WJ20</t>
  </si>
  <si>
    <t xml:space="preserve">TP-006-AX-DC-WJ20-NJ8-SET</t>
  </si>
  <si>
    <t xml:space="preserve">A-type single slot OD 20 ID 8 set</t>
  </si>
  <si>
    <t xml:space="preserve">M1.25 Helical Rack Gearbox  [Gears]</t>
  </si>
  <si>
    <t xml:space="preserve">1.25M spur gearbox</t>
  </si>
  <si>
    <t xml:space="preserve">TP-002-1.25MZCLH</t>
  </si>
  <si>
    <t xml:space="preserve">TP-002-1.25MZXCLH</t>
  </si>
  <si>
    <t xml:space="preserve">1.25M left helix gearbox</t>
  </si>
  <si>
    <t xml:space="preserve">TP-002-1.25MZZJ10ZXCLH</t>
  </si>
  <si>
    <t xml:space="preserve">1.25M long shaft + 10mm left helix gearbox</t>
  </si>
  <si>
    <t xml:space="preserve">TP-002-1.25MZZJ5ZXCLH</t>
  </si>
  <si>
    <t xml:space="preserve">1.25M long shaft + 5mm left helix gearbox</t>
  </si>
  <si>
    <t xml:space="preserve">TP-002-1.25MZZZCLH</t>
  </si>
  <si>
    <t xml:space="preserve">1.25M long-shaft spur gearbox</t>
  </si>
  <si>
    <t xml:space="preserve">Black Oxide Stepped Spur Gear (M1 / M1.5 / M2)  [Gears]</t>
  </si>
  <si>
    <t xml:space="preserve">1.5M 25T</t>
  </si>
  <si>
    <t xml:space="preserve">TP-001-10-1.5M-25C</t>
  </si>
  <si>
    <t xml:space="preserve">TP-001-10-1M-20C</t>
  </si>
  <si>
    <t xml:space="preserve">1M 20T</t>
  </si>
  <si>
    <t xml:space="preserve">TP-001-10-1M-25C</t>
  </si>
  <si>
    <t xml:space="preserve">1M 25T</t>
  </si>
  <si>
    <t xml:space="preserve">TP-001-12-1.5M-25C</t>
  </si>
  <si>
    <t xml:space="preserve">TP-001-14-2M-30C</t>
  </si>
  <si>
    <t xml:space="preserve">2M 30T</t>
  </si>
  <si>
    <t xml:space="preserve">TP-001-15-1.5M-25C</t>
  </si>
  <si>
    <t xml:space="preserve">TP-001-5x2.3-15-3M-20C-JC</t>
  </si>
  <si>
    <t xml:space="preserve">3M 20T keyway</t>
  </si>
  <si>
    <t xml:space="preserve">5x2.3</t>
  </si>
  <si>
    <t xml:space="preserve">TP-001-6-1.5M-25C</t>
  </si>
  <si>
    <t xml:space="preserve">TP-001-6.35-1.5M-25C</t>
  </si>
  <si>
    <t xml:space="preserve">TP-001-8-1.5M-15C</t>
  </si>
  <si>
    <t xml:space="preserve">1.5M 15T</t>
  </si>
  <si>
    <t xml:space="preserve">TP-001-8-1.5M-20C</t>
  </si>
  <si>
    <t xml:space="preserve">1.5M 20T</t>
  </si>
  <si>
    <t xml:space="preserve">TP-001-8-1.5M-25C</t>
  </si>
  <si>
    <t xml:space="preserve">TP-001-8-1M-15C</t>
  </si>
  <si>
    <t xml:space="preserve">1M 15T</t>
  </si>
  <si>
    <t xml:space="preserve">Left-Hand Helical Gear M1.25 20T, Bore 14  [Gears]</t>
  </si>
  <si>
    <t xml:space="preserve">Height (mm)</t>
  </si>
  <si>
    <t xml:space="preserve">Module</t>
  </si>
  <si>
    <t xml:space="preserve">bore 14</t>
  </si>
  <si>
    <t xml:space="preserve">20T</t>
  </si>
  <si>
    <t xml:space="preserve">1.25M</t>
  </si>
  <si>
    <t xml:space="preserve">TP-004-1.25M-20C-NK14-GD32</t>
  </si>
  <si>
    <t xml:space="preserve">TP-004-1.25M-25C-NJ14-GD35</t>
  </si>
  <si>
    <t xml:space="preserve">ID 14</t>
  </si>
  <si>
    <t xml:space="preserve">25T</t>
  </si>
  <si>
    <t xml:space="preserve">TP-004-1.25M-25C-NJ15-GD35</t>
  </si>
  <si>
    <t xml:space="preserve">ID 15</t>
  </si>
  <si>
    <t xml:space="preserve">TP-004-1.25M-25C-NJ16-GD35</t>
  </si>
  <si>
    <t xml:space="preserve">ID 16</t>
  </si>
  <si>
    <t xml:space="preserve">TP-004-1.25M-25C-NK19-GD35</t>
  </si>
  <si>
    <t xml:space="preserve">bore 19</t>
  </si>
  <si>
    <t xml:space="preserve">TP-004-1.25M-28C-NJ20-GD60</t>
  </si>
  <si>
    <t xml:space="preserve">ID 20</t>
  </si>
  <si>
    <t xml:space="preserve">28T</t>
  </si>
  <si>
    <t xml:space="preserve">TP-004-1.25M-30C-NJ20-GD45</t>
  </si>
  <si>
    <t xml:space="preserve">30T</t>
  </si>
  <si>
    <t xml:space="preserve">TP-004-1.25M-30C-NJ22-GD45</t>
  </si>
  <si>
    <t xml:space="preserve">ID 22</t>
  </si>
  <si>
    <t xml:space="preserve">TP-004-1.25M-30C-NJ25-GD60</t>
  </si>
  <si>
    <t xml:space="preserve">ID 25</t>
  </si>
  <si>
    <t xml:space="preserve">TP-004-1.25M-30C-NK14-GD45</t>
  </si>
  <si>
    <t xml:space="preserve">TP-004-1.25M-32C-NJ14-GD45</t>
  </si>
  <si>
    <t xml:space="preserve">32T</t>
  </si>
  <si>
    <t xml:space="preserve">TP-004-1.25M-32C-NJ16-GD45</t>
  </si>
  <si>
    <t xml:space="preserve">TP-004-1.25M-32C-NJ19-GD45</t>
  </si>
  <si>
    <t xml:space="preserve">ID 19</t>
  </si>
  <si>
    <t xml:space="preserve">TP-004-1.25M-32C-NJ20-GD45</t>
  </si>
  <si>
    <t xml:space="preserve">TP-004-1.25M-32C-NJ22-GD45</t>
  </si>
  <si>
    <t xml:space="preserve">TP-004-1.25M-40C-NJ22-GD45</t>
  </si>
  <si>
    <t xml:space="preserve">40T</t>
  </si>
  <si>
    <t xml:space="preserve">TP-004-1.25M-40C-NJ25-GD45</t>
  </si>
  <si>
    <t xml:space="preserve">TP-004-1.25M-40C-NJ32-GD45</t>
  </si>
  <si>
    <t xml:space="preserve">ID 32</t>
  </si>
  <si>
    <t xml:space="preserve">TP-004-1.25M-60C-NJ14-GD38</t>
  </si>
  <si>
    <t xml:space="preserve">60T</t>
  </si>
  <si>
    <t xml:space="preserve">TP-004-1.25M-60C-NJ19-GD38</t>
  </si>
  <si>
    <t xml:space="preserve">TP-004-1.25M-60C-NJ25-GD38</t>
  </si>
  <si>
    <t xml:space="preserve">TP-004-1.5M-25C-NK20-GD50</t>
  </si>
  <si>
    <t xml:space="preserve">bore 20</t>
  </si>
  <si>
    <t xml:space="preserve">1.5M</t>
  </si>
  <si>
    <t xml:space="preserve">TP-004-1.5M-28C-NK20-GD50</t>
  </si>
  <si>
    <t xml:space="preserve">Left-Hand Helical Gear M1.25 20T, Bore 15 / 16  [Gears]</t>
  </si>
  <si>
    <t xml:space="preserve">TP-005-NJ15</t>
  </si>
  <si>
    <t xml:space="preserve">TP-005-NJ16</t>
  </si>
  <si>
    <t xml:space="preserve">CNC Helical Pinion Shaft for Gearbox  [Gears]</t>
  </si>
  <si>
    <t xml:space="preserve">93 long spur</t>
  </si>
  <si>
    <t xml:space="preserve">TP-003-93ZZC</t>
  </si>
  <si>
    <t xml:space="preserve">TP-003-93ZZX</t>
  </si>
  <si>
    <t xml:space="preserve">93 long left helix</t>
  </si>
  <si>
    <t xml:space="preserve">TP-003-94ZZC</t>
  </si>
  <si>
    <t xml:space="preserve">94 long spur</t>
  </si>
  <si>
    <t xml:space="preserve">TP-003-94ZZXC</t>
  </si>
  <si>
    <t xml:space="preserve">94 long left helix</t>
  </si>
  <si>
    <t xml:space="preserve">TP-003-96ZZXC</t>
  </si>
  <si>
    <t xml:space="preserve">96 long left helix</t>
  </si>
  <si>
    <t xml:space="preserve">SB Rigid Clamp Coupling (all sizes)  [SB Rigid Clamp]</t>
  </si>
  <si>
    <t xml:space="preserve">D15×L20</t>
  </si>
  <si>
    <t xml:space="preserve">2x2</t>
  </si>
  <si>
    <t xml:space="preserve">SB-D15L20-2x2-SV</t>
  </si>
  <si>
    <t xml:space="preserve">SB-D15L20-4x4-SV</t>
  </si>
  <si>
    <t xml:space="preserve">4x4</t>
  </si>
  <si>
    <t xml:space="preserve">SB-D15L20-5x5-SV</t>
  </si>
  <si>
    <t xml:space="preserve">5x5</t>
  </si>
  <si>
    <t xml:space="preserve">SB-D15L20-5x6-SV</t>
  </si>
  <si>
    <t xml:space="preserve">5x6</t>
  </si>
  <si>
    <t xml:space="preserve">SB-D15L20-5x8-SV</t>
  </si>
  <si>
    <t xml:space="preserve">5x8</t>
  </si>
  <si>
    <t xml:space="preserve">SB-D16L16-2x2-SV</t>
  </si>
  <si>
    <t xml:space="preserve">D16×L16</t>
  </si>
  <si>
    <t xml:space="preserve">SB-D16L16-2x4-SV</t>
  </si>
  <si>
    <t xml:space="preserve">2x4</t>
  </si>
  <si>
    <t xml:space="preserve">SB-D16L16-2x5-SV</t>
  </si>
  <si>
    <t xml:space="preserve">2x5</t>
  </si>
  <si>
    <t xml:space="preserve">SB-D16L16-2x6-GS</t>
  </si>
  <si>
    <t xml:space="preserve">2x6</t>
  </si>
  <si>
    <t xml:space="preserve">SB-D16L16-2x8-SV</t>
  </si>
  <si>
    <t xml:space="preserve">2x8</t>
  </si>
  <si>
    <t xml:space="preserve">SB-D16L16-3.175x8-SV</t>
  </si>
  <si>
    <t xml:space="preserve">3.175x8</t>
  </si>
  <si>
    <t xml:space="preserve">SB-D16L16-3x5-SV</t>
  </si>
  <si>
    <t xml:space="preserve">3x5</t>
  </si>
  <si>
    <t xml:space="preserve">SB-D16L16-3x6-SV</t>
  </si>
  <si>
    <t xml:space="preserve">3x6</t>
  </si>
  <si>
    <t xml:space="preserve">SB-D16L16-3x8-SV</t>
  </si>
  <si>
    <t xml:space="preserve">3x8</t>
  </si>
  <si>
    <t xml:space="preserve">SB-D16L16-4x5-SV</t>
  </si>
  <si>
    <t xml:space="preserve">4x5</t>
  </si>
  <si>
    <t xml:space="preserve">SB-D16L16-4x6.35-SV</t>
  </si>
  <si>
    <t xml:space="preserve">4x6.35</t>
  </si>
  <si>
    <t xml:space="preserve">SB-D16L16-5x5-SV</t>
  </si>
  <si>
    <t xml:space="preserve">SB-D16L16-5x6-SV</t>
  </si>
  <si>
    <t xml:space="preserve">SB-D16L16-5x8-GS</t>
  </si>
  <si>
    <t xml:space="preserve">SB-D16L16-6.35x6.35-SV</t>
  </si>
  <si>
    <t xml:space="preserve">6.35x6.35</t>
  </si>
  <si>
    <t xml:space="preserve">SB-D16L16-6x6-SV</t>
  </si>
  <si>
    <t xml:space="preserve">6x6</t>
  </si>
  <si>
    <t xml:space="preserve">SB-D16L16-6x6.35-SV</t>
  </si>
  <si>
    <t xml:space="preserve">6x6.35</t>
  </si>
  <si>
    <t xml:space="preserve">SB-D16L16-8x8-SV</t>
  </si>
  <si>
    <t xml:space="preserve">8x8</t>
  </si>
  <si>
    <t xml:space="preserve">SB-D18L25-4x6-SV</t>
  </si>
  <si>
    <t xml:space="preserve">D18×L25</t>
  </si>
  <si>
    <t xml:space="preserve">4x6</t>
  </si>
  <si>
    <t xml:space="preserve">SB-D18L25-5x5-SV</t>
  </si>
  <si>
    <t xml:space="preserve">SB-D18L25-6x8-SV</t>
  </si>
  <si>
    <t xml:space="preserve">6x8</t>
  </si>
  <si>
    <t xml:space="preserve">SB-D20L20-10x10-SV</t>
  </si>
  <si>
    <t xml:space="preserve">D20×L20</t>
  </si>
  <si>
    <t xml:space="preserve">10x10</t>
  </si>
  <si>
    <t xml:space="preserve">SB-D20L20-2x10-SV</t>
  </si>
  <si>
    <t xml:space="preserve">2x10</t>
  </si>
  <si>
    <t xml:space="preserve">SB-D20L20-3.175x8-SV</t>
  </si>
  <si>
    <t xml:space="preserve">SB-D20L20-3x8-SV</t>
  </si>
  <si>
    <t xml:space="preserve">SB-D20L20-5x10-SV</t>
  </si>
  <si>
    <t xml:space="preserve">5x10</t>
  </si>
  <si>
    <t xml:space="preserve">SB-D20L20-5x5-BK</t>
  </si>
  <si>
    <t xml:space="preserve">SB-D20L20-5x5-BL</t>
  </si>
  <si>
    <t xml:space="preserve">Blue</t>
  </si>
  <si>
    <t xml:space="preserve">SB-D20L20-5x5-GD</t>
  </si>
  <si>
    <t xml:space="preserve">Gold</t>
  </si>
  <si>
    <t xml:space="preserve">SB-D20L20-5x5-RD</t>
  </si>
  <si>
    <t xml:space="preserve">SB-D20L20-5x5-SV</t>
  </si>
  <si>
    <t xml:space="preserve">SB-D20L20-5x8-SV</t>
  </si>
  <si>
    <t xml:space="preserve">SB-D20L20-6.35x10-SV</t>
  </si>
  <si>
    <t xml:space="preserve">6.35x10</t>
  </si>
  <si>
    <t xml:space="preserve">SB-D20L20-6.35x8-SV</t>
  </si>
  <si>
    <t xml:space="preserve">6.35x8</t>
  </si>
  <si>
    <t xml:space="preserve">SB-D20L20-6x10-SV</t>
  </si>
  <si>
    <t xml:space="preserve">6x10</t>
  </si>
  <si>
    <t xml:space="preserve">SB-D20L20-6x6-SV</t>
  </si>
  <si>
    <t xml:space="preserve">SB-D20L20-6x8-SV</t>
  </si>
  <si>
    <t xml:space="preserve">SB-D20L20-8x10-SV</t>
  </si>
  <si>
    <t xml:space="preserve">8x10</t>
  </si>
  <si>
    <t xml:space="preserve">SB-D20L20-8x8-SV</t>
  </si>
  <si>
    <t xml:space="preserve">SB-D20L25-10x10-SV</t>
  </si>
  <si>
    <t xml:space="preserve">D20×L25</t>
  </si>
  <si>
    <t xml:space="preserve">SB-D20L25-2x3-SV</t>
  </si>
  <si>
    <t xml:space="preserve">2x3</t>
  </si>
  <si>
    <t xml:space="preserve">SB-D20L25-2x4-SV</t>
  </si>
  <si>
    <t xml:space="preserve">SB-D20L25-2x5-SV</t>
  </si>
  <si>
    <t xml:space="preserve">SB-D20L25-2x6.35-SV</t>
  </si>
  <si>
    <t xml:space="preserve">2x6.35</t>
  </si>
  <si>
    <t xml:space="preserve">SB-D20L25-3.175x10-SV</t>
  </si>
  <si>
    <t xml:space="preserve">3.175x10</t>
  </si>
  <si>
    <t xml:space="preserve">SB-D20L25-3.175x4-SV</t>
  </si>
  <si>
    <t xml:space="preserve">3.175x4</t>
  </si>
  <si>
    <t xml:space="preserve">SB-D20L25-3x10-SV</t>
  </si>
  <si>
    <t xml:space="preserve">3x10</t>
  </si>
  <si>
    <t xml:space="preserve">SB-D20L25-3x3-SV</t>
  </si>
  <si>
    <t xml:space="preserve">3x3</t>
  </si>
  <si>
    <t xml:space="preserve">SB-D20L25-3x4-SV</t>
  </si>
  <si>
    <t xml:space="preserve">3x4</t>
  </si>
  <si>
    <t xml:space="preserve">SB-D20L25-3x5-SV</t>
  </si>
  <si>
    <t xml:space="preserve">SB-D20L25-3x6-SV</t>
  </si>
  <si>
    <t xml:space="preserve">SB-D20L25-3x6.35-SV</t>
  </si>
  <si>
    <t xml:space="preserve">3x6.35</t>
  </si>
  <si>
    <t xml:space="preserve">SB-D20L25-3x8-SV</t>
  </si>
  <si>
    <t xml:space="preserve">SB-D20L25-3x9.5-SV</t>
  </si>
  <si>
    <t xml:space="preserve">3x9.5</t>
  </si>
  <si>
    <t xml:space="preserve">SB-D20L25-4x10-SV</t>
  </si>
  <si>
    <t xml:space="preserve">4x10</t>
  </si>
  <si>
    <t xml:space="preserve">SB-D20L25-4x4-SV</t>
  </si>
  <si>
    <t xml:space="preserve">SB-D20L25-4x5-SV</t>
  </si>
  <si>
    <t xml:space="preserve">SB-D20L25-4x6-SV</t>
  </si>
  <si>
    <t xml:space="preserve">SB-D20L25-4x6.35-SV</t>
  </si>
  <si>
    <t xml:space="preserve">SB-D20L25-4x8-SV</t>
  </si>
  <si>
    <t xml:space="preserve">4x8</t>
  </si>
  <si>
    <t xml:space="preserve">SB-D20L25-4x9.5-SV</t>
  </si>
  <si>
    <t xml:space="preserve">4x9.5</t>
  </si>
  <si>
    <t xml:space="preserve">SB-D20L25-5x10-SV</t>
  </si>
  <si>
    <t xml:space="preserve">SB-D20L25-5x5-BK</t>
  </si>
  <si>
    <t xml:space="preserve">SB-D20L25-5x5-GS-B</t>
  </si>
  <si>
    <t xml:space="preserve">B type</t>
  </si>
  <si>
    <t xml:space="preserve">SB-D20L25-5x6-GS-A</t>
  </si>
  <si>
    <t xml:space="preserve">A type</t>
  </si>
  <si>
    <t xml:space="preserve">SB-D20L25-5x6-MS-B</t>
  </si>
  <si>
    <t xml:space="preserve">SB-D20L25-5x6.35-SV</t>
  </si>
  <si>
    <t xml:space="preserve">5x6.35</t>
  </si>
  <si>
    <t xml:space="preserve">SB-D20L25-5x7-SV</t>
  </si>
  <si>
    <t xml:space="preserve">5x7</t>
  </si>
  <si>
    <t xml:space="preserve">SB-D20L25-5x8-BK</t>
  </si>
  <si>
    <t xml:space="preserve">SB-D20L25-5x8-GS-A</t>
  </si>
  <si>
    <t xml:space="preserve">SB-D20L25-5x8-GS-B</t>
  </si>
  <si>
    <t xml:space="preserve">SB-D20L25-5x9.5-SV</t>
  </si>
  <si>
    <t xml:space="preserve">5x9.5</t>
  </si>
  <si>
    <t xml:space="preserve">SB-D20L25-6.35x10-SV</t>
  </si>
  <si>
    <t xml:space="preserve">SB-D20L25-6.35x6.35-SV</t>
  </si>
  <si>
    <t xml:space="preserve">SB-D20L25-6.35x8-SV</t>
  </si>
  <si>
    <t xml:space="preserve">SB-D20L25-6.35x9.5-SV</t>
  </si>
  <si>
    <t xml:space="preserve">6.35x9.5</t>
  </si>
  <si>
    <t xml:space="preserve">SB-D20L25-6x10-SV</t>
  </si>
  <si>
    <t xml:space="preserve">SB-D20L25-6x6-SV</t>
  </si>
  <si>
    <t xml:space="preserve">SB-D20L25-6x6.35-SV</t>
  </si>
  <si>
    <t xml:space="preserve">SB-D20L25-6x7-SV</t>
  </si>
  <si>
    <t xml:space="preserve">6x7</t>
  </si>
  <si>
    <t xml:space="preserve">SB-D20L25-6x8-SV</t>
  </si>
  <si>
    <t xml:space="preserve">SB-D20L25-6x9.5-SV</t>
  </si>
  <si>
    <t xml:space="preserve">6x9.5</t>
  </si>
  <si>
    <t xml:space="preserve">SB-D20L25-7x10-GS-A</t>
  </si>
  <si>
    <t xml:space="preserve">7x10</t>
  </si>
  <si>
    <t xml:space="preserve">SB-D20L25-7x7-SV</t>
  </si>
  <si>
    <t xml:space="preserve">7x7</t>
  </si>
  <si>
    <t xml:space="preserve">SB-D20L25-8x10-SV-A</t>
  </si>
  <si>
    <t xml:space="preserve">SB-D20L25-8x8-BK-A</t>
  </si>
  <si>
    <t xml:space="preserve">SB-D20L25-8x8-BL-A</t>
  </si>
  <si>
    <t xml:space="preserve">SB-D20L25-8x8-GD-A</t>
  </si>
  <si>
    <t xml:space="preserve">SB-D20L25-8x8-GS-B</t>
  </si>
  <si>
    <t xml:space="preserve">SB-D20L25-8x8-RD-A</t>
  </si>
  <si>
    <t xml:space="preserve">SB-D20L25-8x8-SV-A</t>
  </si>
  <si>
    <t xml:space="preserve">SB-D20L25-9.5x9.5-SV</t>
  </si>
  <si>
    <t xml:space="preserve">9.5x9.5</t>
  </si>
  <si>
    <t xml:space="preserve">SB-D20L30-3x3-SV</t>
  </si>
  <si>
    <t xml:space="preserve">D20×L30</t>
  </si>
  <si>
    <t xml:space="preserve">SB-D20L30-5x10-SV</t>
  </si>
  <si>
    <t xml:space="preserve">SB-D20L30-6.35x8-SV</t>
  </si>
  <si>
    <t xml:space="preserve">SB-D25L25-10x10-SV</t>
  </si>
  <si>
    <t xml:space="preserve">D25×L25</t>
  </si>
  <si>
    <t xml:space="preserve">SB-D25L25-12x12-SV</t>
  </si>
  <si>
    <t xml:space="preserve">12x12</t>
  </si>
  <si>
    <t xml:space="preserve">SB-D25L25-4x4-SV</t>
  </si>
  <si>
    <t xml:space="preserve">SB-D25L25-4x8-SV</t>
  </si>
  <si>
    <t xml:space="preserve">SB-D25L25-5x12-SV</t>
  </si>
  <si>
    <t xml:space="preserve">5x12</t>
  </si>
  <si>
    <t xml:space="preserve">SB-D25L25-5x8-SV</t>
  </si>
  <si>
    <t xml:space="preserve">SB-D25L25-6.35x12-SV</t>
  </si>
  <si>
    <t xml:space="preserve">6.35x12</t>
  </si>
  <si>
    <t xml:space="preserve">SB-D25L25-8x12-SV</t>
  </si>
  <si>
    <t xml:space="preserve">8x12</t>
  </si>
  <si>
    <t xml:space="preserve">SB-D25L25-8x8-SV</t>
  </si>
  <si>
    <t xml:space="preserve">SB-D25L30-10x10-SV</t>
  </si>
  <si>
    <t xml:space="preserve">D25×L30</t>
  </si>
  <si>
    <t xml:space="preserve">SB-D25L30-10x12-SV</t>
  </si>
  <si>
    <t xml:space="preserve">10x12</t>
  </si>
  <si>
    <t xml:space="preserve">SB-D25L30-12x12-SV</t>
  </si>
  <si>
    <t xml:space="preserve">SB-D25L30-5x10-SV</t>
  </si>
  <si>
    <t xml:space="preserve">SB-D25L30-5x12-SV</t>
  </si>
  <si>
    <t xml:space="preserve">SB-D25L30-5x5-SV</t>
  </si>
  <si>
    <t xml:space="preserve">SB-D25L30-5x8-SV</t>
  </si>
  <si>
    <t xml:space="preserve">SB-D25L30-6.35x10-SV</t>
  </si>
  <si>
    <t xml:space="preserve">SB-D25L30-6.35x12-SV</t>
  </si>
  <si>
    <t xml:space="preserve">SB-D25L30-6.35x6.35-SV</t>
  </si>
  <si>
    <t xml:space="preserve">SB-D25L30-6.35x8-SV</t>
  </si>
  <si>
    <t xml:space="preserve">SB-D25L30-6.5x8-SV</t>
  </si>
  <si>
    <t xml:space="preserve">6.5x8</t>
  </si>
  <si>
    <t xml:space="preserve">SB-D25L30-6x10-SV</t>
  </si>
  <si>
    <t xml:space="preserve">SB-D25L30-6x6-SV</t>
  </si>
  <si>
    <t xml:space="preserve">SB-D25L30-6x8-SV</t>
  </si>
  <si>
    <t xml:space="preserve">SB-D25L30-8x10-SV</t>
  </si>
  <si>
    <t xml:space="preserve">SB-D25L30-8x12-SV</t>
  </si>
  <si>
    <t xml:space="preserve">SB-D25L30-8x14-GS</t>
  </si>
  <si>
    <t xml:space="preserve">8x14</t>
  </si>
  <si>
    <t xml:space="preserve">SB-D25L30-8x8-SV</t>
  </si>
  <si>
    <t xml:space="preserve">SB-D25L30-9.52x12-SV</t>
  </si>
  <si>
    <t xml:space="preserve">9.52x12</t>
  </si>
  <si>
    <t xml:space="preserve">SB-D25L30-9x12-SV</t>
  </si>
  <si>
    <t xml:space="preserve">9x12</t>
  </si>
  <si>
    <t xml:space="preserve">SB-D25L40-10x10-SV</t>
  </si>
  <si>
    <t xml:space="preserve">D25×L40</t>
  </si>
  <si>
    <t xml:space="preserve">SB-D25L40-10x12-SV</t>
  </si>
  <si>
    <t xml:space="preserve">SB-D25L40-10x12-SV-S2</t>
  </si>
  <si>
    <t xml:space="preserve">2 screws</t>
  </si>
  <si>
    <t xml:space="preserve">SB-D25L40-5x6-SV</t>
  </si>
  <si>
    <t xml:space="preserve">SB-D25L40-5x8-SV</t>
  </si>
  <si>
    <t xml:space="preserve">SB-D25L40-6.35x10-SV</t>
  </si>
  <si>
    <t xml:space="preserve">SB-D25L40-6.35x12-SV</t>
  </si>
  <si>
    <t xml:space="preserve">SB-D25L40-6.35x6.35-SV</t>
  </si>
  <si>
    <t xml:space="preserve">SB-D25L40-6.35x8-SV</t>
  </si>
  <si>
    <t xml:space="preserve">SB-D25L40-6x12-SV</t>
  </si>
  <si>
    <t xml:space="preserve">6x12</t>
  </si>
  <si>
    <t xml:space="preserve">SB-D25L40-6x6-SV</t>
  </si>
  <si>
    <t xml:space="preserve">SB-D25L40-6x6.35-SV</t>
  </si>
  <si>
    <t xml:space="preserve">SB-D25L40-6x7-SV</t>
  </si>
  <si>
    <t xml:space="preserve">SB-D25L40-6x8-SV</t>
  </si>
  <si>
    <t xml:space="preserve">SB-D25L40-8x10-SV</t>
  </si>
  <si>
    <t xml:space="preserve">SB-D25L40-8x12-SV</t>
  </si>
  <si>
    <t xml:space="preserve">SB-D25L40-8x8-SV</t>
  </si>
  <si>
    <t xml:space="preserve">SB-D30L35-15x15-SV</t>
  </si>
  <si>
    <t xml:space="preserve">D30×L35</t>
  </si>
  <si>
    <t xml:space="preserve">15x15</t>
  </si>
  <si>
    <t xml:space="preserve">SB-D30L35-16x16-SV</t>
  </si>
  <si>
    <t xml:space="preserve">16x16</t>
  </si>
  <si>
    <t xml:space="preserve">SB-D30L35-5x12-SV</t>
  </si>
  <si>
    <t xml:space="preserve">SB-D30L35-5x14-SV</t>
  </si>
  <si>
    <t xml:space="preserve">5x14</t>
  </si>
  <si>
    <t xml:space="preserve">SB-D30L35-5x8-SV</t>
  </si>
  <si>
    <t xml:space="preserve">SB-D30L35-6.35x12-SV</t>
  </si>
  <si>
    <t xml:space="preserve">SB-D30L35-6x6-SV</t>
  </si>
  <si>
    <t xml:space="preserve">SB-D30L40-10x10-SV</t>
  </si>
  <si>
    <t xml:space="preserve">D30×L40</t>
  </si>
  <si>
    <t xml:space="preserve">SB-D30L40-10x12-SV</t>
  </si>
  <si>
    <t xml:space="preserve">SB-D30L40-10x12.7-SV</t>
  </si>
  <si>
    <t xml:space="preserve">10x12.7</t>
  </si>
  <si>
    <t xml:space="preserve">SB-D30L40-10x14-SV</t>
  </si>
  <si>
    <t xml:space="preserve">10x14</t>
  </si>
  <si>
    <t xml:space="preserve">SB-D30L40-11x11-SV</t>
  </si>
  <si>
    <t xml:space="preserve">11x11</t>
  </si>
  <si>
    <t xml:space="preserve">SB-D30L40-11x12-SV</t>
  </si>
  <si>
    <t xml:space="preserve">11x12</t>
  </si>
  <si>
    <t xml:space="preserve">SB-D30L40-11x14-SV</t>
  </si>
  <si>
    <t xml:space="preserve">11x14</t>
  </si>
  <si>
    <t xml:space="preserve">SB-D30L40-12.7x12.7-SV</t>
  </si>
  <si>
    <t xml:space="preserve">12.7x12.7</t>
  </si>
  <si>
    <t xml:space="preserve">SB-D30L40-12.7x14-SV</t>
  </si>
  <si>
    <t xml:space="preserve">12.7x14</t>
  </si>
  <si>
    <t xml:space="preserve">SB-D30L40-12.7x15-SV</t>
  </si>
  <si>
    <t xml:space="preserve">12.7x15</t>
  </si>
  <si>
    <t xml:space="preserve">SB-D30L40-12x12-SV</t>
  </si>
  <si>
    <t xml:space="preserve">SB-D30L40-12x12.7-SV</t>
  </si>
  <si>
    <t xml:space="preserve">12x12.7</t>
  </si>
  <si>
    <t xml:space="preserve">SB-D30L40-12x14-SV</t>
  </si>
  <si>
    <t xml:space="preserve">12x14</t>
  </si>
  <si>
    <t xml:space="preserve">SB-D30L40-12x15-SV</t>
  </si>
  <si>
    <t xml:space="preserve">12x15</t>
  </si>
  <si>
    <t xml:space="preserve">SB-D30L40-12x16-SV</t>
  </si>
  <si>
    <t xml:space="preserve">12x16</t>
  </si>
  <si>
    <t xml:space="preserve">SB-D30L40-13x15-SV</t>
  </si>
  <si>
    <t xml:space="preserve">13x15</t>
  </si>
  <si>
    <t xml:space="preserve">SB-D30L40-14x14-SV</t>
  </si>
  <si>
    <t xml:space="preserve">14x14</t>
  </si>
  <si>
    <t xml:space="preserve">SB-D30L40-14x15-SV</t>
  </si>
  <si>
    <t xml:space="preserve">14x15</t>
  </si>
  <si>
    <t xml:space="preserve">SB-D30L40-14x16-SV</t>
  </si>
  <si>
    <t xml:space="preserve">14x16</t>
  </si>
  <si>
    <t xml:space="preserve">SB-D30L40-16x16-SV</t>
  </si>
  <si>
    <t xml:space="preserve">SB-D30L40-5x10-SV</t>
  </si>
  <si>
    <t xml:space="preserve">SB-D30L40-5x12-SV</t>
  </si>
  <si>
    <t xml:space="preserve">SB-D30L40-5x16-SV</t>
  </si>
  <si>
    <t xml:space="preserve">5x16</t>
  </si>
  <si>
    <t xml:space="preserve">SB-D30L40-5x5-SV</t>
  </si>
  <si>
    <t xml:space="preserve">SB-D30L40-5x8-SV</t>
  </si>
  <si>
    <t xml:space="preserve">SB-D30L40-6.35x10-SV</t>
  </si>
  <si>
    <t xml:space="preserve">SB-D30L40-6.35x12.7-SV</t>
  </si>
  <si>
    <t xml:space="preserve">6.35x12.7</t>
  </si>
  <si>
    <t xml:space="preserve">SB-D30L40-6.35x16-SV</t>
  </si>
  <si>
    <t xml:space="preserve">6.35x16</t>
  </si>
  <si>
    <t xml:space="preserve">SB-D30L40-6.35x8-SV</t>
  </si>
  <si>
    <t xml:space="preserve">SB-D30L40-6x12.7-SV</t>
  </si>
  <si>
    <t xml:space="preserve">6x12.7</t>
  </si>
  <si>
    <t xml:space="preserve">SB-D30L40-8x10-SV</t>
  </si>
  <si>
    <t xml:space="preserve">SB-D30L40-8x12-GS</t>
  </si>
  <si>
    <t xml:space="preserve">SB-D30L40-8x12-MS</t>
  </si>
  <si>
    <t xml:space="preserve">SB-D30L40-8x12.7-SV</t>
  </si>
  <si>
    <t xml:space="preserve">8x12.7</t>
  </si>
  <si>
    <t xml:space="preserve">SB-D30L40-8x14-SV</t>
  </si>
  <si>
    <t xml:space="preserve">SB-D30L40-8x15-SV</t>
  </si>
  <si>
    <t xml:space="preserve">8x15</t>
  </si>
  <si>
    <t xml:space="preserve">SB-D30L40-8x16-SV</t>
  </si>
  <si>
    <t xml:space="preserve">8x16</t>
  </si>
  <si>
    <t xml:space="preserve">SB-D30L40-8x8-SV</t>
  </si>
  <si>
    <t xml:space="preserve">SB-D30L40-8x9.5-SV</t>
  </si>
  <si>
    <t xml:space="preserve">8x9.5</t>
  </si>
  <si>
    <t xml:space="preserve">SB-D30L40-9x14-SV</t>
  </si>
  <si>
    <t xml:space="preserve">9x14</t>
  </si>
  <si>
    <t xml:space="preserve">SB-D32L45-10x10-SV</t>
  </si>
  <si>
    <t xml:space="preserve">D32×L45</t>
  </si>
  <si>
    <t xml:space="preserve">SB-D32L45-8x14-SV</t>
  </si>
  <si>
    <t xml:space="preserve">SB-D40L50-16x16-SV</t>
  </si>
  <si>
    <t xml:space="preserve">D40×L50</t>
  </si>
  <si>
    <t xml:space="preserve">SB-D40L50-16x19-GS</t>
  </si>
  <si>
    <t xml:space="preserve">16x19</t>
  </si>
  <si>
    <t xml:space="preserve">SB-D40L50-8x10-SV</t>
  </si>
  <si>
    <t xml:space="preserve">SB-D40L50-8x12-SV</t>
  </si>
  <si>
    <t xml:space="preserve">SB-D40L50-8x8-SV</t>
  </si>
  <si>
    <t xml:space="preserve">SB-D40L55-10x14-SV</t>
  </si>
  <si>
    <t xml:space="preserve">D40×L55</t>
  </si>
  <si>
    <t xml:space="preserve">SB-D40L55-11x17-SV</t>
  </si>
  <si>
    <t xml:space="preserve">11x17</t>
  </si>
  <si>
    <t xml:space="preserve">SB-D40L55-12x14-SV</t>
  </si>
  <si>
    <t xml:space="preserve">SB-D40L55-14x14-SV</t>
  </si>
  <si>
    <t xml:space="preserve">SB-D40L55-14x17-GS</t>
  </si>
  <si>
    <t xml:space="preserve">14x17</t>
  </si>
  <si>
    <t xml:space="preserve">SB-D40L55-17x18-SV</t>
  </si>
  <si>
    <t xml:space="preserve">17x18</t>
  </si>
  <si>
    <t xml:space="preserve">SB-D40L55-17x20-SV</t>
  </si>
  <si>
    <t xml:space="preserve">17x20</t>
  </si>
  <si>
    <t xml:space="preserve">SB-D40L55-19x20-SV</t>
  </si>
  <si>
    <t xml:space="preserve">19x20</t>
  </si>
  <si>
    <t xml:space="preserve">SB-D40L55-20x20-SV</t>
  </si>
  <si>
    <t xml:space="preserve">20x20</t>
  </si>
  <si>
    <t xml:space="preserve">SB-D40L55-8x16-SV</t>
  </si>
  <si>
    <t xml:space="preserve">SB-D40L55-8x20-SV</t>
  </si>
  <si>
    <t xml:space="preserve">8x20</t>
  </si>
  <si>
    <t xml:space="preserve">SB-D40L55-8x8-SV</t>
  </si>
  <si>
    <t xml:space="preserve">SB-D40L60-10x16-SV</t>
  </si>
  <si>
    <t xml:space="preserve">D40×L60</t>
  </si>
  <si>
    <t xml:space="preserve">10x16</t>
  </si>
  <si>
    <t xml:space="preserve">SB-D40L60-12x20-SV</t>
  </si>
  <si>
    <t xml:space="preserve">12x20</t>
  </si>
  <si>
    <t xml:space="preserve">SB-D40L60-14x15-SV</t>
  </si>
  <si>
    <t xml:space="preserve">SB-D40L60-16x16-SV</t>
  </si>
  <si>
    <t xml:space="preserve">SB-D40L60-17x17-SV</t>
  </si>
  <si>
    <t xml:space="preserve">17x17</t>
  </si>
  <si>
    <t xml:space="preserve">SB-D40L60-20x20-SV-KW</t>
  </si>
  <si>
    <t xml:space="preserve">with keyway</t>
  </si>
  <si>
    <t xml:space="preserve">SB-D45L55-13x15-SV</t>
  </si>
  <si>
    <t xml:space="preserve">D45×L55</t>
  </si>
  <si>
    <t xml:space="preserve">SB-D45L55-8x12-SV</t>
  </si>
  <si>
    <t xml:space="preserve">SB-D55L65-9.5x9.5-SV</t>
  </si>
  <si>
    <t xml:space="preserve">D55×L65</t>
  </si>
  <si>
    <t xml:space="preserve">XB Jaw Clamp Coupling, Slit Type (all sizes)  [XB Jaw Clamp (Slit)]</t>
  </si>
  <si>
    <t xml:space="preserve">Spider</t>
  </si>
  <si>
    <t xml:space="preserve">Aluminum alloy</t>
  </si>
  <si>
    <t xml:space="preserve">Standard spider</t>
  </si>
  <si>
    <t xml:space="preserve">10.5x10.5</t>
  </si>
  <si>
    <t xml:space="preserve">XBQ-D20L25-10.5x10.5-SV</t>
  </si>
  <si>
    <t xml:space="preserve">XBQ-D20L25-10.5x10.5-SV-BP</t>
  </si>
  <si>
    <t xml:space="preserve">Blue spider</t>
  </si>
  <si>
    <t xml:space="preserve">XBQ-D20L25-10x10-BK-BP</t>
  </si>
  <si>
    <t xml:space="preserve">XBQ-D20L25-10x10-BK-RP</t>
  </si>
  <si>
    <t xml:space="preserve">Red spider</t>
  </si>
  <si>
    <t xml:space="preserve">XBQ-D20L25-10x10-SV</t>
  </si>
  <si>
    <t xml:space="preserve">XBQ-D20L25-10x10-SV-BP</t>
  </si>
  <si>
    <t xml:space="preserve">XBQ-D20L25-10x10.5-SV</t>
  </si>
  <si>
    <t xml:space="preserve">10x10.5</t>
  </si>
  <si>
    <t xml:space="preserve">XBQ-D20L25-10x10.5-SV-BP</t>
  </si>
  <si>
    <t xml:space="preserve">XBQ-D20L25-3.175x10-SV</t>
  </si>
  <si>
    <t xml:space="preserve">XBQ-D20L25-3.175x10-SV-BP</t>
  </si>
  <si>
    <t xml:space="preserve">XBQ-D20L25-3.175x10.5-SV</t>
  </si>
  <si>
    <t xml:space="preserve">3.175x10.5</t>
  </si>
  <si>
    <t xml:space="preserve">XBQ-D20L25-3.175x10.5-SV-BP</t>
  </si>
  <si>
    <t xml:space="preserve">XBQ-D20L25-3.175x3.175-SV</t>
  </si>
  <si>
    <t xml:space="preserve">3.175x3.175</t>
  </si>
  <si>
    <t xml:space="preserve">XBQ-D20L25-3.175x3.175-SV-BP</t>
  </si>
  <si>
    <t xml:space="preserve">XBQ-D20L25-3.175x4-SV</t>
  </si>
  <si>
    <t xml:space="preserve">XBQ-D20L25-3.175x4-SV-BP</t>
  </si>
  <si>
    <t xml:space="preserve">XBQ-D20L25-3.175x5-SV</t>
  </si>
  <si>
    <t xml:space="preserve">3.175x5</t>
  </si>
  <si>
    <t xml:space="preserve">XBQ-D20L25-3.175x5-SV-BP</t>
  </si>
  <si>
    <t xml:space="preserve">XBQ-D20L25-3.175x6-SV</t>
  </si>
  <si>
    <t xml:space="preserve">3.175x6</t>
  </si>
  <si>
    <t xml:space="preserve">XBQ-D20L25-3.175x6-SV-BP</t>
  </si>
  <si>
    <t xml:space="preserve">XBQ-D20L25-3.175x6.35-SV</t>
  </si>
  <si>
    <t xml:space="preserve">3.175x6.35</t>
  </si>
  <si>
    <t xml:space="preserve">XBQ-D20L25-3.175x6.35-SV-BP</t>
  </si>
  <si>
    <t xml:space="preserve">XBQ-D20L25-3.175x7-SV</t>
  </si>
  <si>
    <t xml:space="preserve">3.175x7</t>
  </si>
  <si>
    <t xml:space="preserve">XBQ-D20L25-3.175x7-SV-BP</t>
  </si>
  <si>
    <t xml:space="preserve">XBQ-D20L25-3.175x7.5-SV</t>
  </si>
  <si>
    <t xml:space="preserve">3.175x7.5</t>
  </si>
  <si>
    <t xml:space="preserve">XBQ-D20L25-3.175x7.5-SV-BP</t>
  </si>
  <si>
    <t xml:space="preserve">XBQ-D20L25-3.175x8-SV</t>
  </si>
  <si>
    <t xml:space="preserve">XBQ-D20L25-3.175x8-SV-BP</t>
  </si>
  <si>
    <t xml:space="preserve">XBQ-D20L25-3.175x9-SV</t>
  </si>
  <si>
    <t xml:space="preserve">3.175x9</t>
  </si>
  <si>
    <t xml:space="preserve">XBQ-D20L25-3.175x9-SV-BP</t>
  </si>
  <si>
    <t xml:space="preserve">XBQ-D20L25-3x10-SV</t>
  </si>
  <si>
    <t xml:space="preserve">XBQ-D20L25-3x10-SV-BP</t>
  </si>
  <si>
    <t xml:space="preserve">XBQ-D20L25-3x10.5-SV</t>
  </si>
  <si>
    <t xml:space="preserve">3x10.5</t>
  </si>
  <si>
    <t xml:space="preserve">XBQ-D20L25-3x10.5-SV-BP</t>
  </si>
  <si>
    <t xml:space="preserve">XBQ-D20L25-3x3-SV</t>
  </si>
  <si>
    <t xml:space="preserve">XBQ-D20L25-3x3-SV-BP</t>
  </si>
  <si>
    <t xml:space="preserve">XBQ-D20L25-3x3.175-SV</t>
  </si>
  <si>
    <t xml:space="preserve">3x3.175</t>
  </si>
  <si>
    <t xml:space="preserve">XBQ-D20L25-3x3.175-SV-BP</t>
  </si>
  <si>
    <t xml:space="preserve">XBQ-D20L25-3x4-SV</t>
  </si>
  <si>
    <t xml:space="preserve">XBQ-D20L25-3x4-SV-BP</t>
  </si>
  <si>
    <t xml:space="preserve">XBQ-D20L25-3x5-SV</t>
  </si>
  <si>
    <t xml:space="preserve">XBQ-D20L25-3x5-SV-BP</t>
  </si>
  <si>
    <t xml:space="preserve">XBQ-D20L25-3x6-SV</t>
  </si>
  <si>
    <t xml:space="preserve">XBQ-D20L25-3x6-SV-BP</t>
  </si>
  <si>
    <t xml:space="preserve">XBQ-D20L25-3x6.35-SV</t>
  </si>
  <si>
    <t xml:space="preserve">XBQ-D20L25-3x6.35-SV-BP</t>
  </si>
  <si>
    <t xml:space="preserve">XBQ-D20L25-3x7-SV</t>
  </si>
  <si>
    <t xml:space="preserve">3x7</t>
  </si>
  <si>
    <t xml:space="preserve">XBQ-D20L25-3x7-SV-BP</t>
  </si>
  <si>
    <t xml:space="preserve">XBQ-D20L25-3x7.5-SV</t>
  </si>
  <si>
    <t xml:space="preserve">3x7.5</t>
  </si>
  <si>
    <t xml:space="preserve">XBQ-D20L25-3x7.5-SV-BP</t>
  </si>
  <si>
    <t xml:space="preserve">XBQ-D20L25-3x8-SV</t>
  </si>
  <si>
    <t xml:space="preserve">XBQ-D20L25-3x8-SV-BP</t>
  </si>
  <si>
    <t xml:space="preserve">XBQ-D20L25-3x9-SV</t>
  </si>
  <si>
    <t xml:space="preserve">3x9</t>
  </si>
  <si>
    <t xml:space="preserve">XBQ-D20L25-3x9-SV-BP</t>
  </si>
  <si>
    <t xml:space="preserve">XBQ-D20L25-4x10-SV</t>
  </si>
  <si>
    <t xml:space="preserve">XBQ-D20L25-4x10-SV-BP</t>
  </si>
  <si>
    <t xml:space="preserve">XBQ-D20L25-4x10.5-SV</t>
  </si>
  <si>
    <t xml:space="preserve">4x10.5</t>
  </si>
  <si>
    <t xml:space="preserve">XBQ-D20L25-4x10.5-SV-BP</t>
  </si>
  <si>
    <t xml:space="preserve">XBQ-D20L25-4x4-SV</t>
  </si>
  <si>
    <t xml:space="preserve">XBQ-D20L25-4x4-SV-BP</t>
  </si>
  <si>
    <t xml:space="preserve">XBQ-D20L25-4x5-SV</t>
  </si>
  <si>
    <t xml:space="preserve">XBQ-D20L25-4x5-SV-BP</t>
  </si>
  <si>
    <t xml:space="preserve">XBQ-D20L25-4x6-SV</t>
  </si>
  <si>
    <t xml:space="preserve">XBQ-D20L25-4x6-SV-BP</t>
  </si>
  <si>
    <t xml:space="preserve">XBQ-D20L25-4x6.35-SV</t>
  </si>
  <si>
    <t xml:space="preserve">XBQ-D20L25-4x6.35-SV-BP</t>
  </si>
  <si>
    <t xml:space="preserve">XBQ-D20L25-4x7-SV</t>
  </si>
  <si>
    <t xml:space="preserve">4x7</t>
  </si>
  <si>
    <t xml:space="preserve">XBQ-D20L25-4x7-SV-BP</t>
  </si>
  <si>
    <t xml:space="preserve">XBQ-D20L25-4x7.5-SV</t>
  </si>
  <si>
    <t xml:space="preserve">4x7.5</t>
  </si>
  <si>
    <t xml:space="preserve">XBQ-D20L25-4x7.5-SV-BP</t>
  </si>
  <si>
    <t xml:space="preserve">XBQ-D20L25-4x8-SV</t>
  </si>
  <si>
    <t xml:space="preserve">XBQ-D20L25-4x8-SV-BP</t>
  </si>
  <si>
    <t xml:space="preserve">XBQ-D20L25-4x9-SV</t>
  </si>
  <si>
    <t xml:space="preserve">4x9</t>
  </si>
  <si>
    <t xml:space="preserve">XBQ-D20L25-4x9-SV-BP</t>
  </si>
  <si>
    <t xml:space="preserve">XBQ-D20L25-5x10-BK-BP</t>
  </si>
  <si>
    <t xml:space="preserve">XBQ-D20L25-5x10-BK-RP</t>
  </si>
  <si>
    <t xml:space="preserve">XBQ-D20L25-5x10-SV</t>
  </si>
  <si>
    <t xml:space="preserve">XBQ-D20L25-5x10-SV-BP</t>
  </si>
  <si>
    <t xml:space="preserve">XBQ-D20L25-5x10.5-SV</t>
  </si>
  <si>
    <t xml:space="preserve">5x10.5</t>
  </si>
  <si>
    <t xml:space="preserve">XBQ-D20L25-5x10.5-SV-BP</t>
  </si>
  <si>
    <t xml:space="preserve">XBQ-D20L25-5x5-BK-BP</t>
  </si>
  <si>
    <t xml:space="preserve">XBQ-D20L25-5x5-BK-RP</t>
  </si>
  <si>
    <t xml:space="preserve">XBQ-D20L25-5x5-SV</t>
  </si>
  <si>
    <t xml:space="preserve">XBQ-D20L25-5x5-SV-BP</t>
  </si>
  <si>
    <t xml:space="preserve">XBQ-D20L25-5x6-BK-BP</t>
  </si>
  <si>
    <t xml:space="preserve">XBQ-D20L25-5x6-BK-RP</t>
  </si>
  <si>
    <t xml:space="preserve">XBQ-D20L25-5x6-SV</t>
  </si>
  <si>
    <t xml:space="preserve">XBQ-D20L25-5x6-SV-BP</t>
  </si>
  <si>
    <t xml:space="preserve">XBQ-D20L25-5x6.35-BK-BP</t>
  </si>
  <si>
    <t xml:space="preserve">XBQ-D20L25-5x6.35-BK-RP</t>
  </si>
  <si>
    <t xml:space="preserve">XBQ-D20L25-5x6.35-SV</t>
  </si>
  <si>
    <t xml:space="preserve">XBQ-D20L25-5x6.35-SV-BP</t>
  </si>
  <si>
    <t xml:space="preserve">XBQ-D20L25-5x7-SV</t>
  </si>
  <si>
    <t xml:space="preserve">XBQ-D20L25-5x7-SV-BP</t>
  </si>
  <si>
    <t xml:space="preserve">XBQ-D20L25-5x7.5-SV</t>
  </si>
  <si>
    <t xml:space="preserve">5x7.5</t>
  </si>
  <si>
    <t xml:space="preserve">XBQ-D20L25-5x7.5-SV-BP</t>
  </si>
  <si>
    <t xml:space="preserve">XBQ-D20L25-5x8-BK-BP</t>
  </si>
  <si>
    <t xml:space="preserve">XBQ-D20L25-5x8-BK-RP</t>
  </si>
  <si>
    <t xml:space="preserve">XBQ-D20L25-5x8-SV</t>
  </si>
  <si>
    <t xml:space="preserve">XBQ-D20L25-5x8-SV-BP</t>
  </si>
  <si>
    <t xml:space="preserve">XBQ-D20L25-5x9-BK-BP</t>
  </si>
  <si>
    <t xml:space="preserve">5x9</t>
  </si>
  <si>
    <t xml:space="preserve">XBQ-D20L25-5x9-BK-RP</t>
  </si>
  <si>
    <t xml:space="preserve">XBQ-D20L25-5x9-SV</t>
  </si>
  <si>
    <t xml:space="preserve">XBQ-D20L25-5x9-SV-BP</t>
  </si>
  <si>
    <t xml:space="preserve">XBQ-D20L25-6.35x10-BK-BP</t>
  </si>
  <si>
    <t xml:space="preserve">XBQ-D20L25-6.35x10-BK-RP</t>
  </si>
  <si>
    <t xml:space="preserve">XBQ-D20L25-6.35x10-SV</t>
  </si>
  <si>
    <t xml:space="preserve">XBQ-D20L25-6.35x10-SV-BP</t>
  </si>
  <si>
    <t xml:space="preserve">XBQ-D20L25-6.35x10.5-SV</t>
  </si>
  <si>
    <t xml:space="preserve">6.35x10.5</t>
  </si>
  <si>
    <t xml:space="preserve">XBQ-D20L25-6.35x10.5-SV-BP</t>
  </si>
  <si>
    <t xml:space="preserve">XBQ-D20L25-6.35x6.35-BK-BP</t>
  </si>
  <si>
    <t xml:space="preserve">XBQ-D20L25-6.35x6.35-BK-RP</t>
  </si>
  <si>
    <t xml:space="preserve">XBQ-D20L25-6.35x6.35-SV</t>
  </si>
  <si>
    <t xml:space="preserve">XBQ-D20L25-6.35x6.35-SV-BP</t>
  </si>
  <si>
    <t xml:space="preserve">XBQ-D20L25-6.35x7-SV</t>
  </si>
  <si>
    <t xml:space="preserve">6.35x7</t>
  </si>
  <si>
    <t xml:space="preserve">XBQ-D20L25-6.35x7-SV-BP</t>
  </si>
  <si>
    <t xml:space="preserve">XBQ-D20L25-6.35x7.5-SV</t>
  </si>
  <si>
    <t xml:space="preserve">6.35x7.5</t>
  </si>
  <si>
    <t xml:space="preserve">XBQ-D20L25-6.35x7.5-SV-BP</t>
  </si>
  <si>
    <t xml:space="preserve">XBQ-D20L25-6.35x8-BK-BP</t>
  </si>
  <si>
    <t xml:space="preserve">XBQ-D20L25-6.35x8-BK-RP</t>
  </si>
  <si>
    <t xml:space="preserve">XBQ-D20L25-6.35x8-SV</t>
  </si>
  <si>
    <t xml:space="preserve">XBQ-D20L25-6.35x8-SV-BP</t>
  </si>
  <si>
    <t xml:space="preserve">XBQ-D20L25-6.35x9-BK-BP</t>
  </si>
  <si>
    <t xml:space="preserve">6.35x9</t>
  </si>
  <si>
    <t xml:space="preserve">XBQ-D20L25-6.35x9-BK-RP</t>
  </si>
  <si>
    <t xml:space="preserve">XBQ-D20L25-6.35x9-SV</t>
  </si>
  <si>
    <t xml:space="preserve">XBQ-D20L25-6.35x9-SV-BP</t>
  </si>
  <si>
    <t xml:space="preserve">XBQ-D20L25-6x10-BK-BP</t>
  </si>
  <si>
    <t xml:space="preserve">XBQ-D20L25-6x10-BK-RP</t>
  </si>
  <si>
    <t xml:space="preserve">XBQ-D20L25-6x10-SV</t>
  </si>
  <si>
    <t xml:space="preserve">XBQ-D20L25-6x10-SV-BP</t>
  </si>
  <si>
    <t xml:space="preserve">XBQ-D20L25-6x10.5-SV</t>
  </si>
  <si>
    <t xml:space="preserve">6x10.5</t>
  </si>
  <si>
    <t xml:space="preserve">XBQ-D20L25-6x10.5-SV-BP</t>
  </si>
  <si>
    <t xml:space="preserve">XBQ-D20L25-6x6-BK-BP</t>
  </si>
  <si>
    <t xml:space="preserve">XBQ-D20L25-6x6-BK-RP</t>
  </si>
  <si>
    <t xml:space="preserve">XBQ-D20L25-6x6-SV</t>
  </si>
  <si>
    <t xml:space="preserve">XBQ-D20L25-6x6-SV-BP</t>
  </si>
  <si>
    <t xml:space="preserve">XBQ-D20L25-6x6.35-BK-BP</t>
  </si>
  <si>
    <t xml:space="preserve">XBQ-D20L25-6x6.35-BK-RP</t>
  </si>
  <si>
    <t xml:space="preserve">XBQ-D20L25-6x6.35-SV</t>
  </si>
  <si>
    <t xml:space="preserve">XBQ-D20L25-6x6.35-SV-BP</t>
  </si>
  <si>
    <t xml:space="preserve">XBQ-D20L25-6x7-SV</t>
  </si>
  <si>
    <t xml:space="preserve">XBQ-D20L25-6x7-SV-BP</t>
  </si>
  <si>
    <t xml:space="preserve">XBQ-D20L25-6x7.5-SV</t>
  </si>
  <si>
    <t xml:space="preserve">6x7.5</t>
  </si>
  <si>
    <t xml:space="preserve">XBQ-D20L25-6x7.5-SV-BP</t>
  </si>
  <si>
    <t xml:space="preserve">XBQ-D20L25-6x8-BK-BP</t>
  </si>
  <si>
    <t xml:space="preserve">XBQ-D20L25-6x8-BK-RP</t>
  </si>
  <si>
    <t xml:space="preserve">XBQ-D20L25-6x8-SV</t>
  </si>
  <si>
    <t xml:space="preserve">XBQ-D20L25-6x8-SV-BP</t>
  </si>
  <si>
    <t xml:space="preserve">XBQ-D20L25-6x9-BK-BP</t>
  </si>
  <si>
    <t xml:space="preserve">6x9</t>
  </si>
  <si>
    <t xml:space="preserve">XBQ-D20L25-6x9-BK-RP</t>
  </si>
  <si>
    <t xml:space="preserve">XBQ-D20L25-6x9-SV</t>
  </si>
  <si>
    <t xml:space="preserve">XBQ-D20L25-6x9-SV-BP</t>
  </si>
  <si>
    <t xml:space="preserve">XBQ-D20L25-7.5x10-SV</t>
  </si>
  <si>
    <t xml:space="preserve">7.5x10</t>
  </si>
  <si>
    <t xml:space="preserve">XBQ-D20L25-7.5x10-SV-BP</t>
  </si>
  <si>
    <t xml:space="preserve">XBQ-D20L25-7.5x10.5-SV</t>
  </si>
  <si>
    <t xml:space="preserve">7.5x10.5</t>
  </si>
  <si>
    <t xml:space="preserve">XBQ-D20L25-7.5x10.5-SV-BP</t>
  </si>
  <si>
    <t xml:space="preserve">XBQ-D20L25-7.5x7.5-SV</t>
  </si>
  <si>
    <t xml:space="preserve">7.5x7.5</t>
  </si>
  <si>
    <t xml:space="preserve">XBQ-D20L25-7.5x7.5-SV-BP</t>
  </si>
  <si>
    <t xml:space="preserve">XBQ-D20L25-7.5x8-SV</t>
  </si>
  <si>
    <t xml:space="preserve">7.5x8</t>
  </si>
  <si>
    <t xml:space="preserve">XBQ-D20L25-7.5x8-SV-BP</t>
  </si>
  <si>
    <t xml:space="preserve">XBQ-D20L25-7.5x9-SV</t>
  </si>
  <si>
    <t xml:space="preserve">7.5x9</t>
  </si>
  <si>
    <t xml:space="preserve">XBQ-D20L25-7.5x9-SV-BP</t>
  </si>
  <si>
    <t xml:space="preserve">XBQ-D20L25-7x10-SV</t>
  </si>
  <si>
    <t xml:space="preserve">XBQ-D20L25-7x10-SV-BP</t>
  </si>
  <si>
    <t xml:space="preserve">XBQ-D20L25-7x10.5-SV</t>
  </si>
  <si>
    <t xml:space="preserve">7x10.5</t>
  </si>
  <si>
    <t xml:space="preserve">XBQ-D20L25-7x10.5-SV-BP</t>
  </si>
  <si>
    <t xml:space="preserve">XBQ-D20L25-7x7-SV</t>
  </si>
  <si>
    <t xml:space="preserve">XBQ-D20L25-7x7-SV-BP</t>
  </si>
  <si>
    <t xml:space="preserve">XBQ-D20L25-7x7.5-SV</t>
  </si>
  <si>
    <t xml:space="preserve">7x7.5</t>
  </si>
  <si>
    <t xml:space="preserve">XBQ-D20L25-7x7.5-SV-BP</t>
  </si>
  <si>
    <t xml:space="preserve">XBQ-D20L25-7x8-SV</t>
  </si>
  <si>
    <t xml:space="preserve">7x8</t>
  </si>
  <si>
    <t xml:space="preserve">XBQ-D20L25-7x8-SV-BP</t>
  </si>
  <si>
    <t xml:space="preserve">XBQ-D20L25-7x9-SV</t>
  </si>
  <si>
    <t xml:space="preserve">7x9</t>
  </si>
  <si>
    <t xml:space="preserve">XBQ-D20L25-7x9-SV-BP</t>
  </si>
  <si>
    <t xml:space="preserve">XBQ-D20L25-8x10-BK-BP</t>
  </si>
  <si>
    <t xml:space="preserve">XBQ-D20L25-8x10-BK-RP</t>
  </si>
  <si>
    <t xml:space="preserve">XBQ-D20L25-8x10-SV</t>
  </si>
  <si>
    <t xml:space="preserve">XBQ-D20L25-8x10-SV-BP</t>
  </si>
  <si>
    <t xml:space="preserve">XBQ-D20L25-8x10.5-SV</t>
  </si>
  <si>
    <t xml:space="preserve">8x10.5</t>
  </si>
  <si>
    <t xml:space="preserve">XBQ-D20L25-8x10.5-SV-BP</t>
  </si>
  <si>
    <t xml:space="preserve">XBQ-D20L25-8x8-BK-BP</t>
  </si>
  <si>
    <t xml:space="preserve">XBQ-D20L25-8x8-BK-RP</t>
  </si>
  <si>
    <t xml:space="preserve">XBQ-D20L25-8x8-SV</t>
  </si>
  <si>
    <t xml:space="preserve">XBQ-D20L25-8x8-SV-BP</t>
  </si>
  <si>
    <t xml:space="preserve">XBQ-D20L25-8x9-BK-BP</t>
  </si>
  <si>
    <t xml:space="preserve">8x9</t>
  </si>
  <si>
    <t xml:space="preserve">XBQ-D20L25-8x9-BK-RP</t>
  </si>
  <si>
    <t xml:space="preserve">XBQ-D20L25-8x9-SV</t>
  </si>
  <si>
    <t xml:space="preserve">XBQ-D20L25-8x9-SV-BP</t>
  </si>
  <si>
    <t xml:space="preserve">XBQ-D20L25-9x10-BK-BP</t>
  </si>
  <si>
    <t xml:space="preserve">9x10</t>
  </si>
  <si>
    <t xml:space="preserve">XBQ-D20L25-9x10-BK-RP</t>
  </si>
  <si>
    <t xml:space="preserve">XBQ-D20L25-9x10-SV</t>
  </si>
  <si>
    <t xml:space="preserve">XBQ-D20L25-9x10-SV-BP</t>
  </si>
  <si>
    <t xml:space="preserve">XBQ-D20L25-9x10.5-SV</t>
  </si>
  <si>
    <t xml:space="preserve">9x10.5</t>
  </si>
  <si>
    <t xml:space="preserve">XBQ-D20L25-9x10.5-SV-BP</t>
  </si>
  <si>
    <t xml:space="preserve">XBQ-D20L25-9x9-BK-BP</t>
  </si>
  <si>
    <t xml:space="preserve">9x9</t>
  </si>
  <si>
    <t xml:space="preserve">XBQ-D20L25-9x9-BK-RP</t>
  </si>
  <si>
    <t xml:space="preserve">XBQ-D20L25-9x9-SV</t>
  </si>
  <si>
    <t xml:space="preserve">XBQ-D20L25-9x9-SV-BP</t>
  </si>
  <si>
    <t xml:space="preserve">XBQ-D20L30-10x10-SV-BP</t>
  </si>
  <si>
    <t xml:space="preserve">XBQ-D20L30-10x10-SV-GP</t>
  </si>
  <si>
    <t xml:space="preserve">Green spider</t>
  </si>
  <si>
    <t xml:space="preserve">XBQ-D20L30-10x10-SV-RP</t>
  </si>
  <si>
    <t xml:space="preserve">XBQ-D20L30-3.175x10-SV-BP</t>
  </si>
  <si>
    <t xml:space="preserve">XBQ-D20L30-3.175x10-SV-GP</t>
  </si>
  <si>
    <t xml:space="preserve">XBQ-D20L30-3.175x10-SV-RP</t>
  </si>
  <si>
    <t xml:space="preserve">XBQ-D20L30-3.175x3.175-SV-BP</t>
  </si>
  <si>
    <t xml:space="preserve">XBQ-D20L30-3.175x3.175-SV-GP</t>
  </si>
  <si>
    <t xml:space="preserve">XBQ-D20L30-3.175x3.175-SV-RP</t>
  </si>
  <si>
    <t xml:space="preserve">XBQ-D20L30-3.175x4-SV-BP</t>
  </si>
  <si>
    <t xml:space="preserve">XBQ-D20L30-3.175x4-SV-GP</t>
  </si>
  <si>
    <t xml:space="preserve">XBQ-D20L30-3.175x4-SV-RP</t>
  </si>
  <si>
    <t xml:space="preserve">XBQ-D20L30-3.175x5-SV-BP</t>
  </si>
  <si>
    <t xml:space="preserve">XBQ-D20L30-3.175x5-SV-GP</t>
  </si>
  <si>
    <t xml:space="preserve">XBQ-D20L30-3.175x5-SV-RP</t>
  </si>
  <si>
    <t xml:space="preserve">XBQ-D20L30-3.175x6-SV-BP</t>
  </si>
  <si>
    <t xml:space="preserve">XBQ-D20L30-3.175x6-SV-GP</t>
  </si>
  <si>
    <t xml:space="preserve">XBQ-D20L30-3.175x6-SV-RP</t>
  </si>
  <si>
    <t xml:space="preserve">XBQ-D20L30-3.175x6.35-SV-BP</t>
  </si>
  <si>
    <t xml:space="preserve">XBQ-D20L30-3.175x6.35-SV-GP</t>
  </si>
  <si>
    <t xml:space="preserve">XBQ-D20L30-3.175x6.35-SV-RP</t>
  </si>
  <si>
    <t xml:space="preserve">XBQ-D20L30-3.175x7-SV-BP</t>
  </si>
  <si>
    <t xml:space="preserve">XBQ-D20L30-3.175x7-SV-GP</t>
  </si>
  <si>
    <t xml:space="preserve">XBQ-D20L30-3.175x7-SV-RP</t>
  </si>
  <si>
    <t xml:space="preserve">XBQ-D20L30-3.175x8-SV-BP</t>
  </si>
  <si>
    <t xml:space="preserve">XBQ-D20L30-3.175x8-SV-GP</t>
  </si>
  <si>
    <t xml:space="preserve">XBQ-D20L30-3.175x8-SV-RP</t>
  </si>
  <si>
    <t xml:space="preserve">XBQ-D20L30-3.175x9-SV-BP</t>
  </si>
  <si>
    <t xml:space="preserve">XBQ-D20L30-3.175x9-SV-GP</t>
  </si>
  <si>
    <t xml:space="preserve">XBQ-D20L30-3x10-SV-BP</t>
  </si>
  <si>
    <t xml:space="preserve">XBQ-D20L30-3x10-SV-GP</t>
  </si>
  <si>
    <t xml:space="preserve">XBQ-D20L30-3x10-SV-RP</t>
  </si>
  <si>
    <t xml:space="preserve">XBQ-D20L30-3x3-SV-BP</t>
  </si>
  <si>
    <t xml:space="preserve">XBQ-D20L30-3x3-SV-GP</t>
  </si>
  <si>
    <t xml:space="preserve">XBQ-D20L30-3x3-SV-RP</t>
  </si>
  <si>
    <t xml:space="preserve">XBQ-D20L30-3x3.175-SV-BP</t>
  </si>
  <si>
    <t xml:space="preserve">XBQ-D20L30-3x3.175-SV-GP</t>
  </si>
  <si>
    <t xml:space="preserve">XBQ-D20L30-3x3.175-SV-RP</t>
  </si>
  <si>
    <t xml:space="preserve">XBQ-D20L30-3x4-SV-BP</t>
  </si>
  <si>
    <t xml:space="preserve">XBQ-D20L30-3x4-SV-GP</t>
  </si>
  <si>
    <t xml:space="preserve">XBQ-D20L30-3x4-SV-RP</t>
  </si>
  <si>
    <t xml:space="preserve">XBQ-D20L30-3x5-SV-BP</t>
  </si>
  <si>
    <t xml:space="preserve">XBQ-D20L30-3x5-SV-GP</t>
  </si>
  <si>
    <t xml:space="preserve">XBQ-D20L30-3x5-SV-RP</t>
  </si>
  <si>
    <t xml:space="preserve">XBQ-D20L30-3x6-SV-BP</t>
  </si>
  <si>
    <t xml:space="preserve">XBQ-D20L30-3x6-SV-GP</t>
  </si>
  <si>
    <t xml:space="preserve">XBQ-D20L30-3x6-SV-RP</t>
  </si>
  <si>
    <t xml:space="preserve">XBQ-D20L30-3x6.35-SV-BP</t>
  </si>
  <si>
    <t xml:space="preserve">XBQ-D20L30-3x6.35-SV-GP</t>
  </si>
  <si>
    <t xml:space="preserve">XBQ-D20L30-3x6.35-SV-RP</t>
  </si>
  <si>
    <t xml:space="preserve">XBQ-D20L30-3x7-SV-BP</t>
  </si>
  <si>
    <t xml:space="preserve">XBQ-D20L30-3x7-SV-GP</t>
  </si>
  <si>
    <t xml:space="preserve">XBQ-D20L30-3x7-SV-RP</t>
  </si>
  <si>
    <t xml:space="preserve">XBQ-D20L30-3x8-SV-BP</t>
  </si>
  <si>
    <t xml:space="preserve">XBQ-D20L30-3x8-SV-GP</t>
  </si>
  <si>
    <t xml:space="preserve">XBQ-D20L30-3x8-SV-RP</t>
  </si>
  <si>
    <t xml:space="preserve">XBQ-D20L30-3x9-SV-BP</t>
  </si>
  <si>
    <t xml:space="preserve">XBQ-D20L30-3x9-SV-GP</t>
  </si>
  <si>
    <t xml:space="preserve">XBQ-D20L30-4.35x4.35-MS-BP</t>
  </si>
  <si>
    <t xml:space="preserve">4.35x4.35</t>
  </si>
  <si>
    <t xml:space="preserve">XBQ-D20L30-4x10-SV-BP</t>
  </si>
  <si>
    <t xml:space="preserve">XBQ-D20L30-4x10-SV-GP</t>
  </si>
  <si>
    <t xml:space="preserve">XBQ-D20L30-4x10-SV-RP</t>
  </si>
  <si>
    <t xml:space="preserve">XBQ-D20L30-4x4-SV-BP</t>
  </si>
  <si>
    <t xml:space="preserve">XBQ-D20L30-4x4-SV-GP</t>
  </si>
  <si>
    <t xml:space="preserve">XBQ-D20L30-4x4-SV-RP</t>
  </si>
  <si>
    <t xml:space="preserve">XBQ-D20L30-4x5-SV-BP</t>
  </si>
  <si>
    <t xml:space="preserve">XBQ-D20L30-4x5-SV-GP</t>
  </si>
  <si>
    <t xml:space="preserve">XBQ-D20L30-4x5-SV-RP</t>
  </si>
  <si>
    <t xml:space="preserve">XBQ-D20L30-4x6-SV-BP</t>
  </si>
  <si>
    <t xml:space="preserve">XBQ-D20L30-4x6-SV-GP</t>
  </si>
  <si>
    <t xml:space="preserve">XBQ-D20L30-4x6-SV-RP</t>
  </si>
  <si>
    <t xml:space="preserve">XBQ-D20L30-4x6.35-SV-BP</t>
  </si>
  <si>
    <t xml:space="preserve">XBQ-D20L30-4x6.35-SV-GP</t>
  </si>
  <si>
    <t xml:space="preserve">XBQ-D20L30-4x6.35-SV-RP</t>
  </si>
  <si>
    <t xml:space="preserve">XBQ-D20L30-4x7-SV-BP</t>
  </si>
  <si>
    <t xml:space="preserve">XBQ-D20L30-4x7-SV-GP</t>
  </si>
  <si>
    <t xml:space="preserve">XBQ-D20L30-4x7-SV-RP</t>
  </si>
  <si>
    <t xml:space="preserve">XBQ-D20L30-4x8-SV-BP</t>
  </si>
  <si>
    <t xml:space="preserve">XBQ-D20L30-4x8-SV-GP</t>
  </si>
  <si>
    <t xml:space="preserve">XBQ-D20L30-4x8-SV-RP</t>
  </si>
  <si>
    <t xml:space="preserve">XBQ-D20L30-4x9-SV-BP</t>
  </si>
  <si>
    <t xml:space="preserve">XBQ-D20L30-4x9-SV-GP</t>
  </si>
  <si>
    <t xml:space="preserve">XBQ-D20L30-5x10-SV-BP</t>
  </si>
  <si>
    <t xml:space="preserve">XBQ-D20L30-5x10-SV-GP</t>
  </si>
  <si>
    <t xml:space="preserve">XBQ-D20L30-5x10-SV-RP</t>
  </si>
  <si>
    <t xml:space="preserve">XBQ-D20L30-5x5-SV-BP</t>
  </si>
  <si>
    <t xml:space="preserve">XBQ-D20L30-5x5-SV-GP</t>
  </si>
  <si>
    <t xml:space="preserve">XBQ-D20L30-5x5-SV-RP</t>
  </si>
  <si>
    <t xml:space="preserve">XBQ-D20L30-5x6-SV-BP</t>
  </si>
  <si>
    <t xml:space="preserve">XBQ-D20L30-5x6-SV-GP</t>
  </si>
  <si>
    <t xml:space="preserve">XBQ-D20L30-5x6-SV-RP</t>
  </si>
  <si>
    <t xml:space="preserve">XBQ-D20L30-5x6.35-SV-BP</t>
  </si>
  <si>
    <t xml:space="preserve">XBQ-D20L30-5x6.35-SV-GP</t>
  </si>
  <si>
    <t xml:space="preserve">XBQ-D20L30-5x6.35-SV-RP</t>
  </si>
  <si>
    <t xml:space="preserve">XBQ-D20L30-5x7-SV-BP</t>
  </si>
  <si>
    <t xml:space="preserve">XBQ-D20L30-5x7-SV-GP</t>
  </si>
  <si>
    <t xml:space="preserve">XBQ-D20L30-5x7-SV-RP</t>
  </si>
  <si>
    <t xml:space="preserve">XBQ-D20L30-5x8-SV-BP</t>
  </si>
  <si>
    <t xml:space="preserve">XBQ-D20L30-5x8-SV-GP</t>
  </si>
  <si>
    <t xml:space="preserve">XBQ-D20L30-5x8-SV-RP</t>
  </si>
  <si>
    <t xml:space="preserve">XBQ-D20L30-5x9-SV-BP</t>
  </si>
  <si>
    <t xml:space="preserve">XBQ-D20L30-5x9-SV-GP</t>
  </si>
  <si>
    <t xml:space="preserve">XBQ-D20L30-5x9-SV-RP</t>
  </si>
  <si>
    <t xml:space="preserve">XBQ-D20L30-6.35x10-SV-BP</t>
  </si>
  <si>
    <t xml:space="preserve">XBQ-D20L30-6.35x10-SV-GP</t>
  </si>
  <si>
    <t xml:space="preserve">XBQ-D20L30-6.35x10-SV-RP</t>
  </si>
  <si>
    <t xml:space="preserve">XBQ-D20L30-6.35x6.35-SV-BP</t>
  </si>
  <si>
    <t xml:space="preserve">XBQ-D20L30-6.35x6.35-SV-GP</t>
  </si>
  <si>
    <t xml:space="preserve">XBQ-D20L30-6.35x6.35-SV-RP</t>
  </si>
  <si>
    <t xml:space="preserve">XBQ-D20L30-6.35x7-SV-BP</t>
  </si>
  <si>
    <t xml:space="preserve">XBQ-D20L30-6.35x7-SV-GP</t>
  </si>
  <si>
    <t xml:space="preserve">XBQ-D20L30-6.35x7-SV-RP</t>
  </si>
  <si>
    <t xml:space="preserve">XBQ-D20L30-6.35x8-SV-BP</t>
  </si>
  <si>
    <t xml:space="preserve">XBQ-D20L30-6.35x8-SV-GP</t>
  </si>
  <si>
    <t xml:space="preserve">XBQ-D20L30-6.35x8-SV-RP</t>
  </si>
  <si>
    <t xml:space="preserve">XBQ-D20L30-6.35x9-SV-BP</t>
  </si>
  <si>
    <t xml:space="preserve">XBQ-D20L30-6.35x9-SV-GP</t>
  </si>
  <si>
    <t xml:space="preserve">XBQ-D20L30-6.35x9-SV-RP</t>
  </si>
  <si>
    <t xml:space="preserve">XBQ-D20L30-6x10-SV-BP</t>
  </si>
  <si>
    <t xml:space="preserve">XBQ-D20L30-6x10-SV-GP</t>
  </si>
  <si>
    <t xml:space="preserve">XBQ-D20L30-6x10-SV-RP</t>
  </si>
  <si>
    <t xml:space="preserve">XBQ-D20L30-6x6-SV-BP</t>
  </si>
  <si>
    <t xml:space="preserve">XBQ-D20L30-6x6-SV-GP</t>
  </si>
  <si>
    <t xml:space="preserve">XBQ-D20L30-6x6-SV-RP</t>
  </si>
  <si>
    <t xml:space="preserve">XBQ-D20L30-6x6.35-SV-BP</t>
  </si>
  <si>
    <t xml:space="preserve">XBQ-D20L30-6x6.35-SV-GP</t>
  </si>
  <si>
    <t xml:space="preserve">XBQ-D20L30-6x6.35-SV-RP</t>
  </si>
  <si>
    <t xml:space="preserve">XBQ-D20L30-6x7-SV-BP</t>
  </si>
  <si>
    <t xml:space="preserve">XBQ-D20L30-6x7-SV-GP</t>
  </si>
  <si>
    <t xml:space="preserve">XBQ-D20L30-6x7-SV-RP</t>
  </si>
  <si>
    <t xml:space="preserve">XBQ-D20L30-6x8-SV-BP</t>
  </si>
  <si>
    <t xml:space="preserve">XBQ-D20L30-6x8-SV-GP</t>
  </si>
  <si>
    <t xml:space="preserve">XBQ-D20L30-6x8-SV-RP</t>
  </si>
  <si>
    <t xml:space="preserve">XBQ-D20L30-6x9-SV-BP</t>
  </si>
  <si>
    <t xml:space="preserve">XBQ-D20L30-6x9-SV-GP</t>
  </si>
  <si>
    <t xml:space="preserve">XBQ-D20L30-6x9-SV-RP</t>
  </si>
  <si>
    <t xml:space="preserve">XBQ-D20L30-7x10-SV-BP</t>
  </si>
  <si>
    <t xml:space="preserve">XBQ-D20L30-7x10-SV-GP</t>
  </si>
  <si>
    <t xml:space="preserve">XBQ-D20L30-7x10-SV-RP</t>
  </si>
  <si>
    <t xml:space="preserve">XBQ-D20L30-7x7-SV-BP</t>
  </si>
  <si>
    <t xml:space="preserve">XBQ-D20L30-7x7-SV-GP</t>
  </si>
  <si>
    <t xml:space="preserve">XBQ-D20L30-7x7-SV-RP</t>
  </si>
  <si>
    <t xml:space="preserve">XBQ-D20L30-7x8-SV-BP</t>
  </si>
  <si>
    <t xml:space="preserve">XBQ-D20L30-7x8-SV-GP</t>
  </si>
  <si>
    <t xml:space="preserve">XBQ-D20L30-7x8-SV-RP</t>
  </si>
  <si>
    <t xml:space="preserve">XBQ-D20L30-7x9-SV-BP</t>
  </si>
  <si>
    <t xml:space="preserve">XBQ-D20L30-7x9-SV-GP</t>
  </si>
  <si>
    <t xml:space="preserve">XBQ-D20L30-7x9-SV-RP</t>
  </si>
  <si>
    <t xml:space="preserve">XBQ-D20L30-8x10-SV-BP</t>
  </si>
  <si>
    <t xml:space="preserve">XBQ-D20L30-8x10-SV-GP</t>
  </si>
  <si>
    <t xml:space="preserve">XBQ-D20L30-8x10-SV-RP</t>
  </si>
  <si>
    <t xml:space="preserve">XBQ-D20L30-8x8-SV-BP</t>
  </si>
  <si>
    <t xml:space="preserve">XBQ-D20L30-8x8-SV-GP</t>
  </si>
  <si>
    <t xml:space="preserve">XBQ-D20L30-8x8-SV-RP</t>
  </si>
  <si>
    <t xml:space="preserve">XBQ-D20L30-8x9-SV-BP</t>
  </si>
  <si>
    <t xml:space="preserve">XBQ-D20L30-8x9-SV-GP</t>
  </si>
  <si>
    <t xml:space="preserve">XBQ-D20L30-8x9-SV-RP</t>
  </si>
  <si>
    <t xml:space="preserve">XBQ-D20L30-9x10-SV-BP</t>
  </si>
  <si>
    <t xml:space="preserve">XBQ-D20L30-9x10-SV-GP</t>
  </si>
  <si>
    <t xml:space="preserve">XBQ-D20L30-9x10-SV-RP</t>
  </si>
  <si>
    <t xml:space="preserve">XBQ-D20L30-9x9-SV-BP</t>
  </si>
  <si>
    <t xml:space="preserve">XBQ-D20L30-9x9-SV-GP</t>
  </si>
  <si>
    <t xml:space="preserve">XBQ-D20L30-9x9-SV-RP</t>
  </si>
  <si>
    <t xml:space="preserve">XBQ-D25L30-10x10-SV</t>
  </si>
  <si>
    <t xml:space="preserve">XBQ-D25L30-10x11-SV</t>
  </si>
  <si>
    <t xml:space="preserve">10x11</t>
  </si>
  <si>
    <t xml:space="preserve">XBQ-D25L30-10x12-SV</t>
  </si>
  <si>
    <t xml:space="preserve">XBQ-D25L30-10x12.7-SV</t>
  </si>
  <si>
    <t xml:space="preserve">XBQ-D25L30-11x11-SV</t>
  </si>
  <si>
    <t xml:space="preserve">XBQ-D25L30-11x12-SV</t>
  </si>
  <si>
    <t xml:space="preserve">XBQ-D25L30-11x12.7-SV</t>
  </si>
  <si>
    <t xml:space="preserve">11x12.7</t>
  </si>
  <si>
    <t xml:space="preserve">XBQ-D25L30-12.7x12.7-SV</t>
  </si>
  <si>
    <t xml:space="preserve">XBQ-D25L30-12x12-SV</t>
  </si>
  <si>
    <t xml:space="preserve">XBQ-D25L30-12x12.7-SV</t>
  </si>
  <si>
    <t xml:space="preserve">XBQ-D25L30-3x10-SV</t>
  </si>
  <si>
    <t xml:space="preserve">XBQ-D25L30-3x11-SV</t>
  </si>
  <si>
    <t xml:space="preserve">3x11</t>
  </si>
  <si>
    <t xml:space="preserve">XBQ-D25L30-3x12-SV</t>
  </si>
  <si>
    <t xml:space="preserve">3x12</t>
  </si>
  <si>
    <t xml:space="preserve">XBQ-D25L30-3x12.7-SV</t>
  </si>
  <si>
    <t xml:space="preserve">3x12.7</t>
  </si>
  <si>
    <t xml:space="preserve">XBQ-D25L30-3x3-SV</t>
  </si>
  <si>
    <t xml:space="preserve">XBQ-D25L30-3x4-SV</t>
  </si>
  <si>
    <t xml:space="preserve">XBQ-D25L30-3x5-SV</t>
  </si>
  <si>
    <t xml:space="preserve">XBQ-D25L30-3x6-SV</t>
  </si>
  <si>
    <t xml:space="preserve">XBQ-D25L30-3x6.35-SV</t>
  </si>
  <si>
    <t xml:space="preserve">XBQ-D25L30-3x7-SV</t>
  </si>
  <si>
    <t xml:space="preserve">XBQ-D25L30-3x8-SV</t>
  </si>
  <si>
    <t xml:space="preserve">XBQ-D25L30-3x9-SV</t>
  </si>
  <si>
    <t xml:space="preserve">XBQ-D25L30-3x9.5-SV</t>
  </si>
  <si>
    <t xml:space="preserve">XBQ-D25L30-4x10-SV</t>
  </si>
  <si>
    <t xml:space="preserve">XBQ-D25L30-4x11-SV</t>
  </si>
  <si>
    <t xml:space="preserve">4x11</t>
  </si>
  <si>
    <t xml:space="preserve">XBQ-D25L30-4x12-SV</t>
  </si>
  <si>
    <t xml:space="preserve">4x12</t>
  </si>
  <si>
    <t xml:space="preserve">XBQ-D25L30-4x12.7-SV</t>
  </si>
  <si>
    <t xml:space="preserve">4x12.7</t>
  </si>
  <si>
    <t xml:space="preserve">XBQ-D25L30-4x4-SV</t>
  </si>
  <si>
    <t xml:space="preserve">XBQ-D25L30-4x5-SV</t>
  </si>
  <si>
    <t xml:space="preserve">XBQ-D25L30-4x6-SV</t>
  </si>
  <si>
    <t xml:space="preserve">XBQ-D25L30-4x6.35-SV</t>
  </si>
  <si>
    <t xml:space="preserve">XBQ-D25L30-4x7-SV</t>
  </si>
  <si>
    <t xml:space="preserve">XBQ-D25L30-4x8-SV</t>
  </si>
  <si>
    <t xml:space="preserve">XBQ-D25L30-4x9-SV</t>
  </si>
  <si>
    <t xml:space="preserve">XBQ-D25L30-4x9.5-SV</t>
  </si>
  <si>
    <t xml:space="preserve">XBQ-D25L30-5x10-SV</t>
  </si>
  <si>
    <t xml:space="preserve">XBQ-D25L30-5x11-SV</t>
  </si>
  <si>
    <t xml:space="preserve">5x11</t>
  </si>
  <si>
    <t xml:space="preserve">XBQ-D25L30-5x12-SV</t>
  </si>
  <si>
    <t xml:space="preserve">XBQ-D25L30-5x12.7-SV</t>
  </si>
  <si>
    <t xml:space="preserve">5x12.7</t>
  </si>
  <si>
    <t xml:space="preserve">XBQ-D25L30-5x5-SV</t>
  </si>
  <si>
    <t xml:space="preserve">XBQ-D25L30-5x6-SV</t>
  </si>
  <si>
    <t xml:space="preserve">XBQ-D25L30-5x6.35-SV</t>
  </si>
  <si>
    <t xml:space="preserve">XBQ-D25L30-5x7-SV</t>
  </si>
  <si>
    <t xml:space="preserve">XBQ-D25L30-5x8-SV</t>
  </si>
  <si>
    <t xml:space="preserve">XBQ-D25L30-5x9-SV</t>
  </si>
  <si>
    <t xml:space="preserve">XBQ-D25L30-5x9.5-SV</t>
  </si>
  <si>
    <t xml:space="preserve">XBQ-D25L30-6.35x10-SV</t>
  </si>
  <si>
    <t xml:space="preserve">XBQ-D25L30-6.35x11-SV</t>
  </si>
  <si>
    <t xml:space="preserve">6.35x11</t>
  </si>
  <si>
    <t xml:space="preserve">XBQ-D25L30-6.35x12-SV</t>
  </si>
  <si>
    <t xml:space="preserve">XBQ-D25L30-6.35x12.7-SV</t>
  </si>
  <si>
    <t xml:space="preserve">XBQ-D25L30-6.35x6.35-SV</t>
  </si>
  <si>
    <t xml:space="preserve">XBQ-D25L30-6.35x7-SV</t>
  </si>
  <si>
    <t xml:space="preserve">XBQ-D25L30-6.35x8-SV</t>
  </si>
  <si>
    <t xml:space="preserve">XBQ-D25L30-6.35x9-SV</t>
  </si>
  <si>
    <t xml:space="preserve">XBQ-D25L30-6.35x9.5-SV</t>
  </si>
  <si>
    <t xml:space="preserve">XBQ-D25L30-6x10-SV</t>
  </si>
  <si>
    <t xml:space="preserve">XBQ-D25L30-6x11-SV</t>
  </si>
  <si>
    <t xml:space="preserve">6x11</t>
  </si>
  <si>
    <t xml:space="preserve">XBQ-D25L30-6x12-SV</t>
  </si>
  <si>
    <t xml:space="preserve">XBQ-D25L30-6x12.7-SV</t>
  </si>
  <si>
    <t xml:space="preserve">XBQ-D25L30-6x6-SV</t>
  </si>
  <si>
    <t xml:space="preserve">XBQ-D25L30-6x6.35-SV</t>
  </si>
  <si>
    <t xml:space="preserve">XBQ-D25L30-6x7-SV</t>
  </si>
  <si>
    <t xml:space="preserve">XBQ-D25L30-6x8-SV</t>
  </si>
  <si>
    <t xml:space="preserve">XBQ-D25L30-6x9-SV</t>
  </si>
  <si>
    <t xml:space="preserve">XBQ-D25L30-6x9.5-SV</t>
  </si>
  <si>
    <t xml:space="preserve">XBQ-D25L30-7x10-SV</t>
  </si>
  <si>
    <t xml:space="preserve">XBQ-D25L30-7x11-SV</t>
  </si>
  <si>
    <t xml:space="preserve">7x11</t>
  </si>
  <si>
    <t xml:space="preserve">XBQ-D25L30-7x12-SV</t>
  </si>
  <si>
    <t xml:space="preserve">7x12</t>
  </si>
  <si>
    <t xml:space="preserve">XBQ-D25L30-7x12.7-SV</t>
  </si>
  <si>
    <t xml:space="preserve">7x12.7</t>
  </si>
  <si>
    <t xml:space="preserve">XBQ-D25L30-7x7-SV</t>
  </si>
  <si>
    <t xml:space="preserve">XBQ-D25L30-7x8-SV</t>
  </si>
  <si>
    <t xml:space="preserve">XBQ-D25L30-7x9-SV</t>
  </si>
  <si>
    <t xml:space="preserve">XBQ-D25L30-7x9.5-SV</t>
  </si>
  <si>
    <t xml:space="preserve">7x9.5</t>
  </si>
  <si>
    <t xml:space="preserve">XBQ-D25L30-8x10-SS304</t>
  </si>
  <si>
    <t xml:space="preserve">Natural</t>
  </si>
  <si>
    <t xml:space="preserve">304 Stainless</t>
  </si>
  <si>
    <t xml:space="preserve">XBQ-D25L30-8x10-SV</t>
  </si>
  <si>
    <t xml:space="preserve">XBQ-D25L30-8x11-SV</t>
  </si>
  <si>
    <t xml:space="preserve">8x11</t>
  </si>
  <si>
    <t xml:space="preserve">XBQ-D25L30-8x12-SV</t>
  </si>
  <si>
    <t xml:space="preserve">XBQ-D25L30-8x12.7-SV</t>
  </si>
  <si>
    <t xml:space="preserve">XBQ-D25L30-8x8-SV</t>
  </si>
  <si>
    <t xml:space="preserve">XBQ-D25L30-8x9-SV</t>
  </si>
  <si>
    <t xml:space="preserve">XBQ-D25L30-8x9.5-SV</t>
  </si>
  <si>
    <t xml:space="preserve">XBQ-D25L30-8x9.52-SS304</t>
  </si>
  <si>
    <t xml:space="preserve">8x9.52</t>
  </si>
  <si>
    <t xml:space="preserve">XBQ-D25L30-9.5x10-SV</t>
  </si>
  <si>
    <t xml:space="preserve">9.5x10</t>
  </si>
  <si>
    <t xml:space="preserve">XBQ-D25L30-9.5x11-SV</t>
  </si>
  <si>
    <t xml:space="preserve">9.5x11</t>
  </si>
  <si>
    <t xml:space="preserve">XBQ-D25L30-9.5x12-SV</t>
  </si>
  <si>
    <t xml:space="preserve">9.5x12</t>
  </si>
  <si>
    <t xml:space="preserve">XBQ-D25L30-9.5x12.7-SV</t>
  </si>
  <si>
    <t xml:space="preserve">9.5x12.7</t>
  </si>
  <si>
    <t xml:space="preserve">XBQ-D25L30-9.5x9.5-SV</t>
  </si>
  <si>
    <t xml:space="preserve">XBQ-D25L30-9x10-SV</t>
  </si>
  <si>
    <t xml:space="preserve">XBQ-D25L30-9x11-SV</t>
  </si>
  <si>
    <t xml:space="preserve">9x11</t>
  </si>
  <si>
    <t xml:space="preserve">XBQ-D25L30-9x12-SV</t>
  </si>
  <si>
    <t xml:space="preserve">XBQ-D25L30-9x12.7-SV</t>
  </si>
  <si>
    <t xml:space="preserve">9x12.7</t>
  </si>
  <si>
    <t xml:space="preserve">XBQ-D25L30-9x9-SV</t>
  </si>
  <si>
    <t xml:space="preserve">XBQ-D25L30-9x9.5-SV</t>
  </si>
  <si>
    <t xml:space="preserve">9x9.5</t>
  </si>
  <si>
    <t xml:space="preserve">XBQ-D25L35-10x10-SV</t>
  </si>
  <si>
    <t xml:space="preserve">D25×L35</t>
  </si>
  <si>
    <t xml:space="preserve">XBQ-D25L35-10x12-SV</t>
  </si>
  <si>
    <t xml:space="preserve">XBQ-D25L35-11x11-SV</t>
  </si>
  <si>
    <t xml:space="preserve">XBQ-D25L35-12x12-SV</t>
  </si>
  <si>
    <t xml:space="preserve">XBQ-D25L35-8x10-SV</t>
  </si>
  <si>
    <t xml:space="preserve">XBQ-D25L35-8x12-SV</t>
  </si>
  <si>
    <t xml:space="preserve">XBQ-D25L35-8x8-SV</t>
  </si>
  <si>
    <t xml:space="preserve">XBQ-D30L35-10x10-SV</t>
  </si>
  <si>
    <t xml:space="preserve">XBQ-D30L35-10x11-SV</t>
  </si>
  <si>
    <t xml:space="preserve">XBQ-D30L35-10x12-SV</t>
  </si>
  <si>
    <t xml:space="preserve">XBQ-D30L35-10x12-SV-KW4x2-KW4x2</t>
  </si>
  <si>
    <t xml:space="preserve">keyway 4x2+ keyway 4x2</t>
  </si>
  <si>
    <t xml:space="preserve">XBQ-D30L35-10x12.7-SV</t>
  </si>
  <si>
    <t xml:space="preserve">XBQ-D30L35-10x14-SV</t>
  </si>
  <si>
    <t xml:space="preserve">XBQ-D30L35-10x16-SV</t>
  </si>
  <si>
    <t xml:space="preserve">XBQ-D30L35-11x11-SV</t>
  </si>
  <si>
    <t xml:space="preserve">XBQ-D30L35-11x12-SV</t>
  </si>
  <si>
    <t xml:space="preserve">XBQ-D30L35-11x12.7-SV</t>
  </si>
  <si>
    <t xml:space="preserve">XBQ-D30L35-11x14-SV</t>
  </si>
  <si>
    <t xml:space="preserve">XBQ-D30L35-11x16-SV</t>
  </si>
  <si>
    <t xml:space="preserve">11x16</t>
  </si>
  <si>
    <t xml:space="preserve">XBQ-D30L35-12.7x12.7-SV</t>
  </si>
  <si>
    <t xml:space="preserve">XBQ-D30L35-12.7x14-SV</t>
  </si>
  <si>
    <t xml:space="preserve">XBQ-D30L35-12.7x16-SV</t>
  </si>
  <si>
    <t xml:space="preserve">12.7x16</t>
  </si>
  <si>
    <t xml:space="preserve">XBQ-D30L35-12x12-SV</t>
  </si>
  <si>
    <t xml:space="preserve">XBQ-D30L35-12x12.7-SV</t>
  </si>
  <si>
    <t xml:space="preserve">XBQ-D30L35-12x14-SV</t>
  </si>
  <si>
    <t xml:space="preserve">XBQ-D30L35-12x15-SV</t>
  </si>
  <si>
    <t xml:space="preserve">XBQ-D30L35-12x16-SV</t>
  </si>
  <si>
    <t xml:space="preserve">XBQ-D30L35-14x14-SV</t>
  </si>
  <si>
    <t xml:space="preserve">XBQ-D30L35-14x15-SV</t>
  </si>
  <si>
    <t xml:space="preserve">XBQ-D30L35-14x16-SV</t>
  </si>
  <si>
    <t xml:space="preserve">XBQ-D30L35-16x16-SV</t>
  </si>
  <si>
    <t xml:space="preserve">XBQ-D30L35-5x10-SV</t>
  </si>
  <si>
    <t xml:space="preserve">XBQ-D30L35-5x11-SV</t>
  </si>
  <si>
    <t xml:space="preserve">XBQ-D30L35-5x12-SV</t>
  </si>
  <si>
    <t xml:space="preserve">XBQ-D30L35-5x12.7-SV</t>
  </si>
  <si>
    <t xml:space="preserve">XBQ-D30L35-5x14-SV</t>
  </si>
  <si>
    <t xml:space="preserve">XBQ-D30L35-5x16-SV</t>
  </si>
  <si>
    <t xml:space="preserve">XBQ-D30L35-5x5-SV</t>
  </si>
  <si>
    <t xml:space="preserve">XBQ-D30L35-5x6-SV</t>
  </si>
  <si>
    <t xml:space="preserve">XBQ-D30L35-5x6.35-SV</t>
  </si>
  <si>
    <t xml:space="preserve">XBQ-D30L35-5x7-SV</t>
  </si>
  <si>
    <t xml:space="preserve">XBQ-D30L35-5x8-SV</t>
  </si>
  <si>
    <t xml:space="preserve">XBQ-D30L35-5x9.5-SV</t>
  </si>
  <si>
    <t xml:space="preserve">XBQ-D30L35-6.35x10-SV</t>
  </si>
  <si>
    <t xml:space="preserve">XBQ-D30L35-6.35x11-SV</t>
  </si>
  <si>
    <t xml:space="preserve">XBQ-D30L35-6.35x12-SV</t>
  </si>
  <si>
    <t xml:space="preserve">XBQ-D30L35-6.35x12.7-SV</t>
  </si>
  <si>
    <t xml:space="preserve">XBQ-D30L35-6.35x14-SV</t>
  </si>
  <si>
    <t xml:space="preserve">6.35x14</t>
  </si>
  <si>
    <t xml:space="preserve">XBQ-D30L35-6.35x16-SV</t>
  </si>
  <si>
    <t xml:space="preserve">XBQ-D30L35-6.35x6.35-SV</t>
  </si>
  <si>
    <t xml:space="preserve">XBQ-D30L35-6.35x7-SV</t>
  </si>
  <si>
    <t xml:space="preserve">XBQ-D30L35-6.35x8-SV</t>
  </si>
  <si>
    <t xml:space="preserve">XBQ-D30L35-6.35x9.5-SV</t>
  </si>
  <si>
    <t xml:space="preserve">XBQ-D30L35-6x10-SV</t>
  </si>
  <si>
    <t xml:space="preserve">XBQ-D30L35-6x11-SV</t>
  </si>
  <si>
    <t xml:space="preserve">XBQ-D30L35-6x12-SV</t>
  </si>
  <si>
    <t xml:space="preserve">XBQ-D30L35-6x12.7-SV</t>
  </si>
  <si>
    <t xml:space="preserve">XBQ-D30L35-6x14-SV</t>
  </si>
  <si>
    <t xml:space="preserve">6x14</t>
  </si>
  <si>
    <t xml:space="preserve">XBQ-D30L35-6x16-SV</t>
  </si>
  <si>
    <t xml:space="preserve">6x16</t>
  </si>
  <si>
    <t xml:space="preserve">XBQ-D30L35-6x6-SV</t>
  </si>
  <si>
    <t xml:space="preserve">XBQ-D30L35-6x7-SV</t>
  </si>
  <si>
    <t xml:space="preserve">XBQ-D30L35-6x8-SV</t>
  </si>
  <si>
    <t xml:space="preserve">XBQ-D30L35-6x9.5-SV</t>
  </si>
  <si>
    <t xml:space="preserve">XBQ-D30L35-7x10-SV</t>
  </si>
  <si>
    <t xml:space="preserve">XBQ-D30L35-7x11-SV</t>
  </si>
  <si>
    <t xml:space="preserve">XBQ-D30L35-7x12-SV</t>
  </si>
  <si>
    <t xml:space="preserve">XBQ-D30L35-7x12.7-SV</t>
  </si>
  <si>
    <t xml:space="preserve">XBQ-D30L35-7x14-SV</t>
  </si>
  <si>
    <t xml:space="preserve">7x14</t>
  </si>
  <si>
    <t xml:space="preserve">XBQ-D30L35-7x16-SV</t>
  </si>
  <si>
    <t xml:space="preserve">7x16</t>
  </si>
  <si>
    <t xml:space="preserve">XBQ-D30L35-7x7-SV</t>
  </si>
  <si>
    <t xml:space="preserve">XBQ-D30L35-7x8-SV</t>
  </si>
  <si>
    <t xml:space="preserve">XBQ-D30L35-7x9.5-SV</t>
  </si>
  <si>
    <t xml:space="preserve">XBQ-D30L35-8x10-SV</t>
  </si>
  <si>
    <t xml:space="preserve">XBQ-D30L35-8x11-SV</t>
  </si>
  <si>
    <t xml:space="preserve">XBQ-D30L35-8x12-SV</t>
  </si>
  <si>
    <t xml:space="preserve">XBQ-D30L35-8x12.7-SV</t>
  </si>
  <si>
    <t xml:space="preserve">XBQ-D30L35-8x14-SV</t>
  </si>
  <si>
    <t xml:space="preserve">XBQ-D30L35-8x16-SV</t>
  </si>
  <si>
    <t xml:space="preserve">XBQ-D30L35-8x8-SV</t>
  </si>
  <si>
    <t xml:space="preserve">XBQ-D30L35-8x9.5-SV</t>
  </si>
  <si>
    <t xml:space="preserve">XBQ-D30L35-9.5x10-SV</t>
  </si>
  <si>
    <t xml:space="preserve">XBQ-D30L35-9.5x11-SV</t>
  </si>
  <si>
    <t xml:space="preserve">XBQ-D30L35-9.5x12-SV</t>
  </si>
  <si>
    <t xml:space="preserve">XBQ-D30L35-9.5x12.7-SV</t>
  </si>
  <si>
    <t xml:space="preserve">XBQ-D30L35-9.5x14-SV</t>
  </si>
  <si>
    <t xml:space="preserve">9.5x14</t>
  </si>
  <si>
    <t xml:space="preserve">XBQ-D30L35-9.5x16-SV</t>
  </si>
  <si>
    <t xml:space="preserve">9.5x16</t>
  </si>
  <si>
    <t xml:space="preserve">XBQ-D30L35-9.5x9.5-SV</t>
  </si>
  <si>
    <t xml:space="preserve">XBQ-D30L40-10x10-SV</t>
  </si>
  <si>
    <t xml:space="preserve">XBQ-D30L40-10x11-SV</t>
  </si>
  <si>
    <t xml:space="preserve">XBQ-D30L40-10x12-SV</t>
  </si>
  <si>
    <t xml:space="preserve">XBQ-D30L40-10x12.7-SV</t>
  </si>
  <si>
    <t xml:space="preserve">XBQ-D30L40-10x13-SV</t>
  </si>
  <si>
    <t xml:space="preserve">10x13</t>
  </si>
  <si>
    <t xml:space="preserve">XBQ-D30L40-10x14-SV</t>
  </si>
  <si>
    <t xml:space="preserve">XBQ-D30L40-10x15-SV</t>
  </si>
  <si>
    <t xml:space="preserve">10x15</t>
  </si>
  <si>
    <t xml:space="preserve">XBQ-D30L40-10x16-SV</t>
  </si>
  <si>
    <t xml:space="preserve">XBQ-D30L40-11x11-SV</t>
  </si>
  <si>
    <t xml:space="preserve">XBQ-D30L40-11x12-SV</t>
  </si>
  <si>
    <t xml:space="preserve">XBQ-D30L40-11x12.7-SV</t>
  </si>
  <si>
    <t xml:space="preserve">XBQ-D30L40-11x13-SV</t>
  </si>
  <si>
    <t xml:space="preserve">11x13</t>
  </si>
  <si>
    <t xml:space="preserve">XBQ-D30L40-11x14-SV</t>
  </si>
  <si>
    <t xml:space="preserve">XBQ-D30L40-11x15-SV</t>
  </si>
  <si>
    <t xml:space="preserve">11x15</t>
  </si>
  <si>
    <t xml:space="preserve">XBQ-D30L40-11x16-SV</t>
  </si>
  <si>
    <t xml:space="preserve">XBQ-D30L40-12.7x12.7-SV</t>
  </si>
  <si>
    <t xml:space="preserve">XBQ-D30L40-12.7x13-SV</t>
  </si>
  <si>
    <t xml:space="preserve">12.7x13</t>
  </si>
  <si>
    <t xml:space="preserve">XBQ-D30L40-12.7x14-SV</t>
  </si>
  <si>
    <t xml:space="preserve">XBQ-D30L40-12.7x15-SV</t>
  </si>
  <si>
    <t xml:space="preserve">XBQ-D30L40-12.7x16-SV</t>
  </si>
  <si>
    <t xml:space="preserve">XBQ-D30L40-12x12-SV</t>
  </si>
  <si>
    <t xml:space="preserve">XBQ-D30L40-12x12.7-SV</t>
  </si>
  <si>
    <t xml:space="preserve">XBQ-D30L40-12x13-SV</t>
  </si>
  <si>
    <t xml:space="preserve">12x13</t>
  </si>
  <si>
    <t xml:space="preserve">XBQ-D30L40-12x14-SV</t>
  </si>
  <si>
    <t xml:space="preserve">XBQ-D30L40-12x15-SV</t>
  </si>
  <si>
    <t xml:space="preserve">XBQ-D30L40-12x16-SV</t>
  </si>
  <si>
    <t xml:space="preserve">XBQ-D30L40-13x13-SV</t>
  </si>
  <si>
    <t xml:space="preserve">13x13</t>
  </si>
  <si>
    <t xml:space="preserve">XBQ-D30L40-13x14-SV</t>
  </si>
  <si>
    <t xml:space="preserve">13x14</t>
  </si>
  <si>
    <t xml:space="preserve">XBQ-D30L40-13x15-SV</t>
  </si>
  <si>
    <t xml:space="preserve">XBQ-D30L40-13x16-SV</t>
  </si>
  <si>
    <t xml:space="preserve">13x16</t>
  </si>
  <si>
    <t xml:space="preserve">XBQ-D30L40-14x14-SV</t>
  </si>
  <si>
    <t xml:space="preserve">XBQ-D30L40-14x15-SV</t>
  </si>
  <si>
    <t xml:space="preserve">XBQ-D30L40-14x16-SV</t>
  </si>
  <si>
    <t xml:space="preserve">XBQ-D30L40-15x15-SV</t>
  </si>
  <si>
    <t xml:space="preserve">XBQ-D30L40-15x16-SV</t>
  </si>
  <si>
    <t xml:space="preserve">15x16</t>
  </si>
  <si>
    <t xml:space="preserve">XBQ-D30L40-16x16-SV</t>
  </si>
  <si>
    <t xml:space="preserve">XBQ-D30L40-3x10-SV</t>
  </si>
  <si>
    <t xml:space="preserve">XBQ-D30L40-3x11-SV</t>
  </si>
  <si>
    <t xml:space="preserve">XBQ-D30L40-3x12-SV</t>
  </si>
  <si>
    <t xml:space="preserve">XBQ-D30L40-3x12.7-SV</t>
  </si>
  <si>
    <t xml:space="preserve">XBQ-D30L40-3x13-SV</t>
  </si>
  <si>
    <t xml:space="preserve">3x13</t>
  </si>
  <si>
    <t xml:space="preserve">XBQ-D30L40-3x14-SV</t>
  </si>
  <si>
    <t xml:space="preserve">3x14</t>
  </si>
  <si>
    <t xml:space="preserve">XBQ-D30L40-3x15-SV</t>
  </si>
  <si>
    <t xml:space="preserve">3x15</t>
  </si>
  <si>
    <t xml:space="preserve">XBQ-D30L40-3x16-SV</t>
  </si>
  <si>
    <t xml:space="preserve">3x16</t>
  </si>
  <si>
    <t xml:space="preserve">XBQ-D30L40-3x3-SV</t>
  </si>
  <si>
    <t xml:space="preserve">XBQ-D30L40-3x4-SV</t>
  </si>
  <si>
    <t xml:space="preserve">XBQ-D30L40-3x5-SV</t>
  </si>
  <si>
    <t xml:space="preserve">XBQ-D30L40-3x6-SV</t>
  </si>
  <si>
    <t xml:space="preserve">XBQ-D30L40-3x6.35-SV</t>
  </si>
  <si>
    <t xml:space="preserve">XBQ-D30L40-3x7-SV</t>
  </si>
  <si>
    <t xml:space="preserve">XBQ-D30L40-3x8-SV</t>
  </si>
  <si>
    <t xml:space="preserve">XBQ-D30L40-3x9-SV</t>
  </si>
  <si>
    <t xml:space="preserve">XBQ-D30L40-3x9.5-SV</t>
  </si>
  <si>
    <t xml:space="preserve">XBQ-D30L40-4x10-SV</t>
  </si>
  <si>
    <t xml:space="preserve">XBQ-D30L40-4x11-SV</t>
  </si>
  <si>
    <t xml:space="preserve">XBQ-D30L40-4x12-SV</t>
  </si>
  <si>
    <t xml:space="preserve">XBQ-D30L40-4x12.7-SV</t>
  </si>
  <si>
    <t xml:space="preserve">XBQ-D30L40-4x13-SV</t>
  </si>
  <si>
    <t xml:space="preserve">4x13</t>
  </si>
  <si>
    <t xml:space="preserve">XBQ-D30L40-4x14-SV</t>
  </si>
  <si>
    <t xml:space="preserve">4x14</t>
  </si>
  <si>
    <t xml:space="preserve">XBQ-D30L40-4x15-SV</t>
  </si>
  <si>
    <t xml:space="preserve">4x15</t>
  </si>
  <si>
    <t xml:space="preserve">XBQ-D30L40-4x16-SV</t>
  </si>
  <si>
    <t xml:space="preserve">4x16</t>
  </si>
  <si>
    <t xml:space="preserve">XBQ-D30L40-4x4-SV</t>
  </si>
  <si>
    <t xml:space="preserve">XBQ-D30L40-4x5-SV</t>
  </si>
  <si>
    <t xml:space="preserve">XBQ-D30L40-4x6-SV</t>
  </si>
  <si>
    <t xml:space="preserve">XBQ-D30L40-4x6.35-SV</t>
  </si>
  <si>
    <t xml:space="preserve">XBQ-D30L40-4x7-SV</t>
  </si>
  <si>
    <t xml:space="preserve">XBQ-D30L40-4x8-SV</t>
  </si>
  <si>
    <t xml:space="preserve">XBQ-D30L40-4x9-SV</t>
  </si>
  <si>
    <t xml:space="preserve">XBQ-D30L40-4x9.5-SV</t>
  </si>
  <si>
    <t xml:space="preserve">XBQ-D30L40-5x10-SV</t>
  </si>
  <si>
    <t xml:space="preserve">XBQ-D30L40-5x11-SV</t>
  </si>
  <si>
    <t xml:space="preserve">XBQ-D30L40-5x12-SV</t>
  </si>
  <si>
    <t xml:space="preserve">XBQ-D30L40-5x12.7-SV</t>
  </si>
  <si>
    <t xml:space="preserve">XBQ-D30L40-5x13-SV</t>
  </si>
  <si>
    <t xml:space="preserve">5x13</t>
  </si>
  <si>
    <t xml:space="preserve">XBQ-D30L40-5x14-SV</t>
  </si>
  <si>
    <t xml:space="preserve">XBQ-D30L40-5x15-SV</t>
  </si>
  <si>
    <t xml:space="preserve">5x15</t>
  </si>
  <si>
    <t xml:space="preserve">XBQ-D30L40-5x16-SV</t>
  </si>
  <si>
    <t xml:space="preserve">XBQ-D30L40-5x5-SV</t>
  </si>
  <si>
    <t xml:space="preserve">XBQ-D30L40-5x6-SV</t>
  </si>
  <si>
    <t xml:space="preserve">XBQ-D30L40-5x6.35-SV</t>
  </si>
  <si>
    <t xml:space="preserve">XBQ-D30L40-5x7-SV</t>
  </si>
  <si>
    <t xml:space="preserve">XBQ-D30L40-5x8-SV</t>
  </si>
  <si>
    <t xml:space="preserve">XBQ-D30L40-5x9-SV</t>
  </si>
  <si>
    <t xml:space="preserve">XBQ-D30L40-5x9.5-SV</t>
  </si>
  <si>
    <t xml:space="preserve">XBQ-D30L40-6.35x10-SV</t>
  </si>
  <si>
    <t xml:space="preserve">XBQ-D30L40-6.35x11-SV</t>
  </si>
  <si>
    <t xml:space="preserve">XBQ-D30L40-6.35x12-SV</t>
  </si>
  <si>
    <t xml:space="preserve">XBQ-D30L40-6.35x12.7-SV</t>
  </si>
  <si>
    <t xml:space="preserve">XBQ-D30L40-6.35x13-SV</t>
  </si>
  <si>
    <t xml:space="preserve">6.35x13</t>
  </si>
  <si>
    <t xml:space="preserve">XBQ-D30L40-6.35x14-SV</t>
  </si>
  <si>
    <t xml:space="preserve">XBQ-D30L40-6.35x15-SV</t>
  </si>
  <si>
    <t xml:space="preserve">6.35x15</t>
  </si>
  <si>
    <t xml:space="preserve">XBQ-D30L40-6.35x16-SV</t>
  </si>
  <si>
    <t xml:space="preserve">XBQ-D30L40-6.35x6.35-SV</t>
  </si>
  <si>
    <t xml:space="preserve">XBQ-D30L40-6.35x7-SV</t>
  </si>
  <si>
    <t xml:space="preserve">XBQ-D30L40-6.35x8-SV</t>
  </si>
  <si>
    <t xml:space="preserve">XBQ-D30L40-6.35x9-SV</t>
  </si>
  <si>
    <t xml:space="preserve">XBQ-D30L40-6.35x9.5-SV</t>
  </si>
  <si>
    <t xml:space="preserve">XBQ-D30L40-6x10-SV</t>
  </si>
  <si>
    <t xml:space="preserve">XBQ-D30L40-6x11-SV</t>
  </si>
  <si>
    <t xml:space="preserve">XBQ-D30L40-6x12-SV</t>
  </si>
  <si>
    <t xml:space="preserve">XBQ-D30L40-6x12.7-SV</t>
  </si>
  <si>
    <t xml:space="preserve">XBQ-D30L40-6x13-SV</t>
  </si>
  <si>
    <t xml:space="preserve">6x13</t>
  </si>
  <si>
    <t xml:space="preserve">XBQ-D30L40-6x14-SV</t>
  </si>
  <si>
    <t xml:space="preserve">XBQ-D30L40-6x15-SV</t>
  </si>
  <si>
    <t xml:space="preserve">6x15</t>
  </si>
  <si>
    <t xml:space="preserve">XBQ-D30L40-6x16-SV</t>
  </si>
  <si>
    <t xml:space="preserve">XBQ-D30L40-6x6-SV</t>
  </si>
  <si>
    <t xml:space="preserve">XBQ-D30L40-6x6.35-SV</t>
  </si>
  <si>
    <t xml:space="preserve">XBQ-D30L40-6x7-SV</t>
  </si>
  <si>
    <t xml:space="preserve">XBQ-D30L40-6x8-SV</t>
  </si>
  <si>
    <t xml:space="preserve">XBQ-D30L40-6x9-SV</t>
  </si>
  <si>
    <t xml:space="preserve">XBQ-D30L40-6x9.5-SV</t>
  </si>
  <si>
    <t xml:space="preserve">XBQ-D30L40-7x10-SV</t>
  </si>
  <si>
    <t xml:space="preserve">XBQ-D30L40-7x11-SV</t>
  </si>
  <si>
    <t xml:space="preserve">XBQ-D30L40-7x12-SV</t>
  </si>
  <si>
    <t xml:space="preserve">XBQ-D30L40-7x12.7-SV</t>
  </si>
  <si>
    <t xml:space="preserve">XBQ-D30L40-7x13-SV</t>
  </si>
  <si>
    <t xml:space="preserve">7x13</t>
  </si>
  <si>
    <t xml:space="preserve">XBQ-D30L40-7x14-SV</t>
  </si>
  <si>
    <t xml:space="preserve">XBQ-D30L40-7x15-SV</t>
  </si>
  <si>
    <t xml:space="preserve">7x15</t>
  </si>
  <si>
    <t xml:space="preserve">XBQ-D30L40-7x16-SV</t>
  </si>
  <si>
    <t xml:space="preserve">XBQ-D30L40-7x7-SV</t>
  </si>
  <si>
    <t xml:space="preserve">XBQ-D30L40-7x8-SV</t>
  </si>
  <si>
    <t xml:space="preserve">XBQ-D30L40-7x9-SV</t>
  </si>
  <si>
    <t xml:space="preserve">XBQ-D30L40-7x9.5-SV</t>
  </si>
  <si>
    <t xml:space="preserve">XBQ-D30L40-8x10-SV</t>
  </si>
  <si>
    <t xml:space="preserve">XBQ-D30L40-8x11-SV</t>
  </si>
  <si>
    <t xml:space="preserve">XBQ-D30L40-8x12-SV</t>
  </si>
  <si>
    <t xml:space="preserve">XBQ-D30L40-8x12.7-SV</t>
  </si>
  <si>
    <t xml:space="preserve">XBQ-D30L40-8x13-SV</t>
  </si>
  <si>
    <t xml:space="preserve">8x13</t>
  </si>
  <si>
    <t xml:space="preserve">XBQ-D30L40-8x14-SV</t>
  </si>
  <si>
    <t xml:space="preserve">XBQ-D30L40-8x15-SV</t>
  </si>
  <si>
    <t xml:space="preserve">XBQ-D30L40-8x16-SV</t>
  </si>
  <si>
    <t xml:space="preserve">XBQ-D30L40-8x8-SV</t>
  </si>
  <si>
    <t xml:space="preserve">XBQ-D30L40-8x9-SV</t>
  </si>
  <si>
    <t xml:space="preserve">XBQ-D30L40-8x9.5-SV</t>
  </si>
  <si>
    <t xml:space="preserve">XBQ-D30L40-9.5x10-SV</t>
  </si>
  <si>
    <t xml:space="preserve">XBQ-D30L40-9.5x11-SV</t>
  </si>
  <si>
    <t xml:space="preserve">XBQ-D30L40-9.5x12-SV</t>
  </si>
  <si>
    <t xml:space="preserve">XBQ-D30L40-9.5x12.7-SV</t>
  </si>
  <si>
    <t xml:space="preserve">XBQ-D30L40-9.5x13-SV</t>
  </si>
  <si>
    <t xml:space="preserve">9.5x13</t>
  </si>
  <si>
    <t xml:space="preserve">XBQ-D30L40-9.5x14-SV</t>
  </si>
  <si>
    <t xml:space="preserve">XBQ-D30L40-9.5x15-SV</t>
  </si>
  <si>
    <t xml:space="preserve">9.5x15</t>
  </si>
  <si>
    <t xml:space="preserve">XBQ-D30L40-9.5x16-SV</t>
  </si>
  <si>
    <t xml:space="preserve">XBQ-D30L40-9.5x9.5-SV</t>
  </si>
  <si>
    <t xml:space="preserve">XBQ-D30L40-9x10-SV</t>
  </si>
  <si>
    <t xml:space="preserve">XBQ-D30L40-9x11-SV</t>
  </si>
  <si>
    <t xml:space="preserve">XBQ-D30L40-9x12-SV</t>
  </si>
  <si>
    <t xml:space="preserve">XBQ-D30L40-9x12.7-SV</t>
  </si>
  <si>
    <t xml:space="preserve">XBQ-D30L40-9x13-SV</t>
  </si>
  <si>
    <t xml:space="preserve">9x13</t>
  </si>
  <si>
    <t xml:space="preserve">XBQ-D30L40-9x14-SV</t>
  </si>
  <si>
    <t xml:space="preserve">XBQ-D30L40-9x15-SV</t>
  </si>
  <si>
    <t xml:space="preserve">9x15</t>
  </si>
  <si>
    <t xml:space="preserve">XBQ-D30L40-9x16-SV</t>
  </si>
  <si>
    <t xml:space="preserve">9x16</t>
  </si>
  <si>
    <t xml:space="preserve">XBQ-D30L40-9x9-SV</t>
  </si>
  <si>
    <t xml:space="preserve">XBQ-D30L40-9x9.5-SV</t>
  </si>
  <si>
    <t xml:space="preserve">XBQ-D30L50-12x12-SV</t>
  </si>
  <si>
    <t xml:space="preserve">D30×L50</t>
  </si>
  <si>
    <t xml:space="preserve">XBQ-D35L40-10x10-SV</t>
  </si>
  <si>
    <t xml:space="preserve">D35×L40</t>
  </si>
  <si>
    <t xml:space="preserve">XBQ-D35L40-10x14-SV</t>
  </si>
  <si>
    <t xml:space="preserve">XBQ-D35L40-10x19-SV</t>
  </si>
  <si>
    <t xml:space="preserve">10x19</t>
  </si>
  <si>
    <t xml:space="preserve">XBQ-D35L40-19x19-SV</t>
  </si>
  <si>
    <t xml:space="preserve">19x19</t>
  </si>
  <si>
    <t xml:space="preserve">XBQ-D35L50-10x10-SV</t>
  </si>
  <si>
    <t xml:space="preserve">D35×L50</t>
  </si>
  <si>
    <t xml:space="preserve">XBQ-D35L50-10x19-SV</t>
  </si>
  <si>
    <t xml:space="preserve">XBQ-D35L50-12x19-SV</t>
  </si>
  <si>
    <t xml:space="preserve">12x19</t>
  </si>
  <si>
    <t xml:space="preserve">XBQ-D35L50-19x19-SV</t>
  </si>
  <si>
    <t xml:space="preserve">XBQ-D40L50-10x10-SV</t>
  </si>
  <si>
    <t xml:space="preserve">XBQ-D40L50-10x12-SV</t>
  </si>
  <si>
    <t xml:space="preserve">XBQ-D40L50-10x14-SV</t>
  </si>
  <si>
    <t xml:space="preserve">XBQ-D40L50-10x15-SV</t>
  </si>
  <si>
    <t xml:space="preserve">XBQ-D40L50-10x16-SV</t>
  </si>
  <si>
    <t xml:space="preserve">XBQ-D40L50-10x19-SV</t>
  </si>
  <si>
    <t xml:space="preserve">XBQ-D40L50-10x20-SV</t>
  </si>
  <si>
    <t xml:space="preserve">10x20</t>
  </si>
  <si>
    <t xml:space="preserve">XBQ-D40L50-10x22-SV</t>
  </si>
  <si>
    <t xml:space="preserve">10x22</t>
  </si>
  <si>
    <t xml:space="preserve">XBQ-D40L50-12x12-SV</t>
  </si>
  <si>
    <t xml:space="preserve">XBQ-D40L50-12x14-SV</t>
  </si>
  <si>
    <t xml:space="preserve">XBQ-D40L50-12x15-SV</t>
  </si>
  <si>
    <t xml:space="preserve">XBQ-D40L50-12x16-SV</t>
  </si>
  <si>
    <t xml:space="preserve">XBQ-D40L50-12x19-SV</t>
  </si>
  <si>
    <t xml:space="preserve">XBQ-D40L50-12x20-SV</t>
  </si>
  <si>
    <t xml:space="preserve">XBQ-D40L50-12x22-SV</t>
  </si>
  <si>
    <t xml:space="preserve">12x22</t>
  </si>
  <si>
    <t xml:space="preserve">XBQ-D40L50-14x14-SV</t>
  </si>
  <si>
    <t xml:space="preserve">XBQ-D40L50-14x15-SV</t>
  </si>
  <si>
    <t xml:space="preserve">XBQ-D40L50-14x16-SV</t>
  </si>
  <si>
    <t xml:space="preserve">XBQ-D40L50-14x19-SV</t>
  </si>
  <si>
    <t xml:space="preserve">14x19</t>
  </si>
  <si>
    <t xml:space="preserve">XBQ-D40L50-14x20-SV</t>
  </si>
  <si>
    <t xml:space="preserve">14x20</t>
  </si>
  <si>
    <t xml:space="preserve">XBQ-D40L50-14x22-SV</t>
  </si>
  <si>
    <t xml:space="preserve">14x22</t>
  </si>
  <si>
    <t xml:space="preserve">XBQ-D40L50-15x15-SV</t>
  </si>
  <si>
    <t xml:space="preserve">XBQ-D40L50-15x16-SV</t>
  </si>
  <si>
    <t xml:space="preserve">XBQ-D40L50-15x19-SV</t>
  </si>
  <si>
    <t xml:space="preserve">15x19</t>
  </si>
  <si>
    <t xml:space="preserve">XBQ-D40L50-15x20-SV</t>
  </si>
  <si>
    <t xml:space="preserve">15x20</t>
  </si>
  <si>
    <t xml:space="preserve">XBQ-D40L50-15x22-SV</t>
  </si>
  <si>
    <t xml:space="preserve">15x22</t>
  </si>
  <si>
    <t xml:space="preserve">XBQ-D40L50-16x16-SV</t>
  </si>
  <si>
    <t xml:space="preserve">XBQ-D40L50-16x19-SV</t>
  </si>
  <si>
    <t xml:space="preserve">XBQ-D40L50-16x20-SV</t>
  </si>
  <si>
    <t xml:space="preserve">16x20</t>
  </si>
  <si>
    <t xml:space="preserve">XBQ-D40L50-16x22-SV</t>
  </si>
  <si>
    <t xml:space="preserve">16x22</t>
  </si>
  <si>
    <t xml:space="preserve">XBQ-D40L50-19x19-SV</t>
  </si>
  <si>
    <t xml:space="preserve">XBQ-D40L50-19x20-SV</t>
  </si>
  <si>
    <t xml:space="preserve">XBQ-D40L50-19x22-SV</t>
  </si>
  <si>
    <t xml:space="preserve">19x22</t>
  </si>
  <si>
    <t xml:space="preserve">XBQ-D40L50-20x20-SV</t>
  </si>
  <si>
    <t xml:space="preserve">XBQ-D40L50-20x22-SV</t>
  </si>
  <si>
    <t xml:space="preserve">20x22</t>
  </si>
  <si>
    <t xml:space="preserve">XBQ-D40L50-22x22-SV</t>
  </si>
  <si>
    <t xml:space="preserve">22x22</t>
  </si>
  <si>
    <t xml:space="preserve">XBQ-D40L50-8x10-SV</t>
  </si>
  <si>
    <t xml:space="preserve">XBQ-D40L50-8x12-SV</t>
  </si>
  <si>
    <t xml:space="preserve">XBQ-D40L50-8x14-SV</t>
  </si>
  <si>
    <t xml:space="preserve">XBQ-D40L50-8x15-SV</t>
  </si>
  <si>
    <t xml:space="preserve">XBQ-D40L50-8x16-SV</t>
  </si>
  <si>
    <t xml:space="preserve">XBQ-D40L50-8x19-SV</t>
  </si>
  <si>
    <t xml:space="preserve">8x19</t>
  </si>
  <si>
    <t xml:space="preserve">XBQ-D40L50-8x20-SV</t>
  </si>
  <si>
    <t xml:space="preserve">XBQ-D40L50-8x22-SV</t>
  </si>
  <si>
    <t xml:space="preserve">8x22</t>
  </si>
  <si>
    <t xml:space="preserve">XBQ-D40L50-8x8-SV</t>
  </si>
  <si>
    <t xml:space="preserve">XBQ-D40L50-8x9-SV</t>
  </si>
  <si>
    <t xml:space="preserve">XBQ-D40L50-9x10-SV</t>
  </si>
  <si>
    <t xml:space="preserve">XBQ-D40L50-9x12-SV</t>
  </si>
  <si>
    <t xml:space="preserve">XBQ-D40L50-9x14-SV</t>
  </si>
  <si>
    <t xml:space="preserve">XBQ-D40L50-9x15-SV</t>
  </si>
  <si>
    <t xml:space="preserve">XBQ-D40L50-9x16-SV</t>
  </si>
  <si>
    <t xml:space="preserve">XBQ-D40L50-9x19-SV</t>
  </si>
  <si>
    <t xml:space="preserve">9x19</t>
  </si>
  <si>
    <t xml:space="preserve">XBQ-D40L50-9x20-SV</t>
  </si>
  <si>
    <t xml:space="preserve">9x20</t>
  </si>
  <si>
    <t xml:space="preserve">XBQ-D40L50-9x22-SV</t>
  </si>
  <si>
    <t xml:space="preserve">9x22</t>
  </si>
  <si>
    <t xml:space="preserve">XBQ-D40L50-9x9-SV</t>
  </si>
  <si>
    <t xml:space="preserve">XBQ-D40L55-12x12-SV</t>
  </si>
  <si>
    <t xml:space="preserve">XBQ-D40L55-12x14-SV</t>
  </si>
  <si>
    <t xml:space="preserve">XBQ-D40L55-12x15-SV</t>
  </si>
  <si>
    <t xml:space="preserve">XBQ-D40L55-12x16-SV</t>
  </si>
  <si>
    <t xml:space="preserve">XBQ-D40L55-12x19-SV</t>
  </si>
  <si>
    <t xml:space="preserve">XBQ-D40L55-12x22-SV</t>
  </si>
  <si>
    <t xml:space="preserve">XBQ-D40L55-14x14-SV</t>
  </si>
  <si>
    <t xml:space="preserve">XBQ-D40L55-14x15-SV</t>
  </si>
  <si>
    <t xml:space="preserve">XBQ-D40L55-14x16-SV</t>
  </si>
  <si>
    <t xml:space="preserve">XBQ-D40L55-14x19-SV</t>
  </si>
  <si>
    <t xml:space="preserve">XBQ-D40L55-14x22-SV</t>
  </si>
  <si>
    <t xml:space="preserve">XBQ-D40L55-15x15-SV</t>
  </si>
  <si>
    <t xml:space="preserve">XBQ-D40L55-15x16-SV</t>
  </si>
  <si>
    <t xml:space="preserve">XBQ-D40L55-15x19-SV</t>
  </si>
  <si>
    <t xml:space="preserve">XBQ-D40L55-15x22-SV</t>
  </si>
  <si>
    <t xml:space="preserve">XBQ-D40L55-16x16-SV</t>
  </si>
  <si>
    <t xml:space="preserve">XBQ-D40L55-16x19-SV</t>
  </si>
  <si>
    <t xml:space="preserve">XBQ-D40L55-16x20-SV</t>
  </si>
  <si>
    <t xml:space="preserve">XBQ-D40L55-16x22-SV</t>
  </si>
  <si>
    <t xml:space="preserve">XBQ-D40L55-18x19-SV</t>
  </si>
  <si>
    <t xml:space="preserve">18x19</t>
  </si>
  <si>
    <t xml:space="preserve">XBQ-D40L55-19x19-SV</t>
  </si>
  <si>
    <t xml:space="preserve">XBQ-D40L55-19x22-SV</t>
  </si>
  <si>
    <t xml:space="preserve">XBQ-D40L55-22x22-SV</t>
  </si>
  <si>
    <t xml:space="preserve">XBQ-D40L55-8x12-SV</t>
  </si>
  <si>
    <t xml:space="preserve">XBQ-D40L55-8x14-SV</t>
  </si>
  <si>
    <t xml:space="preserve">XBQ-D40L55-8x15-SV</t>
  </si>
  <si>
    <t xml:space="preserve">XBQ-D40L55-8x16-SV</t>
  </si>
  <si>
    <t xml:space="preserve">XBQ-D40L55-8x19-SV</t>
  </si>
  <si>
    <t xml:space="preserve">XBQ-D40L55-8x22-SV</t>
  </si>
  <si>
    <t xml:space="preserve">XBQ-D40L55-8x8-SV</t>
  </si>
  <si>
    <t xml:space="preserve">XBQ-D40L65-10x10-SV</t>
  </si>
  <si>
    <t xml:space="preserve">D40×L65</t>
  </si>
  <si>
    <t xml:space="preserve">XBQ-D40L65-10x12-SV</t>
  </si>
  <si>
    <t xml:space="preserve">XBQ-D40L65-10x12.7-SV</t>
  </si>
  <si>
    <t xml:space="preserve">XBQ-D40L65-10x14-SV</t>
  </si>
  <si>
    <t xml:space="preserve">XBQ-D40L65-10x15-SV</t>
  </si>
  <si>
    <t xml:space="preserve">XBQ-D40L65-10x16-SV</t>
  </si>
  <si>
    <t xml:space="preserve">XBQ-D40L65-10x17-SV</t>
  </si>
  <si>
    <t xml:space="preserve">10x17</t>
  </si>
  <si>
    <t xml:space="preserve">XBQ-D40L65-10x18-SV</t>
  </si>
  <si>
    <t xml:space="preserve">10x18</t>
  </si>
  <si>
    <t xml:space="preserve">XBQ-D40L65-10x19-SV</t>
  </si>
  <si>
    <t xml:space="preserve">XBQ-D40L65-10x20-SV</t>
  </si>
  <si>
    <t xml:space="preserve">XBQ-D40L65-12.7x12.7-SV</t>
  </si>
  <si>
    <t xml:space="preserve">XBQ-D40L65-12.7x14-SV</t>
  </si>
  <si>
    <t xml:space="preserve">XBQ-D40L65-12.7x15-SV</t>
  </si>
  <si>
    <t xml:space="preserve">XBQ-D40L65-12.7x16-SV</t>
  </si>
  <si>
    <t xml:space="preserve">XBQ-D40L65-12.7x17-SV</t>
  </si>
  <si>
    <t xml:space="preserve">12.7x17</t>
  </si>
  <si>
    <t xml:space="preserve">XBQ-D40L65-12.7x18-SV</t>
  </si>
  <si>
    <t xml:space="preserve">12.7x18</t>
  </si>
  <si>
    <t xml:space="preserve">XBQ-D40L65-12.7x19-SV</t>
  </si>
  <si>
    <t xml:space="preserve">12.7x19</t>
  </si>
  <si>
    <t xml:space="preserve">XBQ-D40L65-12.7x20-SV</t>
  </si>
  <si>
    <t xml:space="preserve">12.7x20</t>
  </si>
  <si>
    <t xml:space="preserve">XBQ-D40L65-12x12-SV</t>
  </si>
  <si>
    <t xml:space="preserve">XBQ-D40L65-12x12.7-SV</t>
  </si>
  <si>
    <t xml:space="preserve">XBQ-D40L65-12x14-SV</t>
  </si>
  <si>
    <t xml:space="preserve">XBQ-D40L65-12x15-SV</t>
  </si>
  <si>
    <t xml:space="preserve">XBQ-D40L65-12x16-SV</t>
  </si>
  <si>
    <t xml:space="preserve">XBQ-D40L65-12x17-SV</t>
  </si>
  <si>
    <t xml:space="preserve">12x17</t>
  </si>
  <si>
    <t xml:space="preserve">XBQ-D40L65-12x18-SV</t>
  </si>
  <si>
    <t xml:space="preserve">12x18</t>
  </si>
  <si>
    <t xml:space="preserve">XBQ-D40L65-12x19-SV</t>
  </si>
  <si>
    <t xml:space="preserve">XBQ-D40L65-12x20-SV</t>
  </si>
  <si>
    <t xml:space="preserve">XBQ-D40L65-14x14-SV</t>
  </si>
  <si>
    <t xml:space="preserve">XBQ-D40L65-14x15-SV</t>
  </si>
  <si>
    <t xml:space="preserve">XBQ-D40L65-14x16-SV</t>
  </si>
  <si>
    <t xml:space="preserve">XBQ-D40L65-14x17-SV</t>
  </si>
  <si>
    <t xml:space="preserve">XBQ-D40L65-14x18-SV</t>
  </si>
  <si>
    <t xml:space="preserve">14x18</t>
  </si>
  <si>
    <t xml:space="preserve">XBQ-D40L65-14x19-SV</t>
  </si>
  <si>
    <t xml:space="preserve">XBQ-D40L65-14x20-SV</t>
  </si>
  <si>
    <t xml:space="preserve">XBQ-D40L65-15x15-SV</t>
  </si>
  <si>
    <t xml:space="preserve">XBQ-D40L65-15x16-SV</t>
  </si>
  <si>
    <t xml:space="preserve">XBQ-D40L65-15x17-SV</t>
  </si>
  <si>
    <t xml:space="preserve">15x17</t>
  </si>
  <si>
    <t xml:space="preserve">XBQ-D40L65-15x18-SV</t>
  </si>
  <si>
    <t xml:space="preserve">15x18</t>
  </si>
  <si>
    <t xml:space="preserve">XBQ-D40L65-15x19-SV</t>
  </si>
  <si>
    <t xml:space="preserve">XBQ-D40L65-15x20-SV</t>
  </si>
  <si>
    <t xml:space="preserve">XBQ-D40L65-16x16-SV</t>
  </si>
  <si>
    <t xml:space="preserve">XBQ-D40L65-16x17-SV</t>
  </si>
  <si>
    <t xml:space="preserve">16x17</t>
  </si>
  <si>
    <t xml:space="preserve">XBQ-D40L65-16x18-SV</t>
  </si>
  <si>
    <t xml:space="preserve">16x18</t>
  </si>
  <si>
    <t xml:space="preserve">XBQ-D40L65-16x19-SV</t>
  </si>
  <si>
    <t xml:space="preserve">XBQ-D40L65-16x20-SV</t>
  </si>
  <si>
    <t xml:space="preserve">XBQ-D40L65-17x17-SV</t>
  </si>
  <si>
    <t xml:space="preserve">XBQ-D40L65-17x18-SV</t>
  </si>
  <si>
    <t xml:space="preserve">XBQ-D40L65-17x19-SV</t>
  </si>
  <si>
    <t xml:space="preserve">17x19</t>
  </si>
  <si>
    <t xml:space="preserve">XBQ-D40L65-17x20-SV</t>
  </si>
  <si>
    <t xml:space="preserve">XBQ-D40L65-18x18-SV</t>
  </si>
  <si>
    <t xml:space="preserve">18x18</t>
  </si>
  <si>
    <t xml:space="preserve">XBQ-D40L65-18x19-SV</t>
  </si>
  <si>
    <t xml:space="preserve">XBQ-D40L65-18x20-SV</t>
  </si>
  <si>
    <t xml:space="preserve">18x20</t>
  </si>
  <si>
    <t xml:space="preserve">XBQ-D40L65-19x19-SV</t>
  </si>
  <si>
    <t xml:space="preserve">XBQ-D40L65-19x20-SV</t>
  </si>
  <si>
    <t xml:space="preserve">XBQ-D40L65-20x20-SV</t>
  </si>
  <si>
    <t xml:space="preserve">XBQ-D40L65-24x24-SV</t>
  </si>
  <si>
    <t xml:space="preserve">24x24</t>
  </si>
  <si>
    <t xml:space="preserve">XBQ-D40L65-8x12.7-SV</t>
  </si>
  <si>
    <t xml:space="preserve">XBQ-D45L55-14x25-SV</t>
  </si>
  <si>
    <t xml:space="preserve">14x25</t>
  </si>
  <si>
    <t xml:space="preserve">XBQ-D45L55-16x20-SV</t>
  </si>
  <si>
    <t xml:space="preserve">XBQ-D45L55-24x24-SV</t>
  </si>
  <si>
    <t xml:space="preserve">XBQ-D45L65-20x20-SV</t>
  </si>
  <si>
    <t xml:space="preserve">D45×L65</t>
  </si>
  <si>
    <t xml:space="preserve">XBQ-D45L65-25x25-SV</t>
  </si>
  <si>
    <t xml:space="preserve">25x25</t>
  </si>
  <si>
    <t xml:space="preserve">XBQ-D55L78-14x14-SV</t>
  </si>
  <si>
    <t xml:space="preserve">D55×L78</t>
  </si>
  <si>
    <t xml:space="preserve">XBQ-D55L78-14x16-SV</t>
  </si>
  <si>
    <t xml:space="preserve">XBQ-D55L78-14x25-SV</t>
  </si>
  <si>
    <t xml:space="preserve">XBQ-D55L78-16x16-SV</t>
  </si>
  <si>
    <t xml:space="preserve">XBQ-D55L78-16x25-SV</t>
  </si>
  <si>
    <t xml:space="preserve">16x25</t>
  </si>
  <si>
    <t xml:space="preserve">XBQ-D55L78-25x25-SV</t>
  </si>
  <si>
    <t xml:space="preserve">XBQ-D55L78-28x28-SV</t>
  </si>
  <si>
    <t xml:space="preserve">28x28</t>
  </si>
  <si>
    <t xml:space="preserve">XBQ-D65L90-14x14-SV</t>
  </si>
  <si>
    <t xml:space="preserve">D65×L90</t>
  </si>
  <si>
    <t xml:space="preserve">XBQ-D65L90-14x18-SV</t>
  </si>
  <si>
    <t xml:space="preserve">XBQ-D65L90-14x24-SV</t>
  </si>
  <si>
    <t xml:space="preserve">14x24</t>
  </si>
  <si>
    <t xml:space="preserve">XBQ-D65L90-14x25-SV</t>
  </si>
  <si>
    <t xml:space="preserve">XBQ-D65L90-18x18-SV</t>
  </si>
  <si>
    <t xml:space="preserve">XBQ-D65L90-18x25-SV</t>
  </si>
  <si>
    <t xml:space="preserve">18x25</t>
  </si>
  <si>
    <t xml:space="preserve">XBQ-D65L90-24x35-SV</t>
  </si>
  <si>
    <t xml:space="preserve">24x35</t>
  </si>
  <si>
    <t xml:space="preserve">XBQ-D65L90-25x25-SV</t>
  </si>
  <si>
    <t xml:space="preserve">XBQ-D65L90-25x38-SV</t>
  </si>
  <si>
    <t xml:space="preserve">25x38</t>
  </si>
  <si>
    <t xml:space="preserve">XB Jaw Clamp Coupling (all sizes)  [XB Jaw Clamp]</t>
  </si>
  <si>
    <t xml:space="preserve">XB-D20L25-10x10-BK-BP</t>
  </si>
  <si>
    <t xml:space="preserve">XB-D20L25-10x10-BK-RP</t>
  </si>
  <si>
    <t xml:space="preserve">XB-D20L25-10x10-SV</t>
  </si>
  <si>
    <t xml:space="preserve">XB-D20L25-4x10-SV</t>
  </si>
  <si>
    <t xml:space="preserve">XB-D20L25-4x4-SV</t>
  </si>
  <si>
    <t xml:space="preserve">XB-D20L25-4x5-SV</t>
  </si>
  <si>
    <t xml:space="preserve">XB-D20L25-4x6-SV</t>
  </si>
  <si>
    <t xml:space="preserve">XB-D20L25-4x6.35-SV</t>
  </si>
  <si>
    <t xml:space="preserve">XB-D20L25-4x7-SV</t>
  </si>
  <si>
    <t xml:space="preserve">XB-D20L25-4x8-SV</t>
  </si>
  <si>
    <t xml:space="preserve">XB-D20L25-4x9-SV</t>
  </si>
  <si>
    <t xml:space="preserve">XB-D20L25-5x10-BK-BP</t>
  </si>
  <si>
    <t xml:space="preserve">XB-D20L25-5x10-BK-RP</t>
  </si>
  <si>
    <t xml:space="preserve">XB-D20L25-5x10-SV</t>
  </si>
  <si>
    <t xml:space="preserve">XB-D20L25-5x5-BK-BP</t>
  </si>
  <si>
    <t xml:space="preserve">XB-D20L25-5x5-BK-RP</t>
  </si>
  <si>
    <t xml:space="preserve">XB-D20L25-5x5-SV</t>
  </si>
  <si>
    <t xml:space="preserve">XB-D20L25-5x6-BK-BP</t>
  </si>
  <si>
    <t xml:space="preserve">XB-D20L25-5x6-BK-RP</t>
  </si>
  <si>
    <t xml:space="preserve">XB-D20L25-5x6-SV</t>
  </si>
  <si>
    <t xml:space="preserve">XB-D20L25-5x6.35-BK-BP</t>
  </si>
  <si>
    <t xml:space="preserve">XB-D20L25-5x6.35-BK-RP</t>
  </si>
  <si>
    <t xml:space="preserve">XB-D20L25-5x6.35-SV</t>
  </si>
  <si>
    <t xml:space="preserve">XB-D20L25-5x7-SV</t>
  </si>
  <si>
    <t xml:space="preserve">XB-D20L25-5x8-BK-BP</t>
  </si>
  <si>
    <t xml:space="preserve">XB-D20L25-5x8-BK-RP</t>
  </si>
  <si>
    <t xml:space="preserve">XB-D20L25-5x8-SV</t>
  </si>
  <si>
    <t xml:space="preserve">XB-D20L25-5x9-BK-BP</t>
  </si>
  <si>
    <t xml:space="preserve">XB-D20L25-5x9-BK-RP</t>
  </si>
  <si>
    <t xml:space="preserve">XB-D20L25-5x9-SV</t>
  </si>
  <si>
    <t xml:space="preserve">XB-D20L25-6.35x10-BK-BP</t>
  </si>
  <si>
    <t xml:space="preserve">XB-D20L25-6.35x10-BK-RP</t>
  </si>
  <si>
    <t xml:space="preserve">XB-D20L25-6.35x10-SV</t>
  </si>
  <si>
    <t xml:space="preserve">XB-D20L25-6.35x6.35-BK-BP</t>
  </si>
  <si>
    <t xml:space="preserve">XB-D20L25-6.35x6.35-BK-RP</t>
  </si>
  <si>
    <t xml:space="preserve">XB-D20L25-6.35x6.35-SV</t>
  </si>
  <si>
    <t xml:space="preserve">XB-D20L25-6.35x7-SV</t>
  </si>
  <si>
    <t xml:space="preserve">XB-D20L25-6.35x8-BK-BP</t>
  </si>
  <si>
    <t xml:space="preserve">XB-D20L25-6.35x8-BK-RP</t>
  </si>
  <si>
    <t xml:space="preserve">XB-D20L25-6.35x8-SV</t>
  </si>
  <si>
    <t xml:space="preserve">XB-D20L25-6.35x9-BK-BP</t>
  </si>
  <si>
    <t xml:space="preserve">XB-D20L25-6.35x9-BK-RP</t>
  </si>
  <si>
    <t xml:space="preserve">XB-D20L25-6.35x9-SV</t>
  </si>
  <si>
    <t xml:space="preserve">XB-D20L25-6x10-BK-BP</t>
  </si>
  <si>
    <t xml:space="preserve">XB-D20L25-6x10-BK-RP</t>
  </si>
  <si>
    <t xml:space="preserve">XB-D20L25-6x10-SV</t>
  </si>
  <si>
    <t xml:space="preserve">XB-D20L25-6x6-BK-BP</t>
  </si>
  <si>
    <t xml:space="preserve">XB-D20L25-6x6-BK-RP</t>
  </si>
  <si>
    <t xml:space="preserve">XB-D20L25-6x6-SV</t>
  </si>
  <si>
    <t xml:space="preserve">XB-D20L25-6x6.35-BK-BP</t>
  </si>
  <si>
    <t xml:space="preserve">XB-D20L25-6x6.35-BK-RP</t>
  </si>
  <si>
    <t xml:space="preserve">XB-D20L25-6x6.35-SV</t>
  </si>
  <si>
    <t xml:space="preserve">XB-D20L25-6x7-SV</t>
  </si>
  <si>
    <t xml:space="preserve">XB-D20L25-6x8-BK-BP</t>
  </si>
  <si>
    <t xml:space="preserve">XB-D20L25-6x8-BK-RP</t>
  </si>
  <si>
    <t xml:space="preserve">XB-D20L25-6x8-SV</t>
  </si>
  <si>
    <t xml:space="preserve">XB-D20L25-6x9-BK-BP</t>
  </si>
  <si>
    <t xml:space="preserve">XB-D20L25-6x9-BK-RP</t>
  </si>
  <si>
    <t xml:space="preserve">XB-D20L25-6x9-SV</t>
  </si>
  <si>
    <t xml:space="preserve">XB-D20L25-7x10-SV</t>
  </si>
  <si>
    <t xml:space="preserve">XB-D20L25-7x7-SV</t>
  </si>
  <si>
    <t xml:space="preserve">XB-D20L25-7x8-SV</t>
  </si>
  <si>
    <t xml:space="preserve">XB-D20L25-7x9-SV</t>
  </si>
  <si>
    <t xml:space="preserve">XB-D20L25-8x10-BK-BP</t>
  </si>
  <si>
    <t xml:space="preserve">XB-D20L25-8x10-BK-RP</t>
  </si>
  <si>
    <t xml:space="preserve">XB-D20L25-8x10-SV</t>
  </si>
  <si>
    <t xml:space="preserve">XB-D20L25-8x8-BK-BP</t>
  </si>
  <si>
    <t xml:space="preserve">XB-D20L25-8x8-BK-RP</t>
  </si>
  <si>
    <t xml:space="preserve">XB-D20L25-8x8-SV</t>
  </si>
  <si>
    <t xml:space="preserve">XB-D20L25-8x9-BK-BP</t>
  </si>
  <si>
    <t xml:space="preserve">XB-D20L25-8x9-BK-RP</t>
  </si>
  <si>
    <t xml:space="preserve">XB-D20L25-8x9-SV</t>
  </si>
  <si>
    <t xml:space="preserve">XB-D20L25-9x10-BK-BP</t>
  </si>
  <si>
    <t xml:space="preserve">XB-D20L25-9x10-BK-RP</t>
  </si>
  <si>
    <t xml:space="preserve">XB-D20L25-9x10-SV</t>
  </si>
  <si>
    <t xml:space="preserve">XB-D20L25-9x9-BK-BP</t>
  </si>
  <si>
    <t xml:space="preserve">XB-D20L25-9x9-BK-RP</t>
  </si>
  <si>
    <t xml:space="preserve">XB-D20L25-9x9-SV</t>
  </si>
  <si>
    <t xml:space="preserve">XB-D20L30-10x10-SV</t>
  </si>
  <si>
    <t xml:space="preserve">XB-D20L30-4x10-SV</t>
  </si>
  <si>
    <t xml:space="preserve">XB-D20L30-4x4-SV</t>
  </si>
  <si>
    <t xml:space="preserve">XB-D20L30-4x5-SV</t>
  </si>
  <si>
    <t xml:space="preserve">XB-D20L30-4x6-SV</t>
  </si>
  <si>
    <t xml:space="preserve">XB-D20L30-4x6.35-SV</t>
  </si>
  <si>
    <t xml:space="preserve">XB-D20L30-4x7-SV</t>
  </si>
  <si>
    <t xml:space="preserve">XB-D20L30-4x8-SV</t>
  </si>
  <si>
    <t xml:space="preserve">XB-D20L30-4x9-SV</t>
  </si>
  <si>
    <t xml:space="preserve">XB-D20L30-5x10-SV</t>
  </si>
  <si>
    <t xml:space="preserve">XB-D20L30-5x5-SV</t>
  </si>
  <si>
    <t xml:space="preserve">XB-D20L30-5x6-SV</t>
  </si>
  <si>
    <t xml:space="preserve">XB-D20L30-5x6.35-SV</t>
  </si>
  <si>
    <t xml:space="preserve">XB-D20L30-5x7-SV</t>
  </si>
  <si>
    <t xml:space="preserve">XB-D20L30-5x8-SV</t>
  </si>
  <si>
    <t xml:space="preserve">XB-D20L30-5x9-SV</t>
  </si>
  <si>
    <t xml:space="preserve">XB-D20L30-6.35x10-SV</t>
  </si>
  <si>
    <t xml:space="preserve">XB-D20L30-6.35x6.35-SV</t>
  </si>
  <si>
    <t xml:space="preserve">XB-D20L30-6.35x7-SV</t>
  </si>
  <si>
    <t xml:space="preserve">XB-D20L30-6.35x8-SV</t>
  </si>
  <si>
    <t xml:space="preserve">XB-D20L30-6.35x9-SV</t>
  </si>
  <si>
    <t xml:space="preserve">XB-D20L30-6x10-SV</t>
  </si>
  <si>
    <t xml:space="preserve">XB-D20L30-6x6-SV</t>
  </si>
  <si>
    <t xml:space="preserve">XB-D20L30-6x6.35-SV</t>
  </si>
  <si>
    <t xml:space="preserve">XB-D20L30-6x7-SV</t>
  </si>
  <si>
    <t xml:space="preserve">XB-D20L30-6x8-SV</t>
  </si>
  <si>
    <t xml:space="preserve">XB-D20L30-6x9-SV</t>
  </si>
  <si>
    <t xml:space="preserve">XB-D20L30-7x10-SV</t>
  </si>
  <si>
    <t xml:space="preserve">XB-D20L30-7x7-SV</t>
  </si>
  <si>
    <t xml:space="preserve">XB-D20L30-7x8-SV</t>
  </si>
  <si>
    <t xml:space="preserve">XB-D20L30-7x9-SV</t>
  </si>
  <si>
    <t xml:space="preserve">XB-D20L30-8x10-SV</t>
  </si>
  <si>
    <t xml:space="preserve">XB-D20L30-8x8-SV</t>
  </si>
  <si>
    <t xml:space="preserve">XB-D20L30-8x9-SV</t>
  </si>
  <si>
    <t xml:space="preserve">XB-D20L30-9x10-SV</t>
  </si>
  <si>
    <t xml:space="preserve">XB-D20L30-9x9-SV</t>
  </si>
  <si>
    <t xml:space="preserve">XB-D25L30-10x10-SV</t>
  </si>
  <si>
    <t xml:space="preserve">XB-D25L30-10x11-SV</t>
  </si>
  <si>
    <t xml:space="preserve">XB-D25L30-10x12-SV</t>
  </si>
  <si>
    <t xml:space="preserve">XB-D25L30-10x12.7-SV</t>
  </si>
  <si>
    <t xml:space="preserve">XB-D25L30-11x11-SV</t>
  </si>
  <si>
    <t xml:space="preserve">XB-D25L30-11x12-SV</t>
  </si>
  <si>
    <t xml:space="preserve">XB-D25L30-11x12.7-SV</t>
  </si>
  <si>
    <t xml:space="preserve">XB-D25L30-12.7x12.7-SV</t>
  </si>
  <si>
    <t xml:space="preserve">XB-D25L30-12x12-SV</t>
  </si>
  <si>
    <t xml:space="preserve">XB-D25L30-12x12.7-SV</t>
  </si>
  <si>
    <t xml:space="preserve">XB-D25L30-4x10-SV</t>
  </si>
  <si>
    <t xml:space="preserve">XB-D25L30-4x11-SV</t>
  </si>
  <si>
    <t xml:space="preserve">XB-D25L30-4x12-SV</t>
  </si>
  <si>
    <t xml:space="preserve">XB-D25L30-4x12.7-SV</t>
  </si>
  <si>
    <t xml:space="preserve">XB-D25L30-4x4-SV</t>
  </si>
  <si>
    <t xml:space="preserve">XB-D25L30-4x5-SV</t>
  </si>
  <si>
    <t xml:space="preserve">XB-D25L30-4x6-SV</t>
  </si>
  <si>
    <t xml:space="preserve">XB-D25L30-4x6.35-SV</t>
  </si>
  <si>
    <t xml:space="preserve">XB-D25L30-4x7-SV</t>
  </si>
  <si>
    <t xml:space="preserve">XB-D25L30-4x8-SV</t>
  </si>
  <si>
    <t xml:space="preserve">XB-D25L30-4x9-SV</t>
  </si>
  <si>
    <t xml:space="preserve">XB-D25L30-4x9.5-SV</t>
  </si>
  <si>
    <t xml:space="preserve">XB-D25L30-5x10-SV</t>
  </si>
  <si>
    <t xml:space="preserve">XB-D25L30-5x11-SV</t>
  </si>
  <si>
    <t xml:space="preserve">XB-D25L30-5x12-SV</t>
  </si>
  <si>
    <t xml:space="preserve">XB-D25L30-5x12.7-SV</t>
  </si>
  <si>
    <t xml:space="preserve">XB-D25L30-5x5-SV</t>
  </si>
  <si>
    <t xml:space="preserve">XB-D25L30-5x6-SV</t>
  </si>
  <si>
    <t xml:space="preserve">XB-D25L30-5x6.35-SV</t>
  </si>
  <si>
    <t xml:space="preserve">XB-D25L30-5x7-SV</t>
  </si>
  <si>
    <t xml:space="preserve">XB-D25L30-5x8-SV</t>
  </si>
  <si>
    <t xml:space="preserve">XB-D25L30-5x9-SV</t>
  </si>
  <si>
    <t xml:space="preserve">XB-D25L30-5x9.5-SV</t>
  </si>
  <si>
    <t xml:space="preserve">XB-D25L30-6.35x10-SV</t>
  </si>
  <si>
    <t xml:space="preserve">XB-D25L30-6.35x11-SV</t>
  </si>
  <si>
    <t xml:space="preserve">XB-D25L30-6.35x12-SV</t>
  </si>
  <si>
    <t xml:space="preserve">XB-D25L30-6.35x12.7-SV</t>
  </si>
  <si>
    <t xml:space="preserve">XB-D25L30-6.35x6.35-SV</t>
  </si>
  <si>
    <t xml:space="preserve">XB-D25L30-6.35x7-SV</t>
  </si>
  <si>
    <t xml:space="preserve">XB-D25L30-6.35x8-SV</t>
  </si>
  <si>
    <t xml:space="preserve">XB-D25L30-6.35x9-SV</t>
  </si>
  <si>
    <t xml:space="preserve">XB-D25L30-6.35x9.5-SV</t>
  </si>
  <si>
    <t xml:space="preserve">XB-D25L30-6x10-SV</t>
  </si>
  <si>
    <t xml:space="preserve">XB-D25L30-6x11-SV</t>
  </si>
  <si>
    <t xml:space="preserve">XB-D25L30-6x12-SV</t>
  </si>
  <si>
    <t xml:space="preserve">XB-D25L30-6x12.7-SV</t>
  </si>
  <si>
    <t xml:space="preserve">XB-D25L30-6x6-SV</t>
  </si>
  <si>
    <t xml:space="preserve">XB-D25L30-6x6.35-SV</t>
  </si>
  <si>
    <t xml:space="preserve">XB-D25L30-6x7-SV</t>
  </si>
  <si>
    <t xml:space="preserve">XB-D25L30-6x8-SV</t>
  </si>
  <si>
    <t xml:space="preserve">XB-D25L30-6x9-SV</t>
  </si>
  <si>
    <t xml:space="preserve">XB-D25L30-6x9.5-SV</t>
  </si>
  <si>
    <t xml:space="preserve">XB-D25L30-7x10-SV</t>
  </si>
  <si>
    <t xml:space="preserve">XB-D25L30-7x11-SV</t>
  </si>
  <si>
    <t xml:space="preserve">XB-D25L30-7x12-SV</t>
  </si>
  <si>
    <t xml:space="preserve">XB-D25L30-7x12.7-SV</t>
  </si>
  <si>
    <t xml:space="preserve">XB-D25L30-7x7-SV</t>
  </si>
  <si>
    <t xml:space="preserve">XB-D25L30-7x8-SV</t>
  </si>
  <si>
    <t xml:space="preserve">XB-D25L30-7x9-SV</t>
  </si>
  <si>
    <t xml:space="preserve">XB-D25L30-7x9.5-SV</t>
  </si>
  <si>
    <t xml:space="preserve">XB-D25L30-8x10-SV</t>
  </si>
  <si>
    <t xml:space="preserve">XB-D25L30-8x11-SV</t>
  </si>
  <si>
    <t xml:space="preserve">XB-D25L30-8x12-SV</t>
  </si>
  <si>
    <t xml:space="preserve">XB-D25L30-8x12.7-SV</t>
  </si>
  <si>
    <t xml:space="preserve">XB-D25L30-8x8-SV</t>
  </si>
  <si>
    <t xml:space="preserve">XB-D25L30-8x9-SV</t>
  </si>
  <si>
    <t xml:space="preserve">XB-D25L30-8x9.5-SV</t>
  </si>
  <si>
    <t xml:space="preserve">XB-D25L30-9.5x10-SV</t>
  </si>
  <si>
    <t xml:space="preserve">XB-D25L30-9.5x11-SV</t>
  </si>
  <si>
    <t xml:space="preserve">XB-D25L30-9.5x12-SV</t>
  </si>
  <si>
    <t xml:space="preserve">XB-D25L30-9.5x12.7-SV</t>
  </si>
  <si>
    <t xml:space="preserve">XB-D25L30-9.5x9.5-SV</t>
  </si>
  <si>
    <t xml:space="preserve">XB-D25L30-9x10-SV</t>
  </si>
  <si>
    <t xml:space="preserve">XB-D25L30-9x11-SV</t>
  </si>
  <si>
    <t xml:space="preserve">XB-D25L30-9x12-SV</t>
  </si>
  <si>
    <t xml:space="preserve">XB-D25L30-9x12.7-SV</t>
  </si>
  <si>
    <t xml:space="preserve">XB-D25L30-9x9-SV</t>
  </si>
  <si>
    <t xml:space="preserve">XB-D25L30-9x9.5-SV</t>
  </si>
  <si>
    <t xml:space="preserve">XB-D25L35-10x10-SV</t>
  </si>
  <si>
    <t xml:space="preserve">XB-D25L35-10x12-SV</t>
  </si>
  <si>
    <t xml:space="preserve">XB-D25L35-11x11-SV</t>
  </si>
  <si>
    <t xml:space="preserve">XB-D25L35-12x12-SV</t>
  </si>
  <si>
    <t xml:space="preserve">XB-D25L35-5x12-SV</t>
  </si>
  <si>
    <t xml:space="preserve">XB-D25L35-6.35x6.35-SV</t>
  </si>
  <si>
    <t xml:space="preserve">XB-D25L35-8x10-SV</t>
  </si>
  <si>
    <t xml:space="preserve">XB-D25L35-8x12-SV</t>
  </si>
  <si>
    <t xml:space="preserve">XB-D25L35-8x8-SV</t>
  </si>
  <si>
    <t xml:space="preserve">XB-D30L35-10x10-SV</t>
  </si>
  <si>
    <t xml:space="preserve">XB-D30L35-10x11-SV</t>
  </si>
  <si>
    <t xml:space="preserve">XB-D30L35-10x12-SV</t>
  </si>
  <si>
    <t xml:space="preserve">XB-D30L35-10x12.7-SV</t>
  </si>
  <si>
    <t xml:space="preserve">XB-D30L35-10x14-SV</t>
  </si>
  <si>
    <t xml:space="preserve">XB-D30L35-10x16-SV</t>
  </si>
  <si>
    <t xml:space="preserve">XB-D30L35-11x11-SV</t>
  </si>
  <si>
    <t xml:space="preserve">XB-D30L35-11x12-SV</t>
  </si>
  <si>
    <t xml:space="preserve">XB-D30L35-11x12.7-SV</t>
  </si>
  <si>
    <t xml:space="preserve">XB-D30L35-11x14-SV</t>
  </si>
  <si>
    <t xml:space="preserve">XB-D30L35-11x16-SV</t>
  </si>
  <si>
    <t xml:space="preserve">XB-D30L35-12.7x12.7-SV</t>
  </si>
  <si>
    <t xml:space="preserve">XB-D30L35-12.7x14-SV</t>
  </si>
  <si>
    <t xml:space="preserve">XB-D30L35-12.7x16-SV</t>
  </si>
  <si>
    <t xml:space="preserve">XB-D30L35-12x12-SV</t>
  </si>
  <si>
    <t xml:space="preserve">XB-D30L35-12x12.7-SV</t>
  </si>
  <si>
    <t xml:space="preserve">XB-D30L35-12x14-SV</t>
  </si>
  <si>
    <t xml:space="preserve">XB-D30L35-12x15-SV</t>
  </si>
  <si>
    <t xml:space="preserve">XB-D30L35-12x16-SV</t>
  </si>
  <si>
    <t xml:space="preserve">XB-D30L35-14x14-SV</t>
  </si>
  <si>
    <t xml:space="preserve">XB-D30L35-14x15-SV</t>
  </si>
  <si>
    <t xml:space="preserve">XB-D30L35-14x16-SV</t>
  </si>
  <si>
    <t xml:space="preserve">XB-D30L35-16x16-SV</t>
  </si>
  <si>
    <t xml:space="preserve">XB-D30L35-5x10-SV</t>
  </si>
  <si>
    <t xml:space="preserve">XB-D30L35-5x11-SV</t>
  </si>
  <si>
    <t xml:space="preserve">XB-D30L35-5x12-SV</t>
  </si>
  <si>
    <t xml:space="preserve">XB-D30L35-5x12.7-SV</t>
  </si>
  <si>
    <t xml:space="preserve">XB-D30L35-5x14-SV</t>
  </si>
  <si>
    <t xml:space="preserve">XB-D30L35-5x16-SV</t>
  </si>
  <si>
    <t xml:space="preserve">XB-D30L35-5x5-SV</t>
  </si>
  <si>
    <t xml:space="preserve">XB-D30L35-5x6-SV</t>
  </si>
  <si>
    <t xml:space="preserve">XB-D30L35-5x6.35-SV</t>
  </si>
  <si>
    <t xml:space="preserve">XB-D30L35-5x7-SV</t>
  </si>
  <si>
    <t xml:space="preserve">XB-D30L35-5x8-SV</t>
  </si>
  <si>
    <t xml:space="preserve">XB-D30L35-5x9.5-SV</t>
  </si>
  <si>
    <t xml:space="preserve">XB-D30L35-6.35x10-SV</t>
  </si>
  <si>
    <t xml:space="preserve">XB-D30L35-6.35x11-SV</t>
  </si>
  <si>
    <t xml:space="preserve">XB-D30L35-6.35x12-SV</t>
  </si>
  <si>
    <t xml:space="preserve">XB-D30L35-6.35x12.7-SV</t>
  </si>
  <si>
    <t xml:space="preserve">XB-D30L35-6.35x14-SV</t>
  </si>
  <si>
    <t xml:space="preserve">XB-D30L35-6.35x16-SV</t>
  </si>
  <si>
    <t xml:space="preserve">XB-D30L35-6.35x6.35-SV</t>
  </si>
  <si>
    <t xml:space="preserve">XB-D30L35-6.35x7-SV</t>
  </si>
  <si>
    <t xml:space="preserve">XB-D30L35-6.35x8-SV</t>
  </si>
  <si>
    <t xml:space="preserve">XB-D30L35-6.35x9.5-SV</t>
  </si>
  <si>
    <t xml:space="preserve">XB-D30L35-6x10-SV</t>
  </si>
  <si>
    <t xml:space="preserve">XB-D30L35-6x11-SV</t>
  </si>
  <si>
    <t xml:space="preserve">XB-D30L35-6x12-SV</t>
  </si>
  <si>
    <t xml:space="preserve">XB-D30L35-6x12.7-SV</t>
  </si>
  <si>
    <t xml:space="preserve">XB-D30L35-6x14-SV</t>
  </si>
  <si>
    <t xml:space="preserve">XB-D30L35-6x16-SV</t>
  </si>
  <si>
    <t xml:space="preserve">XB-D30L35-6x6-SV</t>
  </si>
  <si>
    <t xml:space="preserve">XB-D30L35-6x6.35-SV</t>
  </si>
  <si>
    <t xml:space="preserve">XB-D30L35-6x7-SV</t>
  </si>
  <si>
    <t xml:space="preserve">XB-D30L35-6x8-SV</t>
  </si>
  <si>
    <t xml:space="preserve">XB-D30L35-6x9.5-SV</t>
  </si>
  <si>
    <t xml:space="preserve">XB-D30L35-7x10-SV</t>
  </si>
  <si>
    <t xml:space="preserve">XB-D30L35-7x11-SV</t>
  </si>
  <si>
    <t xml:space="preserve">XB-D30L35-7x12-SV</t>
  </si>
  <si>
    <t xml:space="preserve">XB-D30L35-7x12.7-SV</t>
  </si>
  <si>
    <t xml:space="preserve">XB-D30L35-7x14-SV</t>
  </si>
  <si>
    <t xml:space="preserve">XB-D30L35-7x16-SV</t>
  </si>
  <si>
    <t xml:space="preserve">XB-D30L35-7x7-SV</t>
  </si>
  <si>
    <t xml:space="preserve">XB-D30L35-7x8-SV</t>
  </si>
  <si>
    <t xml:space="preserve">XB-D30L35-7x9.5-SV</t>
  </si>
  <si>
    <t xml:space="preserve">XB-D30L35-8x10-SV</t>
  </si>
  <si>
    <t xml:space="preserve">XB-D30L35-8x11-SV</t>
  </si>
  <si>
    <t xml:space="preserve">XB-D30L35-8x12-SV</t>
  </si>
  <si>
    <t xml:space="preserve">XB-D30L35-8x12.7-SV</t>
  </si>
  <si>
    <t xml:space="preserve">XB-D30L35-8x14-SV</t>
  </si>
  <si>
    <t xml:space="preserve">XB-D30L35-8x16-SV</t>
  </si>
  <si>
    <t xml:space="preserve">XB-D30L35-8x8-SV</t>
  </si>
  <si>
    <t xml:space="preserve">XB-D30L35-8x9.5-SV</t>
  </si>
  <si>
    <t xml:space="preserve">XB-D30L35-9.5x10-SV</t>
  </si>
  <si>
    <t xml:space="preserve">XB-D30L35-9.5x11-SV</t>
  </si>
  <si>
    <t xml:space="preserve">XB-D30L35-9.5x12-SV</t>
  </si>
  <si>
    <t xml:space="preserve">XB-D30L35-9.5x12.7-SV</t>
  </si>
  <si>
    <t xml:space="preserve">XB-D30L35-9.5x14-SV</t>
  </si>
  <si>
    <t xml:space="preserve">XB-D30L35-9.5x16-SV</t>
  </si>
  <si>
    <t xml:space="preserve">XB-D30L35-9.5x9.5-SV</t>
  </si>
  <si>
    <t xml:space="preserve">XB-D30L40-10x10-SV</t>
  </si>
  <si>
    <t xml:space="preserve">XB-D30L40-10x11-SV</t>
  </si>
  <si>
    <t xml:space="preserve">XB-D30L40-10x12-SV</t>
  </si>
  <si>
    <t xml:space="preserve">XB-D30L40-10x12.7-SV</t>
  </si>
  <si>
    <t xml:space="preserve">XB-D30L40-10x13-SV</t>
  </si>
  <si>
    <t xml:space="preserve">XB-D30L40-10x14-SV</t>
  </si>
  <si>
    <t xml:space="preserve">XB-D30L40-10x15-SV</t>
  </si>
  <si>
    <t xml:space="preserve">XB-D30L40-10x16-SV</t>
  </si>
  <si>
    <t xml:space="preserve">XB-D30L40-11x11-SV</t>
  </si>
  <si>
    <t xml:space="preserve">XB-D30L40-11x12-SV</t>
  </si>
  <si>
    <t xml:space="preserve">XB-D30L40-11x12.7-SV</t>
  </si>
  <si>
    <t xml:space="preserve">XB-D30L40-11x13-SV</t>
  </si>
  <si>
    <t xml:space="preserve">XB-D30L40-11x14-SV</t>
  </si>
  <si>
    <t xml:space="preserve">XB-D30L40-11x15-SV</t>
  </si>
  <si>
    <t xml:space="preserve">XB-D30L40-11x16-SV</t>
  </si>
  <si>
    <t xml:space="preserve">XB-D30L40-12.7x12.7-SV</t>
  </si>
  <si>
    <t xml:space="preserve">XB-D30L40-12.7x13-SV</t>
  </si>
  <si>
    <t xml:space="preserve">XB-D30L40-12.7x14-SV</t>
  </si>
  <si>
    <t xml:space="preserve">XB-D30L40-12.7x15-SV</t>
  </si>
  <si>
    <t xml:space="preserve">XB-D30L40-12.7x16-SV</t>
  </si>
  <si>
    <t xml:space="preserve">XB-D30L40-12x12-SV</t>
  </si>
  <si>
    <t xml:space="preserve">XB-D30L40-12x12.7-SV</t>
  </si>
  <si>
    <t xml:space="preserve">XB-D30L40-12x13-SV</t>
  </si>
  <si>
    <t xml:space="preserve">XB-D30L40-12x14-SV</t>
  </si>
  <si>
    <t xml:space="preserve">XB-D30L40-12x15-SV</t>
  </si>
  <si>
    <t xml:space="preserve">XB-D30L40-12x16-SV</t>
  </si>
  <si>
    <t xml:space="preserve">XB-D30L40-13x13-SV</t>
  </si>
  <si>
    <t xml:space="preserve">XB-D30L40-13x14-SV</t>
  </si>
  <si>
    <t xml:space="preserve">XB-D30L40-13x15-SV</t>
  </si>
  <si>
    <t xml:space="preserve">XB-D30L40-13x16-SV</t>
  </si>
  <si>
    <t xml:space="preserve">XB-D30L40-14x14-SV</t>
  </si>
  <si>
    <t xml:space="preserve">XB-D30L40-14x15-SV</t>
  </si>
  <si>
    <t xml:space="preserve">XB-D30L40-14x16-SV</t>
  </si>
  <si>
    <t xml:space="preserve">XB-D30L40-15x15-SV</t>
  </si>
  <si>
    <t xml:space="preserve">XB-D30L40-15x16-SV</t>
  </si>
  <si>
    <t xml:space="preserve">XB-D30L40-16x16-SV</t>
  </si>
  <si>
    <t xml:space="preserve">XB-D30L40-3x10-SV</t>
  </si>
  <si>
    <t xml:space="preserve">XB-D30L40-3x11-SV</t>
  </si>
  <si>
    <t xml:space="preserve">XB-D30L40-3x12-SV</t>
  </si>
  <si>
    <t xml:space="preserve">XB-D30L40-3x12.7-SV</t>
  </si>
  <si>
    <t xml:space="preserve">XB-D30L40-3x13-SV</t>
  </si>
  <si>
    <t xml:space="preserve">XB-D30L40-3x14-SV</t>
  </si>
  <si>
    <t xml:space="preserve">XB-D30L40-3x15-SV</t>
  </si>
  <si>
    <t xml:space="preserve">XB-D30L40-3x16-SV</t>
  </si>
  <si>
    <t xml:space="preserve">XB-D30L40-3x3-SV</t>
  </si>
  <si>
    <t xml:space="preserve">XB-D30L40-3x4-SV</t>
  </si>
  <si>
    <t xml:space="preserve">XB-D30L40-3x5-SV</t>
  </si>
  <si>
    <t xml:space="preserve">XB-D30L40-3x6-SV</t>
  </si>
  <si>
    <t xml:space="preserve">XB-D30L40-3x6.35-SV</t>
  </si>
  <si>
    <t xml:space="preserve">XB-D30L40-3x7-SV</t>
  </si>
  <si>
    <t xml:space="preserve">XB-D30L40-3x8-SV</t>
  </si>
  <si>
    <t xml:space="preserve">XB-D30L40-3x9-SV</t>
  </si>
  <si>
    <t xml:space="preserve">XB-D30L40-3x9.5-SV</t>
  </si>
  <si>
    <t xml:space="preserve">XB-D30L40-4x10-SV</t>
  </si>
  <si>
    <t xml:space="preserve">XB-D30L40-4x11-SV</t>
  </si>
  <si>
    <t xml:space="preserve">XB-D30L40-4x12-SV</t>
  </si>
  <si>
    <t xml:space="preserve">XB-D30L40-4x12.7-SV</t>
  </si>
  <si>
    <t xml:space="preserve">XB-D30L40-4x13-SV</t>
  </si>
  <si>
    <t xml:space="preserve">XB-D30L40-4x14-SV</t>
  </si>
  <si>
    <t xml:space="preserve">XB-D30L40-4x15-SV</t>
  </si>
  <si>
    <t xml:space="preserve">XB-D30L40-4x16-SV</t>
  </si>
  <si>
    <t xml:space="preserve">XB-D30L40-4x4-SV</t>
  </si>
  <si>
    <t xml:space="preserve">XB-D30L40-4x5-SV</t>
  </si>
  <si>
    <t xml:space="preserve">XB-D30L40-4x6-SV</t>
  </si>
  <si>
    <t xml:space="preserve">XB-D30L40-4x6.35-SV</t>
  </si>
  <si>
    <t xml:space="preserve">XB-D30L40-4x7-SV</t>
  </si>
  <si>
    <t xml:space="preserve">XB-D30L40-4x8-SV</t>
  </si>
  <si>
    <t xml:space="preserve">XB-D30L40-4x9-SV</t>
  </si>
  <si>
    <t xml:space="preserve">XB-D30L40-4x9.5-SV</t>
  </si>
  <si>
    <t xml:space="preserve">XB-D30L40-5x10-SV</t>
  </si>
  <si>
    <t xml:space="preserve">XB-D30L40-5x11-SV</t>
  </si>
  <si>
    <t xml:space="preserve">XB-D30L40-5x12-SV</t>
  </si>
  <si>
    <t xml:space="preserve">XB-D30L40-5x12.7-SV</t>
  </si>
  <si>
    <t xml:space="preserve">XB-D30L40-5x13-SV</t>
  </si>
  <si>
    <t xml:space="preserve">XB-D30L40-5x14-SV</t>
  </si>
  <si>
    <t xml:space="preserve">XB-D30L40-5x15-SV</t>
  </si>
  <si>
    <t xml:space="preserve">XB-D30L40-5x16-SV</t>
  </si>
  <si>
    <t xml:space="preserve">XB-D30L40-5x5-SV</t>
  </si>
  <si>
    <t xml:space="preserve">XB-D30L40-5x6-SV</t>
  </si>
  <si>
    <t xml:space="preserve">XB-D30L40-5x6.35-SV</t>
  </si>
  <si>
    <t xml:space="preserve">XB-D30L40-5x7-SV</t>
  </si>
  <si>
    <t xml:space="preserve">XB-D30L40-5x8-SV</t>
  </si>
  <si>
    <t xml:space="preserve">XB-D30L40-5x9-SV</t>
  </si>
  <si>
    <t xml:space="preserve">XB-D30L40-5x9.5-SV</t>
  </si>
  <si>
    <t xml:space="preserve">XB-D30L40-6.35x10-SV</t>
  </si>
  <si>
    <t xml:space="preserve">XB-D30L40-6.35x11-SV</t>
  </si>
  <si>
    <t xml:space="preserve">XB-D30L40-6.35x12-SV</t>
  </si>
  <si>
    <t xml:space="preserve">XB-D30L40-6.35x12.7-SV</t>
  </si>
  <si>
    <t xml:space="preserve">XB-D30L40-6.35x13-SV</t>
  </si>
  <si>
    <t xml:space="preserve">XB-D30L40-6.35x14-SV</t>
  </si>
  <si>
    <t xml:space="preserve">XB-D30L40-6.35x15-SV</t>
  </si>
  <si>
    <t xml:space="preserve">XB-D30L40-6.35x16-SV</t>
  </si>
  <si>
    <t xml:space="preserve">XB-D30L40-6.35x6.35-SV</t>
  </si>
  <si>
    <t xml:space="preserve">XB-D30L40-6.35x7-SV</t>
  </si>
  <si>
    <t xml:space="preserve">XB-D30L40-6.35x8-SV</t>
  </si>
  <si>
    <t xml:space="preserve">XB-D30L40-6.35x9-SV</t>
  </si>
  <si>
    <t xml:space="preserve">XB-D30L40-6.35x9.5-SV</t>
  </si>
  <si>
    <t xml:space="preserve">XB-D30L40-6x10-SV</t>
  </si>
  <si>
    <t xml:space="preserve">XB-D30L40-6x11-SV</t>
  </si>
  <si>
    <t xml:space="preserve">XB-D30L40-6x12-SV</t>
  </si>
  <si>
    <t xml:space="preserve">XB-D30L40-6x12.7-SV</t>
  </si>
  <si>
    <t xml:space="preserve">XB-D30L40-6x13-SV</t>
  </si>
  <si>
    <t xml:space="preserve">XB-D30L40-6x14-SV</t>
  </si>
  <si>
    <t xml:space="preserve">XB-D30L40-6x15-SV</t>
  </si>
  <si>
    <t xml:space="preserve">XB-D30L40-6x16-SV</t>
  </si>
  <si>
    <t xml:space="preserve">XB-D30L40-6x6-SV</t>
  </si>
  <si>
    <t xml:space="preserve">XB-D30L40-6x6.35-SV</t>
  </si>
  <si>
    <t xml:space="preserve">XB-D30L40-6x7-SV</t>
  </si>
  <si>
    <t xml:space="preserve">XB-D30L40-6x8-SV</t>
  </si>
  <si>
    <t xml:space="preserve">XB-D30L40-6x9-SV</t>
  </si>
  <si>
    <t xml:space="preserve">XB-D30L40-6x9.5-SV</t>
  </si>
  <si>
    <t xml:space="preserve">XB-D30L40-7x10-SV</t>
  </si>
  <si>
    <t xml:space="preserve">XB-D30L40-7x11-SV</t>
  </si>
  <si>
    <t xml:space="preserve">XB-D30L40-7x12-SV</t>
  </si>
  <si>
    <t xml:space="preserve">XB-D30L40-7x12.7-SV</t>
  </si>
  <si>
    <t xml:space="preserve">XB-D30L40-7x13-SV</t>
  </si>
  <si>
    <t xml:space="preserve">XB-D30L40-7x14-SV</t>
  </si>
  <si>
    <t xml:space="preserve">XB-D30L40-7x15-SV</t>
  </si>
  <si>
    <t xml:space="preserve">XB-D30L40-7x16-SV</t>
  </si>
  <si>
    <t xml:space="preserve">XB-D30L40-7x7-SV</t>
  </si>
  <si>
    <t xml:space="preserve">XB-D30L40-7x8-SV</t>
  </si>
  <si>
    <t xml:space="preserve">XB-D30L40-7x9-SV</t>
  </si>
  <si>
    <t xml:space="preserve">XB-D30L40-7x9.5-SV</t>
  </si>
  <si>
    <t xml:space="preserve">XB-D30L40-8x10-SV</t>
  </si>
  <si>
    <t xml:space="preserve">XB-D30L40-8x11-SV</t>
  </si>
  <si>
    <t xml:space="preserve">XB-D30L40-8x12-SV</t>
  </si>
  <si>
    <t xml:space="preserve">XB-D30L40-8x12.7-SV</t>
  </si>
  <si>
    <t xml:space="preserve">XB-D30L40-8x13-SV</t>
  </si>
  <si>
    <t xml:space="preserve">XB-D30L40-8x14-SV</t>
  </si>
  <si>
    <t xml:space="preserve">XB-D30L40-8x15-SV</t>
  </si>
  <si>
    <t xml:space="preserve">XB-D30L40-8x16-SV</t>
  </si>
  <si>
    <t xml:space="preserve">XB-D30L40-8x8-SV</t>
  </si>
  <si>
    <t xml:space="preserve">XB-D30L40-8x9-SV</t>
  </si>
  <si>
    <t xml:space="preserve">XB-D30L40-8x9.5-SV</t>
  </si>
  <si>
    <t xml:space="preserve">XB-D30L40-9.5x10-SV</t>
  </si>
  <si>
    <t xml:space="preserve">XB-D30L40-9.5x11-SV</t>
  </si>
  <si>
    <t xml:space="preserve">XB-D30L40-9.5x12-SV</t>
  </si>
  <si>
    <t xml:space="preserve">XB-D30L40-9.5x12.7-SV</t>
  </si>
  <si>
    <t xml:space="preserve">XB-D30L40-9.5x13-SV</t>
  </si>
  <si>
    <t xml:space="preserve">XB-D30L40-9.5x14-SV</t>
  </si>
  <si>
    <t xml:space="preserve">XB-D30L40-9.5x15-SV</t>
  </si>
  <si>
    <t xml:space="preserve">XB-D30L40-9.5x16-SV</t>
  </si>
  <si>
    <t xml:space="preserve">XB-D30L40-9.5x9.5-SV</t>
  </si>
  <si>
    <t xml:space="preserve">XB-D30L40-9x10-SV</t>
  </si>
  <si>
    <t xml:space="preserve">XB-D30L40-9x11-SV</t>
  </si>
  <si>
    <t xml:space="preserve">XB-D30L40-9x12-SV</t>
  </si>
  <si>
    <t xml:space="preserve">XB-D30L40-9x12.7-SV</t>
  </si>
  <si>
    <t xml:space="preserve">XB-D30L40-9x13-SV</t>
  </si>
  <si>
    <t xml:space="preserve">XB-D30L40-9x14-SV</t>
  </si>
  <si>
    <t xml:space="preserve">XB-D30L40-9x15-SV</t>
  </si>
  <si>
    <t xml:space="preserve">XB-D30L40-9x16-SV</t>
  </si>
  <si>
    <t xml:space="preserve">XB-D30L40-9x9-SV</t>
  </si>
  <si>
    <t xml:space="preserve">XB-D30L40-9x9.5-SV</t>
  </si>
  <si>
    <t xml:space="preserve">XB-D30L50-12x12-SV</t>
  </si>
  <si>
    <t xml:space="preserve">XB-D35L40-10x10-SV</t>
  </si>
  <si>
    <t xml:space="preserve">XB-D35L40-10x19-SV</t>
  </si>
  <si>
    <t xml:space="preserve">XB-D35L40-19x19-SV</t>
  </si>
  <si>
    <t xml:space="preserve">XB-D35L60-8x8-SV</t>
  </si>
  <si>
    <t xml:space="preserve">D35×L60</t>
  </si>
  <si>
    <t xml:space="preserve">XB-D40L45-8x8-SV</t>
  </si>
  <si>
    <t xml:space="preserve">D40×L45</t>
  </si>
  <si>
    <t xml:space="preserve">XB-D40L50-10x10-SV</t>
  </si>
  <si>
    <t xml:space="preserve">XB-D40L50-10x12-SV</t>
  </si>
  <si>
    <t xml:space="preserve">XB-D40L50-10x14-SV</t>
  </si>
  <si>
    <t xml:space="preserve">XB-D40L50-10x15-SV</t>
  </si>
  <si>
    <t xml:space="preserve">XB-D40L50-10x16-SV</t>
  </si>
  <si>
    <t xml:space="preserve">XB-D40L50-10x19-SV</t>
  </si>
  <si>
    <t xml:space="preserve">XB-D40L50-10x20-SV</t>
  </si>
  <si>
    <t xml:space="preserve">XB-D40L50-10x22-SV</t>
  </si>
  <si>
    <t xml:space="preserve">XB-D40L50-12x12-SV</t>
  </si>
  <si>
    <t xml:space="preserve">XB-D40L50-12x14-SV</t>
  </si>
  <si>
    <t xml:space="preserve">XB-D40L50-12x15-SV</t>
  </si>
  <si>
    <t xml:space="preserve">XB-D40L50-12x16-SV</t>
  </si>
  <si>
    <t xml:space="preserve">XB-D40L50-12x18-SV</t>
  </si>
  <si>
    <t xml:space="preserve">XB-D40L50-12x19-SV</t>
  </si>
  <si>
    <t xml:space="preserve">XB-D40L50-12x20-SV</t>
  </si>
  <si>
    <t xml:space="preserve">XB-D40L50-12x22-SV</t>
  </si>
  <si>
    <t xml:space="preserve">XB-D40L50-14x14-SV</t>
  </si>
  <si>
    <t xml:space="preserve">XB-D40L50-14x15-SV</t>
  </si>
  <si>
    <t xml:space="preserve">XB-D40L50-14x16-SV</t>
  </si>
  <si>
    <t xml:space="preserve">XB-D40L50-14x19-SV</t>
  </si>
  <si>
    <t xml:space="preserve">XB-D40L50-14x20-SV</t>
  </si>
  <si>
    <t xml:space="preserve">XB-D40L50-14x22-SV</t>
  </si>
  <si>
    <t xml:space="preserve">XB-D40L50-15x15-SV</t>
  </si>
  <si>
    <t xml:space="preserve">XB-D40L50-15x16-SV</t>
  </si>
  <si>
    <t xml:space="preserve">XB-D40L50-15x19-SV</t>
  </si>
  <si>
    <t xml:space="preserve">XB-D40L50-15x20-SV</t>
  </si>
  <si>
    <t xml:space="preserve">XB-D40L50-15x22-SV</t>
  </si>
  <si>
    <t xml:space="preserve">XB-D40L50-16x16-SV</t>
  </si>
  <si>
    <t xml:space="preserve">XB-D40L50-16x19-SV</t>
  </si>
  <si>
    <t xml:space="preserve">XB-D40L50-16x20-SV</t>
  </si>
  <si>
    <t xml:space="preserve">XB-D40L50-16x22-SV</t>
  </si>
  <si>
    <t xml:space="preserve">XB-D40L50-18x20-SV</t>
  </si>
  <si>
    <t xml:space="preserve">XB-D40L50-19x19-SV</t>
  </si>
  <si>
    <t xml:space="preserve">XB-D40L50-19x20-SV</t>
  </si>
  <si>
    <t xml:space="preserve">XB-D40L50-19x22-SV</t>
  </si>
  <si>
    <t xml:space="preserve">XB-D40L50-20x20-SV</t>
  </si>
  <si>
    <t xml:space="preserve">XB-D40L50-20x22-SV</t>
  </si>
  <si>
    <t xml:space="preserve">XB-D40L50-22x22-SV</t>
  </si>
  <si>
    <t xml:space="preserve">XB-D40L50-8x10-SV</t>
  </si>
  <si>
    <t xml:space="preserve">XB-D40L50-8x12-SV</t>
  </si>
  <si>
    <t xml:space="preserve">XB-D40L50-8x14-SV</t>
  </si>
  <si>
    <t xml:space="preserve">XB-D40L50-8x15-SV</t>
  </si>
  <si>
    <t xml:space="preserve">XB-D40L50-8x16-SV</t>
  </si>
  <si>
    <t xml:space="preserve">XB-D40L50-8x19-SV</t>
  </si>
  <si>
    <t xml:space="preserve">XB-D40L50-8x20-SV</t>
  </si>
  <si>
    <t xml:space="preserve">XB-D40L50-8x22-SV</t>
  </si>
  <si>
    <t xml:space="preserve">XB-D40L50-8x8-SV</t>
  </si>
  <si>
    <t xml:space="preserve">XB-D40L50-8x9-SV</t>
  </si>
  <si>
    <t xml:space="preserve">XB-D40L50-9x10-SV</t>
  </si>
  <si>
    <t xml:space="preserve">XB-D40L50-9x12-SV</t>
  </si>
  <si>
    <t xml:space="preserve">XB-D40L50-9x14-SV</t>
  </si>
  <si>
    <t xml:space="preserve">XB-D40L50-9x15-SV</t>
  </si>
  <si>
    <t xml:space="preserve">XB-D40L50-9x16-SV</t>
  </si>
  <si>
    <t xml:space="preserve">XB-D40L50-9x19-SV</t>
  </si>
  <si>
    <t xml:space="preserve">XB-D40L50-9x20-SV</t>
  </si>
  <si>
    <t xml:space="preserve">XB-D40L50-9x22-SV</t>
  </si>
  <si>
    <t xml:space="preserve">XB-D40L50-9x9-SV</t>
  </si>
  <si>
    <t xml:space="preserve">XB-D40L55-12x12-SV</t>
  </si>
  <si>
    <t xml:space="preserve">XB-D40L55-12x14-SV</t>
  </si>
  <si>
    <t xml:space="preserve">XB-D40L55-12x15-SV</t>
  </si>
  <si>
    <t xml:space="preserve">XB-D40L55-12x16-SV</t>
  </si>
  <si>
    <t xml:space="preserve">XB-D40L55-12x19-SV</t>
  </si>
  <si>
    <t xml:space="preserve">XB-D40L55-12x22-SV</t>
  </si>
  <si>
    <t xml:space="preserve">XB-D40L55-14x14-SV</t>
  </si>
  <si>
    <t xml:space="preserve">XB-D40L55-14x15-SV</t>
  </si>
  <si>
    <t xml:space="preserve">XB-D40L55-14x16-SV</t>
  </si>
  <si>
    <t xml:space="preserve">XB-D40L55-14x19-SV</t>
  </si>
  <si>
    <t xml:space="preserve">XB-D40L55-14x22-SV</t>
  </si>
  <si>
    <t xml:space="preserve">XB-D40L55-15x15-SV</t>
  </si>
  <si>
    <t xml:space="preserve">XB-D40L55-15x16-SV</t>
  </si>
  <si>
    <t xml:space="preserve">XB-D40L55-15x19-SV</t>
  </si>
  <si>
    <t xml:space="preserve">XB-D40L55-15x22-SV</t>
  </si>
  <si>
    <t xml:space="preserve">XB-D40L55-16x16-SV</t>
  </si>
  <si>
    <t xml:space="preserve">XB-D40L55-16x19-SV</t>
  </si>
  <si>
    <t xml:space="preserve">XB-D40L55-16x20-SV</t>
  </si>
  <si>
    <t xml:space="preserve">XB-D40L55-16x22-SV</t>
  </si>
  <si>
    <t xml:space="preserve">XB-D40L55-18x19-SV</t>
  </si>
  <si>
    <t xml:space="preserve">XB-D40L55-19x19-SV</t>
  </si>
  <si>
    <t xml:space="preserve">XB-D40L55-19x22-SV</t>
  </si>
  <si>
    <t xml:space="preserve">XB-D40L55-22x22-SV</t>
  </si>
  <si>
    <t xml:space="preserve">XB-D40L55-8x12-SV</t>
  </si>
  <si>
    <t xml:space="preserve">XB-D40L55-8x14-SV</t>
  </si>
  <si>
    <t xml:space="preserve">XB-D40L55-8x15-SV</t>
  </si>
  <si>
    <t xml:space="preserve">XB-D40L55-8x16-SV</t>
  </si>
  <si>
    <t xml:space="preserve">XB-D40L55-8x19-SV</t>
  </si>
  <si>
    <t xml:space="preserve">XB-D40L55-8x22-SV</t>
  </si>
  <si>
    <t xml:space="preserve">XB-D40L55-8x8-SV</t>
  </si>
  <si>
    <t xml:space="preserve">XB-D40L66-10x10-SV</t>
  </si>
  <si>
    <t xml:space="preserve">D40×L66</t>
  </si>
  <si>
    <t xml:space="preserve">XB-D40L66-10x12-SV</t>
  </si>
  <si>
    <t xml:space="preserve">XB-D40L66-10x12.7-SV</t>
  </si>
  <si>
    <t xml:space="preserve">XB-D40L66-10x14-SV</t>
  </si>
  <si>
    <t xml:space="preserve">XB-D40L66-10x15-SV</t>
  </si>
  <si>
    <t xml:space="preserve">XB-D40L66-10x16-SV</t>
  </si>
  <si>
    <t xml:space="preserve">XB-D40L66-10x17-SV</t>
  </si>
  <si>
    <t xml:space="preserve">XB-D40L66-10x18-SV</t>
  </si>
  <si>
    <t xml:space="preserve">XB-D40L66-10x19-SV</t>
  </si>
  <si>
    <t xml:space="preserve">XB-D40L66-10x20-SV</t>
  </si>
  <si>
    <t xml:space="preserve">XB-D40L66-12.7x12.7-SV</t>
  </si>
  <si>
    <t xml:space="preserve">XB-D40L66-12.7x14-SV</t>
  </si>
  <si>
    <t xml:space="preserve">XB-D40L66-12.7x15-SV</t>
  </si>
  <si>
    <t xml:space="preserve">XB-D40L66-12.7x16-SV</t>
  </si>
  <si>
    <t xml:space="preserve">XB-D40L66-12.7x17-SV</t>
  </si>
  <si>
    <t xml:space="preserve">XB-D40L66-12.7x18-SV</t>
  </si>
  <si>
    <t xml:space="preserve">XB-D40L66-12.7x19-SV</t>
  </si>
  <si>
    <t xml:space="preserve">XB-D40L66-12.7x20-SV</t>
  </si>
  <si>
    <t xml:space="preserve">XB-D40L66-12x12-SV</t>
  </si>
  <si>
    <t xml:space="preserve">XB-D40L66-12x12.7-SV</t>
  </si>
  <si>
    <t xml:space="preserve">XB-D40L66-12x14-SV</t>
  </si>
  <si>
    <t xml:space="preserve">XB-D40L66-12x15-SV</t>
  </si>
  <si>
    <t xml:space="preserve">XB-D40L66-12x16-SV</t>
  </si>
  <si>
    <t xml:space="preserve">XB-D40L66-12x17-SV</t>
  </si>
  <si>
    <t xml:space="preserve">XB-D40L66-12x18-SV</t>
  </si>
  <si>
    <t xml:space="preserve">XB-D40L66-12x19-SV</t>
  </si>
  <si>
    <t xml:space="preserve">XB-D40L66-12x20-SV</t>
  </si>
  <si>
    <t xml:space="preserve">XB-D40L66-14x14-SV</t>
  </si>
  <si>
    <t xml:space="preserve">XB-D40L66-14x15-SV</t>
  </si>
  <si>
    <t xml:space="preserve">XB-D40L66-14x16-SV</t>
  </si>
  <si>
    <t xml:space="preserve">XB-D40L66-14x17-SV</t>
  </si>
  <si>
    <t xml:space="preserve">XB-D40L66-14x18-SV</t>
  </si>
  <si>
    <t xml:space="preserve">XB-D40L66-14x19-SV</t>
  </si>
  <si>
    <t xml:space="preserve">XB-D40L66-14x20-SV</t>
  </si>
  <si>
    <t xml:space="preserve">XB-D40L66-15x15-SV</t>
  </si>
  <si>
    <t xml:space="preserve">XB-D40L66-15x16-SV</t>
  </si>
  <si>
    <t xml:space="preserve">XB-D40L66-15x17-SV</t>
  </si>
  <si>
    <t xml:space="preserve">XB-D40L66-15x18-SV</t>
  </si>
  <si>
    <t xml:space="preserve">XB-D40L66-15x19-SV</t>
  </si>
  <si>
    <t xml:space="preserve">XB-D40L66-15x20-SV</t>
  </si>
  <si>
    <t xml:space="preserve">XB-D40L66-16x16-SV</t>
  </si>
  <si>
    <t xml:space="preserve">XB-D40L66-16x17-SV</t>
  </si>
  <si>
    <t xml:space="preserve">XB-D40L66-16x18-SV</t>
  </si>
  <si>
    <t xml:space="preserve">XB-D40L66-16x19-SV</t>
  </si>
  <si>
    <t xml:space="preserve">XB-D40L66-16x20-SV</t>
  </si>
  <si>
    <t xml:space="preserve">XB-D40L66-17x17-SV</t>
  </si>
  <si>
    <t xml:space="preserve">XB-D40L66-17x18-SV</t>
  </si>
  <si>
    <t xml:space="preserve">XB-D40L66-17x19-SV</t>
  </si>
  <si>
    <t xml:space="preserve">XB-D40L66-17x20-SV</t>
  </si>
  <si>
    <t xml:space="preserve">XB-D40L66-18x18-SV</t>
  </si>
  <si>
    <t xml:space="preserve">XB-D40L66-18x19-SV</t>
  </si>
  <si>
    <t xml:space="preserve">XB-D40L66-18x20-SV</t>
  </si>
  <si>
    <t xml:space="preserve">XB-D40L66-19x19-SV</t>
  </si>
  <si>
    <t xml:space="preserve">XB-D40L66-19x20-SV</t>
  </si>
  <si>
    <t xml:space="preserve">XB-D40L66-20x20-SV</t>
  </si>
  <si>
    <t xml:space="preserve">XB-D40L66-8x12.7-SV</t>
  </si>
  <si>
    <t xml:space="preserve">XB-D45L55-24x24-SV</t>
  </si>
  <si>
    <t xml:space="preserve">XB-D45L66-20x20-SV</t>
  </si>
  <si>
    <t xml:space="preserve">D45×L66</t>
  </si>
  <si>
    <t xml:space="preserve">XB-D45L66-25x25-SV</t>
  </si>
  <si>
    <t xml:space="preserve">XB-D45L78-8x8-SV</t>
  </si>
  <si>
    <t xml:space="preserve">D45×L78</t>
  </si>
  <si>
    <t xml:space="preserve">XB-D55L66-14x17-SV</t>
  </si>
  <si>
    <t xml:space="preserve">D55×L66</t>
  </si>
  <si>
    <t xml:space="preserve">XB-D55L66-8x8-SV</t>
  </si>
  <si>
    <t xml:space="preserve">XB-D55L78-28x28-SV</t>
  </si>
  <si>
    <t xml:space="preserve">XB-D55L78-8x8-SV</t>
  </si>
  <si>
    <t xml:space="preserve">XB-D55L80-14x14-SV</t>
  </si>
  <si>
    <t xml:space="preserve">D55×L80</t>
  </si>
  <si>
    <t xml:space="preserve">XB-D55L80-14x16-SV</t>
  </si>
  <si>
    <t xml:space="preserve">XB-D55L80-14x25-SV</t>
  </si>
  <si>
    <t xml:space="preserve">XB-D55L80-16x16-SV</t>
  </si>
  <si>
    <t xml:space="preserve">XB-D55L80-16x25-SV</t>
  </si>
  <si>
    <t xml:space="preserve">XB-D55L80-25x25-SV</t>
  </si>
  <si>
    <t xml:space="preserve">XB-D65L90-14x14-SV</t>
  </si>
  <si>
    <t xml:space="preserve">XB-D65L90-14x18-SV</t>
  </si>
  <si>
    <t xml:space="preserve">XB-D65L90-14x24-SV</t>
  </si>
  <si>
    <t xml:space="preserve">XB-D65L90-14x25-SV</t>
  </si>
  <si>
    <t xml:space="preserve">XB-D65L90-18x18-SV</t>
  </si>
  <si>
    <t xml:space="preserve">XB-D65L90-18x25-SV</t>
  </si>
  <si>
    <t xml:space="preserve">XB-D65L90-24x35-SV</t>
  </si>
  <si>
    <t xml:space="preserve">XB-D65L90-25x25-SV</t>
  </si>
  <si>
    <t xml:space="preserve">XB-D65L90-25x38-SV</t>
  </si>
  <si>
    <t xml:space="preserve">XS Jaw Set-Screw Coupling (all sizes)  [XS Jaw Set-Screw]</t>
  </si>
  <si>
    <t xml:space="preserve">D14×L22</t>
  </si>
  <si>
    <t xml:space="preserve">XS-D14L22-3.175x3.175-SV</t>
  </si>
  <si>
    <t xml:space="preserve">XS-D14L22-3.175x3.5-SV</t>
  </si>
  <si>
    <t xml:space="preserve">3.175x3.5</t>
  </si>
  <si>
    <t xml:space="preserve">XS-D14L22-3.175x4-SV</t>
  </si>
  <si>
    <t xml:space="preserve">XS-D14L22-3.175x5-SV</t>
  </si>
  <si>
    <t xml:space="preserve">XS-D14L22-3.175x6-SV</t>
  </si>
  <si>
    <t xml:space="preserve">XS-D14L22-3.175x6.35-SV</t>
  </si>
  <si>
    <t xml:space="preserve">XS-D14L22-3.175x6.5-SV</t>
  </si>
  <si>
    <t xml:space="preserve">3.175x6.5</t>
  </si>
  <si>
    <t xml:space="preserve">XS-D14L22-3.175x8-SV</t>
  </si>
  <si>
    <t xml:space="preserve">XS-D14L22-3.5x3.5-SV</t>
  </si>
  <si>
    <t xml:space="preserve">3.5x3.5</t>
  </si>
  <si>
    <t xml:space="preserve">XS-D14L22-3.5x4-SV</t>
  </si>
  <si>
    <t xml:space="preserve">3.5x4</t>
  </si>
  <si>
    <t xml:space="preserve">XS-D14L22-3.5x5-SV</t>
  </si>
  <si>
    <t xml:space="preserve">3.5x5</t>
  </si>
  <si>
    <t xml:space="preserve">XS-D14L22-3.5x6-SV</t>
  </si>
  <si>
    <t xml:space="preserve">3.5x6</t>
  </si>
  <si>
    <t xml:space="preserve">XS-D14L22-3.5x6.35-SV</t>
  </si>
  <si>
    <t xml:space="preserve">3.5x6.35</t>
  </si>
  <si>
    <t xml:space="preserve">XS-D14L22-3.5x6.5-SV</t>
  </si>
  <si>
    <t xml:space="preserve">3.5x6.5</t>
  </si>
  <si>
    <t xml:space="preserve">XS-D14L22-3.5x8-SV</t>
  </si>
  <si>
    <t xml:space="preserve">3.5x8</t>
  </si>
  <si>
    <t xml:space="preserve">XS-D14L22-3x3-SV</t>
  </si>
  <si>
    <t xml:space="preserve">XS-D14L22-3x3.175-SV</t>
  </si>
  <si>
    <t xml:space="preserve">XS-D14L22-3x3.5-SV</t>
  </si>
  <si>
    <t xml:space="preserve">3x3.5</t>
  </si>
  <si>
    <t xml:space="preserve">XS-D14L22-3x4-SV</t>
  </si>
  <si>
    <t xml:space="preserve">XS-D14L22-3x5-SV</t>
  </si>
  <si>
    <t xml:space="preserve">XS-D14L22-3x6-SV</t>
  </si>
  <si>
    <t xml:space="preserve">XS-D14L22-3x6.35-SV</t>
  </si>
  <si>
    <t xml:space="preserve">XS-D14L22-3x6.5-SV</t>
  </si>
  <si>
    <t xml:space="preserve">3x6.5</t>
  </si>
  <si>
    <t xml:space="preserve">XS-D14L22-3x8-SV</t>
  </si>
  <si>
    <t xml:space="preserve">XS-D14L22-4x4-SV</t>
  </si>
  <si>
    <t xml:space="preserve">XS-D14L22-4x5-SV</t>
  </si>
  <si>
    <t xml:space="preserve">XS-D14L22-4x6-SV</t>
  </si>
  <si>
    <t xml:space="preserve">XS-D14L22-4x6.35-SV</t>
  </si>
  <si>
    <t xml:space="preserve">XS-D14L22-4x6.5-SV</t>
  </si>
  <si>
    <t xml:space="preserve">4x6.5</t>
  </si>
  <si>
    <t xml:space="preserve">XS-D14L22-4x8-SV</t>
  </si>
  <si>
    <t xml:space="preserve">XS-D14L22-5x5-SV</t>
  </si>
  <si>
    <t xml:space="preserve">XS-D14L22-5x6-SV</t>
  </si>
  <si>
    <t xml:space="preserve">XS-D14L22-5x6.35-SV</t>
  </si>
  <si>
    <t xml:space="preserve">XS-D14L22-5x6.5-SV</t>
  </si>
  <si>
    <t xml:space="preserve">5x6.5</t>
  </si>
  <si>
    <t xml:space="preserve">XS-D14L22-5x8-SV</t>
  </si>
  <si>
    <t xml:space="preserve">XS-D14L22-6.35x6.35-SV</t>
  </si>
  <si>
    <t xml:space="preserve">XS-D14L22-6.35x6.5-SV</t>
  </si>
  <si>
    <t xml:space="preserve">6.35x6.5</t>
  </si>
  <si>
    <t xml:space="preserve">XS-D14L22-6.35x8-SV</t>
  </si>
  <si>
    <t xml:space="preserve">XS-D14L22-6.5x6.5-SV</t>
  </si>
  <si>
    <t xml:space="preserve">6.5x6.5</t>
  </si>
  <si>
    <t xml:space="preserve">XS-D14L22-6.5x8-SV</t>
  </si>
  <si>
    <t xml:space="preserve">XS-D14L22-6x6-MS</t>
  </si>
  <si>
    <t xml:space="preserve">XS-D14L22-6x6.35-SV</t>
  </si>
  <si>
    <t xml:space="preserve">XS-D14L22-6x6.5-SV</t>
  </si>
  <si>
    <t xml:space="preserve">6x6.5</t>
  </si>
  <si>
    <t xml:space="preserve">XS-D14L22-6x8-MS</t>
  </si>
  <si>
    <t xml:space="preserve">XS-D14L22-8x8-SV</t>
  </si>
  <si>
    <t xml:space="preserve">XS-D20L25-10.5x10.5-SV-BP</t>
  </si>
  <si>
    <t xml:space="preserve">XS-D20L25-10x10-SV-BP</t>
  </si>
  <si>
    <t xml:space="preserve">XS-D20L25-10x10.5-SV-BP</t>
  </si>
  <si>
    <t xml:space="preserve">XS-D20L25-3.175x10-SV-BP</t>
  </si>
  <si>
    <t xml:space="preserve">XS-D20L25-3.175x10.5-SV-BP</t>
  </si>
  <si>
    <t xml:space="preserve">XS-D20L25-3.175x3.175-SV-BP</t>
  </si>
  <si>
    <t xml:space="preserve">XS-D20L25-3.175x4-SV-BP</t>
  </si>
  <si>
    <t xml:space="preserve">XS-D20L25-3.175x5-SV-BP</t>
  </si>
  <si>
    <t xml:space="preserve">XS-D20L25-3.175x6-SV-BP</t>
  </si>
  <si>
    <t xml:space="preserve">XS-D20L25-3.175x6.35-SV-BP</t>
  </si>
  <si>
    <t xml:space="preserve">XS-D20L25-3.175x7-SV-BP</t>
  </si>
  <si>
    <t xml:space="preserve">XS-D20L25-3.175x7.5-SV-BP</t>
  </si>
  <si>
    <t xml:space="preserve">XS-D20L25-3.175x8-SV-BP</t>
  </si>
  <si>
    <t xml:space="preserve">XS-D20L25-3.175x9-SV-BP</t>
  </si>
  <si>
    <t xml:space="preserve">XS-D20L25-3x10-SV-BP</t>
  </si>
  <si>
    <t xml:space="preserve">XS-D20L25-3x10.5-SV-BP</t>
  </si>
  <si>
    <t xml:space="preserve">XS-D20L25-3x3-SV-BP</t>
  </si>
  <si>
    <t xml:space="preserve">XS-D20L25-3x3.175-SV-BP</t>
  </si>
  <si>
    <t xml:space="preserve">XS-D20L25-3x4-SV-BP</t>
  </si>
  <si>
    <t xml:space="preserve">XS-D20L25-3x5-SV-BP</t>
  </si>
  <si>
    <t xml:space="preserve">XS-D20L25-3x6-SV-BP</t>
  </si>
  <si>
    <t xml:space="preserve">XS-D20L25-3x6.35-SV-BP</t>
  </si>
  <si>
    <t xml:space="preserve">XS-D20L25-3x7-SV-BP</t>
  </si>
  <si>
    <t xml:space="preserve">XS-D20L25-3x7.5-SV-BP</t>
  </si>
  <si>
    <t xml:space="preserve">XS-D20L25-3x8-SV-BP</t>
  </si>
  <si>
    <t xml:space="preserve">XS-D20L25-3x9-SV-BP</t>
  </si>
  <si>
    <t xml:space="preserve">XS-D20L25-4x10-SV-BP</t>
  </si>
  <si>
    <t xml:space="preserve">XS-D20L25-4x10.5-SV-BP</t>
  </si>
  <si>
    <t xml:space="preserve">XS-D20L25-4x4-SV-BP</t>
  </si>
  <si>
    <t xml:space="preserve">XS-D20L25-4x5-SV-BP</t>
  </si>
  <si>
    <t xml:space="preserve">XS-D20L25-4x6-SV-BP</t>
  </si>
  <si>
    <t xml:space="preserve">XS-D20L25-4x6.35-SV-BP</t>
  </si>
  <si>
    <t xml:space="preserve">XS-D20L25-4x7-SV-BP</t>
  </si>
  <si>
    <t xml:space="preserve">XS-D20L25-4x7.5-SV-BP</t>
  </si>
  <si>
    <t xml:space="preserve">XS-D20L25-4x8-SV-BP</t>
  </si>
  <si>
    <t xml:space="preserve">XS-D20L25-4x9-SV-BP</t>
  </si>
  <si>
    <t xml:space="preserve">XS-D20L25-5x10-SV-BP</t>
  </si>
  <si>
    <t xml:space="preserve">XS-D20L25-5x10.5-SV-BP</t>
  </si>
  <si>
    <t xml:space="preserve">XS-D20L25-5x5-SV-BP</t>
  </si>
  <si>
    <t xml:space="preserve">XS-D20L25-5x6-SV-BP</t>
  </si>
  <si>
    <t xml:space="preserve">XS-D20L25-5x6.35-SV-BP</t>
  </si>
  <si>
    <t xml:space="preserve">XS-D20L25-5x7-SV-BP</t>
  </si>
  <si>
    <t xml:space="preserve">XS-D20L25-5x7.5-SV-BP</t>
  </si>
  <si>
    <t xml:space="preserve">XS-D20L25-5x8-SV-BP</t>
  </si>
  <si>
    <t xml:space="preserve">XS-D20L25-5x9-SV-BP</t>
  </si>
  <si>
    <t xml:space="preserve">XS-D20L25-6.35x10-SV-BP</t>
  </si>
  <si>
    <t xml:space="preserve">XS-D20L25-6.35x10.5-SV-BP</t>
  </si>
  <si>
    <t xml:space="preserve">XS-D20L25-6.35x6.35-SV-BP</t>
  </si>
  <si>
    <t xml:space="preserve">XS-D20L25-6.35x7-SV-BP</t>
  </si>
  <si>
    <t xml:space="preserve">XS-D20L25-6.35x7.5-SV-BP</t>
  </si>
  <si>
    <t xml:space="preserve">XS-D20L25-6.35x8-SV-BP</t>
  </si>
  <si>
    <t xml:space="preserve">XS-D20L25-6.35x9-SV-BP</t>
  </si>
  <si>
    <t xml:space="preserve">XS-D20L25-6x10-SV-BP</t>
  </si>
  <si>
    <t xml:space="preserve">XS-D20L25-6x10.5-SV-BP</t>
  </si>
  <si>
    <t xml:space="preserve">XS-D20L25-6x6-SV-BP</t>
  </si>
  <si>
    <t xml:space="preserve">XS-D20L25-6x6.35-SV-BP</t>
  </si>
  <si>
    <t xml:space="preserve">XS-D20L25-6x7-SV-BP</t>
  </si>
  <si>
    <t xml:space="preserve">XS-D20L25-6x7.5-SV-BP</t>
  </si>
  <si>
    <t xml:space="preserve">XS-D20L25-6x8-SV-BP</t>
  </si>
  <si>
    <t xml:space="preserve">XS-D20L25-6x9-SV-BP</t>
  </si>
  <si>
    <t xml:space="preserve">XS-D20L25-7.5x10-SV-BP</t>
  </si>
  <si>
    <t xml:space="preserve">XS-D20L25-7.5x10.5-SV-BP</t>
  </si>
  <si>
    <t xml:space="preserve">XS-D20L25-7.5x7.5-SV-BP</t>
  </si>
  <si>
    <t xml:space="preserve">XS-D20L25-7.5x8-SV-BP</t>
  </si>
  <si>
    <t xml:space="preserve">XS-D20L25-7.5x9-SV-BP</t>
  </si>
  <si>
    <t xml:space="preserve">XS-D20L25-7x10-SV-BP</t>
  </si>
  <si>
    <t xml:space="preserve">XS-D20L25-7x10.5-SV-BP</t>
  </si>
  <si>
    <t xml:space="preserve">XS-D20L25-7x7-SV-BP</t>
  </si>
  <si>
    <t xml:space="preserve">XS-D20L25-7x7.5-SV-BP</t>
  </si>
  <si>
    <t xml:space="preserve">XS-D20L25-7x8-SV-BP</t>
  </si>
  <si>
    <t xml:space="preserve">XS-D20L25-7x9-SV-BP</t>
  </si>
  <si>
    <t xml:space="preserve">XS-D20L25-8x10-SV-BP</t>
  </si>
  <si>
    <t xml:space="preserve">XS-D20L25-8x10.5-SV-BP</t>
  </si>
  <si>
    <t xml:space="preserve">XS-D20L25-8x8-SV-BP</t>
  </si>
  <si>
    <t xml:space="preserve">XS-D20L25-8x9-SV-BP</t>
  </si>
  <si>
    <t xml:space="preserve">XS-D20L25-9x10-SV-BP</t>
  </si>
  <si>
    <t xml:space="preserve">XS-D20L25-9x10.5-SV-BP</t>
  </si>
  <si>
    <t xml:space="preserve">XS-D20L25-9x9-SV-BP</t>
  </si>
  <si>
    <t xml:space="preserve">XS-D20L30-10x10-SV</t>
  </si>
  <si>
    <t xml:space="preserve">XS-D20L30-10x10-SV-GP</t>
  </si>
  <si>
    <t xml:space="preserve">XS-D20L30-3.175x10-SV</t>
  </si>
  <si>
    <t xml:space="preserve">XS-D20L30-3.175x10-SV-GP</t>
  </si>
  <si>
    <t xml:space="preserve">XS-D20L30-3.175x3.175-SV</t>
  </si>
  <si>
    <t xml:space="preserve">XS-D20L30-3.175x3.175-SV-GP</t>
  </si>
  <si>
    <t xml:space="preserve">XS-D20L30-3.175x4-SV</t>
  </si>
  <si>
    <t xml:space="preserve">XS-D20L30-3.175x4-SV-GP</t>
  </si>
  <si>
    <t xml:space="preserve">XS-D20L30-3.175x5-SV</t>
  </si>
  <si>
    <t xml:space="preserve">XS-D20L30-3.175x5-SV-GP</t>
  </si>
  <si>
    <t xml:space="preserve">XS-D20L30-3.175x6-SV</t>
  </si>
  <si>
    <t xml:space="preserve">XS-D20L30-3.175x6-SV-GP</t>
  </si>
  <si>
    <t xml:space="preserve">XS-D20L30-3.175x6.35-SV</t>
  </si>
  <si>
    <t xml:space="preserve">XS-D20L30-3.175x6.35-SV-GP</t>
  </si>
  <si>
    <t xml:space="preserve">XS-D20L30-3.175x7-SV</t>
  </si>
  <si>
    <t xml:space="preserve">XS-D20L30-3.175x7-SV-GP</t>
  </si>
  <si>
    <t xml:space="preserve">XS-D20L30-3.175x8-SV</t>
  </si>
  <si>
    <t xml:space="preserve">XS-D20L30-3.175x8-SV-GP</t>
  </si>
  <si>
    <t xml:space="preserve">XS-D20L30-3.175x9-SV</t>
  </si>
  <si>
    <t xml:space="preserve">XS-D20L30-3.175x9-SV-GP</t>
  </si>
  <si>
    <t xml:space="preserve">XS-D20L30-3x10-SV</t>
  </si>
  <si>
    <t xml:space="preserve">XS-D20L30-3x10-SV-GP</t>
  </si>
  <si>
    <t xml:space="preserve">XS-D20L30-3x3-SV</t>
  </si>
  <si>
    <t xml:space="preserve">XS-D20L30-3x3-SV-GP</t>
  </si>
  <si>
    <t xml:space="preserve">XS-D20L30-3x3.175-SV</t>
  </si>
  <si>
    <t xml:space="preserve">XS-D20L30-3x3.175-SV-GP</t>
  </si>
  <si>
    <t xml:space="preserve">XS-D20L30-3x4-SV</t>
  </si>
  <si>
    <t xml:space="preserve">XS-D20L30-3x4-SV-GP</t>
  </si>
  <si>
    <t xml:space="preserve">XS-D20L30-3x5-SV</t>
  </si>
  <si>
    <t xml:space="preserve">XS-D20L30-3x5-SV-GP</t>
  </si>
  <si>
    <t xml:space="preserve">XS-D20L30-3x6-SV</t>
  </si>
  <si>
    <t xml:space="preserve">XS-D20L30-3x6-SV-GP</t>
  </si>
  <si>
    <t xml:space="preserve">XS-D20L30-3x6.35-SV</t>
  </si>
  <si>
    <t xml:space="preserve">XS-D20L30-3x6.35-SV-GP</t>
  </si>
  <si>
    <t xml:space="preserve">XS-D20L30-3x7-SV</t>
  </si>
  <si>
    <t xml:space="preserve">XS-D20L30-3x7-SV-GP</t>
  </si>
  <si>
    <t xml:space="preserve">XS-D20L30-3x8-SV</t>
  </si>
  <si>
    <t xml:space="preserve">XS-D20L30-3x8-SV-GP</t>
  </si>
  <si>
    <t xml:space="preserve">XS-D20L30-3x9-SV</t>
  </si>
  <si>
    <t xml:space="preserve">XS-D20L30-3x9-SV-GP</t>
  </si>
  <si>
    <t xml:space="preserve">XS-D20L30-4x10-SV</t>
  </si>
  <si>
    <t xml:space="preserve">XS-D20L30-4x10-SV-GP</t>
  </si>
  <si>
    <t xml:space="preserve">XS-D20L30-4x4-SV</t>
  </si>
  <si>
    <t xml:space="preserve">XS-D20L30-4x4-SV-GP</t>
  </si>
  <si>
    <t xml:space="preserve">XS-D20L30-4x5-SV</t>
  </si>
  <si>
    <t xml:space="preserve">XS-D20L30-4x5-SV-GP</t>
  </si>
  <si>
    <t xml:space="preserve">XS-D20L30-4x6-SV</t>
  </si>
  <si>
    <t xml:space="preserve">XS-D20L30-4x6-SV-GP</t>
  </si>
  <si>
    <t xml:space="preserve">XS-D20L30-4x6.35-SV</t>
  </si>
  <si>
    <t xml:space="preserve">XS-D20L30-4x6.35-SV-GP</t>
  </si>
  <si>
    <t xml:space="preserve">XS-D20L30-4x7-SV</t>
  </si>
  <si>
    <t xml:space="preserve">XS-D20L30-4x7-SV-GP</t>
  </si>
  <si>
    <t xml:space="preserve">XS-D20L30-4x8-SV</t>
  </si>
  <si>
    <t xml:space="preserve">XS-D20L30-4x8-SV-GP</t>
  </si>
  <si>
    <t xml:space="preserve">XS-D20L30-4x9-SV</t>
  </si>
  <si>
    <t xml:space="preserve">XS-D20L30-4x9-SV-GP</t>
  </si>
  <si>
    <t xml:space="preserve">XS-D20L30-5x10-SV</t>
  </si>
  <si>
    <t xml:space="preserve">XS-D20L30-5x10-SV-GP</t>
  </si>
  <si>
    <t xml:space="preserve">XS-D20L30-5x5-SV</t>
  </si>
  <si>
    <t xml:space="preserve">XS-D20L30-5x5-SV-GP</t>
  </si>
  <si>
    <t xml:space="preserve">XS-D20L30-5x6-SV</t>
  </si>
  <si>
    <t xml:space="preserve">XS-D20L30-5x6-SV-GP</t>
  </si>
  <si>
    <t xml:space="preserve">XS-D20L30-5x6.35-SV</t>
  </si>
  <si>
    <t xml:space="preserve">XS-D20L30-5x6.35-SV-GP</t>
  </si>
  <si>
    <t xml:space="preserve">XS-D20L30-5x7-SV</t>
  </si>
  <si>
    <t xml:space="preserve">XS-D20L30-5x7-SV-GP</t>
  </si>
  <si>
    <t xml:space="preserve">XS-D20L30-5x8-SV</t>
  </si>
  <si>
    <t xml:space="preserve">XS-D20L30-5x8-SV-GP</t>
  </si>
  <si>
    <t xml:space="preserve">XS-D20L30-5x9-SV</t>
  </si>
  <si>
    <t xml:space="preserve">XS-D20L30-5x9-SV-GP</t>
  </si>
  <si>
    <t xml:space="preserve">XS-D20L30-6.35x10-SV</t>
  </si>
  <si>
    <t xml:space="preserve">XS-D20L30-6.35x10-SV-GP</t>
  </si>
  <si>
    <t xml:space="preserve">XS-D20L30-6.35x6.35-SV</t>
  </si>
  <si>
    <t xml:space="preserve">XS-D20L30-6.35x6.35-SV-GP</t>
  </si>
  <si>
    <t xml:space="preserve">XS-D20L30-6.35x7-SV</t>
  </si>
  <si>
    <t xml:space="preserve">XS-D20L30-6.35x7-SV-GP</t>
  </si>
  <si>
    <t xml:space="preserve">XS-D20L30-6.35x8-SV</t>
  </si>
  <si>
    <t xml:space="preserve">XS-D20L30-6.35x8-SV-GP</t>
  </si>
  <si>
    <t xml:space="preserve">XS-D20L30-6.35x9-SV</t>
  </si>
  <si>
    <t xml:space="preserve">XS-D20L30-6.35x9-SV-GP</t>
  </si>
  <si>
    <t xml:space="preserve">XS-D20L30-6x10-SV</t>
  </si>
  <si>
    <t xml:space="preserve">XS-D20L30-6x10-SV-GP</t>
  </si>
  <si>
    <t xml:space="preserve">XS-D20L30-6x6-SV</t>
  </si>
  <si>
    <t xml:space="preserve">XS-D20L30-6x6-SV-GP</t>
  </si>
  <si>
    <t xml:space="preserve">XS-D20L30-6x6.35-SV</t>
  </si>
  <si>
    <t xml:space="preserve">XS-D20L30-6x6.35-SV-GP</t>
  </si>
  <si>
    <t xml:space="preserve">XS-D20L30-6x7-SV</t>
  </si>
  <si>
    <t xml:space="preserve">XS-D20L30-6x7-SV-GP</t>
  </si>
  <si>
    <t xml:space="preserve">XS-D20L30-6x8-SV</t>
  </si>
  <si>
    <t xml:space="preserve">XS-D20L30-6x8-SV-GP</t>
  </si>
  <si>
    <t xml:space="preserve">XS-D20L30-6x9-SV</t>
  </si>
  <si>
    <t xml:space="preserve">XS-D20L30-6x9-SV-GP</t>
  </si>
  <si>
    <t xml:space="preserve">XS-D20L30-7x10-SV</t>
  </si>
  <si>
    <t xml:space="preserve">XS-D20L30-7x10-SV-GP</t>
  </si>
  <si>
    <t xml:space="preserve">XS-D20L30-7x7-SV</t>
  </si>
  <si>
    <t xml:space="preserve">XS-D20L30-7x7-SV-GP</t>
  </si>
  <si>
    <t xml:space="preserve">XS-D20L30-7x8-SV</t>
  </si>
  <si>
    <t xml:space="preserve">XS-D20L30-7x8-SV-GP</t>
  </si>
  <si>
    <t xml:space="preserve">XS-D20L30-7x9-SV</t>
  </si>
  <si>
    <t xml:space="preserve">XS-D20L30-7x9-SV-GP</t>
  </si>
  <si>
    <t xml:space="preserve">XS-D20L30-8x10-SV</t>
  </si>
  <si>
    <t xml:space="preserve">XS-D20L30-8x10-SV-BP</t>
  </si>
  <si>
    <t xml:space="preserve">XS-D20L30-8x10-SV-GP</t>
  </si>
  <si>
    <t xml:space="preserve">XS-D20L30-8x8-SV</t>
  </si>
  <si>
    <t xml:space="preserve">XS-D20L30-8x8-SV-GP</t>
  </si>
  <si>
    <t xml:space="preserve">XS-D20L30-8x9-SV</t>
  </si>
  <si>
    <t xml:space="preserve">XS-D20L30-8x9-SV-GP</t>
  </si>
  <si>
    <t xml:space="preserve">XS-D20L30-9x10-SV</t>
  </si>
  <si>
    <t xml:space="preserve">XS-D20L30-9x10-SV-GP</t>
  </si>
  <si>
    <t xml:space="preserve">XS-D20L30-9x9-SV</t>
  </si>
  <si>
    <t xml:space="preserve">XS-D20L30-9x9-SV-GP</t>
  </si>
  <si>
    <t xml:space="preserve">XS-D30L35-10x12-SV-KW4x2-KW4x2</t>
  </si>
  <si>
    <t xml:space="preserve">XS-D30L40-10x14-SV-KW4x2-KW5x2.5</t>
  </si>
  <si>
    <t xml:space="preserve">keyway 4x2+ keyway 5x2.5</t>
  </si>
  <si>
    <t xml:space="preserve">XS-D35L50-10x10-SV</t>
  </si>
  <si>
    <t xml:space="preserve">XS-D35L50-10x19-SV</t>
  </si>
  <si>
    <t xml:space="preserve">XS-D35L50-12x19-SV</t>
  </si>
  <si>
    <t xml:space="preserve">XS-D35L50-19x19-SV</t>
  </si>
  <si>
    <t xml:space="preserve">XS-D65L90-16x16-SV</t>
  </si>
  <si>
    <t xml:space="preserve">XS-D65L90-25x30-SV</t>
  </si>
  <si>
    <t xml:space="preserve">25x30</t>
  </si>
  <si>
    <t xml:space="preserve">XS-D65L90-25x32-SV</t>
  </si>
  <si>
    <t xml:space="preserve">25x32</t>
  </si>
  <si>
    <t xml:space="preserve">XS-D65L90-25x38-SV</t>
  </si>
  <si>
    <t xml:space="preserve">Servo Push Rod, Double-End Ball Link  [Universal Joints]</t>
  </si>
  <si>
    <t xml:space="preserve">1 set</t>
  </si>
  <si>
    <t xml:space="preserve">CP-002-BK-YT</t>
  </si>
  <si>
    <t xml:space="preserve">CP-002-BL-YT</t>
  </si>
  <si>
    <t xml:space="preserve">CP-002-LS-YT</t>
  </si>
  <si>
    <t xml:space="preserve">Green (1 set)</t>
  </si>
  <si>
    <t xml:space="preserve">CP-002-RD-YT</t>
  </si>
  <si>
    <t xml:space="preserve">CP-002-SV-LT</t>
  </si>
  <si>
    <t xml:space="preserve">2 sets</t>
  </si>
  <si>
    <t xml:space="preserve">CP-002-SV-YT</t>
  </si>
  <si>
    <t xml:space="preserve">CP-002-TS-YT</t>
  </si>
  <si>
    <t xml:space="preserve">Titanium (1 set)</t>
  </si>
  <si>
    <t xml:space="preserve">Telescopic Spline Universal Joint  [Universal Joints]</t>
  </si>
  <si>
    <t xml:space="preserve">Carbon steel</t>
  </si>
  <si>
    <t xml:space="preserve">Nickel-plated OD 7 L 42-55mm ID</t>
  </si>
  <si>
    <t xml:space="preserve">CP-004-3x3-CS-NI-WJ7-Z42-55-NJ</t>
  </si>
  <si>
    <t xml:space="preserve">CP-004-3x3-CS-NI-WJ7-Z50-65-NJ</t>
  </si>
  <si>
    <t xml:space="preserve">Nickel-plated OD 7 L 50-65mm ID</t>
  </si>
  <si>
    <t xml:space="preserve">CP-004-3x3-CS-NI-WJ7-Z75-105-NJ</t>
  </si>
  <si>
    <t xml:space="preserve">Nickel-plated OD 7 L 75-105mm ID</t>
  </si>
  <si>
    <t xml:space="preserve">CP-004-3x4-CS-NI-WJ7-Z50-65-NJ</t>
  </si>
  <si>
    <t xml:space="preserve">CP-004-3x4-CS-NI-WJ7-Z60-80-NJ</t>
  </si>
  <si>
    <t xml:space="preserve">Nickel-plated OD 7 L 60-80mm ID</t>
  </si>
  <si>
    <t xml:space="preserve">CP-004-3x4-CS-NI-WJ7-Z75-105-NJ</t>
  </si>
  <si>
    <t xml:space="preserve">CP-004-42x55-CS-NI-WJ7-Z-MM-NJ3x4</t>
  </si>
  <si>
    <t xml:space="preserve">Nickel-plated OD 7 L mm ID 3*4</t>
  </si>
  <si>
    <t xml:space="preserve">42x55</t>
  </si>
  <si>
    <t xml:space="preserve">CP-004-4x4-CS-NI-WJ12-Z81-103-NJ</t>
  </si>
  <si>
    <t xml:space="preserve">Nickel-plated OD 12 L 81-103mm ID</t>
  </si>
  <si>
    <t xml:space="preserve">CP-004-4x4-CS-NI-WJ12-Z90-115-NJ</t>
  </si>
  <si>
    <t xml:space="preserve">Nickel-plated OD 12 L 90-115mm ID</t>
  </si>
  <si>
    <t xml:space="preserve">CP-004-4x4-CS-NI-WJ7-Z42-55-NJ</t>
  </si>
  <si>
    <t xml:space="preserve">CP-004-4x4-CS-NI-WJ7-Z50-65-NJ</t>
  </si>
  <si>
    <t xml:space="preserve">CP-004-4x4-CS-NI-WJ7-Z60-80-NJ</t>
  </si>
  <si>
    <t xml:space="preserve">CP-004-4x4-CS-NI-WJ7-Z75-105-NJ</t>
  </si>
  <si>
    <t xml:space="preserve">CP-004-4x5-CS-NI-WJ12-Z81-103-NJ</t>
  </si>
  <si>
    <t xml:space="preserve">CP-004-4x5-CS-NI-WJ12-Z90-115-NJ</t>
  </si>
  <si>
    <t xml:space="preserve">CP-004-4x6-CS-NI-WJ12-Z81-103-NJ</t>
  </si>
  <si>
    <t xml:space="preserve">CP-004-4x6-CS-NI-WJ12-Z90-115-NJ</t>
  </si>
  <si>
    <t xml:space="preserve">CP-004-5x5-BK-WJ12-Z110-155-NJ</t>
  </si>
  <si>
    <t xml:space="preserve">OD 12 L 110-155mm ID</t>
  </si>
  <si>
    <t xml:space="preserve">CP-004-5x5-BK-WJ12-Z90-115-NJ</t>
  </si>
  <si>
    <t xml:space="preserve">OD 12 L 90-115mm ID</t>
  </si>
  <si>
    <t xml:space="preserve">CP-004-5x5-CS-NI-WJ12-Z110-155-NJ</t>
  </si>
  <si>
    <t xml:space="preserve">Nickel-plated OD 12 L 110-155mm ID</t>
  </si>
  <si>
    <t xml:space="preserve">CP-004-5x5-CS-NI-WJ12-Z81-103-NJ</t>
  </si>
  <si>
    <t xml:space="preserve">CP-004-5x5-CS-NI-WJ12-Z90-115-NJ</t>
  </si>
  <si>
    <t xml:space="preserve">CP-004-5x6-BK-WJ12-Z110-155-NJ</t>
  </si>
  <si>
    <t xml:space="preserve">CP-004-5x6-CS-NI-WJ12-Z110-155-NJ</t>
  </si>
  <si>
    <t xml:space="preserve">CP-004-5x6-CS-NI-WJ12-Z81-103-NJ</t>
  </si>
  <si>
    <t xml:space="preserve">CP-004-5x6-CS-NI-WJ12-Z90-115-NJ</t>
  </si>
  <si>
    <t xml:space="preserve">CP-004-6x6-BK-WJ12-Z110-155-NJ</t>
  </si>
  <si>
    <t xml:space="preserve">CP-004-6x6-CS-NI-WJ12-CD110-155-NJ-SI</t>
  </si>
  <si>
    <t xml:space="preserve">Nickel-plated OD 12 L 110-155 ID screws fitted</t>
  </si>
  <si>
    <t xml:space="preserve">CP-004-6x6-CS-NI-WJ12-CD110-155-NJ-SL</t>
  </si>
  <si>
    <t xml:space="preserve">Nickel-plated OD 12 L 110-155 ID screws loose</t>
  </si>
  <si>
    <t xml:space="preserve">CP-004-6x6-CS-NI-WJ12-Z81-103-NJ</t>
  </si>
  <si>
    <t xml:space="preserve">CP-004-6x6-CS-NI-WJ12-Z90-115-NJ</t>
  </si>
  <si>
    <t xml:space="preserve">CP-004-8x8-CS-NI-WJ12-Z81-103-NJ</t>
  </si>
  <si>
    <t xml:space="preserve">Metal Cross Universal Joint Coupling  [Universal Joints]</t>
  </si>
  <si>
    <t xml:space="preserve">Double D16 L35 ID</t>
  </si>
  <si>
    <t xml:space="preserve">CP-007-10x10-CS-SJ-D16-L35-NJ</t>
  </si>
  <si>
    <t xml:space="preserve">CP-007-10x10-CS-SJ-D16-L55-NJ</t>
  </si>
  <si>
    <t xml:space="preserve">Triple D16 L55 ID</t>
  </si>
  <si>
    <t xml:space="preserve">CP-007-10x12-CS-SJ-D20-L52-NJ</t>
  </si>
  <si>
    <t xml:space="preserve">Double D20 L52 ID</t>
  </si>
  <si>
    <t xml:space="preserve">CP-007-12x12-CS-SJ-D20-L52-NJ</t>
  </si>
  <si>
    <t xml:space="preserve">CP-007-2.3x2.3-CS-SJ-D8-L18-NJ</t>
  </si>
  <si>
    <t xml:space="preserve">Double D8 L18 ID</t>
  </si>
  <si>
    <t xml:space="preserve">2.3x2.3</t>
  </si>
  <si>
    <t xml:space="preserve">CP-007-2.3x3-CS-SJ-D9-L23-NJ</t>
  </si>
  <si>
    <t xml:space="preserve">Double D9 L23 ID</t>
  </si>
  <si>
    <t xml:space="preserve">2.3x3</t>
  </si>
  <si>
    <t xml:space="preserve">CP-007-2.3x4-CS-SJ-D9-L23-NJ</t>
  </si>
  <si>
    <t xml:space="preserve">2.3x4</t>
  </si>
  <si>
    <t xml:space="preserve">CP-007-2x2-CS-SJ-D8-L18-NJ</t>
  </si>
  <si>
    <t xml:space="preserve">CP-007-2x2.3-CS-SJ-D8-L18-NJ</t>
  </si>
  <si>
    <t xml:space="preserve">2x2.3</t>
  </si>
  <si>
    <t xml:space="preserve">CP-007-2x3-CS-SJ-D9-L23-NJ</t>
  </si>
  <si>
    <t xml:space="preserve">CP-007-2x4-CS-SJ-D9-L23-NJ</t>
  </si>
  <si>
    <t xml:space="preserve">CP-007-3.17x3.17-CS-SJ-D9-L23-NJ</t>
  </si>
  <si>
    <t xml:space="preserve">3.17x3.17</t>
  </si>
  <si>
    <t xml:space="preserve">CP-007-3.17x4-CS-SJ-D9-L23-NJ</t>
  </si>
  <si>
    <t xml:space="preserve">3.17x4</t>
  </si>
  <si>
    <t xml:space="preserve">CP-007-3.17x5-CS-SJ-D11-L23-NJ</t>
  </si>
  <si>
    <t xml:space="preserve">Double D11 L23 ID</t>
  </si>
  <si>
    <t xml:space="preserve">3.17x5</t>
  </si>
  <si>
    <t xml:space="preserve">CP-007-3x3-BR-SJ-D7-L13-NJ</t>
  </si>
  <si>
    <t xml:space="preserve">Brass Double D7 L13 ID</t>
  </si>
  <si>
    <t xml:space="preserve">CP-007-3x3-CS-SJ-D9-L23-NJ</t>
  </si>
  <si>
    <t xml:space="preserve">CP-007-3x3.17-CS-SJ-D9-L23-NJ</t>
  </si>
  <si>
    <t xml:space="preserve">3x3.17</t>
  </si>
  <si>
    <t xml:space="preserve">CP-007-3x4-CS-SJ-D9-L23-NJ</t>
  </si>
  <si>
    <t xml:space="preserve">CP-007-3x5-CS-SJ-D11-L23-NJ</t>
  </si>
  <si>
    <t xml:space="preserve">CP-007-4x4-BK-CS-SJ-D9-L23-NJ</t>
  </si>
  <si>
    <t xml:space="preserve">CP-007-4x4-CS-SJ-D12-L52-NJ</t>
  </si>
  <si>
    <t xml:space="preserve">Triple D12 L52 ID</t>
  </si>
  <si>
    <t xml:space="preserve">CP-007-4x4-CS-SJ-D9-L23-NJ</t>
  </si>
  <si>
    <t xml:space="preserve">CP-007-4x5-CS-SJ-D11-L23-NJ</t>
  </si>
  <si>
    <t xml:space="preserve">CP-007-4x6-CS-SJ-D11-L23-NJ</t>
  </si>
  <si>
    <t xml:space="preserve">CP-007-4x8-CS-SJ-D14-L35-NJ</t>
  </si>
  <si>
    <t xml:space="preserve">Double D14 L35 ID</t>
  </si>
  <si>
    <t xml:space="preserve">CP-007-5x5-BK-CS-SJ-D11-L23-NJ</t>
  </si>
  <si>
    <t xml:space="preserve">CP-007-5x5-CS-SJ-D11-L23-NJ</t>
  </si>
  <si>
    <t xml:space="preserve">CP-007-5x5-CS-SJ-D12-L52-NJ</t>
  </si>
  <si>
    <t xml:space="preserve">CP-007-5x6-CS-SJ-D11-L23-NJ</t>
  </si>
  <si>
    <t xml:space="preserve">CP-007-5x8-CS-SJ-D14-L35-NJ</t>
  </si>
  <si>
    <t xml:space="preserve">CP-007-6x6-BK-CS-SJ-D11-L23-NJ</t>
  </si>
  <si>
    <t xml:space="preserve">CP-007-6x6-CS-SJ-D11-L23-NJ</t>
  </si>
  <si>
    <t xml:space="preserve">CP-007-6x6-CS-SJ-D12-L52-NJ</t>
  </si>
  <si>
    <t xml:space="preserve">CP-007-6x8-CS-SJ-D14-L35-NJ</t>
  </si>
  <si>
    <t xml:space="preserve">CP-007-8x10-CS-SJ-D16-L35-NJ</t>
  </si>
  <si>
    <t xml:space="preserve">CP-007-8x10-CS-SJ-D16-L55-NJ</t>
  </si>
  <si>
    <t xml:space="preserve">CP-007-8x8-CS-SJ-D14-L35-NJ</t>
  </si>
  <si>
    <t xml:space="preserve">CP-007-8x8-CS-SJ-D14-L55-NJ</t>
  </si>
  <si>
    <t xml:space="preserve">Triple D14 L55 ID</t>
  </si>
  <si>
    <t xml:space="preserve">Rigid Set-Screw Coupling (all sizes)  [Rigid Set-Screw]</t>
  </si>
  <si>
    <t xml:space="preserve">303 Stainless</t>
  </si>
  <si>
    <t xml:space="preserve">180° holes screws fitted</t>
  </si>
  <si>
    <t xml:space="preserve">D10×L20</t>
  </si>
  <si>
    <t xml:space="preserve">RD-D10L20-2.3x2.3-SS303-SI-H180</t>
  </si>
  <si>
    <t xml:space="preserve">RD-D10L20-2.3x2.3-SS303-SL-H180</t>
  </si>
  <si>
    <t xml:space="preserve">180° holes screws loose</t>
  </si>
  <si>
    <t xml:space="preserve">RD-D10L20-2.3x3-SS303-SI-H180</t>
  </si>
  <si>
    <t xml:space="preserve">RD-D10L20-2.3x3-SS303-SL-H180</t>
  </si>
  <si>
    <t xml:space="preserve">RD-D10L20-2.3x3.175-SS303-SI-H180</t>
  </si>
  <si>
    <t xml:space="preserve">2.3x3.175</t>
  </si>
  <si>
    <t xml:space="preserve">RD-D10L20-2.3x3.175-SS303-SL-H180</t>
  </si>
  <si>
    <t xml:space="preserve">RD-D10L20-2.3x4-SS303-SI-H180</t>
  </si>
  <si>
    <t xml:space="preserve">RD-D10L20-2.3x4-SS303-SL-H180</t>
  </si>
  <si>
    <t xml:space="preserve">RD-D10L20-2.3x5-SS303-SI-H180</t>
  </si>
  <si>
    <t xml:space="preserve">2.3x5</t>
  </si>
  <si>
    <t xml:space="preserve">RD-D10L20-2.3x5-SS303-SL-H180</t>
  </si>
  <si>
    <t xml:space="preserve">RD-D10L20-2.3x6-SS303-SI-H180</t>
  </si>
  <si>
    <t xml:space="preserve">2.3x6</t>
  </si>
  <si>
    <t xml:space="preserve">RD-D10L20-2.3x6-SS303-SL-H180</t>
  </si>
  <si>
    <t xml:space="preserve">RD-D10L20-2x2-SS303-SI-H180</t>
  </si>
  <si>
    <t xml:space="preserve">RD-D10L20-2x2-SS303-SL-H180</t>
  </si>
  <si>
    <t xml:space="preserve">RD-D10L20-2x2.3-SS303-SI-H180</t>
  </si>
  <si>
    <t xml:space="preserve">RD-D10L20-2x2.3-SS303-SL-H180</t>
  </si>
  <si>
    <t xml:space="preserve">RD-D10L20-2x3-SS303-SI-H180</t>
  </si>
  <si>
    <t xml:space="preserve">RD-D10L20-2x3-SS303-SL-H180</t>
  </si>
  <si>
    <t xml:space="preserve">RD-D10L20-2x3.175-SS303-SI-H180</t>
  </si>
  <si>
    <t xml:space="preserve">2x3.175</t>
  </si>
  <si>
    <t xml:space="preserve">RD-D10L20-2x3.175-SS303-SL-H180</t>
  </si>
  <si>
    <t xml:space="preserve">RD-D10L20-2x4-SS303-SI-H180</t>
  </si>
  <si>
    <t xml:space="preserve">RD-D10L20-2x4-SS303-SL-H180</t>
  </si>
  <si>
    <t xml:space="preserve">RD-D10L20-2x5-SS303-SI-H180</t>
  </si>
  <si>
    <t xml:space="preserve">RD-D10L20-2x5-SS303-SL-H180</t>
  </si>
  <si>
    <t xml:space="preserve">RD-D10L20-2x6-SS303-SI-H180</t>
  </si>
  <si>
    <t xml:space="preserve">RD-D10L20-2x6-SS303-SL-H180</t>
  </si>
  <si>
    <t xml:space="preserve">RD-D10L20-3.175x3.175-SS303-SI-H180</t>
  </si>
  <si>
    <t xml:space="preserve">RD-D10L20-3.175x3.175-SS303-SL-H180</t>
  </si>
  <si>
    <t xml:space="preserve">RD-D10L20-3.175x4-SS303-SI-H180</t>
  </si>
  <si>
    <t xml:space="preserve">RD-D10L20-3.175x4-SS303-SL-H180</t>
  </si>
  <si>
    <t xml:space="preserve">RD-D10L20-3.175x5-SS303-SI-H180</t>
  </si>
  <si>
    <t xml:space="preserve">RD-D10L20-3.175x5-SS303-SL-H180</t>
  </si>
  <si>
    <t xml:space="preserve">RD-D10L20-3.175x6-SS303-SI-H180</t>
  </si>
  <si>
    <t xml:space="preserve">RD-D10L20-3.175x6-SS303-SL-H180</t>
  </si>
  <si>
    <t xml:space="preserve">RD-D10L20-3x3-SS303-SI-H180</t>
  </si>
  <si>
    <t xml:space="preserve">RD-D10L20-3x3-SS303-SL-H180</t>
  </si>
  <si>
    <t xml:space="preserve">RD-D10L20-3x3.175-SS303-SI-H180</t>
  </si>
  <si>
    <t xml:space="preserve">RD-D10L20-3x3.175-SS303-SL-H180</t>
  </si>
  <si>
    <t xml:space="preserve">RD-D10L20-3x4-SS303-SI-H180</t>
  </si>
  <si>
    <t xml:space="preserve">RD-D10L20-3x4-SS303-SL-H180</t>
  </si>
  <si>
    <t xml:space="preserve">RD-D10L20-3x5-SS303-SI-H180</t>
  </si>
  <si>
    <t xml:space="preserve">RD-D10L20-3x5-SS303-SL-H180</t>
  </si>
  <si>
    <t xml:space="preserve">RD-D10L20-3x6-SS303-SI-H180</t>
  </si>
  <si>
    <t xml:space="preserve">RD-D10L20-3x6-SS303-SL-H180</t>
  </si>
  <si>
    <t xml:space="preserve">RD-D10L20-4x4-SS303-SI-H180</t>
  </si>
  <si>
    <t xml:space="preserve">RD-D10L20-4x4-SS303-SL-H180</t>
  </si>
  <si>
    <t xml:space="preserve">RD-D10L20-4x5-SS303-SI-H180</t>
  </si>
  <si>
    <t xml:space="preserve">RD-D10L20-4x5-SS303-SL-H180</t>
  </si>
  <si>
    <t xml:space="preserve">RD-D10L20-4x6-SS303-SI-H180</t>
  </si>
  <si>
    <t xml:space="preserve">RD-D10L20-4x6-SS303-SL-H180</t>
  </si>
  <si>
    <t xml:space="preserve">RD-D10L20-5x5-SS303-SI-H180</t>
  </si>
  <si>
    <t xml:space="preserve">RD-D10L20-5x5-SS303-SL-H180</t>
  </si>
  <si>
    <t xml:space="preserve">RD-D10L20-5x6-SS303-SI-H180</t>
  </si>
  <si>
    <t xml:space="preserve">RD-D10L20-5x6-SS303-SL-H180</t>
  </si>
  <si>
    <t xml:space="preserve">RD-D10L20-6x6-SS303-SI-H180</t>
  </si>
  <si>
    <t xml:space="preserve">RD-D10L20-6x6-SS303-SL-H180</t>
  </si>
  <si>
    <t xml:space="preserve">RD-D10L25-2.3x3-GN-NS</t>
  </si>
  <si>
    <t xml:space="preserve">no screws</t>
  </si>
  <si>
    <t xml:space="preserve">D10×L25</t>
  </si>
  <si>
    <t xml:space="preserve">RD-D10L25-2.3x3-GN-SI</t>
  </si>
  <si>
    <t xml:space="preserve">screws fitted</t>
  </si>
  <si>
    <t xml:space="preserve">RD-D10L25-2.3x3-GN-SL</t>
  </si>
  <si>
    <t xml:space="preserve">screws loose</t>
  </si>
  <si>
    <t xml:space="preserve">RD-D10L25-2.3x3.175-GN</t>
  </si>
  <si>
    <t xml:space="preserve">RD-D10L25-2.3x4-PP</t>
  </si>
  <si>
    <t xml:space="preserve">Purple</t>
  </si>
  <si>
    <t xml:space="preserve">RD-D10L25-3.175x4-PP</t>
  </si>
  <si>
    <t xml:space="preserve">RD-D10L25-3x3-TI</t>
  </si>
  <si>
    <t xml:space="preserve">Titanium</t>
  </si>
  <si>
    <t xml:space="preserve">RD-D10L25-3x3.175-GN</t>
  </si>
  <si>
    <t xml:space="preserve">RD-D10L25-3x5-GN</t>
  </si>
  <si>
    <t xml:space="preserve">RD-D10L25-4x4-TI</t>
  </si>
  <si>
    <t xml:space="preserve">RD-D10L25-4x5-PP</t>
  </si>
  <si>
    <t xml:space="preserve">RD-D10L25-5x5-TI</t>
  </si>
  <si>
    <t xml:space="preserve">RD-D12L18-3x3-SS303-H90</t>
  </si>
  <si>
    <t xml:space="preserve">90° holes</t>
  </si>
  <si>
    <t xml:space="preserve">D12×L18</t>
  </si>
  <si>
    <t xml:space="preserve">RD-D12L18-3x4-SS303-H90</t>
  </si>
  <si>
    <t xml:space="preserve">RD-D12L18-3x5-SS303-H90</t>
  </si>
  <si>
    <t xml:space="preserve">RD-D12L18-3x6-SS303-H90</t>
  </si>
  <si>
    <t xml:space="preserve">RD-D12L20-2.3x3-RD</t>
  </si>
  <si>
    <t xml:space="preserve">D12×L20</t>
  </si>
  <si>
    <t xml:space="preserve">RD-D12L20-2.3x4-RD</t>
  </si>
  <si>
    <t xml:space="preserve">RD-D12L20-2.3x5-RD</t>
  </si>
  <si>
    <t xml:space="preserve">RD-D12L20-2x2-GD</t>
  </si>
  <si>
    <t xml:space="preserve">RD-D12L20-2x2-RD</t>
  </si>
  <si>
    <t xml:space="preserve">RD-D12L20-2x2.3-RD</t>
  </si>
  <si>
    <t xml:space="preserve">RD-D12L20-2x3-GD</t>
  </si>
  <si>
    <t xml:space="preserve">RD-D12L20-2x3-RD-NS</t>
  </si>
  <si>
    <t xml:space="preserve">RD-D12L20-2x3-RD-SI</t>
  </si>
  <si>
    <t xml:space="preserve">RD-D12L20-2x3-RD-SL</t>
  </si>
  <si>
    <t xml:space="preserve">RD-D12L20-2x3.175-RD</t>
  </si>
  <si>
    <t xml:space="preserve">RD-D12L20-2x4-RD</t>
  </si>
  <si>
    <t xml:space="preserve">RD-D12L20-2x5-RD</t>
  </si>
  <si>
    <t xml:space="preserve">RD-D12L20-2x6-RD</t>
  </si>
  <si>
    <t xml:space="preserve">RD-D12L20-3.175x3.175-GD</t>
  </si>
  <si>
    <t xml:space="preserve">RD-D12L20-3.175x3.175-RD</t>
  </si>
  <si>
    <t xml:space="preserve">RD-D12L20-3.175x4-RD</t>
  </si>
  <si>
    <t xml:space="preserve">RD-D12L20-3.175x5-GD</t>
  </si>
  <si>
    <t xml:space="preserve">RD-D12L20-3.175x5-RD</t>
  </si>
  <si>
    <t xml:space="preserve">RD-D12L20-3.175x6-RD</t>
  </si>
  <si>
    <t xml:space="preserve">RD-D12L20-3x3-GD</t>
  </si>
  <si>
    <t xml:space="preserve">RD-D12L20-3x3-RD-SI</t>
  </si>
  <si>
    <t xml:space="preserve">RD-D12L20-3x3-RD-SL</t>
  </si>
  <si>
    <t xml:space="preserve">RD-D12L20-3x3.175-RD</t>
  </si>
  <si>
    <t xml:space="preserve">RD-D12L20-3x4-RD</t>
  </si>
  <si>
    <t xml:space="preserve">RD-D12L20-3x5-RD</t>
  </si>
  <si>
    <t xml:space="preserve">RD-D12L20-3x6-RD-NS</t>
  </si>
  <si>
    <t xml:space="preserve">RD-D12L20-3x6-RD-SI</t>
  </si>
  <si>
    <t xml:space="preserve">RD-D12L20-3x6-RD-SL</t>
  </si>
  <si>
    <t xml:space="preserve">RD-D12L20-4x4-RD</t>
  </si>
  <si>
    <t xml:space="preserve">RD-D12L20-4x5-RD</t>
  </si>
  <si>
    <t xml:space="preserve">RD-D12L20-4x6-RD-NS</t>
  </si>
  <si>
    <t xml:space="preserve">RD-D12L20-4x6-RD-SI</t>
  </si>
  <si>
    <t xml:space="preserve">RD-D12L20-4x6-RD-SL</t>
  </si>
  <si>
    <t xml:space="preserve">RD-D12L20-5x5-RD</t>
  </si>
  <si>
    <t xml:space="preserve">RD-D12L20-5x6-RD</t>
  </si>
  <si>
    <t xml:space="preserve">RD-D12L20-6x6-RD-SI</t>
  </si>
  <si>
    <t xml:space="preserve">RD-D12L20-6x6-RD-SL</t>
  </si>
  <si>
    <t xml:space="preserve">RD-D14L19-5x8-BK-SI</t>
  </si>
  <si>
    <t xml:space="preserve">D14×L19</t>
  </si>
  <si>
    <t xml:space="preserve">RD-D14L19-5x8-BK-SL</t>
  </si>
  <si>
    <t xml:space="preserve">RD-D14L22-3.175x3.175-CSP-SI-H90</t>
  </si>
  <si>
    <t xml:space="preserve">Plated carbon steel</t>
  </si>
  <si>
    <t xml:space="preserve">90° holes screws fitted</t>
  </si>
  <si>
    <t xml:space="preserve">RD-D14L22-3.175x3.175-CSP-SL-H90</t>
  </si>
  <si>
    <t xml:space="preserve">90° holes screws loose</t>
  </si>
  <si>
    <t xml:space="preserve">RD-D14L22-3.175x3.175-SS303-SI-H90</t>
  </si>
  <si>
    <t xml:space="preserve">RD-D14L22-3.175x3.175-SS303-SL-H90</t>
  </si>
  <si>
    <t xml:space="preserve">RD-D14L22-3.175x4-SS303-SI-H90</t>
  </si>
  <si>
    <t xml:space="preserve">RD-D14L22-3.175x4-SS303-SL-H90</t>
  </si>
  <si>
    <t xml:space="preserve">RD-D14L22-3.175x4.77-SS303-SI-H90</t>
  </si>
  <si>
    <t xml:space="preserve">3.175x4.77</t>
  </si>
  <si>
    <t xml:space="preserve">RD-D14L22-3.175x4.77-SS303-SL-H90</t>
  </si>
  <si>
    <t xml:space="preserve">RD-D14L22-3.175x5-SS303-SI-H90</t>
  </si>
  <si>
    <t xml:space="preserve">RD-D14L22-3.175x5-SS303-SL-H90</t>
  </si>
  <si>
    <t xml:space="preserve">RD-D14L22-3.175x5.55-SS303-SI-H90</t>
  </si>
  <si>
    <t xml:space="preserve">3.175x5.55</t>
  </si>
  <si>
    <t xml:space="preserve">RD-D14L22-3.175x5.55-SS303-SL-H90</t>
  </si>
  <si>
    <t xml:space="preserve">RD-D14L22-3.175x6-SS303-SI-H90</t>
  </si>
  <si>
    <t xml:space="preserve">RD-D14L22-3.175x6-SS303-SL-H90</t>
  </si>
  <si>
    <t xml:space="preserve">RD-D14L22-3.175x6.35-SS303-SI-H90</t>
  </si>
  <si>
    <t xml:space="preserve">RD-D14L22-3.175x6.35-SS303-SL-H90</t>
  </si>
  <si>
    <t xml:space="preserve">RD-D14L22-3.175x7-SS303-SI-H90</t>
  </si>
  <si>
    <t xml:space="preserve">RD-D14L22-3.175x7-SS303-SL-H90</t>
  </si>
  <si>
    <t xml:space="preserve">RD-D14L22-3.175x8-SS303-SI-H90</t>
  </si>
  <si>
    <t xml:space="preserve">RD-D14L22-3.175x8-SS303-SL-H90</t>
  </si>
  <si>
    <t xml:space="preserve">RD-D14L22-4.77x5-SS303-SI-H90</t>
  </si>
  <si>
    <t xml:space="preserve">4.77x5</t>
  </si>
  <si>
    <t xml:space="preserve">RD-D14L22-4.77x5-SS303-SL-H90</t>
  </si>
  <si>
    <t xml:space="preserve">RD-D14L22-4.77x5.55-SS303-SI-H90</t>
  </si>
  <si>
    <t xml:space="preserve">4.77x5.55</t>
  </si>
  <si>
    <t xml:space="preserve">RD-D14L22-4.77x5.55-SS303-SL-H90</t>
  </si>
  <si>
    <t xml:space="preserve">RD-D14L22-4.77x6-SS303-SI-H90</t>
  </si>
  <si>
    <t xml:space="preserve">4.77x6</t>
  </si>
  <si>
    <t xml:space="preserve">RD-D14L22-4.77x6-SS303-SL-H90</t>
  </si>
  <si>
    <t xml:space="preserve">RD-D14L22-4.77x6.35-SS303-SI-H90</t>
  </si>
  <si>
    <t xml:space="preserve">4.77x6.35</t>
  </si>
  <si>
    <t xml:space="preserve">RD-D14L22-4.77x6.35-SS303-SL-H90</t>
  </si>
  <si>
    <t xml:space="preserve">RD-D14L22-4.77x7-SS303-SI-H90</t>
  </si>
  <si>
    <t xml:space="preserve">4.77x7</t>
  </si>
  <si>
    <t xml:space="preserve">RD-D14L22-4.77x7-SS303-SL-H90</t>
  </si>
  <si>
    <t xml:space="preserve">RD-D14L22-4.77x8-SS303-SI-H90</t>
  </si>
  <si>
    <t xml:space="preserve">4.77x8</t>
  </si>
  <si>
    <t xml:space="preserve">RD-D14L22-4.77x8-SS303-SL-H90</t>
  </si>
  <si>
    <t xml:space="preserve">RD-D14L22-4x4-CSP-SI-H90</t>
  </si>
  <si>
    <t xml:space="preserve">RD-D14L22-4x4-CSP-SL-H90</t>
  </si>
  <si>
    <t xml:space="preserve">RD-D14L22-4x4-SS303-SI-H90</t>
  </si>
  <si>
    <t xml:space="preserve">RD-D14L22-4x4-SS303-SL-H90</t>
  </si>
  <si>
    <t xml:space="preserve">RD-D14L22-4x4.77-SS303-SI-H90</t>
  </si>
  <si>
    <t xml:space="preserve">4x4.77</t>
  </si>
  <si>
    <t xml:space="preserve">RD-D14L22-4x4.77-SS303-SL-H90</t>
  </si>
  <si>
    <t xml:space="preserve">RD-D14L22-4x5-CSP-SI-H90</t>
  </si>
  <si>
    <t xml:space="preserve">RD-D14L22-4x5-CSP-SL-H90</t>
  </si>
  <si>
    <t xml:space="preserve">RD-D14L22-4x5-SS303-SI-H90</t>
  </si>
  <si>
    <t xml:space="preserve">RD-D14L22-4x5-SS303-SL-H90</t>
  </si>
  <si>
    <t xml:space="preserve">RD-D14L22-4x5.55-SS303-SI-H90</t>
  </si>
  <si>
    <t xml:space="preserve">4x5.55</t>
  </si>
  <si>
    <t xml:space="preserve">RD-D14L22-4x5.55-SS303-SL-H90</t>
  </si>
  <si>
    <t xml:space="preserve">RD-D14L22-4x6-CSP-SI-H90</t>
  </si>
  <si>
    <t xml:space="preserve">RD-D14L22-4x6-CSP-SL-H90</t>
  </si>
  <si>
    <t xml:space="preserve">RD-D14L22-4x6-SS303-SI-H90</t>
  </si>
  <si>
    <t xml:space="preserve">RD-D14L22-4x6-SS303-SL-H90</t>
  </si>
  <si>
    <t xml:space="preserve">RD-D14L22-4x6.35-SS303-SI-H90</t>
  </si>
  <si>
    <t xml:space="preserve">RD-D14L22-4x6.35-SS303-SL-H90</t>
  </si>
  <si>
    <t xml:space="preserve">RD-D14L22-4x7-SS303-SI-H90</t>
  </si>
  <si>
    <t xml:space="preserve">RD-D14L22-4x7-SS303-SL-H90</t>
  </si>
  <si>
    <t xml:space="preserve">RD-D14L22-4x8-SS303-SI-H90</t>
  </si>
  <si>
    <t xml:space="preserve">RD-D14L22-4x8-SS303-SL-H90</t>
  </si>
  <si>
    <t xml:space="preserve">RD-D14L22-5.55x5.55-SS303-SI-H90</t>
  </si>
  <si>
    <t xml:space="preserve">5.55x5.55</t>
  </si>
  <si>
    <t xml:space="preserve">RD-D14L22-5.55x5.55-SS303-SL-H90</t>
  </si>
  <si>
    <t xml:space="preserve">RD-D14L22-5.55x6-SS303-SI-H90</t>
  </si>
  <si>
    <t xml:space="preserve">5.55x6</t>
  </si>
  <si>
    <t xml:space="preserve">RD-D14L22-5.55x6-SS303-SL-H90</t>
  </si>
  <si>
    <t xml:space="preserve">RD-D14L22-5.55x6.35-SS303-SI-H90</t>
  </si>
  <si>
    <t xml:space="preserve">5.55x6.35</t>
  </si>
  <si>
    <t xml:space="preserve">RD-D14L22-5.55x6.35-SS303-SL-H90</t>
  </si>
  <si>
    <t xml:space="preserve">RD-D14L22-5.55x7-SS303-SI-H90</t>
  </si>
  <si>
    <t xml:space="preserve">5.55x7</t>
  </si>
  <si>
    <t xml:space="preserve">RD-D14L22-5.55x7-SS303-SL-H90</t>
  </si>
  <si>
    <t xml:space="preserve">RD-D14L22-5.55x8-SS303-SI-H90</t>
  </si>
  <si>
    <t xml:space="preserve">5.55x8</t>
  </si>
  <si>
    <t xml:space="preserve">RD-D14L22-5.55x8-SS303-SL-H90</t>
  </si>
  <si>
    <t xml:space="preserve">RD-D14L22-5x5-CSP-SI-H90</t>
  </si>
  <si>
    <t xml:space="preserve">RD-D14L22-5x5-CSP-SL-H90</t>
  </si>
  <si>
    <t xml:space="preserve">RD-D14L22-5x5-SS303-SI-H90</t>
  </si>
  <si>
    <t xml:space="preserve">RD-D14L22-5x5-SS303-SL-H90</t>
  </si>
  <si>
    <t xml:space="preserve">RD-D14L22-5x5.55-SS303-SI-H90</t>
  </si>
  <si>
    <t xml:space="preserve">5x5.55</t>
  </si>
  <si>
    <t xml:space="preserve">RD-D14L22-5x5.55-SS303-SL-H90</t>
  </si>
  <si>
    <t xml:space="preserve">RD-D14L22-5x6-CSP-SI-H90</t>
  </si>
  <si>
    <t xml:space="preserve">RD-D14L22-5x6-CSP-SL-H90</t>
  </si>
  <si>
    <t xml:space="preserve">RD-D14L22-5x6-SS303-SI-H90</t>
  </si>
  <si>
    <t xml:space="preserve">RD-D14L22-5x6-SS303-SL-H90</t>
  </si>
  <si>
    <t xml:space="preserve">RD-D14L22-5x6.35-SS303-SI-H90</t>
  </si>
  <si>
    <t xml:space="preserve">RD-D14L22-5x6.35-SS303-SL-H90</t>
  </si>
  <si>
    <t xml:space="preserve">RD-D14L22-5x7-SS303-SI-H90</t>
  </si>
  <si>
    <t xml:space="preserve">RD-D14L22-5x7-SS303-SL-H90</t>
  </si>
  <si>
    <t xml:space="preserve">RD-D14L22-5x8-CSP-SI-H90</t>
  </si>
  <si>
    <t xml:space="preserve">RD-D14L22-5x8-CSP-SL-H90</t>
  </si>
  <si>
    <t xml:space="preserve">RD-D14L22-5x8-SS303-SI-H90</t>
  </si>
  <si>
    <t xml:space="preserve">RD-D14L22-5x8-SS303-SL-H90</t>
  </si>
  <si>
    <t xml:space="preserve">RD-D14L22-6.35x6.35-SS303-SI-H90</t>
  </si>
  <si>
    <t xml:space="preserve">RD-D14L22-6.35x6.35-SS303-SL-H90</t>
  </si>
  <si>
    <t xml:space="preserve">RD-D14L22-6.35x7-SS303-SI-H90</t>
  </si>
  <si>
    <t xml:space="preserve">RD-D14L22-6.35x7-SS303-SL-H90</t>
  </si>
  <si>
    <t xml:space="preserve">RD-D14L22-6.35x8-SS303-SI-H90</t>
  </si>
  <si>
    <t xml:space="preserve">RD-D14L22-6.35x8-SS303-SL-H90</t>
  </si>
  <si>
    <t xml:space="preserve">RD-D14L22-6x6-CSP-SI-H90</t>
  </si>
  <si>
    <t xml:space="preserve">RD-D14L22-6x6-CSP-SL-H90</t>
  </si>
  <si>
    <t xml:space="preserve">RD-D14L22-6x6-SS303-SI-H90</t>
  </si>
  <si>
    <t xml:space="preserve">RD-D14L22-6x6-SS303-SL-H90</t>
  </si>
  <si>
    <t xml:space="preserve">RD-D14L22-6x6.35-SS303-SI-H90</t>
  </si>
  <si>
    <t xml:space="preserve">RD-D14L22-6x6.35-SS303-SL-H90</t>
  </si>
  <si>
    <t xml:space="preserve">RD-D14L22-6x7-SS303-SI-H90</t>
  </si>
  <si>
    <t xml:space="preserve">RD-D14L22-6x7-SS303-SL-H90</t>
  </si>
  <si>
    <t xml:space="preserve">RD-D14L22-6x8-CSP-SI-H90</t>
  </si>
  <si>
    <t xml:space="preserve">RD-D14L22-6x8-CSP-SL-H90</t>
  </si>
  <si>
    <t xml:space="preserve">RD-D14L22-6x8-SS303-SI-H90</t>
  </si>
  <si>
    <t xml:space="preserve">RD-D14L22-6x8-SS303-SL-H90</t>
  </si>
  <si>
    <t xml:space="preserve">RD-D14L22-7x7-SS303-SI-H90</t>
  </si>
  <si>
    <t xml:space="preserve">RD-D14L22-7x7-SS303-SL-H90</t>
  </si>
  <si>
    <t xml:space="preserve">RD-D14L22-7x8-SS303-SI-H90</t>
  </si>
  <si>
    <t xml:space="preserve">RD-D14L22-7x8-SS303-SL-H90</t>
  </si>
  <si>
    <t xml:space="preserve">RD-D14L22-8x8-CSP-SI-H180</t>
  </si>
  <si>
    <t xml:space="preserve">RD-D14L22-8x8-CSP-SI-H90</t>
  </si>
  <si>
    <t xml:space="preserve">RD-D14L22-8x8-CSP-SL-H180</t>
  </si>
  <si>
    <t xml:space="preserve">RD-D14L22-8x8-CSP-SL-H90</t>
  </si>
  <si>
    <t xml:space="preserve">RD-D14L22-8x8-SS303-SI-H90</t>
  </si>
  <si>
    <t xml:space="preserve">RD-D14L22-8x8-SS303-SL-H90</t>
  </si>
  <si>
    <t xml:space="preserve">RD-D14L25-3.175x6-RD</t>
  </si>
  <si>
    <t xml:space="preserve">D14×L25</t>
  </si>
  <si>
    <t xml:space="preserve">RD-D14L25-3x5-BL-NS</t>
  </si>
  <si>
    <t xml:space="preserve">RD-D14L25-3x5-BL-SI</t>
  </si>
  <si>
    <t xml:space="preserve">RD-D14L25-3x5-BL-SL</t>
  </si>
  <si>
    <t xml:space="preserve">RD-D14L25-3x6-BL</t>
  </si>
  <si>
    <t xml:space="preserve">RD-D14L25-3x6-RD</t>
  </si>
  <si>
    <t xml:space="preserve">RD-D14L25-3x8-BL</t>
  </si>
  <si>
    <t xml:space="preserve">RD-D14L25-4x4-BK-SI</t>
  </si>
  <si>
    <t xml:space="preserve">RD-D14L25-4x4-BL-NS</t>
  </si>
  <si>
    <t xml:space="preserve">RD-D14L25-4x4-BL-SI</t>
  </si>
  <si>
    <t xml:space="preserve">RD-D14L25-4x4-BL-SL</t>
  </si>
  <si>
    <t xml:space="preserve">RD-D14L25-4x5-BL</t>
  </si>
  <si>
    <t xml:space="preserve">RD-D14L25-4x6-BL-SI</t>
  </si>
  <si>
    <t xml:space="preserve">RD-D14L25-4x6-BL-SL</t>
  </si>
  <si>
    <t xml:space="preserve">RD-D14L25-4x7-BL</t>
  </si>
  <si>
    <t xml:space="preserve">RD-D14L25-4x8-BL</t>
  </si>
  <si>
    <t xml:space="preserve">RD-D14L25-5x5-BK-NS</t>
  </si>
  <si>
    <t xml:space="preserve">RD-D14L25-5x5-BK-SI</t>
  </si>
  <si>
    <t xml:space="preserve">RD-D14L25-5x5-BK-SI-P10</t>
  </si>
  <si>
    <t xml:space="preserve">screws fitted 10 pcs pack</t>
  </si>
  <si>
    <t xml:space="preserve">RD-D14L25-5x5-BK-SL</t>
  </si>
  <si>
    <t xml:space="preserve">RD-D14L25-5x5-BL</t>
  </si>
  <si>
    <t xml:space="preserve">RD-D14L25-5x5-BL-SI-P10</t>
  </si>
  <si>
    <t xml:space="preserve">RD-D14L25-5x6-BL</t>
  </si>
  <si>
    <t xml:space="preserve">RD-D14L25-5x6.35-BL</t>
  </si>
  <si>
    <t xml:space="preserve">RD-D14L25-5x7-BL</t>
  </si>
  <si>
    <t xml:space="preserve">RD-D14L25-5x8-BK-SI</t>
  </si>
  <si>
    <t xml:space="preserve">RD-D14L25-5x8-BK-SI-P10</t>
  </si>
  <si>
    <t xml:space="preserve">RD-D14L25-5x8-BK-SL</t>
  </si>
  <si>
    <t xml:space="preserve">RD-D14L25-5x8-BL-NS</t>
  </si>
  <si>
    <t xml:space="preserve">RD-D14L25-5x8-BL-SI</t>
  </si>
  <si>
    <t xml:space="preserve">RD-D14L25-5x8-BL-SI-P10</t>
  </si>
  <si>
    <t xml:space="preserve">RD-D14L25-5x8-BL-SL</t>
  </si>
  <si>
    <t xml:space="preserve">RD-D14L25-5x8-RD</t>
  </si>
  <si>
    <t xml:space="preserve">RD-D14L25-6.35x6.35-BL</t>
  </si>
  <si>
    <t xml:space="preserve">RD-D14L25-6.35x8-BK-SI</t>
  </si>
  <si>
    <t xml:space="preserve">RD-D14L25-6.35x8-BL-SI</t>
  </si>
  <si>
    <t xml:space="preserve">RD-D14L25-6.35x8-BL-SL</t>
  </si>
  <si>
    <t xml:space="preserve">RD-D14L25-6.35x8-RD</t>
  </si>
  <si>
    <t xml:space="preserve">RD-D14L25-6x6-BL-SI</t>
  </si>
  <si>
    <t xml:space="preserve">RD-D14L25-6x6-BL-SL</t>
  </si>
  <si>
    <t xml:space="preserve">RD-D14L25-6x6.35-BL</t>
  </si>
  <si>
    <t xml:space="preserve">RD-D14L25-6x7-BL</t>
  </si>
  <si>
    <t xml:space="preserve">RD-D14L25-6x8-BL-SI</t>
  </si>
  <si>
    <t xml:space="preserve">RD-D14L25-7x7-BL</t>
  </si>
  <si>
    <t xml:space="preserve">RD-D14L25-7x8-BL</t>
  </si>
  <si>
    <t xml:space="preserve">RD-D14L25-8x8-BK-SI</t>
  </si>
  <si>
    <t xml:space="preserve">RD-D14L25-8x8-BK-SL</t>
  </si>
  <si>
    <t xml:space="preserve">RD-D14L25-8x8-BL-NS</t>
  </si>
  <si>
    <t xml:space="preserve">RD-D14L25-8x8-BL-SI</t>
  </si>
  <si>
    <t xml:space="preserve">RD-D14L25-8x8-BL-SL</t>
  </si>
  <si>
    <t xml:space="preserve">RD-D16L22-10x10-CSP-H90</t>
  </si>
  <si>
    <t xml:space="preserve">D16×L22</t>
  </si>
  <si>
    <t xml:space="preserve">RD-D16L22-10x10-SS303-H90</t>
  </si>
  <si>
    <t xml:space="preserve">RD-D16L22-4x9-SS303-H90</t>
  </si>
  <si>
    <t xml:space="preserve">RD-D16L22-5x10-CSP-H90</t>
  </si>
  <si>
    <t xml:space="preserve">RD-D16L22-5x10-SS303-H90</t>
  </si>
  <si>
    <t xml:space="preserve">RD-D16L22-5x8-CSP-H90</t>
  </si>
  <si>
    <t xml:space="preserve">RD-D16L22-5x9-SS303-H90</t>
  </si>
  <si>
    <t xml:space="preserve">RD-D16L22-6.35x10-SS303-H90</t>
  </si>
  <si>
    <t xml:space="preserve">RD-D16L22-6.35x9-SS303-H90</t>
  </si>
  <si>
    <t xml:space="preserve">RD-D16L22-6x10-CSP-H90</t>
  </si>
  <si>
    <t xml:space="preserve">RD-D16L22-6x10-SS303-H90</t>
  </si>
  <si>
    <t xml:space="preserve">RD-D16L22-6x9-SS303-H90</t>
  </si>
  <si>
    <t xml:space="preserve">RD-D16L22-7x10-SS303-H90</t>
  </si>
  <si>
    <t xml:space="preserve">RD-D16L22-7x9-SS303-H90</t>
  </si>
  <si>
    <t xml:space="preserve">RD-D16L22-8x10-CSP-H90</t>
  </si>
  <si>
    <t xml:space="preserve">RD-D16L22-8x10-SS303-H90</t>
  </si>
  <si>
    <t xml:space="preserve">RD-D16L22-8x8-CSP-H90</t>
  </si>
  <si>
    <t xml:space="preserve">RD-D16L22-8x9-SS303-H90</t>
  </si>
  <si>
    <t xml:space="preserve">RD-D16L22-9x10-SS303-H90</t>
  </si>
  <si>
    <t xml:space="preserve">RD-D16L22-9x9-SS303-H90</t>
  </si>
  <si>
    <t xml:space="preserve">RD-D16L25-5x8-BL-SI</t>
  </si>
  <si>
    <t xml:space="preserve">D16×L25</t>
  </si>
  <si>
    <t xml:space="preserve">RD-D16L25-5x8-BL-SL</t>
  </si>
  <si>
    <t xml:space="preserve">RD-D16L25-6.35x10-BL-SI</t>
  </si>
  <si>
    <t xml:space="preserve">RD-D16L25-6.35x10-BL-SL</t>
  </si>
  <si>
    <t xml:space="preserve">RD-D16L25-6.35x8-BL-SI</t>
  </si>
  <si>
    <t xml:space="preserve">RD-D16L25-6.35x8-BL-SL</t>
  </si>
  <si>
    <t xml:space="preserve">RD-D16L25-6x10-BL-SI</t>
  </si>
  <si>
    <t xml:space="preserve">RD-D16L25-6x10-BL-SL</t>
  </si>
  <si>
    <t xml:space="preserve">RD-D16L25-8x10-BL-SI</t>
  </si>
  <si>
    <t xml:space="preserve">RD-D16L25-8x10-BL-SL</t>
  </si>
  <si>
    <t xml:space="preserve">RD-D18L22-10x12-SS303-H90</t>
  </si>
  <si>
    <t xml:space="preserve">D18×L22</t>
  </si>
  <si>
    <t xml:space="preserve">RD-D18L22-12x12-SS303-H90</t>
  </si>
  <si>
    <t xml:space="preserve">RD-D18L22-4x12-SS303-H90</t>
  </si>
  <si>
    <t xml:space="preserve">RD-D18L22-5x12-SS303-H90</t>
  </si>
  <si>
    <t xml:space="preserve">RD-D18L22-6.35x12-SS303-H90</t>
  </si>
  <si>
    <t xml:space="preserve">RD-D18L22-6x12-SS303-H90</t>
  </si>
  <si>
    <t xml:space="preserve">RD-D18L22-7x12-SS303-H90</t>
  </si>
  <si>
    <t xml:space="preserve">RD-D18L22-8x12-SS303-H90</t>
  </si>
  <si>
    <t xml:space="preserve">RD-D18L22-9x12-SS303-H90</t>
  </si>
  <si>
    <t xml:space="preserve">RD-D18L25-10x10-SV-H180-M4</t>
  </si>
  <si>
    <t xml:space="preserve">180° screw hole M4</t>
  </si>
  <si>
    <t xml:space="preserve">RD-D18L25-10x10-SV-H90-M4</t>
  </si>
  <si>
    <t xml:space="preserve">90° screw hole M4</t>
  </si>
  <si>
    <t xml:space="preserve">RD-D18L25-3x6-SV</t>
  </si>
  <si>
    <t xml:space="preserve">RD-D18L25-3x8-SV</t>
  </si>
  <si>
    <t xml:space="preserve">RD-D18L25-4x5-SV</t>
  </si>
  <si>
    <t xml:space="preserve">RD-D18L25-4x6-SV</t>
  </si>
  <si>
    <t xml:space="preserve">RD-D18L25-4x7-SV</t>
  </si>
  <si>
    <t xml:space="preserve">RD-D18L25-4x8-SV</t>
  </si>
  <si>
    <t xml:space="preserve">RD-D18L25-5x5-SV</t>
  </si>
  <si>
    <t xml:space="preserve">RD-D18L25-5x6-SV</t>
  </si>
  <si>
    <t xml:space="preserve">RD-D18L25-5x6.35-SV</t>
  </si>
  <si>
    <t xml:space="preserve">RD-D18L25-5x7-SV</t>
  </si>
  <si>
    <t xml:space="preserve">RD-D18L25-5x8-SV-SI-H90</t>
  </si>
  <si>
    <t xml:space="preserve">RD-D18L25-5x8-SV-SL-H90</t>
  </si>
  <si>
    <t xml:space="preserve">RD-D18L25-6.35x6.35-SV</t>
  </si>
  <si>
    <t xml:space="preserve">RD-D18L25-6.35x8-SV</t>
  </si>
  <si>
    <t xml:space="preserve">RD-D18L25-6x6-SV</t>
  </si>
  <si>
    <t xml:space="preserve">RD-D18L25-6x7-SV-NS-H90</t>
  </si>
  <si>
    <t xml:space="preserve">90° holes no screws</t>
  </si>
  <si>
    <t xml:space="preserve">RD-D18L25-6x7-SV-SI-H90</t>
  </si>
  <si>
    <t xml:space="preserve">RD-D18L25-6x7-SV-SL-H90</t>
  </si>
  <si>
    <t xml:space="preserve">RD-D18L25-6x8-SV-H90-M4</t>
  </si>
  <si>
    <t xml:space="preserve">RD-D18L25-8x10-SV-SI-H180</t>
  </si>
  <si>
    <t xml:space="preserve">RD-D18L25-8x10-SV-SL-H180</t>
  </si>
  <si>
    <t xml:space="preserve">RD-D18L25-8x8-SV-H180-M4</t>
  </si>
  <si>
    <t xml:space="preserve">RD-D18L25-8x8-SV-H90-M4</t>
  </si>
  <si>
    <t xml:space="preserve">RD-D20L22-10x12-SV</t>
  </si>
  <si>
    <t xml:space="preserve">D20×L22</t>
  </si>
  <si>
    <t xml:space="preserve">RD-D20L22-12x12-SV</t>
  </si>
  <si>
    <t xml:space="preserve">RD-D20L22-8x12-SV</t>
  </si>
  <si>
    <t xml:space="preserve">RD-D20L25-10x10-SS303-H180</t>
  </si>
  <si>
    <t xml:space="preserve">180° holes</t>
  </si>
  <si>
    <t xml:space="preserve">RD-D20L25-10x10-SS303-H90</t>
  </si>
  <si>
    <t xml:space="preserve">RD-D20L25-10x10-SV-SI</t>
  </si>
  <si>
    <t xml:space="preserve">RD-D20L25-10x11-SS303-H90</t>
  </si>
  <si>
    <t xml:space="preserve">RD-D20L25-10x12-SS303-H180</t>
  </si>
  <si>
    <t xml:space="preserve">RD-D20L25-10x12-SS303-H90</t>
  </si>
  <si>
    <t xml:space="preserve">RD-D20L25-10x12-SV-SI</t>
  </si>
  <si>
    <t xml:space="preserve">RD-D20L25-10x12.7-SS303-H90</t>
  </si>
  <si>
    <t xml:space="preserve">RD-D20L25-10x14-SS303-H180</t>
  </si>
  <si>
    <t xml:space="preserve">RD-D20L25-10x14-SV-SI</t>
  </si>
  <si>
    <t xml:space="preserve">RD-D20L25-11x11-SS303-H90</t>
  </si>
  <si>
    <t xml:space="preserve">RD-D20L25-11x12-SS303-H90</t>
  </si>
  <si>
    <t xml:space="preserve">RD-D20L25-11x12.7-SS303-H90</t>
  </si>
  <si>
    <t xml:space="preserve">RD-D20L25-12.7x12.7-SS303-H90</t>
  </si>
  <si>
    <t xml:space="preserve">RD-D20L25-12x12-SS303-H180</t>
  </si>
  <si>
    <t xml:space="preserve">RD-D20L25-12x12-SS303-H90</t>
  </si>
  <si>
    <t xml:space="preserve">RD-D20L25-12x12-SV-SI</t>
  </si>
  <si>
    <t xml:space="preserve">RD-D20L25-12x14-SS303-H180</t>
  </si>
  <si>
    <t xml:space="preserve">RD-D20L25-12x14-SV-SI</t>
  </si>
  <si>
    <t xml:space="preserve">RD-D20L25-14x14-SS303-H180</t>
  </si>
  <si>
    <t xml:space="preserve">RD-D20L25-14x14-SV-SI</t>
  </si>
  <si>
    <t xml:space="preserve">RD-D20L25-4x5-SV-SI</t>
  </si>
  <si>
    <t xml:space="preserve">RD-D20L25-5x10-SV-SI</t>
  </si>
  <si>
    <t xml:space="preserve">RD-D20L25-5x12-SV-SI</t>
  </si>
  <si>
    <t xml:space="preserve">RD-D20L25-5x5-SV-SI</t>
  </si>
  <si>
    <t xml:space="preserve">RD-D20L25-5x6-SV-SI</t>
  </si>
  <si>
    <t xml:space="preserve">RD-D20L25-5x8-SV-NS</t>
  </si>
  <si>
    <t xml:space="preserve">RD-D20L25-5x8-SV-SI</t>
  </si>
  <si>
    <t xml:space="preserve">RD-D20L25-5x8-SV-SL</t>
  </si>
  <si>
    <t xml:space="preserve">RD-D20L25-6.35x10-SS303-H90</t>
  </si>
  <si>
    <t xml:space="preserve">RD-D20L25-6.35x10-SV-SI</t>
  </si>
  <si>
    <t xml:space="preserve">RD-D20L25-6.35x11-SS303-H90</t>
  </si>
  <si>
    <t xml:space="preserve">RD-D20L25-6.35x12-SS303-H90</t>
  </si>
  <si>
    <t xml:space="preserve">RD-D20L25-6.35x12-SV-SI</t>
  </si>
  <si>
    <t xml:space="preserve">RD-D20L25-6.35x12.7-SS303-H90</t>
  </si>
  <si>
    <t xml:space="preserve">RD-D20L25-6.35x6.35-SS303-H90</t>
  </si>
  <si>
    <t xml:space="preserve">RD-D20L25-6.35x6.35-SV-SI</t>
  </si>
  <si>
    <t xml:space="preserve">RD-D20L25-6.35x7-SS303-H90</t>
  </si>
  <si>
    <t xml:space="preserve">RD-D20L25-6.35x8-SS303-H90</t>
  </si>
  <si>
    <t xml:space="preserve">RD-D20L25-6.35x8-SV-NS</t>
  </si>
  <si>
    <t xml:space="preserve">RD-D20L25-6.35x8-SV-SI</t>
  </si>
  <si>
    <t xml:space="preserve">RD-D20L25-6.35x8-SV-SL</t>
  </si>
  <si>
    <t xml:space="preserve">RD-D20L25-6.35x9-SS303-H90</t>
  </si>
  <si>
    <t xml:space="preserve">RD-D20L25-6.35x9.52-SS303-H90</t>
  </si>
  <si>
    <t xml:space="preserve">6.35x9.52</t>
  </si>
  <si>
    <t xml:space="preserve">RD-D20L25-6x10-SS303-H90</t>
  </si>
  <si>
    <t xml:space="preserve">RD-D20L25-6x10-SV-SI</t>
  </si>
  <si>
    <t xml:space="preserve">RD-D20L25-6x11-SS303-H90</t>
  </si>
  <si>
    <t xml:space="preserve">RD-D20L25-6x12-SS303-H90</t>
  </si>
  <si>
    <t xml:space="preserve">RD-D20L25-6x12-SV-SI</t>
  </si>
  <si>
    <t xml:space="preserve">RD-D20L25-6x6-SS303-H90</t>
  </si>
  <si>
    <t xml:space="preserve">RD-D20L25-6x6-SV-SI</t>
  </si>
  <si>
    <t xml:space="preserve">RD-D20L25-6x6.35-SS303-H90</t>
  </si>
  <si>
    <t xml:space="preserve">RD-D20L25-6x6.35-SV-SI</t>
  </si>
  <si>
    <t xml:space="preserve">RD-D20L25-6x7-SS303-H90</t>
  </si>
  <si>
    <t xml:space="preserve">RD-D20L25-6x8-SV-SI</t>
  </si>
  <si>
    <t xml:space="preserve">RD-D20L25-6x9-SS303-H90</t>
  </si>
  <si>
    <t xml:space="preserve">RD-D20L25-6x9.52-SS303-H90</t>
  </si>
  <si>
    <t xml:space="preserve">6x9.52</t>
  </si>
  <si>
    <t xml:space="preserve">RD-D20L25-7x10-SS303-H90</t>
  </si>
  <si>
    <t xml:space="preserve">RD-D20L25-7x10-SV-SI</t>
  </si>
  <si>
    <t xml:space="preserve">RD-D20L25-7x11-SS303-H90</t>
  </si>
  <si>
    <t xml:space="preserve">RD-D20L25-7x12-SS303-H90</t>
  </si>
  <si>
    <t xml:space="preserve">RD-D20L25-7x12.7-SS303-H90</t>
  </si>
  <si>
    <t xml:space="preserve">RD-D20L25-7x7-SS303-H90</t>
  </si>
  <si>
    <t xml:space="preserve">RD-D20L25-7x8-SS303-H90</t>
  </si>
  <si>
    <t xml:space="preserve">RD-D20L25-7x9-SS303-H90</t>
  </si>
  <si>
    <t xml:space="preserve">RD-D20L25-7x9.52-SS303-H90</t>
  </si>
  <si>
    <t xml:space="preserve">7x9.52</t>
  </si>
  <si>
    <t xml:space="preserve">RD-D20L25-8x10-SS303-H180</t>
  </si>
  <si>
    <t xml:space="preserve">RD-D20L25-8x10-SS303-H90</t>
  </si>
  <si>
    <t xml:space="preserve">RD-D20L25-8x10-SV-SI</t>
  </si>
  <si>
    <t xml:space="preserve">RD-D20L25-8x11-SS303-H90</t>
  </si>
  <si>
    <t xml:space="preserve">RD-D20L25-8x12-SS303-H180</t>
  </si>
  <si>
    <t xml:space="preserve">RD-D20L25-8x12-SS303-H90</t>
  </si>
  <si>
    <t xml:space="preserve">RD-D20L25-8x12-SV-NS</t>
  </si>
  <si>
    <t xml:space="preserve">RD-D20L25-8x12-SV-SI</t>
  </si>
  <si>
    <t xml:space="preserve">RD-D20L25-8x12-SV-SL</t>
  </si>
  <si>
    <t xml:space="preserve">RD-D20L25-8x12.7-SS303-H90</t>
  </si>
  <si>
    <t xml:space="preserve">RD-D20L25-8x14-SS303-H180</t>
  </si>
  <si>
    <t xml:space="preserve">RD-D20L25-8x14-SV-SI</t>
  </si>
  <si>
    <t xml:space="preserve">RD-D20L25-8x8-SS303-H180</t>
  </si>
  <si>
    <t xml:space="preserve">RD-D20L25-8x8-SS303-H90</t>
  </si>
  <si>
    <t xml:space="preserve">RD-D20L25-8x8-SV-SI</t>
  </si>
  <si>
    <t xml:space="preserve">RD-D20L25-8x9-SS303-H90</t>
  </si>
  <si>
    <t xml:space="preserve">RD-D20L25-8x9.52-SS303-H90</t>
  </si>
  <si>
    <t xml:space="preserve">RD-D20L25-9.52x10-SS303-H90</t>
  </si>
  <si>
    <t xml:space="preserve">9.52x10</t>
  </si>
  <si>
    <t xml:space="preserve">RD-D20L25-9.52x12-SS303-H90</t>
  </si>
  <si>
    <t xml:space="preserve">RD-D20L25-9.52x12.7-SS303-H90</t>
  </si>
  <si>
    <t xml:space="preserve">9.52x12.7</t>
  </si>
  <si>
    <t xml:space="preserve">RD-D20L25-9.52x9.52-SS303-H90</t>
  </si>
  <si>
    <t xml:space="preserve">9.52x9.52</t>
  </si>
  <si>
    <t xml:space="preserve">RD-D20L25-9x10-SS303-H90</t>
  </si>
  <si>
    <t xml:space="preserve">RD-D20L25-9x11-SS303-H90</t>
  </si>
  <si>
    <t xml:space="preserve">RD-D20L25-9x12-SS303-H90</t>
  </si>
  <si>
    <t xml:space="preserve">RD-D20L25-9x12.7-SS303-H90</t>
  </si>
  <si>
    <t xml:space="preserve">RD-D20L25-9x9-SS303-H90</t>
  </si>
  <si>
    <t xml:space="preserve">RD-D20L25-9x9.52-SS303-H90</t>
  </si>
  <si>
    <t xml:space="preserve">9x9.52</t>
  </si>
  <si>
    <t xml:space="preserve">RD-D25L30-10x10-SS303-H90</t>
  </si>
  <si>
    <t xml:space="preserve">RD-D25L30-10x11-SS303-H90</t>
  </si>
  <si>
    <t xml:space="preserve">RD-D25L30-10x12-SS303-H90</t>
  </si>
  <si>
    <t xml:space="preserve">RD-D25L30-10x12.7-SS303-H90</t>
  </si>
  <si>
    <t xml:space="preserve">RD-D25L30-10x13-SS303-H90</t>
  </si>
  <si>
    <t xml:space="preserve">RD-D25L30-10x14-SS303-H90</t>
  </si>
  <si>
    <t xml:space="preserve">RD-D25L30-10x15-SS303-H90</t>
  </si>
  <si>
    <t xml:space="preserve">RD-D25L30-11x11-SS303-H90</t>
  </si>
  <si>
    <t xml:space="preserve">RD-D25L30-11x12-SS303-H90</t>
  </si>
  <si>
    <t xml:space="preserve">RD-D25L30-11x12.7-SS303-H90</t>
  </si>
  <si>
    <t xml:space="preserve">RD-D25L30-11x13-SS303-H90</t>
  </si>
  <si>
    <t xml:space="preserve">RD-D25L30-11x14-SS303-H90</t>
  </si>
  <si>
    <t xml:space="preserve">RD-D25L30-11x15-SS303-H90</t>
  </si>
  <si>
    <t xml:space="preserve">RD-D25L30-12.7x12.7-SS303-H90</t>
  </si>
  <si>
    <t xml:space="preserve">RD-D25L30-12.7x13-SS303-H90</t>
  </si>
  <si>
    <t xml:space="preserve">RD-D25L30-12.7x14-SS303-H90</t>
  </si>
  <si>
    <t xml:space="preserve">RD-D25L30-12.7x15-SS303-H90</t>
  </si>
  <si>
    <t xml:space="preserve">RD-D25L30-12x12-SS303-H90</t>
  </si>
  <si>
    <t xml:space="preserve">RD-D25L30-12x12.7-SS303-H90</t>
  </si>
  <si>
    <t xml:space="preserve">RD-D25L30-12x13-SS303-H90</t>
  </si>
  <si>
    <t xml:space="preserve">RD-D25L30-12x14-SS303-H90</t>
  </si>
  <si>
    <t xml:space="preserve">RD-D25L30-12x15-SS303-H90</t>
  </si>
  <si>
    <t xml:space="preserve">RD-D25L30-13x13-SS303-H90</t>
  </si>
  <si>
    <t xml:space="preserve">RD-D25L30-13x14-SS303-H90</t>
  </si>
  <si>
    <t xml:space="preserve">RD-D25L30-13x15-SS303-H90</t>
  </si>
  <si>
    <t xml:space="preserve">RD-D25L30-14x14-SS303-H90</t>
  </si>
  <si>
    <t xml:space="preserve">RD-D25L30-14x15-SS303-H90</t>
  </si>
  <si>
    <t xml:space="preserve">RD-D25L30-15x15-SS303-H90</t>
  </si>
  <si>
    <t xml:space="preserve">RD-D25L30-8x10-SS303-H90</t>
  </si>
  <si>
    <t xml:space="preserve">RD-D25L30-8x11-SS303-H90</t>
  </si>
  <si>
    <t xml:space="preserve">RD-D25L30-8x12-SS303-H90</t>
  </si>
  <si>
    <t xml:space="preserve">RD-D25L30-8x12.7-SS303-H90</t>
  </si>
  <si>
    <t xml:space="preserve">RD-D25L30-8x13-SS303-H90</t>
  </si>
  <si>
    <t xml:space="preserve">RD-D25L30-8x14-SS303-H90</t>
  </si>
  <si>
    <t xml:space="preserve">RD-D25L30-8x15-SS303-H90</t>
  </si>
  <si>
    <t xml:space="preserve">RD-D25L30-8x8-SS303-H90</t>
  </si>
  <si>
    <t xml:space="preserve">RD-D25L30-8x9-SS303-H90</t>
  </si>
  <si>
    <t xml:space="preserve">RD-D25L30-8x9.52-SS303-H90</t>
  </si>
  <si>
    <t xml:space="preserve">RD-D25L30-9.52x10-SS303-H90</t>
  </si>
  <si>
    <t xml:space="preserve">RD-D25L30-9.52x11-SS303-H90</t>
  </si>
  <si>
    <t xml:space="preserve">9.52x11</t>
  </si>
  <si>
    <t xml:space="preserve">RD-D25L30-9.52x12-SS303-H90</t>
  </si>
  <si>
    <t xml:space="preserve">RD-D25L30-9.52x12.7-SS303-H90</t>
  </si>
  <si>
    <t xml:space="preserve">RD-D25L30-9.52x13-SS303-H90</t>
  </si>
  <si>
    <t xml:space="preserve">9.52x13</t>
  </si>
  <si>
    <t xml:space="preserve">RD-D25L30-9.52x14-SS303-H90</t>
  </si>
  <si>
    <t xml:space="preserve">9.52x14</t>
  </si>
  <si>
    <t xml:space="preserve">RD-D25L30-9.52x15-SS303-H90</t>
  </si>
  <si>
    <t xml:space="preserve">9.52x15</t>
  </si>
  <si>
    <t xml:space="preserve">RD-D25L30-9.52x9.52-SS303-H90</t>
  </si>
  <si>
    <t xml:space="preserve">RD-D25L30-9x10-SS303-H90</t>
  </si>
  <si>
    <t xml:space="preserve">RD-D25L30-9x11-SS303-H90</t>
  </si>
  <si>
    <t xml:space="preserve">RD-D25L30-9x12-SS303-H90</t>
  </si>
  <si>
    <t xml:space="preserve">RD-D25L30-9x12.7-SS303-H90</t>
  </si>
  <si>
    <t xml:space="preserve">RD-D25L30-9x13-SS303-H90</t>
  </si>
  <si>
    <t xml:space="preserve">RD-D25L30-9x14-SS303-H90</t>
  </si>
  <si>
    <t xml:space="preserve">RD-D25L30-9x15-SS303-H90</t>
  </si>
  <si>
    <t xml:space="preserve">RD-D25L30-9x9-SS303-H90</t>
  </si>
  <si>
    <t xml:space="preserve">RD-D25L30-9x9.52-SS303-H90</t>
  </si>
  <si>
    <t xml:space="preserve">RD-D28L40-15x15-SS303-H180</t>
  </si>
  <si>
    <t xml:space="preserve">D28×L40</t>
  </si>
  <si>
    <t xml:space="preserve">RD-D28L40-15x16-SS303-H180</t>
  </si>
  <si>
    <t xml:space="preserve">RD-D28L40-15x18-SS303-H180</t>
  </si>
  <si>
    <t xml:space="preserve">RD-D28L40-15x20-SS303-H180</t>
  </si>
  <si>
    <t xml:space="preserve">RD-D28L40-16x16-SS303-H180</t>
  </si>
  <si>
    <t xml:space="preserve">RD-D28L40-16x18-SS303-H180</t>
  </si>
  <si>
    <t xml:space="preserve">RD-D28L40-16x20-SS303-H180</t>
  </si>
  <si>
    <t xml:space="preserve">RD-D28L40-18x18-SS303-H180</t>
  </si>
  <si>
    <t xml:space="preserve">RD-D28L40-18x20-SS303-H180</t>
  </si>
  <si>
    <t xml:space="preserve">RD-D28L40-20x20-SS303-H180</t>
  </si>
  <si>
    <t xml:space="preserve">RD-D30L40-10x10-SS303</t>
  </si>
  <si>
    <t xml:space="preserve">RD-D30L40-10x11-SS303</t>
  </si>
  <si>
    <t xml:space="preserve">RD-D30L40-10x12-SS303</t>
  </si>
  <si>
    <t xml:space="preserve">RD-D30L40-10x12.7-SS303</t>
  </si>
  <si>
    <t xml:space="preserve">RD-D30L40-10x13-SS303</t>
  </si>
  <si>
    <t xml:space="preserve">RD-D30L40-10x14-SS303</t>
  </si>
  <si>
    <t xml:space="preserve">RD-D30L40-10x15-SS303</t>
  </si>
  <si>
    <t xml:space="preserve">RD-D30L40-10x16-SS303</t>
  </si>
  <si>
    <t xml:space="preserve">RD-D30L40-10x18-SS303</t>
  </si>
  <si>
    <t xml:space="preserve">RD-D30L40-11x11-SS303</t>
  </si>
  <si>
    <t xml:space="preserve">RD-D30L40-11x12-SS303</t>
  </si>
  <si>
    <t xml:space="preserve">RD-D30L40-11x12.7-SS303</t>
  </si>
  <si>
    <t xml:space="preserve">RD-D30L40-11x13-SS303</t>
  </si>
  <si>
    <t xml:space="preserve">RD-D30L40-11x14-SS303</t>
  </si>
  <si>
    <t xml:space="preserve">RD-D30L40-11x15-SS303</t>
  </si>
  <si>
    <t xml:space="preserve">RD-D30L40-11x16-SS303</t>
  </si>
  <si>
    <t xml:space="preserve">RD-D30L40-11x18-SS303</t>
  </si>
  <si>
    <t xml:space="preserve">11x18</t>
  </si>
  <si>
    <t xml:space="preserve">RD-D30L40-12.7x12.7-SS303</t>
  </si>
  <si>
    <t xml:space="preserve">RD-D30L40-12.7x13-SS303</t>
  </si>
  <si>
    <t xml:space="preserve">RD-D30L40-12.7x14-SS303</t>
  </si>
  <si>
    <t xml:space="preserve">RD-D30L40-12.7x15-SS303</t>
  </si>
  <si>
    <t xml:space="preserve">RD-D30L40-12.7x16-SS303</t>
  </si>
  <si>
    <t xml:space="preserve">RD-D30L40-12.7x18-SS303</t>
  </si>
  <si>
    <t xml:space="preserve">RD-D30L40-12x12-SS303</t>
  </si>
  <si>
    <t xml:space="preserve">RD-D30L40-12x12.7-SS303</t>
  </si>
  <si>
    <t xml:space="preserve">RD-D30L40-12x13-SS303</t>
  </si>
  <si>
    <t xml:space="preserve">RD-D30L40-12x14-SS303</t>
  </si>
  <si>
    <t xml:space="preserve">RD-D30L40-12x15-SS303</t>
  </si>
  <si>
    <t xml:space="preserve">RD-D30L40-12x16-SS303</t>
  </si>
  <si>
    <t xml:space="preserve">RD-D30L40-12x18-SS303</t>
  </si>
  <si>
    <t xml:space="preserve">RD-D30L40-13x13-SS303</t>
  </si>
  <si>
    <t xml:space="preserve">RD-D30L40-13x14-SS303</t>
  </si>
  <si>
    <t xml:space="preserve">RD-D30L40-13x15-SS303</t>
  </si>
  <si>
    <t xml:space="preserve">RD-D30L40-13x16-SS303</t>
  </si>
  <si>
    <t xml:space="preserve">RD-D30L40-13x18-SS303</t>
  </si>
  <si>
    <t xml:space="preserve">13x18</t>
  </si>
  <si>
    <t xml:space="preserve">RD-D30L40-14x14-SS303</t>
  </si>
  <si>
    <t xml:space="preserve">RD-D30L40-14x15-SS303</t>
  </si>
  <si>
    <t xml:space="preserve">RD-D30L40-14x16-SS303</t>
  </si>
  <si>
    <t xml:space="preserve">RD-D30L40-14x18-SS303</t>
  </si>
  <si>
    <t xml:space="preserve">RD-D30L40-15x15-SS303</t>
  </si>
  <si>
    <t xml:space="preserve">RD-D30L40-15x16-SS303</t>
  </si>
  <si>
    <t xml:space="preserve">RD-D30L40-15x18-SS303</t>
  </si>
  <si>
    <t xml:space="preserve">RD-D30L40-16x16-SS303</t>
  </si>
  <si>
    <t xml:space="preserve">RD-D30L40-16x18-SS303</t>
  </si>
  <si>
    <t xml:space="preserve">RD-D30L40-18x18-SS303</t>
  </si>
  <si>
    <t xml:space="preserve">RD-D35L40-12.7x12.7-SS303-H90</t>
  </si>
  <si>
    <t xml:space="preserve">RD-D35L40-13x13-SS303-H90</t>
  </si>
  <si>
    <t xml:space="preserve">RD-D35L40-13x14-SS303-H90</t>
  </si>
  <si>
    <t xml:space="preserve">RD-D35L40-13x15-SS303-H90</t>
  </si>
  <si>
    <t xml:space="preserve">RD-D35L40-13x16-SS303-H90</t>
  </si>
  <si>
    <t xml:space="preserve">RD-D35L40-13x18-SS303-H90</t>
  </si>
  <si>
    <t xml:space="preserve">RD-D35L40-13x20-SS303-H90</t>
  </si>
  <si>
    <t xml:space="preserve">13x20</t>
  </si>
  <si>
    <t xml:space="preserve">RD-D35L40-13x22-SS303-H90</t>
  </si>
  <si>
    <t xml:space="preserve">13x22</t>
  </si>
  <si>
    <t xml:space="preserve">RD-D35L40-14x14-SS303-H90</t>
  </si>
  <si>
    <t xml:space="preserve">RD-D35L40-14x15-SS303-H90</t>
  </si>
  <si>
    <t xml:space="preserve">RD-D35L40-14x16-SS303-H90</t>
  </si>
  <si>
    <t xml:space="preserve">RD-D35L40-14x18-SS303-H90</t>
  </si>
  <si>
    <t xml:space="preserve">RD-D35L40-14x20-SS303-H90</t>
  </si>
  <si>
    <t xml:space="preserve">RD-D35L40-14x22-SS303-H90</t>
  </si>
  <si>
    <t xml:space="preserve">RD-D35L40-15x15-SS303-H90</t>
  </si>
  <si>
    <t xml:space="preserve">RD-D35L40-15x16-SS303-H90</t>
  </si>
  <si>
    <t xml:space="preserve">RD-D35L40-15x18-SS303-H90</t>
  </si>
  <si>
    <t xml:space="preserve">RD-D35L40-15x20-SS303-H90</t>
  </si>
  <si>
    <t xml:space="preserve">RD-D35L40-15x22-SS303-H90</t>
  </si>
  <si>
    <t xml:space="preserve">RD-D35L40-16x16-SS303-H90</t>
  </si>
  <si>
    <t xml:space="preserve">RD-D35L40-16x18-SS303-H90</t>
  </si>
  <si>
    <t xml:space="preserve">T8 Z-Axis Lead Screw Oldham Coupler (Ender3)  [Oldham]</t>
  </si>
  <si>
    <t xml:space="preserve">ZC-T8-A</t>
  </si>
  <si>
    <t xml:space="preserve">ZC-T8-B</t>
  </si>
  <si>
    <t xml:space="preserve">Oldham Coupling (all sizes)  [Oldham]</t>
  </si>
  <si>
    <t xml:space="preserve">D20×L23</t>
  </si>
  <si>
    <t xml:space="preserve">OL-D20L23-5x8-SV</t>
  </si>
  <si>
    <t xml:space="preserve">OL-D20L33-5x8-SV</t>
  </si>
  <si>
    <t xml:space="preserve">D20×L33</t>
  </si>
  <si>
    <t xml:space="preserve">OL-D20L35-5x8-SV</t>
  </si>
  <si>
    <t xml:space="preserve">D20×L35</t>
  </si>
  <si>
    <t xml:space="preserve">Flexible Clamp Coupling (all sizes)  [Flexible Clamp]</t>
  </si>
  <si>
    <t xml:space="preserve">EC-D15L20-3.175x5-SV</t>
  </si>
  <si>
    <t xml:space="preserve">EC-D15L20-3.175x6-SV</t>
  </si>
  <si>
    <t xml:space="preserve">EC-D15L20-3x3-SV</t>
  </si>
  <si>
    <t xml:space="preserve">EC-D15L20-3x4-SV</t>
  </si>
  <si>
    <t xml:space="preserve">EC-D15L20-3x5-SV</t>
  </si>
  <si>
    <t xml:space="preserve">EC-D15L20-3x6-SV</t>
  </si>
  <si>
    <t xml:space="preserve">EC-D15L20-3x8-SV</t>
  </si>
  <si>
    <t xml:space="preserve">EC-D15L20-4x4-SV</t>
  </si>
  <si>
    <t xml:space="preserve">EC-D15L20-4x5-SV</t>
  </si>
  <si>
    <t xml:space="preserve">EC-D15L20-4x6-SV</t>
  </si>
  <si>
    <t xml:space="preserve">EC-D15L20-4x6.35-SV</t>
  </si>
  <si>
    <t xml:space="preserve">EC-D15L20-4x8-SV</t>
  </si>
  <si>
    <t xml:space="preserve">EC-D15L20-5x5-SV</t>
  </si>
  <si>
    <t xml:space="preserve">EC-D15L20-5x6-SV</t>
  </si>
  <si>
    <t xml:space="preserve">EC-D15L20-5x6.35-SV</t>
  </si>
  <si>
    <t xml:space="preserve">EC-D15L20-5x7-SV</t>
  </si>
  <si>
    <t xml:space="preserve">EC-D15L20-5x8-SV</t>
  </si>
  <si>
    <t xml:space="preserve">EC-D15L20-6.35x8-SV</t>
  </si>
  <si>
    <t xml:space="preserve">EC-D15L20-6x6-SV</t>
  </si>
  <si>
    <t xml:space="preserve">EC-D15L20-6x6.35-SV</t>
  </si>
  <si>
    <t xml:space="preserve">EC-D15L20-6x8-SV</t>
  </si>
  <si>
    <t xml:space="preserve">EC-D15L20-8x8-SV</t>
  </si>
  <si>
    <t xml:space="preserve">EC-D16L23-2x8-SV</t>
  </si>
  <si>
    <t xml:space="preserve">D16×L23</t>
  </si>
  <si>
    <t xml:space="preserve">EC-D18L25-2x4-SV</t>
  </si>
  <si>
    <t xml:space="preserve">EC-D18L25-3x3-SV</t>
  </si>
  <si>
    <t xml:space="preserve">EC-D18L25-3x4-SV</t>
  </si>
  <si>
    <t xml:space="preserve">EC-D18L25-3x5-SV</t>
  </si>
  <si>
    <t xml:space="preserve">EC-D18L25-3x6-SV</t>
  </si>
  <si>
    <t xml:space="preserve">EC-D18L25-4x5-SV</t>
  </si>
  <si>
    <t xml:space="preserve">EC-D18L25-4x6-SV</t>
  </si>
  <si>
    <t xml:space="preserve">EC-D18L25-4x8-SV</t>
  </si>
  <si>
    <t xml:space="preserve">EC-D18L25-5x10-SV</t>
  </si>
  <si>
    <t xml:space="preserve">EC-D18L25-5x5-SV</t>
  </si>
  <si>
    <t xml:space="preserve">EC-D18L25-5x6-SV</t>
  </si>
  <si>
    <t xml:space="preserve">EC-D18L25-5x6.35-SV</t>
  </si>
  <si>
    <t xml:space="preserve">EC-D18L25-5x7-SV</t>
  </si>
  <si>
    <t xml:space="preserve">EC-D18L25-6.35x10-SV</t>
  </si>
  <si>
    <t xml:space="preserve">EC-D18L25-6x10-SV</t>
  </si>
  <si>
    <t xml:space="preserve">EC-D18L25-6x6.35-SV</t>
  </si>
  <si>
    <t xml:space="preserve">EC-D18L25-6x8-SV</t>
  </si>
  <si>
    <t xml:space="preserve">EC-D18L25-7x8-SV</t>
  </si>
  <si>
    <t xml:space="preserve">EC-D20L25-10x10-SV</t>
  </si>
  <si>
    <t xml:space="preserve">EC-D20L25-2x10-SV</t>
  </si>
  <si>
    <t xml:space="preserve">EC-D20L25-2x2-SV</t>
  </si>
  <si>
    <t xml:space="preserve">EC-D20L25-2x3-SV</t>
  </si>
  <si>
    <t xml:space="preserve">EC-D20L25-2x4-SV</t>
  </si>
  <si>
    <t xml:space="preserve">EC-D20L25-2x5-SV</t>
  </si>
  <si>
    <t xml:space="preserve">EC-D20L25-2x6-SV</t>
  </si>
  <si>
    <t xml:space="preserve">EC-D20L25-3.175x10-SV</t>
  </si>
  <si>
    <t xml:space="preserve">EC-D20L25-3.175x3.175-GS</t>
  </si>
  <si>
    <t xml:space="preserve">EC-D20L25-3.175x4-SV</t>
  </si>
  <si>
    <t xml:space="preserve">EC-D20L25-3.175x8-SV</t>
  </si>
  <si>
    <t xml:space="preserve">EC-D20L25-3x10-SV</t>
  </si>
  <si>
    <t xml:space="preserve">EC-D20L25-3x3-SV</t>
  </si>
  <si>
    <t xml:space="preserve">EC-D20L25-3x4-SV</t>
  </si>
  <si>
    <t xml:space="preserve">EC-D20L25-3x5-SV</t>
  </si>
  <si>
    <t xml:space="preserve">EC-D20L25-3x6-SV</t>
  </si>
  <si>
    <t xml:space="preserve">EC-D20L25-3x6.35-SV</t>
  </si>
  <si>
    <t xml:space="preserve">EC-D20L25-3x8-SV</t>
  </si>
  <si>
    <t xml:space="preserve">EC-D20L25-3x9.5-SV</t>
  </si>
  <si>
    <t xml:space="preserve">EC-D20L25-4x10-SV</t>
  </si>
  <si>
    <t xml:space="preserve">EC-D20L25-4x4-SV</t>
  </si>
  <si>
    <t xml:space="preserve">EC-D20L25-4x5-SV</t>
  </si>
  <si>
    <t xml:space="preserve">EC-D20L25-4x6-SV</t>
  </si>
  <si>
    <t xml:space="preserve">EC-D20L25-4x6.35-SV</t>
  </si>
  <si>
    <t xml:space="preserve">EC-D20L25-4x8-SV</t>
  </si>
  <si>
    <t xml:space="preserve">EC-D20L25-4x9.5-SV</t>
  </si>
  <si>
    <t xml:space="preserve">EC-D20L25-5x10-SV</t>
  </si>
  <si>
    <t xml:space="preserve">EC-D20L25-5x5-GS</t>
  </si>
  <si>
    <t xml:space="preserve">EC-D20L25-5x6-GS</t>
  </si>
  <si>
    <t xml:space="preserve">EC-D20L25-5x6-MS</t>
  </si>
  <si>
    <t xml:space="preserve">EC-D20L25-5x6.35-SV</t>
  </si>
  <si>
    <t xml:space="preserve">EC-D20L25-5x8-BK</t>
  </si>
  <si>
    <t xml:space="preserve">EC-D20L25-5x8-GS</t>
  </si>
  <si>
    <t xml:space="preserve">EC-D20L25-5x9.5-SV</t>
  </si>
  <si>
    <t xml:space="preserve">EC-D20L25-6.35x10-BK</t>
  </si>
  <si>
    <t xml:space="preserve">EC-D20L25-6.35x10-SV</t>
  </si>
  <si>
    <t xml:space="preserve">EC-D20L25-6.35x6.35-SV</t>
  </si>
  <si>
    <t xml:space="preserve">EC-D20L25-6.35x8-BK</t>
  </si>
  <si>
    <t xml:space="preserve">EC-D20L25-6.35x8-GS</t>
  </si>
  <si>
    <t xml:space="preserve">EC-D20L25-6.35x8-MS</t>
  </si>
  <si>
    <t xml:space="preserve">EC-D20L25-6x10-BK</t>
  </si>
  <si>
    <t xml:space="preserve">EC-D20L25-6x10-SV</t>
  </si>
  <si>
    <t xml:space="preserve">EC-D20L25-6x6-SV</t>
  </si>
  <si>
    <t xml:space="preserve">EC-D20L25-6x6.35-SV</t>
  </si>
  <si>
    <t xml:space="preserve">EC-D20L25-6x7-MS</t>
  </si>
  <si>
    <t xml:space="preserve">EC-D20L25-6x8-BK</t>
  </si>
  <si>
    <t xml:space="preserve">EC-D20L25-6x8-SV</t>
  </si>
  <si>
    <t xml:space="preserve">EC-D20L25-6x9.5-SV</t>
  </si>
  <si>
    <t xml:space="preserve">EC-D20L25-7x10-SV</t>
  </si>
  <si>
    <t xml:space="preserve">EC-D20L25-7x8-SV</t>
  </si>
  <si>
    <t xml:space="preserve">EC-D20L25-8x10-BK</t>
  </si>
  <si>
    <t xml:space="preserve">EC-D20L25-8x10-GS</t>
  </si>
  <si>
    <t xml:space="preserve">EC-D20L25-8x10-MS</t>
  </si>
  <si>
    <t xml:space="preserve">EC-D20L25-8x8-BK</t>
  </si>
  <si>
    <t xml:space="preserve">EC-D20L25-8x8-SV</t>
  </si>
  <si>
    <t xml:space="preserve">EC-D20L25-8x9.5-SV</t>
  </si>
  <si>
    <t xml:space="preserve">EC-D20L25-9.5x10-SV</t>
  </si>
  <si>
    <t xml:space="preserve">EC-D25L30-10x10-SV</t>
  </si>
  <si>
    <t xml:space="preserve">EC-D25L30-10x11-SV</t>
  </si>
  <si>
    <t xml:space="preserve">EC-D25L30-10x12-SV</t>
  </si>
  <si>
    <t xml:space="preserve">EC-D25L30-11x11-SV</t>
  </si>
  <si>
    <t xml:space="preserve">EC-D25L30-12x12-SV</t>
  </si>
  <si>
    <t xml:space="preserve">EC-D25L30-4x12-SV</t>
  </si>
  <si>
    <t xml:space="preserve">EC-D25L30-4x4-SV</t>
  </si>
  <si>
    <t xml:space="preserve">EC-D25L30-4x5-SV</t>
  </si>
  <si>
    <t xml:space="preserve">EC-D25L30-4x8-SV</t>
  </si>
  <si>
    <t xml:space="preserve">EC-D25L30-5x10-SV</t>
  </si>
  <si>
    <t xml:space="preserve">EC-D25L30-5x12-SV</t>
  </si>
  <si>
    <t xml:space="preserve">EC-D25L30-5x5-SV</t>
  </si>
  <si>
    <t xml:space="preserve">EC-D25L30-5x6-SV</t>
  </si>
  <si>
    <t xml:space="preserve">EC-D25L30-5x6.35-SV</t>
  </si>
  <si>
    <t xml:space="preserve">EC-D25L30-5x8-SV</t>
  </si>
  <si>
    <t xml:space="preserve">EC-D25L30-5x9-SV</t>
  </si>
  <si>
    <t xml:space="preserve">EC-D25L30-6.35x10-SV</t>
  </si>
  <si>
    <t xml:space="preserve">EC-D25L30-6.35x11-SV</t>
  </si>
  <si>
    <t xml:space="preserve">EC-D25L30-6.35x12-SV</t>
  </si>
  <si>
    <t xml:space="preserve">EC-D25L30-6.35x6.35-SV</t>
  </si>
  <si>
    <t xml:space="preserve">EC-D25L30-6.35x8-SV</t>
  </si>
  <si>
    <t xml:space="preserve">EC-D25L30-6.35x9-SV</t>
  </si>
  <si>
    <t xml:space="preserve">EC-D25L30-6.35x9.52-SV</t>
  </si>
  <si>
    <t xml:space="preserve">EC-D25L30-6x10-SV</t>
  </si>
  <si>
    <t xml:space="preserve">EC-D25L30-6x12-SV</t>
  </si>
  <si>
    <t xml:space="preserve">EC-D25L30-6x6-SV</t>
  </si>
  <si>
    <t xml:space="preserve">EC-D25L30-6x6.35-SV</t>
  </si>
  <si>
    <t xml:space="preserve">EC-D25L30-6x7-SV</t>
  </si>
  <si>
    <t xml:space="preserve">EC-D25L30-6x8-SV</t>
  </si>
  <si>
    <t xml:space="preserve">EC-D25L30-7x7-SV</t>
  </si>
  <si>
    <t xml:space="preserve">EC-D25L30-8x10-SV</t>
  </si>
  <si>
    <t xml:space="preserve">EC-D25L30-8x12-SV</t>
  </si>
  <si>
    <t xml:space="preserve">EC-D25L30-8x8-SV</t>
  </si>
  <si>
    <t xml:space="preserve">EC-D25L30-8x9.52-SV</t>
  </si>
  <si>
    <t xml:space="preserve">EC-D25L30-9.52x10-SV</t>
  </si>
  <si>
    <t xml:space="preserve">EC-D25L30-9.52x12-SV</t>
  </si>
  <si>
    <t xml:space="preserve">EC-D25L30-9.52x9.52-SV</t>
  </si>
  <si>
    <t xml:space="preserve">EC-D25L30-9x10-SV</t>
  </si>
  <si>
    <t xml:space="preserve">EC-D25L30-9x9-SV</t>
  </si>
  <si>
    <t xml:space="preserve">EC-D30L35-10x14-SV</t>
  </si>
  <si>
    <t xml:space="preserve">EC-D30L35-5x8-SV</t>
  </si>
  <si>
    <t xml:space="preserve">EC-D30L35-6.35x10-SV</t>
  </si>
  <si>
    <t xml:space="preserve">EC-D30L35-6x14-SV</t>
  </si>
  <si>
    <t xml:space="preserve">EC-D30L35-6x16-SV</t>
  </si>
  <si>
    <t xml:space="preserve">EC-D30L35-8x8-SV</t>
  </si>
  <si>
    <t xml:space="preserve">EC-D30L35-9.52x12-SV</t>
  </si>
  <si>
    <t xml:space="preserve">EC-D30L35-9x10-SV</t>
  </si>
  <si>
    <t xml:space="preserve">EC-D30L40-10x10-SV</t>
  </si>
  <si>
    <t xml:space="preserve">EC-D30L40-10x12-SV</t>
  </si>
  <si>
    <t xml:space="preserve">EC-D30L40-10x12.7-SV</t>
  </si>
  <si>
    <t xml:space="preserve">EC-D30L40-10x14-SV</t>
  </si>
  <si>
    <t xml:space="preserve">EC-D30L40-10x16-SV</t>
  </si>
  <si>
    <t xml:space="preserve">EC-D30L40-11x11-SV</t>
  </si>
  <si>
    <t xml:space="preserve">EC-D30L40-12x12-SV</t>
  </si>
  <si>
    <t xml:space="preserve">EC-D30L40-12x14-SV</t>
  </si>
  <si>
    <t xml:space="preserve">EC-D30L40-14x14-SV</t>
  </si>
  <si>
    <t xml:space="preserve">EC-D30L40-5x12-SV</t>
  </si>
  <si>
    <t xml:space="preserve">EC-D30L40-5x14-SV</t>
  </si>
  <si>
    <t xml:space="preserve">EC-D30L40-5x15-SV</t>
  </si>
  <si>
    <t xml:space="preserve">EC-D30L40-6.35x12-SV</t>
  </si>
  <si>
    <t xml:space="preserve">EC-D30L40-6.35x12.7-SV</t>
  </si>
  <si>
    <t xml:space="preserve">EC-D30L40-6.35x6.35-SV</t>
  </si>
  <si>
    <t xml:space="preserve">EC-D30L40-6x12.7-SV</t>
  </si>
  <si>
    <t xml:space="preserve">EC-D30L40-6x16-SV</t>
  </si>
  <si>
    <t xml:space="preserve">EC-D30L40-8x10-SV</t>
  </si>
  <si>
    <t xml:space="preserve">EC-D30L40-8x11-SV</t>
  </si>
  <si>
    <t xml:space="preserve">EC-D30L40-8x12-SV</t>
  </si>
  <si>
    <t xml:space="preserve">EC-D30L40-8x12.7-SV</t>
  </si>
  <si>
    <t xml:space="preserve">EC-D30L40-8x14-SV</t>
  </si>
  <si>
    <t xml:space="preserve">EC-D30L40-8x15-SV</t>
  </si>
  <si>
    <t xml:space="preserve">EC-D30L40-8x16-SV</t>
  </si>
  <si>
    <t xml:space="preserve">EC-D30L40-8x8-SV</t>
  </si>
  <si>
    <t xml:space="preserve">EC-D30L40-8x9-SV</t>
  </si>
  <si>
    <t xml:space="preserve">EC-D30L40-9x14-SV</t>
  </si>
  <si>
    <t xml:space="preserve">EC-D50L50-10x19-SV</t>
  </si>
  <si>
    <t xml:space="preserve">D50×L50</t>
  </si>
  <si>
    <t xml:space="preserve">Flexible Set-Screw Coupling (all sizes)  [Flexible Set-Screw]</t>
  </si>
  <si>
    <t xml:space="preserve">ES-D12L18-2x2-SV</t>
  </si>
  <si>
    <t xml:space="preserve">ES-D12L18-2x3-SV</t>
  </si>
  <si>
    <t xml:space="preserve">ES-D12L18-2x5-SV</t>
  </si>
  <si>
    <t xml:space="preserve">ES-D12L18-2x6-SV</t>
  </si>
  <si>
    <t xml:space="preserve">ES-D12L18-3.175x5-SV</t>
  </si>
  <si>
    <t xml:space="preserve">ES-D12L18-3.175x6-SV</t>
  </si>
  <si>
    <t xml:space="preserve">ES-D12L18-3x3-GS</t>
  </si>
  <si>
    <t xml:space="preserve">ES-D12L18-3x3.175-GS</t>
  </si>
  <si>
    <t xml:space="preserve">ES-D12L18-3x4-SV</t>
  </si>
  <si>
    <t xml:space="preserve">ES-D12L18-3x5-SV</t>
  </si>
  <si>
    <t xml:space="preserve">ES-D12L18-3x6-SV</t>
  </si>
  <si>
    <t xml:space="preserve">ES-D12L18-4x4-SV</t>
  </si>
  <si>
    <t xml:space="preserve">ES-D12L18-4x5-GS</t>
  </si>
  <si>
    <t xml:space="preserve">ES-D12L18-4x6-SV</t>
  </si>
  <si>
    <t xml:space="preserve">ES-D12L18-5x5-SV</t>
  </si>
  <si>
    <t xml:space="preserve">ES-D12L18-5x6-SV</t>
  </si>
  <si>
    <t xml:space="preserve">ES-D12L18-6x6-GS</t>
  </si>
  <si>
    <t xml:space="preserve">ES-D13L21-4x4-SV</t>
  </si>
  <si>
    <t xml:space="preserve">D13×L21</t>
  </si>
  <si>
    <t xml:space="preserve">ES-D14L21-5x5-SV</t>
  </si>
  <si>
    <t xml:space="preserve">D14×L21</t>
  </si>
  <si>
    <t xml:space="preserve">ES-D15L20-2x2-SV</t>
  </si>
  <si>
    <t xml:space="preserve">ES-D15L20-2x3-SV</t>
  </si>
  <si>
    <t xml:space="preserve">ES-D15L20-2x4-SV</t>
  </si>
  <si>
    <t xml:space="preserve">ES-D15L20-2x5-SV</t>
  </si>
  <si>
    <t xml:space="preserve">ES-D15L20-2x6-SV</t>
  </si>
  <si>
    <t xml:space="preserve">ES-D15L20-2x7-SV</t>
  </si>
  <si>
    <t xml:space="preserve">2x7</t>
  </si>
  <si>
    <t xml:space="preserve">ES-D15L20-2x8-SV</t>
  </si>
  <si>
    <t xml:space="preserve">ES-D15L20-3.175x4-SV</t>
  </si>
  <si>
    <t xml:space="preserve">ES-D15L20-3.175x5-SV</t>
  </si>
  <si>
    <t xml:space="preserve">ES-D15L20-3.175x6-SV</t>
  </si>
  <si>
    <t xml:space="preserve">ES-D15L20-3.175x8-SV</t>
  </si>
  <si>
    <t xml:space="preserve">ES-D15L20-3x3-SV</t>
  </si>
  <si>
    <t xml:space="preserve">ES-D15L20-3x3.175-SV</t>
  </si>
  <si>
    <t xml:space="preserve">ES-D15L20-3x4-SV</t>
  </si>
  <si>
    <t xml:space="preserve">ES-D15L20-3x5-SV</t>
  </si>
  <si>
    <t xml:space="preserve">ES-D15L20-3x6-SV</t>
  </si>
  <si>
    <t xml:space="preserve">ES-D15L20-3x6.35-SV</t>
  </si>
  <si>
    <t xml:space="preserve">ES-D15L20-3x8-SV</t>
  </si>
  <si>
    <t xml:space="preserve">ES-D15L20-4x4-SV</t>
  </si>
  <si>
    <t xml:space="preserve">ES-D15L20-4x5-SV</t>
  </si>
  <si>
    <t xml:space="preserve">ES-D15L20-4x6-SV</t>
  </si>
  <si>
    <t xml:space="preserve">ES-D15L20-4x6.35-SV</t>
  </si>
  <si>
    <t xml:space="preserve">ES-D15L20-4x8-SV</t>
  </si>
  <si>
    <t xml:space="preserve">ES-D15L20-5x5-SV</t>
  </si>
  <si>
    <t xml:space="preserve">ES-D15L20-5x6-SV</t>
  </si>
  <si>
    <t xml:space="preserve">ES-D15L20-5x6.35-SV</t>
  </si>
  <si>
    <t xml:space="preserve">ES-D15L20-5x7-SV</t>
  </si>
  <si>
    <t xml:space="preserve">ES-D15L20-5x8-GS</t>
  </si>
  <si>
    <t xml:space="preserve">ES-D15L20-5x8-MS</t>
  </si>
  <si>
    <t xml:space="preserve">ES-D15L20-6.35x6.35-SV</t>
  </si>
  <si>
    <t xml:space="preserve">ES-D15L20-6.35x7-SV</t>
  </si>
  <si>
    <t xml:space="preserve">ES-D15L20-6.35x8-SV</t>
  </si>
  <si>
    <t xml:space="preserve">ES-D15L20-6x6-SV</t>
  </si>
  <si>
    <t xml:space="preserve">ES-D15L20-6x6.35-SV</t>
  </si>
  <si>
    <t xml:space="preserve">ES-D15L20-6x7-SV</t>
  </si>
  <si>
    <t xml:space="preserve">ES-D15L20-6x8-SV</t>
  </si>
  <si>
    <t xml:space="preserve">ES-D15L20-7x7-SV</t>
  </si>
  <si>
    <t xml:space="preserve">ES-D15L20-7x8-GS</t>
  </si>
  <si>
    <t xml:space="preserve">ES-D15L20-8x8-SV</t>
  </si>
  <si>
    <t xml:space="preserve">ES-D15L21-3x4-SV</t>
  </si>
  <si>
    <t xml:space="preserve">D15×L21</t>
  </si>
  <si>
    <t xml:space="preserve">ES-D15L21-4x6-SV</t>
  </si>
  <si>
    <t xml:space="preserve">ES-D15L22-6x6-SV</t>
  </si>
  <si>
    <t xml:space="preserve">D15×L22</t>
  </si>
  <si>
    <t xml:space="preserve">ES-D15L24-3x4.76-SV</t>
  </si>
  <si>
    <t xml:space="preserve">D15×L24</t>
  </si>
  <si>
    <t xml:space="preserve">3x4.76</t>
  </si>
  <si>
    <t xml:space="preserve">ES-D15L24-3x5-SV</t>
  </si>
  <si>
    <t xml:space="preserve">ES-D16L23-2x6.35-SV</t>
  </si>
  <si>
    <t xml:space="preserve">ES-D16L23-2x8-SV</t>
  </si>
  <si>
    <t xml:space="preserve">ES-D16L23-3.175x5-SV</t>
  </si>
  <si>
    <t xml:space="preserve">ES-D16L23-3.175x6-SV</t>
  </si>
  <si>
    <t xml:space="preserve">ES-D16L23-3.175x8-SV</t>
  </si>
  <si>
    <t xml:space="preserve">ES-D16L23-3x6.35-GS</t>
  </si>
  <si>
    <t xml:space="preserve">ES-D16L23-3x8-SV</t>
  </si>
  <si>
    <t xml:space="preserve">ES-D16L23-4x5-SV</t>
  </si>
  <si>
    <t xml:space="preserve">ES-D16L23-4x6.35-SV</t>
  </si>
  <si>
    <t xml:space="preserve">ES-D16L23-5x5-SV</t>
  </si>
  <si>
    <t xml:space="preserve">ES-D16L23-5x6-SV</t>
  </si>
  <si>
    <t xml:space="preserve">ES-D16L23-5x8-SV</t>
  </si>
  <si>
    <t xml:space="preserve">ES-D16L23-6.35x8-SV</t>
  </si>
  <si>
    <t xml:space="preserve">ES-D16L23-6x6-SV</t>
  </si>
  <si>
    <t xml:space="preserve">ES-D16L23-6x6.35-GS</t>
  </si>
  <si>
    <t xml:space="preserve">ES-D16L23-6x8-SV</t>
  </si>
  <si>
    <t xml:space="preserve">ES-D16L23-8x8-SV</t>
  </si>
  <si>
    <t xml:space="preserve">ES-D18L25-3x3-SV</t>
  </si>
  <si>
    <t xml:space="preserve">ES-D18L25-3x4-SV</t>
  </si>
  <si>
    <t xml:space="preserve">ES-D18L25-3x5-SV</t>
  </si>
  <si>
    <t xml:space="preserve">ES-D18L25-3x6-SV</t>
  </si>
  <si>
    <t xml:space="preserve">ES-D18L25-3x6.35-SV</t>
  </si>
  <si>
    <t xml:space="preserve">ES-D18L25-4x4-SV</t>
  </si>
  <si>
    <t xml:space="preserve">ES-D18L25-4x5-SV</t>
  </si>
  <si>
    <t xml:space="preserve">ES-D18L25-4x6-BL</t>
  </si>
  <si>
    <t xml:space="preserve">ES-D18L25-4x6-SV</t>
  </si>
  <si>
    <t xml:space="preserve">ES-D18L25-4x6.35-SV</t>
  </si>
  <si>
    <t xml:space="preserve">ES-D18L25-4x8-SV</t>
  </si>
  <si>
    <t xml:space="preserve">ES-D18L25-5x6-SV</t>
  </si>
  <si>
    <t xml:space="preserve">ES-D18L25-5x6.35-SV</t>
  </si>
  <si>
    <t xml:space="preserve">ES-D18L25-6.35x10-SV</t>
  </si>
  <si>
    <t xml:space="preserve">ES-D18L25-6.35x6.35-SV</t>
  </si>
  <si>
    <t xml:space="preserve">ES-D18L25-6x10-SV</t>
  </si>
  <si>
    <t xml:space="preserve">ES-D18L25-6x6-SV</t>
  </si>
  <si>
    <t xml:space="preserve">ES-D18L25-6x6.35-SV</t>
  </si>
  <si>
    <t xml:space="preserve">ES-D18L25-6x8-SV</t>
  </si>
  <si>
    <t xml:space="preserve">ES-D18L25-8x10-BL</t>
  </si>
  <si>
    <t xml:space="preserve">ES-D18L25-8x10-SV</t>
  </si>
  <si>
    <t xml:space="preserve">ES-D19L23-5x8-SV</t>
  </si>
  <si>
    <t xml:space="preserve">D19×L23</t>
  </si>
  <si>
    <t xml:space="preserve">ES-D19L23-6x8-SV</t>
  </si>
  <si>
    <t xml:space="preserve">ES-D19L23-8x8-SV</t>
  </si>
  <si>
    <t xml:space="preserve">ES-D19L25-10x10-BL</t>
  </si>
  <si>
    <t xml:space="preserve">D19×L25</t>
  </si>
  <si>
    <t xml:space="preserve">ES-D19L25-10x10-GS</t>
  </si>
  <si>
    <t xml:space="preserve">ES-D19L25-10x12-BL</t>
  </si>
  <si>
    <t xml:space="preserve">ES-D19L25-3x3-BL</t>
  </si>
  <si>
    <t xml:space="preserve">ES-D19L25-3x4-SV</t>
  </si>
  <si>
    <t xml:space="preserve">ES-D19L25-3x5-BL</t>
  </si>
  <si>
    <t xml:space="preserve">ES-D19L25-3x6-BL</t>
  </si>
  <si>
    <t xml:space="preserve">ES-D19L25-4x4-BL</t>
  </si>
  <si>
    <t xml:space="preserve">ES-D19L25-4x4-SV</t>
  </si>
  <si>
    <t xml:space="preserve">ES-D19L25-4x5-BL</t>
  </si>
  <si>
    <t xml:space="preserve">ES-D19L25-4x5-GS</t>
  </si>
  <si>
    <t xml:space="preserve">ES-D19L25-4x6-BL</t>
  </si>
  <si>
    <t xml:space="preserve">ES-D19L25-4x6-SV</t>
  </si>
  <si>
    <t xml:space="preserve">ES-D19L25-4x8-GS</t>
  </si>
  <si>
    <t xml:space="preserve">ES-D19L25-5x10-BL</t>
  </si>
  <si>
    <t xml:space="preserve">ES-D19L25-5x10-SV</t>
  </si>
  <si>
    <t xml:space="preserve">ES-D19L25-5x12-BL</t>
  </si>
  <si>
    <t xml:space="preserve">ES-D19L25-5x6-BL</t>
  </si>
  <si>
    <t xml:space="preserve">ES-D19L25-5x6-GS</t>
  </si>
  <si>
    <t xml:space="preserve">ES-D19L25-5x6.35-BL</t>
  </si>
  <si>
    <t xml:space="preserve">ES-D19L25-5x6.35-GS</t>
  </si>
  <si>
    <t xml:space="preserve">ES-D19L25-5x8-GS</t>
  </si>
  <si>
    <t xml:space="preserve">ES-D19L25-5x9-BL</t>
  </si>
  <si>
    <t xml:space="preserve">ES-D19L25-6.35x10-GS</t>
  </si>
  <si>
    <t xml:space="preserve">ES-D19L25-6.35x6.35-BL</t>
  </si>
  <si>
    <t xml:space="preserve">ES-D19L25-6.35x6.35-GS</t>
  </si>
  <si>
    <t xml:space="preserve">ES-D19L25-6.35x8-BL</t>
  </si>
  <si>
    <t xml:space="preserve">ES-D19L25-6.35x8-GS</t>
  </si>
  <si>
    <t xml:space="preserve">ES-D19L25-6x10-BL</t>
  </si>
  <si>
    <t xml:space="preserve">ES-D19L25-6x10-SV</t>
  </si>
  <si>
    <t xml:space="preserve">ES-D19L25-6x6-BL</t>
  </si>
  <si>
    <t xml:space="preserve">ES-D19L25-6x6-GS</t>
  </si>
  <si>
    <t xml:space="preserve">ES-D19L25-6x6.35-BL</t>
  </si>
  <si>
    <t xml:space="preserve">ES-D19L25-6x6.35-SV</t>
  </si>
  <si>
    <t xml:space="preserve">ES-D19L25-6x8-BK</t>
  </si>
  <si>
    <t xml:space="preserve">ES-D19L25-6x8-BL</t>
  </si>
  <si>
    <t xml:space="preserve">ES-D19L25-6x8-SV</t>
  </si>
  <si>
    <t xml:space="preserve">ES-D19L25-7x10-BL</t>
  </si>
  <si>
    <t xml:space="preserve">ES-D19L25-7x7-GS</t>
  </si>
  <si>
    <t xml:space="preserve">ES-D19L25-8x10-BL</t>
  </si>
  <si>
    <t xml:space="preserve">ES-D19L25-8x10-SV</t>
  </si>
  <si>
    <t xml:space="preserve">ES-D19L25-8x8-BL</t>
  </si>
  <si>
    <t xml:space="preserve">ES-D19L25-8x8-SV</t>
  </si>
  <si>
    <t xml:space="preserve">ES-D19L28-6x6-SV-F</t>
  </si>
  <si>
    <t xml:space="preserve">Reversed</t>
  </si>
  <si>
    <t xml:space="preserve">D19×L28</t>
  </si>
  <si>
    <t xml:space="preserve">ES-D20L25-10x10-GD</t>
  </si>
  <si>
    <t xml:space="preserve">ES-D20L25-10x10-SV</t>
  </si>
  <si>
    <t xml:space="preserve">ES-D20L25-2x10-SV</t>
  </si>
  <si>
    <t xml:space="preserve">ES-D20L25-2x3-SV</t>
  </si>
  <si>
    <t xml:space="preserve">ES-D20L25-2x3.175-SV</t>
  </si>
  <si>
    <t xml:space="preserve">ES-D20L25-2x4-SV</t>
  </si>
  <si>
    <t xml:space="preserve">ES-D20L25-2x5-SV</t>
  </si>
  <si>
    <t xml:space="preserve">ES-D20L25-2x6-SV</t>
  </si>
  <si>
    <t xml:space="preserve">ES-D20L25-2x8-GD</t>
  </si>
  <si>
    <t xml:space="preserve">ES-D20L25-2x8-SV</t>
  </si>
  <si>
    <t xml:space="preserve">ES-D20L25-3.175x3.175-SV</t>
  </si>
  <si>
    <t xml:space="preserve">ES-D20L25-3.175x4-SV</t>
  </si>
  <si>
    <t xml:space="preserve">ES-D20L25-3.175x5-SV</t>
  </si>
  <si>
    <t xml:space="preserve">ES-D20L25-3.175x6-SV</t>
  </si>
  <si>
    <t xml:space="preserve">ES-D20L25-3.175x8-SV</t>
  </si>
  <si>
    <t xml:space="preserve">ES-D20L25-3x10-SV</t>
  </si>
  <si>
    <t xml:space="preserve">ES-D20L25-3x3-GD</t>
  </si>
  <si>
    <t xml:space="preserve">ES-D20L25-3x3-SV</t>
  </si>
  <si>
    <t xml:space="preserve">ES-D20L25-3x4-SV</t>
  </si>
  <si>
    <t xml:space="preserve">ES-D20L25-3x5-SV</t>
  </si>
  <si>
    <t xml:space="preserve">ES-D20L25-3x6-GD</t>
  </si>
  <si>
    <t xml:space="preserve">ES-D20L25-3x6-SV</t>
  </si>
  <si>
    <t xml:space="preserve">ES-D20L25-3x6.35-SV</t>
  </si>
  <si>
    <t xml:space="preserve">ES-D20L25-3x8-SV</t>
  </si>
  <si>
    <t xml:space="preserve">ES-D20L25-3x9.5-SV</t>
  </si>
  <si>
    <t xml:space="preserve">ES-D20L25-4x10-SV</t>
  </si>
  <si>
    <t xml:space="preserve">ES-D20L25-4x4-GD</t>
  </si>
  <si>
    <t xml:space="preserve">ES-D20L25-4x4-SV</t>
  </si>
  <si>
    <t xml:space="preserve">ES-D20L25-4x5-BL</t>
  </si>
  <si>
    <t xml:space="preserve">ES-D20L25-4x5-GD</t>
  </si>
  <si>
    <t xml:space="preserve">ES-D20L25-4x5-SV</t>
  </si>
  <si>
    <t xml:space="preserve">ES-D20L25-4x6-GD</t>
  </si>
  <si>
    <t xml:space="preserve">ES-D20L25-4x6-SV</t>
  </si>
  <si>
    <t xml:space="preserve">ES-D20L25-4x6.35-SV</t>
  </si>
  <si>
    <t xml:space="preserve">ES-D20L25-4x8-SV</t>
  </si>
  <si>
    <t xml:space="preserve">ES-D20L25-4x9-SV</t>
  </si>
  <si>
    <t xml:space="preserve">ES-D20L25-4x9.5-SV</t>
  </si>
  <si>
    <t xml:space="preserve">ES-D20L25-5x10-GD</t>
  </si>
  <si>
    <t xml:space="preserve">ES-D20L25-5x10-SV</t>
  </si>
  <si>
    <t xml:space="preserve">ES-D20L25-5x5-BK</t>
  </si>
  <si>
    <t xml:space="preserve">ES-D20L25-5x5-GD</t>
  </si>
  <si>
    <t xml:space="preserve">ES-D20L25-5x5-SV</t>
  </si>
  <si>
    <t xml:space="preserve">ES-D20L25-5x6-BL</t>
  </si>
  <si>
    <t xml:space="preserve">ES-D20L25-5x6-GD</t>
  </si>
  <si>
    <t xml:space="preserve">ES-D20L25-5x6-SV</t>
  </si>
  <si>
    <t xml:space="preserve">ES-D20L25-5x6.35-SV</t>
  </si>
  <si>
    <t xml:space="preserve">ES-D20L25-5x7-SV</t>
  </si>
  <si>
    <t xml:space="preserve">ES-D20L25-5x8-BK</t>
  </si>
  <si>
    <t xml:space="preserve">ES-D20L25-5x8-GD</t>
  </si>
  <si>
    <t xml:space="preserve">ES-D20L25-5x8-GS</t>
  </si>
  <si>
    <t xml:space="preserve">ES-D20L25-5x8-SV-Z</t>
  </si>
  <si>
    <t xml:space="preserve">Standard mount</t>
  </si>
  <si>
    <t xml:space="preserve">ES-D20L25-5x9-GD</t>
  </si>
  <si>
    <t xml:space="preserve">ES-D20L25-5x9.5-SV</t>
  </si>
  <si>
    <t xml:space="preserve">ES-D20L25-6.35x10-GD</t>
  </si>
  <si>
    <t xml:space="preserve">ES-D20L25-6.35x10-SV</t>
  </si>
  <si>
    <t xml:space="preserve">ES-D20L25-6.35x6.35-GD</t>
  </si>
  <si>
    <t xml:space="preserve">ES-D20L25-6.35x6.35-SV</t>
  </si>
  <si>
    <t xml:space="preserve">ES-D20L25-6.35x8-GD</t>
  </si>
  <si>
    <t xml:space="preserve">ES-D20L25-6.35x8-SV</t>
  </si>
  <si>
    <t xml:space="preserve">ES-D20L25-6.35x9.5-SV</t>
  </si>
  <si>
    <t xml:space="preserve">ES-D20L25-6x10-GD</t>
  </si>
  <si>
    <t xml:space="preserve">ES-D20L25-6x10-SV</t>
  </si>
  <si>
    <t xml:space="preserve">ES-D20L25-6x6-GD</t>
  </si>
  <si>
    <t xml:space="preserve">ES-D20L25-6x6-GS</t>
  </si>
  <si>
    <t xml:space="preserve">ES-D20L25-6x6-MS</t>
  </si>
  <si>
    <t xml:space="preserve">ES-D20L25-6x6.35-GD</t>
  </si>
  <si>
    <t xml:space="preserve">ES-D20L25-6x6.35-SV</t>
  </si>
  <si>
    <t xml:space="preserve">ES-D20L25-6x7-SV</t>
  </si>
  <si>
    <t xml:space="preserve">ES-D20L25-6x8-GD</t>
  </si>
  <si>
    <t xml:space="preserve">ES-D20L25-6x8-SV</t>
  </si>
  <si>
    <t xml:space="preserve">ES-D20L25-6x9-SV</t>
  </si>
  <si>
    <t xml:space="preserve">ES-D20L25-6x9.5-SV</t>
  </si>
  <si>
    <t xml:space="preserve">ES-D20L25-7x7-SV</t>
  </si>
  <si>
    <t xml:space="preserve">ES-D20L25-7x8-SV</t>
  </si>
  <si>
    <t xml:space="preserve">ES-D20L25-8x10-GD</t>
  </si>
  <si>
    <t xml:space="preserve">ES-D20L25-8x10-SV</t>
  </si>
  <si>
    <t xml:space="preserve">ES-D20L25-8x8-GD</t>
  </si>
  <si>
    <t xml:space="preserve">ES-D20L25-8x8-GS</t>
  </si>
  <si>
    <t xml:space="preserve">ES-D20L25-8x8-MS</t>
  </si>
  <si>
    <t xml:space="preserve">ES-D20L25-8x9-SV</t>
  </si>
  <si>
    <t xml:space="preserve">ES-D20L25-9x10-SV</t>
  </si>
  <si>
    <t xml:space="preserve">ES-D22L25-10x10-SV</t>
  </si>
  <si>
    <t xml:space="preserve">D22×L25</t>
  </si>
  <si>
    <t xml:space="preserve">ES-D23L24-6x6-SV-F</t>
  </si>
  <si>
    <t xml:space="preserve">D23×L24</t>
  </si>
  <si>
    <t xml:space="preserve">ES-D23L28-6x6-SV-ZF</t>
  </si>
  <si>
    <t xml:space="preserve">Normal/reversed</t>
  </si>
  <si>
    <t xml:space="preserve">D23×L28</t>
  </si>
  <si>
    <t xml:space="preserve">ES-D23L32-5x5-SV-Z</t>
  </si>
  <si>
    <t xml:space="preserve">D23×L32</t>
  </si>
  <si>
    <t xml:space="preserve">ES-D23L32-5x6-SV-Z</t>
  </si>
  <si>
    <t xml:space="preserve">ES-D23L32-5x6.35-SV-Z</t>
  </si>
  <si>
    <t xml:space="preserve">ES-D23L32-5x8-SV-Z</t>
  </si>
  <si>
    <t xml:space="preserve">ES-D23L32-6.35x6.35-SV-Z</t>
  </si>
  <si>
    <t xml:space="preserve">ES-D23L32-6.35x8-SV-Z</t>
  </si>
  <si>
    <t xml:space="preserve">ES-D23L32-6x6-SV-Z</t>
  </si>
  <si>
    <t xml:space="preserve">ES-D23L32-6x6.35-SV-Z</t>
  </si>
  <si>
    <t xml:space="preserve">ES-D23L32-6x8-SV-Z</t>
  </si>
  <si>
    <t xml:space="preserve">ES-D23L32-8x8-SV-Z</t>
  </si>
  <si>
    <t xml:space="preserve">ES-D25L30-10x10-SV</t>
  </si>
  <si>
    <t xml:space="preserve">ES-D25L30-10x11-SV</t>
  </si>
  <si>
    <t xml:space="preserve">ES-D25L30-10x12-BL</t>
  </si>
  <si>
    <t xml:space="preserve">ES-D25L30-10x12-GS</t>
  </si>
  <si>
    <t xml:space="preserve">ES-D25L30-12x12-BL</t>
  </si>
  <si>
    <t xml:space="preserve">ES-D25L30-12x12-SV</t>
  </si>
  <si>
    <t xml:space="preserve">ES-D25L30-19x20-GS</t>
  </si>
  <si>
    <t xml:space="preserve">ES-D25L30-4x12-SV</t>
  </si>
  <si>
    <t xml:space="preserve">ES-D25L30-4x4-SV</t>
  </si>
  <si>
    <t xml:space="preserve">ES-D25L30-4x5-SV</t>
  </si>
  <si>
    <t xml:space="preserve">ES-D25L30-4x6-SV-Z</t>
  </si>
  <si>
    <t xml:space="preserve">ES-D25L30-5x10-SV</t>
  </si>
  <si>
    <t xml:space="preserve">ES-D25L30-5x12-BL</t>
  </si>
  <si>
    <t xml:space="preserve">ES-D25L30-5x12-SV</t>
  </si>
  <si>
    <t xml:space="preserve">ES-D25L30-5x5-SV</t>
  </si>
  <si>
    <t xml:space="preserve">ES-D25L30-5x6-SV</t>
  </si>
  <si>
    <t xml:space="preserve">ES-D25L30-5x6-SV-Z</t>
  </si>
  <si>
    <t xml:space="preserve">ES-D25L30-5x8-MS</t>
  </si>
  <si>
    <t xml:space="preserve">ES-D25L30-6.35x10-GS</t>
  </si>
  <si>
    <t xml:space="preserve">ES-D25L30-6.35x10-MS</t>
  </si>
  <si>
    <t xml:space="preserve">ES-D25L30-6.35x12-SV</t>
  </si>
  <si>
    <t xml:space="preserve">ES-D25L30-6.35x6.35-SV</t>
  </si>
  <si>
    <t xml:space="preserve">ES-D25L30-6.35x8-SV</t>
  </si>
  <si>
    <t xml:space="preserve">ES-D25L30-6x10-SV</t>
  </si>
  <si>
    <t xml:space="preserve">ES-D25L30-6x11-SV</t>
  </si>
  <si>
    <t xml:space="preserve">ES-D25L30-6x12-SV</t>
  </si>
  <si>
    <t xml:space="preserve">ES-D25L30-6x6-SV</t>
  </si>
  <si>
    <t xml:space="preserve">ES-D25L30-6x6-SV-Z</t>
  </si>
  <si>
    <t xml:space="preserve">ES-D25L30-6x6.35-SV</t>
  </si>
  <si>
    <t xml:space="preserve">ES-D25L30-6x6.35-SV-Z</t>
  </si>
  <si>
    <t xml:space="preserve">ES-D25L30-6x8-GS</t>
  </si>
  <si>
    <t xml:space="preserve">ES-D25L30-6x8-SV-Z</t>
  </si>
  <si>
    <t xml:space="preserve">ES-D25L30-8x10-SV</t>
  </si>
  <si>
    <t xml:space="preserve">ES-D25L30-8x12-SV</t>
  </si>
  <si>
    <t xml:space="preserve">ES-D25L30-8x8-SV</t>
  </si>
  <si>
    <t xml:space="preserve">ES-D25L30-8x8-SV-Z</t>
  </si>
  <si>
    <t xml:space="preserve">ES-D25L30-9.52x12-SV</t>
  </si>
  <si>
    <t xml:space="preserve">ES-D25L32-6x6-SV-ZF</t>
  </si>
  <si>
    <t xml:space="preserve">D25×L32</t>
  </si>
  <si>
    <t xml:space="preserve">ES-D25L35-10x10-GS</t>
  </si>
  <si>
    <t xml:space="preserve">ES-D25L35-5x10-GS</t>
  </si>
  <si>
    <t xml:space="preserve">ES-D25L35-5x8-GS</t>
  </si>
  <si>
    <t xml:space="preserve">ES-D25L35-8x10-GS</t>
  </si>
  <si>
    <t xml:space="preserve">ES-D27L40-10x10-SV-Z</t>
  </si>
  <si>
    <t xml:space="preserve">D27×L40</t>
  </si>
  <si>
    <t xml:space="preserve">ES-D27L40-5x10-SV-Z</t>
  </si>
  <si>
    <t xml:space="preserve">ES-D27L40-6.35x10-SV-Z</t>
  </si>
  <si>
    <t xml:space="preserve">ES-D27L40-6x10-SV-Z</t>
  </si>
  <si>
    <t xml:space="preserve">ES-D27L40-8x10-SV-Z</t>
  </si>
  <si>
    <t xml:space="preserve">ES-D30L36-10x10-SV-Z</t>
  </si>
  <si>
    <t xml:space="preserve">D30×L36</t>
  </si>
  <si>
    <t xml:space="preserve">ES-D30L36-8x10-SV-Z</t>
  </si>
  <si>
    <t xml:space="preserve">ES-D30L36-8x8-SV-Z</t>
  </si>
  <si>
    <t xml:space="preserve">ES-D30L40-10x10-SV</t>
  </si>
  <si>
    <t xml:space="preserve">ES-D30L40-10x14-SV</t>
  </si>
  <si>
    <t xml:space="preserve">ES-D30L40-12x14-SV</t>
  </si>
  <si>
    <t xml:space="preserve">ES-D30L40-16x16-SV</t>
  </si>
  <si>
    <t xml:space="preserve">ES-D30L40-5x10-SV</t>
  </si>
  <si>
    <t xml:space="preserve">ES-D30L40-5x5-SV</t>
  </si>
  <si>
    <t xml:space="preserve">ES-D30L40-6.35x12.7-SV</t>
  </si>
  <si>
    <t xml:space="preserve">ES-D30L40-6.35x15-SV</t>
  </si>
  <si>
    <t xml:space="preserve">ES-D30L40-6x6.35-SV</t>
  </si>
  <si>
    <t xml:space="preserve">ES-D30L40-8x10-SV</t>
  </si>
  <si>
    <t xml:space="preserve">ES-D30L40-8x12-SV</t>
  </si>
  <si>
    <t xml:space="preserve">ES-D30L40-8x14-SV</t>
  </si>
  <si>
    <t xml:space="preserve">ES-D30L40-8x8-SV</t>
  </si>
  <si>
    <t xml:space="preserve">ES-D38L30-8x8-SV-F</t>
  </si>
  <si>
    <t xml:space="preserve">D38×L30</t>
  </si>
  <si>
    <t xml:space="preserve">ES-D38L39-10x12-SV-Z</t>
  </si>
  <si>
    <t xml:space="preserve">D38×L39</t>
  </si>
  <si>
    <t xml:space="preserve">ES-D38L39-12x12-SV-Z</t>
  </si>
  <si>
    <t xml:space="preserve">ES-D38L39-8x12-SV-Z</t>
  </si>
  <si>
    <t xml:space="preserve">ES-D40L60-10x12-SV-Z</t>
  </si>
  <si>
    <t xml:space="preserve">ES-D40L60-10x14-SV-Z</t>
  </si>
  <si>
    <t xml:space="preserve">ES-D40L60-12x12-SV-Z</t>
  </si>
  <si>
    <t xml:space="preserve">ES-D40L60-12x14-SV-Z</t>
  </si>
  <si>
    <t xml:space="preserve">ES-D40L60-5x12-SV-Z</t>
  </si>
  <si>
    <t xml:space="preserve">ES-D40L60-6.35x12-SV-Z</t>
  </si>
  <si>
    <t xml:space="preserve">ES-D40L60-6x12-SV-Z</t>
  </si>
  <si>
    <t xml:space="preserve">ES-D40L60-8x12-SV-Z</t>
  </si>
  <si>
    <t xml:space="preserve">ES-D40L60-8x14-SV-Z</t>
  </si>
  <si>
    <t xml:space="preserve">ES-D48L50-10x12-SV-F</t>
  </si>
  <si>
    <t xml:space="preserve">D48×L50</t>
  </si>
  <si>
    <t xml:space="preserve">ES-D48L52-10x16-SV-Z</t>
  </si>
  <si>
    <t xml:space="preserve">D48×L52</t>
  </si>
  <si>
    <t xml:space="preserve">ES-D48L52-12x16-SV-Z</t>
  </si>
  <si>
    <t xml:space="preserve">ES-D48L52-14x14-SV-Z</t>
  </si>
  <si>
    <t xml:space="preserve">ES-D48L52-14x16-SV-Z</t>
  </si>
  <si>
    <t xml:space="preserve">ES-D48L52-16x16-SV-Z</t>
  </si>
  <si>
    <t xml:space="preserve">ES-D48L52-8x16-SV-Z</t>
  </si>
  <si>
    <t xml:space="preserve">ES-D48L56-10x16-SV-Z</t>
  </si>
  <si>
    <t xml:space="preserve">D48×L56</t>
  </si>
  <si>
    <t xml:space="preserve">ES-D48L56-12x16-SV-Z</t>
  </si>
  <si>
    <t xml:space="preserve">ES-D48L56-8x16-SV-Z</t>
  </si>
  <si>
    <t xml:space="preserve">Steel Open-Type Flange Shaft Support STHWRB  [Flange]</t>
  </si>
  <si>
    <t xml:space="preserve">CP-005</t>
  </si>
  <si>
    <t xml:space="preserve">Plated Iron Flange, Shaft Support  [Flange]</t>
  </si>
  <si>
    <t xml:space="preserve">CP-001-10-SI</t>
  </si>
  <si>
    <t xml:space="preserve">CP-001-10-SL</t>
  </si>
  <si>
    <t xml:space="preserve">CP-001-11-SI</t>
  </si>
  <si>
    <t xml:space="preserve">CP-001-11-SL</t>
  </si>
  <si>
    <t xml:space="preserve">CP-001-12-SI</t>
  </si>
  <si>
    <t xml:space="preserve">CP-001-12-SL</t>
  </si>
  <si>
    <t xml:space="preserve">CP-001-14-AK-SI</t>
  </si>
  <si>
    <t xml:space="preserve">A type screws fitted</t>
  </si>
  <si>
    <t xml:space="preserve">CP-001-14-AK-SL</t>
  </si>
  <si>
    <t xml:space="preserve">A type screws loose</t>
  </si>
  <si>
    <t xml:space="preserve">CP-001-2-SI</t>
  </si>
  <si>
    <t xml:space="preserve">CP-001-2-SL</t>
  </si>
  <si>
    <t xml:space="preserve">CP-001-3-SI</t>
  </si>
  <si>
    <t xml:space="preserve">CP-001-3-SL</t>
  </si>
  <si>
    <t xml:space="preserve">CP-001-3.17-SI</t>
  </si>
  <si>
    <t xml:space="preserve">3.17</t>
  </si>
  <si>
    <t xml:space="preserve">CP-001-3.17-SL</t>
  </si>
  <si>
    <t xml:space="preserve">CP-001-4-SI</t>
  </si>
  <si>
    <t xml:space="preserve">CP-001-4-SL</t>
  </si>
  <si>
    <t xml:space="preserve">CP-001-5-SI</t>
  </si>
  <si>
    <t xml:space="preserve">CP-001-5-SL</t>
  </si>
  <si>
    <t xml:space="preserve">CP-001-6-AK-SI</t>
  </si>
  <si>
    <t xml:space="preserve">CP-001-6-AK-SL</t>
  </si>
  <si>
    <t xml:space="preserve">CP-001-6.35-SI</t>
  </si>
  <si>
    <t xml:space="preserve">CP-001-6.35-SL</t>
  </si>
  <si>
    <t xml:space="preserve">CP-001-7-SI</t>
  </si>
  <si>
    <t xml:space="preserve">CP-001-7-SL</t>
  </si>
  <si>
    <t xml:space="preserve">CP-001-8-AK-SI</t>
  </si>
  <si>
    <t xml:space="preserve">CP-001-8-AK-SL</t>
  </si>
  <si>
    <t xml:space="preserve">CP-001-8-BK-SI</t>
  </si>
  <si>
    <t xml:space="preserve">B type screws fitted</t>
  </si>
  <si>
    <t xml:space="preserve">CP-001-8-BK-SL</t>
  </si>
  <si>
    <t xml:space="preserve">B type screws loose</t>
  </si>
  <si>
    <t xml:space="preserve">CP-001-M3</t>
  </si>
  <si>
    <t xml:space="preserve">M3</t>
  </si>
  <si>
    <t xml:space="preserve">CP-001-M4</t>
  </si>
  <si>
    <t xml:space="preserve">M4</t>
  </si>
  <si>
    <t xml:space="preserve">CP-001-M5</t>
  </si>
  <si>
    <t xml:space="preserve">M5</t>
  </si>
  <si>
    <t xml:space="preserve">CP-001-M6</t>
  </si>
  <si>
    <t xml:space="preserve">M6</t>
  </si>
  <si>
    <t xml:space="preserve">CP-001-M8</t>
  </si>
  <si>
    <t xml:space="preserve">M8</t>
  </si>
  <si>
    <t xml:space="preserve">Aluminum Flange Coupling / Shaft Flange  [Flange]</t>
  </si>
  <si>
    <t xml:space="preserve">3mm no screws</t>
  </si>
  <si>
    <t xml:space="preserve">CP-006-BK-3-BYLS</t>
  </si>
  <si>
    <t xml:space="preserve">CP-006-BK-4SI</t>
  </si>
  <si>
    <t xml:space="preserve">4mm screws fitted </t>
  </si>
  <si>
    <t xml:space="preserve">CP-006-BK-4SL</t>
  </si>
  <si>
    <t xml:space="preserve">4mm screws loose </t>
  </si>
  <si>
    <t xml:space="preserve">CP-006-BK-5-SI</t>
  </si>
  <si>
    <t xml:space="preserve">5mm screws fitted</t>
  </si>
  <si>
    <t xml:space="preserve">CP-006-BK-5-SL</t>
  </si>
  <si>
    <t xml:space="preserve">5mm screws loose</t>
  </si>
  <si>
    <t xml:space="preserve">CP-006-BK-6-SI</t>
  </si>
  <si>
    <t xml:space="preserve">6mm screws fitted</t>
  </si>
  <si>
    <t xml:space="preserve">CP-006-BK-6-SL</t>
  </si>
  <si>
    <t xml:space="preserve">6mm screws loose</t>
  </si>
  <si>
    <t xml:space="preserve">CP-006-BK-6.35</t>
  </si>
  <si>
    <t xml:space="preserve">6.35mm</t>
  </si>
  <si>
    <t xml:space="preserve">CP-006-BK-8</t>
  </si>
  <si>
    <t xml:space="preserve">8mm</t>
  </si>
  <si>
    <t xml:space="preserve">CP-006-BL-Q-3-BYLS</t>
  </si>
  <si>
    <t xml:space="preserve">Shallow 3mm no screws</t>
  </si>
  <si>
    <t xml:space="preserve">CP-006-BL-Q-4</t>
  </si>
  <si>
    <t xml:space="preserve">Shallow 4mm</t>
  </si>
  <si>
    <t xml:space="preserve">CP-006-BL-Q-5</t>
  </si>
  <si>
    <t xml:space="preserve">Shallow 5mm</t>
  </si>
  <si>
    <t xml:space="preserve">CP-006-BL-Q-6</t>
  </si>
  <si>
    <t xml:space="preserve">Shallow 6mm</t>
  </si>
  <si>
    <t xml:space="preserve">CP-006-BL-Q-6.35</t>
  </si>
  <si>
    <t xml:space="preserve">Shallow 6.35mm</t>
  </si>
  <si>
    <t xml:space="preserve">CP-006-BL-Q-8</t>
  </si>
  <si>
    <t xml:space="preserve">Shallow 8mm</t>
  </si>
  <si>
    <t xml:space="preserve">CP-006-BL-S-3-BYLS</t>
  </si>
  <si>
    <t xml:space="preserve">Deep 3mm no screws</t>
  </si>
  <si>
    <t xml:space="preserve">CP-006-BL-S-4-SI</t>
  </si>
  <si>
    <t xml:space="preserve">Deep 4mm screws fitted</t>
  </si>
  <si>
    <t xml:space="preserve">CP-006-BL-S-4-SL</t>
  </si>
  <si>
    <t xml:space="preserve">Deep 4mm screws loose</t>
  </si>
  <si>
    <t xml:space="preserve">CP-006-BL-S-5</t>
  </si>
  <si>
    <t xml:space="preserve">Deep 5mm</t>
  </si>
  <si>
    <t xml:space="preserve">CP-006-BL-S-6-BYLS</t>
  </si>
  <si>
    <t xml:space="preserve">Deep 6mm no screws</t>
  </si>
  <si>
    <t xml:space="preserve">CP-006-BL-S-6-SI</t>
  </si>
  <si>
    <t xml:space="preserve">Deep 6mm screws fitted</t>
  </si>
  <si>
    <t xml:space="preserve">CP-006-BL-S-6-SL</t>
  </si>
  <si>
    <t xml:space="preserve">Deep 6mm screws loose</t>
  </si>
  <si>
    <t xml:space="preserve">CP-006-BL-S-6.35</t>
  </si>
  <si>
    <t xml:space="preserve">Deep 6.35mm</t>
  </si>
  <si>
    <t xml:space="preserve">CP-006-BL-S-8</t>
  </si>
  <si>
    <t xml:space="preserve">Deep 8mm</t>
  </si>
  <si>
    <t xml:space="preserve">CP-006-JS-3-BYLS</t>
  </si>
  <si>
    <t xml:space="preserve">Gold 3mm no screws</t>
  </si>
  <si>
    <t xml:space="preserve">CP-006-JS-4-SI</t>
  </si>
  <si>
    <t xml:space="preserve">Gold 4mm screws fitted</t>
  </si>
  <si>
    <t xml:space="preserve">CP-006-JS-4-SL</t>
  </si>
  <si>
    <t xml:space="preserve">Gold 4mm screws loose</t>
  </si>
  <si>
    <t xml:space="preserve">CP-006-JS-5</t>
  </si>
  <si>
    <t xml:space="preserve">Gold 5mm</t>
  </si>
  <si>
    <t xml:space="preserve">CP-006-JS-6-SL</t>
  </si>
  <si>
    <t xml:space="preserve">Gold 6mm screws loose</t>
  </si>
  <si>
    <t xml:space="preserve">CP-006-JS-6.35</t>
  </si>
  <si>
    <t xml:space="preserve">Gold 6.35mm</t>
  </si>
  <si>
    <t xml:space="preserve">CP-006-JS-8</t>
  </si>
  <si>
    <t xml:space="preserve">Gold 8mm</t>
  </si>
  <si>
    <t xml:space="preserve">CP-006-RD-3-BYLS</t>
  </si>
  <si>
    <t xml:space="preserve">CP-006-RD-4</t>
  </si>
  <si>
    <t xml:space="preserve">4mm</t>
  </si>
  <si>
    <t xml:space="preserve">CP-006-RD-5</t>
  </si>
  <si>
    <t xml:space="preserve">5mm</t>
  </si>
  <si>
    <t xml:space="preserve">CP-006-RD-6-SL</t>
  </si>
  <si>
    <t xml:space="preserve">CP-006-RD-6.35</t>
  </si>
  <si>
    <t xml:space="preserve">CP-006-RD-8</t>
  </si>
  <si>
    <t xml:space="preserve">CP-006-SV-10</t>
  </si>
  <si>
    <t xml:space="preserve">10mm</t>
  </si>
  <si>
    <t xml:space="preserve">CP-006-SV-12</t>
  </si>
  <si>
    <t xml:space="preserve">12mm</t>
  </si>
  <si>
    <t xml:space="preserve">CP-006-SV-14</t>
  </si>
  <si>
    <t xml:space="preserve">14mm</t>
  </si>
  <si>
    <t xml:space="preserve">CP-006-SV-16</t>
  </si>
  <si>
    <t xml:space="preserve">16mm</t>
  </si>
  <si>
    <t xml:space="preserve">CP-006-SV-2-SI</t>
  </si>
  <si>
    <t xml:space="preserve">2mm screws fitted</t>
  </si>
  <si>
    <t xml:space="preserve">CP-006-SV-2-SL</t>
  </si>
  <si>
    <t xml:space="preserve">2mm screws loose</t>
  </si>
  <si>
    <t xml:space="preserve">CP-006-SV-3-BYLS</t>
  </si>
  <si>
    <t xml:space="preserve">CP-006-SV-3-SI</t>
  </si>
  <si>
    <t xml:space="preserve">3mm screws fitted</t>
  </si>
  <si>
    <t xml:space="preserve">CP-006-SV-3-SL</t>
  </si>
  <si>
    <t xml:space="preserve">3mm screws loose</t>
  </si>
  <si>
    <t xml:space="preserve">CP-006-SV-4-SI</t>
  </si>
  <si>
    <t xml:space="preserve">4mm screws fitted</t>
  </si>
  <si>
    <t xml:space="preserve">CP-006-SV-4-SL</t>
  </si>
  <si>
    <t xml:space="preserve">4mm screws loose</t>
  </si>
  <si>
    <t xml:space="preserve">CP-006-SV-5-BYLS</t>
  </si>
  <si>
    <t xml:space="preserve">5mm no screws</t>
  </si>
  <si>
    <t xml:space="preserve">CP-006-SV-5-SI</t>
  </si>
  <si>
    <t xml:space="preserve">CP-006-SV-5-SL</t>
  </si>
  <si>
    <t xml:space="preserve">CP-006-SV-6-BYLS</t>
  </si>
  <si>
    <t xml:space="preserve">6mm no screws</t>
  </si>
  <si>
    <t xml:space="preserve">CP-006-SV-6-SI</t>
  </si>
  <si>
    <t xml:space="preserve">CP-006-SV-6-SL</t>
  </si>
  <si>
    <t xml:space="preserve">CP-006-SV-6.35</t>
  </si>
  <si>
    <t xml:space="preserve">CP-006-SV-7-BYLS</t>
  </si>
  <si>
    <t xml:space="preserve">7mm no screws</t>
  </si>
  <si>
    <t xml:space="preserve">CP-006-SV-7-SI</t>
  </si>
  <si>
    <t xml:space="preserve">7mm screws fitted</t>
  </si>
  <si>
    <t xml:space="preserve">CP-006-SV-7-SL</t>
  </si>
  <si>
    <t xml:space="preserve">7mm screws loose</t>
  </si>
  <si>
    <t xml:space="preserve">CP-006-SV-8-BYLS</t>
  </si>
  <si>
    <t xml:space="preserve">8mm no screws</t>
  </si>
  <si>
    <t xml:space="preserve">CP-006-SV-8-SI</t>
  </si>
  <si>
    <t xml:space="preserve">8mm screws fitted</t>
  </si>
  <si>
    <t xml:space="preserve">CP-006-SV-8-SL</t>
  </si>
  <si>
    <t xml:space="preserve">8mm screws loose</t>
  </si>
  <si>
    <t xml:space="preserve">CP-006-SV-AK-3.17-SI</t>
  </si>
  <si>
    <t xml:space="preserve">A type 3.17mm screws fitted</t>
  </si>
  <si>
    <t xml:space="preserve">CP-006-SV-AK-3.17-SL</t>
  </si>
  <si>
    <t xml:space="preserve">A type 3.17mm screws loose</t>
  </si>
  <si>
    <t xml:space="preserve">CP-006-SV-BK-3.17-SI</t>
  </si>
  <si>
    <t xml:space="preserve">B type 3.17mm screws fitted</t>
  </si>
  <si>
    <t xml:space="preserve">CP-006-SV-BK-3.17-SL</t>
  </si>
  <si>
    <t xml:space="preserve">B type 3.17mm screws loose</t>
  </si>
  <si>
    <t xml:space="preserve">CP-006-ZS-3-BYLS</t>
  </si>
  <si>
    <t xml:space="preserve">Purple 3mm no screws</t>
  </si>
  <si>
    <t xml:space="preserve">CP-006-ZS-4</t>
  </si>
  <si>
    <t xml:space="preserve">Purple 4mm</t>
  </si>
  <si>
    <t xml:space="preserve">CP-006-ZS-5</t>
  </si>
  <si>
    <t xml:space="preserve">Purple 5mm</t>
  </si>
  <si>
    <t xml:space="preserve">CP-006-ZS-6</t>
  </si>
  <si>
    <t xml:space="preserve">Purple 6mm</t>
  </si>
  <si>
    <t xml:space="preserve">CP-006-ZS-6.35</t>
  </si>
  <si>
    <t xml:space="preserve">Purple 6.35mm</t>
  </si>
  <si>
    <t xml:space="preserve">CP-006-ZS-8</t>
  </si>
  <si>
    <t xml:space="preserve">Purple 8mm</t>
  </si>
  <si>
    <t xml:space="preserve">Diaphragm Coupling (all sizes)  [Diaphragm]</t>
  </si>
  <si>
    <t xml:space="preserve">DP-D20L20-5x6-SV</t>
  </si>
  <si>
    <t xml:space="preserve">DP-D20L20-5x8-SV</t>
  </si>
  <si>
    <t xml:space="preserve">DP-D20L28-10x10-SV</t>
  </si>
  <si>
    <t xml:space="preserve">D20×L28</t>
  </si>
  <si>
    <t xml:space="preserve">DP-D20L28-5x5-SV</t>
  </si>
  <si>
    <t xml:space="preserve">DP-D20L28-5x8-SV</t>
  </si>
  <si>
    <t xml:space="preserve">DP-D20L28-6.35x8-SV</t>
  </si>
  <si>
    <t xml:space="preserve">DP-D20L28-8x8-SV</t>
  </si>
  <si>
    <t xml:space="preserve">DP-D26L26-8x10-SV</t>
  </si>
  <si>
    <t xml:space="preserve">D26×L26</t>
  </si>
  <si>
    <t xml:space="preserve">DP-D26L26-8x8-SV</t>
  </si>
  <si>
    <t xml:space="preserve">DP-D26L35-10x10-SV</t>
  </si>
  <si>
    <t xml:space="preserve">D26×L35</t>
  </si>
  <si>
    <t xml:space="preserve">DP-D26L35-5x5-SV</t>
  </si>
  <si>
    <t xml:space="preserve">DP-D26L35-5x6-SV</t>
  </si>
  <si>
    <t xml:space="preserve">DP-D26L35-5x8-SV</t>
  </si>
  <si>
    <t xml:space="preserve">DP-D26L35-6.35x10-SV</t>
  </si>
  <si>
    <t xml:space="preserve">DP-D26L35-6.35x12-SV</t>
  </si>
  <si>
    <t xml:space="preserve">DP-D26L35-6.35x6.35-SV</t>
  </si>
  <si>
    <t xml:space="preserve">DP-D26L35-6.35x8-SV</t>
  </si>
  <si>
    <t xml:space="preserve">DP-D26L35-6.35x9.52-SV</t>
  </si>
  <si>
    <t xml:space="preserve">DP-D26L35-6x10-SV</t>
  </si>
  <si>
    <t xml:space="preserve">DP-D26L35-6x6-SV</t>
  </si>
  <si>
    <t xml:space="preserve">DP-D26L35-6x8-SV</t>
  </si>
  <si>
    <t xml:space="preserve">DP-D26L35-8x10-SV</t>
  </si>
  <si>
    <t xml:space="preserve">DP-D26L35-8x14-SV</t>
  </si>
  <si>
    <t xml:space="preserve">DP-D26L35-8x8-SV</t>
  </si>
  <si>
    <t xml:space="preserve">DP-D26L35-9.52x10-SV</t>
  </si>
  <si>
    <t xml:space="preserve">DP-D26L35-9.52x9.52-SV</t>
  </si>
  <si>
    <t xml:space="preserve">DP-D34L32-10x14-SV</t>
  </si>
  <si>
    <t xml:space="preserve">D34×L32</t>
  </si>
  <si>
    <t xml:space="preserve">DP-D34L32-8x10-SV</t>
  </si>
  <si>
    <t xml:space="preserve">DP-D34L32-8x14-SV</t>
  </si>
  <si>
    <t xml:space="preserve">DP-D44L35-6x19-SV</t>
  </si>
  <si>
    <t xml:space="preserve">D44×L35</t>
  </si>
  <si>
    <t xml:space="preserve">6x19</t>
  </si>
  <si>
    <t xml:space="preserve">DP-D44L35-6x20-SV</t>
  </si>
  <si>
    <t xml:space="preserve">6x20</t>
  </si>
  <si>
    <t xml:space="preserve">DP-D50L63-18x18-SV</t>
  </si>
  <si>
    <t xml:space="preserve">D50×L63</t>
  </si>
  <si>
    <t xml:space="preserve">Brass Hex Coupling OD 12 L 18  [Brass]</t>
  </si>
  <si>
    <t xml:space="preserve">Brass L 18</t>
  </si>
  <si>
    <t xml:space="preserve">CP-003-2-BR-CD18</t>
  </si>
  <si>
    <t xml:space="preserve">CP-003-2-NI-CD18</t>
  </si>
  <si>
    <t xml:space="preserve">Plated L 18</t>
  </si>
  <si>
    <t xml:space="preserve">CP-003-3-BR-CD18</t>
  </si>
  <si>
    <t xml:space="preserve">CP-003-3-BR-CD30</t>
  </si>
  <si>
    <t xml:space="preserve">Brass L 30</t>
  </si>
  <si>
    <t xml:space="preserve">CP-003-3-NI-CD18</t>
  </si>
  <si>
    <t xml:space="preserve">CP-003-3.17-BR-CD18</t>
  </si>
  <si>
    <t xml:space="preserve">CP-003-3.17-NI-CD18</t>
  </si>
  <si>
    <t xml:space="preserve">CP-003-4-BR-CD18</t>
  </si>
  <si>
    <t xml:space="preserve">CP-003-4-BR-CD30</t>
  </si>
  <si>
    <t xml:space="preserve">CP-003-4-NI-CD18</t>
  </si>
  <si>
    <t xml:space="preserve">CP-003-5-BR-CD18-SI</t>
  </si>
  <si>
    <t xml:space="preserve">Brass L 18 screws fitted</t>
  </si>
  <si>
    <t xml:space="preserve">CP-003-5-BR-CD18-SL</t>
  </si>
  <si>
    <t xml:space="preserve">Brass L 18 screws loose</t>
  </si>
  <si>
    <t xml:space="preserve">CP-003-5-BR-CD30</t>
  </si>
  <si>
    <t xml:space="preserve">CP-003-5-NI-CD18</t>
  </si>
  <si>
    <t xml:space="preserve">CP-003-6-BR-CD18</t>
  </si>
  <si>
    <t xml:space="preserve">CP-003-6-BR-CD30</t>
  </si>
  <si>
    <t xml:space="preserve">CP-003-6-NI-CD18</t>
  </si>
  <si>
    <t xml:space="preserve">CP-003-7-BR-CD18</t>
  </si>
  <si>
    <t xml:space="preserve">CP-003-7-BR-CD30</t>
  </si>
  <si>
    <t xml:space="preserve">CP-003-7-NI-CD18</t>
  </si>
  <si>
    <t xml:space="preserve">CP-003-8-BR-CD30</t>
  </si>
  <si>
    <t xml:space="preserve">CP-003-8-NI-CD18</t>
  </si>
  <si>
    <t xml:space="preserve">CP-003-BR-CD18-NJ-8</t>
  </si>
  <si>
    <t xml:space="preserve">Brass L 18 ID 8MM</t>
  </si>
  <si>
    <t xml:space="preserve">Brass Coupling (all sizes)  [Brass]</t>
  </si>
  <si>
    <t xml:space="preserve">BRC-D14L22-3.175x3.175-BR</t>
  </si>
  <si>
    <t xml:space="preserve">BRC-D14L22-4x4-BR</t>
  </si>
  <si>
    <t xml:space="preserve">BRC-D14L22-4x5-BR</t>
  </si>
  <si>
    <t xml:space="preserve">BRC-D14L22-4x6-BR</t>
  </si>
  <si>
    <t xml:space="preserve">BRC-D14L22-5x5-BR</t>
  </si>
  <si>
    <t xml:space="preserve">BRC-D14L22-5x6-BR</t>
  </si>
  <si>
    <t xml:space="preserve">BRC-D14L22-5x8-BR</t>
  </si>
  <si>
    <t xml:space="preserve">BRC-D14L22-6.35x8-BR</t>
  </si>
  <si>
    <t xml:space="preserve">BRC-D14L22-6x6-BR</t>
  </si>
  <si>
    <t xml:space="preserve">BRC-D14L22-6x8-BR</t>
  </si>
  <si>
    <t xml:space="preserve">BRC-D14L22-7x7-BR</t>
  </si>
  <si>
    <t xml:space="preserve">BRC-D14L22-7x8-BR</t>
  </si>
  <si>
    <t xml:space="preserve">BRC-D14L22-8x8-BR</t>
  </si>
  <si>
    <t xml:space="preserve">BRC-D16L22-10x10-BR-H90</t>
  </si>
  <si>
    <t xml:space="preserve">BRC-D16L22-5x10-BR-H90</t>
  </si>
  <si>
    <t xml:space="preserve">BRC-D16L22-5x5-BR-H180</t>
  </si>
  <si>
    <t xml:space="preserve">BRC-D16L22-5x5-BR-H90</t>
  </si>
  <si>
    <t xml:space="preserve">BRC-D16L22-5x7-BR-H180</t>
  </si>
  <si>
    <t xml:space="preserve">BRC-D16L22-5x8-BR-H180</t>
  </si>
  <si>
    <t xml:space="preserve">BRC-D16L22-6.35x8-BR-H90</t>
  </si>
  <si>
    <t xml:space="preserve">BRC-D16L22-6x10-BR-H90</t>
  </si>
  <si>
    <t xml:space="preserve">BRC-D16L22-6x6-BR-H90</t>
  </si>
  <si>
    <t xml:space="preserve">BRC-D16L22-6x8-BR-H180</t>
  </si>
  <si>
    <t xml:space="preserve">BRC-D16L22-6x8-BR-H90</t>
  </si>
  <si>
    <t xml:space="preserve">BRC-D16L22-7x7-BR-H90</t>
  </si>
  <si>
    <t xml:space="preserve">BRC-D16L22-7x8-BR-H90</t>
  </si>
  <si>
    <t xml:space="preserve">BRC-D16L22-8x10-BR-H180</t>
  </si>
  <si>
    <t xml:space="preserve">BRC-D16L22-8x10-BR-H90</t>
  </si>
  <si>
    <t xml:space="preserve">BRC-D20L22-10x12-BR</t>
  </si>
  <si>
    <t xml:space="preserve">BRC-D20L22-12x12-BR</t>
  </si>
  <si>
    <t xml:space="preserve">BRC-D20L22-8x12-BR</t>
  </si>
  <si>
    <t xml:space="preserve">BRC-D20L25-10x12-BR</t>
  </si>
  <si>
    <t xml:space="preserve">BRC-D20L25-12x12-BR</t>
  </si>
  <si>
    <t xml:space="preserve">BRC-D20L25-6x12-BR</t>
  </si>
  <si>
    <t xml:space="preserve">BRC-D20L25-8x12-BR-NS</t>
  </si>
  <si>
    <t xml:space="preserve">BRC-D20L25-8x12-BR-SI</t>
  </si>
  <si>
    <t xml:space="preserve">BRC-D20L25-8x12-BR-SL</t>
  </si>
  <si>
    <t xml:space="preserve">BRC-D9L20-2.3x2.3-BR-SI</t>
  </si>
  <si>
    <t xml:space="preserve">D9×L20</t>
  </si>
  <si>
    <t xml:space="preserve">BRC-D9L20-2.3x2.3-BR-SL</t>
  </si>
  <si>
    <t xml:space="preserve">BRC-D9L20-2.3x3-BR-SI</t>
  </si>
  <si>
    <t xml:space="preserve">BRC-D9L20-2.3x3-BR-SL</t>
  </si>
  <si>
    <t xml:space="preserve">BRC-D9L20-2.3x3.175-BR-SI</t>
  </si>
  <si>
    <t xml:space="preserve">BRC-D9L20-2.3x3.175-BR-SL</t>
  </si>
  <si>
    <t xml:space="preserve">BRC-D9L20-2.3x4-BR-SI</t>
  </si>
  <si>
    <t xml:space="preserve">BRC-D9L20-2.3x4-BR-SL</t>
  </si>
  <si>
    <t xml:space="preserve">BRC-D9L20-2.3x5-BR-SI</t>
  </si>
  <si>
    <t xml:space="preserve">BRC-D9L20-2.3x5-BR-SL</t>
  </si>
  <si>
    <t xml:space="preserve">BRC-D9L20-2.3x6-BR-SI</t>
  </si>
  <si>
    <t xml:space="preserve">BRC-D9L20-2.3x6-BR-SL</t>
  </si>
  <si>
    <t xml:space="preserve">BRC-D9L20-2x2-BR-SET</t>
  </si>
  <si>
    <t xml:space="preserve">set</t>
  </si>
  <si>
    <t xml:space="preserve">BRC-D9L20-2x2-BR-SI</t>
  </si>
  <si>
    <t xml:space="preserve">BRC-D9L20-2x2-BR-SL</t>
  </si>
  <si>
    <t xml:space="preserve">BRC-D9L20-2x2.3-BR-SI</t>
  </si>
  <si>
    <t xml:space="preserve">BRC-D9L20-2x2.3-BR-SL</t>
  </si>
  <si>
    <t xml:space="preserve">BRC-D9L20-2x3-BR-SI</t>
  </si>
  <si>
    <t xml:space="preserve">BRC-D9L20-2x3-BR-SL</t>
  </si>
  <si>
    <t xml:space="preserve">BRC-D9L20-2x3.175-BR-SI</t>
  </si>
  <si>
    <t xml:space="preserve">BRC-D9L20-2x3.175-BR-SL</t>
  </si>
  <si>
    <t xml:space="preserve">BRC-D9L20-2x4-BR-SI</t>
  </si>
  <si>
    <t xml:space="preserve">BRC-D9L20-2x4-BR-SL</t>
  </si>
  <si>
    <t xml:space="preserve">BRC-D9L20-2x5-BR-SI</t>
  </si>
  <si>
    <t xml:space="preserve">BRC-D9L20-2x5-BR-SL</t>
  </si>
  <si>
    <t xml:space="preserve">BRC-D9L20-2x6-BR-SI</t>
  </si>
  <si>
    <t xml:space="preserve">BRC-D9L20-2x6-BR-SL</t>
  </si>
  <si>
    <t xml:space="preserve">BRC-D9L20-3.175x3.175-BR-SI</t>
  </si>
  <si>
    <t xml:space="preserve">BRC-D9L20-3.175x3.175-BR-SL</t>
  </si>
  <si>
    <t xml:space="preserve">BRC-D9L20-3.175x4-BR-SI</t>
  </si>
  <si>
    <t xml:space="preserve">BRC-D9L20-3.175x4-BR-SL</t>
  </si>
  <si>
    <t xml:space="preserve">BRC-D9L20-3.175x5-BR-SI</t>
  </si>
  <si>
    <t xml:space="preserve">BRC-D9L20-3.175x5-BR-SL</t>
  </si>
  <si>
    <t xml:space="preserve">BRC-D9L20-3x3-BR-SI</t>
  </si>
  <si>
    <t xml:space="preserve">BRC-D9L20-3x3-BR-SL</t>
  </si>
  <si>
    <t xml:space="preserve">BRC-D9L20-3x3.175-BR-SI</t>
  </si>
  <si>
    <t xml:space="preserve">BRC-D9L20-3x3.175-BR-SL</t>
  </si>
  <si>
    <t xml:space="preserve">BRC-D9L20-3x4-BR-SI</t>
  </si>
  <si>
    <t xml:space="preserve">BRC-D9L20-3x4-BR-SL</t>
  </si>
  <si>
    <t xml:space="preserve">BRC-D9L20-3x5-BR-SI</t>
  </si>
  <si>
    <t xml:space="preserve">BRC-D9L20-3x5-BR-SL</t>
  </si>
  <si>
    <t xml:space="preserve">BRC-D9L20-3x6-BR-SI</t>
  </si>
  <si>
    <t xml:space="preserve">BRC-D9L20-3x6-BR-SL</t>
  </si>
  <si>
    <t xml:space="preserve">BRC-D9L20-4x4-BR-SI</t>
  </si>
  <si>
    <t xml:space="preserve">BRC-D9L20-4x4-BR-SL</t>
  </si>
  <si>
    <t xml:space="preserve">BRC-D9L20-4x5-BR-SI</t>
  </si>
  <si>
    <t xml:space="preserve">BRC-D9L20-4x5-BR-SL</t>
  </si>
  <si>
    <t xml:space="preserve">BRC-D9L20-4x6-BR-SI</t>
  </si>
  <si>
    <t xml:space="preserve">BRC-D9L20-4x6-BR-SL</t>
  </si>
  <si>
    <t xml:space="preserve">BRC-D9L20-5x5-BR-SI</t>
  </si>
  <si>
    <t xml:space="preserve">BRC-D9L20-5x5-BR-SL</t>
  </si>
  <si>
    <t xml:space="preserve">BRC-D9L20-5x6-BR-SI</t>
  </si>
  <si>
    <t xml:space="preserve">BRC-D9L20-5x6-BR-SL</t>
  </si>
  <si>
    <t xml:space="preserve">BRC-D9L20-6x6-BR-SI</t>
  </si>
  <si>
    <t xml:space="preserve">BRC-D9L20-6x6-BR-SL</t>
  </si>
  <si>
    <t xml:space="preserve">Trapezoidal Lead Screw, 304 Stainless (by length)  [Lead Screws]</t>
  </si>
  <si>
    <t xml:space="preserve">Length (mm)</t>
  </si>
  <si>
    <t xml:space="preserve">Pitch / Lead</t>
  </si>
  <si>
    <t xml:space="preserve">Thread Hand</t>
  </si>
  <si>
    <t xml:space="preserve">pitch 2 lead 10</t>
  </si>
  <si>
    <t xml:space="preserve">RH</t>
  </si>
  <si>
    <t xml:space="preserve">TS-T10-P2L10-L1000</t>
  </si>
  <si>
    <t xml:space="preserve">TS-T10-P2L10-L1200</t>
  </si>
  <si>
    <t xml:space="preserve">TS-T10-P2L10-L1300</t>
  </si>
  <si>
    <t xml:space="preserve">TS-T10-P2L10-L150</t>
  </si>
  <si>
    <t xml:space="preserve">TS-T10-P2L10-L1500</t>
  </si>
  <si>
    <t xml:space="preserve">TS-T10-P2L10-L1530</t>
  </si>
  <si>
    <t xml:space="preserve">1530</t>
  </si>
  <si>
    <t xml:space="preserve">TS-T10-P2L10-L200</t>
  </si>
  <si>
    <t xml:space="preserve">TS-T10-P2L10-L2000</t>
  </si>
  <si>
    <t xml:space="preserve">TS-T10-P2L10-L250</t>
  </si>
  <si>
    <t xml:space="preserve">TS-T10-P2L10-L300</t>
  </si>
  <si>
    <t xml:space="preserve">TS-T10-P2L10-L350</t>
  </si>
  <si>
    <t xml:space="preserve">TS-T10-P2L10-L400</t>
  </si>
  <si>
    <t xml:space="preserve">TS-T10-P2L10-L420</t>
  </si>
  <si>
    <t xml:space="preserve">TS-T10-P2L10-L450</t>
  </si>
  <si>
    <t xml:space="preserve">TS-T10-P2L10-L470</t>
  </si>
  <si>
    <t xml:space="preserve">TS-T10-P2L10-L500</t>
  </si>
  <si>
    <t xml:space="preserve">TS-T10-P2L10-L550</t>
  </si>
  <si>
    <t xml:space="preserve">TS-T10-P2L10-L560</t>
  </si>
  <si>
    <t xml:space="preserve">560</t>
  </si>
  <si>
    <t xml:space="preserve">TS-T10-P2L10-L600</t>
  </si>
  <si>
    <t xml:space="preserve">TS-T10-P2L10-L650</t>
  </si>
  <si>
    <t xml:space="preserve">TS-T10-P2L10-L700</t>
  </si>
  <si>
    <t xml:space="preserve">TS-T10-P2L10-L800</t>
  </si>
  <si>
    <t xml:space="preserve">TS-T10-P2L12-L1000</t>
  </si>
  <si>
    <t xml:space="preserve">pitch 2 lead 12</t>
  </si>
  <si>
    <t xml:space="preserve">TS-T10-P2L12-L1100</t>
  </si>
  <si>
    <t xml:space="preserve">TS-T10-P2L12-L1200</t>
  </si>
  <si>
    <t xml:space="preserve">TS-T10-P2L12-L1500</t>
  </si>
  <si>
    <t xml:space="preserve">TS-T10-P2L12-L1540</t>
  </si>
  <si>
    <t xml:space="preserve">TS-T10-P2L12-L200</t>
  </si>
  <si>
    <t xml:space="preserve">TS-T10-P2L12-L250</t>
  </si>
  <si>
    <t xml:space="preserve">TS-T10-P2L12-L300</t>
  </si>
  <si>
    <t xml:space="preserve">TS-T10-P2L12-L350</t>
  </si>
  <si>
    <t xml:space="preserve">TS-T10-P2L12-L400</t>
  </si>
  <si>
    <t xml:space="preserve">TS-T10-P2L12-L420</t>
  </si>
  <si>
    <t xml:space="preserve">TS-T10-P2L12-L450</t>
  </si>
  <si>
    <t xml:space="preserve">TS-T10-P2L12-L500</t>
  </si>
  <si>
    <t xml:space="preserve">TS-T10-P2L12-L550</t>
  </si>
  <si>
    <t xml:space="preserve">TS-T10-P2L12-L600</t>
  </si>
  <si>
    <t xml:space="preserve">TS-T10-P2L12-L650</t>
  </si>
  <si>
    <t xml:space="preserve">TS-T10-P2L12-L700</t>
  </si>
  <si>
    <t xml:space="preserve">TS-T10-P2L12-L750</t>
  </si>
  <si>
    <t xml:space="preserve">TS-T10-P2L12-L800</t>
  </si>
  <si>
    <t xml:space="preserve">TS-T10-P2L12-L850</t>
  </si>
  <si>
    <t xml:space="preserve">TS-T10-P2L14-L550</t>
  </si>
  <si>
    <t xml:space="preserve">pitch 2 lead 14</t>
  </si>
  <si>
    <t xml:space="preserve">TS-T10-P2L14-L650</t>
  </si>
  <si>
    <t xml:space="preserve">TS-T10-P2L16-L100</t>
  </si>
  <si>
    <t xml:space="preserve">pitch 2 lead 16</t>
  </si>
  <si>
    <t xml:space="preserve">TS-T10-P2L16-L1500</t>
  </si>
  <si>
    <t xml:space="preserve">TS-T10-P2L16-L350</t>
  </si>
  <si>
    <t xml:space="preserve">TS-T10-P2L16-L550</t>
  </si>
  <si>
    <t xml:space="preserve">TS-T10-P2L2-L100</t>
  </si>
  <si>
    <t xml:space="preserve">pitch 2 lead 2</t>
  </si>
  <si>
    <t xml:space="preserve">TS-T10-P2L2-L1000</t>
  </si>
  <si>
    <t xml:space="preserve">TS-T10-P2L2-L1100</t>
  </si>
  <si>
    <t xml:space="preserve">TS-T10-P2L2-L1200</t>
  </si>
  <si>
    <t xml:space="preserve">TS-T10-P2L2-L1230</t>
  </si>
  <si>
    <t xml:space="preserve">1230</t>
  </si>
  <si>
    <t xml:space="preserve">TS-T10-P2L2-L150</t>
  </si>
  <si>
    <t xml:space="preserve">TS-T10-P2L2-L1500</t>
  </si>
  <si>
    <t xml:space="preserve">TS-T10-P2L2-L200</t>
  </si>
  <si>
    <t xml:space="preserve">TS-T10-P2L2-L2000</t>
  </si>
  <si>
    <t xml:space="preserve">TS-T10-P2L2-L250</t>
  </si>
  <si>
    <t xml:space="preserve">TS-T10-P2L2-L300</t>
  </si>
  <si>
    <t xml:space="preserve">TS-T10-P2L2-L305</t>
  </si>
  <si>
    <t xml:space="preserve">TS-T10-P2L2-L311</t>
  </si>
  <si>
    <t xml:space="preserve">311</t>
  </si>
  <si>
    <t xml:space="preserve">TS-T10-P2L2-L316</t>
  </si>
  <si>
    <t xml:space="preserve">TS-T10-P2L2-L350</t>
  </si>
  <si>
    <t xml:space="preserve">TS-T10-P2L2-L385</t>
  </si>
  <si>
    <t xml:space="preserve">TS-T10-P2L2-L400</t>
  </si>
  <si>
    <t xml:space="preserve">TS-T10-P2L2-L450</t>
  </si>
  <si>
    <t xml:space="preserve">TS-T10-P2L2-L500</t>
  </si>
  <si>
    <t xml:space="preserve">TS-T10-P2L2-L515</t>
  </si>
  <si>
    <t xml:space="preserve">TS-T10-P2L2-L550</t>
  </si>
  <si>
    <t xml:space="preserve">TS-T10-P2L2-L560</t>
  </si>
  <si>
    <t xml:space="preserve">TS-T10-P2L2-L600</t>
  </si>
  <si>
    <t xml:space="preserve">TS-T10-P2L2-L650</t>
  </si>
  <si>
    <t xml:space="preserve">TS-T10-P2L2-L700</t>
  </si>
  <si>
    <t xml:space="preserve">TS-T10-P2L2-L710</t>
  </si>
  <si>
    <t xml:space="preserve">TS-T10-P2L2-L800</t>
  </si>
  <si>
    <t xml:space="preserve">TS-T10-P2L2-L850</t>
  </si>
  <si>
    <t xml:space="preserve">TS-T10-P2L2-L900</t>
  </si>
  <si>
    <t xml:space="preserve">TS-T10-P2L2-L942</t>
  </si>
  <si>
    <t xml:space="preserve">942</t>
  </si>
  <si>
    <t xml:space="preserve">TS-T10-P2L2-L960</t>
  </si>
  <si>
    <t xml:space="preserve">TS-T10-P2L2-LH-L300</t>
  </si>
  <si>
    <t xml:space="preserve">LH</t>
  </si>
  <si>
    <t xml:space="preserve">TS-T10-P2L20-L1000</t>
  </si>
  <si>
    <t xml:space="preserve">pitch 2 lead 20</t>
  </si>
  <si>
    <t xml:space="preserve">TS-T10-P2L20-L200</t>
  </si>
  <si>
    <t xml:space="preserve">TS-T10-P2L20-L300</t>
  </si>
  <si>
    <t xml:space="preserve">TS-T10-P2L20-L350</t>
  </si>
  <si>
    <t xml:space="preserve">TS-T10-P2L20-L500</t>
  </si>
  <si>
    <t xml:space="preserve">TS-T10-P2L20-L550</t>
  </si>
  <si>
    <t xml:space="preserve">TS-T10-P2L20-L560</t>
  </si>
  <si>
    <t xml:space="preserve">TS-T10-P2L4-L100</t>
  </si>
  <si>
    <t xml:space="preserve">pitch 2 lead 4</t>
  </si>
  <si>
    <t xml:space="preserve">TS-T10-P2L4-L1000</t>
  </si>
  <si>
    <t xml:space="preserve">TS-T10-P2L4-L1100</t>
  </si>
  <si>
    <t xml:space="preserve">TS-T10-P2L4-L1200</t>
  </si>
  <si>
    <t xml:space="preserve">TS-T10-P2L4-L150</t>
  </si>
  <si>
    <t xml:space="preserve">TS-T10-P2L4-L1500</t>
  </si>
  <si>
    <t xml:space="preserve">TS-T10-P2L4-L200</t>
  </si>
  <si>
    <t xml:space="preserve">TS-T10-P2L4-L250</t>
  </si>
  <si>
    <t xml:space="preserve">TS-T10-P2L4-L275</t>
  </si>
  <si>
    <t xml:space="preserve">TS-T10-P2L4-L300</t>
  </si>
  <si>
    <t xml:space="preserve">TS-T10-P2L4-L335</t>
  </si>
  <si>
    <t xml:space="preserve">TS-T10-P2L4-L350</t>
  </si>
  <si>
    <t xml:space="preserve">TS-T10-P2L4-L400</t>
  </si>
  <si>
    <t xml:space="preserve">TS-T10-P2L4-L450</t>
  </si>
  <si>
    <t xml:space="preserve">TS-T10-P2L4-L480</t>
  </si>
  <si>
    <t xml:space="preserve">TS-T10-P2L4-L500</t>
  </si>
  <si>
    <t xml:space="preserve">TS-T10-P2L4-L550</t>
  </si>
  <si>
    <t xml:space="preserve">TS-T10-P2L4-L600</t>
  </si>
  <si>
    <t xml:space="preserve">TS-T10-P2L4-L650</t>
  </si>
  <si>
    <t xml:space="preserve">TS-T10-P2L4-L700</t>
  </si>
  <si>
    <t xml:space="preserve">TS-T10-P2L4-L750</t>
  </si>
  <si>
    <t xml:space="preserve">TS-T10-P2L4-L800</t>
  </si>
  <si>
    <t xml:space="preserve">TS-T10-P2L6-L300</t>
  </si>
  <si>
    <t xml:space="preserve">pitch 2 lead 6</t>
  </si>
  <si>
    <t xml:space="preserve">TS-T10-P2L8-L100</t>
  </si>
  <si>
    <t xml:space="preserve">pitch 2 lead 8</t>
  </si>
  <si>
    <t xml:space="preserve">TS-T10-P2L8-L1000</t>
  </si>
  <si>
    <t xml:space="preserve">TS-T10-P2L8-L1100</t>
  </si>
  <si>
    <t xml:space="preserve">TS-T10-P2L8-L1200</t>
  </si>
  <si>
    <t xml:space="preserve">TS-T10-P2L8-L1220</t>
  </si>
  <si>
    <t xml:space="preserve">TS-T10-P2L8-L150</t>
  </si>
  <si>
    <t xml:space="preserve">TS-T10-P2L8-L1500</t>
  </si>
  <si>
    <t xml:space="preserve">TS-T10-P2L8-L1540</t>
  </si>
  <si>
    <t xml:space="preserve">TS-T10-P2L8-L200</t>
  </si>
  <si>
    <t xml:space="preserve">TS-T10-P2L8-L2000</t>
  </si>
  <si>
    <t xml:space="preserve">TS-T10-P2L8-L250</t>
  </si>
  <si>
    <t xml:space="preserve">TS-T10-P2L8-L275</t>
  </si>
  <si>
    <t xml:space="preserve">TS-T10-P2L8-L300</t>
  </si>
  <si>
    <t xml:space="preserve">TS-T10-P2L8-L350</t>
  </si>
  <si>
    <t xml:space="preserve">TS-T10-P2L8-L400</t>
  </si>
  <si>
    <t xml:space="preserve">TS-T10-P2L8-L450</t>
  </si>
  <si>
    <t xml:space="preserve">TS-T10-P2L8-L470</t>
  </si>
  <si>
    <t xml:space="preserve">TS-T10-P2L8-L500</t>
  </si>
  <si>
    <t xml:space="preserve">TS-T10-P2L8-L550</t>
  </si>
  <si>
    <t xml:space="preserve">TS-T10-P2L8-L600</t>
  </si>
  <si>
    <t xml:space="preserve">TS-T10-P2L8-L650</t>
  </si>
  <si>
    <t xml:space="preserve">TS-T10-P2L8-L700</t>
  </si>
  <si>
    <t xml:space="preserve">TS-T10-P2L8-L750</t>
  </si>
  <si>
    <t xml:space="preserve">TS-T10-P2L8-L800</t>
  </si>
  <si>
    <t xml:space="preserve">TS-T10-P2L8-L85</t>
  </si>
  <si>
    <t xml:space="preserve">85</t>
  </si>
  <si>
    <t xml:space="preserve">TS-T10-P2L8-L900</t>
  </si>
  <si>
    <t xml:space="preserve">TS-T10-P2L8-LH-L300</t>
  </si>
  <si>
    <t xml:space="preserve">TS-T10-P3L3-L100</t>
  </si>
  <si>
    <t xml:space="preserve">pitch 3 lead 3</t>
  </si>
  <si>
    <t xml:space="preserve">TS-T10-P3L3-L1000</t>
  </si>
  <si>
    <t xml:space="preserve">TS-T10-P3L3-L1250</t>
  </si>
  <si>
    <t xml:space="preserve">TS-T10-P3L3-L150</t>
  </si>
  <si>
    <t xml:space="preserve">TS-T10-P3L3-L200</t>
  </si>
  <si>
    <t xml:space="preserve">TS-T10-P3L3-L2000</t>
  </si>
  <si>
    <t xml:space="preserve">TS-T10-P3L3-L250</t>
  </si>
  <si>
    <t xml:space="preserve">TS-T10-P3L3-L300</t>
  </si>
  <si>
    <t xml:space="preserve">TS-T10-P3L3-L450</t>
  </si>
  <si>
    <t xml:space="preserve">TS-T10-P3L3-L500</t>
  </si>
  <si>
    <t xml:space="preserve">TS-T10-P3L3-L550</t>
  </si>
  <si>
    <t xml:space="preserve">TS-T10-P3L3-L560</t>
  </si>
  <si>
    <t xml:space="preserve">TS-T10-P3L3-L800</t>
  </si>
  <si>
    <t xml:space="preserve">TS-T12-P2L10-L1000</t>
  </si>
  <si>
    <t xml:space="preserve">T12</t>
  </si>
  <si>
    <t xml:space="preserve">TS-T12-P2L10-L1200</t>
  </si>
  <si>
    <t xml:space="preserve">TS-T12-P2L10-L1500</t>
  </si>
  <si>
    <t xml:space="preserve">TS-T12-P2L10-L300</t>
  </si>
  <si>
    <t xml:space="preserve">TS-T12-P2L10-L350</t>
  </si>
  <si>
    <t xml:space="preserve">TS-T12-P2L10-L360</t>
  </si>
  <si>
    <t xml:space="preserve">TS-T12-P2L10-L550</t>
  </si>
  <si>
    <t xml:space="preserve">TS-T12-P2L10-L700</t>
  </si>
  <si>
    <t xml:space="preserve">TS-T12-P2L8-L100</t>
  </si>
  <si>
    <t xml:space="preserve">TS-T12-P2L8-L1000</t>
  </si>
  <si>
    <t xml:space="preserve">TS-T12-P2L8-L1200</t>
  </si>
  <si>
    <t xml:space="preserve">TS-T12-P2L8-L150</t>
  </si>
  <si>
    <t xml:space="preserve">TS-T12-P2L8-L1500</t>
  </si>
  <si>
    <t xml:space="preserve">TS-T12-P2L8-L1540</t>
  </si>
  <si>
    <t xml:space="preserve">TS-T12-P2L8-L200</t>
  </si>
  <si>
    <t xml:space="preserve">TS-T12-P2L8-L2000</t>
  </si>
  <si>
    <t xml:space="preserve">TS-T12-P2L8-L250</t>
  </si>
  <si>
    <t xml:space="preserve">TS-T12-P2L8-L300</t>
  </si>
  <si>
    <t xml:space="preserve">TS-T12-P2L8-L350</t>
  </si>
  <si>
    <t xml:space="preserve">TS-T12-P2L8-L360</t>
  </si>
  <si>
    <t xml:space="preserve">TS-T12-P2L8-L400</t>
  </si>
  <si>
    <t xml:space="preserve">TS-T12-P2L8-L450</t>
  </si>
  <si>
    <t xml:space="preserve">TS-T12-P2L8-L500</t>
  </si>
  <si>
    <t xml:space="preserve">TS-T12-P2L8-L550</t>
  </si>
  <si>
    <t xml:space="preserve">TS-T12-P2L8-L560</t>
  </si>
  <si>
    <t xml:space="preserve">TS-T12-P2L8-L600</t>
  </si>
  <si>
    <t xml:space="preserve">TS-T12-P2L8-L650</t>
  </si>
  <si>
    <t xml:space="preserve">TS-T12-P2L8-L700</t>
  </si>
  <si>
    <t xml:space="preserve">TS-T12-P2L8-L720</t>
  </si>
  <si>
    <t xml:space="preserve">TS-T12-P2L8-L750</t>
  </si>
  <si>
    <t xml:space="preserve">TS-T12-P2L8-L800</t>
  </si>
  <si>
    <t xml:space="preserve">TS-T12-P2L8-L900</t>
  </si>
  <si>
    <t xml:space="preserve">TS-T12-P2L8-L950</t>
  </si>
  <si>
    <t xml:space="preserve">TS-T12-P3L6-L300</t>
  </si>
  <si>
    <t xml:space="preserve">pitch 3 lead 6</t>
  </si>
  <si>
    <t xml:space="preserve">TS-T12-P3L6-L600</t>
  </si>
  <si>
    <t xml:space="preserve">TS-T20-P2L20-L500</t>
  </si>
  <si>
    <t xml:space="preserve">T20</t>
  </si>
  <si>
    <t xml:space="preserve">TS-T3.5-P0.61L0.61-L100</t>
  </si>
  <si>
    <t xml:space="preserve">T3.5</t>
  </si>
  <si>
    <t xml:space="preserve">pitch 0.61 lead 0.61</t>
  </si>
  <si>
    <t xml:space="preserve">TS-T3.5-P0.61L0.61-L1000</t>
  </si>
  <si>
    <t xml:space="preserve">TS-T3.5-P0.61L0.61-L200</t>
  </si>
  <si>
    <t xml:space="preserve">TS-T3.5-P0.61L0.61-L300</t>
  </si>
  <si>
    <t xml:space="preserve">TS-T3.5-P0.61L0.61-L350</t>
  </si>
  <si>
    <t xml:space="preserve">TS-T3.5-P0.61L0.61-L400</t>
  </si>
  <si>
    <t xml:space="preserve">TS-T3.5-P1.2L2.4-L100</t>
  </si>
  <si>
    <t xml:space="preserve">pitch 1.2 lead 2.4</t>
  </si>
  <si>
    <t xml:space="preserve">TS-T3.5-P1.2L2.4-L1000</t>
  </si>
  <si>
    <t xml:space="preserve">TS-T3.5-P1.2L2.4-L120</t>
  </si>
  <si>
    <t xml:space="preserve">TS-T3.5-P1.2L2.4-L150</t>
  </si>
  <si>
    <t xml:space="preserve">TS-T3.5-P1.2L2.4-L200</t>
  </si>
  <si>
    <t xml:space="preserve">TS-T3.5-P1.2L2.4-L250</t>
  </si>
  <si>
    <t xml:space="preserve">TS-T3.5-P1.2L2.4-L300</t>
  </si>
  <si>
    <t xml:space="preserve">TS-T3.5-P1.2L2.4-L330</t>
  </si>
  <si>
    <t xml:space="preserve">TS-T3.5-P1.2L2.4-L350</t>
  </si>
  <si>
    <t xml:space="preserve">TS-T3.5-P1.2L2.4-L400</t>
  </si>
  <si>
    <t xml:space="preserve">TS-T3.5-P1.2L2.4-L450</t>
  </si>
  <si>
    <t xml:space="preserve">TS-T3.5-P1L2-L1000</t>
  </si>
  <si>
    <t xml:space="preserve">pitch 1 lead 2</t>
  </si>
  <si>
    <t xml:space="preserve">TS-T3.5-P1L2-L150</t>
  </si>
  <si>
    <t xml:space="preserve">TS-T3.5-P1L2-L200</t>
  </si>
  <si>
    <t xml:space="preserve">TS-T3.5-P1L2-L250</t>
  </si>
  <si>
    <t xml:space="preserve">TS-T3.5-P1L2-L300</t>
  </si>
  <si>
    <t xml:space="preserve">TS-T3.5-P1L2-L350</t>
  </si>
  <si>
    <t xml:space="preserve">TS-T3.5-P1L2-L400</t>
  </si>
  <si>
    <t xml:space="preserve">TS-T3.5-P1L2-L450</t>
  </si>
  <si>
    <t xml:space="preserve">TS-T4-P1L1-L100</t>
  </si>
  <si>
    <t xml:space="preserve">T4</t>
  </si>
  <si>
    <t xml:space="preserve">pitch 1 lead 1</t>
  </si>
  <si>
    <t xml:space="preserve">TS-T4-P1L1-L150</t>
  </si>
  <si>
    <t xml:space="preserve">TS-T4-P1L1-L200</t>
  </si>
  <si>
    <t xml:space="preserve">TS-T4-P1L1-L250</t>
  </si>
  <si>
    <t xml:space="preserve">TS-T4-P1L1-L300</t>
  </si>
  <si>
    <t xml:space="preserve">TS-T4-P1L2-L100</t>
  </si>
  <si>
    <t xml:space="preserve">TS-T4-P1L2-L107</t>
  </si>
  <si>
    <t xml:space="preserve">107</t>
  </si>
  <si>
    <t xml:space="preserve">TS-T4-P1L2-L110</t>
  </si>
  <si>
    <t xml:space="preserve">TS-T4-P1L2-L120</t>
  </si>
  <si>
    <t xml:space="preserve">TS-T4-P1L2-L125</t>
  </si>
  <si>
    <t xml:space="preserve">125</t>
  </si>
  <si>
    <t xml:space="preserve">TS-T4-P1L2-L150</t>
  </si>
  <si>
    <t xml:space="preserve">TS-T4-P1L2-L200</t>
  </si>
  <si>
    <t xml:space="preserve">TS-T4-P1L2-L250</t>
  </si>
  <si>
    <t xml:space="preserve">TS-T4-P1L2-L300</t>
  </si>
  <si>
    <t xml:space="preserve">TS-T4-P1L2-L55</t>
  </si>
  <si>
    <t xml:space="preserve">TS-T4-P1L2-L80</t>
  </si>
  <si>
    <t xml:space="preserve">TS-T5-P1L1-L100</t>
  </si>
  <si>
    <t xml:space="preserve">TS-T5-P1L1-L1000</t>
  </si>
  <si>
    <t xml:space="preserve">TS-T5-P1L1-L120</t>
  </si>
  <si>
    <t xml:space="preserve">TS-T5-P1L1-L150</t>
  </si>
  <si>
    <t xml:space="preserve">TS-T5-P1L1-L200</t>
  </si>
  <si>
    <t xml:space="preserve">TS-T5-P1L1-L250</t>
  </si>
  <si>
    <t xml:space="preserve">TS-T5-P1L1-L300</t>
  </si>
  <si>
    <t xml:space="preserve">TS-T5-P1L1-L350</t>
  </si>
  <si>
    <t xml:space="preserve">TS-T5-P1L1-L400</t>
  </si>
  <si>
    <t xml:space="preserve">TS-T5-P1L1-L500</t>
  </si>
  <si>
    <t xml:space="preserve">TS-T5-P1L1-L550</t>
  </si>
  <si>
    <t xml:space="preserve">TS-T5-P1L2-L100</t>
  </si>
  <si>
    <t xml:space="preserve">TS-T5-P1L2-L1000</t>
  </si>
  <si>
    <t xml:space="preserve">TS-T5-P1L2-L120</t>
  </si>
  <si>
    <t xml:space="preserve">TS-T5-P1L2-L150</t>
  </si>
  <si>
    <t xml:space="preserve">TS-T5-P1L2-L200</t>
  </si>
  <si>
    <t xml:space="preserve">TS-T5-P1L2-L250</t>
  </si>
  <si>
    <t xml:space="preserve">TS-T5-P1L2-L270</t>
  </si>
  <si>
    <t xml:space="preserve">TS-T5-P1L2-L300</t>
  </si>
  <si>
    <t xml:space="preserve">TS-T5-P1L2-L350</t>
  </si>
  <si>
    <t xml:space="preserve">TS-T5-P1L2-L400</t>
  </si>
  <si>
    <t xml:space="preserve">TS-T5-P1L2-L450</t>
  </si>
  <si>
    <t xml:space="preserve">TS-T5-P1L2-L500</t>
  </si>
  <si>
    <t xml:space="preserve">TS-T5-P1L2-L550</t>
  </si>
  <si>
    <t xml:space="preserve">TS-T5-P1L2-L600</t>
  </si>
  <si>
    <t xml:space="preserve">TS-T5-P1L4-L100</t>
  </si>
  <si>
    <t xml:space="preserve">pitch 1 lead 4</t>
  </si>
  <si>
    <t xml:space="preserve">TS-T5-P1L4-L1000</t>
  </si>
  <si>
    <t xml:space="preserve">TS-T5-P1L4-L120</t>
  </si>
  <si>
    <t xml:space="preserve">TS-T5-P1L4-L150</t>
  </si>
  <si>
    <t xml:space="preserve">TS-T5-P1L4-L156</t>
  </si>
  <si>
    <t xml:space="preserve">TS-T5-P1L4-L200</t>
  </si>
  <si>
    <t xml:space="preserve">TS-T5-P1L4-L250</t>
  </si>
  <si>
    <t xml:space="preserve">TS-T5-P1L4-L300</t>
  </si>
  <si>
    <t xml:space="preserve">TS-T5-P1L4-L350</t>
  </si>
  <si>
    <t xml:space="preserve">TS-T5-P1L4-L400</t>
  </si>
  <si>
    <t xml:space="preserve">TS-T5-P1L4-L500</t>
  </si>
  <si>
    <t xml:space="preserve">TS-T5-P1L4-L550</t>
  </si>
  <si>
    <t xml:space="preserve">TS-T5-P1L4-L600</t>
  </si>
  <si>
    <t xml:space="preserve">TS-T5-P1L4-L630</t>
  </si>
  <si>
    <t xml:space="preserve">TS-T5-P1L6-L100</t>
  </si>
  <si>
    <t xml:space="preserve">pitch 1 lead 6</t>
  </si>
  <si>
    <t xml:space="preserve">TS-T5-P1L6-L150</t>
  </si>
  <si>
    <t xml:space="preserve">TS-T5-P1L6-L200</t>
  </si>
  <si>
    <t xml:space="preserve">TS-T5-P1L6-L250</t>
  </si>
  <si>
    <t xml:space="preserve">TS-T6-P1L1-L100</t>
  </si>
  <si>
    <t xml:space="preserve">T6</t>
  </si>
  <si>
    <t xml:space="preserve">TS-T6-P1L1-L1000</t>
  </si>
  <si>
    <t xml:space="preserve">TS-T6-P1L1-L120</t>
  </si>
  <si>
    <t xml:space="preserve">TS-T6-P1L1-L150</t>
  </si>
  <si>
    <t xml:space="preserve">TS-T6-P1L1-L180</t>
  </si>
  <si>
    <t xml:space="preserve">TS-T6-P1L1-L200</t>
  </si>
  <si>
    <t xml:space="preserve">TS-T6-P1L1-L220</t>
  </si>
  <si>
    <t xml:space="preserve">TS-T6-P1L1-L250</t>
  </si>
  <si>
    <t xml:space="preserve">TS-T6-P1L1-L300</t>
  </si>
  <si>
    <t xml:space="preserve">TS-T6-P1L1-L350</t>
  </si>
  <si>
    <t xml:space="preserve">TS-T6-P1L1-L400</t>
  </si>
  <si>
    <t xml:space="preserve">TS-T6-P1L1-L450</t>
  </si>
  <si>
    <t xml:space="preserve">TS-T6-P1L1-L500</t>
  </si>
  <si>
    <t xml:space="preserve">TS-T6-P1L1-L550</t>
  </si>
  <si>
    <t xml:space="preserve">TS-T6-P1L1-L60</t>
  </si>
  <si>
    <t xml:space="preserve">TS-T6-P1L2-L100</t>
  </si>
  <si>
    <t xml:space="preserve">TS-T6-P1L2-L1000</t>
  </si>
  <si>
    <t xml:space="preserve">TS-T6-P1L2-L150</t>
  </si>
  <si>
    <t xml:space="preserve">TS-T6-P1L2-L180</t>
  </si>
  <si>
    <t xml:space="preserve">TS-T6-P1L2-L200</t>
  </si>
  <si>
    <t xml:space="preserve">TS-T6-P1L2-L250</t>
  </si>
  <si>
    <t xml:space="preserve">TS-T6-P1L2-L300</t>
  </si>
  <si>
    <t xml:space="preserve">TS-T6-P1L2-L350</t>
  </si>
  <si>
    <t xml:space="preserve">TS-T6-P1L2-L400</t>
  </si>
  <si>
    <t xml:space="preserve">TS-T6-P1L2-L450</t>
  </si>
  <si>
    <t xml:space="preserve">TS-T6-P1L2-L500</t>
  </si>
  <si>
    <t xml:space="preserve">TS-T6-P1L2-L550</t>
  </si>
  <si>
    <t xml:space="preserve">TS-T6-P1L2-L60</t>
  </si>
  <si>
    <t xml:space="preserve">TS-T6-P1L2-L910</t>
  </si>
  <si>
    <t xml:space="preserve">TS-T6-P1L4-L100</t>
  </si>
  <si>
    <t xml:space="preserve">TS-T6-P1L4-L1000</t>
  </si>
  <si>
    <t xml:space="preserve">TS-T6-P1L4-L150</t>
  </si>
  <si>
    <t xml:space="preserve">TS-T6-P1L4-L180</t>
  </si>
  <si>
    <t xml:space="preserve">TS-T6-P1L4-L200</t>
  </si>
  <si>
    <t xml:space="preserve">TS-T6-P1L4-L210</t>
  </si>
  <si>
    <t xml:space="preserve">TS-T6-P1L4-L250</t>
  </si>
  <si>
    <t xml:space="preserve">TS-T6-P1L4-L300</t>
  </si>
  <si>
    <t xml:space="preserve">TS-T6-P1L4-L350</t>
  </si>
  <si>
    <t xml:space="preserve">TS-T6-P1L4-L400</t>
  </si>
  <si>
    <t xml:space="preserve">TS-T6-P1L4-L450</t>
  </si>
  <si>
    <t xml:space="preserve">TS-T6-P1L4-L50</t>
  </si>
  <si>
    <t xml:space="preserve">TS-T6-P1L4-L500</t>
  </si>
  <si>
    <t xml:space="preserve">TS-T6-P1L4-L53</t>
  </si>
  <si>
    <t xml:space="preserve">53</t>
  </si>
  <si>
    <t xml:space="preserve">TS-T6-P1L4-L54</t>
  </si>
  <si>
    <t xml:space="preserve">TS-T6-P1L4-L550</t>
  </si>
  <si>
    <t xml:space="preserve">TS-T6-P1L6-L100</t>
  </si>
  <si>
    <t xml:space="preserve">TS-T6-P1L6-L1000</t>
  </si>
  <si>
    <t xml:space="preserve">TS-T6-P1L6-L130</t>
  </si>
  <si>
    <t xml:space="preserve">TS-T6-P1L6-L150</t>
  </si>
  <si>
    <t xml:space="preserve">TS-T6-P1L6-L180</t>
  </si>
  <si>
    <t xml:space="preserve">TS-T6-P1L6-L200</t>
  </si>
  <si>
    <t xml:space="preserve">TS-T6-P1L6-L250</t>
  </si>
  <si>
    <t xml:space="preserve">TS-T6-P1L6-L300</t>
  </si>
  <si>
    <t xml:space="preserve">TS-T6-P1L6-L350</t>
  </si>
  <si>
    <t xml:space="preserve">TS-T6-P1L6-L400</t>
  </si>
  <si>
    <t xml:space="preserve">TS-T6-P1L6-L450</t>
  </si>
  <si>
    <t xml:space="preserve">TS-T6-P1L6-L500</t>
  </si>
  <si>
    <t xml:space="preserve">TS-T6-P1L6-L550</t>
  </si>
  <si>
    <t xml:space="preserve">TS-T6-P1L6-L60</t>
  </si>
  <si>
    <t xml:space="preserve">TS-T6-P2L10-L100</t>
  </si>
  <si>
    <t xml:space="preserve">TS-T6-P2L10-L1000</t>
  </si>
  <si>
    <t xml:space="preserve">TS-T8-P1.5L1.5-L1000</t>
  </si>
  <si>
    <t xml:space="preserve">T8</t>
  </si>
  <si>
    <t xml:space="preserve">pitch 1.5 lead 1.5</t>
  </si>
  <si>
    <t xml:space="preserve">TS-T8-P1.5L1.5-L250</t>
  </si>
  <si>
    <t xml:space="preserve">TS-T8-P1.5L1.5-L300</t>
  </si>
  <si>
    <t xml:space="preserve">TS-T8-P1.5L3-L100</t>
  </si>
  <si>
    <t xml:space="preserve">pitch 1.5 lead 3</t>
  </si>
  <si>
    <t xml:space="preserve">TS-T8-P1.5L3-L1000</t>
  </si>
  <si>
    <t xml:space="preserve">TS-T8-P1.5L3-L300</t>
  </si>
  <si>
    <t xml:space="preserve">TS-T8-P1.5L3-L400</t>
  </si>
  <si>
    <t xml:space="preserve">TS-T8-P2L10-L100</t>
  </si>
  <si>
    <t xml:space="preserve">TS-T8-P2L10-L1000</t>
  </si>
  <si>
    <t xml:space="preserve">TS-T8-P2L10-L105</t>
  </si>
  <si>
    <t xml:space="preserve">105</t>
  </si>
  <si>
    <t xml:space="preserve">TS-T8-P2L10-L1100</t>
  </si>
  <si>
    <t xml:space="preserve">TS-T8-P2L10-L1200</t>
  </si>
  <si>
    <t xml:space="preserve">TS-T8-P2L10-L1240</t>
  </si>
  <si>
    <t xml:space="preserve">TS-T8-P2L10-L145</t>
  </si>
  <si>
    <t xml:space="preserve">145</t>
  </si>
  <si>
    <t xml:space="preserve">TS-T8-P2L10-L150</t>
  </si>
  <si>
    <t xml:space="preserve">TS-T8-P2L10-L1500</t>
  </si>
  <si>
    <t xml:space="preserve">TS-T8-P2L10-L160</t>
  </si>
  <si>
    <t xml:space="preserve">TS-T8-P2L10-L163</t>
  </si>
  <si>
    <t xml:space="preserve">163</t>
  </si>
  <si>
    <t xml:space="preserve">TS-T8-P2L10-L200</t>
  </si>
  <si>
    <t xml:space="preserve">TS-T8-P2L10-L210</t>
  </si>
  <si>
    <t xml:space="preserve">TS-T8-P2L10-L240</t>
  </si>
  <si>
    <t xml:space="preserve">TS-T8-P2L10-L250</t>
  </si>
  <si>
    <t xml:space="preserve">TS-T8-P2L10-L260</t>
  </si>
  <si>
    <t xml:space="preserve">TS-T8-P2L10-L290</t>
  </si>
  <si>
    <t xml:space="preserve">TS-T8-P2L10-L300</t>
  </si>
  <si>
    <t xml:space="preserve">TS-T8-P2L10-L320</t>
  </si>
  <si>
    <t xml:space="preserve">TS-T8-P2L10-L340</t>
  </si>
  <si>
    <t xml:space="preserve">TS-T8-P2L10-L350</t>
  </si>
  <si>
    <t xml:space="preserve">TS-T8-P2L10-L360</t>
  </si>
  <si>
    <t xml:space="preserve">TS-T8-P2L10-L370</t>
  </si>
  <si>
    <t xml:space="preserve">TS-T8-P2L10-L380</t>
  </si>
  <si>
    <t xml:space="preserve">TS-T8-P2L10-L400</t>
  </si>
  <si>
    <t xml:space="preserve">TS-T8-P2L10-L450</t>
  </si>
  <si>
    <t xml:space="preserve">TS-T8-P2L10-L455</t>
  </si>
  <si>
    <t xml:space="preserve">TS-T8-P2L10-L470</t>
  </si>
  <si>
    <t xml:space="preserve">TS-T8-P2L10-L500</t>
  </si>
  <si>
    <t xml:space="preserve">TS-T8-P2L10-L540</t>
  </si>
  <si>
    <t xml:space="preserve">TS-T8-P2L10-L550</t>
  </si>
  <si>
    <t xml:space="preserve">TS-T8-P2L10-L600</t>
  </si>
  <si>
    <t xml:space="preserve">TS-T8-P2L10-L650</t>
  </si>
  <si>
    <t xml:space="preserve">TS-T8-P2L10-L700</t>
  </si>
  <si>
    <t xml:space="preserve">TS-T8-P2L10-L800</t>
  </si>
  <si>
    <t xml:space="preserve">TS-T8-P2L12-L100</t>
  </si>
  <si>
    <t xml:space="preserve">TS-T8-P2L12-L1000</t>
  </si>
  <si>
    <t xml:space="preserve">TS-T8-P2L12-L1100</t>
  </si>
  <si>
    <t xml:space="preserve">TS-T8-P2L12-L120</t>
  </si>
  <si>
    <t xml:space="preserve">TS-T8-P2L12-L1200</t>
  </si>
  <si>
    <t xml:space="preserve">TS-T8-P2L12-L123</t>
  </si>
  <si>
    <t xml:space="preserve">123</t>
  </si>
  <si>
    <t xml:space="preserve">TS-T8-P2L12-L1230</t>
  </si>
  <si>
    <t xml:space="preserve">TS-T8-P2L12-L140</t>
  </si>
  <si>
    <t xml:space="preserve">TS-T8-P2L12-L145</t>
  </si>
  <si>
    <t xml:space="preserve">TS-T8-P2L12-L150</t>
  </si>
  <si>
    <t xml:space="preserve">TS-T8-P2L12-L1500</t>
  </si>
  <si>
    <t xml:space="preserve">TS-T8-P2L12-L157</t>
  </si>
  <si>
    <t xml:space="preserve">157</t>
  </si>
  <si>
    <t xml:space="preserve">TS-T8-P2L12-L170</t>
  </si>
  <si>
    <t xml:space="preserve">TS-T8-P2L12-L190</t>
  </si>
  <si>
    <t xml:space="preserve">TS-T8-P2L12-L200</t>
  </si>
  <si>
    <t xml:space="preserve">TS-T8-P2L12-L2000</t>
  </si>
  <si>
    <t xml:space="preserve">TS-T8-P2L12-L210</t>
  </si>
  <si>
    <t xml:space="preserve">TS-T8-P2L12-L230</t>
  </si>
  <si>
    <t xml:space="preserve">TS-T8-P2L12-L250</t>
  </si>
  <si>
    <t xml:space="preserve">TS-T8-P2L12-L260</t>
  </si>
  <si>
    <t xml:space="preserve">TS-T8-P2L12-L275</t>
  </si>
  <si>
    <t xml:space="preserve">TS-T8-P2L12-L290</t>
  </si>
  <si>
    <t xml:space="preserve">TS-T8-P2L12-L300</t>
  </si>
  <si>
    <t xml:space="preserve">TS-T8-P2L12-L320</t>
  </si>
  <si>
    <t xml:space="preserve">TS-T8-P2L12-L335</t>
  </si>
  <si>
    <t xml:space="preserve">TS-T8-P2L12-L350</t>
  </si>
  <si>
    <t xml:space="preserve">TS-T8-P2L12-L360</t>
  </si>
  <si>
    <t xml:space="preserve">TS-T8-P2L12-L380</t>
  </si>
  <si>
    <t xml:space="preserve">TS-T8-P2L12-L390</t>
  </si>
  <si>
    <t xml:space="preserve">TS-T8-P2L12-L400</t>
  </si>
  <si>
    <t xml:space="preserve">TS-T8-P2L12-L425</t>
  </si>
  <si>
    <t xml:space="preserve">TS-T8-P2L12-L440</t>
  </si>
  <si>
    <t xml:space="preserve">TS-T8-P2L12-L450</t>
  </si>
  <si>
    <t xml:space="preserve">TS-T8-P2L12-L490</t>
  </si>
  <si>
    <t xml:space="preserve">TS-T8-P2L12-L500</t>
  </si>
  <si>
    <t xml:space="preserve">TS-T8-P2L12-L550</t>
  </si>
  <si>
    <t xml:space="preserve">TS-T8-P2L12-L600</t>
  </si>
  <si>
    <t xml:space="preserve">TS-T8-P2L12-L700</t>
  </si>
  <si>
    <t xml:space="preserve">TS-T8-P2L12-L800</t>
  </si>
  <si>
    <t xml:space="preserve">TS-T8-P2L14-L100</t>
  </si>
  <si>
    <t xml:space="preserve">TS-T8-P2L14-L1000</t>
  </si>
  <si>
    <t xml:space="preserve">TS-T8-P2L14-L1200</t>
  </si>
  <si>
    <t xml:space="preserve">TS-T8-P2L14-L1230</t>
  </si>
  <si>
    <t xml:space="preserve">TS-T8-P2L14-L150</t>
  </si>
  <si>
    <t xml:space="preserve">TS-T8-P2L14-L1500</t>
  </si>
  <si>
    <t xml:space="preserve">TS-T8-P2L14-L160</t>
  </si>
  <si>
    <t xml:space="preserve">TS-T8-P2L14-L190</t>
  </si>
  <si>
    <t xml:space="preserve">TS-T8-P2L14-L200</t>
  </si>
  <si>
    <t xml:space="preserve">TS-T8-P2L14-L210</t>
  </si>
  <si>
    <t xml:space="preserve">TS-T8-P2L14-L230</t>
  </si>
  <si>
    <t xml:space="preserve">TS-T8-P2L14-L240</t>
  </si>
  <si>
    <t xml:space="preserve">TS-T8-P2L14-L250</t>
  </si>
  <si>
    <t xml:space="preserve">TS-T8-P2L14-L260</t>
  </si>
  <si>
    <t xml:space="preserve">TS-T8-P2L14-L270</t>
  </si>
  <si>
    <t xml:space="preserve">TS-T8-P2L14-L290</t>
  </si>
  <si>
    <t xml:space="preserve">TS-T8-P2L14-L300</t>
  </si>
  <si>
    <t xml:space="preserve">TS-T8-P2L14-L320</t>
  </si>
  <si>
    <t xml:space="preserve">TS-T8-P2L14-L335</t>
  </si>
  <si>
    <t xml:space="preserve">TS-T8-P2L14-L350</t>
  </si>
  <si>
    <t xml:space="preserve">TS-T8-P2L14-L370</t>
  </si>
  <si>
    <t xml:space="preserve">TS-T8-P2L14-L400</t>
  </si>
  <si>
    <t xml:space="preserve">TS-T8-P2L14-L425</t>
  </si>
  <si>
    <t xml:space="preserve">TS-T8-P2L14-L450</t>
  </si>
  <si>
    <t xml:space="preserve">TS-T8-P2L14-L460</t>
  </si>
  <si>
    <t xml:space="preserve">TS-T8-P2L14-L470</t>
  </si>
  <si>
    <t xml:space="preserve">TS-T8-P2L14-L490</t>
  </si>
  <si>
    <t xml:space="preserve">TS-T8-P2L14-L500</t>
  </si>
  <si>
    <t xml:space="preserve">TS-T8-P2L14-L550</t>
  </si>
  <si>
    <t xml:space="preserve">TS-T8-P2L14-L600</t>
  </si>
  <si>
    <t xml:space="preserve">TS-T8-P2L14-L700</t>
  </si>
  <si>
    <t xml:space="preserve">TS-T8-P2L14-L750</t>
  </si>
  <si>
    <t xml:space="preserve">TS-T8-P2L14-L800</t>
  </si>
  <si>
    <t xml:space="preserve">TS-T8-P2L2-L100</t>
  </si>
  <si>
    <t xml:space="preserve">TS-T8-P2L2-L1000</t>
  </si>
  <si>
    <t xml:space="preserve">TS-T8-P2L2-L1020</t>
  </si>
  <si>
    <t xml:space="preserve">1020</t>
  </si>
  <si>
    <t xml:space="preserve">TS-T8-P2L2-L1025</t>
  </si>
  <si>
    <t xml:space="preserve">1025</t>
  </si>
  <si>
    <t xml:space="preserve">TS-T8-P2L2-L1040</t>
  </si>
  <si>
    <t xml:space="preserve">TS-T8-P2L2-L1060</t>
  </si>
  <si>
    <t xml:space="preserve">TS-T8-P2L2-L1100</t>
  </si>
  <si>
    <t xml:space="preserve">TS-T8-P2L2-L120</t>
  </si>
  <si>
    <t xml:space="preserve">TS-T8-P2L2-L1200</t>
  </si>
  <si>
    <t xml:space="preserve">TS-T8-P2L2-L125</t>
  </si>
  <si>
    <t xml:space="preserve">TS-T8-P2L2-L1250</t>
  </si>
  <si>
    <t xml:space="preserve">TS-T8-P2L2-L1260</t>
  </si>
  <si>
    <t xml:space="preserve">1260</t>
  </si>
  <si>
    <t xml:space="preserve">TS-T8-P2L2-L130</t>
  </si>
  <si>
    <t xml:space="preserve">TS-T8-P2L2-L132</t>
  </si>
  <si>
    <t xml:space="preserve">TS-T8-P2L2-L135</t>
  </si>
  <si>
    <t xml:space="preserve">135</t>
  </si>
  <si>
    <t xml:space="preserve">TS-T8-P2L2-L140</t>
  </si>
  <si>
    <t xml:space="preserve">TS-T8-P2L2-L145</t>
  </si>
  <si>
    <t xml:space="preserve">TS-T8-P2L2-L150</t>
  </si>
  <si>
    <t xml:space="preserve">TS-T8-P2L2-L1500</t>
  </si>
  <si>
    <t xml:space="preserve">TS-T8-P2L2-L1550</t>
  </si>
  <si>
    <t xml:space="preserve">1550</t>
  </si>
  <si>
    <t xml:space="preserve">TS-T8-P2L2-L160</t>
  </si>
  <si>
    <t xml:space="preserve">TS-T8-P2L2-L165</t>
  </si>
  <si>
    <t xml:space="preserve">TS-T8-P2L2-L180</t>
  </si>
  <si>
    <t xml:space="preserve">TS-T8-P2L2-L190</t>
  </si>
  <si>
    <t xml:space="preserve">TS-T8-P2L2-L200</t>
  </si>
  <si>
    <t xml:space="preserve">TS-T8-P2L2-L2000</t>
  </si>
  <si>
    <t xml:space="preserve">TS-T8-P2L2-L2010</t>
  </si>
  <si>
    <t xml:space="preserve">2010</t>
  </si>
  <si>
    <t xml:space="preserve">TS-T8-P2L2-L202</t>
  </si>
  <si>
    <t xml:space="preserve">TS-T8-P2L2-L210</t>
  </si>
  <si>
    <t xml:space="preserve">TS-T8-P2L2-L220</t>
  </si>
  <si>
    <t xml:space="preserve">TS-T8-P2L2-L230</t>
  </si>
  <si>
    <t xml:space="preserve">TS-T8-P2L2-L240</t>
  </si>
  <si>
    <t xml:space="preserve">TS-T8-P2L2-L245</t>
  </si>
  <si>
    <t xml:space="preserve">TS-T8-P2L2-L250</t>
  </si>
  <si>
    <t xml:space="preserve">TS-T8-P2L2-L260</t>
  </si>
  <si>
    <t xml:space="preserve">TS-T8-P2L2-L265</t>
  </si>
  <si>
    <t xml:space="preserve">TS-T8-P2L2-L270</t>
  </si>
  <si>
    <t xml:space="preserve">TS-T8-P2L2-L285</t>
  </si>
  <si>
    <t xml:space="preserve">TS-T8-P2L2-L290</t>
  </si>
  <si>
    <t xml:space="preserve">TS-T8-P2L2-L30</t>
  </si>
  <si>
    <t xml:space="preserve">TS-T8-P2L2-L300</t>
  </si>
  <si>
    <t xml:space="preserve">TS-T8-P2L2-L310</t>
  </si>
  <si>
    <t xml:space="preserve">TS-T8-P2L2-L315</t>
  </si>
  <si>
    <t xml:space="preserve">TS-T8-P2L2-L320</t>
  </si>
  <si>
    <t xml:space="preserve">TS-T8-P2L2-L324</t>
  </si>
  <si>
    <t xml:space="preserve">TS-T8-P2L2-L327</t>
  </si>
  <si>
    <t xml:space="preserve">TS-T8-P2L2-L330</t>
  </si>
  <si>
    <t xml:space="preserve">TS-T8-P2L2-L335</t>
  </si>
  <si>
    <t xml:space="preserve">TS-T8-P2L2-L340</t>
  </si>
  <si>
    <t xml:space="preserve">TS-T8-P2L2-L350</t>
  </si>
  <si>
    <t xml:space="preserve">TS-T8-P2L2-L360</t>
  </si>
  <si>
    <t xml:space="preserve">TS-T8-P2L2-L370</t>
  </si>
  <si>
    <t xml:space="preserve">TS-T8-P2L2-L380</t>
  </si>
  <si>
    <t xml:space="preserve">TS-T8-P2L2-L385</t>
  </si>
  <si>
    <t xml:space="preserve">TS-T8-P2L2-L390</t>
  </si>
  <si>
    <t xml:space="preserve">TS-T8-P2L2-L400</t>
  </si>
  <si>
    <t xml:space="preserve">TS-T8-P2L2-L420</t>
  </si>
  <si>
    <t xml:space="preserve">TS-T8-P2L2-L425</t>
  </si>
  <si>
    <t xml:space="preserve">TS-T8-P2L2-L440</t>
  </si>
  <si>
    <t xml:space="preserve">TS-T8-P2L2-L445</t>
  </si>
  <si>
    <t xml:space="preserve">445</t>
  </si>
  <si>
    <t xml:space="preserve">TS-T8-P2L2-L450</t>
  </si>
  <si>
    <t xml:space="preserve">TS-T8-P2L2-L452</t>
  </si>
  <si>
    <t xml:space="preserve">452</t>
  </si>
  <si>
    <t xml:space="preserve">TS-T8-P2L2-L460</t>
  </si>
  <si>
    <t xml:space="preserve">TS-T8-P2L2-L470</t>
  </si>
  <si>
    <t xml:space="preserve">TS-T8-P2L2-L490</t>
  </si>
  <si>
    <t xml:space="preserve">TS-T8-P2L2-L500</t>
  </si>
  <si>
    <t xml:space="preserve">TS-T8-P2L2-L514</t>
  </si>
  <si>
    <t xml:space="preserve">514</t>
  </si>
  <si>
    <t xml:space="preserve">TS-T8-P2L2-L520</t>
  </si>
  <si>
    <t xml:space="preserve">TS-T8-P2L2-L530</t>
  </si>
  <si>
    <t xml:space="preserve">TS-T8-P2L2-L540</t>
  </si>
  <si>
    <t xml:space="preserve">TS-T8-P2L2-L550</t>
  </si>
  <si>
    <t xml:space="preserve">TS-T8-P2L2-L570</t>
  </si>
  <si>
    <t xml:space="preserve">TS-T8-P2L2-L590</t>
  </si>
  <si>
    <t xml:space="preserve">590</t>
  </si>
  <si>
    <t xml:space="preserve">TS-T8-P2L2-L600</t>
  </si>
  <si>
    <t xml:space="preserve">TS-T8-P2L2-L620</t>
  </si>
  <si>
    <t xml:space="preserve">TS-T8-P2L2-L640</t>
  </si>
  <si>
    <t xml:space="preserve">TS-T8-P2L2-L650</t>
  </si>
  <si>
    <t xml:space="preserve">TS-T8-P2L2-L66</t>
  </si>
  <si>
    <t xml:space="preserve">TS-T8-P2L2-L660</t>
  </si>
  <si>
    <t xml:space="preserve">TS-T8-P2L2-L700</t>
  </si>
  <si>
    <t xml:space="preserve">TS-T8-P2L2-L72</t>
  </si>
  <si>
    <t xml:space="preserve">TS-T8-P2L2-L740</t>
  </si>
  <si>
    <t xml:space="preserve">TS-T8-P2L2-L750</t>
  </si>
  <si>
    <t xml:space="preserve">TS-T8-P2L2-L80</t>
  </si>
  <si>
    <t xml:space="preserve">TS-T8-P2L2-L800</t>
  </si>
  <si>
    <t xml:space="preserve">TS-T8-P2L2-L85</t>
  </si>
  <si>
    <t xml:space="preserve">TS-T8-P2L2-L900</t>
  </si>
  <si>
    <t xml:space="preserve">TS-T8-P2L2-L92</t>
  </si>
  <si>
    <t xml:space="preserve">TS-T8-P2L2-L940</t>
  </si>
  <si>
    <t xml:space="preserve">940</t>
  </si>
  <si>
    <t xml:space="preserve">TS-T8-P2L2-L95</t>
  </si>
  <si>
    <t xml:space="preserve">95</t>
  </si>
  <si>
    <t xml:space="preserve">TS-T8-P2L2-L97</t>
  </si>
  <si>
    <t xml:space="preserve">97</t>
  </si>
  <si>
    <t xml:space="preserve">TS-T8-P2L2-LH-L300</t>
  </si>
  <si>
    <t xml:space="preserve">TS-T8-P2L2-LH-L400</t>
  </si>
  <si>
    <t xml:space="preserve">TS-T8-P2L4-L100</t>
  </si>
  <si>
    <t xml:space="preserve">TS-T8-P2L4-L1000</t>
  </si>
  <si>
    <t xml:space="preserve">TS-T8-P2L4-L1040</t>
  </si>
  <si>
    <t xml:space="preserve">TS-T8-P2L4-L1050</t>
  </si>
  <si>
    <t xml:space="preserve">TS-T8-P2L4-L1100</t>
  </si>
  <si>
    <t xml:space="preserve">TS-T8-P2L4-L120</t>
  </si>
  <si>
    <t xml:space="preserve">TS-T8-P2L4-L1200</t>
  </si>
  <si>
    <t xml:space="preserve">TS-T8-P2L4-L1210</t>
  </si>
  <si>
    <t xml:space="preserve">TS-T8-P2L4-L1230</t>
  </si>
  <si>
    <t xml:space="preserve">TS-T8-P2L4-L1240</t>
  </si>
  <si>
    <t xml:space="preserve">TS-T8-P2L4-L125</t>
  </si>
  <si>
    <t xml:space="preserve">TS-T8-P2L4-L140</t>
  </si>
  <si>
    <t xml:space="preserve">TS-T8-P2L4-L150</t>
  </si>
  <si>
    <t xml:space="preserve">TS-T8-P2L4-L1500</t>
  </si>
  <si>
    <t xml:space="preserve">TS-T8-P2L4-L160</t>
  </si>
  <si>
    <t xml:space="preserve">TS-T8-P2L4-L170</t>
  </si>
  <si>
    <t xml:space="preserve">TS-T8-P2L4-L175</t>
  </si>
  <si>
    <t xml:space="preserve">TS-T8-P2L4-L176</t>
  </si>
  <si>
    <t xml:space="preserve">TS-T8-P2L4-L190</t>
  </si>
  <si>
    <t xml:space="preserve">TS-T8-P2L4-L200</t>
  </si>
  <si>
    <t xml:space="preserve">TS-T8-P2L4-L2000</t>
  </si>
  <si>
    <t xml:space="preserve">TS-T8-P2L4-L2010</t>
  </si>
  <si>
    <t xml:space="preserve">TS-T8-P2L4-L210</t>
  </si>
  <si>
    <t xml:space="preserve">TS-T8-P2L4-L220</t>
  </si>
  <si>
    <t xml:space="preserve">TS-T8-P2L4-L226</t>
  </si>
  <si>
    <t xml:space="preserve">TS-T8-P2L4-L230</t>
  </si>
  <si>
    <t xml:space="preserve">TS-T8-P2L4-L240</t>
  </si>
  <si>
    <t xml:space="preserve">TS-T8-P2L4-L250</t>
  </si>
  <si>
    <t xml:space="preserve">TS-T8-P2L4-L260</t>
  </si>
  <si>
    <t xml:space="preserve">TS-T8-P2L4-L270</t>
  </si>
  <si>
    <t xml:space="preserve">TS-T8-P2L4-L280</t>
  </si>
  <si>
    <t xml:space="preserve">TS-T8-P2L4-L290</t>
  </si>
  <si>
    <t xml:space="preserve">TS-T8-P2L4-L300</t>
  </si>
  <si>
    <t xml:space="preserve">TS-T8-P2L4-L310</t>
  </si>
  <si>
    <t xml:space="preserve">TS-T8-P2L4-L320</t>
  </si>
  <si>
    <t xml:space="preserve">TS-T8-P2L4-L330</t>
  </si>
  <si>
    <t xml:space="preserve">TS-T8-P2L4-L335</t>
  </si>
  <si>
    <t xml:space="preserve">TS-T8-P2L4-L340</t>
  </si>
  <si>
    <t xml:space="preserve">TS-T8-P2L4-L350</t>
  </si>
  <si>
    <t xml:space="preserve">TS-T8-P2L4-L360</t>
  </si>
  <si>
    <t xml:space="preserve">TS-T8-P2L4-L370</t>
  </si>
  <si>
    <t xml:space="preserve">TS-T8-P2L4-L375</t>
  </si>
  <si>
    <t xml:space="preserve">TS-T8-P2L4-L380</t>
  </si>
  <si>
    <t xml:space="preserve">TS-T8-P2L4-L390</t>
  </si>
  <si>
    <t xml:space="preserve">TS-T8-P2L4-L400</t>
  </si>
  <si>
    <t xml:space="preserve">TS-T8-P2L4-L425</t>
  </si>
  <si>
    <t xml:space="preserve">TS-T8-P2L4-L440</t>
  </si>
  <si>
    <t xml:space="preserve">TS-T8-P2L4-L450</t>
  </si>
  <si>
    <t xml:space="preserve">TS-T8-P2L4-L460</t>
  </si>
  <si>
    <t xml:space="preserve">TS-T8-P2L4-L470</t>
  </si>
  <si>
    <t xml:space="preserve">TS-T8-P2L4-L477</t>
  </si>
  <si>
    <t xml:space="preserve">TS-T8-P2L4-L480</t>
  </si>
  <si>
    <t xml:space="preserve">TS-T8-P2L4-L490</t>
  </si>
  <si>
    <t xml:space="preserve">TS-T8-P2L4-L500</t>
  </si>
  <si>
    <t xml:space="preserve">TS-T8-P2L4-L520</t>
  </si>
  <si>
    <t xml:space="preserve">TS-T8-P2L4-L535</t>
  </si>
  <si>
    <t xml:space="preserve">535</t>
  </si>
  <si>
    <t xml:space="preserve">TS-T8-P2L4-L540</t>
  </si>
  <si>
    <t xml:space="preserve">TS-T8-P2L4-L550</t>
  </si>
  <si>
    <t xml:space="preserve">TS-T8-P2L4-L580</t>
  </si>
  <si>
    <t xml:space="preserve">580</t>
  </si>
  <si>
    <t xml:space="preserve">TS-T8-P2L4-L590</t>
  </si>
  <si>
    <t xml:space="preserve">TS-T8-P2L4-L600</t>
  </si>
  <si>
    <t xml:space="preserve">TS-T8-P2L4-L605</t>
  </si>
  <si>
    <t xml:space="preserve">605</t>
  </si>
  <si>
    <t xml:space="preserve">TS-T8-P2L4-L620</t>
  </si>
  <si>
    <t xml:space="preserve">TS-T8-P2L4-L650</t>
  </si>
  <si>
    <t xml:space="preserve">TS-T8-P2L4-L66</t>
  </si>
  <si>
    <t xml:space="preserve">TS-T8-P2L4-L690</t>
  </si>
  <si>
    <t xml:space="preserve">TS-T8-P2L4-L700</t>
  </si>
  <si>
    <t xml:space="preserve">TS-T8-P2L4-L740</t>
  </si>
  <si>
    <t xml:space="preserve">TS-T8-P2L4-L750</t>
  </si>
  <si>
    <t xml:space="preserve">TS-T8-P2L4-L800</t>
  </si>
  <si>
    <t xml:space="preserve">TS-T8-P2L4-L840</t>
  </si>
  <si>
    <t xml:space="preserve">TS-T8-P2L4-L850</t>
  </si>
  <si>
    <t xml:space="preserve">TS-T8-P2L4-L900</t>
  </si>
  <si>
    <t xml:space="preserve">TS-T8-P2L4-LH-L1000</t>
  </si>
  <si>
    <t xml:space="preserve">TS-T8-P2L4-LH-L500</t>
  </si>
  <si>
    <t xml:space="preserve">TS-T8-P2L4-LH-L600</t>
  </si>
  <si>
    <t xml:space="preserve">TS-T8-P2L6-L300</t>
  </si>
  <si>
    <t xml:space="preserve">TS-T8-P2L6-L700</t>
  </si>
  <si>
    <t xml:space="preserve">TS-T8-P2L8-L100</t>
  </si>
  <si>
    <t xml:space="preserve">TS-T8-P2L8-L1000</t>
  </si>
  <si>
    <t xml:space="preserve">TS-T8-P2L8-L1020</t>
  </si>
  <si>
    <t xml:space="preserve">TS-T8-P2L8-L1040</t>
  </si>
  <si>
    <t xml:space="preserve">TS-T8-P2L8-L1050</t>
  </si>
  <si>
    <t xml:space="preserve">TS-T8-P2L8-L1060</t>
  </si>
  <si>
    <t xml:space="preserve">TS-T8-P2L8-L1100</t>
  </si>
  <si>
    <t xml:space="preserve">TS-T8-P2L8-L120</t>
  </si>
  <si>
    <t xml:space="preserve">TS-T8-P2L8-L1200</t>
  </si>
  <si>
    <t xml:space="preserve">TS-T8-P2L8-L1240</t>
  </si>
  <si>
    <t xml:space="preserve">TS-T8-P2L8-L125</t>
  </si>
  <si>
    <t xml:space="preserve">TS-T8-P2L8-L1250</t>
  </si>
  <si>
    <t xml:space="preserve">TS-T8-P2L8-L130</t>
  </si>
  <si>
    <t xml:space="preserve">TS-T8-P2L8-L135</t>
  </si>
  <si>
    <t xml:space="preserve">TS-T8-P2L8-L1440</t>
  </si>
  <si>
    <t xml:space="preserve">TS-T8-P2L8-L150</t>
  </si>
  <si>
    <t xml:space="preserve">TS-T8-P2L8-L1500</t>
  </si>
  <si>
    <t xml:space="preserve">TS-T8-P2L8-L1520</t>
  </si>
  <si>
    <t xml:space="preserve">TS-T8-P2L8-L1540</t>
  </si>
  <si>
    <t xml:space="preserve">TS-T8-P2L8-L1550</t>
  </si>
  <si>
    <t xml:space="preserve">TS-T8-P2L8-L1560</t>
  </si>
  <si>
    <t xml:space="preserve">1560</t>
  </si>
  <si>
    <t xml:space="preserve">TS-T8-P2L8-L160</t>
  </si>
  <si>
    <t xml:space="preserve">TS-T8-P2L8-L170</t>
  </si>
  <si>
    <t xml:space="preserve">TS-T8-P2L8-L180</t>
  </si>
  <si>
    <t xml:space="preserve">TS-T8-P2L8-L190</t>
  </si>
  <si>
    <t xml:space="preserve">TS-T8-P2L8-L200</t>
  </si>
  <si>
    <t xml:space="preserve">TS-T8-P2L8-L2000</t>
  </si>
  <si>
    <t xml:space="preserve">TS-T8-P2L8-L2010</t>
  </si>
  <si>
    <t xml:space="preserve">TS-T8-P2L8-L2040</t>
  </si>
  <si>
    <t xml:space="preserve">2040</t>
  </si>
  <si>
    <t xml:space="preserve">TS-T8-P2L8-L210</t>
  </si>
  <si>
    <t xml:space="preserve">TS-T8-P2L8-L220</t>
  </si>
  <si>
    <t xml:space="preserve">TS-T8-P2L8-L230</t>
  </si>
  <si>
    <t xml:space="preserve">TS-T8-P2L8-L240</t>
  </si>
  <si>
    <t xml:space="preserve">TS-T8-P2L8-L245</t>
  </si>
  <si>
    <t xml:space="preserve">TS-T8-P2L8-L250</t>
  </si>
  <si>
    <t xml:space="preserve">TS-T8-P2L8-L260</t>
  </si>
  <si>
    <t xml:space="preserve">TS-T8-P2L8-L270</t>
  </si>
  <si>
    <t xml:space="preserve">TS-T8-P2L8-L280</t>
  </si>
  <si>
    <t xml:space="preserve">TS-T8-P2L8-L282</t>
  </si>
  <si>
    <t xml:space="preserve">TS-T8-P2L8-L290</t>
  </si>
  <si>
    <t xml:space="preserve">TS-T8-P2L8-L300</t>
  </si>
  <si>
    <t xml:space="preserve">TS-T8-P2L8-L305</t>
  </si>
  <si>
    <t xml:space="preserve">TS-T8-P2L8-L310</t>
  </si>
  <si>
    <t xml:space="preserve">TS-T8-P2L8-L315</t>
  </si>
  <si>
    <t xml:space="preserve">TS-T8-P2L8-L320</t>
  </si>
  <si>
    <t xml:space="preserve">TS-T8-P2L8-L330</t>
  </si>
  <si>
    <t xml:space="preserve">TS-T8-P2L8-L335</t>
  </si>
  <si>
    <t xml:space="preserve">TS-T8-P2L8-L340</t>
  </si>
  <si>
    <t xml:space="preserve">TS-T8-P2L8-L350</t>
  </si>
  <si>
    <t xml:space="preserve">TS-T8-P2L8-L360</t>
  </si>
  <si>
    <t xml:space="preserve">TS-T8-P2L8-L365</t>
  </si>
  <si>
    <t xml:space="preserve">TS-T8-P2L8-L370</t>
  </si>
  <si>
    <t xml:space="preserve">TS-T8-P2L8-L380</t>
  </si>
  <si>
    <t xml:space="preserve">TS-T8-P2L8-L384</t>
  </si>
  <si>
    <t xml:space="preserve">TS-T8-P2L8-L390</t>
  </si>
  <si>
    <t xml:space="preserve">TS-T8-P2L8-L400</t>
  </si>
  <si>
    <t xml:space="preserve">TS-T8-P2L8-L420</t>
  </si>
  <si>
    <t xml:space="preserve">TS-T8-P2L8-L425</t>
  </si>
  <si>
    <t xml:space="preserve">TS-T8-P2L8-L440</t>
  </si>
  <si>
    <t xml:space="preserve">TS-T8-P2L8-L445</t>
  </si>
  <si>
    <t xml:space="preserve">TS-T8-P2L8-L450</t>
  </si>
  <si>
    <t xml:space="preserve">TS-T8-P2L8-L455</t>
  </si>
  <si>
    <t xml:space="preserve">TS-T8-P2L8-L460</t>
  </si>
  <si>
    <t xml:space="preserve">TS-T8-P2L8-L470</t>
  </si>
  <si>
    <t xml:space="preserve">TS-T8-P2L8-L480</t>
  </si>
  <si>
    <t xml:space="preserve">TS-T8-P2L8-L483</t>
  </si>
  <si>
    <t xml:space="preserve">TS-T8-P2L8-L488</t>
  </si>
  <si>
    <t xml:space="preserve">TS-T8-P2L8-L490</t>
  </si>
  <si>
    <t xml:space="preserve">TS-T8-P2L8-L492</t>
  </si>
  <si>
    <t xml:space="preserve">TS-T8-P2L8-L500</t>
  </si>
  <si>
    <t xml:space="preserve">TS-T8-P2L8-L510</t>
  </si>
  <si>
    <t xml:space="preserve">TS-T8-P2L8-L514</t>
  </si>
  <si>
    <t xml:space="preserve">TS-T8-P2L8-L520</t>
  </si>
  <si>
    <t xml:space="preserve">TS-T8-P2L8-L530</t>
  </si>
  <si>
    <t xml:space="preserve">TS-T8-P2L8-L540</t>
  </si>
  <si>
    <t xml:space="preserve">TS-T8-P2L8-L545</t>
  </si>
  <si>
    <t xml:space="preserve">545</t>
  </si>
  <si>
    <t xml:space="preserve">TS-T8-P2L8-L550</t>
  </si>
  <si>
    <t xml:space="preserve">TS-T8-P2L8-L570</t>
  </si>
  <si>
    <t xml:space="preserve">TS-T8-P2L8-L580</t>
  </si>
  <si>
    <t xml:space="preserve">TS-T8-P2L8-L590</t>
  </si>
  <si>
    <t xml:space="preserve">TS-T8-P2L8-L600</t>
  </si>
  <si>
    <t xml:space="preserve">TS-T8-P2L8-L605</t>
  </si>
  <si>
    <t xml:space="preserve">TS-T8-P2L8-L620</t>
  </si>
  <si>
    <t xml:space="preserve">TS-T8-P2L8-L640</t>
  </si>
  <si>
    <t xml:space="preserve">TS-T8-P2L8-L650</t>
  </si>
  <si>
    <t xml:space="preserve">TS-T8-P2L8-L690</t>
  </si>
  <si>
    <t xml:space="preserve">TS-T8-P2L8-L700</t>
  </si>
  <si>
    <t xml:space="preserve">TS-T8-P2L8-L720</t>
  </si>
  <si>
    <t xml:space="preserve">TS-T8-P2L8-L740</t>
  </si>
  <si>
    <t xml:space="preserve">TS-T8-P2L8-L750</t>
  </si>
  <si>
    <t xml:space="preserve">TS-T8-P2L8-L780</t>
  </si>
  <si>
    <t xml:space="preserve">TS-T8-P2L8-L80</t>
  </si>
  <si>
    <t xml:space="preserve">TS-T8-P2L8-L800</t>
  </si>
  <si>
    <t xml:space="preserve">TS-T8-P2L8-L820</t>
  </si>
  <si>
    <t xml:space="preserve">TS-T8-P2L8-L840</t>
  </si>
  <si>
    <t xml:space="preserve">TS-T8-P2L8-L850</t>
  </si>
  <si>
    <t xml:space="preserve">TS-T8-P2L8-L900</t>
  </si>
  <si>
    <t xml:space="preserve">TS-T8-P2L8-L910</t>
  </si>
  <si>
    <t xml:space="preserve">TS-T8-P2L8-L920</t>
  </si>
  <si>
    <t xml:space="preserve">TS-T8-P2L8-L940</t>
  </si>
  <si>
    <t xml:space="preserve">TS-T8-P2L8-L985</t>
  </si>
  <si>
    <t xml:space="preserve">985</t>
  </si>
  <si>
    <t xml:space="preserve">TS-T8-P2L8-L988</t>
  </si>
  <si>
    <t xml:space="preserve">988</t>
  </si>
  <si>
    <t xml:space="preserve">TS-T8-P2L8-L996</t>
  </si>
  <si>
    <t xml:space="preserve">996</t>
  </si>
  <si>
    <t xml:space="preserve">TS-T8-P2L8-LH-L1000</t>
  </si>
  <si>
    <t xml:space="preserve">TS-T8-P2L8-LH-L1200</t>
  </si>
  <si>
    <t xml:space="preserve">TS-T8-P2L8-LH-L200</t>
  </si>
  <si>
    <t xml:space="preserve">TS-T8-P2L8-LH-L250</t>
  </si>
  <si>
    <t xml:space="preserve">TS-T8-P2L8-LH-L300</t>
  </si>
  <si>
    <t xml:space="preserve">TS-T8-P2L8-LH-L400</t>
  </si>
  <si>
    <t xml:space="preserve">TS-T8-P2L8-LH-L450</t>
  </si>
  <si>
    <t xml:space="preserve">TS-T8-P2L8-LH-L500</t>
  </si>
  <si>
    <t xml:space="preserve">TS-T8-P2L8-RL-L1000</t>
  </si>
  <si>
    <t xml:space="preserve">RH/LH</t>
  </si>
  <si>
    <t xml:space="preserve">TS-T8-P3L3-L100</t>
  </si>
  <si>
    <t xml:space="preserve">TS-T8-P3L3-L1200</t>
  </si>
  <si>
    <t xml:space="preserve">TS-T8-P3L3-L1540</t>
  </si>
  <si>
    <t xml:space="preserve">TS-T8-P3L3-L190</t>
  </si>
  <si>
    <t xml:space="preserve">TS-T8-P3L3-L200</t>
  </si>
  <si>
    <t xml:space="preserve">TS-T8-P3L3-L240</t>
  </si>
  <si>
    <t xml:space="preserve">TS-T8-P3L3-L250</t>
  </si>
  <si>
    <t xml:space="preserve">TS-T8-P3L3-L300</t>
  </si>
  <si>
    <t xml:space="preserve">TS-T8-P3L3-L310</t>
  </si>
  <si>
    <t xml:space="preserve">TS-T8-P3L3-L350</t>
  </si>
  <si>
    <t xml:space="preserve">TS-T8-P3L3-L400</t>
  </si>
  <si>
    <t xml:space="preserve">TS-T8-P3L3-L500</t>
  </si>
  <si>
    <t xml:space="preserve">Trapezoidal Lead Screw + Nut Kit (by length)  [Lead Screws]</t>
  </si>
  <si>
    <t xml:space="preserve">Nut Style</t>
  </si>
  <si>
    <t xml:space="preserve">stud + nut</t>
  </si>
  <si>
    <t xml:space="preserve">TSN-T10-P1L1-L300</t>
  </si>
  <si>
    <t xml:space="preserve">TSN-T10-P2L10-L600-K13</t>
  </si>
  <si>
    <t xml:space="preserve">13 -pc loose</t>
  </si>
  <si>
    <t xml:space="preserve">TSN-T12-P2L12-L1000</t>
  </si>
  <si>
    <t xml:space="preserve">TSN-T12-P2L12-L1200</t>
  </si>
  <si>
    <t xml:space="preserve">TSN-T12-P2L12-L1210</t>
  </si>
  <si>
    <t xml:space="preserve">TSN-T12-P2L12-L1500</t>
  </si>
  <si>
    <t xml:space="preserve">TSN-T12-P2L12-L1540</t>
  </si>
  <si>
    <t xml:space="preserve">TSN-T12-P2L12-L2000</t>
  </si>
  <si>
    <t xml:space="preserve">TSN-T12-P2L12-L250</t>
  </si>
  <si>
    <t xml:space="preserve">TSN-T12-P2L12-L300</t>
  </si>
  <si>
    <t xml:space="preserve">TSN-T12-P2L12-L360</t>
  </si>
  <si>
    <t xml:space="preserve">TSN-T12-P2L12-L500</t>
  </si>
  <si>
    <t xml:space="preserve">TSN-T12-P2L12-L650</t>
  </si>
  <si>
    <t xml:space="preserve">TSN-T12-P2L12-L700</t>
  </si>
  <si>
    <t xml:space="preserve">TSN-T12-P2L12-L750</t>
  </si>
  <si>
    <t xml:space="preserve">TSN-T12-P2L14-L1000</t>
  </si>
  <si>
    <t xml:space="preserve">TSN-T12-P2L14-L1200</t>
  </si>
  <si>
    <t xml:space="preserve">TSN-T12-P2L14-L150</t>
  </si>
  <si>
    <t xml:space="preserve">TSN-T12-P2L14-L200</t>
  </si>
  <si>
    <t xml:space="preserve">TSN-T12-P2L14-L2000</t>
  </si>
  <si>
    <t xml:space="preserve">TSN-T12-P2L14-L350</t>
  </si>
  <si>
    <t xml:space="preserve">TSN-T12-P2L14-L400</t>
  </si>
  <si>
    <t xml:space="preserve">TSN-T12-P2L14-L500</t>
  </si>
  <si>
    <t xml:space="preserve">TSN-T12-P2L14-L550</t>
  </si>
  <si>
    <t xml:space="preserve">TSN-T12-P2L14-L700</t>
  </si>
  <si>
    <t xml:space="preserve">TSN-T12-P2L14-L950</t>
  </si>
  <si>
    <t xml:space="preserve">TSN-T12-P2L2-L100</t>
  </si>
  <si>
    <t xml:space="preserve">TSN-T12-P2L2-L1000</t>
  </si>
  <si>
    <t xml:space="preserve">TSN-T12-P2L2-L1100</t>
  </si>
  <si>
    <t xml:space="preserve">TSN-T12-P2L2-L150</t>
  </si>
  <si>
    <t xml:space="preserve">TSN-T12-P2L2-L1500</t>
  </si>
  <si>
    <t xml:space="preserve">TSN-T12-P2L2-L160</t>
  </si>
  <si>
    <t xml:space="preserve">TSN-T12-P2L2-L160-AB</t>
  </si>
  <si>
    <t xml:space="preserve">with anti-backlash nut</t>
  </si>
  <si>
    <t xml:space="preserve">TSN-T12-P2L2-L200</t>
  </si>
  <si>
    <t xml:space="preserve">TSN-T12-P2L2-L200-AB</t>
  </si>
  <si>
    <t xml:space="preserve">TSN-T12-P2L2-L2000</t>
  </si>
  <si>
    <t xml:space="preserve">TSN-T12-P2L2-L250</t>
  </si>
  <si>
    <t xml:space="preserve">TSN-T12-P2L2-L250-AB</t>
  </si>
  <si>
    <t xml:space="preserve">TSN-T12-P2L2-L300</t>
  </si>
  <si>
    <t xml:space="preserve">TSN-T12-P2L2-L350</t>
  </si>
  <si>
    <t xml:space="preserve">TSN-T12-P2L2-L350-AB</t>
  </si>
  <si>
    <t xml:space="preserve">TSN-T12-P2L2-L360</t>
  </si>
  <si>
    <t xml:space="preserve">TSN-T12-P2L2-L400</t>
  </si>
  <si>
    <t xml:space="preserve">TSN-T12-P2L2-L400-AB</t>
  </si>
  <si>
    <t xml:space="preserve">TSN-T12-P2L2-L450</t>
  </si>
  <si>
    <t xml:space="preserve">TSN-T12-P2L2-L450-AB</t>
  </si>
  <si>
    <t xml:space="preserve">TSN-T12-P2L2-L500</t>
  </si>
  <si>
    <t xml:space="preserve">TSN-T12-P2L2-L550</t>
  </si>
  <si>
    <t xml:space="preserve">TSN-T12-P2L2-L600</t>
  </si>
  <si>
    <t xml:space="preserve">TSN-T12-P2L2-L600-AB</t>
  </si>
  <si>
    <t xml:space="preserve">TSN-T12-P2L2-L650</t>
  </si>
  <si>
    <t xml:space="preserve">TSN-T12-P2L2-L700</t>
  </si>
  <si>
    <t xml:space="preserve">TSN-T12-P2L2-L720</t>
  </si>
  <si>
    <t xml:space="preserve">TSN-T12-P2L2-L750</t>
  </si>
  <si>
    <t xml:space="preserve">TSN-T12-P2L2-L800</t>
  </si>
  <si>
    <t xml:space="preserve">TSN-T12-P2L20-L1000</t>
  </si>
  <si>
    <t xml:space="preserve">TSN-T12-P2L20-L150</t>
  </si>
  <si>
    <t xml:space="preserve">TSN-T12-P2L20-L300</t>
  </si>
  <si>
    <t xml:space="preserve">TSN-T12-P2L20-L350</t>
  </si>
  <si>
    <t xml:space="preserve">TSN-T12-P2L20-L380</t>
  </si>
  <si>
    <t xml:space="preserve">TSN-T12-P2L4-L1000</t>
  </si>
  <si>
    <t xml:space="preserve">TSN-T12-P2L4-L1100</t>
  </si>
  <si>
    <t xml:space="preserve">TSN-T12-P2L4-L1500</t>
  </si>
  <si>
    <t xml:space="preserve">TSN-T12-P2L4-L170</t>
  </si>
  <si>
    <t xml:space="preserve">TSN-T12-P2L4-L200</t>
  </si>
  <si>
    <t xml:space="preserve">TSN-T12-P2L4-L2000</t>
  </si>
  <si>
    <t xml:space="preserve">TSN-T12-P2L4-L210</t>
  </si>
  <si>
    <t xml:space="preserve">TSN-T12-P2L4-L220</t>
  </si>
  <si>
    <t xml:space="preserve">TSN-T12-P2L4-L222</t>
  </si>
  <si>
    <t xml:space="preserve">TSN-T12-P2L4-L250</t>
  </si>
  <si>
    <t xml:space="preserve">TSN-T12-P2L4-L300</t>
  </si>
  <si>
    <t xml:space="preserve">TSN-T12-P2L4-L350</t>
  </si>
  <si>
    <t xml:space="preserve">TSN-T12-P2L4-L360</t>
  </si>
  <si>
    <t xml:space="preserve">TSN-T12-P2L4-L400</t>
  </si>
  <si>
    <t xml:space="preserve">TSN-T12-P2L4-L500</t>
  </si>
  <si>
    <t xml:space="preserve">TSN-T12-P2L4-L600</t>
  </si>
  <si>
    <t xml:space="preserve">TSN-T12-P2L4-L700</t>
  </si>
  <si>
    <t xml:space="preserve">TSN-T12-P2L4-L750</t>
  </si>
  <si>
    <t xml:space="preserve">TSN-T12-P2L4-L800</t>
  </si>
  <si>
    <t xml:space="preserve">TSN-T12-P2L4-L900</t>
  </si>
  <si>
    <t xml:space="preserve">TSN-T12-P2L4-L950</t>
  </si>
  <si>
    <t xml:space="preserve">TSN-T12-P3L3-L100</t>
  </si>
  <si>
    <t xml:space="preserve">TSN-T12-P3L3-L1000</t>
  </si>
  <si>
    <t xml:space="preserve">TSN-T12-P3L3-L1010</t>
  </si>
  <si>
    <t xml:space="preserve">1010</t>
  </si>
  <si>
    <t xml:space="preserve">TSN-T12-P3L3-L1200</t>
  </si>
  <si>
    <t xml:space="preserve">TSN-T12-P3L3-L150</t>
  </si>
  <si>
    <t xml:space="preserve">TSN-T12-P3L3-L1500</t>
  </si>
  <si>
    <t xml:space="preserve">TSN-T12-P3L3-L200</t>
  </si>
  <si>
    <t xml:space="preserve">TSN-T12-P3L3-L2000</t>
  </si>
  <si>
    <t xml:space="preserve">TSN-T12-P3L3-L250</t>
  </si>
  <si>
    <t xml:space="preserve">TSN-T12-P3L3-L300</t>
  </si>
  <si>
    <t xml:space="preserve">TSN-T12-P3L3-L350</t>
  </si>
  <si>
    <t xml:space="preserve">TSN-T12-P3L3-L360</t>
  </si>
  <si>
    <t xml:space="preserve">TSN-T12-P3L3-L400</t>
  </si>
  <si>
    <t xml:space="preserve">TSN-T12-P3L3-L450</t>
  </si>
  <si>
    <t xml:space="preserve">TSN-T12-P3L3-L500</t>
  </si>
  <si>
    <t xml:space="preserve">TSN-T12-P3L3-L550</t>
  </si>
  <si>
    <t xml:space="preserve">TSN-T12-P3L3-L600</t>
  </si>
  <si>
    <t xml:space="preserve">TSN-T12-P3L3-L650</t>
  </si>
  <si>
    <t xml:space="preserve">TSN-T12-P3L3-L700</t>
  </si>
  <si>
    <t xml:space="preserve">TSN-T12-P3L3-L750</t>
  </si>
  <si>
    <t xml:space="preserve">TSN-T12-P3L3-L800</t>
  </si>
  <si>
    <t xml:space="preserve">TSN-T12-P3L3-L950</t>
  </si>
  <si>
    <t xml:space="preserve">TSN-T12-P4L20-L1000</t>
  </si>
  <si>
    <t xml:space="preserve">pitch 4 lead 20</t>
  </si>
  <si>
    <t xml:space="preserve">TSN-T14-P3L3-L1000</t>
  </si>
  <si>
    <t xml:space="preserve">T14</t>
  </si>
  <si>
    <t xml:space="preserve">TSN-T14-P3L3-L2000</t>
  </si>
  <si>
    <t xml:space="preserve">TSN-T14-P3L3-L310</t>
  </si>
  <si>
    <t xml:space="preserve">TSN-T14-P3L3-L400</t>
  </si>
  <si>
    <t xml:space="preserve">TSN-T14-P3L3-L750</t>
  </si>
  <si>
    <t xml:space="preserve">TSN-T14-P3L6-L300</t>
  </si>
  <si>
    <t xml:space="preserve">TSN-T14-P3L6-L900</t>
  </si>
  <si>
    <t xml:space="preserve">TSN-T16-L4-L1000</t>
  </si>
  <si>
    <t xml:space="preserve">T16</t>
  </si>
  <si>
    <t xml:space="preserve">lead 4</t>
  </si>
  <si>
    <t xml:space="preserve">TSN-T16-L4-L1100</t>
  </si>
  <si>
    <t xml:space="preserve">TSN-T16-L4-L1200</t>
  </si>
  <si>
    <t xml:space="preserve">TSN-T16-L4-L1300</t>
  </si>
  <si>
    <t xml:space="preserve">TSN-T16-L4-L1500</t>
  </si>
  <si>
    <t xml:space="preserve">TSN-T16-L4-L2000</t>
  </si>
  <si>
    <t xml:space="preserve">TSN-T16-L4-L300</t>
  </si>
  <si>
    <t xml:space="preserve">TSN-T16-L4-L450</t>
  </si>
  <si>
    <t xml:space="preserve">TSN-T16-L4-L460</t>
  </si>
  <si>
    <t xml:space="preserve">TSN-T16-L4-L500</t>
  </si>
  <si>
    <t xml:space="preserve">TSN-T16-L4-L550</t>
  </si>
  <si>
    <t xml:space="preserve">TSN-T16-L4-L600</t>
  </si>
  <si>
    <t xml:space="preserve">TSN-T16-L4-L850</t>
  </si>
  <si>
    <t xml:space="preserve">TSN-T16-L4-LH-L300</t>
  </si>
  <si>
    <t xml:space="preserve">TSN-T16-P2L2-L300</t>
  </si>
  <si>
    <t xml:space="preserve">TSN-T16-P3L3-L1000</t>
  </si>
  <si>
    <t xml:space="preserve">TSN-T16-P3L3-L300</t>
  </si>
  <si>
    <t xml:space="preserve">TSN-T16-P3L3-L500</t>
  </si>
  <si>
    <t xml:space="preserve">TSN-T16-P4L8-L1000</t>
  </si>
  <si>
    <t xml:space="preserve">pitch 4 lead 8</t>
  </si>
  <si>
    <t xml:space="preserve">TSN-T16-P4L8-L200</t>
  </si>
  <si>
    <t xml:space="preserve">TSN-T16-P4L8-L300</t>
  </si>
  <si>
    <t xml:space="preserve">TSN-T16-P4L8-L500</t>
  </si>
  <si>
    <t xml:space="preserve">TSN-T16-P4L8-L600</t>
  </si>
  <si>
    <t xml:space="preserve">TSN-T18-P4L4-L2000</t>
  </si>
  <si>
    <t xml:space="preserve">T18</t>
  </si>
  <si>
    <t xml:space="preserve">pitch 4 lead 4</t>
  </si>
  <si>
    <t xml:space="preserve">TSN-T18-P4L4-L500</t>
  </si>
  <si>
    <t xml:space="preserve">TSN-T20-P4L4-L1000</t>
  </si>
  <si>
    <t xml:space="preserve">TSN-T20-P4L4-L1300</t>
  </si>
  <si>
    <t xml:space="preserve">TSN-T20-P4L4-L2000</t>
  </si>
  <si>
    <t xml:space="preserve">TSN-T20-P4L4-L300</t>
  </si>
  <si>
    <t xml:space="preserve">TSN-T20-P4L4-L350</t>
  </si>
  <si>
    <t xml:space="preserve">TSN-T20-P4L4-L400</t>
  </si>
  <si>
    <t xml:space="preserve">TSN-T20-P4L4-L450</t>
  </si>
  <si>
    <t xml:space="preserve">TSN-T20-P4L4-L500</t>
  </si>
  <si>
    <t xml:space="preserve">TSN-T20-P4L4-L550</t>
  </si>
  <si>
    <t xml:space="preserve">TSN-T20-P4L4-L800</t>
  </si>
  <si>
    <t xml:space="preserve">TSN-T20-P4L4-LH-L300</t>
  </si>
  <si>
    <t xml:space="preserve">TSN-T20-P4L8-L300</t>
  </si>
  <si>
    <t xml:space="preserve">TSN-T22-P5L5-L1000</t>
  </si>
  <si>
    <t xml:space="preserve">T22</t>
  </si>
  <si>
    <t xml:space="preserve">pitch 5 lead 5</t>
  </si>
  <si>
    <t xml:space="preserve">TSN-T22-P5L5-L200</t>
  </si>
  <si>
    <t xml:space="preserve">TSN-T25-P5L10-L500</t>
  </si>
  <si>
    <t xml:space="preserve">T25</t>
  </si>
  <si>
    <t xml:space="preserve">pitch 5 lead 10</t>
  </si>
  <si>
    <t xml:space="preserve">TSN-T25-P5L5-L1000</t>
  </si>
  <si>
    <t xml:space="preserve">TSN-T25-P5L5-L2000</t>
  </si>
  <si>
    <t xml:space="preserve">TSN-T25-P5L5-L500</t>
  </si>
  <si>
    <t xml:space="preserve">TSN-T25-P5L5-L600</t>
  </si>
  <si>
    <t xml:space="preserve">TSN-T28-P5L5-L500</t>
  </si>
  <si>
    <t xml:space="preserve">T28</t>
  </si>
  <si>
    <t xml:space="preserve">TSN-T3.5-P1.2192L1.2192-L100</t>
  </si>
  <si>
    <t xml:space="preserve">pitch 1.2192 lead 1.2192</t>
  </si>
  <si>
    <t xml:space="preserve">TSN-T30-P6L6-L500</t>
  </si>
  <si>
    <t xml:space="preserve">T30</t>
  </si>
  <si>
    <t xml:space="preserve">pitch 6 lead 6</t>
  </si>
  <si>
    <t xml:space="preserve">TSN-T32-P6L6-L500</t>
  </si>
  <si>
    <t xml:space="preserve">T32</t>
  </si>
  <si>
    <t xml:space="preserve">TSN-T36-P6L6-L500</t>
  </si>
  <si>
    <t xml:space="preserve">T36</t>
  </si>
  <si>
    <t xml:space="preserve">TSN-T40-P6L6-L500</t>
  </si>
  <si>
    <t xml:space="preserve">T40</t>
  </si>
  <si>
    <t xml:space="preserve">TSN-T5-P1L2-L120-BK</t>
  </si>
  <si>
    <t xml:space="preserve">with black nut</t>
  </si>
  <si>
    <t xml:space="preserve">TSN-T6-P2L12-L100</t>
  </si>
  <si>
    <t xml:space="preserve">TSN-T6-P2L12-L1000</t>
  </si>
  <si>
    <t xml:space="preserve">TSN-T6-P2L12-L150</t>
  </si>
  <si>
    <t xml:space="preserve">TSN-T6-P2L12-L180</t>
  </si>
  <si>
    <t xml:space="preserve">TSN-T6-P2L12-L200</t>
  </si>
  <si>
    <t xml:space="preserve">TSN-T6-P2L12-L250</t>
  </si>
  <si>
    <t xml:space="preserve">TSN-T6-P2L12-L300</t>
  </si>
  <si>
    <t xml:space="preserve">TSN-T6-P2L12-L350</t>
  </si>
  <si>
    <t xml:space="preserve">TSN-T6-P2L12-L400</t>
  </si>
  <si>
    <t xml:space="preserve">TSN-T6-P2L12-L450</t>
  </si>
  <si>
    <t xml:space="preserve">TSN-T6-P2L12-L500</t>
  </si>
  <si>
    <t xml:space="preserve">TSN-T6-P2L12-L550</t>
  </si>
  <si>
    <t xml:space="preserve">TSN-T6-P2L12-L56</t>
  </si>
  <si>
    <t xml:space="preserve">TSN-T8-P1L1-L100</t>
  </si>
  <si>
    <t xml:space="preserve">TSN-T8-P1L1-L1000</t>
  </si>
  <si>
    <t xml:space="preserve">TSN-T8-P1L1-L1100</t>
  </si>
  <si>
    <t xml:space="preserve">TSN-T8-P1L1-L1200</t>
  </si>
  <si>
    <t xml:space="preserve">TSN-T8-P1L1-L125</t>
  </si>
  <si>
    <t xml:space="preserve">TSN-T8-P1L1-L140-LF</t>
  </si>
  <si>
    <t xml:space="preserve">with loose-fit nut</t>
  </si>
  <si>
    <t xml:space="preserve">TSN-T8-P1L1-L145</t>
  </si>
  <si>
    <t xml:space="preserve">TSN-T8-P1L1-L150</t>
  </si>
  <si>
    <t xml:space="preserve">TSN-T8-P1L1-L150-CE</t>
  </si>
  <si>
    <t xml:space="preserve">with flat-cut nut</t>
  </si>
  <si>
    <t xml:space="preserve">TSN-T8-P1L1-L1500</t>
  </si>
  <si>
    <t xml:space="preserve">TSN-T8-P1L1-L155</t>
  </si>
  <si>
    <t xml:space="preserve">155</t>
  </si>
  <si>
    <t xml:space="preserve">TSN-T8-P1L1-L160</t>
  </si>
  <si>
    <t xml:space="preserve">TSN-T8-P1L1-L165</t>
  </si>
  <si>
    <t xml:space="preserve">TSN-T8-P1L1-L170</t>
  </si>
  <si>
    <t xml:space="preserve">TSN-T8-P1L1-L180</t>
  </si>
  <si>
    <t xml:space="preserve">TSN-T8-P1L1-L190</t>
  </si>
  <si>
    <t xml:space="preserve">TSN-T8-P1L1-L200</t>
  </si>
  <si>
    <t xml:space="preserve">TSN-T8-P1L1-L200-CE</t>
  </si>
  <si>
    <t xml:space="preserve">TSN-T8-P1L1-L210</t>
  </si>
  <si>
    <t xml:space="preserve">TSN-T8-P1L1-L220-LF</t>
  </si>
  <si>
    <t xml:space="preserve">TSN-T8-P1L1-L230</t>
  </si>
  <si>
    <t xml:space="preserve">TSN-T8-P1L1-L233</t>
  </si>
  <si>
    <t xml:space="preserve">233</t>
  </si>
  <si>
    <t xml:space="preserve">TSN-T8-P1L1-L240</t>
  </si>
  <si>
    <t xml:space="preserve">TSN-T8-P1L1-L250</t>
  </si>
  <si>
    <t xml:space="preserve">TSN-T8-P1L1-L250-BS</t>
  </si>
  <si>
    <t xml:space="preserve">with zinc bearing block + tight-fit nut</t>
  </si>
  <si>
    <t xml:space="preserve">TSN-T8-P1L1-L260</t>
  </si>
  <si>
    <t xml:space="preserve">TSN-T8-P1L1-L275</t>
  </si>
  <si>
    <t xml:space="preserve">TSN-T8-P1L1-L300</t>
  </si>
  <si>
    <t xml:space="preserve">TSN-T8-P1L1-L310</t>
  </si>
  <si>
    <t xml:space="preserve">TSN-T8-P1L1-L320</t>
  </si>
  <si>
    <t xml:space="preserve">TSN-T8-P1L1-L335</t>
  </si>
  <si>
    <t xml:space="preserve">TSN-T8-P1L1-L340</t>
  </si>
  <si>
    <t xml:space="preserve">TSN-T8-P1L1-L350</t>
  </si>
  <si>
    <t xml:space="preserve">TSN-T8-P1L1-L360</t>
  </si>
  <si>
    <t xml:space="preserve">TSN-T8-P1L1-L370</t>
  </si>
  <si>
    <t xml:space="preserve">TSN-T8-P1L1-L380</t>
  </si>
  <si>
    <t xml:space="preserve">TSN-T8-P1L1-L400</t>
  </si>
  <si>
    <t xml:space="preserve">TSN-T8-P1L1-L425</t>
  </si>
  <si>
    <t xml:space="preserve">TSN-T8-P1L1-L450</t>
  </si>
  <si>
    <t xml:space="preserve">TSN-T8-P1L1-L460</t>
  </si>
  <si>
    <t xml:space="preserve">TSN-T8-P1L1-L470</t>
  </si>
  <si>
    <t xml:space="preserve">TSN-T8-P1L1-L500</t>
  </si>
  <si>
    <t xml:space="preserve">TSN-T8-P1L1-L550</t>
  </si>
  <si>
    <t xml:space="preserve">TSN-T8-P1L1-L582</t>
  </si>
  <si>
    <t xml:space="preserve">582</t>
  </si>
  <si>
    <t xml:space="preserve">TSN-T8-P1L1-L588</t>
  </si>
  <si>
    <t xml:space="preserve">588</t>
  </si>
  <si>
    <t xml:space="preserve">TSN-T8-P1L1-L600</t>
  </si>
  <si>
    <t xml:space="preserve">TSN-T8-P1L1-L650</t>
  </si>
  <si>
    <t xml:space="preserve">TSN-T8-P1L1-L700</t>
  </si>
  <si>
    <t xml:space="preserve">TSN-T8-P1L1-L750</t>
  </si>
  <si>
    <t xml:space="preserve">TSN-T8-P1L1-L80</t>
  </si>
  <si>
    <t xml:space="preserve">TSN-T8-P1L1-L800</t>
  </si>
  <si>
    <t xml:space="preserve">TSN-T8-P1L1-L85-CE</t>
  </si>
  <si>
    <t xml:space="preserve">TSN-T8-P1L1-L850</t>
  </si>
  <si>
    <t xml:space="preserve">TSN-T8-P2.5L20-L100</t>
  </si>
  <si>
    <t xml:space="preserve">pitch 2.5 lead 20</t>
  </si>
  <si>
    <t xml:space="preserve">TSN-T8-P2.5L20-L1000</t>
  </si>
  <si>
    <t xml:space="preserve">TSN-T8-P2.5L20-L200</t>
  </si>
  <si>
    <t xml:space="preserve">TSN-T8-P2.5L20-L250</t>
  </si>
  <si>
    <t xml:space="preserve">TSN-T8-P2.5L20-L350</t>
  </si>
  <si>
    <t xml:space="preserve">TSN-T8-P2.5L20-L400</t>
  </si>
  <si>
    <t xml:space="preserve">TSN-T8-P2.5L20-L500</t>
  </si>
  <si>
    <t xml:space="preserve">TSN-T8-P2.5L20-L650</t>
  </si>
  <si>
    <t xml:space="preserve">TSN-T8-P2L16-L100</t>
  </si>
  <si>
    <t xml:space="preserve">TSN-T8-P2L16-L1000</t>
  </si>
  <si>
    <t xml:space="preserve">TSN-T8-P2L16-L120</t>
  </si>
  <si>
    <t xml:space="preserve">TSN-T8-P2L16-L1200</t>
  </si>
  <si>
    <t xml:space="preserve">TSN-T8-P2L16-L150</t>
  </si>
  <si>
    <t xml:space="preserve">TSN-T8-P2L16-L160</t>
  </si>
  <si>
    <t xml:space="preserve">TSN-T8-P2L16-L190</t>
  </si>
  <si>
    <t xml:space="preserve">TSN-T8-P2L16-L200</t>
  </si>
  <si>
    <t xml:space="preserve">TSN-T8-P2L16-L210</t>
  </si>
  <si>
    <t xml:space="preserve">TSN-T8-P2L16-L230</t>
  </si>
  <si>
    <t xml:space="preserve">TSN-T8-P2L16-L240</t>
  </si>
  <si>
    <t xml:space="preserve">TSN-T8-P2L16-L250</t>
  </si>
  <si>
    <t xml:space="preserve">TSN-T8-P2L16-L260</t>
  </si>
  <si>
    <t xml:space="preserve">TSN-T8-P2L16-L290</t>
  </si>
  <si>
    <t xml:space="preserve">TSN-T8-P2L16-L300</t>
  </si>
  <si>
    <t xml:space="preserve">TSN-T8-P2L16-L335</t>
  </si>
  <si>
    <t xml:space="preserve">TSN-T8-P2L16-L350</t>
  </si>
  <si>
    <t xml:space="preserve">TSN-T8-P2L16-L360</t>
  </si>
  <si>
    <t xml:space="preserve">TSN-T8-P2L16-L400</t>
  </si>
  <si>
    <t xml:space="preserve">TSN-T8-P2L16-L450</t>
  </si>
  <si>
    <t xml:space="preserve">TSN-T8-P2L16-L470</t>
  </si>
  <si>
    <t xml:space="preserve">TSN-T8-P2L16-L490</t>
  </si>
  <si>
    <t xml:space="preserve">TSN-T8-P2L16-L500</t>
  </si>
  <si>
    <t xml:space="preserve">TSN-T8-P2L16-L550</t>
  </si>
  <si>
    <t xml:space="preserve">TSN-T8-P2L16-L600</t>
  </si>
  <si>
    <t xml:space="preserve">TSN-T8-P2L16-L700</t>
  </si>
  <si>
    <t xml:space="preserve">TSN-T8-P2L16-L800</t>
  </si>
  <si>
    <t xml:space="preserve">TSN-T8-P2L2-L400-AB</t>
  </si>
  <si>
    <t xml:space="preserve">Trapezoidal Lead Screw POM Nut / Nut Block (all types)  [Lead Screw Nuts]</t>
  </si>
  <si>
    <t xml:space="preserve">Starts</t>
  </si>
  <si>
    <t xml:space="preserve">Black </t>
  </si>
  <si>
    <t xml:space="preserve">Nut housing (Aluminum alloy)</t>
  </si>
  <si>
    <t xml:space="preserve">NT-AL-T10-SEAT-BK</t>
  </si>
  <si>
    <t xml:space="preserve">NT-AL-T10-SEAT-SV</t>
  </si>
  <si>
    <t xml:space="preserve">NT-AL-T12-SEAT-BK</t>
  </si>
  <si>
    <t xml:space="preserve">NT-AL-T12-SEAT-SV</t>
  </si>
  <si>
    <t xml:space="preserve">NT-AL-T16-SEAT-SV-T16-22</t>
  </si>
  <si>
    <t xml:space="preserve">Silver T16-22</t>
  </si>
  <si>
    <t xml:space="preserve">NT-AL-T20-SEAT-SV-T20-26</t>
  </si>
  <si>
    <t xml:space="preserve">Silver T20-26</t>
  </si>
  <si>
    <t xml:space="preserve">NT-AL-T8-SEAT-BK</t>
  </si>
  <si>
    <t xml:space="preserve">NT-AL-T8-SEAT-BK-MGN12C</t>
  </si>
  <si>
    <t xml:space="preserve">Black MGN12C use</t>
  </si>
  <si>
    <t xml:space="preserve">NT-AL-T8-SEAT-BK-OSN</t>
  </si>
  <si>
    <t xml:space="preserve">Black for outer-spring nut</t>
  </si>
  <si>
    <t xml:space="preserve">NT-AL-T8-SEAT-SV</t>
  </si>
  <si>
    <t xml:space="preserve">NT-AL-T8-SEAT-SV-MGN12C</t>
  </si>
  <si>
    <t xml:space="preserve">Silver MGN12C use</t>
  </si>
  <si>
    <t xml:space="preserve">NT-AL-T8-SEAT-SV-OSN</t>
  </si>
  <si>
    <t xml:space="preserve">Silver for outer-spring nut</t>
  </si>
  <si>
    <t xml:space="preserve">NT-POM-T10-H-P2L4-2H-A</t>
  </si>
  <si>
    <t xml:space="preserve">Double-flat H flange nut</t>
  </si>
  <si>
    <t xml:space="preserve">2 start</t>
  </si>
  <si>
    <t xml:space="preserve">NT-POM-T10-H-P2L4-2H-B</t>
  </si>
  <si>
    <t xml:space="preserve">NT-POM-T10-H-P2L4-2H-C</t>
  </si>
  <si>
    <t xml:space="preserve">C type</t>
  </si>
  <si>
    <t xml:space="preserve">NT-POM-T10-N-P2L2-1H-A</t>
  </si>
  <si>
    <t xml:space="preserve">Standard nut</t>
  </si>
  <si>
    <t xml:space="preserve">1 start</t>
  </si>
  <si>
    <t xml:space="preserve">NT-POM-T10-N-P2L4-2H-A</t>
  </si>
  <si>
    <t xml:space="preserve">NT-POM-T10-N-P2L4-2H-B</t>
  </si>
  <si>
    <t xml:space="preserve">NT-POM-T10-N-P2L8-4H-A</t>
  </si>
  <si>
    <t xml:space="preserve">4 start</t>
  </si>
  <si>
    <t xml:space="preserve">NT-POM-T10-NAB-P2L10-5H-A</t>
  </si>
  <si>
    <t xml:space="preserve">Standard anti-backlash nut</t>
  </si>
  <si>
    <t xml:space="preserve">5 start</t>
  </si>
  <si>
    <t xml:space="preserve">NT-POM-T10-NAB-P2L12-6H-A</t>
  </si>
  <si>
    <t xml:space="preserve">6 start</t>
  </si>
  <si>
    <t xml:space="preserve">NT-POM-T10-NAB-P2L2-1H-A</t>
  </si>
  <si>
    <t xml:space="preserve">NT-POM-T10-NAB-P2L2-1H-B</t>
  </si>
  <si>
    <t xml:space="preserve">NT-POM-T10-NAB-P2L2-1H-C</t>
  </si>
  <si>
    <t xml:space="preserve">NT-POM-T10-NAB-P2L4-2H-A</t>
  </si>
  <si>
    <t xml:space="preserve">NT-POM-T10-NAB-P2L4-2H-B</t>
  </si>
  <si>
    <t xml:space="preserve">NT-POM-T10-NAB-P2L8-4H-A</t>
  </si>
  <si>
    <t xml:space="preserve">NT-POM-T10-NAB-P2L8-4H-B</t>
  </si>
  <si>
    <t xml:space="preserve">NT-POM-T10-NAB-P2L8-4H-C</t>
  </si>
  <si>
    <t xml:space="preserve">NT-POM-T12-N-L8-4H</t>
  </si>
  <si>
    <t xml:space="preserve">lead 8</t>
  </si>
  <si>
    <t xml:space="preserve">NT-POM-T12-N-P2L2-1H</t>
  </si>
  <si>
    <t xml:space="preserve">NT-POM-T12-N-P2L4-2H</t>
  </si>
  <si>
    <t xml:space="preserve">NT-POM-T12-NAB-P2L2-1H</t>
  </si>
  <si>
    <t xml:space="preserve">NT-POM-T12-NAB-P2L4-2H</t>
  </si>
  <si>
    <t xml:space="preserve">NT-POM-T12-NAB-P2L8-4H</t>
  </si>
  <si>
    <t xml:space="preserve">NT-POM-T12-NAB-P3L3-1H</t>
  </si>
  <si>
    <t xml:space="preserve">NT-POM-T3.5-N-P0.61L0.61-2H</t>
  </si>
  <si>
    <t xml:space="preserve">NT-POM-T3.5-N-P1.2192L1.2192-1H</t>
  </si>
  <si>
    <t xml:space="preserve">NT-POM-T3.5-N-P1.2L2.4-2H</t>
  </si>
  <si>
    <t xml:space="preserve">NT-POM-T3.5-N-P1L2-2H</t>
  </si>
  <si>
    <t xml:space="preserve">NT-POM-T4-N-P1L2-2H</t>
  </si>
  <si>
    <t xml:space="preserve">NT-POM-T5-N-P1L1-1H</t>
  </si>
  <si>
    <t xml:space="preserve">NT-POM-T5-N-P1L2-2H</t>
  </si>
  <si>
    <t xml:space="preserve">NT-POM-T5-N-P1L4-4H</t>
  </si>
  <si>
    <t xml:space="preserve">NT-POM-T5-N-P1L6-6H</t>
  </si>
  <si>
    <t xml:space="preserve">NT-POM-T6-H-P1L1-1H-A</t>
  </si>
  <si>
    <t xml:space="preserve">NT-POM-T6-H-P1L2-2H-A</t>
  </si>
  <si>
    <t xml:space="preserve">NT-POM-T6-H-P1L4-4H-A</t>
  </si>
  <si>
    <t xml:space="preserve">NT-POM-T6-H-P1L6-6H-A</t>
  </si>
  <si>
    <t xml:space="preserve">NT-POM-T6-H-P2L10-5H-C</t>
  </si>
  <si>
    <t xml:space="preserve">NT-POM-T6-H-P2L12-6H-B</t>
  </si>
  <si>
    <t xml:space="preserve">NT-POM-T6-N-P1L1-1H</t>
  </si>
  <si>
    <t xml:space="preserve">NT-POM-T6-N-P1L2-2H</t>
  </si>
  <si>
    <t xml:space="preserve">NT-POM-T6-N-P1L4-4H</t>
  </si>
  <si>
    <t xml:space="preserve">NT-POM-T6-N-P1L6-6H</t>
  </si>
  <si>
    <t xml:space="preserve">NT-POM-T6-N-P2L10-5H</t>
  </si>
  <si>
    <t xml:space="preserve">NT-POM-T6-N-P2L12-6H</t>
  </si>
  <si>
    <t xml:space="preserve">NT-POM-T8-BLK-P1L1-1H-CNC</t>
  </si>
  <si>
    <t xml:space="preserve">CNC</t>
  </si>
  <si>
    <t xml:space="preserve">Nut block</t>
  </si>
  <si>
    <t xml:space="preserve">NT-POM-T8-BLK-P1L1-1H-INJ</t>
  </si>
  <si>
    <t xml:space="preserve">Injection molded</t>
  </si>
  <si>
    <t xml:space="preserve">NT-POM-T8-BLK-P2L10-5H-CNC</t>
  </si>
  <si>
    <t xml:space="preserve">NT-POM-T8-BLK-P2L10-5H-INJ</t>
  </si>
  <si>
    <t xml:space="preserve">NT-POM-T8-BLK-P2L12-6H-INJ</t>
  </si>
  <si>
    <t xml:space="preserve">NT-POM-T8-BLK-P2L14-7H-INJ</t>
  </si>
  <si>
    <t xml:space="preserve">7 start</t>
  </si>
  <si>
    <t xml:space="preserve">NT-POM-T8-BLK-P2L16-8H-INJ</t>
  </si>
  <si>
    <t xml:space="preserve">8 start</t>
  </si>
  <si>
    <t xml:space="preserve">NT-POM-T8-BLK-P2L2-1H-CNC</t>
  </si>
  <si>
    <t xml:space="preserve">NT-POM-T8-BLK-P2L2-1H-INJ</t>
  </si>
  <si>
    <t xml:space="preserve">NT-POM-T8-BLK-P2L2-1H-LH-CNC</t>
  </si>
  <si>
    <t xml:space="preserve">NT-POM-T8-BLK-P2L4-2H-CNC</t>
  </si>
  <si>
    <t xml:space="preserve">NT-POM-T8-BLK-P2L4-2H-INJ</t>
  </si>
  <si>
    <t xml:space="preserve">NT-POM-T8-BLK-P2L8-4H-CNC</t>
  </si>
  <si>
    <t xml:space="preserve">NT-POM-T8-BLK-P2L8-4H-CNC-WN</t>
  </si>
  <si>
    <t xml:space="preserve">CNC with nut</t>
  </si>
  <si>
    <t xml:space="preserve">NT-POM-T8-BLK-P2L8-4H-INJ</t>
  </si>
  <si>
    <t xml:space="preserve">NT-POM-T8-BLK-P2L8-4H-INJ-WN</t>
  </si>
  <si>
    <t xml:space="preserve">Injection molded with nut</t>
  </si>
  <si>
    <t xml:space="preserve">NT-POM-T8-H-P2L10-5H-A</t>
  </si>
  <si>
    <t xml:space="preserve">NT-POM-T8-H-P2L12-6H-A</t>
  </si>
  <si>
    <t xml:space="preserve">NT-POM-T8-H-P2L2-1H-A</t>
  </si>
  <si>
    <t xml:space="preserve">NT-POM-T8-H-P2L4-2H-A</t>
  </si>
  <si>
    <t xml:space="preserve">NT-POM-T8-H-P2L8-4H-A</t>
  </si>
  <si>
    <t xml:space="preserve">NT-POM-T8-H-P2L8-4H-B</t>
  </si>
  <si>
    <t xml:space="preserve">NT-POM-T8-HAB-P2L2-1H</t>
  </si>
  <si>
    <t xml:space="preserve">Double-flat H flange anti-backlash nut</t>
  </si>
  <si>
    <t xml:space="preserve">NT-POM-T8-HAB-P2L4-2H</t>
  </si>
  <si>
    <t xml:space="preserve">NT-POM-T8-HAB-P2L8-4H</t>
  </si>
  <si>
    <t xml:space="preserve">NT-POM-T8-N-P1L1-1H</t>
  </si>
  <si>
    <t xml:space="preserve">NT-POM-T8-N-P1L1-1H-BK</t>
  </si>
  <si>
    <t xml:space="preserve">NT-POM-T8-N-P2L10-5H-BK</t>
  </si>
  <si>
    <t xml:space="preserve">NT-POM-T8-N-P2L12-6H-BK</t>
  </si>
  <si>
    <t xml:space="preserve">NT-POM-T8-N-P2L2-1H</t>
  </si>
  <si>
    <t xml:space="preserve">NT-POM-T8-N-P2L2-1H-BK</t>
  </si>
  <si>
    <t xml:space="preserve">NT-POM-T8-N-P2L4-2H</t>
  </si>
  <si>
    <t xml:space="preserve">NT-POM-T8-N-P2L4-2H-BK</t>
  </si>
  <si>
    <t xml:space="preserve">NT-POM-T8-N-P2L8-4H</t>
  </si>
  <si>
    <t xml:space="preserve">NT-POM-T8-N-P2L8-4H-BK</t>
  </si>
  <si>
    <t xml:space="preserve">NT-POM-T8-N-P2L8-4H-WH</t>
  </si>
  <si>
    <t xml:space="preserve">NT-POM-T8-NAB-P1L1-1H</t>
  </si>
  <si>
    <t xml:space="preserve">NT-POM-T8-NAB-P2L10-5H</t>
  </si>
  <si>
    <t xml:space="preserve">NT-POM-T8-NAB-P2L12-6H</t>
  </si>
  <si>
    <t xml:space="preserve">NT-POM-T8-NAB-P2L14-7H</t>
  </si>
  <si>
    <t xml:space="preserve">NT-POM-T8-NAB-P2L2-1H</t>
  </si>
  <si>
    <t xml:space="preserve">NT-POM-T8-NAB-P2L4-2H</t>
  </si>
  <si>
    <t xml:space="preserve">NT-POM-T8-NAB-P2L8-4H</t>
  </si>
  <si>
    <t xml:space="preserve">NT-POM-T8-RFAB-P1L1-1H</t>
  </si>
  <si>
    <t xml:space="preserve">Round flange anti-backlash nut</t>
  </si>
  <si>
    <t xml:space="preserve">NT-POM-T8-RFAB-P2L2-1H</t>
  </si>
  <si>
    <t xml:space="preserve">NT-POM-T8-RFAB-P2L2-1H-ISP</t>
  </si>
  <si>
    <t xml:space="preserve">Inner spring</t>
  </si>
  <si>
    <t xml:space="preserve">NT-POM-T8-RFAB-P2L4-2H</t>
  </si>
  <si>
    <t xml:space="preserve">NT-POM-T8-RFAB-P2L8-4H</t>
  </si>
  <si>
    <t xml:space="preserve">NT-POM-T8-RFAB-P2L8-4H-ISP</t>
  </si>
  <si>
    <t xml:space="preserve">NT-POM-T8-SEAT-P1L1-1H-CNC-SL</t>
  </si>
  <si>
    <t xml:space="preserve">CNC screws loose</t>
  </si>
  <si>
    <t xml:space="preserve">Nut housing</t>
  </si>
  <si>
    <t xml:space="preserve">NT-POM-T8-SEAT-P1L1-1H-INJ-SL</t>
  </si>
  <si>
    <t xml:space="preserve">Injection molded screws loose</t>
  </si>
  <si>
    <t xml:space="preserve">NT-POM-T8-SEAT-P2L10-1H-CNC-SL</t>
  </si>
  <si>
    <t xml:space="preserve">NT-POM-T8-SEAT-P2L10-1H-INJ-SL</t>
  </si>
  <si>
    <t xml:space="preserve">NT-POM-T8-SEAT-P2L12-1H-INJ-SL</t>
  </si>
  <si>
    <t xml:space="preserve">NT-POM-T8-SEAT-P2L12-6H-CNC-SL</t>
  </si>
  <si>
    <t xml:space="preserve">NT-POM-T8-SEAT-P2L14-1H-INJ-SL</t>
  </si>
  <si>
    <t xml:space="preserve">NT-POM-T8-SEAT-P2L16-1H-INJ-SL</t>
  </si>
  <si>
    <t xml:space="preserve">NT-POM-T8-SEAT-P2L2-1H-CNC-SL</t>
  </si>
  <si>
    <t xml:space="preserve">NT-POM-T8-SEAT-P2L2-1H-INJ-SET</t>
  </si>
  <si>
    <t xml:space="preserve">Injection molded set</t>
  </si>
  <si>
    <t xml:space="preserve">NT-POM-T8-SEAT-P2L2-1H-INJ-SI</t>
  </si>
  <si>
    <t xml:space="preserve">Injection molded screws fitted</t>
  </si>
  <si>
    <t xml:space="preserve">NT-POM-T8-SEAT-P2L2-1H-INJ-SL</t>
  </si>
  <si>
    <t xml:space="preserve">NT-POM-T8-SEAT-P2L4-1H-CNC-SL</t>
  </si>
  <si>
    <t xml:space="preserve">NT-POM-T8-SEAT-P2L4-1H-INJ-SL</t>
  </si>
  <si>
    <t xml:space="preserve">NT-POM-T8-SEAT-P2L8-1H-INJ-SL</t>
  </si>
  <si>
    <t xml:space="preserve">NT-POM-T8-SEAT-P2L8-4H-CNC-SL</t>
  </si>
  <si>
    <t xml:space="preserve">Trapezoidal Lead Screw Brass Nut (all types)  [Lead Screw Nuts]</t>
  </si>
  <si>
    <t xml:space="preserve">Fit</t>
  </si>
  <si>
    <t xml:space="preserve">Box slide nut</t>
  </si>
  <si>
    <t xml:space="preserve">loose fit</t>
  </si>
  <si>
    <t xml:space="preserve">NT-CU-T10-BOX-P2L2-1H-LF</t>
  </si>
  <si>
    <t xml:space="preserve">NT-CU-T10-H-P2L10-5H-TF</t>
  </si>
  <si>
    <t xml:space="preserve">tight fit</t>
  </si>
  <si>
    <t xml:space="preserve">NT-CU-T10-H-P2L2-1H-TF</t>
  </si>
  <si>
    <t xml:space="preserve">NT-CU-T10-H-P2L4-2H-TF</t>
  </si>
  <si>
    <t xml:space="preserve">NT-CU-T10-RF-P2L2-1H-TF</t>
  </si>
  <si>
    <t xml:space="preserve">Round flange nut</t>
  </si>
  <si>
    <t xml:space="preserve">NT-CU-T10-TF-P1L1-1H-LF</t>
  </si>
  <si>
    <t xml:space="preserve">Flange T-nut</t>
  </si>
  <si>
    <t xml:space="preserve">NT-CU-T10-TF-P2L10-5H-TF</t>
  </si>
  <si>
    <t xml:space="preserve">NT-CU-T10-TF-P2L12-6H-TF</t>
  </si>
  <si>
    <t xml:space="preserve">NT-CU-T10-TF-P2L14-7H-TF</t>
  </si>
  <si>
    <t xml:space="preserve">NT-CU-T10-TF-P2L16-8H-TF</t>
  </si>
  <si>
    <t xml:space="preserve">NT-CU-T10-TF-P2L2-1H-LF</t>
  </si>
  <si>
    <t xml:space="preserve">NT-CU-T10-TF-P2L2-1H-TF</t>
  </si>
  <si>
    <t xml:space="preserve">NT-CU-T10-TF-P2L2-1H-TF-LH</t>
  </si>
  <si>
    <t xml:space="preserve">NT-CU-T10-TF-P2L20-10H-LF</t>
  </si>
  <si>
    <t xml:space="preserve">10 start</t>
  </si>
  <si>
    <t xml:space="preserve">NT-CU-T10-TF-P2L4-2H-LF</t>
  </si>
  <si>
    <t xml:space="preserve">NT-CU-T10-TF-P2L4-2H-TF</t>
  </si>
  <si>
    <t xml:space="preserve">NT-CU-T10-TF-P2L6-3H-TF</t>
  </si>
  <si>
    <t xml:space="preserve">3 start</t>
  </si>
  <si>
    <t xml:space="preserve">NT-CU-T10-TF-P2L8-4H-LF</t>
  </si>
  <si>
    <t xml:space="preserve">NT-CU-T10-TF-P2L8-4H-TF</t>
  </si>
  <si>
    <t xml:space="preserve">NT-CU-T10-TF-P2L8-4H-TF-LH</t>
  </si>
  <si>
    <t xml:space="preserve">NT-CU-T10-TF-P3L3-1H-TF</t>
  </si>
  <si>
    <t xml:space="preserve">NT-CU-T12-H-P2L4-2H-LF</t>
  </si>
  <si>
    <t xml:space="preserve">NT-CU-T12-H-P2L4-2H-TF</t>
  </si>
  <si>
    <t xml:space="preserve">NT-CU-T12-H-P3L3-1H-TF</t>
  </si>
  <si>
    <t xml:space="preserve">NT-CU-T12-TF-P2L10-5H-TF</t>
  </si>
  <si>
    <t xml:space="preserve">NT-CU-T12-TF-P2L12-6H-TF</t>
  </si>
  <si>
    <t xml:space="preserve">NT-CU-T12-TF-P2L14-7H-TF</t>
  </si>
  <si>
    <t xml:space="preserve">NT-CU-T12-TF-P2L2-1H-LF</t>
  </si>
  <si>
    <t xml:space="preserve">NT-CU-T12-TF-P2L2-1H-TF</t>
  </si>
  <si>
    <t xml:space="preserve">NT-CU-T12-TF-P2L20-10H-TF</t>
  </si>
  <si>
    <t xml:space="preserve">NT-CU-T12-TF-P2L4-2H-TF</t>
  </si>
  <si>
    <t xml:space="preserve">NT-CU-T12-TF-P2L8-4H-LF</t>
  </si>
  <si>
    <t xml:space="preserve">NT-CU-T12-TF-P2L8-4H-TF</t>
  </si>
  <si>
    <t xml:space="preserve">NT-CU-T12-TF-P3L3-1H-TF</t>
  </si>
  <si>
    <t xml:space="preserve">NT-CU-T12-TF-P3L6-2H-LF</t>
  </si>
  <si>
    <t xml:space="preserve">NT-CU-T12-TF-P4L20-5H-TF</t>
  </si>
  <si>
    <t xml:space="preserve">NT-CU-T14-BOX-P3L3-1H-LF</t>
  </si>
  <si>
    <t xml:space="preserve">NT-CU-T14-BOX-P3L3-1H-LF-LH</t>
  </si>
  <si>
    <t xml:space="preserve">NT-CU-T14-H-P2L2-1H-LF-RF</t>
  </si>
  <si>
    <t xml:space="preserve">Round flange</t>
  </si>
  <si>
    <t xml:space="preserve">NT-CU-T14-H-P3L3-1H-LF</t>
  </si>
  <si>
    <t xml:space="preserve">NT-CU-T14-H-P3L3-1H-LF-LH</t>
  </si>
  <si>
    <t xml:space="preserve">NT-CU-T14-H-P3L3-1H-LF-LH-RF</t>
  </si>
  <si>
    <t xml:space="preserve">NT-CU-T14-H-P3L3-1H-LF-RF</t>
  </si>
  <si>
    <t xml:space="preserve">NT-CU-T14-H-P3L3-1H-TF-RF</t>
  </si>
  <si>
    <t xml:space="preserve">NT-CU-T14-H-P3L6-2H-LF-RF</t>
  </si>
  <si>
    <t xml:space="preserve">NT-CU-T16-H-P4L4-1H-LF</t>
  </si>
  <si>
    <t xml:space="preserve">NT-CU-T16-RF-P2L2-1H-TF</t>
  </si>
  <si>
    <t xml:space="preserve">NT-CU-T16-RF-P3L3-1H-TF</t>
  </si>
  <si>
    <t xml:space="preserve">NT-CU-T16-RF-P4L4-1H-LF</t>
  </si>
  <si>
    <t xml:space="preserve">NT-CU-T16-RF-P4L4-1H-TF-LH</t>
  </si>
  <si>
    <t xml:space="preserve">NT-CU-T16-RF-P4L8-2H-LF</t>
  </si>
  <si>
    <t xml:space="preserve">NT-CU-T16-RF-P4L8-2H-TF</t>
  </si>
  <si>
    <t xml:space="preserve">NT-CU-T18-TF-P4L4-1H-LF</t>
  </si>
  <si>
    <t xml:space="preserve">NT-CU-T20-BOX-P4L4-1H-LF</t>
  </si>
  <si>
    <t xml:space="preserve">NT-CU-T20-TF-P4L4-1H</t>
  </si>
  <si>
    <t xml:space="preserve">NT-CU-T20-TF-P4L4-1H-LF</t>
  </si>
  <si>
    <t xml:space="preserve">NT-CU-T20-TF-P4L4-1H-LH</t>
  </si>
  <si>
    <t xml:space="preserve">NT-CU-T20-TF-P4L4-1H-TF-LH</t>
  </si>
  <si>
    <t xml:space="preserve">NT-CU-T20-TF-P4L8-2H</t>
  </si>
  <si>
    <t xml:space="preserve">NT-CU-T20-TF-P4L8-2H-TF</t>
  </si>
  <si>
    <t xml:space="preserve">NT-CU-T22-TF-P5L5-1H-TF</t>
  </si>
  <si>
    <t xml:space="preserve">NT-CU-T25-BOX-P5L5-1H-LF</t>
  </si>
  <si>
    <t xml:space="preserve">NT-CU-T25-H-P5L5-1H-LF</t>
  </si>
  <si>
    <t xml:space="preserve">NT-CU-T25-TF-P5L10-2H-TF</t>
  </si>
  <si>
    <t xml:space="preserve">NT-CU-T25-TF-P5L5-1H-LF</t>
  </si>
  <si>
    <t xml:space="preserve">NT-CU-T28-TF-P5L5-1H-TF</t>
  </si>
  <si>
    <t xml:space="preserve">NT-CU-T30-TF-P6L6-1H-TF</t>
  </si>
  <si>
    <t xml:space="preserve">NT-CU-T32-TF-P6L6-1H-TF</t>
  </si>
  <si>
    <t xml:space="preserve">NT-CU-T36-TF-P6L6-1H-TF</t>
  </si>
  <si>
    <t xml:space="preserve">NT-CU-T4-NF-P1L1-1H-TF</t>
  </si>
  <si>
    <t xml:space="preserve">Straight nut without flange</t>
  </si>
  <si>
    <t xml:space="preserve">NT-CU-T4-NF-P1L2-2H-TF</t>
  </si>
  <si>
    <t xml:space="preserve">NT-CU-T4-TF-P1L1-1H-TF</t>
  </si>
  <si>
    <t xml:space="preserve">NT-CU-T4-TF-P1L2-2H-TF</t>
  </si>
  <si>
    <t xml:space="preserve">NT-CU-T40-TF-P6L6-1H-TF</t>
  </si>
  <si>
    <t xml:space="preserve">NT-CU-T5-H-P1L4-4H-TF</t>
  </si>
  <si>
    <t xml:space="preserve">NT-CU-T5-TF-P1L1-1H</t>
  </si>
  <si>
    <t xml:space="preserve">NT-CU-T5-TF-P1L2-2H</t>
  </si>
  <si>
    <t xml:space="preserve">NT-CU-T5-TF-P1L4-4H</t>
  </si>
  <si>
    <t xml:space="preserve">NT-CU-T5-TF-P1L6-6H</t>
  </si>
  <si>
    <t xml:space="preserve">NT-CU-T6-H-P1L1-1H-LF</t>
  </si>
  <si>
    <t xml:space="preserve">NT-CU-T6-H-P1L12-6H-LF</t>
  </si>
  <si>
    <t xml:space="preserve">pitch 1 lead 12</t>
  </si>
  <si>
    <t xml:space="preserve">NT-CU-T6-H-P1L2-2H-LF</t>
  </si>
  <si>
    <t xml:space="preserve">NT-CU-T6-H-P1L4-4H-LF</t>
  </si>
  <si>
    <t xml:space="preserve">NT-CU-T6-H-P1L6-6H-LF</t>
  </si>
  <si>
    <t xml:space="preserve">NT-CU-T6-H-P2L12-6H-TF</t>
  </si>
  <si>
    <t xml:space="preserve">NT-CU-T6-TF-P1L1-1H-TF</t>
  </si>
  <si>
    <t xml:space="preserve">NT-CU-T6-TF-P1L2-2H-TF</t>
  </si>
  <si>
    <t xml:space="preserve">NT-CU-T6-TF-P1L4-4H-TF</t>
  </si>
  <si>
    <t xml:space="preserve">NT-CU-T6-TF-P1L6-6H-TF</t>
  </si>
  <si>
    <t xml:space="preserve">NT-CU-T6-TF-P2L10-5H-TF</t>
  </si>
  <si>
    <t xml:space="preserve">NT-CU-T6-TF-P2L12-6H-LF</t>
  </si>
  <si>
    <t xml:space="preserve">NT-CU-T6-TF-P2L12-6H-TF</t>
  </si>
  <si>
    <t xml:space="preserve">NT-CU-T8-H-P1L1-1H-LF-A</t>
  </si>
  <si>
    <t xml:space="preserve">NT-CU-T8-H-P1L1-1H-TF-A</t>
  </si>
  <si>
    <t xml:space="preserve">NT-CU-T8-H-P2L12-6H-TF-A</t>
  </si>
  <si>
    <t xml:space="preserve">NT-CU-T8-H-P2L2-1H-LF-A</t>
  </si>
  <si>
    <t xml:space="preserve">NT-CU-T8-H-P2L2-1H-TF-A</t>
  </si>
  <si>
    <t xml:space="preserve">NT-CU-T8-H-P2L4-2H-LF-A</t>
  </si>
  <si>
    <t xml:space="preserve">NT-CU-T8-H-P2L4-2H-TF-A</t>
  </si>
  <si>
    <t xml:space="preserve">NT-CU-T8-H-P2L8-4H-LF-A</t>
  </si>
  <si>
    <t xml:space="preserve">NT-CU-T8-H-P2L8-4H-TF-A</t>
  </si>
  <si>
    <t xml:space="preserve">NT-CU-T8-H-P2L8-4H-TF-B</t>
  </si>
  <si>
    <t xml:space="preserve">NT-CU-T8-HAB-P2L2-1H-LF</t>
  </si>
  <si>
    <t xml:space="preserve">NT-CU-T8-HAB-P2L4-2H-TF</t>
  </si>
  <si>
    <t xml:space="preserve">NT-CU-T8-HAB-P2L4-4H</t>
  </si>
  <si>
    <t xml:space="preserve">NT-CU-T8-HAB-P2L8-4H</t>
  </si>
  <si>
    <t xml:space="preserve">NT-CU-T8-HAB-P2L8-4H-LF</t>
  </si>
  <si>
    <t xml:space="preserve">NT-CU-T8-HAB-P2L8-4H-TF</t>
  </si>
  <si>
    <t xml:space="preserve">NT-CU-T8-HEX-P2L2-1H</t>
  </si>
  <si>
    <t xml:space="preserve">Hex nut</t>
  </si>
  <si>
    <t xml:space="preserve">NT-CU-T8-HEX-P2L4-2H</t>
  </si>
  <si>
    <t xml:space="preserve">NT-CU-T8-HEX-P2L8-4H</t>
  </si>
  <si>
    <t xml:space="preserve">NT-CU-T8-NAB-P1L1-1H-LF</t>
  </si>
  <si>
    <t xml:space="preserve">NT-CU-T8-NAB-P1L1-1H-TF</t>
  </si>
  <si>
    <t xml:space="preserve">NT-CU-T8-NAB-P2L10-1H-LF</t>
  </si>
  <si>
    <t xml:space="preserve">NT-CU-T8-NAB-P2L10-5H-TF</t>
  </si>
  <si>
    <t xml:space="preserve">NT-CU-T8-NAB-P2L12-1H-LF</t>
  </si>
  <si>
    <t xml:space="preserve">NT-CU-T8-NAB-P2L12-6H-TF</t>
  </si>
  <si>
    <t xml:space="preserve">NT-CU-T8-NAB-P2L14-1H-LF</t>
  </si>
  <si>
    <t xml:space="preserve">NT-CU-T8-NAB-P2L14-7H-TF</t>
  </si>
  <si>
    <t xml:space="preserve">NT-CU-T8-NAB-P2L2-1H-LF</t>
  </si>
  <si>
    <t xml:space="preserve">NT-CU-T8-NAB-P2L2-1H-TF</t>
  </si>
  <si>
    <t xml:space="preserve">NT-CU-T8-NAB-P2L4-1H-LF</t>
  </si>
  <si>
    <t xml:space="preserve">NT-CU-T8-NAB-P2L4-2H-TF</t>
  </si>
  <si>
    <t xml:space="preserve">NT-CU-T8-NAB-P2L8-4H-LF</t>
  </si>
  <si>
    <t xml:space="preserve">NT-CU-T8-NAB-P2L8-4H-TF</t>
  </si>
  <si>
    <t xml:space="preserve">NT-CU-T8-NF-P2L4-2H</t>
  </si>
  <si>
    <t xml:space="preserve">NT-CU-T8-NF-P2L4-2H-TF</t>
  </si>
  <si>
    <t xml:space="preserve">NT-CU-T8-SQ-P1L1-1H</t>
  </si>
  <si>
    <t xml:space="preserve">Square nut</t>
  </si>
  <si>
    <t xml:space="preserve">NT-CU-T8-SQ-P2L10-5H</t>
  </si>
  <si>
    <t xml:space="preserve">NT-CU-T8-SQ-P2L12-6H</t>
  </si>
  <si>
    <t xml:space="preserve">NT-CU-T8-SQ-P2L2-1H</t>
  </si>
  <si>
    <t xml:space="preserve">NT-CU-T8-SQ-P2L4-2H</t>
  </si>
  <si>
    <t xml:space="preserve">NT-CU-T8-SQ-P2L4-2H-LH</t>
  </si>
  <si>
    <t xml:space="preserve">NT-CU-T8-SQ-P2L8-4H</t>
  </si>
  <si>
    <t xml:space="preserve">NT-CU-T8-SQ-P2L8-4H-LH</t>
  </si>
  <si>
    <t xml:space="preserve">NT-CU-T8-STP-P2L4-2H</t>
  </si>
  <si>
    <t xml:space="preserve">Stepped nut</t>
  </si>
  <si>
    <t xml:space="preserve">NT-CU-T8-TF-P1.5L1.5-1H-LF</t>
  </si>
  <si>
    <t xml:space="preserve">NT-CU-T8-TF-P1.5L3-2H-TF</t>
  </si>
  <si>
    <t xml:space="preserve">NT-CU-T8-TF-P1L1-1H-LF</t>
  </si>
  <si>
    <t xml:space="preserve">NT-CU-T8-TF-P1L1-1H-TF</t>
  </si>
  <si>
    <t xml:space="preserve">NT-CU-T8-TF-P2.5L20-8H-LF</t>
  </si>
  <si>
    <t xml:space="preserve">NT-CU-T8-TF-P2.5L20-8H-TF</t>
  </si>
  <si>
    <t xml:space="preserve">NT-CU-T8-TF-P2L10-5H-TF</t>
  </si>
  <si>
    <t xml:space="preserve">NT-CU-T8-TF-P2L12-6H-TF</t>
  </si>
  <si>
    <t xml:space="preserve">NT-CU-T8-TF-P2L14-7H-LF</t>
  </si>
  <si>
    <t xml:space="preserve">NT-CU-T8-TF-P2L14-7H-TF</t>
  </si>
  <si>
    <t xml:space="preserve">NT-CU-T8-TF-P2L16-8H-LF</t>
  </si>
  <si>
    <t xml:space="preserve">NT-CU-T8-TF-P2L2-1H-LF</t>
  </si>
  <si>
    <t xml:space="preserve">NT-CU-T8-TF-P2L2-1H-LF-LH</t>
  </si>
  <si>
    <t xml:space="preserve">NT-CU-T8-TF-P2L2-1H-TF</t>
  </si>
  <si>
    <t xml:space="preserve">NT-CU-T8-TF-P2L4-2H-LF</t>
  </si>
  <si>
    <t xml:space="preserve">NT-CU-T8-TF-P2L4-2H-TF</t>
  </si>
  <si>
    <t xml:space="preserve">NT-CU-T8-TF-P2L4-2H-TF-LH</t>
  </si>
  <si>
    <t xml:space="preserve">NT-CU-T8-TF-P2L6-3H-LF</t>
  </si>
  <si>
    <t xml:space="preserve">NT-CU-T8-TF-P2L8-4H-LF</t>
  </si>
  <si>
    <t xml:space="preserve">NT-CU-T8-TF-P2L8-4H-LF-M3</t>
  </si>
  <si>
    <t xml:space="preserve">Threaded M3</t>
  </si>
  <si>
    <t xml:space="preserve">NT-CU-T8-TF-P2L8-4H-TF</t>
  </si>
  <si>
    <t xml:space="preserve">NT-CU-T8-TF-P2L8-4H-TF-LH</t>
  </si>
  <si>
    <t xml:space="preserve">NT-CU-T8-TF-P3L3-1H-TF</t>
  </si>
  <si>
    <t xml:space="preserve">304 Stainless Round Bar 8mm  [Shafts / Rails / Ball Screws]</t>
  </si>
  <si>
    <t xml:space="preserve">1000mm</t>
  </si>
  <si>
    <t xml:space="preserve">RL-004-1000</t>
  </si>
  <si>
    <t xml:space="preserve">RL-004-320</t>
  </si>
  <si>
    <t xml:space="preserve">320mm</t>
  </si>
  <si>
    <t xml:space="preserve">RL-004-384</t>
  </si>
  <si>
    <t xml:space="preserve">384mm</t>
  </si>
  <si>
    <t xml:space="preserve">SBR Supported Linear Rail  [Shafts / Rails / Ball Screws]</t>
  </si>
  <si>
    <t xml:space="preserve">L 1000mm</t>
  </si>
  <si>
    <t xml:space="preserve">SBR10</t>
  </si>
  <si>
    <t xml:space="preserve">RL-035-SBR10-CD1000</t>
  </si>
  <si>
    <t xml:space="preserve">RL-035-SBR10-CD150</t>
  </si>
  <si>
    <t xml:space="preserve">L 150mm</t>
  </si>
  <si>
    <t xml:space="preserve">RL-035-SBR10-CD1500</t>
  </si>
  <si>
    <t xml:space="preserve">L 1500mm</t>
  </si>
  <si>
    <t xml:space="preserve">RL-035-SBR10-CD200</t>
  </si>
  <si>
    <t xml:space="preserve">L 200mm</t>
  </si>
  <si>
    <t xml:space="preserve">RL-035-SBR10-CD250</t>
  </si>
  <si>
    <t xml:space="preserve">L 250mm</t>
  </si>
  <si>
    <t xml:space="preserve">RL-035-SBR10-CD300</t>
  </si>
  <si>
    <t xml:space="preserve">L 300mm</t>
  </si>
  <si>
    <t xml:space="preserve">RL-035-SBR10-CD350</t>
  </si>
  <si>
    <t xml:space="preserve">L 350mm</t>
  </si>
  <si>
    <t xml:space="preserve">RL-035-SBR10-CD400</t>
  </si>
  <si>
    <t xml:space="preserve">L 400mm</t>
  </si>
  <si>
    <t xml:space="preserve">RL-035-SBR10-CD450</t>
  </si>
  <si>
    <t xml:space="preserve">L 450MM</t>
  </si>
  <si>
    <t xml:space="preserve">RL-035-SBR10-CD500</t>
  </si>
  <si>
    <t xml:space="preserve">L 500mm</t>
  </si>
  <si>
    <t xml:space="preserve">RL-035-SBR10-CD550</t>
  </si>
  <si>
    <t xml:space="preserve">L 550mm</t>
  </si>
  <si>
    <t xml:space="preserve">RL-035-SBR10-CD600</t>
  </si>
  <si>
    <t xml:space="preserve">L 600mm</t>
  </si>
  <si>
    <t xml:space="preserve">RL-035-SBR10-CD650</t>
  </si>
  <si>
    <t xml:space="preserve">L 650mm</t>
  </si>
  <si>
    <t xml:space="preserve">RL-035-SBR12-CD1000</t>
  </si>
  <si>
    <t xml:space="preserve">SBR12</t>
  </si>
  <si>
    <t xml:space="preserve">RL-035-SBR12-CD200</t>
  </si>
  <si>
    <t xml:space="preserve">RL-035-SBR12-CD2000</t>
  </si>
  <si>
    <t xml:space="preserve">L 2000mm</t>
  </si>
  <si>
    <t xml:space="preserve">RL-035-SBR12-CD250</t>
  </si>
  <si>
    <t xml:space="preserve">RL-035-SBR12-CD300</t>
  </si>
  <si>
    <t xml:space="preserve">RL-035-SBR12-CD350</t>
  </si>
  <si>
    <t xml:space="preserve">RL-035-SBR12-CD400</t>
  </si>
  <si>
    <t xml:space="preserve">RL-035-SBR12-CD450</t>
  </si>
  <si>
    <t xml:space="preserve">L 450mm </t>
  </si>
  <si>
    <t xml:space="preserve">RL-035-SBR12-CD500</t>
  </si>
  <si>
    <t xml:space="preserve">RL-035-SBR12-CD550</t>
  </si>
  <si>
    <t xml:space="preserve">RL-035-SBR12-CD600</t>
  </si>
  <si>
    <t xml:space="preserve">RL-035-SBR12-CD700</t>
  </si>
  <si>
    <t xml:space="preserve">L 700mm</t>
  </si>
  <si>
    <t xml:space="preserve">RL-035-SBR12-CD750</t>
  </si>
  <si>
    <t xml:space="preserve">L 750mm</t>
  </si>
  <si>
    <t xml:space="preserve">RL-035-SBR12-CD800</t>
  </si>
  <si>
    <t xml:space="preserve">L 800mm</t>
  </si>
  <si>
    <t xml:space="preserve">RL-035-SBR13-CD600</t>
  </si>
  <si>
    <t xml:space="preserve">SBR13</t>
  </si>
  <si>
    <t xml:space="preserve">RL-035-SBR16-CD1000</t>
  </si>
  <si>
    <t xml:space="preserve">SBR16</t>
  </si>
  <si>
    <t xml:space="preserve">RL-035-SBR16-CD1100</t>
  </si>
  <si>
    <t xml:space="preserve">L 1100mm</t>
  </si>
  <si>
    <t xml:space="preserve">RL-035-SBR16-CD1200</t>
  </si>
  <si>
    <t xml:space="preserve">L 1200mm</t>
  </si>
  <si>
    <t xml:space="preserve">RL-035-SBR16-CD1500</t>
  </si>
  <si>
    <t xml:space="preserve">RL-035-SBR16-CD200</t>
  </si>
  <si>
    <t xml:space="preserve">RL-035-SBR16-CD250</t>
  </si>
  <si>
    <t xml:space="preserve">RL-035-SBR16-CD300</t>
  </si>
  <si>
    <t xml:space="preserve">RL-035-SBR16-CD400</t>
  </si>
  <si>
    <t xml:space="preserve">RL-035-SBR16-CD450</t>
  </si>
  <si>
    <t xml:space="preserve">RL-035-SBR16-CD500</t>
  </si>
  <si>
    <t xml:space="preserve">RL-035-SBR16-CD600</t>
  </si>
  <si>
    <t xml:space="preserve">RL-035-SBR16-CD700</t>
  </si>
  <si>
    <t xml:space="preserve">RL-035-SBR16-CD740</t>
  </si>
  <si>
    <t xml:space="preserve">L 740mm</t>
  </si>
  <si>
    <t xml:space="preserve">RL-035-SBR16-CD800</t>
  </si>
  <si>
    <t xml:space="preserve">RL-035-SBR16-CD900</t>
  </si>
  <si>
    <t xml:space="preserve">L 900mm</t>
  </si>
  <si>
    <t xml:space="preserve">RL-035-SBR20-CD1000</t>
  </si>
  <si>
    <t xml:space="preserve">SBR20</t>
  </si>
  <si>
    <t xml:space="preserve">RL-035-SBR20-CD1100</t>
  </si>
  <si>
    <t xml:space="preserve">RL-035-SBR20-CD300</t>
  </si>
  <si>
    <t xml:space="preserve">RL-035-SBR20-CD350</t>
  </si>
  <si>
    <t xml:space="preserve">RL-035-SBR20-CD400</t>
  </si>
  <si>
    <t xml:space="preserve">RL-035-SBR20-CD4000</t>
  </si>
  <si>
    <t xml:space="preserve">L 4000mm</t>
  </si>
  <si>
    <t xml:space="preserve">RL-035-SBR20-CD450</t>
  </si>
  <si>
    <t xml:space="preserve">RL-035-SBR20-CD500</t>
  </si>
  <si>
    <t xml:space="preserve">RL-035-SBR20-CD550</t>
  </si>
  <si>
    <t xml:space="preserve">RL-035-SBR20-CD600</t>
  </si>
  <si>
    <t xml:space="preserve">RL-035-SBR20-CD650</t>
  </si>
  <si>
    <t xml:space="preserve">RL-035-SBR25-CD1000</t>
  </si>
  <si>
    <t xml:space="preserve">SBR25</t>
  </si>
  <si>
    <t xml:space="preserve">RL-035-SBR25-CD800</t>
  </si>
  <si>
    <t xml:space="preserve">SBR Supported Rail Slide Kit  [Shafts / Rails / Ball Screws]</t>
  </si>
  <si>
    <t xml:space="preserve">RL-001</t>
  </si>
  <si>
    <t xml:space="preserve">SBR Rail Split Locking Collar  [Shafts / Rails / Ball Screws]</t>
  </si>
  <si>
    <t xml:space="preserve">12x30x10</t>
  </si>
  <si>
    <t xml:space="preserve">RL-050-12x30x10-SBR12</t>
  </si>
  <si>
    <t xml:space="preserve">RL-050-16x35x12-SBR16</t>
  </si>
  <si>
    <t xml:space="preserve">16x35x12</t>
  </si>
  <si>
    <t xml:space="preserve">RL-050-20x40x12-SBR20</t>
  </si>
  <si>
    <t xml:space="preserve">20x40x12</t>
  </si>
  <si>
    <t xml:space="preserve">RL-050-20x40x12-SBR20-SET</t>
  </si>
  <si>
    <t xml:space="preserve">SBR20 set</t>
  </si>
  <si>
    <t xml:space="preserve">RL-050-25x45x12-SBR25</t>
  </si>
  <si>
    <t xml:space="preserve">25x45x12</t>
  </si>
  <si>
    <t xml:space="preserve">RL-050-30x50x15-SBR30</t>
  </si>
  <si>
    <t xml:space="preserve">SBR30</t>
  </si>
  <si>
    <t xml:space="preserve">30x50x15</t>
  </si>
  <si>
    <t xml:space="preserve">RL-050-35x60x15-SBR35</t>
  </si>
  <si>
    <t xml:space="preserve">SBR35</t>
  </si>
  <si>
    <t xml:space="preserve">35x60x15</t>
  </si>
  <si>
    <t xml:space="preserve">RL-050-40x70x18-SBR40</t>
  </si>
  <si>
    <t xml:space="preserve">SBR40</t>
  </si>
  <si>
    <t xml:space="preserve">40x70x18</t>
  </si>
  <si>
    <t xml:space="preserve">SFU Ball Screw Nut, TBI (1204 / 1605 / 1610)  [Shafts / Rails / Ball Screws]</t>
  </si>
  <si>
    <t xml:space="preserve">SFU1204 OD 22 plastic deflector</t>
  </si>
  <si>
    <t xml:space="preserve">RL-031-RD-SFU1204-WJ22-SLYKFXQ</t>
  </si>
  <si>
    <t xml:space="preserve">RL-031-RD-SFU1204-WJ24-SLYKFXQ</t>
  </si>
  <si>
    <t xml:space="preserve">SFU1204 OD 24 plastic deflector</t>
  </si>
  <si>
    <t xml:space="preserve">RL-031-SFU1604-3QGZSLFXQ</t>
  </si>
  <si>
    <t xml:space="preserve">SFU1604-3 -circuit ball plastic deflector</t>
  </si>
  <si>
    <t xml:space="preserve">RL-031-SFU1605-3QGZJSFXQ</t>
  </si>
  <si>
    <t xml:space="preserve">SFU1605-3 -circuit ball metal deflector</t>
  </si>
  <si>
    <t xml:space="preserve">RL-031-SFU1605-3QGZSLFXQ</t>
  </si>
  <si>
    <t xml:space="preserve">SFU1605-3 -circuit ball plastic deflector</t>
  </si>
  <si>
    <t xml:space="preserve">RL-031-SFU1605-4QGZJSFXQ</t>
  </si>
  <si>
    <t xml:space="preserve">SFU1605-4 -circuit ball metal deflector</t>
  </si>
  <si>
    <t xml:space="preserve">RL-031-SFU1610-2QGZSLFXQ</t>
  </si>
  <si>
    <t xml:space="preserve">SFU1610-2 -circuit ball plastic deflector</t>
  </si>
  <si>
    <t xml:space="preserve">RL-031-SFU1610-3QGZSLFXQ</t>
  </si>
  <si>
    <t xml:space="preserve">SFU1610-3 -circuit ball plastic deflector</t>
  </si>
  <si>
    <t xml:space="preserve">RL-031-SFU2005-3QGZSLFXQ</t>
  </si>
  <si>
    <t xml:space="preserve">SFU2005-3 -circuit steel ball plastic deflector</t>
  </si>
  <si>
    <t xml:space="preserve">RL-031-SFU2005-4QGZJSFXQ</t>
  </si>
  <si>
    <t xml:space="preserve">SFU2005-4 -circuit steel ball metal deflector</t>
  </si>
  <si>
    <t xml:space="preserve">RL-031-SFU2010-2QGZSLFXQ</t>
  </si>
  <si>
    <t xml:space="preserve">SFU2010-2 -circuit steel ball plastic deflector</t>
  </si>
  <si>
    <t xml:space="preserve">RL-031-SFU2505-3QGZJSFXQ</t>
  </si>
  <si>
    <t xml:space="preserve">SFU2505-3 -circuit steel ball metal deflector</t>
  </si>
  <si>
    <t xml:space="preserve">RL-031-SFU2505-3QGZSLFXQ</t>
  </si>
  <si>
    <t xml:space="preserve">SFU2505-3 -circuit steel ball plastic deflector</t>
  </si>
  <si>
    <t xml:space="preserve">RL-031-SFU2505-4QGZJSFXQ</t>
  </si>
  <si>
    <t xml:space="preserve">SFU2505-4 -circuit steel ball metal deflector</t>
  </si>
  <si>
    <t xml:space="preserve">RL-031-SFU2510-4QGZJSFXQ</t>
  </si>
  <si>
    <t xml:space="preserve">SFU2510-4 -circuit steel ball metal deflector</t>
  </si>
  <si>
    <t xml:space="preserve">RL-031-SFULM2005-3QGZJSFXQ</t>
  </si>
  <si>
    <t xml:space="preserve">SFU nut 2005-3 -circuit steel ball metal deflector</t>
  </si>
  <si>
    <t xml:space="preserve">RL-031-TBI-SFU1605-4QGZ</t>
  </si>
  <si>
    <t xml:space="preserve">TBI SFU1605-4 -circuit ball</t>
  </si>
  <si>
    <t xml:space="preserve">RL-031-TBI-SFU1610-3QGZ</t>
  </si>
  <si>
    <t xml:space="preserve">TBI SFU1610-3 -circuit ball</t>
  </si>
  <si>
    <t xml:space="preserve">RL-031-TBI-SFULM2005-4QGZ</t>
  </si>
  <si>
    <t xml:space="preserve">TBI SFU nut 2005-4 -circuit steel ball</t>
  </si>
  <si>
    <t xml:space="preserve">RL-031-WH-SFU1204-WJ22-SLYKFXQ</t>
  </si>
  <si>
    <t xml:space="preserve">RL-031-WH-SFU1204-WJ24-SLYKFXQ</t>
  </si>
  <si>
    <t xml:space="preserve">RL-031-WH-TBI-SFU1204-WJ22-SLYKFXQ</t>
  </si>
  <si>
    <t xml:space="preserve">TBI SFU1204 OD 22 plastic deflector</t>
  </si>
  <si>
    <t xml:space="preserve">SFU Ball Screw (1204-3205, machined / unmachined, by length)  [Shafts / Rails / Ball Screws]</t>
  </si>
  <si>
    <t xml:space="preserve">Machining</t>
  </si>
  <si>
    <t xml:space="preserve">SFU1204</t>
  </si>
  <si>
    <t xml:space="preserve">Machined</t>
  </si>
  <si>
    <t xml:space="preserve">SFU1204-M-1000</t>
  </si>
  <si>
    <t xml:space="preserve">SFU1204-M-1100</t>
  </si>
  <si>
    <t xml:space="preserve">SFU1204-M-1200</t>
  </si>
  <si>
    <t xml:space="preserve">SFU1204-M-1266</t>
  </si>
  <si>
    <t xml:space="preserve">1266</t>
  </si>
  <si>
    <t xml:space="preserve">SFU1204-M-150</t>
  </si>
  <si>
    <t xml:space="preserve">SFU1204-M-1500</t>
  </si>
  <si>
    <t xml:space="preserve">SFU1204-M-180</t>
  </si>
  <si>
    <t xml:space="preserve">SFU1204-M-200</t>
  </si>
  <si>
    <t xml:space="preserve">SFU1204-M-210</t>
  </si>
  <si>
    <t xml:space="preserve">SFU1204-M-250</t>
  </si>
  <si>
    <t xml:space="preserve">SFU1204-M-300</t>
  </si>
  <si>
    <t xml:space="preserve">SFU1204-M-350</t>
  </si>
  <si>
    <t xml:space="preserve">SFU1204-M-361</t>
  </si>
  <si>
    <t xml:space="preserve">361</t>
  </si>
  <si>
    <t xml:space="preserve">SFU1204-M-400</t>
  </si>
  <si>
    <t xml:space="preserve">SFU1204-M-420</t>
  </si>
  <si>
    <t xml:space="preserve">SFU1204-M-450</t>
  </si>
  <si>
    <t xml:space="preserve">SFU1204-M-500</t>
  </si>
  <si>
    <t xml:space="preserve">SFU1204-M-550</t>
  </si>
  <si>
    <t xml:space="preserve">SFU1204-M-600</t>
  </si>
  <si>
    <t xml:space="preserve">SFU1204-M-650</t>
  </si>
  <si>
    <t xml:space="preserve">SFU1204-M-700</t>
  </si>
  <si>
    <t xml:space="preserve">SFU1204-M-750</t>
  </si>
  <si>
    <t xml:space="preserve">SFU1204-M-800</t>
  </si>
  <si>
    <t xml:space="preserve">SFU1204-M-850</t>
  </si>
  <si>
    <t xml:space="preserve">SFU1204-M-900</t>
  </si>
  <si>
    <t xml:space="preserve">SFU1204-M-950</t>
  </si>
  <si>
    <t xml:space="preserve">SFU1204-N-100</t>
  </si>
  <si>
    <t xml:space="preserve">Unmachined</t>
  </si>
  <si>
    <t xml:space="preserve">SFU1204-N-1000</t>
  </si>
  <si>
    <t xml:space="preserve">SFU1204-N-1200</t>
  </si>
  <si>
    <t xml:space="preserve">SFU1204-N-150</t>
  </si>
  <si>
    <t xml:space="preserve">SFU1204-N-1500</t>
  </si>
  <si>
    <t xml:space="preserve">SFU1204-N-200</t>
  </si>
  <si>
    <t xml:space="preserve">SFU1204-N-250</t>
  </si>
  <si>
    <t xml:space="preserve">SFU1204-N-300</t>
  </si>
  <si>
    <t xml:space="preserve">SFU1204-N-350</t>
  </si>
  <si>
    <t xml:space="preserve">SFU1204-N-360</t>
  </si>
  <si>
    <t xml:space="preserve">SFU1204-N-370</t>
  </si>
  <si>
    <t xml:space="preserve">SFU1204-N-400</t>
  </si>
  <si>
    <t xml:space="preserve">SFU1204-N-450</t>
  </si>
  <si>
    <t xml:space="preserve">SFU1204-N-500</t>
  </si>
  <si>
    <t xml:space="preserve">SFU1204-N-550</t>
  </si>
  <si>
    <t xml:space="preserve">SFU1204-N-600</t>
  </si>
  <si>
    <t xml:space="preserve">SFU1204-N-650</t>
  </si>
  <si>
    <t xml:space="preserve">SFU1204-N-700</t>
  </si>
  <si>
    <t xml:space="preserve">SFU1204-N-750</t>
  </si>
  <si>
    <t xml:space="preserve">SFU1204-N-800</t>
  </si>
  <si>
    <t xml:space="preserve">SFU1204-N-850</t>
  </si>
  <si>
    <t xml:space="preserve">SFU1204-N-900</t>
  </si>
  <si>
    <t xml:space="preserve">SFU1204-N-950</t>
  </si>
  <si>
    <t xml:space="preserve">SFU1604-M-1000</t>
  </si>
  <si>
    <t xml:space="preserve">SFU1604</t>
  </si>
  <si>
    <t xml:space="preserve">SFU1604-M-1200</t>
  </si>
  <si>
    <t xml:space="preserve">SFU1604-M-150</t>
  </si>
  <si>
    <t xml:space="preserve">SFU1604-M-1500</t>
  </si>
  <si>
    <t xml:space="preserve">SFU1604-M-200</t>
  </si>
  <si>
    <t xml:space="preserve">SFU1604-M-250</t>
  </si>
  <si>
    <t xml:space="preserve">SFU1604-M-300</t>
  </si>
  <si>
    <t xml:space="preserve">SFU1604-M-350</t>
  </si>
  <si>
    <t xml:space="preserve">SFU1604-M-400</t>
  </si>
  <si>
    <t xml:space="preserve">SFU1604-M-450</t>
  </si>
  <si>
    <t xml:space="preserve">SFU1604-M-500</t>
  </si>
  <si>
    <t xml:space="preserve">SFU1604-M-550</t>
  </si>
  <si>
    <t xml:space="preserve">SFU1604-M-600</t>
  </si>
  <si>
    <t xml:space="preserve">SFU1604-M-650</t>
  </si>
  <si>
    <t xml:space="preserve">SFU1604-M-700</t>
  </si>
  <si>
    <t xml:space="preserve">SFU1604-M-750</t>
  </si>
  <si>
    <t xml:space="preserve">SFU1604-M-800</t>
  </si>
  <si>
    <t xml:space="preserve">SFU1604-M-850</t>
  </si>
  <si>
    <t xml:space="preserve">SFU1604-M-900</t>
  </si>
  <si>
    <t xml:space="preserve">SFU1604-M-950</t>
  </si>
  <si>
    <t xml:space="preserve">SFU1604-N-100</t>
  </si>
  <si>
    <t xml:space="preserve">SFU1604-N-1000</t>
  </si>
  <si>
    <t xml:space="preserve">SFU1604-N-1200</t>
  </si>
  <si>
    <t xml:space="preserve">SFU1604-N-150</t>
  </si>
  <si>
    <t xml:space="preserve">SFU1604-N-1500</t>
  </si>
  <si>
    <t xml:space="preserve">SFU1604-N-200</t>
  </si>
  <si>
    <t xml:space="preserve">SFU1604-N-250</t>
  </si>
  <si>
    <t xml:space="preserve">SFU1604-N-300</t>
  </si>
  <si>
    <t xml:space="preserve">SFU1604-N-350</t>
  </si>
  <si>
    <t xml:space="preserve">SFU1604-N-400</t>
  </si>
  <si>
    <t xml:space="preserve">SFU1604-N-450</t>
  </si>
  <si>
    <t xml:space="preserve">SFU1604-N-500</t>
  </si>
  <si>
    <t xml:space="preserve">SFU1604-N-550</t>
  </si>
  <si>
    <t xml:space="preserve">SFU1604-N-600</t>
  </si>
  <si>
    <t xml:space="preserve">SFU1604-N-650</t>
  </si>
  <si>
    <t xml:space="preserve">SFU1604-N-700</t>
  </si>
  <si>
    <t xml:space="preserve">SFU1604-N-750</t>
  </si>
  <si>
    <t xml:space="preserve">SFU1604-N-800</t>
  </si>
  <si>
    <t xml:space="preserve">SFU1604-N-850</t>
  </si>
  <si>
    <t xml:space="preserve">SFU1604-N-900</t>
  </si>
  <si>
    <t xml:space="preserve">SFU1604-N-950</t>
  </si>
  <si>
    <t xml:space="preserve">SFU1605-500-TBI-WN</t>
  </si>
  <si>
    <t xml:space="preserve">SFU1605</t>
  </si>
  <si>
    <t xml:space="preserve">TBI imported with nut</t>
  </si>
  <si>
    <t xml:space="preserve">SFU1605-M-1000</t>
  </si>
  <si>
    <t xml:space="preserve">SFU1605-M-1165</t>
  </si>
  <si>
    <t xml:space="preserve">1165</t>
  </si>
  <si>
    <t xml:space="preserve">SFU1605-M-1200</t>
  </si>
  <si>
    <t xml:space="preserve">SFU1605-M-1300</t>
  </si>
  <si>
    <t xml:space="preserve">SFU1605-M-150</t>
  </si>
  <si>
    <t xml:space="preserve">SFU1605-M-1500</t>
  </si>
  <si>
    <t xml:space="preserve">SFU1605-M-200</t>
  </si>
  <si>
    <t xml:space="preserve">SFU1605-M-210</t>
  </si>
  <si>
    <t xml:space="preserve">SFU1605-M-230</t>
  </si>
  <si>
    <t xml:space="preserve">SFU1605-M-250</t>
  </si>
  <si>
    <t xml:space="preserve">SFU1605-M-300</t>
  </si>
  <si>
    <t xml:space="preserve">SFU1605-M-330</t>
  </si>
  <si>
    <t xml:space="preserve">SFU1605-M-350</t>
  </si>
  <si>
    <t xml:space="preserve">SFU1605-M-386</t>
  </si>
  <si>
    <t xml:space="preserve">SFU1605-M-400</t>
  </si>
  <si>
    <t xml:space="preserve">SFU1605-M-445</t>
  </si>
  <si>
    <t xml:space="preserve">SFU1605-M-450</t>
  </si>
  <si>
    <t xml:space="preserve">SFU1605-M-470</t>
  </si>
  <si>
    <t xml:space="preserve">SFU1605-M-475</t>
  </si>
  <si>
    <t xml:space="preserve">SFU1605-M-490</t>
  </si>
  <si>
    <t xml:space="preserve">SFU1605-M-500</t>
  </si>
  <si>
    <t xml:space="preserve">SFU1605-M-520</t>
  </si>
  <si>
    <t xml:space="preserve">SFU1605-M-550</t>
  </si>
  <si>
    <t xml:space="preserve">SFU1605-M-600</t>
  </si>
  <si>
    <t xml:space="preserve">SFU1605-M-625</t>
  </si>
  <si>
    <t xml:space="preserve">625</t>
  </si>
  <si>
    <t xml:space="preserve">SFU1605-M-650</t>
  </si>
  <si>
    <t xml:space="preserve">SFU1605-M-700</t>
  </si>
  <si>
    <t xml:space="preserve">SFU1605-M-740</t>
  </si>
  <si>
    <t xml:space="preserve">SFU1605-M-750</t>
  </si>
  <si>
    <t xml:space="preserve">SFU1605-M-765</t>
  </si>
  <si>
    <t xml:space="preserve">765</t>
  </si>
  <si>
    <t xml:space="preserve">SFU1605-M-800</t>
  </si>
  <si>
    <t xml:space="preserve">SFU1605-M-850</t>
  </si>
  <si>
    <t xml:space="preserve">SFU1605-M-900</t>
  </si>
  <si>
    <t xml:space="preserve">SFU1605-M-950</t>
  </si>
  <si>
    <t xml:space="preserve">SFU1605-N-1000</t>
  </si>
  <si>
    <t xml:space="preserve">SFU1605-N-1200</t>
  </si>
  <si>
    <t xml:space="preserve">SFU1605-N-1300</t>
  </si>
  <si>
    <t xml:space="preserve">SFU1605-N-150</t>
  </si>
  <si>
    <t xml:space="preserve">SFU1605-N-1500</t>
  </si>
  <si>
    <t xml:space="preserve">SFU1605-N-200</t>
  </si>
  <si>
    <t xml:space="preserve">SFU1605-N-230</t>
  </si>
  <si>
    <t xml:space="preserve">SFU1605-N-250</t>
  </si>
  <si>
    <t xml:space="preserve">SFU1605-N-280</t>
  </si>
  <si>
    <t xml:space="preserve">SFU1605-N-300</t>
  </si>
  <si>
    <t xml:space="preserve">SFU1605-N-350</t>
  </si>
  <si>
    <t xml:space="preserve">SFU1605-N-400</t>
  </si>
  <si>
    <t xml:space="preserve">SFU1605-N-450</t>
  </si>
  <si>
    <t xml:space="preserve">SFU1605-N-470</t>
  </si>
  <si>
    <t xml:space="preserve">SFU1605-N-500</t>
  </si>
  <si>
    <t xml:space="preserve">SFU1605-N-550</t>
  </si>
  <si>
    <t xml:space="preserve">SFU1605-N-600</t>
  </si>
  <si>
    <t xml:space="preserve">SFU1605-N-650</t>
  </si>
  <si>
    <t xml:space="preserve">SFU1605-N-700</t>
  </si>
  <si>
    <t xml:space="preserve">SFU1605-N-740</t>
  </si>
  <si>
    <t xml:space="preserve">SFU1605-N-750</t>
  </si>
  <si>
    <t xml:space="preserve">SFU1605-N-800</t>
  </si>
  <si>
    <t xml:space="preserve">SFU1605-N-850</t>
  </si>
  <si>
    <t xml:space="preserve">SFU1605-N-900</t>
  </si>
  <si>
    <t xml:space="preserve">SFU1605-N-950</t>
  </si>
  <si>
    <t xml:space="preserve">SFU1610-3T-M-1000</t>
  </si>
  <si>
    <t xml:space="preserve">SFU1610-3 -circuit</t>
  </si>
  <si>
    <t xml:space="preserve">SFU1610-3T-M-1165</t>
  </si>
  <si>
    <t xml:space="preserve">SFU1610-3T-M-1200</t>
  </si>
  <si>
    <t xml:space="preserve">SFU1610-3T-M-150</t>
  </si>
  <si>
    <t xml:space="preserve">SFU1610-3T-M-1500</t>
  </si>
  <si>
    <t xml:space="preserve">SFU1610-3T-M-200</t>
  </si>
  <si>
    <t xml:space="preserve">SFU1610-3T-M-250</t>
  </si>
  <si>
    <t xml:space="preserve">SFU1610-3T-M-300</t>
  </si>
  <si>
    <t xml:space="preserve">SFU1610-3T-M-350</t>
  </si>
  <si>
    <t xml:space="preserve">SFU1610-3T-M-400</t>
  </si>
  <si>
    <t xml:space="preserve">SFU1610-3T-M-450</t>
  </si>
  <si>
    <t xml:space="preserve">SFU1610-3T-M-500</t>
  </si>
  <si>
    <t xml:space="preserve">SFU1610-3T-M-550</t>
  </si>
  <si>
    <t xml:space="preserve">SFU1610-3T-M-600</t>
  </si>
  <si>
    <t xml:space="preserve">SFU1610-3T-M-650</t>
  </si>
  <si>
    <t xml:space="preserve">SFU1610-3T-M-700</t>
  </si>
  <si>
    <t xml:space="preserve">SFU1610-3T-M-750</t>
  </si>
  <si>
    <t xml:space="preserve">SFU1610-3T-M-800</t>
  </si>
  <si>
    <t xml:space="preserve">SFU1610-3T-M-850</t>
  </si>
  <si>
    <t xml:space="preserve">SFU1610-3T-M-900</t>
  </si>
  <si>
    <t xml:space="preserve">SFU1610-3T-M-950</t>
  </si>
  <si>
    <t xml:space="preserve">SFU1610-3T-N-1000</t>
  </si>
  <si>
    <t xml:space="preserve">SFU1610-3T-N-1200</t>
  </si>
  <si>
    <t xml:space="preserve">SFU1610-3T-N-150</t>
  </si>
  <si>
    <t xml:space="preserve">SFU1610-3T-N-1500</t>
  </si>
  <si>
    <t xml:space="preserve">SFU1610-3T-N-200</t>
  </si>
  <si>
    <t xml:space="preserve">SFU1610-3T-N-250</t>
  </si>
  <si>
    <t xml:space="preserve">SFU1610-3T-N-300</t>
  </si>
  <si>
    <t xml:space="preserve">SFU1610-3T-N-350</t>
  </si>
  <si>
    <t xml:space="preserve">SFU1610-3T-N-400</t>
  </si>
  <si>
    <t xml:space="preserve">SFU1610-3T-N-450</t>
  </si>
  <si>
    <t xml:space="preserve">SFU1610-3T-N-500</t>
  </si>
  <si>
    <t xml:space="preserve">SFU1610-3T-N-550</t>
  </si>
  <si>
    <t xml:space="preserve">SFU1610-3T-N-600</t>
  </si>
  <si>
    <t xml:space="preserve">SFU1610-3T-N-650</t>
  </si>
  <si>
    <t xml:space="preserve">SFU1610-3T-N-700</t>
  </si>
  <si>
    <t xml:space="preserve">SFU1610-3T-N-750</t>
  </si>
  <si>
    <t xml:space="preserve">SFU1610-3T-N-800</t>
  </si>
  <si>
    <t xml:space="preserve">SFU1610-3T-N-850</t>
  </si>
  <si>
    <t xml:space="preserve">SFU1610-3T-N-900</t>
  </si>
  <si>
    <t xml:space="preserve">SFU1610-3T-N-950</t>
  </si>
  <si>
    <t xml:space="preserve">SFU1610-M-1000</t>
  </si>
  <si>
    <t xml:space="preserve">SFU1610</t>
  </si>
  <si>
    <t xml:space="preserve">SFU1610-M-1200</t>
  </si>
  <si>
    <t xml:space="preserve">SFU1610-M-150</t>
  </si>
  <si>
    <t xml:space="preserve">SFU1610-M-1500</t>
  </si>
  <si>
    <t xml:space="preserve">SFU1610-M-1540</t>
  </si>
  <si>
    <t xml:space="preserve">SFU1610-M-1580</t>
  </si>
  <si>
    <t xml:space="preserve">1580</t>
  </si>
  <si>
    <t xml:space="preserve">SFU1610-M-1610</t>
  </si>
  <si>
    <t xml:space="preserve">SFU1610-M-1764</t>
  </si>
  <si>
    <t xml:space="preserve">1764</t>
  </si>
  <si>
    <t xml:space="preserve">SFU1610-M-200</t>
  </si>
  <si>
    <t xml:space="preserve">SFU1610-M-2110</t>
  </si>
  <si>
    <t xml:space="preserve">2110</t>
  </si>
  <si>
    <t xml:space="preserve">SFU1610-M-250</t>
  </si>
  <si>
    <t xml:space="preserve">SFU1610-M-300</t>
  </si>
  <si>
    <t xml:space="preserve">SFU1610-M-350</t>
  </si>
  <si>
    <t xml:space="preserve">SFU1610-M-400</t>
  </si>
  <si>
    <t xml:space="preserve">SFU1610-M-450</t>
  </si>
  <si>
    <t xml:space="preserve">SFU1610-M-500</t>
  </si>
  <si>
    <t xml:space="preserve">SFU1610-M-550</t>
  </si>
  <si>
    <t xml:space="preserve">SFU1610-M-600</t>
  </si>
  <si>
    <t xml:space="preserve">SFU1610-M-650</t>
  </si>
  <si>
    <t xml:space="preserve">SFU1610-M-700</t>
  </si>
  <si>
    <t xml:space="preserve">SFU1610-M-750</t>
  </si>
  <si>
    <t xml:space="preserve">SFU1610-M-800</t>
  </si>
  <si>
    <t xml:space="preserve">SFU1610-M-850</t>
  </si>
  <si>
    <t xml:space="preserve">SFU1610-M-880</t>
  </si>
  <si>
    <t xml:space="preserve">SFU1610-M-900</t>
  </si>
  <si>
    <t xml:space="preserve">SFU1610-M-950</t>
  </si>
  <si>
    <t xml:space="preserve">SFU1610-N-100</t>
  </si>
  <si>
    <t xml:space="preserve">SFU1610-N-1000</t>
  </si>
  <si>
    <t xml:space="preserve">SFU1610-N-1200</t>
  </si>
  <si>
    <t xml:space="preserve">SFU1610-N-150</t>
  </si>
  <si>
    <t xml:space="preserve">SFU1610-N-1500</t>
  </si>
  <si>
    <t xml:space="preserve">SFU1610-N-200</t>
  </si>
  <si>
    <t xml:space="preserve">SFU1610-N-250</t>
  </si>
  <si>
    <t xml:space="preserve">SFU1610-N-300</t>
  </si>
  <si>
    <t xml:space="preserve">SFU1610-N-350</t>
  </si>
  <si>
    <t xml:space="preserve">SFU1610-N-400</t>
  </si>
  <si>
    <t xml:space="preserve">SFU1610-N-450</t>
  </si>
  <si>
    <t xml:space="preserve">SFU1610-N-500</t>
  </si>
  <si>
    <t xml:space="preserve">SFU1610-N-550</t>
  </si>
  <si>
    <t xml:space="preserve">SFU1610-N-600</t>
  </si>
  <si>
    <t xml:space="preserve">SFU1610-N-650</t>
  </si>
  <si>
    <t xml:space="preserve">SFU1610-N-700</t>
  </si>
  <si>
    <t xml:space="preserve">SFU1610-N-750</t>
  </si>
  <si>
    <t xml:space="preserve">SFU1610-N-800</t>
  </si>
  <si>
    <t xml:space="preserve">SFU1610-N-850</t>
  </si>
  <si>
    <t xml:space="preserve">SFU1610-N-900</t>
  </si>
  <si>
    <t xml:space="preserve">SFU1610-N-950</t>
  </si>
  <si>
    <t xml:space="preserve">SFU2005-M-1000</t>
  </si>
  <si>
    <t xml:space="preserve">SFU2005</t>
  </si>
  <si>
    <t xml:space="preserve">SFU2005-M-1100</t>
  </si>
  <si>
    <t xml:space="preserve">SFU2005-M-1200</t>
  </si>
  <si>
    <t xml:space="preserve">SFU2005-M-1300</t>
  </si>
  <si>
    <t xml:space="preserve">SFU2005-M-1500</t>
  </si>
  <si>
    <t xml:space="preserve">SFU2005-M-1700</t>
  </si>
  <si>
    <t xml:space="preserve">SFU2005-M-1800</t>
  </si>
  <si>
    <t xml:space="preserve">SFU2005-M-200</t>
  </si>
  <si>
    <t xml:space="preserve">SFU2005-M-2000</t>
  </si>
  <si>
    <t xml:space="preserve">SFU2005-M-2300</t>
  </si>
  <si>
    <t xml:space="preserve">2300</t>
  </si>
  <si>
    <t xml:space="preserve">SFU2005-M-250</t>
  </si>
  <si>
    <t xml:space="preserve">SFU2005-M-2500</t>
  </si>
  <si>
    <t xml:space="preserve">SFU2005-M-2800</t>
  </si>
  <si>
    <t xml:space="preserve">2800</t>
  </si>
  <si>
    <t xml:space="preserve">SFU2005-M-300</t>
  </si>
  <si>
    <t xml:space="preserve">SFU2005-M-3000</t>
  </si>
  <si>
    <t xml:space="preserve">SFU2005-M-3300</t>
  </si>
  <si>
    <t xml:space="preserve">3300</t>
  </si>
  <si>
    <t xml:space="preserve">SFU2005-M-350</t>
  </si>
  <si>
    <t xml:space="preserve">SFU2005-M-400</t>
  </si>
  <si>
    <t xml:space="preserve">SFU2005-M-450</t>
  </si>
  <si>
    <t xml:space="preserve">SFU2005-M-500</t>
  </si>
  <si>
    <t xml:space="preserve">SFU2005-M-550</t>
  </si>
  <si>
    <t xml:space="preserve">SFU2005-M-600</t>
  </si>
  <si>
    <t xml:space="preserve">SFU2005-M-615</t>
  </si>
  <si>
    <t xml:space="preserve">SFU2005-M-650</t>
  </si>
  <si>
    <t xml:space="preserve">SFU2005-M-700</t>
  </si>
  <si>
    <t xml:space="preserve">SFU2005-M-750</t>
  </si>
  <si>
    <t xml:space="preserve">SFU2005-M-800</t>
  </si>
  <si>
    <t xml:space="preserve">SFU2005-M-850</t>
  </si>
  <si>
    <t xml:space="preserve">SFU2005-M-900</t>
  </si>
  <si>
    <t xml:space="preserve">SFU2005-M-950</t>
  </si>
  <si>
    <t xml:space="preserve">SFU2005-N-1000</t>
  </si>
  <si>
    <t xml:space="preserve">SFU2005-N-1200</t>
  </si>
  <si>
    <t xml:space="preserve">SFU2005-N-1500</t>
  </si>
  <si>
    <t xml:space="preserve">SFU2005-N-200</t>
  </si>
  <si>
    <t xml:space="preserve">SFU2005-N-250</t>
  </si>
  <si>
    <t xml:space="preserve">SFU2005-N-300</t>
  </si>
  <si>
    <t xml:space="preserve">SFU2005-N-350</t>
  </si>
  <si>
    <t xml:space="preserve">SFU2005-N-400</t>
  </si>
  <si>
    <t xml:space="preserve">SFU2005-N-450</t>
  </si>
  <si>
    <t xml:space="preserve">SFU2005-N-500</t>
  </si>
  <si>
    <t xml:space="preserve">SFU2005-N-550</t>
  </si>
  <si>
    <t xml:space="preserve">SFU2005-N-600</t>
  </si>
  <si>
    <t xml:space="preserve">SFU2005-N-650</t>
  </si>
  <si>
    <t xml:space="preserve">SFU2005-N-700</t>
  </si>
  <si>
    <t xml:space="preserve">SFU2005-N-750</t>
  </si>
  <si>
    <t xml:space="preserve">SFU2005-N-800</t>
  </si>
  <si>
    <t xml:space="preserve">SFU2005-N-850</t>
  </si>
  <si>
    <t xml:space="preserve">SFU2005-N-900</t>
  </si>
  <si>
    <t xml:space="preserve">SFU2005-N-950</t>
  </si>
  <si>
    <t xml:space="preserve">SFU2010-M-1000</t>
  </si>
  <si>
    <t xml:space="preserve">SFU2010</t>
  </si>
  <si>
    <t xml:space="preserve">SFU2010-M-1200</t>
  </si>
  <si>
    <t xml:space="preserve">SFU2010-M-1500</t>
  </si>
  <si>
    <t xml:space="preserve">SFU2010-M-200</t>
  </si>
  <si>
    <t xml:space="preserve">SFU2010-M-250</t>
  </si>
  <si>
    <t xml:space="preserve">SFU2010-M-300</t>
  </si>
  <si>
    <t xml:space="preserve">SFU2010-M-350</t>
  </si>
  <si>
    <t xml:space="preserve">SFU2010-M-400</t>
  </si>
  <si>
    <t xml:space="preserve">SFU2010-M-450</t>
  </si>
  <si>
    <t xml:space="preserve">SFU2010-M-500</t>
  </si>
  <si>
    <t xml:space="preserve">SFU2010-M-550</t>
  </si>
  <si>
    <t xml:space="preserve">SFU2010-M-600</t>
  </si>
  <si>
    <t xml:space="preserve">SFU2010-M-650</t>
  </si>
  <si>
    <t xml:space="preserve">SFU2010-M-700</t>
  </si>
  <si>
    <t xml:space="preserve">SFU2010-M-750</t>
  </si>
  <si>
    <t xml:space="preserve">SFU2010-M-800</t>
  </si>
  <si>
    <t xml:space="preserve">SFU2010-M-850</t>
  </si>
  <si>
    <t xml:space="preserve">SFU2010-M-900</t>
  </si>
  <si>
    <t xml:space="preserve">SFU2010-M-950</t>
  </si>
  <si>
    <t xml:space="preserve">SFU2010-N-1000</t>
  </si>
  <si>
    <t xml:space="preserve">SFU2010-N-1200</t>
  </si>
  <si>
    <t xml:space="preserve">SFU2010-N-1500</t>
  </si>
  <si>
    <t xml:space="preserve">SFU2010-N-200</t>
  </si>
  <si>
    <t xml:space="preserve">SFU2010-N-250</t>
  </si>
  <si>
    <t xml:space="preserve">SFU2010-N-300</t>
  </si>
  <si>
    <t xml:space="preserve">SFU2010-N-350</t>
  </si>
  <si>
    <t xml:space="preserve">SFU2010-N-400</t>
  </si>
  <si>
    <t xml:space="preserve">SFU2010-N-450</t>
  </si>
  <si>
    <t xml:space="preserve">SFU2010-N-500</t>
  </si>
  <si>
    <t xml:space="preserve">SFU2010-N-550</t>
  </si>
  <si>
    <t xml:space="preserve">SFU2010-N-600</t>
  </si>
  <si>
    <t xml:space="preserve">SFU2010-N-650</t>
  </si>
  <si>
    <t xml:space="preserve">SFU2010-N-700</t>
  </si>
  <si>
    <t xml:space="preserve">SFU2010-N-750</t>
  </si>
  <si>
    <t xml:space="preserve">SFU2010-N-800</t>
  </si>
  <si>
    <t xml:space="preserve">SFU2010-N-850</t>
  </si>
  <si>
    <t xml:space="preserve">SFU2010-N-900</t>
  </si>
  <si>
    <t xml:space="preserve">SFU2010-N-950</t>
  </si>
  <si>
    <t xml:space="preserve">SFU2505-M-185</t>
  </si>
  <si>
    <t xml:space="preserve">SFU2505</t>
  </si>
  <si>
    <t xml:space="preserve">185</t>
  </si>
  <si>
    <t xml:space="preserve">SFU2505-M-2800</t>
  </si>
  <si>
    <t xml:space="preserve">SFU2510-M-1000</t>
  </si>
  <si>
    <t xml:space="preserve">SFU2510</t>
  </si>
  <si>
    <t xml:space="preserve">SFU2510-M-200</t>
  </si>
  <si>
    <t xml:space="preserve">SFU2510-M-250</t>
  </si>
  <si>
    <t xml:space="preserve">SFU2510-M-300</t>
  </si>
  <si>
    <t xml:space="preserve">SFU2510-M-350</t>
  </si>
  <si>
    <t xml:space="preserve">SFU2510-M-400</t>
  </si>
  <si>
    <t xml:space="preserve">SFU2510-M-450</t>
  </si>
  <si>
    <t xml:space="preserve">SFU2510-M-500</t>
  </si>
  <si>
    <t xml:space="preserve">SFU2510-M-550</t>
  </si>
  <si>
    <t xml:space="preserve">SFU2510-M-600</t>
  </si>
  <si>
    <t xml:space="preserve">SFU2510-M-650</t>
  </si>
  <si>
    <t xml:space="preserve">SFU2510-M-700</t>
  </si>
  <si>
    <t xml:space="preserve">SFU2510-M-750</t>
  </si>
  <si>
    <t xml:space="preserve">SFU2510-M-800</t>
  </si>
  <si>
    <t xml:space="preserve">SFU2510-M-850</t>
  </si>
  <si>
    <t xml:space="preserve">SFU2510-M-900</t>
  </si>
  <si>
    <t xml:space="preserve">SFU2510-M-950</t>
  </si>
  <si>
    <t xml:space="preserve">SFU2510-N-1000</t>
  </si>
  <si>
    <t xml:space="preserve">SFU2510-N-200</t>
  </si>
  <si>
    <t xml:space="preserve">SFU2510-N-250</t>
  </si>
  <si>
    <t xml:space="preserve">SFU2510-N-300</t>
  </si>
  <si>
    <t xml:space="preserve">SFU2510-N-350</t>
  </si>
  <si>
    <t xml:space="preserve">SFU2510-N-400</t>
  </si>
  <si>
    <t xml:space="preserve">SFU2510-N-450</t>
  </si>
  <si>
    <t xml:space="preserve">SFU2510-N-500</t>
  </si>
  <si>
    <t xml:space="preserve">SFU2510-N-550</t>
  </si>
  <si>
    <t xml:space="preserve">SFU2510-N-600</t>
  </si>
  <si>
    <t xml:space="preserve">SFU2510-N-650</t>
  </si>
  <si>
    <t xml:space="preserve">SFU2510-N-700</t>
  </si>
  <si>
    <t xml:space="preserve">SFU2510-N-750</t>
  </si>
  <si>
    <t xml:space="preserve">SFU2510-N-800</t>
  </si>
  <si>
    <t xml:space="preserve">SFU2510-N-850</t>
  </si>
  <si>
    <t xml:space="preserve">SFU2510-N-900</t>
  </si>
  <si>
    <t xml:space="preserve">SFU2510-N-950</t>
  </si>
  <si>
    <t xml:space="preserve">SFU3205-M-2000</t>
  </si>
  <si>
    <t xml:space="preserve">SFU3205</t>
  </si>
  <si>
    <t xml:space="preserve">SFU3205-N-2000</t>
  </si>
  <si>
    <t xml:space="preserve">SG U-Groove Guide Bearing (SG15 / SG20 / SG25)  [Shafts / Rails / Ball Screws]</t>
  </si>
  <si>
    <t xml:space="preserve">Thread</t>
  </si>
  <si>
    <t xml:space="preserve">SG35</t>
  </si>
  <si>
    <t xml:space="preserve">12x42x19</t>
  </si>
  <si>
    <t xml:space="preserve">RL-023-12x42x19-SG35</t>
  </si>
  <si>
    <t xml:space="preserve">RL-023-5x17x8-SG15</t>
  </si>
  <si>
    <t xml:space="preserve">SG15</t>
  </si>
  <si>
    <t xml:space="preserve">5x17x8</t>
  </si>
  <si>
    <t xml:space="preserve">RL-023-6x24x11-SG20RS</t>
  </si>
  <si>
    <t xml:space="preserve">SG20RS</t>
  </si>
  <si>
    <t xml:space="preserve">6x24x11</t>
  </si>
  <si>
    <t xml:space="preserve">RL-023-8x30x14-SG25</t>
  </si>
  <si>
    <t xml:space="preserve">SG25</t>
  </si>
  <si>
    <t xml:space="preserve">8x30x14</t>
  </si>
  <si>
    <t xml:space="preserve">RL-023-M5PXL</t>
  </si>
  <si>
    <t xml:space="preserve">M5 eccentric wheel</t>
  </si>
  <si>
    <t xml:space="preserve">RL-023-M5x22-LS</t>
  </si>
  <si>
    <t xml:space="preserve">screw</t>
  </si>
  <si>
    <t xml:space="preserve">M5x22</t>
  </si>
  <si>
    <t xml:space="preserve">RL-023-M6PXL</t>
  </si>
  <si>
    <t xml:space="preserve">M6 eccentric wheel</t>
  </si>
  <si>
    <t xml:space="preserve">RL-023-M6x23-LS</t>
  </si>
  <si>
    <t xml:space="preserve">M6x23</t>
  </si>
  <si>
    <t xml:space="preserve">RL-023-M8x28-LS</t>
  </si>
  <si>
    <t xml:space="preserve">M8x28</t>
  </si>
  <si>
    <t xml:space="preserve">RL-023-SG15-+M5PXL-+M5LS</t>
  </si>
  <si>
    <t xml:space="preserve">SG15 +M5 eccentric wheel +M5 screw</t>
  </si>
  <si>
    <t xml:space="preserve">RL-023-SG20-+M6PXL-+M6LS</t>
  </si>
  <si>
    <t xml:space="preserve">SG20 +M6 eccentric wheel +M6 screw</t>
  </si>
  <si>
    <t xml:space="preserve">RL-023-SG25-+M8LS</t>
  </si>
  <si>
    <t xml:space="preserve">SG25 +M8 screw</t>
  </si>
  <si>
    <t xml:space="preserve">U-Groove Bearing U604ZZ / U624ZZ  [Shafts / Rails / Ball Screws]</t>
  </si>
  <si>
    <t xml:space="preserve">1 pcs</t>
  </si>
  <si>
    <t xml:space="preserve">U604ZZ</t>
  </si>
  <si>
    <t xml:space="preserve">4x12x4</t>
  </si>
  <si>
    <t xml:space="preserve">RL-044-4x12x4-U604ZZ</t>
  </si>
  <si>
    <t xml:space="preserve">RL-044-4x13x4-U604ZZ</t>
  </si>
  <si>
    <t xml:space="preserve">4x13x4</t>
  </si>
  <si>
    <t xml:space="preserve">RL-044-4x13x7-U624ZZ-P2</t>
  </si>
  <si>
    <t xml:space="preserve">2 pcs</t>
  </si>
  <si>
    <t xml:space="preserve">U624ZZ</t>
  </si>
  <si>
    <t xml:space="preserve">4x13x7</t>
  </si>
  <si>
    <t xml:space="preserve">WCS Chrome Hardened Linear Shaft (Dia 4-50mm, by length)  [Shafts / Rails / Ball Screws]</t>
  </si>
  <si>
    <t xml:space="preserve">5 pcs</t>
  </si>
  <si>
    <t xml:space="preserve">WCS-10-10-P5</t>
  </si>
  <si>
    <t xml:space="preserve">WCS-10-100</t>
  </si>
  <si>
    <t xml:space="preserve">WCS-10-1000</t>
  </si>
  <si>
    <t xml:space="preserve">WCS-10-1020</t>
  </si>
  <si>
    <t xml:space="preserve">WCS-10-11-P2</t>
  </si>
  <si>
    <t xml:space="preserve">WCS-10-110</t>
  </si>
  <si>
    <t xml:space="preserve">WCS-10-12-P3</t>
  </si>
  <si>
    <t xml:space="preserve">3 pcs</t>
  </si>
  <si>
    <t xml:space="preserve">WCS-10-120</t>
  </si>
  <si>
    <t xml:space="preserve">WCS-10-13-P2</t>
  </si>
  <si>
    <t xml:space="preserve">WCS-10-14-P3</t>
  </si>
  <si>
    <t xml:space="preserve">WCS-10-140</t>
  </si>
  <si>
    <t xml:space="preserve">WCS-10-15-P3</t>
  </si>
  <si>
    <t xml:space="preserve">WCS-10-150</t>
  </si>
  <si>
    <t xml:space="preserve">WCS-10-1520</t>
  </si>
  <si>
    <t xml:space="preserve">WCS-10-16-P3</t>
  </si>
  <si>
    <t xml:space="preserve">WCS-10-17-P2</t>
  </si>
  <si>
    <t xml:space="preserve">WCS-10-170</t>
  </si>
  <si>
    <t xml:space="preserve">WCS-10-18-P3</t>
  </si>
  <si>
    <t xml:space="preserve">WCS-10-20-P3</t>
  </si>
  <si>
    <t xml:space="preserve">WCS-10-200</t>
  </si>
  <si>
    <t xml:space="preserve">WCS-10-2000</t>
  </si>
  <si>
    <t xml:space="preserve">WCS-10-215</t>
  </si>
  <si>
    <t xml:space="preserve">WCS-10-22-P2</t>
  </si>
  <si>
    <t xml:space="preserve">WCS-10-23-P2</t>
  </si>
  <si>
    <t xml:space="preserve">WCS-10-24-P2</t>
  </si>
  <si>
    <t xml:space="preserve">WCS-10-25-P2</t>
  </si>
  <si>
    <t xml:space="preserve">WCS-10-250</t>
  </si>
  <si>
    <t xml:space="preserve">WCS-10-26-P2</t>
  </si>
  <si>
    <t xml:space="preserve">WCS-10-27</t>
  </si>
  <si>
    <t xml:space="preserve">27</t>
  </si>
  <si>
    <t xml:space="preserve">WCS-10-28-P2</t>
  </si>
  <si>
    <t xml:space="preserve">WCS-10-30-P2</t>
  </si>
  <si>
    <t xml:space="preserve">WCS-10-300</t>
  </si>
  <si>
    <t xml:space="preserve">WCS-10-32</t>
  </si>
  <si>
    <t xml:space="preserve">WCS-10-320</t>
  </si>
  <si>
    <t xml:space="preserve">WCS-10-33</t>
  </si>
  <si>
    <t xml:space="preserve">33</t>
  </si>
  <si>
    <t xml:space="preserve">WCS-10-330</t>
  </si>
  <si>
    <t xml:space="preserve">WCS-10-335</t>
  </si>
  <si>
    <t xml:space="preserve">WCS-10-34</t>
  </si>
  <si>
    <t xml:space="preserve">WCS-10-340</t>
  </si>
  <si>
    <t xml:space="preserve">WCS-10-35-P2</t>
  </si>
  <si>
    <t xml:space="preserve">WCS-10-350</t>
  </si>
  <si>
    <t xml:space="preserve">WCS-10-36</t>
  </si>
  <si>
    <t xml:space="preserve">WCS-10-360</t>
  </si>
  <si>
    <t xml:space="preserve">WCS-10-37</t>
  </si>
  <si>
    <t xml:space="preserve">37</t>
  </si>
  <si>
    <t xml:space="preserve">WCS-10-370</t>
  </si>
  <si>
    <t xml:space="preserve">WCS-10-38</t>
  </si>
  <si>
    <t xml:space="preserve">WCS-10-380</t>
  </si>
  <si>
    <t xml:space="preserve">WCS-10-40-P2</t>
  </si>
  <si>
    <t xml:space="preserve">WCS-10-400</t>
  </si>
  <si>
    <t xml:space="preserve">WCS-10-410</t>
  </si>
  <si>
    <t xml:space="preserve">WCS-10-420</t>
  </si>
  <si>
    <t xml:space="preserve">WCS-10-430</t>
  </si>
  <si>
    <t xml:space="preserve">WCS-10-440</t>
  </si>
  <si>
    <t xml:space="preserve">WCS-10-45-P2</t>
  </si>
  <si>
    <t xml:space="preserve">WCS-10-450</t>
  </si>
  <si>
    <t xml:space="preserve">WCS-10-46</t>
  </si>
  <si>
    <t xml:space="preserve">46</t>
  </si>
  <si>
    <t xml:space="preserve">WCS-10-460</t>
  </si>
  <si>
    <t xml:space="preserve">WCS-10-470</t>
  </si>
  <si>
    <t xml:space="preserve">WCS-10-48</t>
  </si>
  <si>
    <t xml:space="preserve">WCS-10-50</t>
  </si>
  <si>
    <t xml:space="preserve">WCS-10-500</t>
  </si>
  <si>
    <t xml:space="preserve">WCS-10-515</t>
  </si>
  <si>
    <t xml:space="preserve">WCS-10-53</t>
  </si>
  <si>
    <t xml:space="preserve">WCS-10-55</t>
  </si>
  <si>
    <t xml:space="preserve">WCS-10-550</t>
  </si>
  <si>
    <t xml:space="preserve">WCS-10-60</t>
  </si>
  <si>
    <t xml:space="preserve">WCS-10-600</t>
  </si>
  <si>
    <t xml:space="preserve">WCS-10-65</t>
  </si>
  <si>
    <t xml:space="preserve">65</t>
  </si>
  <si>
    <t xml:space="preserve">WCS-10-650</t>
  </si>
  <si>
    <t xml:space="preserve">WCS-10-66</t>
  </si>
  <si>
    <t xml:space="preserve">WCS-10-70</t>
  </si>
  <si>
    <t xml:space="preserve">WCS-10-700</t>
  </si>
  <si>
    <t xml:space="preserve">WCS-10-730</t>
  </si>
  <si>
    <t xml:space="preserve">WCS-10-75</t>
  </si>
  <si>
    <t xml:space="preserve">WCS-10-750</t>
  </si>
  <si>
    <t xml:space="preserve">WCS-10-8</t>
  </si>
  <si>
    <t xml:space="preserve">WCS-10-80</t>
  </si>
  <si>
    <t xml:space="preserve">WCS-10-800</t>
  </si>
  <si>
    <t xml:space="preserve">WCS-10-90</t>
  </si>
  <si>
    <t xml:space="preserve">WCS-12-10</t>
  </si>
  <si>
    <t xml:space="preserve">WCS-12-100</t>
  </si>
  <si>
    <t xml:space="preserve">WCS-12-1000</t>
  </si>
  <si>
    <t xml:space="preserve">WCS-12-1040</t>
  </si>
  <si>
    <t xml:space="preserve">WCS-12-11</t>
  </si>
  <si>
    <t xml:space="preserve">WCS-12-110</t>
  </si>
  <si>
    <t xml:space="preserve">WCS-12-12-P3</t>
  </si>
  <si>
    <t xml:space="preserve">WCS-12-120</t>
  </si>
  <si>
    <t xml:space="preserve">WCS-12-13</t>
  </si>
  <si>
    <t xml:space="preserve">WCS-12-14-P2</t>
  </si>
  <si>
    <t xml:space="preserve">WCS-12-140</t>
  </si>
  <si>
    <t xml:space="preserve">WCS-12-15-P2</t>
  </si>
  <si>
    <t xml:space="preserve">WCS-12-150</t>
  </si>
  <si>
    <t xml:space="preserve">WCS-12-1520</t>
  </si>
  <si>
    <t xml:space="preserve">WCS-12-16-P2</t>
  </si>
  <si>
    <t xml:space="preserve">WCS-12-170</t>
  </si>
  <si>
    <t xml:space="preserve">WCS-12-177</t>
  </si>
  <si>
    <t xml:space="preserve">WCS-12-18-P2</t>
  </si>
  <si>
    <t xml:space="preserve">WCS-12-190</t>
  </si>
  <si>
    <t xml:space="preserve">WCS-12-20-P2</t>
  </si>
  <si>
    <t xml:space="preserve">WCS-12-200</t>
  </si>
  <si>
    <t xml:space="preserve">WCS-12-2000</t>
  </si>
  <si>
    <t xml:space="preserve">WCS-12-21</t>
  </si>
  <si>
    <t xml:space="preserve">21</t>
  </si>
  <si>
    <t xml:space="preserve">WCS-12-22</t>
  </si>
  <si>
    <t xml:space="preserve">WCS-12-222</t>
  </si>
  <si>
    <t xml:space="preserve">WCS-12-24</t>
  </si>
  <si>
    <t xml:space="preserve">WCS-12-25</t>
  </si>
  <si>
    <t xml:space="preserve">WCS-12-250</t>
  </si>
  <si>
    <t xml:space="preserve">WCS-12-255</t>
  </si>
  <si>
    <t xml:space="preserve">WCS-12-26</t>
  </si>
  <si>
    <t xml:space="preserve">WCS-12-27</t>
  </si>
  <si>
    <t xml:space="preserve">WCS-12-28</t>
  </si>
  <si>
    <t xml:space="preserve">WCS-12-290</t>
  </si>
  <si>
    <t xml:space="preserve">WCS-12-292</t>
  </si>
  <si>
    <t xml:space="preserve">WCS-12-30</t>
  </si>
  <si>
    <t xml:space="preserve">WCS-12-300</t>
  </si>
  <si>
    <t xml:space="preserve">WCS-12-32</t>
  </si>
  <si>
    <t xml:space="preserve">WCS-12-320</t>
  </si>
  <si>
    <t xml:space="preserve">WCS-12-335</t>
  </si>
  <si>
    <t xml:space="preserve">WCS-12-340</t>
  </si>
  <si>
    <t xml:space="preserve">WCS-12-35</t>
  </si>
  <si>
    <t xml:space="preserve">WCS-12-350</t>
  </si>
  <si>
    <t xml:space="preserve">WCS-12-37</t>
  </si>
  <si>
    <t xml:space="preserve">WCS-12-38</t>
  </si>
  <si>
    <t xml:space="preserve">WCS-12-386</t>
  </si>
  <si>
    <t xml:space="preserve">WCS-12-390</t>
  </si>
  <si>
    <t xml:space="preserve">WCS-12-40</t>
  </si>
  <si>
    <t xml:space="preserve">WCS-12-400</t>
  </si>
  <si>
    <t xml:space="preserve">WCS-12-420</t>
  </si>
  <si>
    <t xml:space="preserve">WCS-12-430</t>
  </si>
  <si>
    <t xml:space="preserve">WCS-12-440</t>
  </si>
  <si>
    <t xml:space="preserve">WCS-12-45</t>
  </si>
  <si>
    <t xml:space="preserve">WCS-12-450</t>
  </si>
  <si>
    <t xml:space="preserve">WCS-12-455</t>
  </si>
  <si>
    <t xml:space="preserve">WCS-12-48</t>
  </si>
  <si>
    <t xml:space="preserve">WCS-12-490</t>
  </si>
  <si>
    <t xml:space="preserve">WCS-12-50</t>
  </si>
  <si>
    <t xml:space="preserve">WCS-12-500</t>
  </si>
  <si>
    <t xml:space="preserve">WCS-12-506</t>
  </si>
  <si>
    <t xml:space="preserve">WCS-12-520</t>
  </si>
  <si>
    <t xml:space="preserve">WCS-12-530</t>
  </si>
  <si>
    <t xml:space="preserve">WCS-12-54</t>
  </si>
  <si>
    <t xml:space="preserve">WCS-12-540</t>
  </si>
  <si>
    <t xml:space="preserve">WCS-12-55</t>
  </si>
  <si>
    <t xml:space="preserve">WCS-12-550</t>
  </si>
  <si>
    <t xml:space="preserve">WCS-12-570</t>
  </si>
  <si>
    <t xml:space="preserve">WCS-12-60</t>
  </si>
  <si>
    <t xml:space="preserve">WCS-12-600</t>
  </si>
  <si>
    <t xml:space="preserve">WCS-12-620</t>
  </si>
  <si>
    <t xml:space="preserve">WCS-12-650</t>
  </si>
  <si>
    <t xml:space="preserve">WCS-12-670</t>
  </si>
  <si>
    <t xml:space="preserve">WCS-12-70</t>
  </si>
  <si>
    <t xml:space="preserve">WCS-12-700</t>
  </si>
  <si>
    <t xml:space="preserve">WCS-12-710</t>
  </si>
  <si>
    <t xml:space="preserve">WCS-12-750</t>
  </si>
  <si>
    <t xml:space="preserve">WCS-12-80</t>
  </si>
  <si>
    <t xml:space="preserve">WCS-12-800</t>
  </si>
  <si>
    <t xml:space="preserve">WCS-12-820</t>
  </si>
  <si>
    <t xml:space="preserve">WCS-12-90</t>
  </si>
  <si>
    <t xml:space="preserve">WCS-12-900</t>
  </si>
  <si>
    <t xml:space="preserve">WCS-13-1000</t>
  </si>
  <si>
    <t xml:space="preserve">WCS-13-1520</t>
  </si>
  <si>
    <t xml:space="preserve">WCS-13-260</t>
  </si>
  <si>
    <t xml:space="preserve">WCS-13-650</t>
  </si>
  <si>
    <t xml:space="preserve">WCS-13-700</t>
  </si>
  <si>
    <t xml:space="preserve">WCS-14-1000</t>
  </si>
  <si>
    <t xml:space="preserve">WCS-14-340</t>
  </si>
  <si>
    <t xml:space="preserve">WCS-14-600</t>
  </si>
  <si>
    <t xml:space="preserve">WCS-15-190</t>
  </si>
  <si>
    <t xml:space="preserve">WCS-16-1000</t>
  </si>
  <si>
    <t xml:space="preserve">WCS-16-1500</t>
  </si>
  <si>
    <t xml:space="preserve">WCS-16-1520</t>
  </si>
  <si>
    <t xml:space="preserve">WCS-16-200</t>
  </si>
  <si>
    <t xml:space="preserve">WCS-16-230</t>
  </si>
  <si>
    <t xml:space="preserve">WCS-16-250</t>
  </si>
  <si>
    <t xml:space="preserve">WCS-16-255</t>
  </si>
  <si>
    <t xml:space="preserve">WCS-16-300</t>
  </si>
  <si>
    <t xml:space="preserve">WCS-16-350</t>
  </si>
  <si>
    <t xml:space="preserve">WCS-16-380</t>
  </si>
  <si>
    <t xml:space="preserve">WCS-16-385</t>
  </si>
  <si>
    <t xml:space="preserve">WCS-16-400</t>
  </si>
  <si>
    <t xml:space="preserve">WCS-16-450</t>
  </si>
  <si>
    <t xml:space="preserve">WCS-16-460</t>
  </si>
  <si>
    <t xml:space="preserve">WCS-16-500</t>
  </si>
  <si>
    <t xml:space="preserve">WCS-16-550</t>
  </si>
  <si>
    <t xml:space="preserve">WCS-16-600</t>
  </si>
  <si>
    <t xml:space="preserve">WCS-16-650</t>
  </si>
  <si>
    <t xml:space="preserve">WCS-16-700</t>
  </si>
  <si>
    <t xml:space="preserve">WCS-16-710</t>
  </si>
  <si>
    <t xml:space="preserve">WCS-16-800</t>
  </si>
  <si>
    <t xml:space="preserve">WCS-18-1000</t>
  </si>
  <si>
    <t xml:space="preserve">WCS-18-600</t>
  </si>
  <si>
    <t xml:space="preserve">WCS-20-1000</t>
  </si>
  <si>
    <t xml:space="preserve">WCS-20-1275</t>
  </si>
  <si>
    <t xml:space="preserve">1275</t>
  </si>
  <si>
    <t xml:space="preserve">WCS-20-1800</t>
  </si>
  <si>
    <t xml:space="preserve">WCS-20-200</t>
  </si>
  <si>
    <t xml:space="preserve">WCS-20-2000</t>
  </si>
  <si>
    <t xml:space="preserve">WCS-20-250</t>
  </si>
  <si>
    <t xml:space="preserve">WCS-20-300</t>
  </si>
  <si>
    <t xml:space="preserve">WCS-20-3000</t>
  </si>
  <si>
    <t xml:space="preserve">WCS-20-350</t>
  </si>
  <si>
    <t xml:space="preserve">WCS-20-400</t>
  </si>
  <si>
    <t xml:space="preserve">WCS-20-450</t>
  </si>
  <si>
    <t xml:space="preserve">WCS-20-500</t>
  </si>
  <si>
    <t xml:space="preserve">WCS-20-550</t>
  </si>
  <si>
    <t xml:space="preserve">WCS-20-596</t>
  </si>
  <si>
    <t xml:space="preserve">596</t>
  </si>
  <si>
    <t xml:space="preserve">WCS-20-600</t>
  </si>
  <si>
    <t xml:space="preserve">WCS-20-647</t>
  </si>
  <si>
    <t xml:space="preserve">647</t>
  </si>
  <si>
    <t xml:space="preserve">WCS-20-650</t>
  </si>
  <si>
    <t xml:space="preserve">WCS-20-668</t>
  </si>
  <si>
    <t xml:space="preserve">668</t>
  </si>
  <si>
    <t xml:space="preserve">WCS-20-680</t>
  </si>
  <si>
    <t xml:space="preserve">WCS-20-720</t>
  </si>
  <si>
    <t xml:space="preserve">WCS-20-800</t>
  </si>
  <si>
    <t xml:space="preserve">WCS-20-850</t>
  </si>
  <si>
    <t xml:space="preserve">WCS-20-900</t>
  </si>
  <si>
    <t xml:space="preserve">WCS-25-1000</t>
  </si>
  <si>
    <t xml:space="preserve">WCS-25-300</t>
  </si>
  <si>
    <t xml:space="preserve">WCS-25-500</t>
  </si>
  <si>
    <t xml:space="preserve">WCS-25-700</t>
  </si>
  <si>
    <t xml:space="preserve">WCS-4-10-P20</t>
  </si>
  <si>
    <t xml:space="preserve">20 pcs</t>
  </si>
  <si>
    <t xml:space="preserve">WCS-4-100-P2</t>
  </si>
  <si>
    <t xml:space="preserve">WCS-4-1000</t>
  </si>
  <si>
    <t xml:space="preserve">WCS-4-11-P13</t>
  </si>
  <si>
    <t xml:space="preserve">13 pcs</t>
  </si>
  <si>
    <t xml:space="preserve">WCS-4-12-P20</t>
  </si>
  <si>
    <t xml:space="preserve">WCS-4-13-P16</t>
  </si>
  <si>
    <t xml:space="preserve">16 pcs</t>
  </si>
  <si>
    <t xml:space="preserve">WCS-4-14-P16</t>
  </si>
  <si>
    <t xml:space="preserve">WCS-4-15-P16</t>
  </si>
  <si>
    <t xml:space="preserve">WCS-4-150</t>
  </si>
  <si>
    <t xml:space="preserve">WCS-4-16-P16</t>
  </si>
  <si>
    <t xml:space="preserve">WCS-4-160</t>
  </si>
  <si>
    <t xml:space="preserve">WCS-4-17-P11</t>
  </si>
  <si>
    <t xml:space="preserve">11 pcs</t>
  </si>
  <si>
    <t xml:space="preserve">WCS-4-18-P13</t>
  </si>
  <si>
    <t xml:space="preserve">WCS-4-19-P11</t>
  </si>
  <si>
    <t xml:space="preserve">WCS-4-20-P13</t>
  </si>
  <si>
    <t xml:space="preserve">WCS-4-200</t>
  </si>
  <si>
    <t xml:space="preserve">WCS-4-21-P7</t>
  </si>
  <si>
    <t xml:space="preserve">7 pcs</t>
  </si>
  <si>
    <t xml:space="preserve">WCS-4-22-P13</t>
  </si>
  <si>
    <t xml:space="preserve">WCS-4-23-P10</t>
  </si>
  <si>
    <t xml:space="preserve">10 pcs</t>
  </si>
  <si>
    <t xml:space="preserve">WCS-4-24-P11</t>
  </si>
  <si>
    <t xml:space="preserve">WCS-4-25-P11</t>
  </si>
  <si>
    <t xml:space="preserve">WCS-4-250</t>
  </si>
  <si>
    <t xml:space="preserve">WCS-4-26-P10</t>
  </si>
  <si>
    <t xml:space="preserve">WCS-4-27-P7</t>
  </si>
  <si>
    <t xml:space="preserve">WCS-4-28-P10</t>
  </si>
  <si>
    <t xml:space="preserve">WCS-4-283</t>
  </si>
  <si>
    <t xml:space="preserve">283</t>
  </si>
  <si>
    <t xml:space="preserve">WCS-4-29-P6</t>
  </si>
  <si>
    <t xml:space="preserve">6 pcs</t>
  </si>
  <si>
    <t xml:space="preserve">29</t>
  </si>
  <si>
    <t xml:space="preserve">WCS-4-30-P10</t>
  </si>
  <si>
    <t xml:space="preserve">WCS-4-300</t>
  </si>
  <si>
    <t xml:space="preserve">WCS-4-32-P6</t>
  </si>
  <si>
    <t xml:space="preserve">WCS-4-33-P4</t>
  </si>
  <si>
    <t xml:space="preserve">4 pcs</t>
  </si>
  <si>
    <t xml:space="preserve">WCS-4-34-P4</t>
  </si>
  <si>
    <t xml:space="preserve">WCS-4-35-P9</t>
  </si>
  <si>
    <t xml:space="preserve">9 pcs</t>
  </si>
  <si>
    <t xml:space="preserve">WCS-4-36-P4</t>
  </si>
  <si>
    <t xml:space="preserve">WCS-4-37-P4</t>
  </si>
  <si>
    <t xml:space="preserve">WCS-4-38-P4</t>
  </si>
  <si>
    <t xml:space="preserve">WCS-4-4-P10</t>
  </si>
  <si>
    <t xml:space="preserve">WCS-4-40-P7</t>
  </si>
  <si>
    <t xml:space="preserve">WCS-4-400</t>
  </si>
  <si>
    <t xml:space="preserve">WCS-4-41-P3</t>
  </si>
  <si>
    <t xml:space="preserve">41</t>
  </si>
  <si>
    <t xml:space="preserve">WCS-4-45-P7</t>
  </si>
  <si>
    <t xml:space="preserve">WCS-4-46-P2</t>
  </si>
  <si>
    <t xml:space="preserve">WCS-4-48-P4</t>
  </si>
  <si>
    <t xml:space="preserve">WCS-4-5-P16</t>
  </si>
  <si>
    <t xml:space="preserve">WCS-4-50-P5</t>
  </si>
  <si>
    <t xml:space="preserve">WCS-4-500</t>
  </si>
  <si>
    <t xml:space="preserve">WCS-4-55-P4</t>
  </si>
  <si>
    <t xml:space="preserve">WCS-4-550</t>
  </si>
  <si>
    <t xml:space="preserve">WCS-4-6-P26</t>
  </si>
  <si>
    <t xml:space="preserve">26 pcs</t>
  </si>
  <si>
    <t xml:space="preserve">WCS-4-60-P4</t>
  </si>
  <si>
    <t xml:space="preserve">WCS-4-600</t>
  </si>
  <si>
    <t xml:space="preserve">WCS-4-65-P2</t>
  </si>
  <si>
    <t xml:space="preserve">WCS-4-7-P20</t>
  </si>
  <si>
    <t xml:space="preserve">WCS-4-70</t>
  </si>
  <si>
    <t xml:space="preserve">WCS-4-8-P20</t>
  </si>
  <si>
    <t xml:space="preserve">WCS-4-80</t>
  </si>
  <si>
    <t xml:space="preserve">WCS-4-9-P13</t>
  </si>
  <si>
    <t xml:space="preserve">WCS-50-300</t>
  </si>
  <si>
    <t xml:space="preserve">WCS-6-10-P11</t>
  </si>
  <si>
    <t xml:space="preserve">WCS-6-100</t>
  </si>
  <si>
    <t xml:space="preserve">WCS-6-1000</t>
  </si>
  <si>
    <t xml:space="preserve">WCS-6-1050</t>
  </si>
  <si>
    <t xml:space="preserve">WCS-6-11-P6</t>
  </si>
  <si>
    <t xml:space="preserve">WCS-6-12-P10</t>
  </si>
  <si>
    <t xml:space="preserve">WCS-6-120</t>
  </si>
  <si>
    <t xml:space="preserve">WCS-6-125</t>
  </si>
  <si>
    <t xml:space="preserve">WCS-6-13-P9</t>
  </si>
  <si>
    <t xml:space="preserve">WCS-6-14-P9</t>
  </si>
  <si>
    <t xml:space="preserve">WCS-6-140</t>
  </si>
  <si>
    <t xml:space="preserve">WCS-6-15-P8</t>
  </si>
  <si>
    <t xml:space="preserve">8 pcs</t>
  </si>
  <si>
    <t xml:space="preserve">WCS-6-150</t>
  </si>
  <si>
    <t xml:space="preserve">WCS-6-16-P8</t>
  </si>
  <si>
    <t xml:space="preserve">WCS-6-160</t>
  </si>
  <si>
    <t xml:space="preserve">WCS-6-17-P4</t>
  </si>
  <si>
    <t xml:space="preserve">WCS-6-175</t>
  </si>
  <si>
    <t xml:space="preserve">WCS-6-18-P8</t>
  </si>
  <si>
    <t xml:space="preserve">WCS-6-180</t>
  </si>
  <si>
    <t xml:space="preserve">WCS-6-19-P4</t>
  </si>
  <si>
    <t xml:space="preserve">WCS-6-20-P8</t>
  </si>
  <si>
    <t xml:space="preserve">WCS-6-200</t>
  </si>
  <si>
    <t xml:space="preserve">WCS-6-21-P3</t>
  </si>
  <si>
    <t xml:space="preserve">WCS-6-22-P7</t>
  </si>
  <si>
    <t xml:space="preserve">WCS-6-23-P3</t>
  </si>
  <si>
    <t xml:space="preserve">WCS-6-24-P7</t>
  </si>
  <si>
    <t xml:space="preserve">WCS-6-25-P7</t>
  </si>
  <si>
    <t xml:space="preserve">WCS-6-250</t>
  </si>
  <si>
    <t xml:space="preserve">WCS-6-26-P5</t>
  </si>
  <si>
    <t xml:space="preserve">WCS-6-260</t>
  </si>
  <si>
    <t xml:space="preserve">WCS-6-27-P3</t>
  </si>
  <si>
    <t xml:space="preserve">WCS-6-28-P5</t>
  </si>
  <si>
    <t xml:space="preserve">WCS-6-280</t>
  </si>
  <si>
    <t xml:space="preserve">WCS-6-29-P3</t>
  </si>
  <si>
    <t xml:space="preserve">WCS-6-290</t>
  </si>
  <si>
    <t xml:space="preserve">WCS-6-30-P5</t>
  </si>
  <si>
    <t xml:space="preserve">WCS-6-300</t>
  </si>
  <si>
    <t xml:space="preserve">WCS-6-31-P2</t>
  </si>
  <si>
    <t xml:space="preserve">31</t>
  </si>
  <si>
    <t xml:space="preserve">WCS-6-32-P4</t>
  </si>
  <si>
    <t xml:space="preserve">WCS-6-320</t>
  </si>
  <si>
    <t xml:space="preserve">WCS-6-33-P2</t>
  </si>
  <si>
    <t xml:space="preserve">WCS-6-330</t>
  </si>
  <si>
    <t xml:space="preserve">WCS-6-335</t>
  </si>
  <si>
    <t xml:space="preserve">WCS-6-34-P2</t>
  </si>
  <si>
    <t xml:space="preserve">WCS-6-35-P4</t>
  </si>
  <si>
    <t xml:space="preserve">WCS-6-350</t>
  </si>
  <si>
    <t xml:space="preserve">WCS-6-36-P2</t>
  </si>
  <si>
    <t xml:space="preserve">WCS-6-360</t>
  </si>
  <si>
    <t xml:space="preserve">WCS-6-37-P2</t>
  </si>
  <si>
    <t xml:space="preserve">WCS-6-38-P2</t>
  </si>
  <si>
    <t xml:space="preserve">WCS-6-4-P4</t>
  </si>
  <si>
    <t xml:space="preserve">WCS-6-40-P4</t>
  </si>
  <si>
    <t xml:space="preserve">WCS-6-400</t>
  </si>
  <si>
    <t xml:space="preserve">WCS-6-42-P2</t>
  </si>
  <si>
    <t xml:space="preserve">42</t>
  </si>
  <si>
    <t xml:space="preserve">WCS-6-420</t>
  </si>
  <si>
    <t xml:space="preserve">WCS-6-430</t>
  </si>
  <si>
    <t xml:space="preserve">WCS-6-45-P3</t>
  </si>
  <si>
    <t xml:space="preserve">WCS-6-450</t>
  </si>
  <si>
    <t xml:space="preserve">WCS-6-48-P2</t>
  </si>
  <si>
    <t xml:space="preserve">WCS-6-5-P4</t>
  </si>
  <si>
    <t xml:space="preserve">WCS-6-50-P3</t>
  </si>
  <si>
    <t xml:space="preserve">WCS-6-500</t>
  </si>
  <si>
    <t xml:space="preserve">WCS-6-510</t>
  </si>
  <si>
    <t xml:space="preserve">WCS-6-54-P2</t>
  </si>
  <si>
    <t xml:space="preserve">WCS-6-55-P2</t>
  </si>
  <si>
    <t xml:space="preserve">WCS-6-550</t>
  </si>
  <si>
    <t xml:space="preserve">WCS-6-6-P10</t>
  </si>
  <si>
    <t xml:space="preserve">WCS-6-60-P2</t>
  </si>
  <si>
    <t xml:space="preserve">WCS-6-600</t>
  </si>
  <si>
    <t xml:space="preserve">WCS-6-62-P2</t>
  </si>
  <si>
    <t xml:space="preserve">WCS-6-65</t>
  </si>
  <si>
    <t xml:space="preserve">WCS-6-650</t>
  </si>
  <si>
    <t xml:space="preserve">WCS-6-7-P8</t>
  </si>
  <si>
    <t xml:space="preserve">WCS-6-70</t>
  </si>
  <si>
    <t xml:space="preserve">WCS-6-700</t>
  </si>
  <si>
    <t xml:space="preserve">WCS-6-75</t>
  </si>
  <si>
    <t xml:space="preserve">WCS-6-750</t>
  </si>
  <si>
    <t xml:space="preserve">WCS-6-8-P11</t>
  </si>
  <si>
    <t xml:space="preserve">WCS-6-80-P2</t>
  </si>
  <si>
    <t xml:space="preserve">WCS-6-800</t>
  </si>
  <si>
    <t xml:space="preserve">WCS-6-9-P10</t>
  </si>
  <si>
    <t xml:space="preserve">WCS-6-90</t>
  </si>
  <si>
    <t xml:space="preserve">WCS-6-900</t>
  </si>
  <si>
    <t xml:space="preserve">WCS-8-10-P6</t>
  </si>
  <si>
    <t xml:space="preserve">WCS-8-100</t>
  </si>
  <si>
    <t xml:space="preserve">WCS-8-1000</t>
  </si>
  <si>
    <t xml:space="preserve">WCS-8-1020</t>
  </si>
  <si>
    <t xml:space="preserve">WCS-8-11-P3</t>
  </si>
  <si>
    <t xml:space="preserve">WCS-8-110</t>
  </si>
  <si>
    <t xml:space="preserve">WCS-8-12-P4</t>
  </si>
  <si>
    <t xml:space="preserve">WCS-8-120</t>
  </si>
  <si>
    <t xml:space="preserve">WCS-8-13-P2</t>
  </si>
  <si>
    <t xml:space="preserve">WCS-8-14-P4</t>
  </si>
  <si>
    <t xml:space="preserve">WCS-8-15-P4</t>
  </si>
  <si>
    <t xml:space="preserve">WCS-8-150</t>
  </si>
  <si>
    <t xml:space="preserve">WCS-8-1520</t>
  </si>
  <si>
    <t xml:space="preserve">WCS-8-16-P5</t>
  </si>
  <si>
    <t xml:space="preserve">WCS-8-17-P2</t>
  </si>
  <si>
    <t xml:space="preserve">WCS-8-171</t>
  </si>
  <si>
    <t xml:space="preserve">WCS-8-175</t>
  </si>
  <si>
    <t xml:space="preserve">WCS-8-176</t>
  </si>
  <si>
    <t xml:space="preserve">WCS-8-18-P3</t>
  </si>
  <si>
    <t xml:space="preserve">WCS-8-19-P2</t>
  </si>
  <si>
    <t xml:space="preserve">WCS-8-190</t>
  </si>
  <si>
    <t xml:space="preserve">WCS-8-20-P4</t>
  </si>
  <si>
    <t xml:space="preserve">WCS-8-200</t>
  </si>
  <si>
    <t xml:space="preserve">WCS-8-2000</t>
  </si>
  <si>
    <t xml:space="preserve">WCS-8-22-P3</t>
  </si>
  <si>
    <t xml:space="preserve">WCS-8-220</t>
  </si>
  <si>
    <t xml:space="preserve">WCS-8-23-P2</t>
  </si>
  <si>
    <t xml:space="preserve">WCS-8-230</t>
  </si>
  <si>
    <t xml:space="preserve">WCS-8-235</t>
  </si>
  <si>
    <t xml:space="preserve">WCS-8-24-P3</t>
  </si>
  <si>
    <t xml:space="preserve">WCS-8-240</t>
  </si>
  <si>
    <t xml:space="preserve">WCS-8-245</t>
  </si>
  <si>
    <t xml:space="preserve">WCS-8-25-P3</t>
  </si>
  <si>
    <t xml:space="preserve">WCS-8-250</t>
  </si>
  <si>
    <t xml:space="preserve">WCS-8-26-P2</t>
  </si>
  <si>
    <t xml:space="preserve">WCS-8-260</t>
  </si>
  <si>
    <t xml:space="preserve">WCS-8-265</t>
  </si>
  <si>
    <t xml:space="preserve">WCS-8-27-P2</t>
  </si>
  <si>
    <t xml:space="preserve">WCS-8-276</t>
  </si>
  <si>
    <t xml:space="preserve">WCS-8-277</t>
  </si>
  <si>
    <t xml:space="preserve">277</t>
  </si>
  <si>
    <t xml:space="preserve">WCS-8-28-P2</t>
  </si>
  <si>
    <t xml:space="preserve">WCS-8-280</t>
  </si>
  <si>
    <t xml:space="preserve">WCS-8-285</t>
  </si>
  <si>
    <t xml:space="preserve">WCS-8-29-P2</t>
  </si>
  <si>
    <t xml:space="preserve">WCS-8-296</t>
  </si>
  <si>
    <t xml:space="preserve">WCS-8-30-P2</t>
  </si>
  <si>
    <t xml:space="preserve">WCS-8-300</t>
  </si>
  <si>
    <t xml:space="preserve">WCS-8-307</t>
  </si>
  <si>
    <t xml:space="preserve">307</t>
  </si>
  <si>
    <t xml:space="preserve">WCS-8-310</t>
  </si>
  <si>
    <t xml:space="preserve">WCS-8-32-P2</t>
  </si>
  <si>
    <t xml:space="preserve">WCS-8-320</t>
  </si>
  <si>
    <t xml:space="preserve">WCS-8-325</t>
  </si>
  <si>
    <t xml:space="preserve">WCS-8-330</t>
  </si>
  <si>
    <t xml:space="preserve">WCS-8-335</t>
  </si>
  <si>
    <t xml:space="preserve">WCS-8-337</t>
  </si>
  <si>
    <t xml:space="preserve">337</t>
  </si>
  <si>
    <t xml:space="preserve">WCS-8-34-P2</t>
  </si>
  <si>
    <t xml:space="preserve">WCS-8-340</t>
  </si>
  <si>
    <t xml:space="preserve">WCS-8-348</t>
  </si>
  <si>
    <t xml:space="preserve">WCS-8-35-P2</t>
  </si>
  <si>
    <t xml:space="preserve">WCS-8-350</t>
  </si>
  <si>
    <t xml:space="preserve">WCS-8-36-P2</t>
  </si>
  <si>
    <t xml:space="preserve">WCS-8-360</t>
  </si>
  <si>
    <t xml:space="preserve">WCS-8-370</t>
  </si>
  <si>
    <t xml:space="preserve">WCS-8-371</t>
  </si>
  <si>
    <t xml:space="preserve">371</t>
  </si>
  <si>
    <t xml:space="preserve">WCS-8-375</t>
  </si>
  <si>
    <t xml:space="preserve">WCS-8-38-P2</t>
  </si>
  <si>
    <t xml:space="preserve">WCS-8-380</t>
  </si>
  <si>
    <t xml:space="preserve">WCS-8-384</t>
  </si>
  <si>
    <t xml:space="preserve">WCS-8-390</t>
  </si>
  <si>
    <t xml:space="preserve">WCS-8-395</t>
  </si>
  <si>
    <t xml:space="preserve">WCS-8-396</t>
  </si>
  <si>
    <t xml:space="preserve">WCS-8-40-P2</t>
  </si>
  <si>
    <t xml:space="preserve">WCS-8-400</t>
  </si>
  <si>
    <t xml:space="preserve">WCS-8-405</t>
  </si>
  <si>
    <t xml:space="preserve">WCS-8-410</t>
  </si>
  <si>
    <t xml:space="preserve">WCS-8-416</t>
  </si>
  <si>
    <t xml:space="preserve">416</t>
  </si>
  <si>
    <t xml:space="preserve">WCS-8-42</t>
  </si>
  <si>
    <t xml:space="preserve">WCS-8-420</t>
  </si>
  <si>
    <t xml:space="preserve">WCS-8-425</t>
  </si>
  <si>
    <t xml:space="preserve">WCS-8-435</t>
  </si>
  <si>
    <t xml:space="preserve">WCS-8-44</t>
  </si>
  <si>
    <t xml:space="preserve">44</t>
  </si>
  <si>
    <t xml:space="preserve">WCS-8-440</t>
  </si>
  <si>
    <t xml:space="preserve">WCS-8-45-P2</t>
  </si>
  <si>
    <t xml:space="preserve">WCS-8-450</t>
  </si>
  <si>
    <t xml:space="preserve">WCS-8-470</t>
  </si>
  <si>
    <t xml:space="preserve">WCS-8-480</t>
  </si>
  <si>
    <t xml:space="preserve">WCS-8-490</t>
  </si>
  <si>
    <t xml:space="preserve">WCS-8-50-P2</t>
  </si>
  <si>
    <t xml:space="preserve">WCS-8-500</t>
  </si>
  <si>
    <t xml:space="preserve">WCS-8-510</t>
  </si>
  <si>
    <t xml:space="preserve">WCS-8-512</t>
  </si>
  <si>
    <t xml:space="preserve">512</t>
  </si>
  <si>
    <t xml:space="preserve">WCS-8-520</t>
  </si>
  <si>
    <t xml:space="preserve">WCS-8-526</t>
  </si>
  <si>
    <t xml:space="preserve">526</t>
  </si>
  <si>
    <t xml:space="preserve">WCS-8-530</t>
  </si>
  <si>
    <t xml:space="preserve">WCS-8-540</t>
  </si>
  <si>
    <t xml:space="preserve">WCS-8-55</t>
  </si>
  <si>
    <t xml:space="preserve">WCS-8-550</t>
  </si>
  <si>
    <t xml:space="preserve">WCS-8-560</t>
  </si>
  <si>
    <t xml:space="preserve">WCS-8-590</t>
  </si>
  <si>
    <t xml:space="preserve">WCS-8-6</t>
  </si>
  <si>
    <t xml:space="preserve">WCS-8-60</t>
  </si>
  <si>
    <t xml:space="preserve">WCS-8-600</t>
  </si>
  <si>
    <t xml:space="preserve">WCS-8-65</t>
  </si>
  <si>
    <t xml:space="preserve">WCS-8-650</t>
  </si>
  <si>
    <t xml:space="preserve">WCS-8-7</t>
  </si>
  <si>
    <t xml:space="preserve">WCS-8-70</t>
  </si>
  <si>
    <t xml:space="preserve">WCS-8-700</t>
  </si>
  <si>
    <t xml:space="preserve">WCS-8-75</t>
  </si>
  <si>
    <t xml:space="preserve">WCS-8-750</t>
  </si>
  <si>
    <t xml:space="preserve">WCS-8-8-P7</t>
  </si>
  <si>
    <t xml:space="preserve">WCS-8-80</t>
  </si>
  <si>
    <t xml:space="preserve">WCS-8-800</t>
  </si>
  <si>
    <t xml:space="preserve">WCS-8-840</t>
  </si>
  <si>
    <t xml:space="preserve">WCS-8-850</t>
  </si>
  <si>
    <t xml:space="preserve">WCS-8-88</t>
  </si>
  <si>
    <t xml:space="preserve">WCS-8-9-P3</t>
  </si>
  <si>
    <t xml:space="preserve">WCS-8-90</t>
  </si>
  <si>
    <t xml:space="preserve">WCS-8-900</t>
  </si>
  <si>
    <t xml:space="preserve">WCS-8-950</t>
  </si>
  <si>
    <t xml:space="preserve">T-Type Shaft Clamp  [Shafts / Rails / Ball Screws]</t>
  </si>
  <si>
    <t xml:space="preserve">RL-030-AL</t>
  </si>
  <si>
    <t xml:space="preserve">RL-030-ST</t>
  </si>
  <si>
    <t xml:space="preserve">Steel</t>
  </si>
  <si>
    <t xml:space="preserve">Linear Rail Bolt Hole Cap  [Shafts / Rails / Ball Screws]</t>
  </si>
  <si>
    <t xml:space="preserve">Plain Green C12 Dia 20 45 for rail</t>
  </si>
  <si>
    <t xml:space="preserve">RL-033-BDHW-LS-C12-ZJ20-45DGY</t>
  </si>
  <si>
    <t xml:space="preserve">RL-033-BDHW-LS-C14-ZJ23-55DGY</t>
  </si>
  <si>
    <t xml:space="preserve">Plain Green C14 Dia 23 55 for rail</t>
  </si>
  <si>
    <t xml:space="preserve">RL-033-BDHW-LS-C16-ZJ26-65DGY</t>
  </si>
  <si>
    <t xml:space="preserve">Plain Green C16 Dia 26 65 for rail</t>
  </si>
  <si>
    <t xml:space="preserve">RL-033-BDHW-LS-C3-ZJ6-H0.9-MGNDGY</t>
  </si>
  <si>
    <t xml:space="preserve">Plain Green C3 Dia 6T 0.9 MGN for rail</t>
  </si>
  <si>
    <t xml:space="preserve">RL-033-BDHW-LS-C3-ZJ6-H1.1-MGNDGY</t>
  </si>
  <si>
    <t xml:space="preserve">Plain Green C3 Dia 6T 1.1 MGN for rail</t>
  </si>
  <si>
    <t xml:space="preserve">RL-033-BDHW-LS-C4-ZJ7.5-15DGY</t>
  </si>
  <si>
    <t xml:space="preserve">Plain Green C4 Dia 7.5 15 for rail</t>
  </si>
  <si>
    <t xml:space="preserve">RL-033-BDHW-LS-C5-ZJ9.5-20DGY</t>
  </si>
  <si>
    <t xml:space="preserve">Plain Green C5 Dia 9.5 20 for rail</t>
  </si>
  <si>
    <t xml:space="preserve">RL-033-BDHW-LS-C6-ZJ11-25DGY</t>
  </si>
  <si>
    <t xml:space="preserve">Plain Green C6 Dia 11 25 for rail</t>
  </si>
  <si>
    <t xml:space="preserve">RL-033-BDHW-LS-C8-ZJ14-30DGY</t>
  </si>
  <si>
    <t xml:space="preserve">Plain Green C8 Dia 14 30 for rail</t>
  </si>
  <si>
    <t xml:space="preserve">RL-033-BDHW-LS-C8-ZJ14-35DGY</t>
  </si>
  <si>
    <t xml:space="preserve">Plain Green C8 Dia 14 35 for rail</t>
  </si>
  <si>
    <t xml:space="preserve">RL-033-BK-BDHW-C12-ZJ20-45DGY</t>
  </si>
  <si>
    <t xml:space="preserve">Plain C12 Dia 20 45 for rail</t>
  </si>
  <si>
    <t xml:space="preserve">RL-033-BK-BDHW-C14-ZJ23-55DGY</t>
  </si>
  <si>
    <t xml:space="preserve">Plain C14 Dia 23 55 for rail</t>
  </si>
  <si>
    <t xml:space="preserve">RL-033-BK-BDHW-C16-ZJ26-65DGY</t>
  </si>
  <si>
    <t xml:space="preserve">Plain C16 Dia 26 65 for rail</t>
  </si>
  <si>
    <t xml:space="preserve">RL-033-BK-BDHW-C3-ZJ6-H0.9-MGNDGY</t>
  </si>
  <si>
    <t xml:space="preserve">Plain C3 Dia 6T 0.9 MGN for rail</t>
  </si>
  <si>
    <t xml:space="preserve">RL-033-BK-BDHW-C3-ZJ6-H1.1-MGNDGY</t>
  </si>
  <si>
    <t xml:space="preserve">Plain C3 Dia 6T 1.1 MGN for rail</t>
  </si>
  <si>
    <t xml:space="preserve">RL-033-BK-BDHW-C4-ZJ7.5-15DGY</t>
  </si>
  <si>
    <t xml:space="preserve">Plain C4 Dia 7.5 15 for rail</t>
  </si>
  <si>
    <t xml:space="preserve">RL-033-BK-BDHW-C5-ZJ9.5-20DGY</t>
  </si>
  <si>
    <t xml:space="preserve">Plain C5 Dia 9.5 20 for rail</t>
  </si>
  <si>
    <t xml:space="preserve">RL-033-BK-BDHW-C6-ZJ11-25DGY</t>
  </si>
  <si>
    <t xml:space="preserve">Plain C6 Dia 11 25 for rail</t>
  </si>
  <si>
    <t xml:space="preserve">RL-033-BK-BDHW-C8-ZJ14-30DGY</t>
  </si>
  <si>
    <t xml:space="preserve">Plain C8 Dia 14 30 for rail</t>
  </si>
  <si>
    <t xml:space="preserve">RL-033-BK-BDHW-C8-ZJ14-35DGY</t>
  </si>
  <si>
    <t xml:space="preserve">Plain C8 Dia 14 35 for rail</t>
  </si>
  <si>
    <t xml:space="preserve">RL-033-BK-DHW-C12-ZJ20-45DGY</t>
  </si>
  <si>
    <t xml:space="preserve">Patterned C12 Dia 20 45 for rail</t>
  </si>
  <si>
    <t xml:space="preserve">RL-033-BK-DHW-C16-ZJ26-65DGY</t>
  </si>
  <si>
    <t xml:space="preserve">Patterned C16 Dia 26 65 for rail</t>
  </si>
  <si>
    <t xml:space="preserve">RL-033-BK-DHW-C5-ZJ9.5-20DGY</t>
  </si>
  <si>
    <t xml:space="preserve">Patterned C5 Dia 9.5 20 for rail</t>
  </si>
  <si>
    <t xml:space="preserve">RL-033-BK-DHW-C6-ZJ11-25DGY</t>
  </si>
  <si>
    <t xml:space="preserve">Patterned C6 Dia 11 25 for rail</t>
  </si>
  <si>
    <t xml:space="preserve">RL-033-BK-DHW-C8-ZJ14-30DGY</t>
  </si>
  <si>
    <t xml:space="preserve">Patterned C8 Dia 14 30 for rail</t>
  </si>
  <si>
    <t xml:space="preserve">RL-033-BK-DHW-C8-ZJ14-35DGY</t>
  </si>
  <si>
    <t xml:space="preserve">Patterned C8 Dia 14 35 for rail</t>
  </si>
  <si>
    <t xml:space="preserve">RL-033-DHW-LS-C12-ZJ20-45DGY</t>
  </si>
  <si>
    <t xml:space="preserve">Patterned Green C12 Dia 20 45 for rail</t>
  </si>
  <si>
    <t xml:space="preserve">RL-033-DHW-LS-C16-ZJ26-65DGY</t>
  </si>
  <si>
    <t xml:space="preserve">Patterned Green C16 Dia 26 65 for rail</t>
  </si>
  <si>
    <t xml:space="preserve">RL-033-DHW-LS-C5-ZJ9.5-20DGY</t>
  </si>
  <si>
    <t xml:space="preserve">Patterned Green C5 Dia 9.5 20 for rail</t>
  </si>
  <si>
    <t xml:space="preserve">RL-033-DHW-LS-C6-ZJ11-25DGY</t>
  </si>
  <si>
    <t xml:space="preserve">Patterned Green C6 Dia 11 25 for rail</t>
  </si>
  <si>
    <t xml:space="preserve">RL-033-DHW-LS-C8-ZJ14-30DGY</t>
  </si>
  <si>
    <t xml:space="preserve">Patterned Green C8 Dia 14 30 for rail</t>
  </si>
  <si>
    <t xml:space="preserve">RL-033-DHW-LS-C8-ZJ14-35DGY</t>
  </si>
  <si>
    <t xml:space="preserve">Patterned Green C8 Dia 14 35 for rail</t>
  </si>
  <si>
    <t xml:space="preserve">Carbon Fiber Rod  [Shafts / Rails / Ball Screws]</t>
  </si>
  <si>
    <t xml:space="preserve">RL-026-ZJ10-CD400</t>
  </si>
  <si>
    <t xml:space="preserve">RL-026-ZJ10-CD410</t>
  </si>
  <si>
    <t xml:space="preserve">RL-026-ZJ10-CD450</t>
  </si>
  <si>
    <t xml:space="preserve">RL-026-ZJ10-CD460</t>
  </si>
  <si>
    <t xml:space="preserve">RL-026-ZJ10-CD500</t>
  </si>
  <si>
    <t xml:space="preserve">RL-026-ZJ10-CD510</t>
  </si>
  <si>
    <t xml:space="preserve">RL-026-ZJ10-CD540</t>
  </si>
  <si>
    <t xml:space="preserve">RL-026-ZJ12-CD1000</t>
  </si>
  <si>
    <t xml:space="preserve">RL-026-ZJ12-CD400</t>
  </si>
  <si>
    <t xml:space="preserve">RL-026-ZJ15-CD1000</t>
  </si>
  <si>
    <t xml:space="preserve">RL-026-ZJ5-CD1000</t>
  </si>
  <si>
    <t xml:space="preserve">RL-026-ZJ5-CD125</t>
  </si>
  <si>
    <t xml:space="preserve">RL-026-ZJ5-CD350</t>
  </si>
  <si>
    <t xml:space="preserve">RL-026-ZJ5-CD380</t>
  </si>
  <si>
    <t xml:space="preserve">RL-026-ZJ5-CD400</t>
  </si>
  <si>
    <t xml:space="preserve">RL-026-ZJ5-CD560</t>
  </si>
  <si>
    <t xml:space="preserve">RL-026-ZJ6-CD1000</t>
  </si>
  <si>
    <t xml:space="preserve">RL-026-ZJ6-CD300</t>
  </si>
  <si>
    <t xml:space="preserve">RL-026-ZJ6-CD350</t>
  </si>
  <si>
    <t xml:space="preserve">RL-026-ZJ8-CD150</t>
  </si>
  <si>
    <t xml:space="preserve">RL-026-ZJ8-CD450</t>
  </si>
  <si>
    <t xml:space="preserve">RL-026-ZJ8-CD480</t>
  </si>
  <si>
    <t xml:space="preserve">Carbon Fiber Tube  [Shafts / Rails / Ball Screws]</t>
  </si>
  <si>
    <t xml:space="preserve">Outer Diameter (mm)</t>
  </si>
  <si>
    <t xml:space="preserve">RL-025-WJ5-NJ3-CD150</t>
  </si>
  <si>
    <t xml:space="preserve">RL-025-WJ5-NJ3-CD200</t>
  </si>
  <si>
    <t xml:space="preserve">RL-025-WJ5-NJ3-CD250</t>
  </si>
  <si>
    <t xml:space="preserve">RL-025-WJ5-NJ3-CD300</t>
  </si>
  <si>
    <t xml:space="preserve">RL-025-WJ5-NJ3-CD450</t>
  </si>
  <si>
    <t xml:space="preserve">RL-025-WJ6-NJ4-CD150</t>
  </si>
  <si>
    <t xml:space="preserve">RL-025-WJ6-NJ4-CD300</t>
  </si>
  <si>
    <t xml:space="preserve">RL-025-WJ6-NJ4-CD330</t>
  </si>
  <si>
    <t xml:space="preserve">RL-025-WJ6-NJ4-CD400</t>
  </si>
  <si>
    <t xml:space="preserve">RL-025-WJ6-NJ5-CD400</t>
  </si>
  <si>
    <t xml:space="preserve">Hollow Chrome Shaft OD 12 ID 6.7  [Shafts / Rails / Ball Screws]</t>
  </si>
  <si>
    <t xml:space="preserve">RL-037-CD150</t>
  </si>
  <si>
    <t xml:space="preserve">RL-037-CD425</t>
  </si>
  <si>
    <t xml:space="preserve">RL-037-CD450</t>
  </si>
  <si>
    <t xml:space="preserve">RL-037-CD500</t>
  </si>
  <si>
    <t xml:space="preserve">Precision Pin Gauge ±0.001  [Shafts / Rails / Ball Screws]</t>
  </si>
  <si>
    <t xml:space="preserve">RL-009</t>
  </si>
  <si>
    <t xml:space="preserve">Bearing Steel Shaft / Dowel Pin (Dia 3 / 5mm, 3–1050mm)  [Shafts / Rails / Ball Screws]</t>
  </si>
  <si>
    <t xml:space="preserve">WCS-3-10-P20</t>
  </si>
  <si>
    <t xml:space="preserve">WCS-3-100</t>
  </si>
  <si>
    <t xml:space="preserve">WCS-3-1000</t>
  </si>
  <si>
    <t xml:space="preserve">WCS-3-11-P20</t>
  </si>
  <si>
    <t xml:space="preserve">WCS-3-12-P26</t>
  </si>
  <si>
    <t xml:space="preserve">WCS-3-120</t>
  </si>
  <si>
    <t xml:space="preserve">WCS-3-13-P20</t>
  </si>
  <si>
    <t xml:space="preserve">WCS-3-14-P20</t>
  </si>
  <si>
    <t xml:space="preserve">WCS-3-15-P20</t>
  </si>
  <si>
    <t xml:space="preserve">WCS-3-150</t>
  </si>
  <si>
    <t xml:space="preserve">WCS-3-16-P26</t>
  </si>
  <si>
    <t xml:space="preserve">WCS-3-160</t>
  </si>
  <si>
    <t xml:space="preserve">WCS-3-17-P20</t>
  </si>
  <si>
    <t xml:space="preserve">WCS-3-18-P20</t>
  </si>
  <si>
    <t xml:space="preserve">WCS-3-19-P20</t>
  </si>
  <si>
    <t xml:space="preserve">WCS-3-20-P20</t>
  </si>
  <si>
    <t xml:space="preserve">WCS-3-200</t>
  </si>
  <si>
    <t xml:space="preserve">WCS-3-21-P13</t>
  </si>
  <si>
    <t xml:space="preserve">WCS-3-22-P20</t>
  </si>
  <si>
    <t xml:space="preserve">WCS-3-23-P20</t>
  </si>
  <si>
    <t xml:space="preserve">WCS-3-24-P20</t>
  </si>
  <si>
    <t xml:space="preserve">WCS-3-25-P20</t>
  </si>
  <si>
    <t xml:space="preserve">WCS-3-250</t>
  </si>
  <si>
    <t xml:space="preserve">WCS-3-26-P13</t>
  </si>
  <si>
    <t xml:space="preserve">WCS-3-27-P10</t>
  </si>
  <si>
    <t xml:space="preserve">WCS-3-28-P13</t>
  </si>
  <si>
    <t xml:space="preserve">WCS-3-29-P8</t>
  </si>
  <si>
    <t xml:space="preserve">WCS-3-295</t>
  </si>
  <si>
    <t xml:space="preserve">WCS-3-3-P5</t>
  </si>
  <si>
    <t xml:space="preserve">WCS-3-30-P11</t>
  </si>
  <si>
    <t xml:space="preserve">WCS-3-300</t>
  </si>
  <si>
    <t xml:space="preserve">WCS-3-31-P8</t>
  </si>
  <si>
    <t xml:space="preserve">WCS-3-32-P8</t>
  </si>
  <si>
    <t xml:space="preserve">WCS-3-33-P6</t>
  </si>
  <si>
    <t xml:space="preserve">WCS-3-34-P7</t>
  </si>
  <si>
    <t xml:space="preserve">WCS-3-35-P10</t>
  </si>
  <si>
    <t xml:space="preserve">WCS-3-350</t>
  </si>
  <si>
    <t xml:space="preserve">WCS-3-36-P7</t>
  </si>
  <si>
    <t xml:space="preserve">WCS-3-37-P6</t>
  </si>
  <si>
    <t xml:space="preserve">WCS-3-370</t>
  </si>
  <si>
    <t xml:space="preserve">WCS-3-4-P16</t>
  </si>
  <si>
    <t xml:space="preserve">WCS-3-40-P10</t>
  </si>
  <si>
    <t xml:space="preserve">WCS-3-400</t>
  </si>
  <si>
    <t xml:space="preserve">WCS-3-42-P4</t>
  </si>
  <si>
    <t xml:space="preserve">WCS-3-445</t>
  </si>
  <si>
    <t xml:space="preserve">WCS-3-45-P6</t>
  </si>
  <si>
    <t xml:space="preserve">WCS-3-450</t>
  </si>
  <si>
    <t xml:space="preserve">WCS-3-47-P4</t>
  </si>
  <si>
    <t xml:space="preserve">47</t>
  </si>
  <si>
    <t xml:space="preserve">WCS-3-5-P40</t>
  </si>
  <si>
    <t xml:space="preserve">40 pcs</t>
  </si>
  <si>
    <t xml:space="preserve">WCS-3-50-P6</t>
  </si>
  <si>
    <t xml:space="preserve">WCS-3-500</t>
  </si>
  <si>
    <t xml:space="preserve">WCS-3-55-P4</t>
  </si>
  <si>
    <t xml:space="preserve">WCS-3-550</t>
  </si>
  <si>
    <t xml:space="preserve">WCS-3-6-P26</t>
  </si>
  <si>
    <t xml:space="preserve">WCS-3-60-P4</t>
  </si>
  <si>
    <t xml:space="preserve">WCS-3-600</t>
  </si>
  <si>
    <t xml:space="preserve">WCS-3-7-P26</t>
  </si>
  <si>
    <t xml:space="preserve">WCS-3-70</t>
  </si>
  <si>
    <t xml:space="preserve">WCS-3-8-P26</t>
  </si>
  <si>
    <t xml:space="preserve">WCS-3-80</t>
  </si>
  <si>
    <t xml:space="preserve">WCS-3-800</t>
  </si>
  <si>
    <t xml:space="preserve">WCS-3-86</t>
  </si>
  <si>
    <t xml:space="preserve">WCS-3-9-P26</t>
  </si>
  <si>
    <t xml:space="preserve">WCS-5-10-P13</t>
  </si>
  <si>
    <t xml:space="preserve">WCS-5-100</t>
  </si>
  <si>
    <t xml:space="preserve">WCS-5-1000</t>
  </si>
  <si>
    <t xml:space="preserve">WCS-5-1050</t>
  </si>
  <si>
    <t xml:space="preserve">WCS-5-11-P13</t>
  </si>
  <si>
    <t xml:space="preserve">WCS-5-110</t>
  </si>
  <si>
    <t xml:space="preserve">WCS-5-12-P13</t>
  </si>
  <si>
    <t xml:space="preserve">WCS-5-13-P10</t>
  </si>
  <si>
    <t xml:space="preserve">WCS-5-14-P13</t>
  </si>
  <si>
    <t xml:space="preserve">WCS-5-140</t>
  </si>
  <si>
    <t xml:space="preserve">WCS-5-148</t>
  </si>
  <si>
    <t xml:space="preserve">WCS-5-15-P13</t>
  </si>
  <si>
    <t xml:space="preserve">WCS-5-150</t>
  </si>
  <si>
    <t xml:space="preserve">WCS-5-16-P11</t>
  </si>
  <si>
    <t xml:space="preserve">WCS-5-160</t>
  </si>
  <si>
    <t xml:space="preserve">WCS-5-165</t>
  </si>
  <si>
    <t xml:space="preserve">WCS-5-17-P10</t>
  </si>
  <si>
    <t xml:space="preserve">WCS-5-170</t>
  </si>
  <si>
    <t xml:space="preserve">WCS-5-18-P10</t>
  </si>
  <si>
    <t xml:space="preserve">WCS-5-19-P8</t>
  </si>
  <si>
    <t xml:space="preserve">WCS-5-20-P11</t>
  </si>
  <si>
    <t xml:space="preserve">WCS-5-200</t>
  </si>
  <si>
    <t xml:space="preserve">WCS-5-201</t>
  </si>
  <si>
    <t xml:space="preserve">WCS-5-21-P6</t>
  </si>
  <si>
    <t xml:space="preserve">WCS-5-22-P9</t>
  </si>
  <si>
    <t xml:space="preserve">WCS-5-220</t>
  </si>
  <si>
    <t xml:space="preserve">WCS-5-225</t>
  </si>
  <si>
    <t xml:space="preserve">WCS-5-23-P4</t>
  </si>
  <si>
    <t xml:space="preserve">WCS-5-230</t>
  </si>
  <si>
    <t xml:space="preserve">WCS-5-24-P9</t>
  </si>
  <si>
    <t xml:space="preserve">WCS-5-240</t>
  </si>
  <si>
    <t xml:space="preserve">WCS-5-25-P8</t>
  </si>
  <si>
    <t xml:space="preserve">WCS-5-250</t>
  </si>
  <si>
    <t xml:space="preserve">WCS-5-256</t>
  </si>
  <si>
    <t xml:space="preserve">WCS-5-26-P7</t>
  </si>
  <si>
    <t xml:space="preserve">WCS-5-260</t>
  </si>
  <si>
    <t xml:space="preserve">WCS-5-27-P7</t>
  </si>
  <si>
    <t xml:space="preserve">WCS-5-270</t>
  </si>
  <si>
    <t xml:space="preserve">WCS-5-28-P7</t>
  </si>
  <si>
    <t xml:space="preserve">WCS-5-280</t>
  </si>
  <si>
    <t xml:space="preserve">WCS-5-29-P3</t>
  </si>
  <si>
    <t xml:space="preserve">WCS-5-30-P10</t>
  </si>
  <si>
    <t xml:space="preserve">WCS-5-300</t>
  </si>
  <si>
    <t xml:space="preserve">WCS-5-32-P6</t>
  </si>
  <si>
    <t xml:space="preserve">WCS-5-320</t>
  </si>
  <si>
    <t xml:space="preserve">WCS-5-33-P6</t>
  </si>
  <si>
    <t xml:space="preserve">WCS-5-34-P3</t>
  </si>
  <si>
    <t xml:space="preserve">WCS-5-35-P5</t>
  </si>
  <si>
    <t xml:space="preserve">WCS-5-350</t>
  </si>
  <si>
    <t xml:space="preserve">WCS-5-36-P3</t>
  </si>
  <si>
    <t xml:space="preserve">WCS-5-360</t>
  </si>
  <si>
    <t xml:space="preserve">WCS-5-37-P6</t>
  </si>
  <si>
    <t xml:space="preserve">WCS-5-370</t>
  </si>
  <si>
    <t xml:space="preserve">WCS-5-38-P4</t>
  </si>
  <si>
    <t xml:space="preserve">WCS-5-380</t>
  </si>
  <si>
    <t xml:space="preserve">WCS-5-390</t>
  </si>
  <si>
    <t xml:space="preserve">WCS-5-4-P2</t>
  </si>
  <si>
    <t xml:space="preserve">WCS-5-4.8-P2</t>
  </si>
  <si>
    <t xml:space="preserve">4.8</t>
  </si>
  <si>
    <t xml:space="preserve">WCS-5-40-P6</t>
  </si>
  <si>
    <t xml:space="preserve">WCS-5-400</t>
  </si>
  <si>
    <t xml:space="preserve">WCS-5-41</t>
  </si>
  <si>
    <t xml:space="preserve">WCS-5-43-P4</t>
  </si>
  <si>
    <t xml:space="preserve">43</t>
  </si>
  <si>
    <t xml:space="preserve">WCS-5-430</t>
  </si>
  <si>
    <t xml:space="preserve">WCS-5-44-P2</t>
  </si>
  <si>
    <t xml:space="preserve">WCS-5-45</t>
  </si>
  <si>
    <t xml:space="preserve">WCS-5-450</t>
  </si>
  <si>
    <t xml:space="preserve">WCS-5-455</t>
  </si>
  <si>
    <t xml:space="preserve">WCS-5-47-P2</t>
  </si>
  <si>
    <t xml:space="preserve">WCS-5-5-P9</t>
  </si>
  <si>
    <t xml:space="preserve">WCS-5-50</t>
  </si>
  <si>
    <t xml:space="preserve">WCS-5-500</t>
  </si>
  <si>
    <t xml:space="preserve">WCS-5-525</t>
  </si>
  <si>
    <t xml:space="preserve">WCS-5-55-P4</t>
  </si>
  <si>
    <t xml:space="preserve">WCS-5-550</t>
  </si>
  <si>
    <t xml:space="preserve">WCS-5-6-P13</t>
  </si>
  <si>
    <t xml:space="preserve">WCS-5-60</t>
  </si>
  <si>
    <t xml:space="preserve">WCS-5-600</t>
  </si>
  <si>
    <t xml:space="preserve">WCS-5-605</t>
  </si>
  <si>
    <t xml:space="preserve">WCS-5-65-P2</t>
  </si>
  <si>
    <t xml:space="preserve">WCS-5-650</t>
  </si>
  <si>
    <t xml:space="preserve">WCS-5-7-P13</t>
  </si>
  <si>
    <t xml:space="preserve">WCS-5-70-P2</t>
  </si>
  <si>
    <t xml:space="preserve">WCS-5-700</t>
  </si>
  <si>
    <t xml:space="preserve">WCS-5-72</t>
  </si>
  <si>
    <t xml:space="preserve">WCS-5-75-P2</t>
  </si>
  <si>
    <t xml:space="preserve">WCS-5-8-P13</t>
  </si>
  <si>
    <t xml:space="preserve">WCS-5-80</t>
  </si>
  <si>
    <t xml:space="preserve">WCS-5-800</t>
  </si>
  <si>
    <t xml:space="preserve">WCS-5-9-P8</t>
  </si>
  <si>
    <t xml:space="preserve">WCS-5-90</t>
  </si>
  <si>
    <t xml:space="preserve">WCS-5-95</t>
  </si>
  <si>
    <t xml:space="preserve">WCS-5-98</t>
  </si>
  <si>
    <t xml:space="preserve">Steel Cross Shaft Clamp  [Shafts / Rails / Ball Screws]</t>
  </si>
  <si>
    <t xml:space="preserve">Single-row screws</t>
  </si>
  <si>
    <t xml:space="preserve">RL-014-12x12-DPLS</t>
  </si>
  <si>
    <t xml:space="preserve">RL-014-20x20</t>
  </si>
  <si>
    <t xml:space="preserve">Aluminum Cross Shaft Clamp  [Shafts / Rails / Ball Screws]</t>
  </si>
  <si>
    <t xml:space="preserve">RL-034-10x10-SV-DPLS</t>
  </si>
  <si>
    <t xml:space="preserve">RL-034-10x6-SV-DPLS</t>
  </si>
  <si>
    <t xml:space="preserve">RL-034-10x8-BK-DPLS</t>
  </si>
  <si>
    <t xml:space="preserve">10x8</t>
  </si>
  <si>
    <t xml:space="preserve">RL-034-10x8-SV-DPLS</t>
  </si>
  <si>
    <t xml:space="preserve">RL-034-11x11-SV-DPLS</t>
  </si>
  <si>
    <t xml:space="preserve">RL-034-12x10-BK-DPLS</t>
  </si>
  <si>
    <t xml:space="preserve">12x10</t>
  </si>
  <si>
    <t xml:space="preserve">RL-034-12x10-SV-DPLS</t>
  </si>
  <si>
    <t xml:space="preserve">RL-034-12x12-BK-DPLS</t>
  </si>
  <si>
    <t xml:space="preserve">RL-034-12x12-SV-DPLS-WF16</t>
  </si>
  <si>
    <t xml:space="preserve">Single-row screws outer square 16</t>
  </si>
  <si>
    <t xml:space="preserve">RL-034-12x6-SV-DPLS</t>
  </si>
  <si>
    <t xml:space="preserve">12x6</t>
  </si>
  <si>
    <t xml:space="preserve">RL-034-12x8-BK-DPLS</t>
  </si>
  <si>
    <t xml:space="preserve">12x8</t>
  </si>
  <si>
    <t xml:space="preserve">RL-034-12x8-SV-DPLS</t>
  </si>
  <si>
    <t xml:space="preserve">RL-034-13x13-BK-DPLS</t>
  </si>
  <si>
    <t xml:space="preserve">RL-034-13x13-SV-DPLS</t>
  </si>
  <si>
    <t xml:space="preserve">RL-034-14x14-SV-DPLS</t>
  </si>
  <si>
    <t xml:space="preserve">RL-034-15x10-SV-DPLS</t>
  </si>
  <si>
    <t xml:space="preserve">15x10</t>
  </si>
  <si>
    <t xml:space="preserve">RL-034-15x12-SV-DPLS</t>
  </si>
  <si>
    <t xml:space="preserve">15x12</t>
  </si>
  <si>
    <t xml:space="preserve">RL-034-15x15-BK-SPLS</t>
  </si>
  <si>
    <t xml:space="preserve">Double-row screws</t>
  </si>
  <si>
    <t xml:space="preserve">RL-034-15x15-SV-DPLS</t>
  </si>
  <si>
    <t xml:space="preserve">RL-034-15x15-SV-SPLS</t>
  </si>
  <si>
    <t xml:space="preserve">RL-034-16x10-SV-DPLS</t>
  </si>
  <si>
    <t xml:space="preserve">16x10</t>
  </si>
  <si>
    <t xml:space="preserve">RL-034-16x10-SV-SPLS</t>
  </si>
  <si>
    <t xml:space="preserve">RL-034-16x12-BK-SPLS</t>
  </si>
  <si>
    <t xml:space="preserve">16x12</t>
  </si>
  <si>
    <t xml:space="preserve">RL-034-16x12-SV-DPLS</t>
  </si>
  <si>
    <t xml:space="preserve">RL-034-16x12-SV-SPLS</t>
  </si>
  <si>
    <t xml:space="preserve">RL-034-16x14-SV-SPLS</t>
  </si>
  <si>
    <t xml:space="preserve">16x14</t>
  </si>
  <si>
    <t xml:space="preserve">RL-034-16x16-BK-DPLS</t>
  </si>
  <si>
    <t xml:space="preserve">RL-034-16x16-BK-SPLS</t>
  </si>
  <si>
    <t xml:space="preserve">RL-034-16x16-SV-DPLS</t>
  </si>
  <si>
    <t xml:space="preserve">RL-034-16x16-SV-SPLS</t>
  </si>
  <si>
    <t xml:space="preserve">RL-034-16x8-SV-DPLS</t>
  </si>
  <si>
    <t xml:space="preserve">16x8</t>
  </si>
  <si>
    <t xml:space="preserve">RL-034-16x8-SV-SPLS</t>
  </si>
  <si>
    <t xml:space="preserve">RL-034-17x17-SV-DPLS</t>
  </si>
  <si>
    <t xml:space="preserve">RL-034-18x18-SV-DPLS</t>
  </si>
  <si>
    <t xml:space="preserve">RL-034-18x18-SV-SPLS</t>
  </si>
  <si>
    <t xml:space="preserve">RL-034-19x19-SV-DPLS</t>
  </si>
  <si>
    <t xml:space="preserve">RL-034-20x10-SV-DPLS</t>
  </si>
  <si>
    <t xml:space="preserve">20x10</t>
  </si>
  <si>
    <t xml:space="preserve">RL-034-20x10-SV-SPLS</t>
  </si>
  <si>
    <t xml:space="preserve">RL-034-20x12-SV-DPLS</t>
  </si>
  <si>
    <t xml:space="preserve">20x12</t>
  </si>
  <si>
    <t xml:space="preserve">RL-034-20x12-SV-SPLS</t>
  </si>
  <si>
    <t xml:space="preserve">RL-034-20x15-SV-DPLS</t>
  </si>
  <si>
    <t xml:space="preserve">20x15</t>
  </si>
  <si>
    <t xml:space="preserve">RL-034-20x16-SV-DPLS</t>
  </si>
  <si>
    <t xml:space="preserve">20x16</t>
  </si>
  <si>
    <t xml:space="preserve">RL-034-20x16-SV-SPLS</t>
  </si>
  <si>
    <t xml:space="preserve">RL-034-20x20-SV-DPLS</t>
  </si>
  <si>
    <t xml:space="preserve">RL-034-20x20-SV-SPLS</t>
  </si>
  <si>
    <t xml:space="preserve">RL-034-22x22-SV-SPLS</t>
  </si>
  <si>
    <t xml:space="preserve">RL-034-25x10-SV-SPLS</t>
  </si>
  <si>
    <t xml:space="preserve">25x10</t>
  </si>
  <si>
    <t xml:space="preserve">RL-034-25x12-SV-SPLS</t>
  </si>
  <si>
    <t xml:space="preserve">25x12</t>
  </si>
  <si>
    <t xml:space="preserve">RL-034-25x15-SV-SPLS</t>
  </si>
  <si>
    <t xml:space="preserve">25x15</t>
  </si>
  <si>
    <t xml:space="preserve">RL-034-25x16-SV-DPLS</t>
  </si>
  <si>
    <t xml:space="preserve">25x16</t>
  </si>
  <si>
    <t xml:space="preserve">RL-034-25x16-SV-SPLS</t>
  </si>
  <si>
    <t xml:space="preserve">RL-034-25x20-SV-SPLS</t>
  </si>
  <si>
    <t xml:space="preserve">25x20</t>
  </si>
  <si>
    <t xml:space="preserve">RL-034-25x25-BK-SPLS</t>
  </si>
  <si>
    <t xml:space="preserve">RL-034-25x25-SV-DPLS</t>
  </si>
  <si>
    <t xml:space="preserve">RL-034-25x25-SV-SPLS</t>
  </si>
  <si>
    <t xml:space="preserve">RL-034-26x26-SV-DPLS</t>
  </si>
  <si>
    <t xml:space="preserve">26x26</t>
  </si>
  <si>
    <t xml:space="preserve">RL-034-28x28-SV-DPLS</t>
  </si>
  <si>
    <t xml:space="preserve">RL-034-30x10-SV-DPLS</t>
  </si>
  <si>
    <t xml:space="preserve">30x10</t>
  </si>
  <si>
    <t xml:space="preserve">RL-034-30x16-SV-DPLS</t>
  </si>
  <si>
    <t xml:space="preserve">30x16</t>
  </si>
  <si>
    <t xml:space="preserve">RL-034-30x20-SV-SPLS</t>
  </si>
  <si>
    <t xml:space="preserve">30x20</t>
  </si>
  <si>
    <t xml:space="preserve">RL-034-30x25-SV-SPLS</t>
  </si>
  <si>
    <t xml:space="preserve">30x25</t>
  </si>
  <si>
    <t xml:space="preserve">RL-034-30x30-SV-DPLS</t>
  </si>
  <si>
    <t xml:space="preserve">30x30</t>
  </si>
  <si>
    <t xml:space="preserve">RL-034-32x16-SV-DPLS</t>
  </si>
  <si>
    <t xml:space="preserve">32x16</t>
  </si>
  <si>
    <t xml:space="preserve">RL-034-32x32-SV-DPLS</t>
  </si>
  <si>
    <t xml:space="preserve">32x32</t>
  </si>
  <si>
    <t xml:space="preserve">RL-034-33x33-SV-SPLS</t>
  </si>
  <si>
    <t xml:space="preserve">33x33</t>
  </si>
  <si>
    <t xml:space="preserve">RL-034-35x16-SV-DPLS</t>
  </si>
  <si>
    <t xml:space="preserve">35x16</t>
  </si>
  <si>
    <t xml:space="preserve">RL-034-35x25-SV-SPLS</t>
  </si>
  <si>
    <t xml:space="preserve">35x25</t>
  </si>
  <si>
    <t xml:space="preserve">RL-034-35x30-SV-SPLS</t>
  </si>
  <si>
    <t xml:space="preserve">35x30</t>
  </si>
  <si>
    <t xml:space="preserve">RL-034-35x35-SV-SPLS</t>
  </si>
  <si>
    <t xml:space="preserve">35x35</t>
  </si>
  <si>
    <t xml:space="preserve">RL-034-38.5x38.5-SV-SPLS</t>
  </si>
  <si>
    <t xml:space="preserve">38.5x38.5</t>
  </si>
  <si>
    <t xml:space="preserve">RL-034-38x38-SV-SPLS</t>
  </si>
  <si>
    <t xml:space="preserve">38x38</t>
  </si>
  <si>
    <t xml:space="preserve">RL-034-40x20-SV-SPLS</t>
  </si>
  <si>
    <t xml:space="preserve">40x20</t>
  </si>
  <si>
    <t xml:space="preserve">RL-034-40x25-SV-SPLS</t>
  </si>
  <si>
    <t xml:space="preserve">40x25</t>
  </si>
  <si>
    <t xml:space="preserve">RL-034-40x30-SV-SPLS</t>
  </si>
  <si>
    <t xml:space="preserve">40x30</t>
  </si>
  <si>
    <t xml:space="preserve">RL-034-40x35-SV-SPLS</t>
  </si>
  <si>
    <t xml:space="preserve">40x35</t>
  </si>
  <si>
    <t xml:space="preserve">RL-034-40x40-SV-SPLS</t>
  </si>
  <si>
    <t xml:space="preserve">40x40</t>
  </si>
  <si>
    <t xml:space="preserve">RL-034-4x4-SV-DPLS</t>
  </si>
  <si>
    <t xml:space="preserve">RL-034-50x50-SV-SPLS</t>
  </si>
  <si>
    <t xml:space="preserve">50x50</t>
  </si>
  <si>
    <t xml:space="preserve">RL-034-5x5-SV-DPLS</t>
  </si>
  <si>
    <t xml:space="preserve">RL-034-60x60-SV-SPLS</t>
  </si>
  <si>
    <t xml:space="preserve">60x60</t>
  </si>
  <si>
    <t xml:space="preserve">RL-034-6x5-SV-DPLS</t>
  </si>
  <si>
    <t xml:space="preserve">6x5</t>
  </si>
  <si>
    <t xml:space="preserve">RL-034-6x6-SV-DPLS</t>
  </si>
  <si>
    <t xml:space="preserve">RL-034-8x6-BK-DPLS</t>
  </si>
  <si>
    <t xml:space="preserve">8x6</t>
  </si>
  <si>
    <t xml:space="preserve">RL-034-8x6-SV-DPLS</t>
  </si>
  <si>
    <t xml:space="preserve">RL-034-8x8-BK-DPLS</t>
  </si>
  <si>
    <t xml:space="preserve">RL-034-8x8-SV-DPLS</t>
  </si>
  <si>
    <t xml:space="preserve">Aluminum Round Flange Shaft Support  [Shafts / Rails / Ball Screws]</t>
  </si>
  <si>
    <t xml:space="preserve">RL-055-10-F</t>
  </si>
  <si>
    <t xml:space="preserve">RL-055-10-K</t>
  </si>
  <si>
    <t xml:space="preserve">Square flange</t>
  </si>
  <si>
    <t xml:space="preserve">RL-055-10-SQBFL</t>
  </si>
  <si>
    <t xml:space="preserve">Double-flat flange</t>
  </si>
  <si>
    <t xml:space="preserve">RL-055-12-F</t>
  </si>
  <si>
    <t xml:space="preserve">RL-055-12-K</t>
  </si>
  <si>
    <t xml:space="preserve">RL-055-12-SQBFL</t>
  </si>
  <si>
    <t xml:space="preserve">RL-055-15-F</t>
  </si>
  <si>
    <t xml:space="preserve">RL-055-15-K</t>
  </si>
  <si>
    <t xml:space="preserve">RL-055-15-SQBFL</t>
  </si>
  <si>
    <t xml:space="preserve">RL-055-16-F</t>
  </si>
  <si>
    <t xml:space="preserve">RL-055-16-K</t>
  </si>
  <si>
    <t xml:space="preserve">RL-055-16-SQBFL</t>
  </si>
  <si>
    <t xml:space="preserve">RL-055-20-F</t>
  </si>
  <si>
    <t xml:space="preserve">RL-055-20-K</t>
  </si>
  <si>
    <t xml:space="preserve">RL-055-20-SQBFL</t>
  </si>
  <si>
    <t xml:space="preserve">RL-055-25-F</t>
  </si>
  <si>
    <t xml:space="preserve">RL-055-25-K</t>
  </si>
  <si>
    <t xml:space="preserve">RL-055-25-SQBFL</t>
  </si>
  <si>
    <t xml:space="preserve">RL-055-3-F</t>
  </si>
  <si>
    <t xml:space="preserve">RL-055-3-K</t>
  </si>
  <si>
    <t xml:space="preserve">RL-055-3-SQBFL</t>
  </si>
  <si>
    <t xml:space="preserve">RL-055-30-F</t>
  </si>
  <si>
    <t xml:space="preserve">RL-055-30-K</t>
  </si>
  <si>
    <t xml:space="preserve">RL-055-30-SQBFL</t>
  </si>
  <si>
    <t xml:space="preserve">RL-055-35-F</t>
  </si>
  <si>
    <t xml:space="preserve">RL-055-35-K</t>
  </si>
  <si>
    <t xml:space="preserve">RL-055-35-SQBFL</t>
  </si>
  <si>
    <t xml:space="preserve">RL-055-4-F</t>
  </si>
  <si>
    <t xml:space="preserve">RL-055-4-K</t>
  </si>
  <si>
    <t xml:space="preserve">RL-055-4-SQBFL</t>
  </si>
  <si>
    <t xml:space="preserve">RL-055-40-F</t>
  </si>
  <si>
    <t xml:space="preserve">RL-055-40-K</t>
  </si>
  <si>
    <t xml:space="preserve">RL-055-40-SQBFL</t>
  </si>
  <si>
    <t xml:space="preserve">RL-055-5-F</t>
  </si>
  <si>
    <t xml:space="preserve">RL-055-5-K</t>
  </si>
  <si>
    <t xml:space="preserve">RL-055-5-SQBFL</t>
  </si>
  <si>
    <t xml:space="preserve">RL-055-50-F</t>
  </si>
  <si>
    <t xml:space="preserve">RL-055-50-K</t>
  </si>
  <si>
    <t xml:space="preserve">RL-055-50-SQBFL</t>
  </si>
  <si>
    <t xml:space="preserve">RL-055-6-F</t>
  </si>
  <si>
    <t xml:space="preserve">RL-055-6-K</t>
  </si>
  <si>
    <t xml:space="preserve">RL-055-6-SQBFL</t>
  </si>
  <si>
    <t xml:space="preserve">RL-055-8-F</t>
  </si>
  <si>
    <t xml:space="preserve">RL-055-8-K</t>
  </si>
  <si>
    <t xml:space="preserve">RL-055-8-SQBFL</t>
  </si>
  <si>
    <t xml:space="preserve">Zinc Alloy Pillow Block Bearing (KP / KFL)  [Shafts / Rails / Ball Screws]</t>
  </si>
  <si>
    <t xml:space="preserve">Zinc alloy</t>
  </si>
  <si>
    <t xml:space="preserve">KFL000</t>
  </si>
  <si>
    <t xml:space="preserve">Heavy-duty</t>
  </si>
  <si>
    <t xml:space="preserve">KP-KFL000-ZN-HD-10</t>
  </si>
  <si>
    <t xml:space="preserve">KP-KFL000-ZN-LT-10</t>
  </si>
  <si>
    <t xml:space="preserve">Light-duty</t>
  </si>
  <si>
    <t xml:space="preserve">KP-KFL001-ZN-HD-12</t>
  </si>
  <si>
    <t xml:space="preserve">KFL001</t>
  </si>
  <si>
    <t xml:space="preserve">KP-KFL001-ZN-LT-12</t>
  </si>
  <si>
    <t xml:space="preserve">KP-KFL002-S304-HD-15</t>
  </si>
  <si>
    <t xml:space="preserve">KFL002</t>
  </si>
  <si>
    <t xml:space="preserve">KP-KFL002-ZN-HD-15</t>
  </si>
  <si>
    <t xml:space="preserve">KP-KFL003-ZN-HD-17</t>
  </si>
  <si>
    <t xml:space="preserve">KFL003</t>
  </si>
  <si>
    <t xml:space="preserve">KP-KFL003-ZN-LT-17</t>
  </si>
  <si>
    <t xml:space="preserve">KP-KFL004-ZN-HD-20</t>
  </si>
  <si>
    <t xml:space="preserve">KFL004</t>
  </si>
  <si>
    <t xml:space="preserve">KP-KFL005-ZN-HD-25</t>
  </si>
  <si>
    <t xml:space="preserve">KFL005</t>
  </si>
  <si>
    <t xml:space="preserve">KP-KFL006-ZN-HD-30</t>
  </si>
  <si>
    <t xml:space="preserve">KFL006</t>
  </si>
  <si>
    <t xml:space="preserve">KP-KFL007-ZN-HD-35</t>
  </si>
  <si>
    <t xml:space="preserve">KFL007</t>
  </si>
  <si>
    <t xml:space="preserve">KP-KFL08-ZN-HD-8</t>
  </si>
  <si>
    <t xml:space="preserve">KFL08</t>
  </si>
  <si>
    <t xml:space="preserve">KP-KFL08-ZN-HD-LF-8</t>
  </si>
  <si>
    <t xml:space="preserve">Heavy loose fit</t>
  </si>
  <si>
    <t xml:space="preserve">KP-KFL08-ZN-HD-P5-8</t>
  </si>
  <si>
    <t xml:space="preserve">Heavy-duty P5</t>
  </si>
  <si>
    <t xml:space="preserve">KP-KFL08-ZN-LT-8</t>
  </si>
  <si>
    <t xml:space="preserve">KP-KP000-ZN-HD-10</t>
  </si>
  <si>
    <t xml:space="preserve">KP000</t>
  </si>
  <si>
    <t xml:space="preserve">KP-KP001-ZN-HD-12</t>
  </si>
  <si>
    <t xml:space="preserve">KP001</t>
  </si>
  <si>
    <t xml:space="preserve">KP-KP001-ZN-HD-P5-12</t>
  </si>
  <si>
    <t xml:space="preserve">KP-KP002-ZN-HD-15</t>
  </si>
  <si>
    <t xml:space="preserve">KP002</t>
  </si>
  <si>
    <t xml:space="preserve">KP-KP003-ZN-HD-17</t>
  </si>
  <si>
    <t xml:space="preserve">KP003</t>
  </si>
  <si>
    <t xml:space="preserve">KP-KP004-ZN-HD-20</t>
  </si>
  <si>
    <t xml:space="preserve">KP004</t>
  </si>
  <si>
    <t xml:space="preserve">KP-KP005-ZN-HD-25</t>
  </si>
  <si>
    <t xml:space="preserve">KP005</t>
  </si>
  <si>
    <t xml:space="preserve">KP-KP006-ZN-HD-30</t>
  </si>
  <si>
    <t xml:space="preserve">KP006</t>
  </si>
  <si>
    <t xml:space="preserve">KP-KP007-ZN-HD-35</t>
  </si>
  <si>
    <t xml:space="preserve">KP007</t>
  </si>
  <si>
    <t xml:space="preserve">KP-KP08-ZN-HD-8</t>
  </si>
  <si>
    <t xml:space="preserve">KP08</t>
  </si>
  <si>
    <t xml:space="preserve">KP-KP08-ZN-HD-P5-8</t>
  </si>
  <si>
    <t xml:space="preserve">KP-UP000-ZN-HD-10</t>
  </si>
  <si>
    <t xml:space="preserve">UP000</t>
  </si>
  <si>
    <t xml:space="preserve">Delta 5347 Ball Joint Rod End  [Rod Ends]</t>
  </si>
  <si>
    <t xml:space="preserve">RL-015-M3</t>
  </si>
  <si>
    <t xml:space="preserve">RL-015-M4</t>
  </si>
  <si>
    <t xml:space="preserve">Delta Kossel Carbon Rod Ball Joint Kit  [Rod Ends]</t>
  </si>
  <si>
    <t xml:space="preserve">RL-043-WJ5-NJ3-CD180</t>
  </si>
  <si>
    <t xml:space="preserve">RL-043-WJ5-NJ3-CD200</t>
  </si>
  <si>
    <t xml:space="preserve">RL-043-WJ6-NJ4-CD180</t>
  </si>
  <si>
    <t xml:space="preserve">RL-043-WJ6-NJ4-CD200</t>
  </si>
  <si>
    <t xml:space="preserve">Rod End Bearing (SI / SA, PHS / POS)  [Rod Ends]</t>
  </si>
  <si>
    <t xml:space="preserve">PHS10</t>
  </si>
  <si>
    <t xml:space="preserve">Female thread fine RH</t>
  </si>
  <si>
    <t xml:space="preserve">M10x1.25</t>
  </si>
  <si>
    <t xml:space="preserve">RE-PHS10-M10x1.25-I-F</t>
  </si>
  <si>
    <t xml:space="preserve">RE-PHS10-M10x1.5-I</t>
  </si>
  <si>
    <t xml:space="preserve">Female thread RH</t>
  </si>
  <si>
    <t xml:space="preserve">M10x1.5</t>
  </si>
  <si>
    <t xml:space="preserve">RE-PHS12-M12x1.25-I-F</t>
  </si>
  <si>
    <t xml:space="preserve">PHS12</t>
  </si>
  <si>
    <t xml:space="preserve">M12x1.25</t>
  </si>
  <si>
    <t xml:space="preserve">RE-PHS12-M12x1.5-I-F</t>
  </si>
  <si>
    <t xml:space="preserve">M12x1.5</t>
  </si>
  <si>
    <t xml:space="preserve">RE-PHS12-M12x1.75-I</t>
  </si>
  <si>
    <t xml:space="preserve">M12x1.75</t>
  </si>
  <si>
    <t xml:space="preserve">RE-PHS14-M14x1.5-I-F</t>
  </si>
  <si>
    <t xml:space="preserve">PHS14</t>
  </si>
  <si>
    <t xml:space="preserve">M14x1.5</t>
  </si>
  <si>
    <t xml:space="preserve">RE-PHS14-M14x2-I</t>
  </si>
  <si>
    <t xml:space="preserve">M14x2</t>
  </si>
  <si>
    <t xml:space="preserve">RE-PHS16-M16x1.5-I-F</t>
  </si>
  <si>
    <t xml:space="preserve">PHS16</t>
  </si>
  <si>
    <t xml:space="preserve">M16x1.5</t>
  </si>
  <si>
    <t xml:space="preserve">RE-PHS16-M16x2-I</t>
  </si>
  <si>
    <t xml:space="preserve">M16x2</t>
  </si>
  <si>
    <t xml:space="preserve">RE-PHS18-M18x1.5-I</t>
  </si>
  <si>
    <t xml:space="preserve">PHS18</t>
  </si>
  <si>
    <t xml:space="preserve">M18x1.5</t>
  </si>
  <si>
    <t xml:space="preserve">RE-PHS20-M20x1.5-I</t>
  </si>
  <si>
    <t xml:space="preserve">PHS20</t>
  </si>
  <si>
    <t xml:space="preserve">M20x1.5</t>
  </si>
  <si>
    <t xml:space="preserve">RE-PHS20-M20x2-I-C</t>
  </si>
  <si>
    <t xml:space="preserve">Female thread coarse RH</t>
  </si>
  <si>
    <t xml:space="preserve">M20x2</t>
  </si>
  <si>
    <t xml:space="preserve">RE-PHS20-M20x2.5-I-C</t>
  </si>
  <si>
    <t xml:space="preserve">M20x2.5</t>
  </si>
  <si>
    <t xml:space="preserve">RE-PHS22-M22x1.5-I</t>
  </si>
  <si>
    <t xml:space="preserve">PHS22</t>
  </si>
  <si>
    <t xml:space="preserve">M22x1.5</t>
  </si>
  <si>
    <t xml:space="preserve">RE-PHS25-M24x2-I</t>
  </si>
  <si>
    <t xml:space="preserve">PHS25</t>
  </si>
  <si>
    <t xml:space="preserve">M24x2</t>
  </si>
  <si>
    <t xml:space="preserve">RE-PHS28-M27x2-I</t>
  </si>
  <si>
    <t xml:space="preserve">PHS28</t>
  </si>
  <si>
    <t xml:space="preserve">M27x2</t>
  </si>
  <si>
    <t xml:space="preserve">RE-PHS30-M27x2-I-F</t>
  </si>
  <si>
    <t xml:space="preserve">PHS30</t>
  </si>
  <si>
    <t xml:space="preserve">RE-PHS30-M30x1.5-I-F</t>
  </si>
  <si>
    <t xml:space="preserve">M30x1.5</t>
  </si>
  <si>
    <t xml:space="preserve">RE-PHS30-M30x2-I</t>
  </si>
  <si>
    <t xml:space="preserve">M30x2</t>
  </si>
  <si>
    <t xml:space="preserve">RE-PHS5-M5x0.8-I</t>
  </si>
  <si>
    <t xml:space="preserve">PHS5</t>
  </si>
  <si>
    <t xml:space="preserve">M5x0.8</t>
  </si>
  <si>
    <t xml:space="preserve">RE-PHS6-M6x1-I</t>
  </si>
  <si>
    <t xml:space="preserve">PHS6</t>
  </si>
  <si>
    <t xml:space="preserve">M6x1</t>
  </si>
  <si>
    <t xml:space="preserve">RE-PHS8-M8x1.25-I</t>
  </si>
  <si>
    <t xml:space="preserve">PHS8</t>
  </si>
  <si>
    <t xml:space="preserve">M8x1.25</t>
  </si>
  <si>
    <t xml:space="preserve">RE-PHSL10-M10x1.5-I-LH</t>
  </si>
  <si>
    <t xml:space="preserve">PHSL10</t>
  </si>
  <si>
    <t xml:space="preserve">Female thread LH</t>
  </si>
  <si>
    <t xml:space="preserve">RE-PHSL12-M12x1.75-I-LH</t>
  </si>
  <si>
    <t xml:space="preserve">PHSL12</t>
  </si>
  <si>
    <t xml:space="preserve">RE-PHSL14-M14x2-I-LH</t>
  </si>
  <si>
    <t xml:space="preserve">PHSL14</t>
  </si>
  <si>
    <t xml:space="preserve">RE-PHSL16-M16x2-I-LH</t>
  </si>
  <si>
    <t xml:space="preserve">PHSL16</t>
  </si>
  <si>
    <t xml:space="preserve">RE-PHSL18-M18x1.5-I-LH</t>
  </si>
  <si>
    <t xml:space="preserve">PHSL18</t>
  </si>
  <si>
    <t xml:space="preserve">RE-PHSL20-M20x1.5-I-LH</t>
  </si>
  <si>
    <t xml:space="preserve">PHSL20</t>
  </si>
  <si>
    <t xml:space="preserve">RE-PHSL22-M22x1.5-I-LH</t>
  </si>
  <si>
    <t xml:space="preserve">PHSL22</t>
  </si>
  <si>
    <t xml:space="preserve">RE-PHSL25-M24x2-I-LH</t>
  </si>
  <si>
    <t xml:space="preserve">PHSL25</t>
  </si>
  <si>
    <t xml:space="preserve">RE-PHSL28-M27x2-I-LH</t>
  </si>
  <si>
    <t xml:space="preserve">PHSL28</t>
  </si>
  <si>
    <t xml:space="preserve">RE-PHSL30-M30x2-I-LH</t>
  </si>
  <si>
    <t xml:space="preserve">PHSL30</t>
  </si>
  <si>
    <t xml:space="preserve">RE-PHSL5-M5x0.8-I-LH</t>
  </si>
  <si>
    <t xml:space="preserve">PHSL5</t>
  </si>
  <si>
    <t xml:space="preserve">RE-PHSL6-M6x1-I-LH</t>
  </si>
  <si>
    <t xml:space="preserve">PHSL6</t>
  </si>
  <si>
    <t xml:space="preserve">RE-PHSL8-M8x1.25-I-LH</t>
  </si>
  <si>
    <t xml:space="preserve">PHSL8</t>
  </si>
  <si>
    <t xml:space="preserve">RE-POS10-M10x1.25-E-F</t>
  </si>
  <si>
    <t xml:space="preserve">POS10</t>
  </si>
  <si>
    <t xml:space="preserve">Male thread fine RH</t>
  </si>
  <si>
    <t xml:space="preserve">RE-POS10-M10x1.5-E</t>
  </si>
  <si>
    <t xml:space="preserve">Male thread RH</t>
  </si>
  <si>
    <t xml:space="preserve">RE-POS12-M12x1.25-E-F</t>
  </si>
  <si>
    <t xml:space="preserve">POS12</t>
  </si>
  <si>
    <t xml:space="preserve">RE-POS12-M12x1.5-E-F</t>
  </si>
  <si>
    <t xml:space="preserve">RE-POS12-M12x1.75-E</t>
  </si>
  <si>
    <t xml:space="preserve">RE-POS14-M14x1.5-E-F</t>
  </si>
  <si>
    <t xml:space="preserve">POS14</t>
  </si>
  <si>
    <t xml:space="preserve">RE-POS14-M14x2-E</t>
  </si>
  <si>
    <t xml:space="preserve">RE-POS16-M16x1.5-E-F</t>
  </si>
  <si>
    <t xml:space="preserve">POS16</t>
  </si>
  <si>
    <t xml:space="preserve">RE-POS16-M16x2-E</t>
  </si>
  <si>
    <t xml:space="preserve">RE-POS18-M18x1.5-E</t>
  </si>
  <si>
    <t xml:space="preserve">POS18</t>
  </si>
  <si>
    <t xml:space="preserve">RE-POS20-M20x1.5-E</t>
  </si>
  <si>
    <t xml:space="preserve">POS20</t>
  </si>
  <si>
    <t xml:space="preserve">RE-POS22-M22x1.5-E</t>
  </si>
  <si>
    <t xml:space="preserve">POS22</t>
  </si>
  <si>
    <t xml:space="preserve">RE-POS25-M24x2-E</t>
  </si>
  <si>
    <t xml:space="preserve">POS25</t>
  </si>
  <si>
    <t xml:space="preserve">RE-POS28-M27x2-E</t>
  </si>
  <si>
    <t xml:space="preserve">POS28</t>
  </si>
  <si>
    <t xml:space="preserve">RE-POS30-M30x2-E</t>
  </si>
  <si>
    <t xml:space="preserve">POS30</t>
  </si>
  <si>
    <t xml:space="preserve">RE-POS5-M5x0.8-E</t>
  </si>
  <si>
    <t xml:space="preserve">POS5</t>
  </si>
  <si>
    <t xml:space="preserve">RE-POS6-M6x1-E</t>
  </si>
  <si>
    <t xml:space="preserve">POS6</t>
  </si>
  <si>
    <t xml:space="preserve">RE-POS8-M8x1.25-E</t>
  </si>
  <si>
    <t xml:space="preserve">POS8</t>
  </si>
  <si>
    <t xml:space="preserve">RE-POSL10-M10x1.5-E-LH</t>
  </si>
  <si>
    <t xml:space="preserve">POSL10</t>
  </si>
  <si>
    <t xml:space="preserve">Male thread LH</t>
  </si>
  <si>
    <t xml:space="preserve">RE-POSL12-M12x1.75-E-LH</t>
  </si>
  <si>
    <t xml:space="preserve">POSL12</t>
  </si>
  <si>
    <t xml:space="preserve">RE-POSL14-M14x2-E-LH</t>
  </si>
  <si>
    <t xml:space="preserve">POSL14</t>
  </si>
  <si>
    <t xml:space="preserve">RE-POSL16-M16x2-E-LH</t>
  </si>
  <si>
    <t xml:space="preserve">POSL16</t>
  </si>
  <si>
    <t xml:space="preserve">RE-POSL18-M18x1.5-E-LH</t>
  </si>
  <si>
    <t xml:space="preserve">POSL18</t>
  </si>
  <si>
    <t xml:space="preserve">RE-POSL20-M20x1.5-E-LH</t>
  </si>
  <si>
    <t xml:space="preserve">POSL20</t>
  </si>
  <si>
    <t xml:space="preserve">RE-POSL22-M22x1.5-E-LH</t>
  </si>
  <si>
    <t xml:space="preserve">POSL22</t>
  </si>
  <si>
    <t xml:space="preserve">RE-POSL25-M24x2-E-LH</t>
  </si>
  <si>
    <t xml:space="preserve">POSL25</t>
  </si>
  <si>
    <t xml:space="preserve">RE-POSL28-M27x2-E-LH</t>
  </si>
  <si>
    <t xml:space="preserve">POSL28</t>
  </si>
  <si>
    <t xml:space="preserve">RE-POSL30-M30x2-E-LH</t>
  </si>
  <si>
    <t xml:space="preserve">POSL30</t>
  </si>
  <si>
    <t xml:space="preserve">RE-POSL5-M5x0.8-E-LH</t>
  </si>
  <si>
    <t xml:space="preserve">POSL5</t>
  </si>
  <si>
    <t xml:space="preserve">RE-POSL6-M6x1-E-LH</t>
  </si>
  <si>
    <t xml:space="preserve">POSL6</t>
  </si>
  <si>
    <t xml:space="preserve">RE-POSL8-M8x1.25-E-LH</t>
  </si>
  <si>
    <t xml:space="preserve">POSL8</t>
  </si>
  <si>
    <t xml:space="preserve">RE-SA10PK-M10x1.5-E</t>
  </si>
  <si>
    <t xml:space="preserve">SA10P/K</t>
  </si>
  <si>
    <t xml:space="preserve">RE-SA10TK-M10x1.25-E-F</t>
  </si>
  <si>
    <t xml:space="preserve">SA10T/K</t>
  </si>
  <si>
    <t xml:space="preserve">RE-SA10TK-M10x1.5-E</t>
  </si>
  <si>
    <t xml:space="preserve">RE-SA12PK-M12x1.75-E</t>
  </si>
  <si>
    <t xml:space="preserve">SA12P/K</t>
  </si>
  <si>
    <t xml:space="preserve">RE-SA12TK-M12x1.25-E-F</t>
  </si>
  <si>
    <t xml:space="preserve">SA12T/K</t>
  </si>
  <si>
    <t xml:space="preserve">RE-SA12TK-M12x1.75-E</t>
  </si>
  <si>
    <t xml:space="preserve">RE-SA14PK-M14x2-E</t>
  </si>
  <si>
    <t xml:space="preserve">SA14P/K</t>
  </si>
  <si>
    <t xml:space="preserve">RE-SA14TK-M14x1.5-E-F</t>
  </si>
  <si>
    <t xml:space="preserve">SA14T/K</t>
  </si>
  <si>
    <t xml:space="preserve">RE-SA14TK-M14x2-E</t>
  </si>
  <si>
    <t xml:space="preserve">RE-SA16PK-M16x2-E</t>
  </si>
  <si>
    <t xml:space="preserve">SA16P/K</t>
  </si>
  <si>
    <t xml:space="preserve">RE-SA16TK-M16x1.5-E-F</t>
  </si>
  <si>
    <t xml:space="preserve">SA16T/K</t>
  </si>
  <si>
    <t xml:space="preserve">RE-SA16TK-M16x2-E</t>
  </si>
  <si>
    <t xml:space="preserve">RE-SA18PK-M18x1.5-E</t>
  </si>
  <si>
    <t xml:space="preserve">SA18P/K</t>
  </si>
  <si>
    <t xml:space="preserve">RE-SA18TK-M18x1.5-E</t>
  </si>
  <si>
    <t xml:space="preserve">SA18T/K</t>
  </si>
  <si>
    <t xml:space="preserve">RE-SA18TK-M18x2.5-E</t>
  </si>
  <si>
    <t xml:space="preserve">M18x2.5</t>
  </si>
  <si>
    <t xml:space="preserve">RE-SA20PK-M20x1.5-E</t>
  </si>
  <si>
    <t xml:space="preserve">SA20P/K</t>
  </si>
  <si>
    <t xml:space="preserve">RE-SA20TK-M20x1.5-E</t>
  </si>
  <si>
    <t xml:space="preserve">SA20T/K</t>
  </si>
  <si>
    <t xml:space="preserve">RE-SA20TK-M20x2-E</t>
  </si>
  <si>
    <t xml:space="preserve">RE-SA20TK-M20x2.5-E</t>
  </si>
  <si>
    <t xml:space="preserve">RE-SA20TK-M20x2.5-E-C</t>
  </si>
  <si>
    <t xml:space="preserve">Male thread coarse RH</t>
  </si>
  <si>
    <t xml:space="preserve">RE-SA22TK-M22x1.5-E</t>
  </si>
  <si>
    <t xml:space="preserve">SA22T/K</t>
  </si>
  <si>
    <t xml:space="preserve">RE-SA25TK-M24x1.5-E</t>
  </si>
  <si>
    <t xml:space="preserve">SA25T/K</t>
  </si>
  <si>
    <t xml:space="preserve">M24x1.5</t>
  </si>
  <si>
    <t xml:space="preserve">RE-SA25TK-M24x2-E</t>
  </si>
  <si>
    <t xml:space="preserve">RE-SA28TK-M27x2-E</t>
  </si>
  <si>
    <t xml:space="preserve">SA28T/K</t>
  </si>
  <si>
    <t xml:space="preserve">RE-SA30TK-M27x2-E-F</t>
  </si>
  <si>
    <t xml:space="preserve">SA30T/K</t>
  </si>
  <si>
    <t xml:space="preserve">RE-SA30TK-M30x1.5-E</t>
  </si>
  <si>
    <t xml:space="preserve">RE-SA30TK-M30x2-E</t>
  </si>
  <si>
    <t xml:space="preserve">RE-SA35TK-M36x2-E</t>
  </si>
  <si>
    <t xml:space="preserve">SA35T/K</t>
  </si>
  <si>
    <t xml:space="preserve">M36x2</t>
  </si>
  <si>
    <t xml:space="preserve">RE-SA35TK-M36x3-E-C</t>
  </si>
  <si>
    <t xml:space="preserve">M36x3</t>
  </si>
  <si>
    <t xml:space="preserve">RE-SA3PK-M3x0.5-E</t>
  </si>
  <si>
    <t xml:space="preserve">SA3P/K</t>
  </si>
  <si>
    <t xml:space="preserve">M3x0.5</t>
  </si>
  <si>
    <t xml:space="preserve">RE-SA40TK-M42x2-E</t>
  </si>
  <si>
    <t xml:space="preserve">SA40T/K</t>
  </si>
  <si>
    <t xml:space="preserve">M42x2</t>
  </si>
  <si>
    <t xml:space="preserve">RE-SA4PK-M4x0.7-E</t>
  </si>
  <si>
    <t xml:space="preserve">SA4P/K</t>
  </si>
  <si>
    <t xml:space="preserve">M4x0.7</t>
  </si>
  <si>
    <t xml:space="preserve">RE-SA50TK-M48x2-E</t>
  </si>
  <si>
    <t xml:space="preserve">SA50T/K</t>
  </si>
  <si>
    <t xml:space="preserve">M48x2</t>
  </si>
  <si>
    <t xml:space="preserve">RE-SA5PK-M5x0.8-E</t>
  </si>
  <si>
    <t xml:space="preserve">SA5P/K</t>
  </si>
  <si>
    <t xml:space="preserve">RE-SA5TK-M5x0.8-E</t>
  </si>
  <si>
    <t xml:space="preserve">SA5T/K</t>
  </si>
  <si>
    <t xml:space="preserve">RE-SA6PK-M6x1-E</t>
  </si>
  <si>
    <t xml:space="preserve">SA6P/K</t>
  </si>
  <si>
    <t xml:space="preserve">RE-SA6TK-M6x1-E</t>
  </si>
  <si>
    <t xml:space="preserve">SA6T/K</t>
  </si>
  <si>
    <t xml:space="preserve">RE-SA8PK-M8x1.25-E</t>
  </si>
  <si>
    <t xml:space="preserve">SA8P/K</t>
  </si>
  <si>
    <t xml:space="preserve">RE-SA8TK-M8x1.25-E</t>
  </si>
  <si>
    <t xml:space="preserve">SA8T/K</t>
  </si>
  <si>
    <t xml:space="preserve">RE-SAL10PK-M10x1.5-E-LH</t>
  </si>
  <si>
    <t xml:space="preserve">SAL10P/K</t>
  </si>
  <si>
    <t xml:space="preserve">RE-SAL10TK-M10x1.25-E-F-LH</t>
  </si>
  <si>
    <t xml:space="preserve">SAL10T/K</t>
  </si>
  <si>
    <t xml:space="preserve">Male thread fine LH</t>
  </si>
  <si>
    <t xml:space="preserve">RE-SAL10TK-M10x1.5-E-LH</t>
  </si>
  <si>
    <t xml:space="preserve">RE-SAL12PK-M12x1.75-E-LH</t>
  </si>
  <si>
    <t xml:space="preserve">SAL12P/K</t>
  </si>
  <si>
    <t xml:space="preserve">RE-SAL12TK-M12x1.25-E-F-LH</t>
  </si>
  <si>
    <t xml:space="preserve">SAL12T/K</t>
  </si>
  <si>
    <t xml:space="preserve">RE-SAL12TK-M12x1.75-E-LH</t>
  </si>
  <si>
    <t xml:space="preserve">RE-SAL14PK-M14x2-E-LH</t>
  </si>
  <si>
    <t xml:space="preserve">SAL14P/K</t>
  </si>
  <si>
    <t xml:space="preserve">RE-SAL14TK-M14x1.5-E-F-LH</t>
  </si>
  <si>
    <t xml:space="preserve">SAL14T/K</t>
  </si>
  <si>
    <t xml:space="preserve">RE-SAL14TK-M14x2-E-LH</t>
  </si>
  <si>
    <t xml:space="preserve">RE-SAL16PK-M16x2-E-LH</t>
  </si>
  <si>
    <t xml:space="preserve">SAL16P/K</t>
  </si>
  <si>
    <t xml:space="preserve">RE-SAL16TK-M16x1.5-E-F-LH</t>
  </si>
  <si>
    <t xml:space="preserve">SAL16T/K</t>
  </si>
  <si>
    <t xml:space="preserve">RE-SAL16TK-M16x2-E-LH</t>
  </si>
  <si>
    <t xml:space="preserve">RE-SAL18PK-M18x1.5-E-LH</t>
  </si>
  <si>
    <t xml:space="preserve">SAL18P/K</t>
  </si>
  <si>
    <t xml:space="preserve">RE-SAL18TK-M18x1.5-E-LH</t>
  </si>
  <si>
    <t xml:space="preserve">SAL18T/K</t>
  </si>
  <si>
    <t xml:space="preserve">RE-SAL18TK-M18x2.5-E-LH</t>
  </si>
  <si>
    <t xml:space="preserve">RE-SAL20PK-M20x1.5-E-LH</t>
  </si>
  <si>
    <t xml:space="preserve">SAL20P/K</t>
  </si>
  <si>
    <t xml:space="preserve">RE-SAL20TK-M20x1.5-E-LH</t>
  </si>
  <si>
    <t xml:space="preserve">SAL20T/K</t>
  </si>
  <si>
    <t xml:space="preserve">RE-SAL20TK-M20x2-E-LH</t>
  </si>
  <si>
    <t xml:space="preserve">RE-SAL20TK-M20x2.5-E-C-LH</t>
  </si>
  <si>
    <t xml:space="preserve">Male thread coarse LH</t>
  </si>
  <si>
    <t xml:space="preserve">RE-SAL20TK-M20x2.5-E-LH</t>
  </si>
  <si>
    <t xml:space="preserve">RE-SAL22TK-M22x1.5-E-LH</t>
  </si>
  <si>
    <t xml:space="preserve">SAL22T/K</t>
  </si>
  <si>
    <t xml:space="preserve">RE-SAL25TK-M24x1.5-E-LH</t>
  </si>
  <si>
    <t xml:space="preserve">SAL25T/K</t>
  </si>
  <si>
    <t xml:space="preserve">RE-SAL25TK-M24x2-E-LH</t>
  </si>
  <si>
    <t xml:space="preserve">RE-SAL28TK-M27x2-E-LH</t>
  </si>
  <si>
    <t xml:space="preserve">SAL28T/K</t>
  </si>
  <si>
    <t xml:space="preserve">RE-SAL30TK-M27x2-E-F-LH</t>
  </si>
  <si>
    <t xml:space="preserve">SAL30T/K</t>
  </si>
  <si>
    <t xml:space="preserve">RE-SAL30TK-M30x1.5-E-LH</t>
  </si>
  <si>
    <t xml:space="preserve">RE-SAL30TK-M30x2-E-LH</t>
  </si>
  <si>
    <t xml:space="preserve">RE-SAL35TK-M36x2-E-LH</t>
  </si>
  <si>
    <t xml:space="preserve">SAL35T/K</t>
  </si>
  <si>
    <t xml:space="preserve">RE-SAL35TK-M36x3-E-C-LH</t>
  </si>
  <si>
    <t xml:space="preserve">RE-SAL3PK-M3x0.5-E-LH</t>
  </si>
  <si>
    <t xml:space="preserve">SAL3P/K</t>
  </si>
  <si>
    <t xml:space="preserve">RE-SAL40TK-M42x2-E-LH</t>
  </si>
  <si>
    <t xml:space="preserve">SAL40T/K</t>
  </si>
  <si>
    <t xml:space="preserve">RE-SAL4PK-M4x0.7-E-LH</t>
  </si>
  <si>
    <t xml:space="preserve">SAL4P/K</t>
  </si>
  <si>
    <t xml:space="preserve">RE-SAL50TK-M48x2-E-LH</t>
  </si>
  <si>
    <t xml:space="preserve">SAL50T/K</t>
  </si>
  <si>
    <t xml:space="preserve">RE-SAL5PK-M5x0.8-E-LH</t>
  </si>
  <si>
    <t xml:space="preserve">SAL5P/K</t>
  </si>
  <si>
    <t xml:space="preserve">RE-SAL5TK-M5x0.8-E-LH</t>
  </si>
  <si>
    <t xml:space="preserve">SAL5T/K</t>
  </si>
  <si>
    <t xml:space="preserve">RE-SAL6PK-M6x1-E-LH</t>
  </si>
  <si>
    <t xml:space="preserve">SAL6P/K</t>
  </si>
  <si>
    <t xml:space="preserve">RE-SAL6TK-M6x1-E-LH</t>
  </si>
  <si>
    <t xml:space="preserve">SAL6T/K</t>
  </si>
  <si>
    <t xml:space="preserve">RE-SAL8PK-M8x1.25-E-LH</t>
  </si>
  <si>
    <t xml:space="preserve">SAL8P/K</t>
  </si>
  <si>
    <t xml:space="preserve">RE-SAL8TK-M8x1.25-E-LH</t>
  </si>
  <si>
    <t xml:space="preserve">SAL8T/K</t>
  </si>
  <si>
    <t xml:space="preserve">RE-SI10PK-M10x1.5-I</t>
  </si>
  <si>
    <t xml:space="preserve">SI10P/K</t>
  </si>
  <si>
    <t xml:space="preserve">RE-SI10TK-M10x1.25-I-F</t>
  </si>
  <si>
    <t xml:space="preserve">SI10T/K</t>
  </si>
  <si>
    <t xml:space="preserve">RE-SI10TK-M10x1.5-I</t>
  </si>
  <si>
    <t xml:space="preserve">RE-SI12PK-M12x1.75-I</t>
  </si>
  <si>
    <t xml:space="preserve">SI12P/K</t>
  </si>
  <si>
    <t xml:space="preserve">RE-SI12TK-M12x1.25-I-F</t>
  </si>
  <si>
    <t xml:space="preserve">SI12T/K</t>
  </si>
  <si>
    <t xml:space="preserve">RE-SI12TK-M12x1.75-I</t>
  </si>
  <si>
    <t xml:space="preserve">RE-SI14PK-M14x2-I</t>
  </si>
  <si>
    <t xml:space="preserve">SI14P/K</t>
  </si>
  <si>
    <t xml:space="preserve">RE-SI14TK-M14x1.5-I-F</t>
  </si>
  <si>
    <t xml:space="preserve">SI14T/K</t>
  </si>
  <si>
    <t xml:space="preserve">RE-SI14TK-M14x2-I</t>
  </si>
  <si>
    <t xml:space="preserve">RE-SI16PK-M16x2-I</t>
  </si>
  <si>
    <t xml:space="preserve">SI16P/K</t>
  </si>
  <si>
    <t xml:space="preserve">RE-SI16TK-M16x1.5-I-F</t>
  </si>
  <si>
    <t xml:space="preserve">SI16T/K</t>
  </si>
  <si>
    <t xml:space="preserve">RE-SI16TK-M16x2-I</t>
  </si>
  <si>
    <t xml:space="preserve">RE-SI18PK-M18x1.5-I</t>
  </si>
  <si>
    <t xml:space="preserve">SI18P/K</t>
  </si>
  <si>
    <t xml:space="preserve">RE-SI18TK-M18x1.5-I</t>
  </si>
  <si>
    <t xml:space="preserve">SI18T/K</t>
  </si>
  <si>
    <t xml:space="preserve">RE-SI18TK-M18x2.5-I</t>
  </si>
  <si>
    <t xml:space="preserve">RE-SI20PK-M20x1.5-I</t>
  </si>
  <si>
    <t xml:space="preserve">SI20P/K</t>
  </si>
  <si>
    <t xml:space="preserve">RE-SI20TK-M20x1.5-I</t>
  </si>
  <si>
    <t xml:space="preserve">SI20T/K</t>
  </si>
  <si>
    <t xml:space="preserve">RE-SI20TK-M20x2-I</t>
  </si>
  <si>
    <t xml:space="preserve">RE-SI20TK-M20x2.5-I</t>
  </si>
  <si>
    <t xml:space="preserve">RE-SI20TK-M20x2.5-I-C</t>
  </si>
  <si>
    <t xml:space="preserve">RE-SI22TK-M22x1.5-I</t>
  </si>
  <si>
    <t xml:space="preserve">SI22T/K</t>
  </si>
  <si>
    <t xml:space="preserve">RE-SI25TK-M24x1.5-I</t>
  </si>
  <si>
    <t xml:space="preserve">SI25T/K</t>
  </si>
  <si>
    <t xml:space="preserve">RE-SI25TK-M24x2-I</t>
  </si>
  <si>
    <t xml:space="preserve">RE-SI28TK-M27x2-I</t>
  </si>
  <si>
    <t xml:space="preserve">SI28T/K</t>
  </si>
  <si>
    <t xml:space="preserve">RE-SI30TK-M27x2-I-F</t>
  </si>
  <si>
    <t xml:space="preserve">SI30T/K</t>
  </si>
  <si>
    <t xml:space="preserve">RE-SI30TK-M30x1.5-I</t>
  </si>
  <si>
    <t xml:space="preserve">RE-SI30TK-M30x2-I</t>
  </si>
  <si>
    <t xml:space="preserve">RE-SI35TK-M36x2-I</t>
  </si>
  <si>
    <t xml:space="preserve">SI35T/K</t>
  </si>
  <si>
    <t xml:space="preserve">RE-SI35TK-M36x3-I-C</t>
  </si>
  <si>
    <t xml:space="preserve">RE-SI3PK-M3x0.5-I</t>
  </si>
  <si>
    <t xml:space="preserve">SI3P/K</t>
  </si>
  <si>
    <t xml:space="preserve">RE-SI40TK-M42x2-I</t>
  </si>
  <si>
    <t xml:space="preserve">SI40T/K</t>
  </si>
  <si>
    <t xml:space="preserve">RE-SI4PK-M4x0.7-I</t>
  </si>
  <si>
    <t xml:space="preserve">SI4P/K</t>
  </si>
  <si>
    <t xml:space="preserve">RE-SI50TK-M48x2-I</t>
  </si>
  <si>
    <t xml:space="preserve">SI50T/K</t>
  </si>
  <si>
    <t xml:space="preserve">RE-SI5PK-M5x0.8-I</t>
  </si>
  <si>
    <t xml:space="preserve">SI5P/K</t>
  </si>
  <si>
    <t xml:space="preserve">RE-SI5TK-M5x0.8-CP-I</t>
  </si>
  <si>
    <t xml:space="preserve">SI5T/K</t>
  </si>
  <si>
    <t xml:space="preserve">brass-plated ring Female thread RH</t>
  </si>
  <si>
    <t xml:space="preserve">RE-SI5TK-M5x0.8-R-CP-I</t>
  </si>
  <si>
    <t xml:space="preserve">Reinforced brass-plated ring Female thread RH</t>
  </si>
  <si>
    <t xml:space="preserve">RE-SI5TK-M5x0.8-R-CU-I</t>
  </si>
  <si>
    <t xml:space="preserve">Reinforced brass ring Female thread RH</t>
  </si>
  <si>
    <t xml:space="preserve">RE-SI6PK-M6x1-I</t>
  </si>
  <si>
    <t xml:space="preserve">SI6P/K</t>
  </si>
  <si>
    <t xml:space="preserve">RE-SI6TK-M6x1-I</t>
  </si>
  <si>
    <t xml:space="preserve">SI6T/K</t>
  </si>
  <si>
    <t xml:space="preserve">RE-SI8PK-M8x1.25-I</t>
  </si>
  <si>
    <t xml:space="preserve">SI8P/K</t>
  </si>
  <si>
    <t xml:space="preserve">RE-SI8TK-M8x1.25-I</t>
  </si>
  <si>
    <t xml:space="preserve">SI8T/K</t>
  </si>
  <si>
    <t xml:space="preserve">RE-SIL10PK-M10x1.5-I-LH</t>
  </si>
  <si>
    <t xml:space="preserve">SIL10P/K</t>
  </si>
  <si>
    <t xml:space="preserve">RE-SIL10TK-M10x1.25-I-F-LH</t>
  </si>
  <si>
    <t xml:space="preserve">SIL10T/K</t>
  </si>
  <si>
    <t xml:space="preserve">Female thread fine LH</t>
  </si>
  <si>
    <t xml:space="preserve">RE-SIL10TK-M10x1.5-I-LH</t>
  </si>
  <si>
    <t xml:space="preserve">RE-SIL12PK-M12x1.75-I-LH</t>
  </si>
  <si>
    <t xml:space="preserve">SIL12P/K</t>
  </si>
  <si>
    <t xml:space="preserve">RE-SIL12TK-M12x1.25-I-F-LH</t>
  </si>
  <si>
    <t xml:space="preserve">SIL12T/K</t>
  </si>
  <si>
    <t xml:space="preserve">RE-SIL12TK-M12x1.75-I-LH</t>
  </si>
  <si>
    <t xml:space="preserve">RE-SIL14PK-M14x2-I-LH</t>
  </si>
  <si>
    <t xml:space="preserve">SIL14P/K</t>
  </si>
  <si>
    <t xml:space="preserve">RE-SIL14TK-M14x1.5-I-F-LH</t>
  </si>
  <si>
    <t xml:space="preserve">SIL14T/K</t>
  </si>
  <si>
    <t xml:space="preserve">RE-SIL14TK-M14x2-I-LH</t>
  </si>
  <si>
    <t xml:space="preserve">RE-SIL16PK-M16x2-I-LH</t>
  </si>
  <si>
    <t xml:space="preserve">SIL16P/K</t>
  </si>
  <si>
    <t xml:space="preserve">RE-SIL16TK-M16x1.5-I-F-LH</t>
  </si>
  <si>
    <t xml:space="preserve">SIL16T/K</t>
  </si>
  <si>
    <t xml:space="preserve">RE-SIL16TK-M16x2-I-LH</t>
  </si>
  <si>
    <t xml:space="preserve">RE-SIL18PK-M18x1.5-I-LH</t>
  </si>
  <si>
    <t xml:space="preserve">SIL18P/K</t>
  </si>
  <si>
    <t xml:space="preserve">RE-SIL18TK-M18x1.5-I-LH</t>
  </si>
  <si>
    <t xml:space="preserve">SIL18T/K</t>
  </si>
  <si>
    <t xml:space="preserve">RE-SIL18TK-M18x2.5-I-LH</t>
  </si>
  <si>
    <t xml:space="preserve">RE-SIL20PK-M20x1.5-I-LH</t>
  </si>
  <si>
    <t xml:space="preserve">SIL20P/K</t>
  </si>
  <si>
    <t xml:space="preserve">RE-SIL20TK-M20x1.5-I-LH</t>
  </si>
  <si>
    <t xml:space="preserve">SIL20T/K</t>
  </si>
  <si>
    <t xml:space="preserve">RE-SIL20TK-M20x2-I-LH</t>
  </si>
  <si>
    <t xml:space="preserve">RE-SIL20TK-M20x2.5-I-C-LH</t>
  </si>
  <si>
    <t xml:space="preserve">Female thread coarse LH</t>
  </si>
  <si>
    <t xml:space="preserve">RE-SIL20TK-M20x2.5-I-LH</t>
  </si>
  <si>
    <t xml:space="preserve">RE-SIL22TK-M22x1.5-I-LH</t>
  </si>
  <si>
    <t xml:space="preserve">SIL22T/K</t>
  </si>
  <si>
    <t xml:space="preserve">RE-SIL25TK-M24x1.5-I-LH</t>
  </si>
  <si>
    <t xml:space="preserve">SIL25T/K</t>
  </si>
  <si>
    <t xml:space="preserve">RE-SIL25TK-M24x2-I-LH</t>
  </si>
  <si>
    <t xml:space="preserve">RE-SIL28TK-M27x2-I-LH</t>
  </si>
  <si>
    <t xml:space="preserve">SIL28T/K</t>
  </si>
  <si>
    <t xml:space="preserve">RE-SIL30TK-M27x2-I-F-LH</t>
  </si>
  <si>
    <t xml:space="preserve">SIL30T/K</t>
  </si>
  <si>
    <t xml:space="preserve">RE-SIL30TK-M30x1.5-I-LH</t>
  </si>
  <si>
    <t xml:space="preserve">RE-SIL30TK-M30x2-I-LH</t>
  </si>
  <si>
    <t xml:space="preserve">RE-SIL35TK-M36x2-I-LH</t>
  </si>
  <si>
    <t xml:space="preserve">SIL35T/K</t>
  </si>
  <si>
    <t xml:space="preserve">RE-SIL35TK-M36x3-I-C-LH</t>
  </si>
  <si>
    <t xml:space="preserve">RE-SIL3PK-M3x0.5-I-LH</t>
  </si>
  <si>
    <t xml:space="preserve">SIL3P/K</t>
  </si>
  <si>
    <t xml:space="preserve">RE-SIL40TK-M42x2-I-LH</t>
  </si>
  <si>
    <t xml:space="preserve">SIL40T/K</t>
  </si>
  <si>
    <t xml:space="preserve">RE-SIL4PK-M4x0.7-I-LH</t>
  </si>
  <si>
    <t xml:space="preserve">SIL4P/K</t>
  </si>
  <si>
    <t xml:space="preserve">RE-SIL50TK-M48x2-I-LH</t>
  </si>
  <si>
    <t xml:space="preserve">SIL50T/K</t>
  </si>
  <si>
    <t xml:space="preserve">RE-SIL5PK-M5x0.8-I-LH</t>
  </si>
  <si>
    <t xml:space="preserve">SIL5P/K</t>
  </si>
  <si>
    <t xml:space="preserve">RE-SIL5TK-M5x0.8-I-LH</t>
  </si>
  <si>
    <t xml:space="preserve">SIL5T/K</t>
  </si>
  <si>
    <t xml:space="preserve">RE-SIL6PK-M6x1-I-LH</t>
  </si>
  <si>
    <t xml:space="preserve">SIL6P/K</t>
  </si>
  <si>
    <t xml:space="preserve">RE-SIL6TK-M6x1-I-LH</t>
  </si>
  <si>
    <t xml:space="preserve">SIL6T/K</t>
  </si>
  <si>
    <t xml:space="preserve">RE-SIL8PK-M8x1.25-I-LH</t>
  </si>
  <si>
    <t xml:space="preserve">SIL8P/K</t>
  </si>
  <si>
    <t xml:space="preserve">RE-SIL8TK-M8x1.25-I-LH</t>
  </si>
  <si>
    <t xml:space="preserve">SIL8T/K</t>
  </si>
  <si>
    <t xml:space="preserve">Ball Joint Rod End (SQ Straight / Bent, CS)  [Rod Ends]</t>
  </si>
  <si>
    <t xml:space="preserve">CS10</t>
  </si>
  <si>
    <t xml:space="preserve">BJ-CS10-M6x1</t>
  </si>
  <si>
    <t xml:space="preserve">BJ-CS10-M6x1-DC</t>
  </si>
  <si>
    <t xml:space="preserve">Dust-proof RH</t>
  </si>
  <si>
    <t xml:space="preserve">BJ-CS10-M6x1-P4</t>
  </si>
  <si>
    <t xml:space="preserve">BJ-CS10L-M6x1-DC-LH</t>
  </si>
  <si>
    <t xml:space="preserve">CS10L</t>
  </si>
  <si>
    <t xml:space="preserve">Dust-proof LH</t>
  </si>
  <si>
    <t xml:space="preserve">BJ-CS10L-M6x1-LH</t>
  </si>
  <si>
    <t xml:space="preserve">BJ-CS13-M8x1.25</t>
  </si>
  <si>
    <t xml:space="preserve">CS13</t>
  </si>
  <si>
    <t xml:space="preserve">BJ-CS13-M8x1.25-DC</t>
  </si>
  <si>
    <t xml:space="preserve">BJ-CS13L-M8x1.25-DC-LH</t>
  </si>
  <si>
    <t xml:space="preserve">CS13L</t>
  </si>
  <si>
    <t xml:space="preserve">BJ-CS13L-M8x1.25-LH</t>
  </si>
  <si>
    <t xml:space="preserve">BJ-CS16-M10x1.5</t>
  </si>
  <si>
    <t xml:space="preserve">CS16</t>
  </si>
  <si>
    <t xml:space="preserve">BJ-CS16-M10x1.5-DC</t>
  </si>
  <si>
    <t xml:space="preserve">BJ-CS16-M12x1.75</t>
  </si>
  <si>
    <t xml:space="preserve">BJ-CS16-M12x1.75-DC</t>
  </si>
  <si>
    <t xml:space="preserve">BJ-CS16L-M10x1.5-DC-LH</t>
  </si>
  <si>
    <t xml:space="preserve">CS16L</t>
  </si>
  <si>
    <t xml:space="preserve">BJ-CS16L-M10x1.5-LH</t>
  </si>
  <si>
    <t xml:space="preserve">BJ-CS16L-M12x1.75-DC-LH</t>
  </si>
  <si>
    <t xml:space="preserve">BJ-CS16L-M12x1.75-LH</t>
  </si>
  <si>
    <t xml:space="preserve">BJ-CS19-M14x1.5</t>
  </si>
  <si>
    <t xml:space="preserve">CS19</t>
  </si>
  <si>
    <t xml:space="preserve">BJ-CS19-M14x1.5-DC</t>
  </si>
  <si>
    <t xml:space="preserve">BJ-CS19-M14x2</t>
  </si>
  <si>
    <t xml:space="preserve">BJ-CS19-M14x2-DC</t>
  </si>
  <si>
    <t xml:space="preserve">BJ-CS19-M16x1.5</t>
  </si>
  <si>
    <t xml:space="preserve">BJ-CS19-M16x1.5-DC</t>
  </si>
  <si>
    <t xml:space="preserve">BJ-CS19-M16x2</t>
  </si>
  <si>
    <t xml:space="preserve">BJ-CS19-M16x2-DC</t>
  </si>
  <si>
    <t xml:space="preserve">BJ-CS19L-M14x1.5-DC-LH</t>
  </si>
  <si>
    <t xml:space="preserve">CS19L</t>
  </si>
  <si>
    <t xml:space="preserve">BJ-CS19L-M14x1.5-LH</t>
  </si>
  <si>
    <t xml:space="preserve">BJ-CS19L-M14x2-DC-LH</t>
  </si>
  <si>
    <t xml:space="preserve">BJ-CS19L-M14x2-LH</t>
  </si>
  <si>
    <t xml:space="preserve">BJ-CS19L-M16x1.5-DC-LH</t>
  </si>
  <si>
    <t xml:space="preserve">BJ-CS19L-M16x1.5-LH</t>
  </si>
  <si>
    <t xml:space="preserve">BJ-CS19L-M16x2-DC-LH</t>
  </si>
  <si>
    <t xml:space="preserve">BJ-CS19L-M16x2-LH</t>
  </si>
  <si>
    <t xml:space="preserve">BJ-CS22-M16x2</t>
  </si>
  <si>
    <t xml:space="preserve">CS22</t>
  </si>
  <si>
    <t xml:space="preserve">BJ-CS22L-M16x2-LH</t>
  </si>
  <si>
    <t xml:space="preserve">CS22L</t>
  </si>
  <si>
    <t xml:space="preserve">BJ-CS8-M5x0.8</t>
  </si>
  <si>
    <t xml:space="preserve">CS8</t>
  </si>
  <si>
    <t xml:space="preserve">BJ-CS8-M5x0.8-DC</t>
  </si>
  <si>
    <t xml:space="preserve">BJ-CS8L-M5x0.8-DC-LH</t>
  </si>
  <si>
    <t xml:space="preserve">CS8L</t>
  </si>
  <si>
    <t xml:space="preserve">BJ-CS8L-M5x0.8-LH</t>
  </si>
  <si>
    <t xml:space="preserve">BJ-SQ10RS-1-M10x1.5-B</t>
  </si>
  <si>
    <t xml:space="preserve">SQ10RS-1</t>
  </si>
  <si>
    <t xml:space="preserve">Bent shank RH</t>
  </si>
  <si>
    <t xml:space="preserve">BJ-SQ10RS-M10x1.25-B</t>
  </si>
  <si>
    <t xml:space="preserve">SQ10RS</t>
  </si>
  <si>
    <t xml:space="preserve">BJ-SQ12RS-1-M12x1.75-B</t>
  </si>
  <si>
    <t xml:space="preserve">SQ12RS-1</t>
  </si>
  <si>
    <t xml:space="preserve">BJ-SQ12RS-M12x1.25-B</t>
  </si>
  <si>
    <t xml:space="preserve">SQ12RS</t>
  </si>
  <si>
    <t xml:space="preserve">BJ-SQ14RS-1-M14x2-B</t>
  </si>
  <si>
    <t xml:space="preserve">SQ14RS-1</t>
  </si>
  <si>
    <t xml:space="preserve">BJ-SQ14RS-M14x1.5-B</t>
  </si>
  <si>
    <t xml:space="preserve">SQ14RS</t>
  </si>
  <si>
    <t xml:space="preserve">BJ-SQ16RS-1-M16x2-B</t>
  </si>
  <si>
    <t xml:space="preserve">SQ16RS-1</t>
  </si>
  <si>
    <t xml:space="preserve">BJ-SQ16RS-M16x1.5-B</t>
  </si>
  <si>
    <t xml:space="preserve">SQ16RS</t>
  </si>
  <si>
    <t xml:space="preserve">BJ-SQ18RS-M18x1.5-B</t>
  </si>
  <si>
    <t xml:space="preserve">SQ18RS</t>
  </si>
  <si>
    <t xml:space="preserve">BJ-SQ20RS-M20x1.5-B</t>
  </si>
  <si>
    <t xml:space="preserve">SQ20RS</t>
  </si>
  <si>
    <t xml:space="preserve">BJ-SQ22RS-M22x1.5-B</t>
  </si>
  <si>
    <t xml:space="preserve">SQ22RS</t>
  </si>
  <si>
    <t xml:space="preserve">BJ-SQ5RS-M5x0.8-B</t>
  </si>
  <si>
    <t xml:space="preserve">SQ5RS</t>
  </si>
  <si>
    <t xml:space="preserve">BJ-SQ6RS-M6x1-B</t>
  </si>
  <si>
    <t xml:space="preserve">SQ6RS</t>
  </si>
  <si>
    <t xml:space="preserve">BJ-SQ8RS-M8x1.25-B</t>
  </si>
  <si>
    <t xml:space="preserve">SQ8RS</t>
  </si>
  <si>
    <t xml:space="preserve">BJ-SQL10RS-1-M10x1.5-B-LH</t>
  </si>
  <si>
    <t xml:space="preserve">SQL10RS-1</t>
  </si>
  <si>
    <t xml:space="preserve">Bent shank LH</t>
  </si>
  <si>
    <t xml:space="preserve">BJ-SQL10RS-M10x1.25-B-LH</t>
  </si>
  <si>
    <t xml:space="preserve">SQL10RS</t>
  </si>
  <si>
    <t xml:space="preserve">BJ-SQL12RS-1-M12x1.75-B-LH</t>
  </si>
  <si>
    <t xml:space="preserve">SQL12RS-1</t>
  </si>
  <si>
    <t xml:space="preserve">BJ-SQL12RS-M12x1.25-B-LH</t>
  </si>
  <si>
    <t xml:space="preserve">SQL12RS</t>
  </si>
  <si>
    <t xml:space="preserve">BJ-SQL14RS-1-M14x2-B-LH</t>
  </si>
  <si>
    <t xml:space="preserve">SQL14RS-1</t>
  </si>
  <si>
    <t xml:space="preserve">BJ-SQL14RS-M14x1.5-B-LH</t>
  </si>
  <si>
    <t xml:space="preserve">SQL14RS</t>
  </si>
  <si>
    <t xml:space="preserve">BJ-SQL16RS-1-M16x2-B-LH</t>
  </si>
  <si>
    <t xml:space="preserve">SQL16RS-1</t>
  </si>
  <si>
    <t xml:space="preserve">BJ-SQL16RS-M16x1.5-B-LH</t>
  </si>
  <si>
    <t xml:space="preserve">SQL16RS</t>
  </si>
  <si>
    <t xml:space="preserve">BJ-SQL18RS-M18x1.5-B-LH</t>
  </si>
  <si>
    <t xml:space="preserve">SQL18RS</t>
  </si>
  <si>
    <t xml:space="preserve">BJ-SQL20RS-M20x1.5-B-LH</t>
  </si>
  <si>
    <t xml:space="preserve">SQL20RS</t>
  </si>
  <si>
    <t xml:space="preserve">BJ-SQL22RS-M22x1.5-B-LH</t>
  </si>
  <si>
    <t xml:space="preserve">SQL22RS</t>
  </si>
  <si>
    <t xml:space="preserve">BJ-SQL5RS-M5x0.8-B-LH</t>
  </si>
  <si>
    <t xml:space="preserve">SQL5RS</t>
  </si>
  <si>
    <t xml:space="preserve">BJ-SQL6RS-M6x1-B-LH</t>
  </si>
  <si>
    <t xml:space="preserve">SQL6RS</t>
  </si>
  <si>
    <t xml:space="preserve">BJ-SQL8RS-M8x1.25-B-LH</t>
  </si>
  <si>
    <t xml:space="preserve">SQL8RS</t>
  </si>
  <si>
    <t xml:space="preserve">BJ-SQZ10RS-1-M10x1.5-Z</t>
  </si>
  <si>
    <t xml:space="preserve">SQZ10RS-1</t>
  </si>
  <si>
    <t xml:space="preserve">Straight shank RH</t>
  </si>
  <si>
    <t xml:space="preserve">BJ-SQZ10RS-M10x1.25-Z</t>
  </si>
  <si>
    <t xml:space="preserve">SQZ10RS</t>
  </si>
  <si>
    <t xml:space="preserve">BJ-SQZ12RS-1-M12x1.75-Z</t>
  </si>
  <si>
    <t xml:space="preserve">SQZ12RS-1</t>
  </si>
  <si>
    <t xml:space="preserve">BJ-SQZ14RS-1-M14x2-Z</t>
  </si>
  <si>
    <t xml:space="preserve">SQZ14RS-1</t>
  </si>
  <si>
    <t xml:space="preserve">BJ-SQZ14RS-M14x1.5-Z</t>
  </si>
  <si>
    <t xml:space="preserve">SQZ14RS</t>
  </si>
  <si>
    <t xml:space="preserve">BJ-SQZ16RS-1-M16x2-Z</t>
  </si>
  <si>
    <t xml:space="preserve">SQZ16RS-1</t>
  </si>
  <si>
    <t xml:space="preserve">BJ-SQZ16RS-M16x1.5-Z</t>
  </si>
  <si>
    <t xml:space="preserve">SQZ16RS</t>
  </si>
  <si>
    <t xml:space="preserve">BJ-SQZ18RS-M18x1.5-Z</t>
  </si>
  <si>
    <t xml:space="preserve">SQZ18RS</t>
  </si>
  <si>
    <t xml:space="preserve">BJ-SQZ20C-M20x1.5-Z</t>
  </si>
  <si>
    <t xml:space="preserve">SQZ20C</t>
  </si>
  <si>
    <t xml:space="preserve">BJ-SQZ20RS-M20x1.5-Z</t>
  </si>
  <si>
    <t xml:space="preserve">SQZ20RS</t>
  </si>
  <si>
    <t xml:space="preserve">BJ-SQZ22C-M22x1.5-Z</t>
  </si>
  <si>
    <t xml:space="preserve">SQZ22C</t>
  </si>
  <si>
    <t xml:space="preserve">BJ-SQZ22RS-M22x1.5-Z</t>
  </si>
  <si>
    <t xml:space="preserve">SQZ22RS</t>
  </si>
  <si>
    <t xml:space="preserve">BJ-SQZ5RS-M5x0.8-Z</t>
  </si>
  <si>
    <t xml:space="preserve">SQZ5RS</t>
  </si>
  <si>
    <t xml:space="preserve">BJ-SQZ6RS-M6x1-Z</t>
  </si>
  <si>
    <t xml:space="preserve">SQZ6RS</t>
  </si>
  <si>
    <t xml:space="preserve">BJ-SQZ8RS-M8x1.25-Z</t>
  </si>
  <si>
    <t xml:space="preserve">SQZ8RS</t>
  </si>
  <si>
    <t xml:space="preserve">BJ-SQZL10RS-1-M10x1.5-Z-LH</t>
  </si>
  <si>
    <t xml:space="preserve">SQZL10RS-1</t>
  </si>
  <si>
    <t xml:space="preserve">Straight shank LH</t>
  </si>
  <si>
    <t xml:space="preserve">BJ-SQZL10RS-M10x1.25-Z-LH</t>
  </si>
  <si>
    <t xml:space="preserve">SQZL10RS</t>
  </si>
  <si>
    <t xml:space="preserve">BJ-SQZL12RS-1-M12x1.75-Z-LH</t>
  </si>
  <si>
    <t xml:space="preserve">SQZL12RS-1</t>
  </si>
  <si>
    <t xml:space="preserve">BJ-SQZL12RS-M12x1.25-Z-LH</t>
  </si>
  <si>
    <t xml:space="preserve">SQZL12RS</t>
  </si>
  <si>
    <t xml:space="preserve">BJ-SQZL14RS-1-M14x2-Z-LH</t>
  </si>
  <si>
    <t xml:space="preserve">SQZL14RS-1</t>
  </si>
  <si>
    <t xml:space="preserve">BJ-SQZL14RS-M14x1.5-Z-LH</t>
  </si>
  <si>
    <t xml:space="preserve">SQZL14RS</t>
  </si>
  <si>
    <t xml:space="preserve">BJ-SQZL16RS-1-M16x2-Z-LH</t>
  </si>
  <si>
    <t xml:space="preserve">SQZL16RS-1</t>
  </si>
  <si>
    <t xml:space="preserve">BJ-SQZL16RS-M16x1.5-Z-LH</t>
  </si>
  <si>
    <t xml:space="preserve">SQZL16RS</t>
  </si>
  <si>
    <t xml:space="preserve">BJ-SQZL18RS-M18x1.5-Z-LH</t>
  </si>
  <si>
    <t xml:space="preserve">SQZL18RS</t>
  </si>
  <si>
    <t xml:space="preserve">BJ-SQZL20RS-M20x1.5-Z-LH</t>
  </si>
  <si>
    <t xml:space="preserve">SQZL20RS</t>
  </si>
  <si>
    <t xml:space="preserve">BJ-SQZL22RS-M22x1.5-Z-LH</t>
  </si>
  <si>
    <t xml:space="preserve">SQZL22RS</t>
  </si>
  <si>
    <t xml:space="preserve">BJ-SQZL5RS-M5x0.8-Z-LH</t>
  </si>
  <si>
    <t xml:space="preserve">SQZL5RS</t>
  </si>
  <si>
    <t xml:space="preserve">BJ-SQZL6RS-M6x1-Z-LH</t>
  </si>
  <si>
    <t xml:space="preserve">SQZL6RS</t>
  </si>
  <si>
    <t xml:space="preserve">BJ-SQZL8RS-M8x1.25-Z-LH</t>
  </si>
  <si>
    <t xml:space="preserve">SQZL8RS</t>
  </si>
  <si>
    <t xml:space="preserve">Self-Lubricating Spherical Plain Bearing GE4C  [Rod Ends]</t>
  </si>
  <si>
    <t xml:space="preserve">GE4C</t>
  </si>
  <si>
    <t xml:space="preserve">RL-048-GE4C</t>
  </si>
  <si>
    <t xml:space="preserve">RL-048-GE4C-DF</t>
  </si>
  <si>
    <t xml:space="preserve">GE4C slotted</t>
  </si>
  <si>
    <t xml:space="preserve">POM Coated Pulley Bearing (R / Flat / Arc)  [Coated Pulley Bearings]</t>
  </si>
  <si>
    <t xml:space="preserve">Wheel Profile</t>
  </si>
  <si>
    <t xml:space="preserve">Bearing</t>
  </si>
  <si>
    <t xml:space="preserve">5x18.6x5</t>
  </si>
  <si>
    <t xml:space="preserve">Arc spherical</t>
  </si>
  <si>
    <t xml:space="preserve">Shielded bearing</t>
  </si>
  <si>
    <t xml:space="preserve">PW-A-BK-5x18.6x5-ZZ</t>
  </si>
  <si>
    <t xml:space="preserve">PW-A-BK-5x19.2x6.3-ZZ</t>
  </si>
  <si>
    <t xml:space="preserve">5x19.2x6.3</t>
  </si>
  <si>
    <t xml:space="preserve">PW-A-BK-5x21.5x7-ZZ</t>
  </si>
  <si>
    <t xml:space="preserve">5x21.5x7</t>
  </si>
  <si>
    <t xml:space="preserve">PW-A-BK-5x22x7-ZZ</t>
  </si>
  <si>
    <t xml:space="preserve">5x22x7</t>
  </si>
  <si>
    <t xml:space="preserve">PW-A-BK-5x23x7-ZZ</t>
  </si>
  <si>
    <t xml:space="preserve">5x23x7</t>
  </si>
  <si>
    <t xml:space="preserve">PW-A-BK-6x27x8.5-ZZ</t>
  </si>
  <si>
    <t xml:space="preserve">6x27x8.5</t>
  </si>
  <si>
    <t xml:space="preserve">PW-A-BK-6x35x10.5-ZZ</t>
  </si>
  <si>
    <t xml:space="preserve">6x35x10.5</t>
  </si>
  <si>
    <t xml:space="preserve">PW-A-BK-8x29x10-ZZ</t>
  </si>
  <si>
    <t xml:space="preserve">8x29x10</t>
  </si>
  <si>
    <t xml:space="preserve">PW-A-BK-8x30x8.5-ZZ</t>
  </si>
  <si>
    <t xml:space="preserve">8x30x8.5</t>
  </si>
  <si>
    <t xml:space="preserve">PW-A-BK-8x32x11.7-ZZ</t>
  </si>
  <si>
    <t xml:space="preserve">8x32x11.7</t>
  </si>
  <si>
    <t xml:space="preserve">PW-A-TR-5x17x5.8-ZZ</t>
  </si>
  <si>
    <t xml:space="preserve">5x17x5.8</t>
  </si>
  <si>
    <t xml:space="preserve">PW-A-WH-4x13.6x5-ZZ</t>
  </si>
  <si>
    <t xml:space="preserve">4x13.6x5</t>
  </si>
  <si>
    <t xml:space="preserve">PW-A-WH-5x18.2x5-ZZ</t>
  </si>
  <si>
    <t xml:space="preserve">5x18.2x5</t>
  </si>
  <si>
    <t xml:space="preserve">PW-A-WH-5x18.5x5-ZZ</t>
  </si>
  <si>
    <t xml:space="preserve">5x18.5x5</t>
  </si>
  <si>
    <t xml:space="preserve">PW-A-WH-5x19.1x6.3-ZZ</t>
  </si>
  <si>
    <t xml:space="preserve">5x19.1x6.3</t>
  </si>
  <si>
    <t xml:space="preserve">PW-A-WH-5x19.2x6.3-ZZ</t>
  </si>
  <si>
    <t xml:space="preserve">PW-A-WH-5x20x5-ZZ</t>
  </si>
  <si>
    <t xml:space="preserve">5x20x5</t>
  </si>
  <si>
    <t xml:space="preserve">PW-A-WH-5x21.5x7-ZZ</t>
  </si>
  <si>
    <t xml:space="preserve">PW-A-WH-5x22x7-ZZ</t>
  </si>
  <si>
    <t xml:space="preserve">PW-A-WH-5x23x7-ZZ</t>
  </si>
  <si>
    <t xml:space="preserve">PW-A-WH-5x24x7-ZZ</t>
  </si>
  <si>
    <t xml:space="preserve">5x24x7</t>
  </si>
  <si>
    <t xml:space="preserve">PW-A-WH-5x25x6-RS</t>
  </si>
  <si>
    <t xml:space="preserve">5x25x6</t>
  </si>
  <si>
    <t xml:space="preserve">Rubber-sealed bearing</t>
  </si>
  <si>
    <t xml:space="preserve">PW-A-WH-5x25x6-ZZ</t>
  </si>
  <si>
    <t xml:space="preserve">PW-A-WH-5x25x7-ZZ</t>
  </si>
  <si>
    <t xml:space="preserve">5x25x7</t>
  </si>
  <si>
    <t xml:space="preserve">PW-A-WH-6x18x6-ZZ</t>
  </si>
  <si>
    <t xml:space="preserve">6x18x6</t>
  </si>
  <si>
    <t xml:space="preserve">PW-A-WH-6x19.2x6.3-ZZ</t>
  </si>
  <si>
    <t xml:space="preserve">6x19.2x6.3</t>
  </si>
  <si>
    <t xml:space="preserve">PW-A-WH-6x23x7-ZZ</t>
  </si>
  <si>
    <t xml:space="preserve">6x23x7</t>
  </si>
  <si>
    <t xml:space="preserve">PW-A-WH-6x24x7-ZZ</t>
  </si>
  <si>
    <t xml:space="preserve">6x24x7</t>
  </si>
  <si>
    <t xml:space="preserve">PW-A-WH-6x26x7-ZZ</t>
  </si>
  <si>
    <t xml:space="preserve">6x26x7</t>
  </si>
  <si>
    <t xml:space="preserve">PW-A-WH-6x27x8.5-ZZ</t>
  </si>
  <si>
    <t xml:space="preserve">PW-A-WH-6x28x8-ZZ</t>
  </si>
  <si>
    <t xml:space="preserve">6x28x8</t>
  </si>
  <si>
    <t xml:space="preserve">PW-A-WH-8x27.5x8-ZZ</t>
  </si>
  <si>
    <t xml:space="preserve">8x27.5x8</t>
  </si>
  <si>
    <t xml:space="preserve">PW-A-WH-8x28x10-RS</t>
  </si>
  <si>
    <t xml:space="preserve">8x28x10</t>
  </si>
  <si>
    <t xml:space="preserve">PW-A-WH-8x29.5x9-ZZ</t>
  </si>
  <si>
    <t xml:space="preserve">8x29.5x9</t>
  </si>
  <si>
    <t xml:space="preserve">PW-A-WH-8x29x10-ZZ</t>
  </si>
  <si>
    <t xml:space="preserve">PW-A-WH-8x30x10-ZZ</t>
  </si>
  <si>
    <t xml:space="preserve">8x30x10</t>
  </si>
  <si>
    <t xml:space="preserve">PW-A-WH-8x30x8.5-ZZ</t>
  </si>
  <si>
    <t xml:space="preserve">PW-A-WH-8x35x9.9-ZZ</t>
  </si>
  <si>
    <t xml:space="preserve">8x35x9.9</t>
  </si>
  <si>
    <t xml:space="preserve">PW-A-WH-8x40x10-ZZ</t>
  </si>
  <si>
    <t xml:space="preserve">8x40x10</t>
  </si>
  <si>
    <t xml:space="preserve">PW-P-WH-10x35x13</t>
  </si>
  <si>
    <t xml:space="preserve">10x35x13</t>
  </si>
  <si>
    <t xml:space="preserve">Flat</t>
  </si>
  <si>
    <t xml:space="preserve">Standard</t>
  </si>
  <si>
    <t xml:space="preserve">PW-P-WH-4x13x5</t>
  </si>
  <si>
    <t xml:space="preserve">4x13x5</t>
  </si>
  <si>
    <t xml:space="preserve">PW-P-WH-6x19.2x6.3</t>
  </si>
  <si>
    <t xml:space="preserve">PW-P-WH-6x30x9</t>
  </si>
  <si>
    <t xml:space="preserve">6x30x9</t>
  </si>
  <si>
    <t xml:space="preserve">PW-R-BK-6x22.5x7</t>
  </si>
  <si>
    <t xml:space="preserve">6x22.5x7</t>
  </si>
  <si>
    <t xml:space="preserve">R-type spherical</t>
  </si>
  <si>
    <t xml:space="preserve">PW-R-WH-5x23.7x6.8</t>
  </si>
  <si>
    <t xml:space="preserve">5x23.7x6.8</t>
  </si>
  <si>
    <t xml:space="preserve">PW-R-WH-6x22.5x7</t>
  </si>
  <si>
    <t xml:space="preserve">PW-R-WH-6x26.5x7</t>
  </si>
  <si>
    <t xml:space="preserve">6x26.5x7</t>
  </si>
  <si>
    <t xml:space="preserve">PW-R-WH-6x26x7.5</t>
  </si>
  <si>
    <t xml:space="preserve">6x26x7.5</t>
  </si>
  <si>
    <t xml:space="preserve">PW-R-WH-6x28x8</t>
  </si>
  <si>
    <t xml:space="preserve">304 Stainless Drilled &amp; Tapped Ball  [Ball Bearings]</t>
  </si>
  <si>
    <t xml:space="preserve">RL-027</t>
  </si>
  <si>
    <t xml:space="preserve">304 Steel Ball Flanged Linear Bearing LMH8GA  [Ball Bearings]</t>
  </si>
  <si>
    <t xml:space="preserve">RL-003</t>
  </si>
  <si>
    <t xml:space="preserve">420 Steel Ball Flanged Linear Bearing LMH8GA  [Ball Bearings]</t>
  </si>
  <si>
    <t xml:space="preserve">RL-002</t>
  </si>
  <si>
    <t xml:space="preserve">PEEK / Zirconia Deep Groove Bearing 6001 / 6003  [Ball Bearings]</t>
  </si>
  <si>
    <t xml:space="preserve">6001</t>
  </si>
  <si>
    <t xml:space="preserve">12x28x8</t>
  </si>
  <si>
    <t xml:space="preserve">RL-053-12x28x8-6001</t>
  </si>
  <si>
    <t xml:space="preserve">RL-053-17x35x10-6003</t>
  </si>
  <si>
    <t xml:space="preserve">6003</t>
  </si>
  <si>
    <t xml:space="preserve">17x35x10</t>
  </si>
  <si>
    <t xml:space="preserve">POM Plastic Bearing (608 / 626 / 6000)  [Ball Bearings]</t>
  </si>
  <si>
    <t xml:space="preserve">6800</t>
  </si>
  <si>
    <t xml:space="preserve">Single seal</t>
  </si>
  <si>
    <t xml:space="preserve">10x19x5</t>
  </si>
  <si>
    <t xml:space="preserve">RL-020-10x19x5-DF-6800</t>
  </si>
  <si>
    <t xml:space="preserve">RL-020-10x26x8-DF-6000</t>
  </si>
  <si>
    <t xml:space="preserve">6000</t>
  </si>
  <si>
    <t xml:space="preserve">10x26x8</t>
  </si>
  <si>
    <t xml:space="preserve">RL-020-10x26x8-SF-6000</t>
  </si>
  <si>
    <t xml:space="preserve">Double seal</t>
  </si>
  <si>
    <t xml:space="preserve">RL-020-10x30x9-DF-6200</t>
  </si>
  <si>
    <t xml:space="preserve">6200</t>
  </si>
  <si>
    <t xml:space="preserve">10x30x9</t>
  </si>
  <si>
    <t xml:space="preserve">RL-020-12x28x8-DF-6001</t>
  </si>
  <si>
    <t xml:space="preserve">RL-020-12x32x10-DF-6201</t>
  </si>
  <si>
    <t xml:space="preserve">6201</t>
  </si>
  <si>
    <t xml:space="preserve">12x32x10</t>
  </si>
  <si>
    <t xml:space="preserve">RL-020-15x32x9-DF-6002</t>
  </si>
  <si>
    <t xml:space="preserve">6002</t>
  </si>
  <si>
    <t xml:space="preserve">15x32x9</t>
  </si>
  <si>
    <t xml:space="preserve">RL-020-15x35x11-DF-6202</t>
  </si>
  <si>
    <t xml:space="preserve">6202</t>
  </si>
  <si>
    <t xml:space="preserve">15x35x11</t>
  </si>
  <si>
    <t xml:space="preserve">RL-020-17x40x12-DF-6203</t>
  </si>
  <si>
    <t xml:space="preserve">6203</t>
  </si>
  <si>
    <t xml:space="preserve">17x40x12</t>
  </si>
  <si>
    <t xml:space="preserve">RL-020-20x42x12-KS-6004</t>
  </si>
  <si>
    <t xml:space="preserve">6004</t>
  </si>
  <si>
    <t xml:space="preserve">Open</t>
  </si>
  <si>
    <t xml:space="preserve">20x42x12</t>
  </si>
  <si>
    <t xml:space="preserve">RL-020-20x47x14-DF-6204</t>
  </si>
  <si>
    <t xml:space="preserve">6204</t>
  </si>
  <si>
    <t xml:space="preserve">20x47x14</t>
  </si>
  <si>
    <t xml:space="preserve">RL-020-25x47x12-DF-6005</t>
  </si>
  <si>
    <t xml:space="preserve">6005</t>
  </si>
  <si>
    <t xml:space="preserve">25x47x12</t>
  </si>
  <si>
    <t xml:space="preserve">RL-020-6x19x6-DF-626</t>
  </si>
  <si>
    <t xml:space="preserve">6x19x6</t>
  </si>
  <si>
    <t xml:space="preserve">RL-020-8x16x5-DF-688</t>
  </si>
  <si>
    <t xml:space="preserve">688</t>
  </si>
  <si>
    <t xml:space="preserve">8x16x5</t>
  </si>
  <si>
    <t xml:space="preserve">RL-020-8x16x5-SF-688</t>
  </si>
  <si>
    <t xml:space="preserve">RL-020-8x22x7-DF-608</t>
  </si>
  <si>
    <t xml:space="preserve">608</t>
  </si>
  <si>
    <t xml:space="preserve">8x22x7</t>
  </si>
  <si>
    <t xml:space="preserve">U-Groove Plastic Bearing Pulley  [Ball Bearings]</t>
  </si>
  <si>
    <t xml:space="preserve">625ZZ</t>
  </si>
  <si>
    <t xml:space="preserve">5x20.6x6.3</t>
  </si>
  <si>
    <t xml:space="preserve">RL-012-5x20.6x6.3-WH-625ZZ</t>
  </si>
  <si>
    <t xml:space="preserve">RL-012-5x20x7-WH-TR</t>
  </si>
  <si>
    <t xml:space="preserve">5x20x7</t>
  </si>
  <si>
    <t xml:space="preserve">RL-012-5x21x7-WH-605ZZ</t>
  </si>
  <si>
    <t xml:space="preserve">605ZZ</t>
  </si>
  <si>
    <t xml:space="preserve">5x21x7</t>
  </si>
  <si>
    <t xml:space="preserve">RL-012-5x23x7-LS-625ZZ</t>
  </si>
  <si>
    <t xml:space="preserve">Green 625ZZ</t>
  </si>
  <si>
    <t xml:space="preserve">RL-012-5x23x7-WH-625ZZ</t>
  </si>
  <si>
    <t xml:space="preserve">RL-012-5x24.8x8.8-WH-625ZZ</t>
  </si>
  <si>
    <t xml:space="preserve">5x24.8x8.8</t>
  </si>
  <si>
    <t xml:space="preserve">RL-012-5x24x7-WH-625ZZ</t>
  </si>
  <si>
    <t xml:space="preserve">RL-012-5x24x8-CS</t>
  </si>
  <si>
    <t xml:space="preserve">Orange</t>
  </si>
  <si>
    <t xml:space="preserve">5x24x8</t>
  </si>
  <si>
    <t xml:space="preserve">RL-012-5x25x5.6-WH-625ZZ</t>
  </si>
  <si>
    <t xml:space="preserve">5x25x5.6</t>
  </si>
  <si>
    <t xml:space="preserve">RL-012-6x23x7.2-WH-696ZZ</t>
  </si>
  <si>
    <t xml:space="preserve">696ZZ</t>
  </si>
  <si>
    <t xml:space="preserve">6x23x7.2</t>
  </si>
  <si>
    <t xml:space="preserve">RL-012-6x32x10.2-WH-626ZZ</t>
  </si>
  <si>
    <t xml:space="preserve">626ZZ</t>
  </si>
  <si>
    <t xml:space="preserve">6x32x10.2</t>
  </si>
  <si>
    <t xml:space="preserve">RL-012-6x32x9.5-WH-626ZZ</t>
  </si>
  <si>
    <t xml:space="preserve">6x32x9.5</t>
  </si>
  <si>
    <t xml:space="preserve">RL-012-8x30x10-BK-608ZZ</t>
  </si>
  <si>
    <t xml:space="preserve">608ZZ</t>
  </si>
  <si>
    <t xml:space="preserve">RL-012-8x30x10-WH-628ZZ</t>
  </si>
  <si>
    <t xml:space="preserve">628ZZ</t>
  </si>
  <si>
    <t xml:space="preserve">RL-012-8x32x9-WH-628ZZ</t>
  </si>
  <si>
    <t xml:space="preserve">8x32x9</t>
  </si>
  <si>
    <t xml:space="preserve">RL-012-8x40x20.5-BK-608ZZ</t>
  </si>
  <si>
    <t xml:space="preserve">8x40x20.5</t>
  </si>
  <si>
    <t xml:space="preserve">Ball Transfer Unit, CY Series  [Ball Bearings]</t>
  </si>
  <si>
    <t xml:space="preserve">Stainless shell + nylon ball CY-25A</t>
  </si>
  <si>
    <t xml:space="preserve">RL-047-BXGWK-+NLQ-CY-25A</t>
  </si>
  <si>
    <t xml:space="preserve">RL-047-Q304SS-CY-12A</t>
  </si>
  <si>
    <t xml:space="preserve">All 304 Stainless CY-12A</t>
  </si>
  <si>
    <t xml:space="preserve">RL-047-Q304SS-CY-12B</t>
  </si>
  <si>
    <t xml:space="preserve">All 304 Stainless CY-12B</t>
  </si>
  <si>
    <t xml:space="preserve">RL-047-Q304SS-CY-15A</t>
  </si>
  <si>
    <t xml:space="preserve">All 304 Stainless CY-15A</t>
  </si>
  <si>
    <t xml:space="preserve">RL-047-Q304SS-CY-16B</t>
  </si>
  <si>
    <t xml:space="preserve">All 304 Stainless CY-16B</t>
  </si>
  <si>
    <t xml:space="preserve">RL-047-Q304SS-CY-19A</t>
  </si>
  <si>
    <t xml:space="preserve">All 304 Stainless CY-19A</t>
  </si>
  <si>
    <t xml:space="preserve">RL-047-Q304SS-CY-19B</t>
  </si>
  <si>
    <t xml:space="preserve">All 304 Stainless CY-19B</t>
  </si>
  <si>
    <t xml:space="preserve">RL-047-Q304SS-CY-22B</t>
  </si>
  <si>
    <t xml:space="preserve">All 304 Stainless CY-22B</t>
  </si>
  <si>
    <t xml:space="preserve">RL-047-Q304SS-CY-25A</t>
  </si>
  <si>
    <t xml:space="preserve">All 304 Stainless CY-25A</t>
  </si>
  <si>
    <t xml:space="preserve">RL-047-Q304SS-CY-25B</t>
  </si>
  <si>
    <t xml:space="preserve">All 304 Stainless CY-25B</t>
  </si>
  <si>
    <t xml:space="preserve">RL-047-Q304SS-CY-30A</t>
  </si>
  <si>
    <t xml:space="preserve">All 304 Stainless CY-30A</t>
  </si>
  <si>
    <t xml:space="preserve">RL-047-Q304SS-CY-30B</t>
  </si>
  <si>
    <t xml:space="preserve">All 304 Stainless CY-30B</t>
  </si>
  <si>
    <t xml:space="preserve">RL-047-Q304SS-CY-38A</t>
  </si>
  <si>
    <t xml:space="preserve">All 304 Stainless CY-38A</t>
  </si>
  <si>
    <t xml:space="preserve">RL-047-QTG-CY-12A</t>
  </si>
  <si>
    <t xml:space="preserve">All carbon steel CY-12A</t>
  </si>
  <si>
    <t xml:space="preserve">RL-047-QTG-CY-12B</t>
  </si>
  <si>
    <t xml:space="preserve">All carbon steel CY-12B</t>
  </si>
  <si>
    <t xml:space="preserve">RL-047-QTG-CY-15A</t>
  </si>
  <si>
    <t xml:space="preserve">All carbon steel CY-15A</t>
  </si>
  <si>
    <t xml:space="preserve">RL-047-QTG-CY-16B</t>
  </si>
  <si>
    <t xml:space="preserve">All carbon steel CY-16B</t>
  </si>
  <si>
    <t xml:space="preserve">RL-047-QTG-CY-19A</t>
  </si>
  <si>
    <t xml:space="preserve">All carbon steel CY-19A</t>
  </si>
  <si>
    <t xml:space="preserve">RL-047-QTG-CY-19B</t>
  </si>
  <si>
    <t xml:space="preserve">All carbon steel CY-19B</t>
  </si>
  <si>
    <t xml:space="preserve">RL-047-QTG-CY-22B</t>
  </si>
  <si>
    <t xml:space="preserve">All carbon steel CY-22B</t>
  </si>
  <si>
    <t xml:space="preserve">RL-047-QTG-CY-25A</t>
  </si>
  <si>
    <t xml:space="preserve">All carbon steel CY-25A</t>
  </si>
  <si>
    <t xml:space="preserve">RL-047-QTG-CY-25B</t>
  </si>
  <si>
    <t xml:space="preserve">All carbon steel CY-25B</t>
  </si>
  <si>
    <t xml:space="preserve">RL-047-QTG-CY-30A</t>
  </si>
  <si>
    <t xml:space="preserve">All carbon steel CY-30A</t>
  </si>
  <si>
    <t xml:space="preserve">RL-047-QTG-CY-30B</t>
  </si>
  <si>
    <t xml:space="preserve">All carbon steel CY-30B</t>
  </si>
  <si>
    <t xml:space="preserve">RL-047-QTG-CY-38A</t>
  </si>
  <si>
    <t xml:space="preserve">All carbon steel CY-38A</t>
  </si>
  <si>
    <t xml:space="preserve">RL-047-QTG-CY-38B</t>
  </si>
  <si>
    <t xml:space="preserve">All carbon steel CY-38B</t>
  </si>
  <si>
    <t xml:space="preserve">RL-047-TGWK-+NLQ-CY-12A</t>
  </si>
  <si>
    <t xml:space="preserve">Carbon steel shell + nylon ball CY-12A</t>
  </si>
  <si>
    <t xml:space="preserve">RL-047-TGWK-+NLQ-CY-12B</t>
  </si>
  <si>
    <t xml:space="preserve">Carbon steel shell + nylon ball CY-12B</t>
  </si>
  <si>
    <t xml:space="preserve">RL-047-TGWK-+NLQ-CY-15A</t>
  </si>
  <si>
    <t xml:space="preserve">Carbon steel shell + nylon ball CY-15A</t>
  </si>
  <si>
    <t xml:space="preserve">RL-047-TGWK-+NLQ-CY-16B</t>
  </si>
  <si>
    <t xml:space="preserve">Carbon steel shell + nylon ball CY-16B</t>
  </si>
  <si>
    <t xml:space="preserve">RL-047-TGWK-+NLQ-CY-19A</t>
  </si>
  <si>
    <t xml:space="preserve">Carbon steel shell + nylon ball CY-19A</t>
  </si>
  <si>
    <t xml:space="preserve">RL-047-TGWK-+NLQ-CY-19B</t>
  </si>
  <si>
    <t xml:space="preserve">Carbon steel shell + nylon ball CY-19B</t>
  </si>
  <si>
    <t xml:space="preserve">RL-047-TGWK-+NLQ-CY-22B</t>
  </si>
  <si>
    <t xml:space="preserve">Carbon steel shell + nylon ball CY-22B</t>
  </si>
  <si>
    <t xml:space="preserve">RL-047-TGWK-+NLQ-CY-25A</t>
  </si>
  <si>
    <t xml:space="preserve">Carbon steel shell + nylon ball CY-25A</t>
  </si>
  <si>
    <t xml:space="preserve">RL-047-TGWK-+NLQ-CY-25B</t>
  </si>
  <si>
    <t xml:space="preserve">Carbon steel shell + nylon ball CY-25B</t>
  </si>
  <si>
    <t xml:space="preserve">RL-047-TGWK-+NLQ-CY-30A</t>
  </si>
  <si>
    <t xml:space="preserve">Carbon steel shell + nylon ball CY-30A</t>
  </si>
  <si>
    <t xml:space="preserve">RL-047-TGWK-+NLQ-CY-30B</t>
  </si>
  <si>
    <t xml:space="preserve">Carbon steel shell + nylon ball CY-30B</t>
  </si>
  <si>
    <t xml:space="preserve">RL-047-TGWK-+NLQ-CY-38A</t>
  </si>
  <si>
    <t xml:space="preserve">Carbon steel shell + nylon ball CY-38A</t>
  </si>
  <si>
    <t xml:space="preserve">One-Way Bearing, CSK Series (keyed)  [Ball Bearings]</t>
  </si>
  <si>
    <t xml:space="preserve">keyways in/out CSK10PP</t>
  </si>
  <si>
    <t xml:space="preserve">RL-046-10x30x9-NWDC-CSK10PP</t>
  </si>
  <si>
    <t xml:space="preserve">RL-046-12x32x10-NWDC-CSK12PP</t>
  </si>
  <si>
    <t xml:space="preserve">keyways in/out CSK12PP</t>
  </si>
  <si>
    <t xml:space="preserve">RL-046-15x35x11-NWDC-CSK15PP</t>
  </si>
  <si>
    <t xml:space="preserve">keyways in/out CSK15PP</t>
  </si>
  <si>
    <t xml:space="preserve">RL-046-17x40x12-NWDC-CSK17PP</t>
  </si>
  <si>
    <t xml:space="preserve">keyways in/out CSK17PP</t>
  </si>
  <si>
    <t xml:space="preserve">RL-046-20x42x12-NWDC-CSK6004PP</t>
  </si>
  <si>
    <t xml:space="preserve">keyways in/out CSK6004PP</t>
  </si>
  <si>
    <t xml:space="preserve">RL-046-20x47x14-NWDC-CSK20PP</t>
  </si>
  <si>
    <t xml:space="preserve">keyways in/out CSK20PP</t>
  </si>
  <si>
    <t xml:space="preserve">RL-046-20x60x20-D49A</t>
  </si>
  <si>
    <t xml:space="preserve">D49A</t>
  </si>
  <si>
    <t xml:space="preserve">20x60x20</t>
  </si>
  <si>
    <t xml:space="preserve">RL-046-24x54x18-NWDC-CSK2418PP</t>
  </si>
  <si>
    <t xml:space="preserve">keyways in/out CSK24/18PP</t>
  </si>
  <si>
    <t xml:space="preserve">24x54x18</t>
  </si>
  <si>
    <t xml:space="preserve">RL-046-25x52x15-NWDC-CSK25PP</t>
  </si>
  <si>
    <t xml:space="preserve">keyways in/out CSK25PP</t>
  </si>
  <si>
    <t xml:space="preserve">25x52x15</t>
  </si>
  <si>
    <t xml:space="preserve">RL-046-25x62x17-NWDC-CSK6305PP</t>
  </si>
  <si>
    <t xml:space="preserve">keyways in/out CSK6305PP</t>
  </si>
  <si>
    <t xml:space="preserve">25x62x17</t>
  </si>
  <si>
    <t xml:space="preserve">RL-046-30x62x16-NWDC-CSK30PP</t>
  </si>
  <si>
    <t xml:space="preserve">keyways in/out CSK30PP</t>
  </si>
  <si>
    <t xml:space="preserve">30x62x16</t>
  </si>
  <si>
    <t xml:space="preserve">RL-046-35x62x17-NWDC-CSK356217PP</t>
  </si>
  <si>
    <t xml:space="preserve">keyways in/out CSK356217PP</t>
  </si>
  <si>
    <t xml:space="preserve">35x62x17</t>
  </si>
  <si>
    <t xml:space="preserve">RL-046-35x62x18.5-NWDC-CSK356218PP</t>
  </si>
  <si>
    <t xml:space="preserve">keyways in/out CSK356218PP</t>
  </si>
  <si>
    <t xml:space="preserve">35x62x18.5</t>
  </si>
  <si>
    <t xml:space="preserve">RL-046-35x72x17-NWDC-CSK35PP</t>
  </si>
  <si>
    <t xml:space="preserve">keyways in/out CSK35PP</t>
  </si>
  <si>
    <t xml:space="preserve">35x72x17</t>
  </si>
  <si>
    <t xml:space="preserve">RL-046-40x80x18-NWDC-CSK40PP</t>
  </si>
  <si>
    <t xml:space="preserve">keyways in/out CSK40PP</t>
  </si>
  <si>
    <t xml:space="preserve">40x80x18</t>
  </si>
  <si>
    <t xml:space="preserve">RL-046-40x80x22-NWDC-CSK40PP</t>
  </si>
  <si>
    <t xml:space="preserve">40x80x22</t>
  </si>
  <si>
    <t xml:space="preserve">RL-046-8x22x9-BDC-CSK8</t>
  </si>
  <si>
    <t xml:space="preserve">no keyway CSK8</t>
  </si>
  <si>
    <t xml:space="preserve">8x22x9</t>
  </si>
  <si>
    <t xml:space="preserve">RL-046-8x22x9-NWDC-CSK8PP</t>
  </si>
  <si>
    <t xml:space="preserve">keyways in/out CSK8PP</t>
  </si>
  <si>
    <t xml:space="preserve">Double-Row W-Groove Roller Bearing  [Ball Bearings]</t>
  </si>
  <si>
    <t xml:space="preserve">W3-2Z</t>
  </si>
  <si>
    <t xml:space="preserve">12x45.72x15.88</t>
  </si>
  <si>
    <t xml:space="preserve">RL-019-12x45.72x15.88-W3-2Z</t>
  </si>
  <si>
    <t xml:space="preserve">RL-019-9.525x30.73x11.1-W2-2RS</t>
  </si>
  <si>
    <t xml:space="preserve">W2-2RS</t>
  </si>
  <si>
    <t xml:space="preserve">9.525x30.73x11.1</t>
  </si>
  <si>
    <t xml:space="preserve">RL-019-9.525x30.73x11.1-W2-2Z</t>
  </si>
  <si>
    <t xml:space="preserve">W2-2Z</t>
  </si>
  <si>
    <t xml:space="preserve">Spherical OD Bearing, UC Series  [Ball Bearings]</t>
  </si>
  <si>
    <t xml:space="preserve">UC6000ZZ</t>
  </si>
  <si>
    <t xml:space="preserve">RL-016-10x26x8-UC6000ZZ</t>
  </si>
  <si>
    <t xml:space="preserve">RL-016-5x16x5-UC625ZZ</t>
  </si>
  <si>
    <t xml:space="preserve">UC625ZZ</t>
  </si>
  <si>
    <t xml:space="preserve">5x16x5</t>
  </si>
  <si>
    <t xml:space="preserve">RL-016-5x19x6-UC635ZZ</t>
  </si>
  <si>
    <t xml:space="preserve">UC635ZZ</t>
  </si>
  <si>
    <t xml:space="preserve">5x19x6</t>
  </si>
  <si>
    <t xml:space="preserve">RL-016-6x19x6-UC626ZZ</t>
  </si>
  <si>
    <t xml:space="preserve">UC626ZZ</t>
  </si>
  <si>
    <t xml:space="preserve">RL-016-7x19x5-UC697ZZ</t>
  </si>
  <si>
    <t xml:space="preserve">UC697ZZ</t>
  </si>
  <si>
    <t xml:space="preserve">7x19x5</t>
  </si>
  <si>
    <t xml:space="preserve">RL-016-7x19x6-UC607ZZ</t>
  </si>
  <si>
    <t xml:space="preserve">UC607ZZ</t>
  </si>
  <si>
    <t xml:space="preserve">7x19x6</t>
  </si>
  <si>
    <t xml:space="preserve">RL-016-8x22x7-UC608ZZ</t>
  </si>
  <si>
    <t xml:space="preserve">UC608ZZ</t>
  </si>
  <si>
    <t xml:space="preserve">RL-016-8x24x8-UC628ZZ</t>
  </si>
  <si>
    <t xml:space="preserve">UC628ZZ</t>
  </si>
  <si>
    <t xml:space="preserve">8x24x8</t>
  </si>
  <si>
    <t xml:space="preserve">RL-016-8x26x8-UC628ZZ</t>
  </si>
  <si>
    <t xml:space="preserve">8x26x8</t>
  </si>
  <si>
    <t xml:space="preserve">RL-016-8x28x10-UC628ZZ</t>
  </si>
  <si>
    <t xml:space="preserve">RL-016-8x28x8-UC628ZZ</t>
  </si>
  <si>
    <t xml:space="preserve">8x28x8</t>
  </si>
  <si>
    <t xml:space="preserve">RL-016-9x26x8-UC629ZZ</t>
  </si>
  <si>
    <t xml:space="preserve">UC629ZZ</t>
  </si>
  <si>
    <t xml:space="preserve">9x26x8</t>
  </si>
  <si>
    <t xml:space="preserve">Miniature Thrust Ball Bearing, F Series  [Ball Bearings]</t>
  </si>
  <si>
    <t xml:space="preserve">51101 (12×26×9)</t>
  </si>
  <si>
    <t xml:space="preserve">RL-036-51101</t>
  </si>
  <si>
    <t xml:space="preserve">RL-036-51102</t>
  </si>
  <si>
    <t xml:space="preserve">51102 (15×28×9)</t>
  </si>
  <si>
    <t xml:space="preserve">RL-036-51103</t>
  </si>
  <si>
    <t xml:space="preserve">51103 (17×30×9)</t>
  </si>
  <si>
    <t xml:space="preserve">RL-036-51104</t>
  </si>
  <si>
    <t xml:space="preserve">51104 (20×35×10)</t>
  </si>
  <si>
    <t xml:space="preserve">RL-036-51105</t>
  </si>
  <si>
    <t xml:space="preserve">51105 (25×42×11)</t>
  </si>
  <si>
    <t xml:space="preserve">RL-036-F10-17M</t>
  </si>
  <si>
    <t xml:space="preserve">F10-17M (10×17×5)</t>
  </si>
  <si>
    <t xml:space="preserve">RL-036-F10-18M</t>
  </si>
  <si>
    <t xml:space="preserve">F10-18M (10×18×5.5)</t>
  </si>
  <si>
    <t xml:space="preserve">RL-036-F10-20M</t>
  </si>
  <si>
    <t xml:space="preserve">F10-20M (10×20×6.5)</t>
  </si>
  <si>
    <t xml:space="preserve">RL-036-F12-21M</t>
  </si>
  <si>
    <t xml:space="preserve">F12-21M (12×21×5)</t>
  </si>
  <si>
    <t xml:space="preserve">RL-036-F12-23M</t>
  </si>
  <si>
    <t xml:space="preserve">F12-23M (12×23×7.5)</t>
  </si>
  <si>
    <t xml:space="preserve">RL-036-F2-6M</t>
  </si>
  <si>
    <t xml:space="preserve">F2-6M (2×6×3)</t>
  </si>
  <si>
    <t xml:space="preserve">RL-036-F2.5-6M</t>
  </si>
  <si>
    <t xml:space="preserve">F2.5-6M (2.5×6×3)</t>
  </si>
  <si>
    <t xml:space="preserve">RL-036-F3-6M</t>
  </si>
  <si>
    <t xml:space="preserve">F3-6M (3×6×3.5)</t>
  </si>
  <si>
    <t xml:space="preserve">RL-036-F3-8M</t>
  </si>
  <si>
    <t xml:space="preserve">F3-8M (3×8×3.5)</t>
  </si>
  <si>
    <t xml:space="preserve">RL-036-F4-10M</t>
  </si>
  <si>
    <t xml:space="preserve">F4-10M (4×10×4)</t>
  </si>
  <si>
    <t xml:space="preserve">RL-036-F4-8M</t>
  </si>
  <si>
    <t xml:space="preserve">F4-8M (4×8×3.5)</t>
  </si>
  <si>
    <t xml:space="preserve">RL-036-F4-9M</t>
  </si>
  <si>
    <t xml:space="preserve">F4-9M (4×9×4)</t>
  </si>
  <si>
    <t xml:space="preserve">RL-036-F5-10M</t>
  </si>
  <si>
    <t xml:space="preserve">F5-10M (5×10×4)</t>
  </si>
  <si>
    <t xml:space="preserve">RL-036-F5-11M</t>
  </si>
  <si>
    <t xml:space="preserve">F5-11M (5×11×4.5)</t>
  </si>
  <si>
    <t xml:space="preserve">RL-036-F5-12M</t>
  </si>
  <si>
    <t xml:space="preserve">F5-12M (5×12×4)</t>
  </si>
  <si>
    <t xml:space="preserve">RL-036-F6-11M</t>
  </si>
  <si>
    <t xml:space="preserve">F6-11M (6×11×4.5)</t>
  </si>
  <si>
    <t xml:space="preserve">RL-036-F6-12M</t>
  </si>
  <si>
    <t xml:space="preserve">F6-12M (6×12×4.5)</t>
  </si>
  <si>
    <t xml:space="preserve">RL-036-F6-14M</t>
  </si>
  <si>
    <t xml:space="preserve">F6-14M (6×14×5)</t>
  </si>
  <si>
    <t xml:space="preserve">RL-036-F7-13M</t>
  </si>
  <si>
    <t xml:space="preserve">F7-13M (7×13×4.5)</t>
  </si>
  <si>
    <t xml:space="preserve">RL-036-F7-15M</t>
  </si>
  <si>
    <t xml:space="preserve">F7-15M (7×15×5)</t>
  </si>
  <si>
    <t xml:space="preserve">RL-036-F7-17M</t>
  </si>
  <si>
    <t xml:space="preserve">F7-17M (7×17×6)</t>
  </si>
  <si>
    <t xml:space="preserve">RL-036-F8-14M</t>
  </si>
  <si>
    <t xml:space="preserve">F8-14M (8×14×4)</t>
  </si>
  <si>
    <t xml:space="preserve">RL-036-F8-16M</t>
  </si>
  <si>
    <t xml:space="preserve">F8-16M (8×16×5)</t>
  </si>
  <si>
    <t xml:space="preserve">RL-036-F8-19M</t>
  </si>
  <si>
    <t xml:space="preserve">F8-19M (8×19×7)</t>
  </si>
  <si>
    <t xml:space="preserve">RL-036-F8-22M</t>
  </si>
  <si>
    <t xml:space="preserve">F8-22M (8×22×7)</t>
  </si>
  <si>
    <t xml:space="preserve">RL-036-F9-17M</t>
  </si>
  <si>
    <t xml:space="preserve">F9-17M (9×17×5)</t>
  </si>
  <si>
    <t xml:space="preserve">RL-036-F9-20M</t>
  </si>
  <si>
    <t xml:space="preserve">F9-20M (9×20×7)</t>
  </si>
  <si>
    <t xml:space="preserve">Miniature Flanged Bearing MF105-2RS etc.  [Ball Bearings]</t>
  </si>
  <si>
    <t xml:space="preserve">F6901-2RS</t>
  </si>
  <si>
    <t xml:space="preserve">12x24x6</t>
  </si>
  <si>
    <t xml:space="preserve">RL-056-12x24x6-F6901-2RS</t>
  </si>
  <si>
    <t xml:space="preserve">RL-056-25x37x7-F6805-2RS</t>
  </si>
  <si>
    <t xml:space="preserve">F6805-2RS</t>
  </si>
  <si>
    <t xml:space="preserve">25x37x7</t>
  </si>
  <si>
    <t xml:space="preserve">RL-056-5x10x4-MF105-2RS</t>
  </si>
  <si>
    <t xml:space="preserve">MF105-2RS</t>
  </si>
  <si>
    <t xml:space="preserve">5x10x4</t>
  </si>
  <si>
    <t xml:space="preserve">Zirconia Full Ceramic Bearing 608  [Ball Bearings]</t>
  </si>
  <si>
    <t xml:space="preserve">RL-017</t>
  </si>
  <si>
    <t xml:space="preserve">Flanged Step Bearing V623ZZ / V624ZZ  [Ball Bearings]</t>
  </si>
  <si>
    <t xml:space="preserve">V623ZZ</t>
  </si>
  <si>
    <t xml:space="preserve">3x12x4</t>
  </si>
  <si>
    <t xml:space="preserve">RL-039-3x12x4-CS-V623ZZ</t>
  </si>
  <si>
    <t xml:space="preserve">RL-039-3x12x4-V623ZZ</t>
  </si>
  <si>
    <t xml:space="preserve">Bearing steel</t>
  </si>
  <si>
    <t xml:space="preserve">RL-039-4x13x6-CS-V624ZZ</t>
  </si>
  <si>
    <t xml:space="preserve">V624ZZ</t>
  </si>
  <si>
    <t xml:space="preserve">4x13x6</t>
  </si>
  <si>
    <t xml:space="preserve">RL-039-4x13x6-V624ZZ</t>
  </si>
  <si>
    <t xml:space="preserve">RL-039-8x24x8-V628ZZ</t>
  </si>
  <si>
    <t xml:space="preserve">V628ZZ</t>
  </si>
  <si>
    <t xml:space="preserve">Deep Groove Ball Bearing (ZZ / 2RS / Flanged / Stainless)  [Ball Bearings]</t>
  </si>
  <si>
    <t xml:space="preserve">12268-2RS</t>
  </si>
  <si>
    <t xml:space="preserve">12x26x8</t>
  </si>
  <si>
    <t xml:space="preserve">BRG-12268-2RS-12x26x8</t>
  </si>
  <si>
    <t xml:space="preserve">BRG-2RS-30x68x18</t>
  </si>
  <si>
    <t xml:space="preserve">2RS</t>
  </si>
  <si>
    <t xml:space="preserve">30x68x18</t>
  </si>
  <si>
    <t xml:space="preserve">BRG-5201ZZ-12x32x15.9</t>
  </si>
  <si>
    <t xml:space="preserve">5201ZZ</t>
  </si>
  <si>
    <t xml:space="preserve">12x32x15.9</t>
  </si>
  <si>
    <t xml:space="preserve">BRG-6000-2RS-10x26x8-P2</t>
  </si>
  <si>
    <t xml:space="preserve">6000-2RS</t>
  </si>
  <si>
    <t xml:space="preserve">BRG-6000ZZ-10x26x8-P2</t>
  </si>
  <si>
    <t xml:space="preserve">6000ZZ</t>
  </si>
  <si>
    <t xml:space="preserve">BRG-6001-2RS-12x28x8-P2</t>
  </si>
  <si>
    <t xml:space="preserve">6001-2RS</t>
  </si>
  <si>
    <t xml:space="preserve">BRG-6001ZZ-12x28x8-P2</t>
  </si>
  <si>
    <t xml:space="preserve">6001ZZ</t>
  </si>
  <si>
    <t xml:space="preserve">BRG-6002ZZ-15x32x9</t>
  </si>
  <si>
    <t xml:space="preserve">6002ZZ</t>
  </si>
  <si>
    <t xml:space="preserve">BRG-6003-2RS-17x35x10</t>
  </si>
  <si>
    <t xml:space="preserve">6003-2RS</t>
  </si>
  <si>
    <t xml:space="preserve">BRG-6003ZZ-17x35x10</t>
  </si>
  <si>
    <t xml:space="preserve">6003ZZ</t>
  </si>
  <si>
    <t xml:space="preserve">BRG-6004ZZ-20x42x12</t>
  </si>
  <si>
    <t xml:space="preserve">6004ZZ</t>
  </si>
  <si>
    <t xml:space="preserve">BRG-6005ZZ-25x47x12</t>
  </si>
  <si>
    <t xml:space="preserve">6005ZZ</t>
  </si>
  <si>
    <t xml:space="preserve">BRG-602ZZ-2x7x3.5</t>
  </si>
  <si>
    <t xml:space="preserve">602ZZ</t>
  </si>
  <si>
    <t xml:space="preserve">2x7x3.5</t>
  </si>
  <si>
    <t xml:space="preserve">BRG-602ZZ-2x7x3.55</t>
  </si>
  <si>
    <t xml:space="preserve">2x7x3.55</t>
  </si>
  <si>
    <t xml:space="preserve">BRG-604ZZ-4x12x4</t>
  </si>
  <si>
    <t xml:space="preserve">604ZZ</t>
  </si>
  <si>
    <t xml:space="preserve">BRG-605ZZ-5x14x5</t>
  </si>
  <si>
    <t xml:space="preserve">5x14x5</t>
  </si>
  <si>
    <t xml:space="preserve">BRG-606ZZ-6x17x6</t>
  </si>
  <si>
    <t xml:space="preserve">606ZZ</t>
  </si>
  <si>
    <t xml:space="preserve">6x17x6</t>
  </si>
  <si>
    <t xml:space="preserve">BRG-608-2RS-8x22x7-BK-P2</t>
  </si>
  <si>
    <t xml:space="preserve">608-2RS</t>
  </si>
  <si>
    <t xml:space="preserve">BRG-608-2RS-8x22x7-BL-P2</t>
  </si>
  <si>
    <t xml:space="preserve">BRG-608-2RS-8x22x7-P2</t>
  </si>
  <si>
    <t xml:space="preserve">BRG-608-2RS-8x22x7-RD-P2</t>
  </si>
  <si>
    <t xml:space="preserve">BRG-608ZZ-8x22x7</t>
  </si>
  <si>
    <t xml:space="preserve">BRG-609ZZ-9x24x7</t>
  </si>
  <si>
    <t xml:space="preserve">609ZZ</t>
  </si>
  <si>
    <t xml:space="preserve">9x24x7</t>
  </si>
  <si>
    <t xml:space="preserve">BRG-62001-2RS-12x28x10</t>
  </si>
  <si>
    <t xml:space="preserve">62001-2RS</t>
  </si>
  <si>
    <t xml:space="preserve">12x28x10</t>
  </si>
  <si>
    <t xml:space="preserve">BRG-6201-2RS-12x32x10</t>
  </si>
  <si>
    <t xml:space="preserve">6201-2RS</t>
  </si>
  <si>
    <t xml:space="preserve">BRG-6201ZZ-12x32x10</t>
  </si>
  <si>
    <t xml:space="preserve">6201ZZ</t>
  </si>
  <si>
    <t xml:space="preserve">BRG-6202-2RS-12x35x11</t>
  </si>
  <si>
    <t xml:space="preserve">6202-2RS</t>
  </si>
  <si>
    <t xml:space="preserve">12x35x11</t>
  </si>
  <si>
    <t xml:space="preserve">BRG-6202ZZ-12x35x11</t>
  </si>
  <si>
    <t xml:space="preserve">6202ZZ</t>
  </si>
  <si>
    <t xml:space="preserve">BRG-6204-2RS-20x47x14</t>
  </si>
  <si>
    <t xml:space="preserve">6204-2RS</t>
  </si>
  <si>
    <t xml:space="preserve">BRG-6204ZZ-20x47x14</t>
  </si>
  <si>
    <t xml:space="preserve">6204ZZ</t>
  </si>
  <si>
    <t xml:space="preserve">BRG-623ZZ-3x10x4-P2</t>
  </si>
  <si>
    <t xml:space="preserve">623ZZ</t>
  </si>
  <si>
    <t xml:space="preserve">3x10x4</t>
  </si>
  <si>
    <t xml:space="preserve">BRG-624-2RS-4x13x5-P2</t>
  </si>
  <si>
    <t xml:space="preserve">624-2RS</t>
  </si>
  <si>
    <t xml:space="preserve">BRG-624ZZ-4x13x5-P2</t>
  </si>
  <si>
    <t xml:space="preserve">624ZZ</t>
  </si>
  <si>
    <t xml:space="preserve">BRG-625-2RS-5x16x5</t>
  </si>
  <si>
    <t xml:space="preserve">625-2RS</t>
  </si>
  <si>
    <t xml:space="preserve">BRG-625ZZ-5x16x5</t>
  </si>
  <si>
    <t xml:space="preserve">BRG-626-2RS-6x19x6-P2</t>
  </si>
  <si>
    <t xml:space="preserve">626-2RS</t>
  </si>
  <si>
    <t xml:space="preserve">BRG-626ZZ-6x19x6</t>
  </si>
  <si>
    <t xml:space="preserve">BRG-627-2RS-7x22x7-P2</t>
  </si>
  <si>
    <t xml:space="preserve">627-2RS</t>
  </si>
  <si>
    <t xml:space="preserve">7x22x7</t>
  </si>
  <si>
    <t xml:space="preserve">BRG-628-2RS-8x24x8-P2</t>
  </si>
  <si>
    <t xml:space="preserve">628-2RS</t>
  </si>
  <si>
    <t xml:space="preserve">BRG-628ZZ-8x24x8</t>
  </si>
  <si>
    <t xml:space="preserve">BRG-629-2RS-9x26x8-P2</t>
  </si>
  <si>
    <t xml:space="preserve">629-2RS</t>
  </si>
  <si>
    <t xml:space="preserve">BRG-629ZZ-9x26x8-P2</t>
  </si>
  <si>
    <t xml:space="preserve">629ZZ</t>
  </si>
  <si>
    <t xml:space="preserve">BRG-6301-2RS-12x37x12</t>
  </si>
  <si>
    <t xml:space="preserve">6301-2RS</t>
  </si>
  <si>
    <t xml:space="preserve">12x37x12</t>
  </si>
  <si>
    <t xml:space="preserve">BRG-6301ZZ-12x37x12</t>
  </si>
  <si>
    <t xml:space="preserve">6301ZZ</t>
  </si>
  <si>
    <t xml:space="preserve">BRG-635ZZ-5x19x6</t>
  </si>
  <si>
    <t xml:space="preserve">635ZZ</t>
  </si>
  <si>
    <t xml:space="preserve">BRG-6701-2RS-12x18x4</t>
  </si>
  <si>
    <t xml:space="preserve">6701-2RS</t>
  </si>
  <si>
    <t xml:space="preserve">12x18x4</t>
  </si>
  <si>
    <t xml:space="preserve">BRG-6701ZZ-12x18x4</t>
  </si>
  <si>
    <t xml:space="preserve">6701ZZ</t>
  </si>
  <si>
    <t xml:space="preserve">BRG-6800-2RS-10x19x5-P2</t>
  </si>
  <si>
    <t xml:space="preserve">6800-2RS</t>
  </si>
  <si>
    <t xml:space="preserve">BRG-6800ZZ-10x19x5-P2</t>
  </si>
  <si>
    <t xml:space="preserve">6800ZZ</t>
  </si>
  <si>
    <t xml:space="preserve">BRG-6801ZZ-12x21x5-P2</t>
  </si>
  <si>
    <t xml:space="preserve">6801ZZ</t>
  </si>
  <si>
    <t xml:space="preserve">12x21x5</t>
  </si>
  <si>
    <t xml:space="preserve">BRG-6806ZZ-30x42x7</t>
  </si>
  <si>
    <t xml:space="preserve">6806ZZ</t>
  </si>
  <si>
    <t xml:space="preserve">30x42x7</t>
  </si>
  <si>
    <t xml:space="preserve">BRG-684ZZ-4x9x4-P2</t>
  </si>
  <si>
    <t xml:space="preserve">684ZZ</t>
  </si>
  <si>
    <t xml:space="preserve">4x9x4</t>
  </si>
  <si>
    <t xml:space="preserve">BRG-685ZZ-5x11x5</t>
  </si>
  <si>
    <t xml:space="preserve">685ZZ</t>
  </si>
  <si>
    <t xml:space="preserve">5x11x5</t>
  </si>
  <si>
    <t xml:space="preserve">BRG-686ZZ-6x13x5-P2</t>
  </si>
  <si>
    <t xml:space="preserve">686ZZ</t>
  </si>
  <si>
    <t xml:space="preserve">6x13x5</t>
  </si>
  <si>
    <t xml:space="preserve">BRG-688-2RS-8x16x5-P2</t>
  </si>
  <si>
    <t xml:space="preserve">688-2RS</t>
  </si>
  <si>
    <t xml:space="preserve">BRG-688ZZ-8x16x4-P2</t>
  </si>
  <si>
    <t xml:space="preserve">688ZZ</t>
  </si>
  <si>
    <t xml:space="preserve">8x16x4</t>
  </si>
  <si>
    <t xml:space="preserve">BRG-688ZZ-8x16x5</t>
  </si>
  <si>
    <t xml:space="preserve">BRG-689ZZ-9x17x5</t>
  </si>
  <si>
    <t xml:space="preserve">689ZZ</t>
  </si>
  <si>
    <t xml:space="preserve">9x17x5</t>
  </si>
  <si>
    <t xml:space="preserve">BRG-6901ZZ-12x24x6-P2</t>
  </si>
  <si>
    <t xml:space="preserve">6901ZZ</t>
  </si>
  <si>
    <t xml:space="preserve">BRG-693ZZ-3x8x4-P2</t>
  </si>
  <si>
    <t xml:space="preserve">693ZZ</t>
  </si>
  <si>
    <t xml:space="preserve">3x8x4</t>
  </si>
  <si>
    <t xml:space="preserve">BRG-694ZZ-4x11x4</t>
  </si>
  <si>
    <t xml:space="preserve">694ZZ</t>
  </si>
  <si>
    <t xml:space="preserve">4x11x4</t>
  </si>
  <si>
    <t xml:space="preserve">BRG-695ZZ-5x13x4</t>
  </si>
  <si>
    <t xml:space="preserve">695ZZ</t>
  </si>
  <si>
    <t xml:space="preserve">5x13x4</t>
  </si>
  <si>
    <t xml:space="preserve">BRG-696ZZ-6x15x5-P2</t>
  </si>
  <si>
    <t xml:space="preserve">6x15x5</t>
  </si>
  <si>
    <t xml:space="preserve">BRG-697ZZ-7x17x5</t>
  </si>
  <si>
    <t xml:space="preserve">697ZZ</t>
  </si>
  <si>
    <t xml:space="preserve">7x17x5</t>
  </si>
  <si>
    <t xml:space="preserve">BRG-698ZZ-8x19x6</t>
  </si>
  <si>
    <t xml:space="preserve">698ZZ</t>
  </si>
  <si>
    <t xml:space="preserve">8x19x6</t>
  </si>
  <si>
    <t xml:space="preserve">BRG-699ZZ-9x20x6</t>
  </si>
  <si>
    <t xml:space="preserve">699ZZ</t>
  </si>
  <si>
    <t xml:space="preserve">9x20x6</t>
  </si>
  <si>
    <t xml:space="preserve">BRG-F6000ZZ-10x26x8</t>
  </si>
  <si>
    <t xml:space="preserve">F6000ZZ</t>
  </si>
  <si>
    <t xml:space="preserve">BRG-F605ZZ-5x14x5</t>
  </si>
  <si>
    <t xml:space="preserve">F605ZZ</t>
  </si>
  <si>
    <t xml:space="preserve">BRG-F608ZZ-8x22x7</t>
  </si>
  <si>
    <t xml:space="preserve">F608ZZ</t>
  </si>
  <si>
    <t xml:space="preserve">BRG-F623ZZ-3x10x4</t>
  </si>
  <si>
    <t xml:space="preserve">F623ZZ</t>
  </si>
  <si>
    <t xml:space="preserve">BRG-F624ZZ-4x13x5</t>
  </si>
  <si>
    <t xml:space="preserve">F624ZZ</t>
  </si>
  <si>
    <t xml:space="preserve">BRG-F625ZZ-5x16x5</t>
  </si>
  <si>
    <t xml:space="preserve">F625ZZ</t>
  </si>
  <si>
    <t xml:space="preserve">BRG-F626ZZ-6x19x6</t>
  </si>
  <si>
    <t xml:space="preserve">F626ZZ</t>
  </si>
  <si>
    <t xml:space="preserve">BRG-F628ZZ-8x24x8</t>
  </si>
  <si>
    <t xml:space="preserve">F628ZZ</t>
  </si>
  <si>
    <t xml:space="preserve">BRG-F6800ZZ-10x19x5</t>
  </si>
  <si>
    <t xml:space="preserve">F6800ZZ</t>
  </si>
  <si>
    <t xml:space="preserve">BRG-F684ZZ-4x9x4</t>
  </si>
  <si>
    <t xml:space="preserve">F684ZZ</t>
  </si>
  <si>
    <t xml:space="preserve">BRG-F686ZZ-6x13x5</t>
  </si>
  <si>
    <t xml:space="preserve">F686ZZ</t>
  </si>
  <si>
    <t xml:space="preserve">BRG-F688ZZ-8x16x5</t>
  </si>
  <si>
    <t xml:space="preserve">F688ZZ</t>
  </si>
  <si>
    <t xml:space="preserve">BRG-F6901ZZ-12x24x6</t>
  </si>
  <si>
    <t xml:space="preserve">F6901ZZ</t>
  </si>
  <si>
    <t xml:space="preserve">BRG-F695ZZ-5x13x4</t>
  </si>
  <si>
    <t xml:space="preserve">F695ZZ</t>
  </si>
  <si>
    <t xml:space="preserve">BRG-F698ZZ-8x19x6</t>
  </si>
  <si>
    <t xml:space="preserve">F698ZZ</t>
  </si>
  <si>
    <t xml:space="preserve">BRG-MF104ZZ-4x10x4</t>
  </si>
  <si>
    <t xml:space="preserve">MF104ZZ</t>
  </si>
  <si>
    <t xml:space="preserve">4x10x4</t>
  </si>
  <si>
    <t xml:space="preserve">BRG-MF105ZZ-5x10x4</t>
  </si>
  <si>
    <t xml:space="preserve">MF105ZZ</t>
  </si>
  <si>
    <t xml:space="preserve">BRG-MF126ZZ-6x12x4</t>
  </si>
  <si>
    <t xml:space="preserve">MF126ZZ</t>
  </si>
  <si>
    <t xml:space="preserve">6x12x4</t>
  </si>
  <si>
    <t xml:space="preserve">BRG-MF128ZZ-8x12x3.5</t>
  </si>
  <si>
    <t xml:space="preserve">MF128ZZ</t>
  </si>
  <si>
    <t xml:space="preserve">8x12x3.5</t>
  </si>
  <si>
    <t xml:space="preserve">BRG-MF148ZZ-8x14x4</t>
  </si>
  <si>
    <t xml:space="preserve">MF148ZZ</t>
  </si>
  <si>
    <t xml:space="preserve">8x14x4</t>
  </si>
  <si>
    <t xml:space="preserve">BRG-MF63ZZ-3x6x2.5</t>
  </si>
  <si>
    <t xml:space="preserve">MF63ZZ</t>
  </si>
  <si>
    <t xml:space="preserve">3x6x2.5</t>
  </si>
  <si>
    <t xml:space="preserve">BRG-MF95ZZ-5x9x3</t>
  </si>
  <si>
    <t xml:space="preserve">MF95ZZ</t>
  </si>
  <si>
    <t xml:space="preserve">5x9x3</t>
  </si>
  <si>
    <t xml:space="preserve">BRG-MR105-2RS-5x10x4-P2</t>
  </si>
  <si>
    <t xml:space="preserve">MR105-2RS</t>
  </si>
  <si>
    <t xml:space="preserve">BRG-MR105ZZ-5x10x4</t>
  </si>
  <si>
    <t xml:space="preserve">MR105ZZ</t>
  </si>
  <si>
    <t xml:space="preserve">BRG-MR106ZZ-6x10x3-P2</t>
  </si>
  <si>
    <t xml:space="preserve">MR106ZZ</t>
  </si>
  <si>
    <t xml:space="preserve">6x10x3</t>
  </si>
  <si>
    <t xml:space="preserve">BRG-MR117ZZ-7x11x3-P2</t>
  </si>
  <si>
    <t xml:space="preserve">MR117ZZ</t>
  </si>
  <si>
    <t xml:space="preserve">7x11x3</t>
  </si>
  <si>
    <t xml:space="preserve">BRG-MR126ZZ-6x12x4-P2</t>
  </si>
  <si>
    <t xml:space="preserve">MR126ZZ</t>
  </si>
  <si>
    <t xml:space="preserve">BRG-MR128ZZ-8x12x3.5-P2</t>
  </si>
  <si>
    <t xml:space="preserve">MR128ZZ</t>
  </si>
  <si>
    <t xml:space="preserve">BRG-MR148ZZ-8x14x4</t>
  </si>
  <si>
    <t xml:space="preserve">MR148ZZ</t>
  </si>
  <si>
    <t xml:space="preserve">BRG-MR1660ZZ-6x16x5-P2</t>
  </si>
  <si>
    <t xml:space="preserve">MR1660ZZ</t>
  </si>
  <si>
    <t xml:space="preserve">6x16x5</t>
  </si>
  <si>
    <t xml:space="preserve">BRG-MR52ZZ-2x5x2.5-P2</t>
  </si>
  <si>
    <t xml:space="preserve">MR52ZZ</t>
  </si>
  <si>
    <t xml:space="preserve">2x5x2.5</t>
  </si>
  <si>
    <t xml:space="preserve">BRG-MR62ZZ-2x6x2.5-P2</t>
  </si>
  <si>
    <t xml:space="preserve">MR62ZZ</t>
  </si>
  <si>
    <t xml:space="preserve">2x6x2.5</t>
  </si>
  <si>
    <t xml:space="preserve">BRG-MR63ZZ-3x6x2.5-P2</t>
  </si>
  <si>
    <t xml:space="preserve">MR63ZZ</t>
  </si>
  <si>
    <t xml:space="preserve">BRG-MR72ZZ-2x7x3</t>
  </si>
  <si>
    <t xml:space="preserve">MR72ZZ</t>
  </si>
  <si>
    <t xml:space="preserve">2x7x3</t>
  </si>
  <si>
    <t xml:space="preserve">BRG-MR74ZZ-4x7x2.5-P2</t>
  </si>
  <si>
    <t xml:space="preserve">MR74ZZ</t>
  </si>
  <si>
    <t xml:space="preserve">4x7x2.5</t>
  </si>
  <si>
    <t xml:space="preserve">BRG-MR74ZZ-4x7x3-P2</t>
  </si>
  <si>
    <t xml:space="preserve">4x7x3</t>
  </si>
  <si>
    <t xml:space="preserve">BRG-MR84ZZ-4x8x3-P2</t>
  </si>
  <si>
    <t xml:space="preserve">MR84ZZ</t>
  </si>
  <si>
    <t xml:space="preserve">4x8x3</t>
  </si>
  <si>
    <t xml:space="preserve">BRG-MR95ZZ-5x9x3</t>
  </si>
  <si>
    <t xml:space="preserve">MR95ZZ</t>
  </si>
  <si>
    <t xml:space="preserve">BRG-S304-6000-2RS-10x26x8</t>
  </si>
  <si>
    <t xml:space="preserve">BRG-S304-6000ZZ-10x26x8</t>
  </si>
  <si>
    <t xml:space="preserve">BRG-S304-6001-2RS-12x28x8</t>
  </si>
  <si>
    <t xml:space="preserve">BRG-S304-6001ZZ-12x28x8</t>
  </si>
  <si>
    <t xml:space="preserve">BRG-S304-S628ZZ-8x24x8</t>
  </si>
  <si>
    <t xml:space="preserve">S628ZZ</t>
  </si>
  <si>
    <t xml:space="preserve">BRG-S420-S625ZZ-5x16x5</t>
  </si>
  <si>
    <t xml:space="preserve">420 Stainless</t>
  </si>
  <si>
    <t xml:space="preserve">S625ZZ</t>
  </si>
  <si>
    <t xml:space="preserve">BRG-S440-6000ZZ-10x26x8</t>
  </si>
  <si>
    <t xml:space="preserve">440 Stainless</t>
  </si>
  <si>
    <t xml:space="preserve">BRG-S440-6001ZZ-12x28x8</t>
  </si>
  <si>
    <t xml:space="preserve">BRG-S440-MR105ZZ-5x10x4</t>
  </si>
  <si>
    <t xml:space="preserve">BRG-S440-S6201-2RS-12x32x10</t>
  </si>
  <si>
    <t xml:space="preserve">S6201-2RS</t>
  </si>
  <si>
    <t xml:space="preserve">BRG-S440-S6201ZZ-12x32x10</t>
  </si>
  <si>
    <t xml:space="preserve">S6201ZZ</t>
  </si>
  <si>
    <t xml:space="preserve">Stud Type Track Roller, CF / KR Series  [Ball Bearings]</t>
  </si>
  <si>
    <t xml:space="preserve">CF10-1 KR26</t>
  </si>
  <si>
    <t xml:space="preserve">RL-029-CS-CF10-1-KR26</t>
  </si>
  <si>
    <t xml:space="preserve">RL-029-CS-CF10-KR22</t>
  </si>
  <si>
    <t xml:space="preserve">CF10 KR22</t>
  </si>
  <si>
    <t xml:space="preserve">RL-029-CS-CF12-1-KR32</t>
  </si>
  <si>
    <t xml:space="preserve">CF12-1 KR32</t>
  </si>
  <si>
    <t xml:space="preserve">RL-029-CS-CF12-KR30</t>
  </si>
  <si>
    <t xml:space="preserve">CF12 KR30</t>
  </si>
  <si>
    <t xml:space="preserve">RL-029-CS-CF12-KR30-R</t>
  </si>
  <si>
    <t xml:space="preserve">CF12 KR30 Reinforced</t>
  </si>
  <si>
    <t xml:space="preserve">RL-029-CS-CF16-KR35</t>
  </si>
  <si>
    <t xml:space="preserve">CF16 KR35</t>
  </si>
  <si>
    <t xml:space="preserve">RL-029-CS-CF18-KR40</t>
  </si>
  <si>
    <t xml:space="preserve">CF18 KR40</t>
  </si>
  <si>
    <t xml:space="preserve">RL-029-CS-CF20-1-KR47</t>
  </si>
  <si>
    <t xml:space="preserve">CF20-1 KR47</t>
  </si>
  <si>
    <t xml:space="preserve">RL-029-CS-CF20-KR52</t>
  </si>
  <si>
    <t xml:space="preserve">CF20 KR52</t>
  </si>
  <si>
    <t xml:space="preserve">RL-029-CS-CF24-1-KR72</t>
  </si>
  <si>
    <t xml:space="preserve">CF24-1 KR72</t>
  </si>
  <si>
    <t xml:space="preserve">RL-029-CS-CF24-KR62</t>
  </si>
  <si>
    <t xml:space="preserve">CF24 KR62</t>
  </si>
  <si>
    <t xml:space="preserve">RL-029-CS-CF3-KR10</t>
  </si>
  <si>
    <t xml:space="preserve">CF3 KR10</t>
  </si>
  <si>
    <t xml:space="preserve">RL-029-CS-CF30-1-KR85</t>
  </si>
  <si>
    <t xml:space="preserve">CF30-1 KR85</t>
  </si>
  <si>
    <t xml:space="preserve">RL-029-CS-CF30-2-KR90</t>
  </si>
  <si>
    <t xml:space="preserve">CF30-2 KR90</t>
  </si>
  <si>
    <t xml:space="preserve">RL-029-CS-CF30-KR80</t>
  </si>
  <si>
    <t xml:space="preserve">CF30 KR80</t>
  </si>
  <si>
    <t xml:space="preserve">RL-029-CS-CF4-KR12</t>
  </si>
  <si>
    <t xml:space="preserve">CF4 KR12</t>
  </si>
  <si>
    <t xml:space="preserve">RL-029-CS-CF5-KR13</t>
  </si>
  <si>
    <t xml:space="preserve">CF5 KR13</t>
  </si>
  <si>
    <t xml:space="preserve">RL-029-CS-CF6-KR16</t>
  </si>
  <si>
    <t xml:space="preserve">CF6 KR16</t>
  </si>
  <si>
    <t xml:space="preserve">RL-029-CS-CF8-KR19</t>
  </si>
  <si>
    <t xml:space="preserve">CF8 KR19</t>
  </si>
  <si>
    <t xml:space="preserve">RL-029-S304-CF10-1-KR26</t>
  </si>
  <si>
    <t xml:space="preserve">RL-029-S304-CF10-KR22</t>
  </si>
  <si>
    <t xml:space="preserve">RL-029-S304-CF12-1-KR32</t>
  </si>
  <si>
    <t xml:space="preserve">RL-029-S304-CF12-KR30</t>
  </si>
  <si>
    <t xml:space="preserve">RL-029-S304-CF16-KR35</t>
  </si>
  <si>
    <t xml:space="preserve">RL-029-S304-CF18-KR40</t>
  </si>
  <si>
    <t xml:space="preserve">RL-029-S304-CF20-1-KR47</t>
  </si>
  <si>
    <t xml:space="preserve">RL-029-S304-CF20-KR52</t>
  </si>
  <si>
    <t xml:space="preserve">RL-029-S304-CF24-1-KR72</t>
  </si>
  <si>
    <t xml:space="preserve">RL-029-S304-CF24-KR62</t>
  </si>
  <si>
    <t xml:space="preserve">RL-029-S304-CF3-KR10</t>
  </si>
  <si>
    <t xml:space="preserve">RL-029-S304-CF30-KR80</t>
  </si>
  <si>
    <t xml:space="preserve">RL-029-S304-CF4-KR12</t>
  </si>
  <si>
    <t xml:space="preserve">RL-029-S304-CF5-KR13</t>
  </si>
  <si>
    <t xml:space="preserve">RL-029-S304-CF6-KR16</t>
  </si>
  <si>
    <t xml:space="preserve">RL-029-S304-CF8-KR19</t>
  </si>
  <si>
    <t xml:space="preserve">Ceramic Bearing 608CE  [Ball Bearings]</t>
  </si>
  <si>
    <t xml:space="preserve">RL-057</t>
  </si>
  <si>
    <t xml:space="preserve">SFU Ball Screw Kit (screw + BK/BF support + nut housing)  [Supports &amp; Nut Housings]</t>
  </si>
  <si>
    <t xml:space="preserve">Configuration</t>
  </si>
  <si>
    <t xml:space="preserve">Screw Total Length (mm)</t>
  </si>
  <si>
    <t xml:space="preserve">Standard kit</t>
  </si>
  <si>
    <t xml:space="preserve">KIT-SFU1204-1000</t>
  </si>
  <si>
    <t xml:space="preserve">KIT-SFU1204-1100</t>
  </si>
  <si>
    <t xml:space="preserve">KIT-SFU1204-1200</t>
  </si>
  <si>
    <t xml:space="preserve">KIT-SFU1204-1266</t>
  </si>
  <si>
    <t xml:space="preserve">KIT-SFU1204-150</t>
  </si>
  <si>
    <t xml:space="preserve">KIT-SFU1204-1500</t>
  </si>
  <si>
    <t xml:space="preserve">KIT-SFU1204-180</t>
  </si>
  <si>
    <t xml:space="preserve">KIT-SFU1204-200</t>
  </si>
  <si>
    <t xml:space="preserve">KIT-SFU1204-210</t>
  </si>
  <si>
    <t xml:space="preserve">KIT-SFU1204-250</t>
  </si>
  <si>
    <t xml:space="preserve">KIT-SFU1204-300</t>
  </si>
  <si>
    <t xml:space="preserve">KIT-SFU1204-350</t>
  </si>
  <si>
    <t xml:space="preserve">KIT-SFU1204-361</t>
  </si>
  <si>
    <t xml:space="preserve">KIT-SFU1204-400</t>
  </si>
  <si>
    <t xml:space="preserve">KIT-SFU1204-420</t>
  </si>
  <si>
    <t xml:space="preserve">KIT-SFU1204-450</t>
  </si>
  <si>
    <t xml:space="preserve">KIT-SFU1204-500</t>
  </si>
  <si>
    <t xml:space="preserve">KIT-SFU1204-550</t>
  </si>
  <si>
    <t xml:space="preserve">KIT-SFU1204-600</t>
  </si>
  <si>
    <t xml:space="preserve">KIT-SFU1204-650</t>
  </si>
  <si>
    <t xml:space="preserve">KIT-SFU1204-700</t>
  </si>
  <si>
    <t xml:space="preserve">KIT-SFU1204-750</t>
  </si>
  <si>
    <t xml:space="preserve">KIT-SFU1204-800</t>
  </si>
  <si>
    <t xml:space="preserve">KIT-SFU1204-850</t>
  </si>
  <si>
    <t xml:space="preserve">KIT-SFU1204-900</t>
  </si>
  <si>
    <t xml:space="preserve">KIT-SFU1204-950</t>
  </si>
  <si>
    <t xml:space="preserve">KIT-SFU1204-MS-1000</t>
  </si>
  <si>
    <t xml:space="preserve">Kit + servo motor mount</t>
  </si>
  <si>
    <t xml:space="preserve">KIT-SFU1204-MS-1100</t>
  </si>
  <si>
    <t xml:space="preserve">KIT-SFU1204-MS-1200</t>
  </si>
  <si>
    <t xml:space="preserve">KIT-SFU1204-MS-1266</t>
  </si>
  <si>
    <t xml:space="preserve">KIT-SFU1204-MS-150</t>
  </si>
  <si>
    <t xml:space="preserve">KIT-SFU1204-MS-1500</t>
  </si>
  <si>
    <t xml:space="preserve">KIT-SFU1204-MS-180</t>
  </si>
  <si>
    <t xml:space="preserve">KIT-SFU1204-MS-200</t>
  </si>
  <si>
    <t xml:space="preserve">KIT-SFU1204-MS-210</t>
  </si>
  <si>
    <t xml:space="preserve">KIT-SFU1204-MS-250</t>
  </si>
  <si>
    <t xml:space="preserve">KIT-SFU1204-MS-300</t>
  </si>
  <si>
    <t xml:space="preserve">KIT-SFU1204-MS-350</t>
  </si>
  <si>
    <t xml:space="preserve">KIT-SFU1204-MS-361</t>
  </si>
  <si>
    <t xml:space="preserve">KIT-SFU1204-MS-400</t>
  </si>
  <si>
    <t xml:space="preserve">KIT-SFU1204-MS-420</t>
  </si>
  <si>
    <t xml:space="preserve">KIT-SFU1204-MS-450</t>
  </si>
  <si>
    <t xml:space="preserve">KIT-SFU1204-MS-500</t>
  </si>
  <si>
    <t xml:space="preserve">KIT-SFU1204-MS-550</t>
  </si>
  <si>
    <t xml:space="preserve">KIT-SFU1204-MS-600</t>
  </si>
  <si>
    <t xml:space="preserve">KIT-SFU1204-MS-650</t>
  </si>
  <si>
    <t xml:space="preserve">KIT-SFU1204-MS-700</t>
  </si>
  <si>
    <t xml:space="preserve">KIT-SFU1204-MS-750</t>
  </si>
  <si>
    <t xml:space="preserve">KIT-SFU1204-MS-800</t>
  </si>
  <si>
    <t xml:space="preserve">KIT-SFU1204-MS-850</t>
  </si>
  <si>
    <t xml:space="preserve">KIT-SFU1204-MS-900</t>
  </si>
  <si>
    <t xml:space="preserve">KIT-SFU1204-MS-950</t>
  </si>
  <si>
    <t xml:space="preserve">KIT-SFU1605-MS-350</t>
  </si>
  <si>
    <t xml:space="preserve">Ball Screw Lock Nut (R Radial / RN Square)  [Supports &amp; Nut Housings]</t>
  </si>
  <si>
    <t xml:space="preserve">R-type radial</t>
  </si>
  <si>
    <t xml:space="preserve">M100x1.5</t>
  </si>
  <si>
    <t xml:space="preserve">LN-R-CS-M100x1.5</t>
  </si>
  <si>
    <t xml:space="preserve">LN-R-CS-M100x2</t>
  </si>
  <si>
    <t xml:space="preserve">M100x2</t>
  </si>
  <si>
    <t xml:space="preserve">LN-R-CS-M105x2</t>
  </si>
  <si>
    <t xml:space="preserve">M105x2</t>
  </si>
  <si>
    <t xml:space="preserve">LN-R-CS-M10x0.75</t>
  </si>
  <si>
    <t xml:space="preserve">M10x0.75</t>
  </si>
  <si>
    <t xml:space="preserve">LN-R-CS-M10x1</t>
  </si>
  <si>
    <t xml:space="preserve">M10x1</t>
  </si>
  <si>
    <t xml:space="preserve">LN-R-CS-M10x1.25</t>
  </si>
  <si>
    <t xml:space="preserve">LN-R-CS-M10x1.5</t>
  </si>
  <si>
    <t xml:space="preserve">LN-R-CS-M110x2</t>
  </si>
  <si>
    <t xml:space="preserve">M110x2</t>
  </si>
  <si>
    <t xml:space="preserve">LN-R-CS-M115x2</t>
  </si>
  <si>
    <t xml:space="preserve">M115x2</t>
  </si>
  <si>
    <t xml:space="preserve">LN-R-CS-M120x2</t>
  </si>
  <si>
    <t xml:space="preserve">M120x2</t>
  </si>
  <si>
    <t xml:space="preserve">LN-R-CS-M125x2</t>
  </si>
  <si>
    <t xml:space="preserve">M125x2</t>
  </si>
  <si>
    <t xml:space="preserve">LN-R-CS-M12x1</t>
  </si>
  <si>
    <t xml:space="preserve">M12x1</t>
  </si>
  <si>
    <t xml:space="preserve">LN-R-CS-M12x1.25</t>
  </si>
  <si>
    <t xml:space="preserve">LN-R-CS-M130x2</t>
  </si>
  <si>
    <t xml:space="preserve">M130x2</t>
  </si>
  <si>
    <t xml:space="preserve">LN-R-CS-M135x2</t>
  </si>
  <si>
    <t xml:space="preserve">M135x2</t>
  </si>
  <si>
    <t xml:space="preserve">LN-R-CS-M140x2</t>
  </si>
  <si>
    <t xml:space="preserve">M140x2</t>
  </si>
  <si>
    <t xml:space="preserve">LN-R-CS-M145x2</t>
  </si>
  <si>
    <t xml:space="preserve">M145x2</t>
  </si>
  <si>
    <t xml:space="preserve">LN-R-CS-M14x1</t>
  </si>
  <si>
    <t xml:space="preserve">M14x1</t>
  </si>
  <si>
    <t xml:space="preserve">LN-R-CS-M14x1.5</t>
  </si>
  <si>
    <t xml:space="preserve">LN-R-CS-M150x2</t>
  </si>
  <si>
    <t xml:space="preserve">M150x2</t>
  </si>
  <si>
    <t xml:space="preserve">LN-R-CS-M155x3</t>
  </si>
  <si>
    <t xml:space="preserve">M155x3</t>
  </si>
  <si>
    <t xml:space="preserve">LN-R-CS-M15x1</t>
  </si>
  <si>
    <t xml:space="preserve">M15x1</t>
  </si>
  <si>
    <t xml:space="preserve">LN-R-CS-M15x1.5</t>
  </si>
  <si>
    <t xml:space="preserve">M15x1.5</t>
  </si>
  <si>
    <t xml:space="preserve">LN-R-CS-M160x3</t>
  </si>
  <si>
    <t xml:space="preserve">M160x3</t>
  </si>
  <si>
    <t xml:space="preserve">LN-R-CS-M165x3</t>
  </si>
  <si>
    <t xml:space="preserve">M165x3</t>
  </si>
  <si>
    <t xml:space="preserve">LN-R-CS-M16x1</t>
  </si>
  <si>
    <t xml:space="preserve">M16x1</t>
  </si>
  <si>
    <t xml:space="preserve">LN-R-CS-M16x1.5</t>
  </si>
  <si>
    <t xml:space="preserve">LN-R-CS-M170x3</t>
  </si>
  <si>
    <t xml:space="preserve">M170x3</t>
  </si>
  <si>
    <t xml:space="preserve">LN-R-CS-M17x1</t>
  </si>
  <si>
    <t xml:space="preserve">M17x1</t>
  </si>
  <si>
    <t xml:space="preserve">LN-R-CS-M17x1.5</t>
  </si>
  <si>
    <t xml:space="preserve">M17x1.5</t>
  </si>
  <si>
    <t xml:space="preserve">LN-R-CS-M180x3</t>
  </si>
  <si>
    <t xml:space="preserve">M180x3</t>
  </si>
  <si>
    <t xml:space="preserve">LN-R-CS-M18x1</t>
  </si>
  <si>
    <t xml:space="preserve">M18x1</t>
  </si>
  <si>
    <t xml:space="preserve">LN-R-CS-M18x1.5</t>
  </si>
  <si>
    <t xml:space="preserve">LN-R-CS-M190x3</t>
  </si>
  <si>
    <t xml:space="preserve">M190x3</t>
  </si>
  <si>
    <t xml:space="preserve">LN-R-CS-M200x3</t>
  </si>
  <si>
    <t xml:space="preserve">M200x3</t>
  </si>
  <si>
    <t xml:space="preserve">LN-R-CS-M20x1</t>
  </si>
  <si>
    <t xml:space="preserve">M20x1</t>
  </si>
  <si>
    <t xml:space="preserve">LN-R-CS-M20x1.5</t>
  </si>
  <si>
    <t xml:space="preserve">LN-R-CS-M22x1</t>
  </si>
  <si>
    <t xml:space="preserve">M22x1</t>
  </si>
  <si>
    <t xml:space="preserve">LN-R-CS-M22x1.5</t>
  </si>
  <si>
    <t xml:space="preserve">LN-R-CS-M24x1</t>
  </si>
  <si>
    <t xml:space="preserve">M24x1</t>
  </si>
  <si>
    <t xml:space="preserve">LN-R-CS-M24x1.5</t>
  </si>
  <si>
    <t xml:space="preserve">LN-R-CS-M25x1</t>
  </si>
  <si>
    <t xml:space="preserve">M25x1</t>
  </si>
  <si>
    <t xml:space="preserve">LN-R-CS-M25x1.5</t>
  </si>
  <si>
    <t xml:space="preserve">M25x1.5</t>
  </si>
  <si>
    <t xml:space="preserve">LN-R-CS-M26x1.5</t>
  </si>
  <si>
    <t xml:space="preserve">M26x1.5</t>
  </si>
  <si>
    <t xml:space="preserve">LN-R-CS-M27x1.5</t>
  </si>
  <si>
    <t xml:space="preserve">M27x1.5</t>
  </si>
  <si>
    <t xml:space="preserve">LN-R-CS-M28x1.5</t>
  </si>
  <si>
    <t xml:space="preserve">M28x1.5</t>
  </si>
  <si>
    <t xml:space="preserve">LN-R-CS-M30x1</t>
  </si>
  <si>
    <t xml:space="preserve">M30x1</t>
  </si>
  <si>
    <t xml:space="preserve">LN-R-CS-M30x1.5</t>
  </si>
  <si>
    <t xml:space="preserve">LN-R-CS-M30x2</t>
  </si>
  <si>
    <t xml:space="preserve">LN-R-CS-M32x1.5</t>
  </si>
  <si>
    <t xml:space="preserve">M32x1.5</t>
  </si>
  <si>
    <t xml:space="preserve">LN-R-CS-M33x1.5</t>
  </si>
  <si>
    <t xml:space="preserve">M33x1.5</t>
  </si>
  <si>
    <t xml:space="preserve">LN-R-CS-M34x1.5</t>
  </si>
  <si>
    <t xml:space="preserve">M34x1.5</t>
  </si>
  <si>
    <t xml:space="preserve">LN-R-CS-M34x2</t>
  </si>
  <si>
    <t xml:space="preserve">M34x2</t>
  </si>
  <si>
    <t xml:space="preserve">LN-R-CS-M35x1.5</t>
  </si>
  <si>
    <t xml:space="preserve">M35x1.5</t>
  </si>
  <si>
    <t xml:space="preserve">LN-R-CS-M35x2</t>
  </si>
  <si>
    <t xml:space="preserve">M35x2</t>
  </si>
  <si>
    <t xml:space="preserve">LN-R-CS-M36x1.5</t>
  </si>
  <si>
    <t xml:space="preserve">M36x1.5</t>
  </si>
  <si>
    <t xml:space="preserve">LN-R-CS-M36x2</t>
  </si>
  <si>
    <t xml:space="preserve">LN-R-CS-M38x1</t>
  </si>
  <si>
    <t xml:space="preserve">M38x1</t>
  </si>
  <si>
    <t xml:space="preserve">LN-R-CS-M38x1.5</t>
  </si>
  <si>
    <t xml:space="preserve">M38x1.5</t>
  </si>
  <si>
    <t xml:space="preserve">LN-R-CS-M38x2</t>
  </si>
  <si>
    <t xml:space="preserve">M38x2</t>
  </si>
  <si>
    <t xml:space="preserve">LN-R-CS-M39x1.5</t>
  </si>
  <si>
    <t xml:space="preserve">M39x1.5</t>
  </si>
  <si>
    <t xml:space="preserve">LN-R-CS-M39x2</t>
  </si>
  <si>
    <t xml:space="preserve">M39x2</t>
  </si>
  <si>
    <t xml:space="preserve">LN-R-CS-M40x1.5</t>
  </si>
  <si>
    <t xml:space="preserve">M40x1.5</t>
  </si>
  <si>
    <t xml:space="preserve">LN-R-CS-M40x2</t>
  </si>
  <si>
    <t xml:space="preserve">M40x2</t>
  </si>
  <si>
    <t xml:space="preserve">LN-R-CS-M42x1.5</t>
  </si>
  <si>
    <t xml:space="preserve">M42x1.5</t>
  </si>
  <si>
    <t xml:space="preserve">LN-R-CS-M42x2</t>
  </si>
  <si>
    <t xml:space="preserve">LN-R-CS-M44x1.5</t>
  </si>
  <si>
    <t xml:space="preserve">M44x1.5</t>
  </si>
  <si>
    <t xml:space="preserve">LN-R-CS-M44x2</t>
  </si>
  <si>
    <t xml:space="preserve">M44x2</t>
  </si>
  <si>
    <t xml:space="preserve">LN-R-CS-M45x1.5</t>
  </si>
  <si>
    <t xml:space="preserve">M45x1.5</t>
  </si>
  <si>
    <t xml:space="preserve">LN-R-CS-M45x2</t>
  </si>
  <si>
    <t xml:space="preserve">M45x2</t>
  </si>
  <si>
    <t xml:space="preserve">LN-R-CS-M46x1.5</t>
  </si>
  <si>
    <t xml:space="preserve">M46x1.5</t>
  </si>
  <si>
    <t xml:space="preserve">LN-R-CS-M48x1.5</t>
  </si>
  <si>
    <t xml:space="preserve">M48x1.5</t>
  </si>
  <si>
    <t xml:space="preserve">LN-R-CS-M48x2</t>
  </si>
  <si>
    <t xml:space="preserve">LN-R-CS-M50x1.5</t>
  </si>
  <si>
    <t xml:space="preserve">M50x1.5</t>
  </si>
  <si>
    <t xml:space="preserve">LN-R-CS-M50x2</t>
  </si>
  <si>
    <t xml:space="preserve">M50x2</t>
  </si>
  <si>
    <t xml:space="preserve">LN-R-CS-M52x1.5</t>
  </si>
  <si>
    <t xml:space="preserve">M52x1.5</t>
  </si>
  <si>
    <t xml:space="preserve">LN-R-CS-M52x2</t>
  </si>
  <si>
    <t xml:space="preserve">M52x2</t>
  </si>
  <si>
    <t xml:space="preserve">LN-R-CS-M54x1.5</t>
  </si>
  <si>
    <t xml:space="preserve">M54x1.5</t>
  </si>
  <si>
    <t xml:space="preserve">LN-R-CS-M54x2</t>
  </si>
  <si>
    <t xml:space="preserve">M54x2</t>
  </si>
  <si>
    <t xml:space="preserve">LN-R-CS-M55x1.5</t>
  </si>
  <si>
    <t xml:space="preserve">M55x1.5</t>
  </si>
  <si>
    <t xml:space="preserve">LN-R-CS-M55x2</t>
  </si>
  <si>
    <t xml:space="preserve">M55x2</t>
  </si>
  <si>
    <t xml:space="preserve">LN-R-CS-M56x1.5</t>
  </si>
  <si>
    <t xml:space="preserve">M56x1.5</t>
  </si>
  <si>
    <t xml:space="preserve">LN-R-CS-M56x2</t>
  </si>
  <si>
    <t xml:space="preserve">M56x2</t>
  </si>
  <si>
    <t xml:space="preserve">LN-R-CS-M58x1.5</t>
  </si>
  <si>
    <t xml:space="preserve">M58x1.5</t>
  </si>
  <si>
    <t xml:space="preserve">LN-R-CS-M58x2</t>
  </si>
  <si>
    <t xml:space="preserve">M58x2</t>
  </si>
  <si>
    <t xml:space="preserve">LN-R-CS-M60x1.5</t>
  </si>
  <si>
    <t xml:space="preserve">M60x1.5</t>
  </si>
  <si>
    <t xml:space="preserve">LN-R-CS-M60x2</t>
  </si>
  <si>
    <t xml:space="preserve">M60x2</t>
  </si>
  <si>
    <t xml:space="preserve">LN-R-CS-M64x1.5</t>
  </si>
  <si>
    <t xml:space="preserve">M64x1.5</t>
  </si>
  <si>
    <t xml:space="preserve">LN-R-CS-M64x2</t>
  </si>
  <si>
    <t xml:space="preserve">M64x2</t>
  </si>
  <si>
    <t xml:space="preserve">LN-R-CS-M65x1.5</t>
  </si>
  <si>
    <t xml:space="preserve">M65x1.5</t>
  </si>
  <si>
    <t xml:space="preserve">LN-R-CS-M65x2</t>
  </si>
  <si>
    <t xml:space="preserve">M65x2</t>
  </si>
  <si>
    <t xml:space="preserve">LN-R-CS-M68x1.5</t>
  </si>
  <si>
    <t xml:space="preserve">M68x1.5</t>
  </si>
  <si>
    <t xml:space="preserve">LN-R-CS-M68x2</t>
  </si>
  <si>
    <t xml:space="preserve">M68x2</t>
  </si>
  <si>
    <t xml:space="preserve">LN-R-CS-M6x0.5</t>
  </si>
  <si>
    <t xml:space="preserve">M6x0.5</t>
  </si>
  <si>
    <t xml:space="preserve">LN-R-CS-M6x0.75</t>
  </si>
  <si>
    <t xml:space="preserve">M6x0.75</t>
  </si>
  <si>
    <t xml:space="preserve">LN-R-CS-M6x1</t>
  </si>
  <si>
    <t xml:space="preserve">LN-R-CS-M70x1.5</t>
  </si>
  <si>
    <t xml:space="preserve">M70x1.5</t>
  </si>
  <si>
    <t xml:space="preserve">LN-R-CS-M70x2</t>
  </si>
  <si>
    <t xml:space="preserve">M70x2</t>
  </si>
  <si>
    <t xml:space="preserve">LN-R-CS-M72x1.5</t>
  </si>
  <si>
    <t xml:space="preserve">M72x1.5</t>
  </si>
  <si>
    <t xml:space="preserve">LN-R-CS-M72x2</t>
  </si>
  <si>
    <t xml:space="preserve">M72x2</t>
  </si>
  <si>
    <t xml:space="preserve">LN-R-CS-M75x1.5</t>
  </si>
  <si>
    <t xml:space="preserve">M75x1.5</t>
  </si>
  <si>
    <t xml:space="preserve">LN-R-CS-M75x2</t>
  </si>
  <si>
    <t xml:space="preserve">M75x2</t>
  </si>
  <si>
    <t xml:space="preserve">LN-R-CS-M80x1.5</t>
  </si>
  <si>
    <t xml:space="preserve">M80x1.5</t>
  </si>
  <si>
    <t xml:space="preserve">LN-R-CS-M80x2</t>
  </si>
  <si>
    <t xml:space="preserve">M80x2</t>
  </si>
  <si>
    <t xml:space="preserve">LN-R-CS-M85x1.5</t>
  </si>
  <si>
    <t xml:space="preserve">M85x1.5</t>
  </si>
  <si>
    <t xml:space="preserve">LN-R-CS-M85x2</t>
  </si>
  <si>
    <t xml:space="preserve">M85x2</t>
  </si>
  <si>
    <t xml:space="preserve">LN-R-CS-M8x0.75</t>
  </si>
  <si>
    <t xml:space="preserve">M8x0.75</t>
  </si>
  <si>
    <t xml:space="preserve">LN-R-CS-M8x1</t>
  </si>
  <si>
    <t xml:space="preserve">M8x1</t>
  </si>
  <si>
    <t xml:space="preserve">LN-R-CS-M8x1.25</t>
  </si>
  <si>
    <t xml:space="preserve">LN-R-CS-M90x1.5</t>
  </si>
  <si>
    <t xml:space="preserve">M90x1.5</t>
  </si>
  <si>
    <t xml:space="preserve">LN-R-CS-M90x2</t>
  </si>
  <si>
    <t xml:space="preserve">M90x2</t>
  </si>
  <si>
    <t xml:space="preserve">LN-R-CS-M95x1.5</t>
  </si>
  <si>
    <t xml:space="preserve">M95x1.5</t>
  </si>
  <si>
    <t xml:space="preserve">LN-R-CS-M95x2</t>
  </si>
  <si>
    <t xml:space="preserve">M95x2</t>
  </si>
  <si>
    <t xml:space="preserve">LN-RN-CS-S1-CU-M10x1</t>
  </si>
  <si>
    <t xml:space="preserve">Single set screw brass pad inside</t>
  </si>
  <si>
    <t xml:space="preserve">RN Square</t>
  </si>
  <si>
    <t xml:space="preserve">LN-RN-CS-S1-CU-M10x1.25</t>
  </si>
  <si>
    <t xml:space="preserve">LN-RN-CS-S1-CU-M10x1.5</t>
  </si>
  <si>
    <t xml:space="preserve">LN-RN-CS-S1-CU-M10x1.75</t>
  </si>
  <si>
    <t xml:space="preserve">M10x1.75</t>
  </si>
  <si>
    <t xml:space="preserve">LN-RN-CS-S1-CU-M12x1</t>
  </si>
  <si>
    <t xml:space="preserve">LN-RN-CS-S1-CU-M12x1.25</t>
  </si>
  <si>
    <t xml:space="preserve">LN-RN-CS-S1-CU-M12x1.5</t>
  </si>
  <si>
    <t xml:space="preserve">LN-RN-CS-S1-CU-M12x1.75</t>
  </si>
  <si>
    <t xml:space="preserve">LN-RN-CS-S1-CU-M14x1</t>
  </si>
  <si>
    <t xml:space="preserve">LN-RN-CS-S1-CU-M14x1.5</t>
  </si>
  <si>
    <t xml:space="preserve">LN-RN-CS-S1-CU-M15x1</t>
  </si>
  <si>
    <t xml:space="preserve">LN-RN-CS-S1-CU-M15x1.25</t>
  </si>
  <si>
    <t xml:space="preserve">M15x1.25</t>
  </si>
  <si>
    <t xml:space="preserve">LN-RN-CS-S1-CU-M15x1.5</t>
  </si>
  <si>
    <t xml:space="preserve">LN-RN-CS-S1-CU-M16x1</t>
  </si>
  <si>
    <t xml:space="preserve">LN-RN-CS-S1-CU-M16x1.5</t>
  </si>
  <si>
    <t xml:space="preserve">LN-RN-CS-S1-CU-M16x2</t>
  </si>
  <si>
    <t xml:space="preserve">LN-RN-CS-S1-CU-M18x1.5</t>
  </si>
  <si>
    <t xml:space="preserve">LN-RN-CS-S1-CU-M4x0.5</t>
  </si>
  <si>
    <t xml:space="preserve">M4x0.5</t>
  </si>
  <si>
    <t xml:space="preserve">LN-RN-CS-S1-CU-M5x0.5</t>
  </si>
  <si>
    <t xml:space="preserve">M5x0.5</t>
  </si>
  <si>
    <t xml:space="preserve">LN-RN-CS-S1-CU-M5x0.75</t>
  </si>
  <si>
    <t xml:space="preserve">M5x0.75</t>
  </si>
  <si>
    <t xml:space="preserve">LN-RN-CS-S1-CU-M6x0.5</t>
  </si>
  <si>
    <t xml:space="preserve">LN-RN-CS-S1-CU-M6x0.75</t>
  </si>
  <si>
    <t xml:space="preserve">LN-RN-CS-S1-CU-M6x1</t>
  </si>
  <si>
    <t xml:space="preserve">LN-RN-CS-S1-CU-M8x0.75</t>
  </si>
  <si>
    <t xml:space="preserve">LN-RN-CS-S1-CU-M8x1</t>
  </si>
  <si>
    <t xml:space="preserve">LN-RN-CS-S1-CU-M8x1.25</t>
  </si>
  <si>
    <t xml:space="preserve">LN-RN-CS-S1-CU-M9x0.75</t>
  </si>
  <si>
    <t xml:space="preserve">M9x0.75</t>
  </si>
  <si>
    <t xml:space="preserve">LN-RN-CS-S1-CU-M9x1</t>
  </si>
  <si>
    <t xml:space="preserve">M9x1</t>
  </si>
  <si>
    <t xml:space="preserve">LN-RN-CS-S1-M10x1</t>
  </si>
  <si>
    <t xml:space="preserve">Single set screw</t>
  </si>
  <si>
    <t xml:space="preserve">LN-RN-CS-S1-M12x1</t>
  </si>
  <si>
    <t xml:space="preserve">LN-RN-CS-S1-M12x1.25</t>
  </si>
  <si>
    <t xml:space="preserve">LN-RN-CS-S1-M15x1</t>
  </si>
  <si>
    <t xml:space="preserve">LN-RN-CS-S1-M6x0.5</t>
  </si>
  <si>
    <t xml:space="preserve">LN-RN-CS-S1-M6x0.75</t>
  </si>
  <si>
    <t xml:space="preserve">LN-RN-CS-S1-M6x1</t>
  </si>
  <si>
    <t xml:space="preserve">LN-RN-CS-S1-M8x1</t>
  </si>
  <si>
    <t xml:space="preserve">LN-RN-CS-S2-CU-M10x1</t>
  </si>
  <si>
    <t xml:space="preserve">Double set screw brass pad inside</t>
  </si>
  <si>
    <t xml:space="preserve">LN-RN-CS-S2-CU-M12x1</t>
  </si>
  <si>
    <t xml:space="preserve">LN-RN-CS-S2-CU-M15x1</t>
  </si>
  <si>
    <t xml:space="preserve">LN-RN-CS-S2-CU-M17x1</t>
  </si>
  <si>
    <t xml:space="preserve">LN-RN-CS-S2-CU-M17x1.5</t>
  </si>
  <si>
    <t xml:space="preserve">LN-RN-CS-S2-CU-M20x1</t>
  </si>
  <si>
    <t xml:space="preserve">LN-RN-CS-S2-CU-M20x1.5</t>
  </si>
  <si>
    <t xml:space="preserve">LN-RN-CS-S2-CU-M20x2</t>
  </si>
  <si>
    <t xml:space="preserve">LN-RN-CS-S2-CU-M20x2.5</t>
  </si>
  <si>
    <t xml:space="preserve">LN-RN-CS-S2-CU-M22x1.5</t>
  </si>
  <si>
    <t xml:space="preserve">LN-RN-CS-S2-CU-M24x1</t>
  </si>
  <si>
    <t xml:space="preserve">LN-RN-CS-S2-CU-M24x1.5</t>
  </si>
  <si>
    <t xml:space="preserve">LN-RN-CS-S2-CU-M25x1</t>
  </si>
  <si>
    <t xml:space="preserve">LN-RN-CS-S2-CU-M25x1.5</t>
  </si>
  <si>
    <t xml:space="preserve">LN-RN-CS-S2-CU-M25x2</t>
  </si>
  <si>
    <t xml:space="preserve">M25x2</t>
  </si>
  <si>
    <t xml:space="preserve">LN-RN-CS-S2-CU-M27x1</t>
  </si>
  <si>
    <t xml:space="preserve">M27x1</t>
  </si>
  <si>
    <t xml:space="preserve">LN-RN-CS-S2-CU-M27x1.5</t>
  </si>
  <si>
    <t xml:space="preserve">LN-RN-CS-S2-CU-M30x1</t>
  </si>
  <si>
    <t xml:space="preserve">LN-RN-CS-S2-CU-M30x1.5</t>
  </si>
  <si>
    <t xml:space="preserve">LN-RN-CS-S2-CU-M30x2</t>
  </si>
  <si>
    <t xml:space="preserve">LN-RN-CS-S2-CU-M35x1.5</t>
  </si>
  <si>
    <t xml:space="preserve">LN-RN-CS-S2-CU-M35x2</t>
  </si>
  <si>
    <t xml:space="preserve">LN-RN-CS-S2-CU-M40x1.5</t>
  </si>
  <si>
    <t xml:space="preserve">LN-RN-CS-S2-CU-M40x2</t>
  </si>
  <si>
    <t xml:space="preserve">LN-RN-CS-S2-CU-M50x1.5</t>
  </si>
  <si>
    <t xml:space="preserve">LN-RN-CS-S2-CU-M50x2</t>
  </si>
  <si>
    <t xml:space="preserve">LN-RN-CS-S2-CU-M6x0.75</t>
  </si>
  <si>
    <t xml:space="preserve">LN-RN-CS-S2-M15x1</t>
  </si>
  <si>
    <t xml:space="preserve">Double set screw</t>
  </si>
  <si>
    <t xml:space="preserve">LN-RN-CS-S2-M17x1</t>
  </si>
  <si>
    <t xml:space="preserve">LN-RN-CS-S2-M20x1</t>
  </si>
  <si>
    <t xml:space="preserve">LN-RN-CS-S2-M20x1.5</t>
  </si>
  <si>
    <t xml:space="preserve">LN-RN-CS-S2-M25x1</t>
  </si>
  <si>
    <t xml:space="preserve">LN-RN-CS-S2-M25x1.5</t>
  </si>
  <si>
    <t xml:space="preserve">LN-RN-CS-S2-M30x1.5</t>
  </si>
  <si>
    <t xml:space="preserve">LN-RN-CS-S2-M35x1.5</t>
  </si>
  <si>
    <t xml:space="preserve">LN-RN-CS-S2-M40x1.5</t>
  </si>
  <si>
    <t xml:space="preserve">LN-RN-S304-S2-CU-M12x1</t>
  </si>
  <si>
    <t xml:space="preserve">Side Mount Shaft Support CLTAM (heavy)  [Supports &amp; Nut Housings]</t>
  </si>
  <si>
    <t xml:space="preserve">CLTAM10</t>
  </si>
  <si>
    <t xml:space="preserve">RL-007-10-SV-CLTAM10</t>
  </si>
  <si>
    <t xml:space="preserve">RL-007-12-SV-CLTAM12</t>
  </si>
  <si>
    <t xml:space="preserve">CLTAM12</t>
  </si>
  <si>
    <t xml:space="preserve">RL-007-13-SV-CLTAM13</t>
  </si>
  <si>
    <t xml:space="preserve">CLTAM13</t>
  </si>
  <si>
    <t xml:space="preserve">RL-007-14-SV-CLTAM14</t>
  </si>
  <si>
    <t xml:space="preserve">CLTAM14</t>
  </si>
  <si>
    <t xml:space="preserve">RL-007-15-SV-CLTAM15</t>
  </si>
  <si>
    <t xml:space="preserve">CLTAM15</t>
  </si>
  <si>
    <t xml:space="preserve">RL-007-16-SV-CLTAM16</t>
  </si>
  <si>
    <t xml:space="preserve">CLTAM16</t>
  </si>
  <si>
    <t xml:space="preserve">RL-007-20-BK-CLTBM20</t>
  </si>
  <si>
    <t xml:space="preserve">CLTBM20</t>
  </si>
  <si>
    <t xml:space="preserve">RL-007-20-SV-CLNA20</t>
  </si>
  <si>
    <t xml:space="preserve">CLNA20</t>
  </si>
  <si>
    <t xml:space="preserve">RL-007-20-SV-CLTAM20</t>
  </si>
  <si>
    <t xml:space="preserve">CLTAM20</t>
  </si>
  <si>
    <t xml:space="preserve">RL-007-25-BK-CLTBM25</t>
  </si>
  <si>
    <t xml:space="preserve">CLTBM25</t>
  </si>
  <si>
    <t xml:space="preserve">RL-007-25-SV-CLNA25</t>
  </si>
  <si>
    <t xml:space="preserve">CLNA25</t>
  </si>
  <si>
    <t xml:space="preserve">RL-007-25-SV-CLTAM25</t>
  </si>
  <si>
    <t xml:space="preserve">CLTAM25</t>
  </si>
  <si>
    <t xml:space="preserve">RL-007-30-BK-CLTBM30</t>
  </si>
  <si>
    <t xml:space="preserve">CLTBM30</t>
  </si>
  <si>
    <t xml:space="preserve">RL-007-30-SV-CLNA30</t>
  </si>
  <si>
    <t xml:space="preserve">CLNA30</t>
  </si>
  <si>
    <t xml:space="preserve">RL-007-30-SV-CLTAM30</t>
  </si>
  <si>
    <t xml:space="preserve">CLTAM30</t>
  </si>
  <si>
    <t xml:space="preserve">RL-007-32-SV-CLTAM32</t>
  </si>
  <si>
    <t xml:space="preserve">CLTAM32</t>
  </si>
  <si>
    <t xml:space="preserve">RL-007-35-SV-CLNA35</t>
  </si>
  <si>
    <t xml:space="preserve">CLNA35</t>
  </si>
  <si>
    <t xml:space="preserve">RL-007-35-SV-CLTAM35</t>
  </si>
  <si>
    <t xml:space="preserve">CLTAM35</t>
  </si>
  <si>
    <t xml:space="preserve">RL-007-40-SV-CLNA40</t>
  </si>
  <si>
    <t xml:space="preserve">CLNA40</t>
  </si>
  <si>
    <t xml:space="preserve">RL-007-40-SV-CLTAM40</t>
  </si>
  <si>
    <t xml:space="preserve">CLTAM40</t>
  </si>
  <si>
    <t xml:space="preserve">RL-007-50-SV-CLTAM50</t>
  </si>
  <si>
    <t xml:space="preserve">CLTAM50</t>
  </si>
  <si>
    <t xml:space="preserve">RL-007-6-SV-CLTAM6</t>
  </si>
  <si>
    <t xml:space="preserve">CLTAM6</t>
  </si>
  <si>
    <t xml:space="preserve">RL-007-8-SV-CLTAM8</t>
  </si>
  <si>
    <t xml:space="preserve">CLTAM8</t>
  </si>
  <si>
    <t xml:space="preserve">Shaft Support SK / SHF  [Supports &amp; Nut Housings]</t>
  </si>
  <si>
    <t xml:space="preserve">Glossy SHF16 stepped</t>
  </si>
  <si>
    <t xml:space="preserve">RL-006-BK-BR-SHF16-DTJ</t>
  </si>
  <si>
    <t xml:space="preserve">RL-006-BK-BR-SK16</t>
  </si>
  <si>
    <t xml:space="preserve">Glossy SK16</t>
  </si>
  <si>
    <t xml:space="preserve">RL-006-SV-BR-LONG-SHFL16</t>
  </si>
  <si>
    <t xml:space="preserve">Glossy Long SHFL16</t>
  </si>
  <si>
    <t xml:space="preserve">RL-006-SV-BR-LONG-SHFL20</t>
  </si>
  <si>
    <t xml:space="preserve">Glossy Long SHFL20</t>
  </si>
  <si>
    <t xml:space="preserve">RL-006-SV-BR-LONG-SHFL25</t>
  </si>
  <si>
    <t xml:space="preserve">Glossy Long SHFL25</t>
  </si>
  <si>
    <t xml:space="preserve">RL-006-SV-BR-LONG-SHFL30</t>
  </si>
  <si>
    <t xml:space="preserve">Glossy Long SHFL30</t>
  </si>
  <si>
    <t xml:space="preserve">RL-006-SV-BR-LONG-SHFL35</t>
  </si>
  <si>
    <t xml:space="preserve">Glossy Long SHFL35</t>
  </si>
  <si>
    <t xml:space="preserve">RL-006-SV-BR-LONG-SHFL40</t>
  </si>
  <si>
    <t xml:space="preserve">Glossy Long SHFL40</t>
  </si>
  <si>
    <t xml:space="preserve">RL-006-SV-BR-LONG-SHFL50</t>
  </si>
  <si>
    <t xml:space="preserve">Glossy Long SHFL50</t>
  </si>
  <si>
    <t xml:space="preserve">RL-006-SV-BR-NM-SHF10-BDTJ</t>
  </si>
  <si>
    <t xml:space="preserve">Glossy Wear-resistant SHF10 no step</t>
  </si>
  <si>
    <t xml:space="preserve">RL-006-SV-BR-NM-SHF12-DTJ</t>
  </si>
  <si>
    <t xml:space="preserve">Glossy Wear-resistant SHF12 stepped</t>
  </si>
  <si>
    <t xml:space="preserve">RL-006-SV-BR-NM-SHF16-DTJ</t>
  </si>
  <si>
    <t xml:space="preserve">Glossy Wear-resistant SHF16 stepped</t>
  </si>
  <si>
    <t xml:space="preserve">RL-006-SV-BR-NM-SHF20-DTJ</t>
  </si>
  <si>
    <t xml:space="preserve">Glossy Wear-resistant SHF20 stepped</t>
  </si>
  <si>
    <t xml:space="preserve">RL-006-SV-BR-NM-SHF25-DTJ</t>
  </si>
  <si>
    <t xml:space="preserve">Glossy Wear-resistant SHF25 stepped</t>
  </si>
  <si>
    <t xml:space="preserve">RL-006-SV-BR-NM-SHF30-DTJ</t>
  </si>
  <si>
    <t xml:space="preserve">Glossy Wear-resistant SHF30 stepped</t>
  </si>
  <si>
    <t xml:space="preserve">RL-006-SV-BR-NM-SHF35-DTJ</t>
  </si>
  <si>
    <t xml:space="preserve">Glossy Wear-resistant SHF35 stepped</t>
  </si>
  <si>
    <t xml:space="preserve">RL-006-SV-BR-NM-SHF40-DTJ</t>
  </si>
  <si>
    <t xml:space="preserve">Glossy Wear-resistant SHF40 stepped</t>
  </si>
  <si>
    <t xml:space="preserve">RL-006-SV-BR-NM-SHF50-DTJ</t>
  </si>
  <si>
    <t xml:space="preserve">Glossy Wear-resistant SHF50 stepped</t>
  </si>
  <si>
    <t xml:space="preserve">RL-006-SV-BR-NM-SHF8-BDTJ</t>
  </si>
  <si>
    <t xml:space="preserve">Glossy Wear-resistant SHF8 no step</t>
  </si>
  <si>
    <t xml:space="preserve">RL-006-SV-BR-NM-SHF8-DTJ</t>
  </si>
  <si>
    <t xml:space="preserve">Glossy Wear-resistant SHF8 stepped</t>
  </si>
  <si>
    <t xml:space="preserve">RL-006-SV-BR-NM-SK10</t>
  </si>
  <si>
    <t xml:space="preserve">Glossy Wear-resistant SK10</t>
  </si>
  <si>
    <t xml:space="preserve">RL-006-SV-BR-NM-SK12</t>
  </si>
  <si>
    <t xml:space="preserve">Glossy Wear-resistant SK12</t>
  </si>
  <si>
    <t xml:space="preserve">RL-006-SV-BR-NM-SK16</t>
  </si>
  <si>
    <t xml:space="preserve">Glossy Wear-resistant SK16</t>
  </si>
  <si>
    <t xml:space="preserve">RL-006-SV-BR-NM-SK20</t>
  </si>
  <si>
    <t xml:space="preserve">Glossy Wear-resistant SK20</t>
  </si>
  <si>
    <t xml:space="preserve">RL-006-SV-BR-NM-SK25</t>
  </si>
  <si>
    <t xml:space="preserve">Glossy Wear-resistant SK25</t>
  </si>
  <si>
    <t xml:space="preserve">RL-006-SV-BR-NM-SK30</t>
  </si>
  <si>
    <t xml:space="preserve">Glossy Wear-resistant SK30</t>
  </si>
  <si>
    <t xml:space="preserve">RL-006-SV-BR-NM-SK35</t>
  </si>
  <si>
    <t xml:space="preserve">Glossy Wear-resistant SK35</t>
  </si>
  <si>
    <t xml:space="preserve">RL-006-SV-BR-NM-SK40</t>
  </si>
  <si>
    <t xml:space="preserve">Glossy Wear-resistant SK40</t>
  </si>
  <si>
    <t xml:space="preserve">RL-006-SV-BR-NM-SK50</t>
  </si>
  <si>
    <t xml:space="preserve">Glossy Wear-resistant SK50</t>
  </si>
  <si>
    <t xml:space="preserve">RL-006-SV-BR-NM-SK6</t>
  </si>
  <si>
    <t xml:space="preserve">Glossy Wear-resistant SK6</t>
  </si>
  <si>
    <t xml:space="preserve">RL-006-SV-BR-NM-SK60</t>
  </si>
  <si>
    <t xml:space="preserve">Glossy Wear-resistant SK60</t>
  </si>
  <si>
    <t xml:space="preserve">RL-006-SV-BR-NM-SK8</t>
  </si>
  <si>
    <t xml:space="preserve">Glossy Wear-resistant SK8</t>
  </si>
  <si>
    <t xml:space="preserve">RL-006-SV-BR-SHF10-BDTJ</t>
  </si>
  <si>
    <t xml:space="preserve">Glossy SHF10 no step</t>
  </si>
  <si>
    <t xml:space="preserve">RL-006-SV-BR-SHF12-DTJ</t>
  </si>
  <si>
    <t xml:space="preserve">Glossy SHF12 stepped</t>
  </si>
  <si>
    <t xml:space="preserve">RL-006-SV-BR-SHF13-DTJ</t>
  </si>
  <si>
    <t xml:space="preserve">Glossy SHF13 stepped</t>
  </si>
  <si>
    <t xml:space="preserve">RL-006-SV-BR-SHF16-DTJ</t>
  </si>
  <si>
    <t xml:space="preserve">RL-006-SV-BR-SHF20-DTJ</t>
  </si>
  <si>
    <t xml:space="preserve">Glossy SHF20 stepped</t>
  </si>
  <si>
    <t xml:space="preserve">RL-006-SV-BR-SHF25-DTJ</t>
  </si>
  <si>
    <t xml:space="preserve">Glossy SHF25 stepped</t>
  </si>
  <si>
    <t xml:space="preserve">RL-006-SV-BR-SHF30-DTJ</t>
  </si>
  <si>
    <t xml:space="preserve">Glossy SHF30 stepped</t>
  </si>
  <si>
    <t xml:space="preserve">RL-006-SV-BR-SHF35-DTJ</t>
  </si>
  <si>
    <t xml:space="preserve">Glossy SHF35 stepped</t>
  </si>
  <si>
    <t xml:space="preserve">RL-006-SV-BR-SHF40-DTJ</t>
  </si>
  <si>
    <t xml:space="preserve">Glossy SHF40 stepped</t>
  </si>
  <si>
    <t xml:space="preserve">RL-006-SV-BR-SHF50-DTJ</t>
  </si>
  <si>
    <t xml:space="preserve">Glossy SHF50 stepped</t>
  </si>
  <si>
    <t xml:space="preserve">RL-006-SV-BR-SHF6-BDTJ</t>
  </si>
  <si>
    <t xml:space="preserve">Glossy SHF6 no step</t>
  </si>
  <si>
    <t xml:space="preserve">RL-006-SV-BR-SHF60-DTJ</t>
  </si>
  <si>
    <t xml:space="preserve">Glossy SHF60 stepped</t>
  </si>
  <si>
    <t xml:space="preserve">RL-006-SV-BR-SHF8-BDTJ</t>
  </si>
  <si>
    <t xml:space="preserve">Glossy SHF8 no step</t>
  </si>
  <si>
    <t xml:space="preserve">RL-006-SV-BR-SHF8-DTJ</t>
  </si>
  <si>
    <t xml:space="preserve">Glossy SHF8 stepped</t>
  </si>
  <si>
    <t xml:space="preserve">RL-006-SV-BR-SK10</t>
  </si>
  <si>
    <t xml:space="preserve">Glossy SK10</t>
  </si>
  <si>
    <t xml:space="preserve">RL-006-SV-BR-SK12</t>
  </si>
  <si>
    <t xml:space="preserve">Glossy SK12</t>
  </si>
  <si>
    <t xml:space="preserve">RL-006-SV-BR-SK13</t>
  </si>
  <si>
    <t xml:space="preserve">Glossy SK13</t>
  </si>
  <si>
    <t xml:space="preserve">RL-006-SV-BR-SK15</t>
  </si>
  <si>
    <t xml:space="preserve">Glossy SK15</t>
  </si>
  <si>
    <t xml:space="preserve">RL-006-SV-BR-SK16</t>
  </si>
  <si>
    <t xml:space="preserve">RL-006-SV-BR-SK17</t>
  </si>
  <si>
    <t xml:space="preserve">Glossy SK17</t>
  </si>
  <si>
    <t xml:space="preserve">RL-006-SV-BR-SK18</t>
  </si>
  <si>
    <t xml:space="preserve">Glossy SK18</t>
  </si>
  <si>
    <t xml:space="preserve">RL-006-SV-BR-SK20</t>
  </si>
  <si>
    <t xml:space="preserve">Glossy SK20</t>
  </si>
  <si>
    <t xml:space="preserve">RL-006-SV-BR-SK22</t>
  </si>
  <si>
    <t xml:space="preserve">Glossy SK22</t>
  </si>
  <si>
    <t xml:space="preserve">RL-006-SV-BR-SK25</t>
  </si>
  <si>
    <t xml:space="preserve">Glossy SK25</t>
  </si>
  <si>
    <t xml:space="preserve">RL-006-SV-BR-SK28</t>
  </si>
  <si>
    <t xml:space="preserve">Glossy SK28</t>
  </si>
  <si>
    <t xml:space="preserve">RL-006-SV-BR-SK30</t>
  </si>
  <si>
    <t xml:space="preserve">Glossy SK30</t>
  </si>
  <si>
    <t xml:space="preserve">RL-006-SV-BR-SK32</t>
  </si>
  <si>
    <t xml:space="preserve">Glossy SK32</t>
  </si>
  <si>
    <t xml:space="preserve">RL-006-SV-BR-SK35</t>
  </si>
  <si>
    <t xml:space="preserve">Glossy SK35</t>
  </si>
  <si>
    <t xml:space="preserve">RL-006-SV-BR-SK38</t>
  </si>
  <si>
    <t xml:space="preserve">Glossy SK38</t>
  </si>
  <si>
    <t xml:space="preserve">RL-006-SV-BR-SK40</t>
  </si>
  <si>
    <t xml:space="preserve">Glossy SK40</t>
  </si>
  <si>
    <t xml:space="preserve">RL-006-SV-BR-SK42</t>
  </si>
  <si>
    <t xml:space="preserve">Glossy SK42</t>
  </si>
  <si>
    <t xml:space="preserve">RL-006-SV-BR-SK50</t>
  </si>
  <si>
    <t xml:space="preserve">Glossy SK50</t>
  </si>
  <si>
    <t xml:space="preserve">RL-006-SV-BR-SK6</t>
  </si>
  <si>
    <t xml:space="preserve">Glossy SK6</t>
  </si>
  <si>
    <t xml:space="preserve">RL-006-SV-BR-SK60</t>
  </si>
  <si>
    <t xml:space="preserve">Glossy SK60</t>
  </si>
  <si>
    <t xml:space="preserve">RL-006-SV-BR-SK8</t>
  </si>
  <si>
    <t xml:space="preserve">Glossy SK8</t>
  </si>
  <si>
    <t xml:space="preserve">RL-006-SV-MT-NM-SHF10-BDTJ</t>
  </si>
  <si>
    <t xml:space="preserve">Matte Wear-resistant SHF10 no step</t>
  </si>
  <si>
    <t xml:space="preserve">RL-006-SV-MT-NM-SHF12-DTJ</t>
  </si>
  <si>
    <t xml:space="preserve">Matte Wear-resistant SHF12 stepped</t>
  </si>
  <si>
    <t xml:space="preserve">RL-006-SV-MT-NM-SHF16-DTJ</t>
  </si>
  <si>
    <t xml:space="preserve">Matte Wear-resistant SHF16 stepped</t>
  </si>
  <si>
    <t xml:space="preserve">RL-006-SV-MT-NM-SHF20-DTJ</t>
  </si>
  <si>
    <t xml:space="preserve">Matte Wear-resistant SHF20 stepped</t>
  </si>
  <si>
    <t xml:space="preserve">RL-006-SV-MT-NM-SHF25-DTJ</t>
  </si>
  <si>
    <t xml:space="preserve">Matte Wear-resistant SHF25 stepped</t>
  </si>
  <si>
    <t xml:space="preserve">RL-006-SV-MT-NM-SHF30-DTJ</t>
  </si>
  <si>
    <t xml:space="preserve">Matte Wear-resistant SHF30 stepped</t>
  </si>
  <si>
    <t xml:space="preserve">RL-006-SV-MT-NM-SHF35-DTJ</t>
  </si>
  <si>
    <t xml:space="preserve">Matte Wear-resistant SHF35 stepped</t>
  </si>
  <si>
    <t xml:space="preserve">RL-006-SV-MT-NM-SHF40-DTJ</t>
  </si>
  <si>
    <t xml:space="preserve">Matte Wear-resistant SHF40 stepped</t>
  </si>
  <si>
    <t xml:space="preserve">RL-006-SV-MT-NM-SHF50-DTJ</t>
  </si>
  <si>
    <t xml:space="preserve">Matte Wear-resistant SHF50 stepped</t>
  </si>
  <si>
    <t xml:space="preserve">RL-006-SV-MT-NM-SHF6-BDTJ</t>
  </si>
  <si>
    <t xml:space="preserve">Matte Wear-resistant SHF6 no step</t>
  </si>
  <si>
    <t xml:space="preserve">RL-006-SV-MT-NM-SHF8-BDTJ</t>
  </si>
  <si>
    <t xml:space="preserve">Matte Wear-resistant SHF8 no step</t>
  </si>
  <si>
    <t xml:space="preserve">RL-006-SV-MT-NM-SHF8-DTJ</t>
  </si>
  <si>
    <t xml:space="preserve">Matte Wear-resistant SHF8 stepped</t>
  </si>
  <si>
    <t xml:space="preserve">RL-006-SV-MT-NM-SK10</t>
  </si>
  <si>
    <t xml:space="preserve">Matte Wear-resistant SK10</t>
  </si>
  <si>
    <t xml:space="preserve">RL-006-SV-MT-NM-SK12</t>
  </si>
  <si>
    <t xml:space="preserve">Matte Wear-resistant SK12</t>
  </si>
  <si>
    <t xml:space="preserve">RL-006-SV-MT-NM-SK16</t>
  </si>
  <si>
    <t xml:space="preserve">Matte Wear-resistant SK16</t>
  </si>
  <si>
    <t xml:space="preserve">RL-006-SV-MT-NM-SK20</t>
  </si>
  <si>
    <t xml:space="preserve">Matte Wear-resistant SK20</t>
  </si>
  <si>
    <t xml:space="preserve">RL-006-SV-MT-NM-SK25</t>
  </si>
  <si>
    <t xml:space="preserve">Matte Wear-resistant SK25</t>
  </si>
  <si>
    <t xml:space="preserve">RL-006-SV-MT-NM-SK30</t>
  </si>
  <si>
    <t xml:space="preserve">Matte Wear-resistant SK30</t>
  </si>
  <si>
    <t xml:space="preserve">RL-006-SV-MT-NM-SK35</t>
  </si>
  <si>
    <t xml:space="preserve">Matte Wear-resistant SK35</t>
  </si>
  <si>
    <t xml:space="preserve">RL-006-SV-MT-NM-SK40</t>
  </si>
  <si>
    <t xml:space="preserve">Matte Wear-resistant SK40</t>
  </si>
  <si>
    <t xml:space="preserve">RL-006-SV-MT-NM-SK50</t>
  </si>
  <si>
    <t xml:space="preserve">Matte Wear-resistant SK50</t>
  </si>
  <si>
    <t xml:space="preserve">RL-006-SV-MT-NM-SK60</t>
  </si>
  <si>
    <t xml:space="preserve">Matte Wear-resistant SK60</t>
  </si>
  <si>
    <t xml:space="preserve">RL-006-SV-MT-NM-SK8</t>
  </si>
  <si>
    <t xml:space="preserve">Matte Wear-resistant SK8</t>
  </si>
  <si>
    <t xml:space="preserve">Ball Screw End Support BK / BF / EK / EF / FK / FF  [Supports &amp; Nut Housings]</t>
  </si>
  <si>
    <t xml:space="preserve">AF10</t>
  </si>
  <si>
    <t xml:space="preserve">RL-008-AF10</t>
  </si>
  <si>
    <t xml:space="preserve">RL-008-AF12</t>
  </si>
  <si>
    <t xml:space="preserve">AF12</t>
  </si>
  <si>
    <t xml:space="preserve">RL-008-AF15</t>
  </si>
  <si>
    <t xml:space="preserve">AF15</t>
  </si>
  <si>
    <t xml:space="preserve">RL-008-AF20</t>
  </si>
  <si>
    <t xml:space="preserve">AF20</t>
  </si>
  <si>
    <t xml:space="preserve">RL-008-AF25</t>
  </si>
  <si>
    <t xml:space="preserve">AF25</t>
  </si>
  <si>
    <t xml:space="preserve">RL-008-AK10</t>
  </si>
  <si>
    <t xml:space="preserve">AK10</t>
  </si>
  <si>
    <t xml:space="preserve">RL-008-AK10-C5JJC</t>
  </si>
  <si>
    <t xml:space="preserve">AK10-C5 angular contact</t>
  </si>
  <si>
    <t xml:space="preserve">RL-008-AK12</t>
  </si>
  <si>
    <t xml:space="preserve">AK12</t>
  </si>
  <si>
    <t xml:space="preserve">RL-008-AK12-C5JJC</t>
  </si>
  <si>
    <t xml:space="preserve">AK12-C5 angular contact</t>
  </si>
  <si>
    <t xml:space="preserve">RL-008-AK15</t>
  </si>
  <si>
    <t xml:space="preserve">AK15</t>
  </si>
  <si>
    <t xml:space="preserve">RL-008-AK15-C5JJC</t>
  </si>
  <si>
    <t xml:space="preserve">AK15-C5 angular contact</t>
  </si>
  <si>
    <t xml:space="preserve">RL-008-AK20</t>
  </si>
  <si>
    <t xml:space="preserve">AK20</t>
  </si>
  <si>
    <t xml:space="preserve">RL-008-AK20-C5JJC</t>
  </si>
  <si>
    <t xml:space="preserve">AK20-C5 angular contact</t>
  </si>
  <si>
    <t xml:space="preserve">RL-008-AK25</t>
  </si>
  <si>
    <t xml:space="preserve">AK25</t>
  </si>
  <si>
    <t xml:space="preserve">RL-008-AK25-C5JJC</t>
  </si>
  <si>
    <t xml:space="preserve">AK25-C5 angular contact</t>
  </si>
  <si>
    <t xml:space="preserve">RL-008-BF10</t>
  </si>
  <si>
    <t xml:space="preserve">BF10</t>
  </si>
  <si>
    <t xml:space="preserve">RL-008-BF12</t>
  </si>
  <si>
    <t xml:space="preserve">BF12</t>
  </si>
  <si>
    <t xml:space="preserve">RL-008-BF15</t>
  </si>
  <si>
    <t xml:space="preserve">BF15</t>
  </si>
  <si>
    <t xml:space="preserve">RL-008-BF17</t>
  </si>
  <si>
    <t xml:space="preserve">BF17</t>
  </si>
  <si>
    <t xml:space="preserve">RL-008-BF20</t>
  </si>
  <si>
    <t xml:space="preserve">BF20</t>
  </si>
  <si>
    <t xml:space="preserve">RL-008-BF20-C5JJC</t>
  </si>
  <si>
    <t xml:space="preserve">BF20-C5 angular contact</t>
  </si>
  <si>
    <t xml:space="preserve">RL-008-BF25</t>
  </si>
  <si>
    <t xml:space="preserve">BF25</t>
  </si>
  <si>
    <t xml:space="preserve">RL-008-BF30</t>
  </si>
  <si>
    <t xml:space="preserve">BF30</t>
  </si>
  <si>
    <t xml:space="preserve">RL-008-BF35</t>
  </si>
  <si>
    <t xml:space="preserve">BF35</t>
  </si>
  <si>
    <t xml:space="preserve">RL-008-BF40</t>
  </si>
  <si>
    <t xml:space="preserve">BF40</t>
  </si>
  <si>
    <t xml:space="preserve">RL-008-BK10</t>
  </si>
  <si>
    <t xml:space="preserve">BK10</t>
  </si>
  <si>
    <t xml:space="preserve">RL-008-BK10-C5JJC</t>
  </si>
  <si>
    <t xml:space="preserve">BK10-C5 angular contact</t>
  </si>
  <si>
    <t xml:space="preserve">RL-008-BK12</t>
  </si>
  <si>
    <t xml:space="preserve">BK12</t>
  </si>
  <si>
    <t xml:space="preserve">RL-008-BK12-C5JJC</t>
  </si>
  <si>
    <t xml:space="preserve">BK12-C5 angular contact</t>
  </si>
  <si>
    <t xml:space="preserve">RL-008-BK15</t>
  </si>
  <si>
    <t xml:space="preserve">BK15</t>
  </si>
  <si>
    <t xml:space="preserve">RL-008-BK15-C5JJC</t>
  </si>
  <si>
    <t xml:space="preserve">BK15-C5 angular contact</t>
  </si>
  <si>
    <t xml:space="preserve">RL-008-BK17</t>
  </si>
  <si>
    <t xml:space="preserve">BK17</t>
  </si>
  <si>
    <t xml:space="preserve">RL-008-BK17-C5JJC</t>
  </si>
  <si>
    <t xml:space="preserve">BK17-C5 angular contact</t>
  </si>
  <si>
    <t xml:space="preserve">RL-008-BK20</t>
  </si>
  <si>
    <t xml:space="preserve">BK20</t>
  </si>
  <si>
    <t xml:space="preserve">RL-008-BK20-C5JJC</t>
  </si>
  <si>
    <t xml:space="preserve">BK20-C5 angular contact</t>
  </si>
  <si>
    <t xml:space="preserve">RL-008-BK25</t>
  </si>
  <si>
    <t xml:space="preserve">BK25</t>
  </si>
  <si>
    <t xml:space="preserve">RL-008-BK25-C5JJC</t>
  </si>
  <si>
    <t xml:space="preserve">BK25-C5 angular contact</t>
  </si>
  <si>
    <t xml:space="preserve">RL-008-BK30</t>
  </si>
  <si>
    <t xml:space="preserve">BK30</t>
  </si>
  <si>
    <t xml:space="preserve">RL-008-BK30-C5JJC</t>
  </si>
  <si>
    <t xml:space="preserve">BK30-C5 angular contact</t>
  </si>
  <si>
    <t xml:space="preserve">RL-008-BK35</t>
  </si>
  <si>
    <t xml:space="preserve">BK35</t>
  </si>
  <si>
    <t xml:space="preserve">RL-008-BK35-C5JJC</t>
  </si>
  <si>
    <t xml:space="preserve">BK35-C5 angular contact</t>
  </si>
  <si>
    <t xml:space="preserve">RL-008-BK40</t>
  </si>
  <si>
    <t xml:space="preserve">BK40</t>
  </si>
  <si>
    <t xml:space="preserve">RL-008-BK40-C5JJC</t>
  </si>
  <si>
    <t xml:space="preserve">BK40-C5 angular contact</t>
  </si>
  <si>
    <t xml:space="preserve">RL-008-EF10</t>
  </si>
  <si>
    <t xml:space="preserve">EF10</t>
  </si>
  <si>
    <t xml:space="preserve">RL-008-EF12</t>
  </si>
  <si>
    <t xml:space="preserve">EF12</t>
  </si>
  <si>
    <t xml:space="preserve">RL-008-EF15</t>
  </si>
  <si>
    <t xml:space="preserve">EF15</t>
  </si>
  <si>
    <t xml:space="preserve">RL-008-EF20</t>
  </si>
  <si>
    <t xml:space="preserve">EF20</t>
  </si>
  <si>
    <t xml:space="preserve">RL-008-EF25</t>
  </si>
  <si>
    <t xml:space="preserve">EF25</t>
  </si>
  <si>
    <t xml:space="preserve">RL-008-EF6</t>
  </si>
  <si>
    <t xml:space="preserve">EF6</t>
  </si>
  <si>
    <t xml:space="preserve">RL-008-EF8</t>
  </si>
  <si>
    <t xml:space="preserve">EF8</t>
  </si>
  <si>
    <t xml:space="preserve">RL-008-EK06-C5JJC</t>
  </si>
  <si>
    <t xml:space="preserve">EK06-C5 angular contact</t>
  </si>
  <si>
    <t xml:space="preserve">RL-008-EK08-C5JJC</t>
  </si>
  <si>
    <t xml:space="preserve">EK08-C5 angular contact</t>
  </si>
  <si>
    <t xml:space="preserve">RL-008-EK10</t>
  </si>
  <si>
    <t xml:space="preserve">EK10</t>
  </si>
  <si>
    <t xml:space="preserve">RL-008-EK10-C5JJC</t>
  </si>
  <si>
    <t xml:space="preserve">EK10-C5 angular contact</t>
  </si>
  <si>
    <t xml:space="preserve">RL-008-EK12</t>
  </si>
  <si>
    <t xml:space="preserve">EK12</t>
  </si>
  <si>
    <t xml:space="preserve">RL-008-EK12-C5JJC</t>
  </si>
  <si>
    <t xml:space="preserve">EK12-C5 angular contact</t>
  </si>
  <si>
    <t xml:space="preserve">RL-008-EK15</t>
  </si>
  <si>
    <t xml:space="preserve">EK15</t>
  </si>
  <si>
    <t xml:space="preserve">RL-008-EK15-C5JJC</t>
  </si>
  <si>
    <t xml:space="preserve">EK15-C5 angular contact</t>
  </si>
  <si>
    <t xml:space="preserve">RL-008-EK20</t>
  </si>
  <si>
    <t xml:space="preserve">EK20</t>
  </si>
  <si>
    <t xml:space="preserve">RL-008-EK20-C5JJC</t>
  </si>
  <si>
    <t xml:space="preserve">EK20-C5 angular contact</t>
  </si>
  <si>
    <t xml:space="preserve">RL-008-EK25</t>
  </si>
  <si>
    <t xml:space="preserve">EK25</t>
  </si>
  <si>
    <t xml:space="preserve">RL-008-EK25-C5JJC</t>
  </si>
  <si>
    <t xml:space="preserve">EK25-C5 angular contact</t>
  </si>
  <si>
    <t xml:space="preserve">RL-008-EK6</t>
  </si>
  <si>
    <t xml:space="preserve">EK6</t>
  </si>
  <si>
    <t xml:space="preserve">RL-008-EK8</t>
  </si>
  <si>
    <t xml:space="preserve">EK8</t>
  </si>
  <si>
    <t xml:space="preserve">RL-008-FF10</t>
  </si>
  <si>
    <t xml:space="preserve">FF10</t>
  </si>
  <si>
    <t xml:space="preserve">RL-008-FF12</t>
  </si>
  <si>
    <t xml:space="preserve">FF12</t>
  </si>
  <si>
    <t xml:space="preserve">RL-008-FF15</t>
  </si>
  <si>
    <t xml:space="preserve">FF15</t>
  </si>
  <si>
    <t xml:space="preserve">RL-008-FF17</t>
  </si>
  <si>
    <t xml:space="preserve">FF17</t>
  </si>
  <si>
    <t xml:space="preserve">RL-008-FF20</t>
  </si>
  <si>
    <t xml:space="preserve">FF20</t>
  </si>
  <si>
    <t xml:space="preserve">RL-008-FF25</t>
  </si>
  <si>
    <t xml:space="preserve">FF25</t>
  </si>
  <si>
    <t xml:space="preserve">RL-008-FF30</t>
  </si>
  <si>
    <t xml:space="preserve">FF30</t>
  </si>
  <si>
    <t xml:space="preserve">RL-008-FF6</t>
  </si>
  <si>
    <t xml:space="preserve">FF6</t>
  </si>
  <si>
    <t xml:space="preserve">RL-008-FK06</t>
  </si>
  <si>
    <t xml:space="preserve">FK06</t>
  </si>
  <si>
    <t xml:space="preserve">RL-008-FK06-C5JJC</t>
  </si>
  <si>
    <t xml:space="preserve">FK06-C5 angular contact</t>
  </si>
  <si>
    <t xml:space="preserve">RL-008-FK08-C5JJC</t>
  </si>
  <si>
    <t xml:space="preserve">FK08-C5 angular contact</t>
  </si>
  <si>
    <t xml:space="preserve">RL-008-FK10</t>
  </si>
  <si>
    <t xml:space="preserve">FK10</t>
  </si>
  <si>
    <t xml:space="preserve">RL-008-FK10-C5JJC</t>
  </si>
  <si>
    <t xml:space="preserve">FK10-C5 angular contact</t>
  </si>
  <si>
    <t xml:space="preserve">RL-008-FK12</t>
  </si>
  <si>
    <t xml:space="preserve">FK12</t>
  </si>
  <si>
    <t xml:space="preserve">RL-008-FK12-C5JJC</t>
  </si>
  <si>
    <t xml:space="preserve">FK12-C5 angular contact</t>
  </si>
  <si>
    <t xml:space="preserve">RL-008-FK15</t>
  </si>
  <si>
    <t xml:space="preserve">FK15</t>
  </si>
  <si>
    <t xml:space="preserve">RL-008-FK15-C5JJC</t>
  </si>
  <si>
    <t xml:space="preserve">FK15-C5 angular contact</t>
  </si>
  <si>
    <t xml:space="preserve">RL-008-FK17</t>
  </si>
  <si>
    <t xml:space="preserve">FK17</t>
  </si>
  <si>
    <t xml:space="preserve">RL-008-FK17-C5JJC</t>
  </si>
  <si>
    <t xml:space="preserve">FK17-C5 angular contact</t>
  </si>
  <si>
    <t xml:space="preserve">RL-008-FK20</t>
  </si>
  <si>
    <t xml:space="preserve">FK20</t>
  </si>
  <si>
    <t xml:space="preserve">RL-008-FK20-C5JJC</t>
  </si>
  <si>
    <t xml:space="preserve">FK20-C5 angular contact</t>
  </si>
  <si>
    <t xml:space="preserve">RL-008-FK25</t>
  </si>
  <si>
    <t xml:space="preserve">FK25</t>
  </si>
  <si>
    <t xml:space="preserve">RL-008-FK25-C5JJC</t>
  </si>
  <si>
    <t xml:space="preserve">FK25-C5 angular contact</t>
  </si>
  <si>
    <t xml:space="preserve">RL-008-FK30</t>
  </si>
  <si>
    <t xml:space="preserve">FK30</t>
  </si>
  <si>
    <t xml:space="preserve">RL-008-FK30-C5JJC</t>
  </si>
  <si>
    <t xml:space="preserve">FK30-C5 angular contact</t>
  </si>
  <si>
    <t xml:space="preserve">RL-008-FK8</t>
  </si>
  <si>
    <t xml:space="preserve">FK8</t>
  </si>
  <si>
    <t xml:space="preserve">Ball Screw Support SSX  [Supports &amp; Nut Housings]</t>
  </si>
  <si>
    <t xml:space="preserve">SSX10-57</t>
  </si>
  <si>
    <t xml:space="preserve">RL-005-SSx10-57</t>
  </si>
  <si>
    <t xml:space="preserve">RL-005-SSx12-57</t>
  </si>
  <si>
    <t xml:space="preserve">SSX12-57</t>
  </si>
  <si>
    <t xml:space="preserve">Ball Screw Nut Housing (SFU / HSG / DSG / HD)  [Supports &amp; Nut Housings]</t>
  </si>
  <si>
    <t xml:space="preserve">Cast iron</t>
  </si>
  <si>
    <t xml:space="preserve">1616</t>
  </si>
  <si>
    <t xml:space="preserve">NS-1616-FC-BK-32</t>
  </si>
  <si>
    <t xml:space="preserve">NS-2020-FC-BK-39</t>
  </si>
  <si>
    <t xml:space="preserve">2020</t>
  </si>
  <si>
    <t xml:space="preserve">39</t>
  </si>
  <si>
    <t xml:space="preserve">NS-2525-FC-BK-47</t>
  </si>
  <si>
    <t xml:space="preserve">2525</t>
  </si>
  <si>
    <t xml:space="preserve">NS-3232-FC-BK-58</t>
  </si>
  <si>
    <t xml:space="preserve">3232</t>
  </si>
  <si>
    <t xml:space="preserve">NS-4010-FC-BK-63</t>
  </si>
  <si>
    <t xml:space="preserve">4010</t>
  </si>
  <si>
    <t xml:space="preserve">63</t>
  </si>
  <si>
    <t xml:space="preserve">NS-4040-FC-BK-93</t>
  </si>
  <si>
    <t xml:space="preserve">4040</t>
  </si>
  <si>
    <t xml:space="preserve">93</t>
  </si>
  <si>
    <t xml:space="preserve">NS-5010-FC-BK-75</t>
  </si>
  <si>
    <t xml:space="preserve">5010</t>
  </si>
  <si>
    <t xml:space="preserve">NS-5050-FC-BK-112</t>
  </si>
  <si>
    <t xml:space="preserve">5050</t>
  </si>
  <si>
    <t xml:space="preserve">NS-DSG12H-AL-SV-22</t>
  </si>
  <si>
    <t xml:space="preserve">DSG12H</t>
  </si>
  <si>
    <t xml:space="preserve">NS-DSG12H-AL-SV-24</t>
  </si>
  <si>
    <t xml:space="preserve">NS-DSG1616-AL-SV-32</t>
  </si>
  <si>
    <t xml:space="preserve">DSG1616</t>
  </si>
  <si>
    <t xml:space="preserve">NS-DSG16H-AL-BK-28</t>
  </si>
  <si>
    <t xml:space="preserve">DSG16H</t>
  </si>
  <si>
    <t xml:space="preserve">NS-DSG16H-AL-SV-28</t>
  </si>
  <si>
    <t xml:space="preserve">NS-DSG2020-AL-SV-39</t>
  </si>
  <si>
    <t xml:space="preserve">DSG2020</t>
  </si>
  <si>
    <t xml:space="preserve">NS-DSG20H-AL-BK-36</t>
  </si>
  <si>
    <t xml:space="preserve">DSG20H</t>
  </si>
  <si>
    <t xml:space="preserve">NS-DSG20H-AL-SV-36</t>
  </si>
  <si>
    <t xml:space="preserve">NS-DSG2525-AL-SV-47</t>
  </si>
  <si>
    <t xml:space="preserve">DSG2525</t>
  </si>
  <si>
    <t xml:space="preserve">NS-DSG25H-AL-SV-40</t>
  </si>
  <si>
    <t xml:space="preserve">DSG25H</t>
  </si>
  <si>
    <t xml:space="preserve">NS-DSG3232-AL-SV-58</t>
  </si>
  <si>
    <t xml:space="preserve">DSG3232</t>
  </si>
  <si>
    <t xml:space="preserve">NS-DSG32H-AL-SV-50</t>
  </si>
  <si>
    <t xml:space="preserve">DSG32H</t>
  </si>
  <si>
    <t xml:space="preserve">NS-DSG40H-AL-SV-63</t>
  </si>
  <si>
    <t xml:space="preserve">DSG40H</t>
  </si>
  <si>
    <t xml:space="preserve">NS-HD0802-AL-SV-14.1</t>
  </si>
  <si>
    <t xml:space="preserve">HD0802</t>
  </si>
  <si>
    <t xml:space="preserve">14.1</t>
  </si>
  <si>
    <t xml:space="preserve">NS-HD12-AL-BK-22.1</t>
  </si>
  <si>
    <t xml:space="preserve">HD12</t>
  </si>
  <si>
    <t xml:space="preserve">22.1</t>
  </si>
  <si>
    <t xml:space="preserve">NS-HD12-AL-BK-24.1</t>
  </si>
  <si>
    <t xml:space="preserve">24.1</t>
  </si>
  <si>
    <t xml:space="preserve">NS-HD12-AL-SV-22.1</t>
  </si>
  <si>
    <t xml:space="preserve">NS-HD12-AL-SV-24.1</t>
  </si>
  <si>
    <t xml:space="preserve">NS-HD16-AL-BK-28</t>
  </si>
  <si>
    <t xml:space="preserve">HD16</t>
  </si>
  <si>
    <t xml:space="preserve">NS-HD16-AL-SV-28</t>
  </si>
  <si>
    <t xml:space="preserve">NS-HD16-FC-BK-28</t>
  </si>
  <si>
    <t xml:space="preserve">NS-HD16-ST-BK-28-HP22-38</t>
  </si>
  <si>
    <t xml:space="preserve">hole pitch 22-38</t>
  </si>
  <si>
    <t xml:space="preserve">NS-HD16-ST-BK-28-HP24-40</t>
  </si>
  <si>
    <t xml:space="preserve">hole pitch 24-40</t>
  </si>
  <si>
    <t xml:space="preserve">NS-HD1616-ST-BK-32</t>
  </si>
  <si>
    <t xml:space="preserve">HD1616</t>
  </si>
  <si>
    <t xml:space="preserve">NS-HD20-AL-BK-36</t>
  </si>
  <si>
    <t xml:space="preserve">HD20</t>
  </si>
  <si>
    <t xml:space="preserve">NS-HD20-FC-BK-36</t>
  </si>
  <si>
    <t xml:space="preserve">NS-HD20-ST-BK-36-HP24-48</t>
  </si>
  <si>
    <t xml:space="preserve">hole pitch 24-48</t>
  </si>
  <si>
    <t xml:space="preserve">NS-HD20-ST-BK-36-HP25-47</t>
  </si>
  <si>
    <t xml:space="preserve">hole pitch 25-47</t>
  </si>
  <si>
    <t xml:space="preserve">NS-HD2020-ST-BK-39</t>
  </si>
  <si>
    <t xml:space="preserve">HD2020</t>
  </si>
  <si>
    <t xml:space="preserve">NS-HD25-AL-BK-40</t>
  </si>
  <si>
    <t xml:space="preserve">HD25</t>
  </si>
  <si>
    <t xml:space="preserve">NS-HD25-AL-SV-40</t>
  </si>
  <si>
    <t xml:space="preserve">NS-HD25-FC-BK-40</t>
  </si>
  <si>
    <t xml:space="preserve">NS-HD25-ST-BK-40-HP24-50</t>
  </si>
  <si>
    <t xml:space="preserve">hole pitch 24-50</t>
  </si>
  <si>
    <t xml:space="preserve">NS-HD25-ST-BK-40-HP29-51</t>
  </si>
  <si>
    <t xml:space="preserve">hole pitch 29-51</t>
  </si>
  <si>
    <t xml:space="preserve">NS-HD2525-ST-BK-47</t>
  </si>
  <si>
    <t xml:space="preserve">HD2525</t>
  </si>
  <si>
    <t xml:space="preserve">NS-HD32-AL-BK-50</t>
  </si>
  <si>
    <t xml:space="preserve">HD32</t>
  </si>
  <si>
    <t xml:space="preserve">NS-HD32-AL-SV-50</t>
  </si>
  <si>
    <t xml:space="preserve">NS-HD32-FC-BK-50</t>
  </si>
  <si>
    <t xml:space="preserve">NS-HD32-ST-BK-50</t>
  </si>
  <si>
    <t xml:space="preserve">NS-HD3232-ST-BK-58</t>
  </si>
  <si>
    <t xml:space="preserve">HD3232</t>
  </si>
  <si>
    <t xml:space="preserve">NS-HD40-ST-BK-63</t>
  </si>
  <si>
    <t xml:space="preserve">HD40</t>
  </si>
  <si>
    <t xml:space="preserve">NS-HD4040-ST-BK-73</t>
  </si>
  <si>
    <t xml:space="preserve">HD4040</t>
  </si>
  <si>
    <t xml:space="preserve">73</t>
  </si>
  <si>
    <t xml:space="preserve">NS-HD50-ST-BK-75</t>
  </si>
  <si>
    <t xml:space="preserve">HD50</t>
  </si>
  <si>
    <t xml:space="preserve">NS-HD5050-ST-BK-90</t>
  </si>
  <si>
    <t xml:space="preserve">HD5050</t>
  </si>
  <si>
    <t xml:space="preserve">NS-HSG1616-ST-BK-32</t>
  </si>
  <si>
    <t xml:space="preserve">HSG1616</t>
  </si>
  <si>
    <t xml:space="preserve">NS-HSG16H-ST-BK-28</t>
  </si>
  <si>
    <t xml:space="preserve">HSG16H</t>
  </si>
  <si>
    <t xml:space="preserve">NS-HSG2020-ST-BK-39</t>
  </si>
  <si>
    <t xml:space="preserve">HSG2020</t>
  </si>
  <si>
    <t xml:space="preserve">NS-HSG20H-ST-BK-36</t>
  </si>
  <si>
    <t xml:space="preserve">HSG20H</t>
  </si>
  <si>
    <t xml:space="preserve">NS-HSG2525-ST-BK-47</t>
  </si>
  <si>
    <t xml:space="preserve">HSG2525</t>
  </si>
  <si>
    <t xml:space="preserve">NS-HSG25H-ST-BK-40</t>
  </si>
  <si>
    <t xml:space="preserve">HSG25H</t>
  </si>
  <si>
    <t xml:space="preserve">NS-HSG3232-ST-BK-58</t>
  </si>
  <si>
    <t xml:space="preserve">HSG3232</t>
  </si>
  <si>
    <t xml:space="preserve">NS-HSG32H-ST-BK-50</t>
  </si>
  <si>
    <t xml:space="preserve">HSG32H</t>
  </si>
  <si>
    <t xml:space="preserve">NS-HSG4040-ST-BK-73</t>
  </si>
  <si>
    <t xml:space="preserve">HSG4040</t>
  </si>
  <si>
    <t xml:space="preserve">NS-HSG40H-ST-BK-63</t>
  </si>
  <si>
    <t xml:space="preserve">HSG40H</t>
  </si>
  <si>
    <t xml:space="preserve">NS-HSG5050-ST-BK-90</t>
  </si>
  <si>
    <t xml:space="preserve">HSG5050</t>
  </si>
  <si>
    <t xml:space="preserve">NS-HSG50H-ST-BK-75</t>
  </si>
  <si>
    <t xml:space="preserve">HSG50H</t>
  </si>
  <si>
    <t xml:space="preserve">NS-SFU1204-AL-BK-22</t>
  </si>
  <si>
    <t xml:space="preserve">NS-SFU1204-AL-BK-24</t>
  </si>
  <si>
    <t xml:space="preserve">NS-SFU1204-AL-SV-22</t>
  </si>
  <si>
    <t xml:space="preserve">NS-SFU1204-AL-SV-24</t>
  </si>
  <si>
    <t xml:space="preserve">NS-SFU1605-AL-SV-28</t>
  </si>
  <si>
    <t xml:space="preserve">NS-SFU2005-AL-BK-36</t>
  </si>
  <si>
    <t xml:space="preserve">NS-SFU2005-AL-SV-36</t>
  </si>
  <si>
    <t xml:space="preserve">NS-SFU2505-AL-SV-40</t>
  </si>
  <si>
    <t xml:space="preserve">HGR / EGR Linear Guide Rail &amp; Carriage  [Linear Bearings &amp; Blocks]</t>
  </si>
  <si>
    <t xml:space="preserve">Carriage</t>
  </si>
  <si>
    <t xml:space="preserve">Rail Length (mm)</t>
  </si>
  <si>
    <t xml:space="preserve">Rail</t>
  </si>
  <si>
    <t xml:space="preserve">EGH15CA</t>
  </si>
  <si>
    <t xml:space="preserve">EGR15</t>
  </si>
  <si>
    <t xml:space="preserve">LG-BK-EGH15CA-EGR15</t>
  </si>
  <si>
    <t xml:space="preserve">LG-BK-EGH20CA-EGR20</t>
  </si>
  <si>
    <t xml:space="preserve">EGH20CA</t>
  </si>
  <si>
    <t xml:space="preserve">EGR20</t>
  </si>
  <si>
    <t xml:space="preserve">LG-EGR15-353</t>
  </si>
  <si>
    <t xml:space="preserve">no carriage</t>
  </si>
  <si>
    <t xml:space="preserve">353</t>
  </si>
  <si>
    <t xml:space="preserve">LG-EGR20-610</t>
  </si>
  <si>
    <t xml:space="preserve">LG-GB-HGH15CA</t>
  </si>
  <si>
    <t xml:space="preserve">Green-black</t>
  </si>
  <si>
    <t xml:space="preserve">HGH15CA</t>
  </si>
  <si>
    <t xml:space="preserve">no rail</t>
  </si>
  <si>
    <t xml:space="preserve">LG-GB-HGH20CA</t>
  </si>
  <si>
    <t xml:space="preserve">HGH20CA</t>
  </si>
  <si>
    <t xml:space="preserve">LG-GB-HGR15-1000</t>
  </si>
  <si>
    <t xml:space="preserve">HGR15</t>
  </si>
  <si>
    <t xml:space="preserve">LG-GB-HGR15-1200</t>
  </si>
  <si>
    <t xml:space="preserve">LG-GB-HGR15-150</t>
  </si>
  <si>
    <t xml:space="preserve">LG-GB-HGR15-1500</t>
  </si>
  <si>
    <t xml:space="preserve">LG-GB-HGR15-1700</t>
  </si>
  <si>
    <t xml:space="preserve">LG-GB-HGR15-200</t>
  </si>
  <si>
    <t xml:space="preserve">LG-GB-HGR15-300</t>
  </si>
  <si>
    <t xml:space="preserve">LG-GB-HGR15-3000</t>
  </si>
  <si>
    <t xml:space="preserve">LG-GB-HGR15-350</t>
  </si>
  <si>
    <t xml:space="preserve">LG-GB-HGR15-400</t>
  </si>
  <si>
    <t xml:space="preserve">LG-GB-HGR15-700</t>
  </si>
  <si>
    <t xml:space="preserve">LG-GB-HGR20-250</t>
  </si>
  <si>
    <t xml:space="preserve">HGR20</t>
  </si>
  <si>
    <t xml:space="preserve">LG-GB-HGR20-400</t>
  </si>
  <si>
    <t xml:space="preserve">LG-GB-HGR20-4000</t>
  </si>
  <si>
    <t xml:space="preserve">4000</t>
  </si>
  <si>
    <t xml:space="preserve">LG-GB-HGR20-500</t>
  </si>
  <si>
    <t xml:space="preserve">LG-GB-HGR20-550</t>
  </si>
  <si>
    <t xml:space="preserve">LG-GB-HGR20-600</t>
  </si>
  <si>
    <t xml:space="preserve">LG-GB-HGR20-700</t>
  </si>
  <si>
    <t xml:space="preserve">LG-GB-HGR20-750</t>
  </si>
  <si>
    <t xml:space="preserve">LG-GB-HGW15CC</t>
  </si>
  <si>
    <t xml:space="preserve">HGW15CC</t>
  </si>
  <si>
    <t xml:space="preserve">LG-GB-HGW20CC</t>
  </si>
  <si>
    <t xml:space="preserve">HGW20CC</t>
  </si>
  <si>
    <t xml:space="preserve">LG-HGH15CA</t>
  </si>
  <si>
    <t xml:space="preserve">LG-HGH20CA</t>
  </si>
  <si>
    <t xml:space="preserve">LG-HGR15-1000</t>
  </si>
  <si>
    <t xml:space="preserve">LG-HGR15-1200</t>
  </si>
  <si>
    <t xml:space="preserve">LG-HGR15-150</t>
  </si>
  <si>
    <t xml:space="preserve">LG-HGR15-1500</t>
  </si>
  <si>
    <t xml:space="preserve">LG-HGR15-1700</t>
  </si>
  <si>
    <t xml:space="preserve">LG-HGR15-200</t>
  </si>
  <si>
    <t xml:space="preserve">LG-HGR15-2000</t>
  </si>
  <si>
    <t xml:space="preserve">LG-HGR15-2050</t>
  </si>
  <si>
    <t xml:space="preserve">2050</t>
  </si>
  <si>
    <t xml:space="preserve">LG-HGR15-300</t>
  </si>
  <si>
    <t xml:space="preserve">LG-HGR15-3000</t>
  </si>
  <si>
    <t xml:space="preserve">LG-HGR15-350</t>
  </si>
  <si>
    <t xml:space="preserve">LG-HGR15-400</t>
  </si>
  <si>
    <t xml:space="preserve">LG-HGR15-700</t>
  </si>
  <si>
    <t xml:space="preserve">LG-HGR20-3000</t>
  </si>
  <si>
    <t xml:space="preserve">LG-HGR25-3000</t>
  </si>
  <si>
    <t xml:space="preserve">HGR25</t>
  </si>
  <si>
    <t xml:space="preserve">LG-HGW15CC</t>
  </si>
  <si>
    <t xml:space="preserve">LG-SV-HGH20CA-HGR20</t>
  </si>
  <si>
    <t xml:space="preserve">LG-SV-HGH20CA-HGR20-500</t>
  </si>
  <si>
    <t xml:space="preserve">LM Linear Bearing (Standard / Long / Open / Adjustable)  [Linear Bearings &amp; Blocks]</t>
  </si>
  <si>
    <t xml:space="preserve">LM100UU</t>
  </si>
  <si>
    <t xml:space="preserve">Straight </t>
  </si>
  <si>
    <t xml:space="preserve">100x150x175</t>
  </si>
  <si>
    <t xml:space="preserve">LB-LM100UU-100x150x175</t>
  </si>
  <si>
    <t xml:space="preserve">LB-LM10LUU-10x19x55</t>
  </si>
  <si>
    <t xml:space="preserve">LM10LUU</t>
  </si>
  <si>
    <t xml:space="preserve">Long</t>
  </si>
  <si>
    <t xml:space="preserve">10x19x55</t>
  </si>
  <si>
    <t xml:space="preserve">LB-LM10LUU-10x19x55-NI</t>
  </si>
  <si>
    <t xml:space="preserve">Plated</t>
  </si>
  <si>
    <t xml:space="preserve">LB-LM10LUU-10x19x55-SS-MC</t>
  </si>
  <si>
    <t xml:space="preserve">Stainless metal cage</t>
  </si>
  <si>
    <t xml:space="preserve">LB-LM10LUU-10x19x55-SS-NY</t>
  </si>
  <si>
    <t xml:space="preserve">Stainless nylon cage</t>
  </si>
  <si>
    <t xml:space="preserve">LB-LM10UU-10x19x29</t>
  </si>
  <si>
    <t xml:space="preserve">LM10UU</t>
  </si>
  <si>
    <t xml:space="preserve">10x19x29</t>
  </si>
  <si>
    <t xml:space="preserve">LB-LM10UU-10x19x29-NI</t>
  </si>
  <si>
    <t xml:space="preserve">LB-LM10UU-10x19x29-SS-MC</t>
  </si>
  <si>
    <t xml:space="preserve">LB-LM10UU-10x19x29-SS-NY</t>
  </si>
  <si>
    <t xml:space="preserve">LB-LM10UUAJ-10x19x29</t>
  </si>
  <si>
    <t xml:space="preserve">LM10UUAJ</t>
  </si>
  <si>
    <t xml:space="preserve">Adjustable clearance</t>
  </si>
  <si>
    <t xml:space="preserve">LB-LM10UUOP-10x19x29</t>
  </si>
  <si>
    <t xml:space="preserve">LM10UUOP</t>
  </si>
  <si>
    <t xml:space="preserve">LB-LM12LUU-12x21x57</t>
  </si>
  <si>
    <t xml:space="preserve">LM12LUU</t>
  </si>
  <si>
    <t xml:space="preserve">12x21x57</t>
  </si>
  <si>
    <t xml:space="preserve">LB-LM12LUU-12x21x57-NI</t>
  </si>
  <si>
    <t xml:space="preserve">LB-LM12LUU-12x21x57-SS-MC</t>
  </si>
  <si>
    <t xml:space="preserve">LB-LM12LUU-12x21x57-SS-NY</t>
  </si>
  <si>
    <t xml:space="preserve">LB-LM12UU-12x21x30</t>
  </si>
  <si>
    <t xml:space="preserve">LM12UU</t>
  </si>
  <si>
    <t xml:space="preserve">12x21x30</t>
  </si>
  <si>
    <t xml:space="preserve">LB-LM12UU-12x21x30-NI</t>
  </si>
  <si>
    <t xml:space="preserve">LB-LM12UU-12x21x30-SS-MC</t>
  </si>
  <si>
    <t xml:space="preserve">LB-LM12UU-12x21x30-SS-NY</t>
  </si>
  <si>
    <t xml:space="preserve">LB-LM12UUAJ-12x21x30</t>
  </si>
  <si>
    <t xml:space="preserve">LM12UUAJ</t>
  </si>
  <si>
    <t xml:space="preserve">LB-LM12UUOP-12x21x30</t>
  </si>
  <si>
    <t xml:space="preserve">LM12UUOP</t>
  </si>
  <si>
    <t xml:space="preserve">LB-LM13LUU-13x23x61</t>
  </si>
  <si>
    <t xml:space="preserve">LM13LUU</t>
  </si>
  <si>
    <t xml:space="preserve">13x23x61</t>
  </si>
  <si>
    <t xml:space="preserve">LB-LM13UU-13x23x32</t>
  </si>
  <si>
    <t xml:space="preserve">LM13UU</t>
  </si>
  <si>
    <t xml:space="preserve">13x23x32</t>
  </si>
  <si>
    <t xml:space="preserve">LB-LM13UU-13x23x32-NI</t>
  </si>
  <si>
    <t xml:space="preserve">LB-LM16GA-OP-16x28x37-SG</t>
  </si>
  <si>
    <t xml:space="preserve">LM16GA-OP</t>
  </si>
  <si>
    <t xml:space="preserve">Steel cage</t>
  </si>
  <si>
    <t xml:space="preserve">16x28x37</t>
  </si>
  <si>
    <t xml:space="preserve">LB-LM16LUU-16x28x70</t>
  </si>
  <si>
    <t xml:space="preserve">LM16LUU</t>
  </si>
  <si>
    <t xml:space="preserve">16x28x70</t>
  </si>
  <si>
    <t xml:space="preserve">LB-LM16LUU-16x28x70-NI</t>
  </si>
  <si>
    <t xml:space="preserve">LB-LM16LUU-16x28x70-SS-MC</t>
  </si>
  <si>
    <t xml:space="preserve">LB-LM16LUU-16x28x70-SS-NY</t>
  </si>
  <si>
    <t xml:space="preserve">LB-LM16UU-16x28x37</t>
  </si>
  <si>
    <t xml:space="preserve">LM16UU</t>
  </si>
  <si>
    <t xml:space="preserve">LB-LM16UU-16x28x37-NI</t>
  </si>
  <si>
    <t xml:space="preserve">LB-LM16UU-16x28x37-SS-MC</t>
  </si>
  <si>
    <t xml:space="preserve">LB-LM16UU-16x28x37-SS-NY</t>
  </si>
  <si>
    <t xml:space="preserve">LB-LM16UUAJ-16x28x37</t>
  </si>
  <si>
    <t xml:space="preserve">LM16UUAJ</t>
  </si>
  <si>
    <t xml:space="preserve">LB-LM16UUOP-16x28x37</t>
  </si>
  <si>
    <t xml:space="preserve">LM16UUOP</t>
  </si>
  <si>
    <t xml:space="preserve">LB-LM16UUOP-16x28x37-R</t>
  </si>
  <si>
    <t xml:space="preserve">Reinforced</t>
  </si>
  <si>
    <t xml:space="preserve">LB-LM20GA-20x32x42-SG</t>
  </si>
  <si>
    <t xml:space="preserve">LM20GA</t>
  </si>
  <si>
    <t xml:space="preserve">20x32x42</t>
  </si>
  <si>
    <t xml:space="preserve">LB-LM20GA-OP-20x32x42-SG</t>
  </si>
  <si>
    <t xml:space="preserve">LM20GA-OP</t>
  </si>
  <si>
    <t xml:space="preserve">LB-LM20LUU-20x32x80</t>
  </si>
  <si>
    <t xml:space="preserve">LM20LUU</t>
  </si>
  <si>
    <t xml:space="preserve">20x32x80</t>
  </si>
  <si>
    <t xml:space="preserve">LB-LM20LUU-20x32x80-NI</t>
  </si>
  <si>
    <t xml:space="preserve">LB-LM20LUU-20x32x80-SS-MC</t>
  </si>
  <si>
    <t xml:space="preserve">LB-LM20LUU-20x32x80-SS-NY</t>
  </si>
  <si>
    <t xml:space="preserve">LB-LM20UU-20x32x42</t>
  </si>
  <si>
    <t xml:space="preserve">LM20UU</t>
  </si>
  <si>
    <t xml:space="preserve">LB-LM20UU-20x32x42-NI</t>
  </si>
  <si>
    <t xml:space="preserve">LB-LM20UU-20x32x42-SS-MC</t>
  </si>
  <si>
    <t xml:space="preserve">LB-LM20UU-20x32x42-SS-NY</t>
  </si>
  <si>
    <t xml:space="preserve">LB-LM20UUAJ-20x32x42</t>
  </si>
  <si>
    <t xml:space="preserve">LM20UUAJ</t>
  </si>
  <si>
    <t xml:space="preserve">LB-LM20UUOP-20x32x42</t>
  </si>
  <si>
    <t xml:space="preserve">LM20UUOP</t>
  </si>
  <si>
    <t xml:space="preserve">LB-LM25GA-25x40x59-SG</t>
  </si>
  <si>
    <t xml:space="preserve">LM25GA</t>
  </si>
  <si>
    <t xml:space="preserve">25x40x59</t>
  </si>
  <si>
    <t xml:space="preserve">LB-LM25GA-OP-25x40x59-SG</t>
  </si>
  <si>
    <t xml:space="preserve">LM25GA-OP</t>
  </si>
  <si>
    <t xml:space="preserve">LB-LM25LUU-25x40x112</t>
  </si>
  <si>
    <t xml:space="preserve">LM25LUU</t>
  </si>
  <si>
    <t xml:space="preserve">25x40x112</t>
  </si>
  <si>
    <t xml:space="preserve">LB-LM25LUU-25x40x112-NI</t>
  </si>
  <si>
    <t xml:space="preserve">LB-LM25LUU-25x40x112-SS-MC</t>
  </si>
  <si>
    <t xml:space="preserve">LB-LM25LUU-25x40x112-SS-NY</t>
  </si>
  <si>
    <t xml:space="preserve">LB-LM25UU-25x40x59</t>
  </si>
  <si>
    <t xml:space="preserve">LM25UU</t>
  </si>
  <si>
    <t xml:space="preserve">LB-LM25UU-25x40x59-NI</t>
  </si>
  <si>
    <t xml:space="preserve">LB-LM25UU-25x40x59-SS-MC</t>
  </si>
  <si>
    <t xml:space="preserve">LB-LM25UU-25x40x59-SS-NY</t>
  </si>
  <si>
    <t xml:space="preserve">LB-LM25UUAJ-25x40x59</t>
  </si>
  <si>
    <t xml:space="preserve">LM25UUAJ</t>
  </si>
  <si>
    <t xml:space="preserve">LB-LM25UUOP-25x40x59</t>
  </si>
  <si>
    <t xml:space="preserve">LM25UUOP</t>
  </si>
  <si>
    <t xml:space="preserve">LB-LM30GA-30x45x64-SG</t>
  </si>
  <si>
    <t xml:space="preserve">LM30GA</t>
  </si>
  <si>
    <t xml:space="preserve">30x45x64</t>
  </si>
  <si>
    <t xml:space="preserve">LB-LM30LUU-30x45x123</t>
  </si>
  <si>
    <t xml:space="preserve">LM30LUU</t>
  </si>
  <si>
    <t xml:space="preserve">30x45x123</t>
  </si>
  <si>
    <t xml:space="preserve">LB-LM30LUU-30x45x123-NI</t>
  </si>
  <si>
    <t xml:space="preserve">LB-LM30LUU-30x45x123-SS-MC</t>
  </si>
  <si>
    <t xml:space="preserve">LB-LM30LUU-30x45x123-SS-NY</t>
  </si>
  <si>
    <t xml:space="preserve">LB-LM30UU-30x45x64</t>
  </si>
  <si>
    <t xml:space="preserve">LM30UU</t>
  </si>
  <si>
    <t xml:space="preserve">LB-LM30UU-30x45x64-NI</t>
  </si>
  <si>
    <t xml:space="preserve">LB-LM30UU-30x45x64-R</t>
  </si>
  <si>
    <t xml:space="preserve">LB-LM30UU-30x45x64-SS-MC</t>
  </si>
  <si>
    <t xml:space="preserve">LB-LM30UU-30x45x64-SS-NY</t>
  </si>
  <si>
    <t xml:space="preserve">LB-LM30UUAJ-30x45x64</t>
  </si>
  <si>
    <t xml:space="preserve">LM30UUAJ</t>
  </si>
  <si>
    <t xml:space="preserve">LB-LM30UUOP-30x45x64</t>
  </si>
  <si>
    <t xml:space="preserve">LM30UUOP</t>
  </si>
  <si>
    <t xml:space="preserve">LB-LM35LUU-35x52x135</t>
  </si>
  <si>
    <t xml:space="preserve">LM35LUU</t>
  </si>
  <si>
    <t xml:space="preserve">35x52x135</t>
  </si>
  <si>
    <t xml:space="preserve">LB-LM35LUU-35x52x135-NI</t>
  </si>
  <si>
    <t xml:space="preserve">LB-LM35LUU-35x52x135-SS-NY</t>
  </si>
  <si>
    <t xml:space="preserve">LB-LM35UU-35x52x70</t>
  </si>
  <si>
    <t xml:space="preserve">LM35UU</t>
  </si>
  <si>
    <t xml:space="preserve">35x52x70</t>
  </si>
  <si>
    <t xml:space="preserve">LB-LM35UU-35x52x70-NI</t>
  </si>
  <si>
    <t xml:space="preserve">LB-LM35UU-35x52x70-SS-MC</t>
  </si>
  <si>
    <t xml:space="preserve">LB-LM35UU-35x52x70-SS-NY</t>
  </si>
  <si>
    <t xml:space="preserve">LB-LM35UUOP-35x52x70</t>
  </si>
  <si>
    <t xml:space="preserve">LM35UUOP</t>
  </si>
  <si>
    <t xml:space="preserve">LB-LM3UU-3x7x10</t>
  </si>
  <si>
    <t xml:space="preserve">LM3UU</t>
  </si>
  <si>
    <t xml:space="preserve">3x7x10</t>
  </si>
  <si>
    <t xml:space="preserve">LB-LM40LUU-40x60x154</t>
  </si>
  <si>
    <t xml:space="preserve">LM40LUU</t>
  </si>
  <si>
    <t xml:space="preserve">40x60x154</t>
  </si>
  <si>
    <t xml:space="preserve">LB-LM40LUU-40x60x154-NI</t>
  </si>
  <si>
    <t xml:space="preserve">LB-LM40LUU-40x60x154-SS-NY</t>
  </si>
  <si>
    <t xml:space="preserve">LB-LM40UU-40x60x80</t>
  </si>
  <si>
    <t xml:space="preserve">LM40UU</t>
  </si>
  <si>
    <t xml:space="preserve">40x60x80</t>
  </si>
  <si>
    <t xml:space="preserve">LB-LM40UU-40x60x80-NI</t>
  </si>
  <si>
    <t xml:space="preserve">LB-LM40UU-40x60x80-R</t>
  </si>
  <si>
    <t xml:space="preserve">LB-LM40UU-40x60x80-SS-MC</t>
  </si>
  <si>
    <t xml:space="preserve">LB-LM40UU-40x60x80-SS-NY</t>
  </si>
  <si>
    <t xml:space="preserve">LB-LM4LUU-4x8x23</t>
  </si>
  <si>
    <t xml:space="preserve">LM4LUU</t>
  </si>
  <si>
    <t xml:space="preserve">4x8x23</t>
  </si>
  <si>
    <t xml:space="preserve">LB-LM4UU-4x8x12</t>
  </si>
  <si>
    <t xml:space="preserve">LM4UU</t>
  </si>
  <si>
    <t xml:space="preserve">4x8x12</t>
  </si>
  <si>
    <t xml:space="preserve">LB-LM50LUU-50x80x192</t>
  </si>
  <si>
    <t xml:space="preserve">LM50LUU</t>
  </si>
  <si>
    <t xml:space="preserve">50x80x192</t>
  </si>
  <si>
    <t xml:space="preserve">LB-LM50LUU-50x80x192-NI</t>
  </si>
  <si>
    <t xml:space="preserve">LB-LM50UU-50x80x100</t>
  </si>
  <si>
    <t xml:space="preserve">LM50UU</t>
  </si>
  <si>
    <t xml:space="preserve">50x80x100</t>
  </si>
  <si>
    <t xml:space="preserve">LB-LM50UU-50x80x100-NI</t>
  </si>
  <si>
    <t xml:space="preserve">LB-LM5LUU-5x10x29</t>
  </si>
  <si>
    <t xml:space="preserve">LM5LUU</t>
  </si>
  <si>
    <t xml:space="preserve">5x10x29</t>
  </si>
  <si>
    <t xml:space="preserve">LB-LM5UU-5x10x15</t>
  </si>
  <si>
    <t xml:space="preserve">LM5UU</t>
  </si>
  <si>
    <t xml:space="preserve">5x10x15</t>
  </si>
  <si>
    <t xml:space="preserve">LB-LM60LUU-60x90x211</t>
  </si>
  <si>
    <t xml:space="preserve">LM60LUU</t>
  </si>
  <si>
    <t xml:space="preserve">60x90x211</t>
  </si>
  <si>
    <t xml:space="preserve">LB-LM60UU-60x90x110</t>
  </si>
  <si>
    <t xml:space="preserve">LM60UU</t>
  </si>
  <si>
    <t xml:space="preserve">60x90x110</t>
  </si>
  <si>
    <t xml:space="preserve">LB-LM60UU-60x90x110-NI</t>
  </si>
  <si>
    <t xml:space="preserve">LB-LM6LUU-6x12x35</t>
  </si>
  <si>
    <t xml:space="preserve">LM6LUU</t>
  </si>
  <si>
    <t xml:space="preserve">6x12x35</t>
  </si>
  <si>
    <t xml:space="preserve">LB-LM6LUU-6x12x35-NI</t>
  </si>
  <si>
    <t xml:space="preserve">LB-LM6UU-6x12x19</t>
  </si>
  <si>
    <t xml:space="preserve">LM6UU</t>
  </si>
  <si>
    <t xml:space="preserve">6x12x19</t>
  </si>
  <si>
    <t xml:space="preserve">LB-LM6UU-6x12x19-NI</t>
  </si>
  <si>
    <t xml:space="preserve">LB-LM80LUU-80x120x265</t>
  </si>
  <si>
    <t xml:space="preserve">LM80LUU</t>
  </si>
  <si>
    <t xml:space="preserve">80x120x265</t>
  </si>
  <si>
    <t xml:space="preserve">LB-LM80UU-80x120x140</t>
  </si>
  <si>
    <t xml:space="preserve">LM80UU</t>
  </si>
  <si>
    <t xml:space="preserve">80x120x140</t>
  </si>
  <si>
    <t xml:space="preserve">LB-LM8GA-8x15x24-SG</t>
  </si>
  <si>
    <t xml:space="preserve">LM8GA</t>
  </si>
  <si>
    <t xml:space="preserve">8x15x24</t>
  </si>
  <si>
    <t xml:space="preserve">LB-LM8LUU-8x15x45</t>
  </si>
  <si>
    <t xml:space="preserve">LM8LUU</t>
  </si>
  <si>
    <t xml:space="preserve">8x15x45</t>
  </si>
  <si>
    <t xml:space="preserve">LB-LM8LUU-8x15x45-NI</t>
  </si>
  <si>
    <t xml:space="preserve">LB-LM8LUU-8x15x45-SS-NY</t>
  </si>
  <si>
    <t xml:space="preserve">LB-LM8SUU-8x15x17</t>
  </si>
  <si>
    <t xml:space="preserve">LM8SUU</t>
  </si>
  <si>
    <t xml:space="preserve">8x15x17</t>
  </si>
  <si>
    <t xml:space="preserve">LB-LM8SUU-8x15x17-NI</t>
  </si>
  <si>
    <t xml:space="preserve">LB-LM8UU-8x15x24</t>
  </si>
  <si>
    <t xml:space="preserve">LM8UU</t>
  </si>
  <si>
    <t xml:space="preserve">LB-LM8UU-8x15x24-NI</t>
  </si>
  <si>
    <t xml:space="preserve">LB-LM8UU-8x15x24-SS-MC</t>
  </si>
  <si>
    <t xml:space="preserve">LB-LM8UU-8x15x24-SS-NY</t>
  </si>
  <si>
    <t xml:space="preserve">LB-LM8UUAJ-8x15x24</t>
  </si>
  <si>
    <t xml:space="preserve">LM8UUAJ</t>
  </si>
  <si>
    <t xml:space="preserve">LB-LM8UUOP-8x15x24</t>
  </si>
  <si>
    <t xml:space="preserve">LM8UUOP</t>
  </si>
  <si>
    <t xml:space="preserve">LB-LMB10UU-15.875x28.575x38.1</t>
  </si>
  <si>
    <t xml:space="preserve">LMB10UU</t>
  </si>
  <si>
    <t xml:space="preserve">15.875x28.575x38.1</t>
  </si>
  <si>
    <t xml:space="preserve">LB-LMB10UUOP-15.875x28.575x38.1</t>
  </si>
  <si>
    <t xml:space="preserve">LMB10UUOP</t>
  </si>
  <si>
    <t xml:space="preserve">LB-LMB12UU-19.05x31.75x41.275</t>
  </si>
  <si>
    <t xml:space="preserve">LMB12UU</t>
  </si>
  <si>
    <t xml:space="preserve">19.05x31.75x41.275</t>
  </si>
  <si>
    <t xml:space="preserve">LB-LMB12UUOP-19.05x31.75x41.275</t>
  </si>
  <si>
    <t xml:space="preserve">LMB12UUOP</t>
  </si>
  <si>
    <t xml:space="preserve">LB-LMB16UU-25.4x39.688x57.15</t>
  </si>
  <si>
    <t xml:space="preserve">LMB16UU</t>
  </si>
  <si>
    <t xml:space="preserve">25.4x39.688x57.15</t>
  </si>
  <si>
    <t xml:space="preserve">LB-LMB16UUOP-25.4x39.688x57.15</t>
  </si>
  <si>
    <t xml:space="preserve">LMB16UUOP</t>
  </si>
  <si>
    <t xml:space="preserve">LB-LMB20UU-31.75x50.8x66.675</t>
  </si>
  <si>
    <t xml:space="preserve">LMB20UU</t>
  </si>
  <si>
    <t xml:space="preserve">31.75x50.8x66.675</t>
  </si>
  <si>
    <t xml:space="preserve">LB-LMB20UUOP-31.75x50.8x66.675</t>
  </si>
  <si>
    <t xml:space="preserve">LMB20UUOP</t>
  </si>
  <si>
    <t xml:space="preserve">LB-LMB24UU-38.1x60.325x76.2</t>
  </si>
  <si>
    <t xml:space="preserve">LMB24UU</t>
  </si>
  <si>
    <t xml:space="preserve">38.1x60.325x76.2</t>
  </si>
  <si>
    <t xml:space="preserve">LB-LMB24UUOP-38.1x60.325x76.2</t>
  </si>
  <si>
    <t xml:space="preserve">LMB24UUOP</t>
  </si>
  <si>
    <t xml:space="preserve">LB-LMB32UU-50.8x76.2x101.6</t>
  </si>
  <si>
    <t xml:space="preserve">LMB32UU</t>
  </si>
  <si>
    <t xml:space="preserve">50.8x76.2x101.6</t>
  </si>
  <si>
    <t xml:space="preserve">LB-LMB32UUOP-50.8x76.2x101.6</t>
  </si>
  <si>
    <t xml:space="preserve">LMB32UUOP</t>
  </si>
  <si>
    <t xml:space="preserve">LB-LMB4UU-6.35x12.7x19.05</t>
  </si>
  <si>
    <t xml:space="preserve">LMB4UU</t>
  </si>
  <si>
    <t xml:space="preserve">6.35x12.7x19.05</t>
  </si>
  <si>
    <t xml:space="preserve">LB-LMB6UU-9.525x15.875x22.225</t>
  </si>
  <si>
    <t xml:space="preserve">LMB6UU</t>
  </si>
  <si>
    <t xml:space="preserve">9.525x15.875x22.225</t>
  </si>
  <si>
    <t xml:space="preserve">LB-LMB8UU-12.7x22.225x31.75</t>
  </si>
  <si>
    <t xml:space="preserve">LMB8UU</t>
  </si>
  <si>
    <t xml:space="preserve">12.7x22.225x31.75</t>
  </si>
  <si>
    <t xml:space="preserve">LB-LMB8UUOP-12.7x22.225x31.75</t>
  </si>
  <si>
    <t xml:space="preserve">LMB8UUOP</t>
  </si>
  <si>
    <t xml:space="preserve">LB-LME12LUU-12x22x57</t>
  </si>
  <si>
    <t xml:space="preserve">LME12LUU</t>
  </si>
  <si>
    <t xml:space="preserve">12x22x57</t>
  </si>
  <si>
    <t xml:space="preserve">LB-LME12UU-12x22x32</t>
  </si>
  <si>
    <t xml:space="preserve">LME12UU</t>
  </si>
  <si>
    <t xml:space="preserve">12x22x32</t>
  </si>
  <si>
    <t xml:space="preserve">LB-LME12UUAJ-12x22x32</t>
  </si>
  <si>
    <t xml:space="preserve">LME12UUAJ</t>
  </si>
  <si>
    <t xml:space="preserve">LB-LME16LUU-16x26x70</t>
  </si>
  <si>
    <t xml:space="preserve">LME16LUU</t>
  </si>
  <si>
    <t xml:space="preserve">16x26x70</t>
  </si>
  <si>
    <t xml:space="preserve">LB-LME16UU-16x26x36</t>
  </si>
  <si>
    <t xml:space="preserve">LME16UU</t>
  </si>
  <si>
    <t xml:space="preserve">16x26x36</t>
  </si>
  <si>
    <t xml:space="preserve">LB-LME16UUOP-16x26x36</t>
  </si>
  <si>
    <t xml:space="preserve">LME16UUOP</t>
  </si>
  <si>
    <t xml:space="preserve">LB-LME20UU-20x32x45</t>
  </si>
  <si>
    <t xml:space="preserve">LME20UU</t>
  </si>
  <si>
    <t xml:space="preserve">20x32x45</t>
  </si>
  <si>
    <t xml:space="preserve">LB-LME20UUAJ-20x32x45</t>
  </si>
  <si>
    <t xml:space="preserve">LME20UUAJ</t>
  </si>
  <si>
    <t xml:space="preserve">LB-LME25UU-25x40x58</t>
  </si>
  <si>
    <t xml:space="preserve">LME25UU</t>
  </si>
  <si>
    <t xml:space="preserve">25x40x58</t>
  </si>
  <si>
    <t xml:space="preserve">LB-LME25UUAJ-25x40x58</t>
  </si>
  <si>
    <t xml:space="preserve">LME25UUAJ</t>
  </si>
  <si>
    <t xml:space="preserve">LB-LME25UUOP-25x40x58</t>
  </si>
  <si>
    <t xml:space="preserve">LME25UUOP</t>
  </si>
  <si>
    <t xml:space="preserve">LB-LME30UU-30x47x68</t>
  </si>
  <si>
    <t xml:space="preserve">LME30UU</t>
  </si>
  <si>
    <t xml:space="preserve">30x47x68</t>
  </si>
  <si>
    <t xml:space="preserve">LB-LME30UUAJ-30x47x68</t>
  </si>
  <si>
    <t xml:space="preserve">LME30UUAJ</t>
  </si>
  <si>
    <t xml:space="preserve">LB-LME40UU-40x62x80</t>
  </si>
  <si>
    <t xml:space="preserve">LME40UU</t>
  </si>
  <si>
    <t xml:space="preserve">40x62x80</t>
  </si>
  <si>
    <t xml:space="preserve">LB-LME50UU-50x75x100</t>
  </si>
  <si>
    <t xml:space="preserve">LME50UU</t>
  </si>
  <si>
    <t xml:space="preserve">50x75x100</t>
  </si>
  <si>
    <t xml:space="preserve">LB-LME60UU-60x90x125</t>
  </si>
  <si>
    <t xml:space="preserve">LME60UU</t>
  </si>
  <si>
    <t xml:space="preserve">60x90x125</t>
  </si>
  <si>
    <t xml:space="preserve">LB-LME80UU-80x120x165</t>
  </si>
  <si>
    <t xml:space="preserve">LME80UU</t>
  </si>
  <si>
    <t xml:space="preserve">80x120x165</t>
  </si>
  <si>
    <t xml:space="preserve">LB-LME8UU-8x16x25</t>
  </si>
  <si>
    <t xml:space="preserve">LME8UU</t>
  </si>
  <si>
    <t xml:space="preserve">8x16x25</t>
  </si>
  <si>
    <t xml:space="preserve">MGN Miniature Linear Guide &amp; Carriage (MGN7-15)  [Linear Bearings &amp; Blocks]</t>
  </si>
  <si>
    <t xml:space="preserve">Color / Brand</t>
  </si>
  <si>
    <t xml:space="preserve">Carriages</t>
  </si>
  <si>
    <t xml:space="preserve">MGN12C</t>
  </si>
  <si>
    <t xml:space="preserve">MGN-BK-MGN12C</t>
  </si>
  <si>
    <t xml:space="preserve">MGN-BK-MGN12C-300</t>
  </si>
  <si>
    <t xml:space="preserve">MGN-BK-MGN12C-400</t>
  </si>
  <si>
    <t xml:space="preserve">MGN-BK-MGN12H</t>
  </si>
  <si>
    <t xml:space="preserve">MGN12H</t>
  </si>
  <si>
    <t xml:space="preserve">MGN-BK-MGN12H-1000</t>
  </si>
  <si>
    <t xml:space="preserve">MGN-BK-MGN12H-1500</t>
  </si>
  <si>
    <t xml:space="preserve">MGN-BK-MGN12H-200</t>
  </si>
  <si>
    <t xml:space="preserve">MGN-BK-MGN12H-300</t>
  </si>
  <si>
    <t xml:space="preserve">MGN-BK-MGN12H-400</t>
  </si>
  <si>
    <t xml:space="preserve">MGN-BK-MGN12H-500</t>
  </si>
  <si>
    <t xml:space="preserve">MGN-BK-MGN12H-600</t>
  </si>
  <si>
    <t xml:space="preserve">MGN-BK-MGN15C</t>
  </si>
  <si>
    <t xml:space="preserve">MGN15C</t>
  </si>
  <si>
    <t xml:space="preserve">MGN-BK-MGN15C-600</t>
  </si>
  <si>
    <t xml:space="preserve">MGN-BK-MGN15H</t>
  </si>
  <si>
    <t xml:space="preserve">MGN15H</t>
  </si>
  <si>
    <t xml:space="preserve">MGN-BK-MGN15H-600</t>
  </si>
  <si>
    <t xml:space="preserve">MGN-GB-MGN12C</t>
  </si>
  <si>
    <t xml:space="preserve">MGN-GB-MGN12C-100</t>
  </si>
  <si>
    <t xml:space="preserve">MGN-GB-MGN12C-130</t>
  </si>
  <si>
    <t xml:space="preserve">MGN-GB-MGN12C-150</t>
  </si>
  <si>
    <t xml:space="preserve">MGN-GB-MGN12C-200</t>
  </si>
  <si>
    <t xml:space="preserve">MGN-GB-MGN12C-300</t>
  </si>
  <si>
    <t xml:space="preserve">MGN-GB-MGN12C-350</t>
  </si>
  <si>
    <t xml:space="preserve">MGN-GB-MGN12C-360</t>
  </si>
  <si>
    <t xml:space="preserve">MGN-GB-MGN12C-400-X2</t>
  </si>
  <si>
    <t xml:space="preserve">MGN-GB-MGN12C-500</t>
  </si>
  <si>
    <t xml:space="preserve">MGN-GB-MGN12H</t>
  </si>
  <si>
    <t xml:space="preserve">MGN-GB-MGN12H-100</t>
  </si>
  <si>
    <t xml:space="preserve">MGN-GB-MGN12H-125</t>
  </si>
  <si>
    <t xml:space="preserve">MGN-GB-MGN12H-150</t>
  </si>
  <si>
    <t xml:space="preserve">MGN-GB-MGN12H-275</t>
  </si>
  <si>
    <t xml:space="preserve">MGN-GB-MGN12H-280</t>
  </si>
  <si>
    <t xml:space="preserve">MGN-GB-MGN12H-300</t>
  </si>
  <si>
    <t xml:space="preserve">MGN-GB-MGN12H-350</t>
  </si>
  <si>
    <t xml:space="preserve">MGN-GB-MGN12H-360</t>
  </si>
  <si>
    <t xml:space="preserve">MGN-GB-MGN12H-400</t>
  </si>
  <si>
    <t xml:space="preserve">MGN-GB-MGN12H-400-X2</t>
  </si>
  <si>
    <t xml:space="preserve">MGN-GB-MGN12H-525</t>
  </si>
  <si>
    <t xml:space="preserve">MGN-GB-MGN12H-550</t>
  </si>
  <si>
    <t xml:space="preserve">MGN-GB-MGN12H-600</t>
  </si>
  <si>
    <t xml:space="preserve">MGN-GB-MGN12H-660</t>
  </si>
  <si>
    <t xml:space="preserve">MGN-GB-MGN12H-750</t>
  </si>
  <si>
    <t xml:space="preserve">MGN-GB-MGN12H-800</t>
  </si>
  <si>
    <t xml:space="preserve">MGN-GB-MGN15C</t>
  </si>
  <si>
    <t xml:space="preserve">MGN-GB-MGN15C-600</t>
  </si>
  <si>
    <t xml:space="preserve">MGN-GB-MGN15H</t>
  </si>
  <si>
    <t xml:space="preserve">MGN-GB-MGN15H-600</t>
  </si>
  <si>
    <t xml:space="preserve">MGN-GB-MGN7C</t>
  </si>
  <si>
    <t xml:space="preserve">MGN7C</t>
  </si>
  <si>
    <t xml:space="preserve">MGN-GB-MGN7C-100</t>
  </si>
  <si>
    <t xml:space="preserve">MGN-GB-MGN7C-120</t>
  </si>
  <si>
    <t xml:space="preserve">MGN-GB-MGN7C-150</t>
  </si>
  <si>
    <t xml:space="preserve">MGN-GB-MGN7C-200</t>
  </si>
  <si>
    <t xml:space="preserve">MGN-GB-MGN7C-250</t>
  </si>
  <si>
    <t xml:space="preserve">MGN-GB-MGN7C-300</t>
  </si>
  <si>
    <t xml:space="preserve">MGN-GB-MGN7C-350</t>
  </si>
  <si>
    <t xml:space="preserve">MGN-GB-MGN7C-400</t>
  </si>
  <si>
    <t xml:space="preserve">MGN-GB-MGN7C-450</t>
  </si>
  <si>
    <t xml:space="preserve">MGN-GB-MGN7C-70</t>
  </si>
  <si>
    <t xml:space="preserve">MGN-GB-MGN7H</t>
  </si>
  <si>
    <t xml:space="preserve">MGN7H</t>
  </si>
  <si>
    <t xml:space="preserve">MGN-GB-MGN7H-100</t>
  </si>
  <si>
    <t xml:space="preserve">MGN-GB-MGN7H-150</t>
  </si>
  <si>
    <t xml:space="preserve">MGN-GB-MGN7H-200</t>
  </si>
  <si>
    <t xml:space="preserve">MGN-GB-MGN7H-250</t>
  </si>
  <si>
    <t xml:space="preserve">MGN-GB-MGN7H-300</t>
  </si>
  <si>
    <t xml:space="preserve">MGN-GB-MGN7H-350</t>
  </si>
  <si>
    <t xml:space="preserve">MGN-GB-MGN7H-400</t>
  </si>
  <si>
    <t xml:space="preserve">MGN-GB-MGN7H-450</t>
  </si>
  <si>
    <t xml:space="preserve">MGN-GB-MGN7H-70</t>
  </si>
  <si>
    <t xml:space="preserve">MGN-GB-MGN9C</t>
  </si>
  <si>
    <t xml:space="preserve">MGN9C</t>
  </si>
  <si>
    <t xml:space="preserve">MGN-GB-MGN9C-100</t>
  </si>
  <si>
    <t xml:space="preserve">MGN-GB-MGN9C-1000</t>
  </si>
  <si>
    <t xml:space="preserve">MGN-GB-MGN9C-200</t>
  </si>
  <si>
    <t xml:space="preserve">MGN-GB-MGN9C-250</t>
  </si>
  <si>
    <t xml:space="preserve">MGN-GB-MGN9C-300</t>
  </si>
  <si>
    <t xml:space="preserve">MGN-GB-MGN9C-400</t>
  </si>
  <si>
    <t xml:space="preserve">MGN-GB-MGN9C-450</t>
  </si>
  <si>
    <t xml:space="preserve">MGN-GB-MGN9C-50</t>
  </si>
  <si>
    <t xml:space="preserve">MGN-GB-MGN9C-550</t>
  </si>
  <si>
    <t xml:space="preserve">MGN-GB-MGN9C-750</t>
  </si>
  <si>
    <t xml:space="preserve">MGN-GB-MGN9C-950</t>
  </si>
  <si>
    <t xml:space="preserve">MGN-GB-MGN9H</t>
  </si>
  <si>
    <t xml:space="preserve">MGN9H</t>
  </si>
  <si>
    <t xml:space="preserve">MGN-GB-MGN9H-100</t>
  </si>
  <si>
    <t xml:space="preserve">MGN-GB-MGN9H-1000</t>
  </si>
  <si>
    <t xml:space="preserve">MGN-GB-MGN9H-200</t>
  </si>
  <si>
    <t xml:space="preserve">MGN-GB-MGN9H-250</t>
  </si>
  <si>
    <t xml:space="preserve">MGN-GB-MGN9H-300</t>
  </si>
  <si>
    <t xml:space="preserve">MGN-GB-MGN9H-350</t>
  </si>
  <si>
    <t xml:space="preserve">MGN-GB-MGN9H-400</t>
  </si>
  <si>
    <t xml:space="preserve">MGN-GB-MGN9H-450</t>
  </si>
  <si>
    <t xml:space="preserve">MGN-GB-MGN9H-50</t>
  </si>
  <si>
    <t xml:space="preserve">MGN-GB-MGN9H-550</t>
  </si>
  <si>
    <t xml:space="preserve">MGN-GB-MGN9H-750</t>
  </si>
  <si>
    <t xml:space="preserve">MGN-GB-MGN9H-950</t>
  </si>
  <si>
    <t xml:space="preserve">MGN-HIWIN-MGN12C</t>
  </si>
  <si>
    <t xml:space="preserve">HIWIN HIWIN</t>
  </si>
  <si>
    <t xml:space="preserve">MGN-HIWIN-MGN12C-150</t>
  </si>
  <si>
    <t xml:space="preserve">MGN-HIWIN-MGN12C-360</t>
  </si>
  <si>
    <t xml:space="preserve">MGN-HIWIN-MGN12C-500</t>
  </si>
  <si>
    <t xml:space="preserve">MGN-HIWIN-MGN12H</t>
  </si>
  <si>
    <t xml:space="preserve">MGN-HIWIN-MGN12H-500</t>
  </si>
  <si>
    <t xml:space="preserve">MGN-HIWIN-MGN15H</t>
  </si>
  <si>
    <t xml:space="preserve">MGN-NBK-MGN12C</t>
  </si>
  <si>
    <t xml:space="preserve">Plated black</t>
  </si>
  <si>
    <t xml:space="preserve">MGN-NBK-MGN12C-100</t>
  </si>
  <si>
    <t xml:space="preserve">MGN-NBK-MGN12C-130</t>
  </si>
  <si>
    <t xml:space="preserve">MGN-NBK-MGN12C-150</t>
  </si>
  <si>
    <t xml:space="preserve">MGN-NBK-MGN12C-300</t>
  </si>
  <si>
    <t xml:space="preserve">MGN-NBK-MGN12C-350</t>
  </si>
  <si>
    <t xml:space="preserve">MGN-NBK-MGN12C-360</t>
  </si>
  <si>
    <t xml:space="preserve">MGN-NBK-MGN12C-400-X2</t>
  </si>
  <si>
    <t xml:space="preserve">MGN-NBK-MGN12C-500</t>
  </si>
  <si>
    <t xml:space="preserve">MGN-NBK-MGN12H</t>
  </si>
  <si>
    <t xml:space="preserve">MGN-NBK-MGN12H-100</t>
  </si>
  <si>
    <t xml:space="preserve">MGN-NBK-MGN12H-125</t>
  </si>
  <si>
    <t xml:space="preserve">MGN-NBK-MGN12H-150</t>
  </si>
  <si>
    <t xml:space="preserve">MGN-NBK-MGN12H-275</t>
  </si>
  <si>
    <t xml:space="preserve">MGN-NBK-MGN12H-280</t>
  </si>
  <si>
    <t xml:space="preserve">MGN-NBK-MGN12H-300</t>
  </si>
  <si>
    <t xml:space="preserve">MGN-NBK-MGN12H-350</t>
  </si>
  <si>
    <t xml:space="preserve">MGN-NBK-MGN12H-360</t>
  </si>
  <si>
    <t xml:space="preserve">MGN-NBK-MGN12H-400</t>
  </si>
  <si>
    <t xml:space="preserve">MGN-NBK-MGN12H-400-X2</t>
  </si>
  <si>
    <t xml:space="preserve">MGN-NBK-MGN15C</t>
  </si>
  <si>
    <t xml:space="preserve">MGN-NBK-MGN15C-600</t>
  </si>
  <si>
    <t xml:space="preserve">MGN-NBK-MGN15H</t>
  </si>
  <si>
    <t xml:space="preserve">MGN-NBK-MGN15H-600</t>
  </si>
  <si>
    <t xml:space="preserve">MGN-NBK-MGN7C</t>
  </si>
  <si>
    <t xml:space="preserve">MGN-NBK-MGN7C-100</t>
  </si>
  <si>
    <t xml:space="preserve">MGN-NBK-MGN7C-150</t>
  </si>
  <si>
    <t xml:space="preserve">MGN-NBK-MGN7C-200</t>
  </si>
  <si>
    <t xml:space="preserve">MGN-NBK-MGN7C-250</t>
  </si>
  <si>
    <t xml:space="preserve">MGN-NBK-MGN7C-300</t>
  </si>
  <si>
    <t xml:space="preserve">MGN-NBK-MGN7C-350</t>
  </si>
  <si>
    <t xml:space="preserve">MGN-NBK-MGN7C-400</t>
  </si>
  <si>
    <t xml:space="preserve">MGN-NBK-MGN7C-450</t>
  </si>
  <si>
    <t xml:space="preserve">MGN-NBK-MGN7C-70</t>
  </si>
  <si>
    <t xml:space="preserve">MGN-NBK-MGN7H</t>
  </si>
  <si>
    <t xml:space="preserve">MGN-NBK-MGN7H-100</t>
  </si>
  <si>
    <t xml:space="preserve">MGN-NBK-MGN7H-150</t>
  </si>
  <si>
    <t xml:space="preserve">MGN-NBK-MGN7H-200</t>
  </si>
  <si>
    <t xml:space="preserve">MGN-NBK-MGN7H-250</t>
  </si>
  <si>
    <t xml:space="preserve">MGN-NBK-MGN7H-300</t>
  </si>
  <si>
    <t xml:space="preserve">MGN-NBK-MGN7H-350</t>
  </si>
  <si>
    <t xml:space="preserve">MGN-NBK-MGN7H-400</t>
  </si>
  <si>
    <t xml:space="preserve">MGN-NBK-MGN7H-450</t>
  </si>
  <si>
    <t xml:space="preserve">MGN-NBK-MGN7H-70</t>
  </si>
  <si>
    <t xml:space="preserve">MGN-NBK-MGN9C</t>
  </si>
  <si>
    <t xml:space="preserve">MGN-NBK-MGN9C-100</t>
  </si>
  <si>
    <t xml:space="preserve">MGN-NBK-MGN9C-1000</t>
  </si>
  <si>
    <t xml:space="preserve">MGN-NBK-MGN9C-200</t>
  </si>
  <si>
    <t xml:space="preserve">MGN-NBK-MGN9C-250</t>
  </si>
  <si>
    <t xml:space="preserve">MGN-NBK-MGN9C-300</t>
  </si>
  <si>
    <t xml:space="preserve">MGN-NBK-MGN9C-400</t>
  </si>
  <si>
    <t xml:space="preserve">MGN-NBK-MGN9C-450</t>
  </si>
  <si>
    <t xml:space="preserve">MGN-NBK-MGN9C-50</t>
  </si>
  <si>
    <t xml:space="preserve">MGN-NBK-MGN9C-550</t>
  </si>
  <si>
    <t xml:space="preserve">MGN-NBK-MGN9C-750</t>
  </si>
  <si>
    <t xml:space="preserve">MGN-NBK-MGN9C-950</t>
  </si>
  <si>
    <t xml:space="preserve">MGN-NBK-MGN9H</t>
  </si>
  <si>
    <t xml:space="preserve">MGN-NBK-MGN9H-100</t>
  </si>
  <si>
    <t xml:space="preserve">MGN-NBK-MGN9H-1000</t>
  </si>
  <si>
    <t xml:space="preserve">MGN-NBK-MGN9H-200</t>
  </si>
  <si>
    <t xml:space="preserve">MGN-NBK-MGN9H-300</t>
  </si>
  <si>
    <t xml:space="preserve">MGN-NBK-MGN9H-400</t>
  </si>
  <si>
    <t xml:space="preserve">MGN-NBK-MGN9H-450</t>
  </si>
  <si>
    <t xml:space="preserve">MGN-NBK-MGN9H-50</t>
  </si>
  <si>
    <t xml:space="preserve">MGN-NBK-MGN9H-550</t>
  </si>
  <si>
    <t xml:space="preserve">MGN-NBK-MGN9H-750</t>
  </si>
  <si>
    <t xml:space="preserve">MGN-NBK-MGN9H-950</t>
  </si>
  <si>
    <t xml:space="preserve">MGN-RB-MGN12C</t>
  </si>
  <si>
    <t xml:space="preserve">Red-black</t>
  </si>
  <si>
    <t xml:space="preserve">MGN-RB-MGN12C-100</t>
  </si>
  <si>
    <t xml:space="preserve">MGN-RB-MGN12C-130</t>
  </si>
  <si>
    <t xml:space="preserve">MGN-RB-MGN12C-150</t>
  </si>
  <si>
    <t xml:space="preserve">MGN-RB-MGN12C-300</t>
  </si>
  <si>
    <t xml:space="preserve">MGN-RB-MGN12C-350</t>
  </si>
  <si>
    <t xml:space="preserve">MGN-RB-MGN12C-360</t>
  </si>
  <si>
    <t xml:space="preserve">MGN-RB-MGN12C-400-X2</t>
  </si>
  <si>
    <t xml:space="preserve">MGN-RB-MGN12C-500</t>
  </si>
  <si>
    <t xml:space="preserve">MGN-RB-MGN12H</t>
  </si>
  <si>
    <t xml:space="preserve">MGN-RB-MGN12H-100</t>
  </si>
  <si>
    <t xml:space="preserve">MGN-RB-MGN12H-125</t>
  </si>
  <si>
    <t xml:space="preserve">MGN-RB-MGN12H-150</t>
  </si>
  <si>
    <t xml:space="preserve">MGN-RB-MGN12H-275</t>
  </si>
  <si>
    <t xml:space="preserve">MGN-RB-MGN12H-280</t>
  </si>
  <si>
    <t xml:space="preserve">MGN-RB-MGN12H-300</t>
  </si>
  <si>
    <t xml:space="preserve">MGN-RB-MGN12H-350</t>
  </si>
  <si>
    <t xml:space="preserve">MGN-RB-MGN12H-360</t>
  </si>
  <si>
    <t xml:space="preserve">MGN-RB-MGN12H-400</t>
  </si>
  <si>
    <t xml:space="preserve">MGN-RB-MGN12H-400-X2</t>
  </si>
  <si>
    <t xml:space="preserve">MGN-RB-MGN15C</t>
  </si>
  <si>
    <t xml:space="preserve">MGN-RB-MGN15C-600</t>
  </si>
  <si>
    <t xml:space="preserve">MGN-RB-MGN15H</t>
  </si>
  <si>
    <t xml:space="preserve">MGN-RB-MGN15H-600</t>
  </si>
  <si>
    <t xml:space="preserve">MGN-RB-MGN7C</t>
  </si>
  <si>
    <t xml:space="preserve">MGN-RB-MGN7C-100</t>
  </si>
  <si>
    <t xml:space="preserve">MGN-RB-MGN7C-150</t>
  </si>
  <si>
    <t xml:space="preserve">MGN-RB-MGN7C-200</t>
  </si>
  <si>
    <t xml:space="preserve">MGN-RB-MGN7C-250</t>
  </si>
  <si>
    <t xml:space="preserve">MGN-RB-MGN7C-300</t>
  </si>
  <si>
    <t xml:space="preserve">MGN-RB-MGN7C-350</t>
  </si>
  <si>
    <t xml:space="preserve">MGN-RB-MGN7C-400</t>
  </si>
  <si>
    <t xml:space="preserve">MGN-RB-MGN7C-450</t>
  </si>
  <si>
    <t xml:space="preserve">MGN-RB-MGN7C-70</t>
  </si>
  <si>
    <t xml:space="preserve">MGN-RB-MGN7H</t>
  </si>
  <si>
    <t xml:space="preserve">MGN-RB-MGN7H-100</t>
  </si>
  <si>
    <t xml:space="preserve">MGN-RB-MGN7H-150</t>
  </si>
  <si>
    <t xml:space="preserve">MGN-RB-MGN7H-200</t>
  </si>
  <si>
    <t xml:space="preserve">MGN-RB-MGN7H-250</t>
  </si>
  <si>
    <t xml:space="preserve">MGN-RB-MGN7H-300</t>
  </si>
  <si>
    <t xml:space="preserve">MGN-RB-MGN7H-350</t>
  </si>
  <si>
    <t xml:space="preserve">MGN-RB-MGN7H-400</t>
  </si>
  <si>
    <t xml:space="preserve">MGN-RB-MGN7H-450</t>
  </si>
  <si>
    <t xml:space="preserve">MGN-RB-MGN7H-70</t>
  </si>
  <si>
    <t xml:space="preserve">MGN-RB-MGN9C</t>
  </si>
  <si>
    <t xml:space="preserve">MGN-RB-MGN9C-100</t>
  </si>
  <si>
    <t xml:space="preserve">MGN-RB-MGN9C-1000</t>
  </si>
  <si>
    <t xml:space="preserve">MGN-RB-MGN9C-200</t>
  </si>
  <si>
    <t xml:space="preserve">MGN-RB-MGN9C-250</t>
  </si>
  <si>
    <t xml:space="preserve">MGN-RB-MGN9C-300</t>
  </si>
  <si>
    <t xml:space="preserve">MGN-RB-MGN9C-400</t>
  </si>
  <si>
    <t xml:space="preserve">MGN-RB-MGN9C-450</t>
  </si>
  <si>
    <t xml:space="preserve">MGN-RB-MGN9C-50</t>
  </si>
  <si>
    <t xml:space="preserve">MGN-RB-MGN9C-550</t>
  </si>
  <si>
    <t xml:space="preserve">MGN-RB-MGN9C-750</t>
  </si>
  <si>
    <t xml:space="preserve">MGN-RB-MGN9C-950</t>
  </si>
  <si>
    <t xml:space="preserve">MGN-RB-MGN9H</t>
  </si>
  <si>
    <t xml:space="preserve">MGN-RB-MGN9H-100</t>
  </si>
  <si>
    <t xml:space="preserve">MGN-RB-MGN9H-1000</t>
  </si>
  <si>
    <t xml:space="preserve">MGN-RB-MGN9H-200</t>
  </si>
  <si>
    <t xml:space="preserve">MGN-RB-MGN9H-250</t>
  </si>
  <si>
    <t xml:space="preserve">MGN-RB-MGN9H-300</t>
  </si>
  <si>
    <t xml:space="preserve">MGN-RB-MGN9H-400</t>
  </si>
  <si>
    <t xml:space="preserve">MGN-RB-MGN9H-450</t>
  </si>
  <si>
    <t xml:space="preserve">MGN-RB-MGN9H-50</t>
  </si>
  <si>
    <t xml:space="preserve">MGN-RB-MGN9H-550</t>
  </si>
  <si>
    <t xml:space="preserve">MGN-RB-MGN9H-750</t>
  </si>
  <si>
    <t xml:space="preserve">SBR Open Linear Bearing Block  [Linear Bearings &amp; Blocks]</t>
  </si>
  <si>
    <t xml:space="preserve">with Al-plastic bearing</t>
  </si>
  <si>
    <t xml:space="preserve">SBR-SBR10-AP</t>
  </si>
  <si>
    <t xml:space="preserve">SBR-SBR10LUU-L</t>
  </si>
  <si>
    <t xml:space="preserve">SBR10LUU</t>
  </si>
  <si>
    <t xml:space="preserve">SBR-SBR10UU</t>
  </si>
  <si>
    <t xml:space="preserve">SBR10UU</t>
  </si>
  <si>
    <t xml:space="preserve">SBR-SBR12-AP</t>
  </si>
  <si>
    <t xml:space="preserve">SBR-SBR12L-L-AP</t>
  </si>
  <si>
    <t xml:space="preserve">SBR12L</t>
  </si>
  <si>
    <t xml:space="preserve">Long with Al-plastic bearing</t>
  </si>
  <si>
    <t xml:space="preserve">SBR-SBR12LUU-L</t>
  </si>
  <si>
    <t xml:space="preserve">SBR12LUU</t>
  </si>
  <si>
    <t xml:space="preserve">SBR-SBR12UU</t>
  </si>
  <si>
    <t xml:space="preserve">SBR12UU</t>
  </si>
  <si>
    <t xml:space="preserve">SBR-SBR13UU</t>
  </si>
  <si>
    <t xml:space="preserve">SBR13UU</t>
  </si>
  <si>
    <t xml:space="preserve">SBR-SBR16-AP</t>
  </si>
  <si>
    <t xml:space="preserve">SBR-SBR16L-L-AP</t>
  </si>
  <si>
    <t xml:space="preserve">SBR16L</t>
  </si>
  <si>
    <t xml:space="preserve">SBR-SBR16LUU-L-PL-O</t>
  </si>
  <si>
    <t xml:space="preserve">SBR16LUU</t>
  </si>
  <si>
    <t xml:space="preserve">Long with clamp plate with grease nipple</t>
  </si>
  <si>
    <t xml:space="preserve">SBR-SBR16UU-44x42x32-BR</t>
  </si>
  <si>
    <t xml:space="preserve">SBR16UU</t>
  </si>
  <si>
    <t xml:space="preserve">Glossy</t>
  </si>
  <si>
    <t xml:space="preserve">44x42x32</t>
  </si>
  <si>
    <t xml:space="preserve">SBR-SBR16UU-45x45x33-BR</t>
  </si>
  <si>
    <t xml:space="preserve">45x45x33</t>
  </si>
  <si>
    <t xml:space="preserve">SBR-SBR16UU-45x45x33-MT</t>
  </si>
  <si>
    <t xml:space="preserve">Matte</t>
  </si>
  <si>
    <t xml:space="preserve">SBR-SBR16UU-DC-NP</t>
  </si>
  <si>
    <t xml:space="preserve">2RS Dust-proof no clamp plate</t>
  </si>
  <si>
    <t xml:space="preserve">SBR-SBR16UU-DC-PL</t>
  </si>
  <si>
    <t xml:space="preserve">2RS Dust-proof with clamp plate</t>
  </si>
  <si>
    <t xml:space="preserve">SBR-SBR16UU-LK-W</t>
  </si>
  <si>
    <t xml:space="preserve">Locking + wrench</t>
  </si>
  <si>
    <t xml:space="preserve">SBR-SBR20-AP</t>
  </si>
  <si>
    <t xml:space="preserve">SBR-SBR20L-L-AP</t>
  </si>
  <si>
    <t xml:space="preserve">SBR20L</t>
  </si>
  <si>
    <t xml:space="preserve">SBR-SBR20LUU-L-PL-O</t>
  </si>
  <si>
    <t xml:space="preserve">SBR20LUU</t>
  </si>
  <si>
    <t xml:space="preserve">SBR-SBR20UU-BR</t>
  </si>
  <si>
    <t xml:space="preserve">SBR20UU</t>
  </si>
  <si>
    <t xml:space="preserve">SBR-SBR20UU-BR-R</t>
  </si>
  <si>
    <t xml:space="preserve">Glossy Reinforced</t>
  </si>
  <si>
    <t xml:space="preserve">SBR-SBR20UU-DC-NP</t>
  </si>
  <si>
    <t xml:space="preserve">SBR-SBR20UU-DC-PL</t>
  </si>
  <si>
    <t xml:space="preserve">SBR-SBR20UU-LK-W</t>
  </si>
  <si>
    <t xml:space="preserve">SBR-SBR20UU-MT-R</t>
  </si>
  <si>
    <t xml:space="preserve">Matte Reinforced</t>
  </si>
  <si>
    <t xml:space="preserve">SBR-SBR25-AP</t>
  </si>
  <si>
    <t xml:space="preserve">SBR-SBR25L-L-AP</t>
  </si>
  <si>
    <t xml:space="preserve">SBR25L</t>
  </si>
  <si>
    <t xml:space="preserve">SBR-SBR25LUU-L</t>
  </si>
  <si>
    <t xml:space="preserve">SBR25LUU</t>
  </si>
  <si>
    <t xml:space="preserve">SBR-SBR25UU</t>
  </si>
  <si>
    <t xml:space="preserve">SBR25UU</t>
  </si>
  <si>
    <t xml:space="preserve">SBR-SBR25UU-DC-NP</t>
  </si>
  <si>
    <t xml:space="preserve">SBR-SBR25UU-DC-PL</t>
  </si>
  <si>
    <t xml:space="preserve">SBR-SBR25UU-LK-W</t>
  </si>
  <si>
    <t xml:space="preserve">SBR-SBR30-AP</t>
  </si>
  <si>
    <t xml:space="preserve">SBR-SBR30L-L-AP</t>
  </si>
  <si>
    <t xml:space="preserve">SBR30L</t>
  </si>
  <si>
    <t xml:space="preserve">SBR-SBR30LUU-L-PL-O</t>
  </si>
  <si>
    <t xml:space="preserve">SBR30LUU</t>
  </si>
  <si>
    <t xml:space="preserve">SBR-SBR30UU</t>
  </si>
  <si>
    <t xml:space="preserve">SBR30UU</t>
  </si>
  <si>
    <t xml:space="preserve">SBR-SBR30UU-DC-NP</t>
  </si>
  <si>
    <t xml:space="preserve">SBR-SBR30UU-DC-PL</t>
  </si>
  <si>
    <t xml:space="preserve">SBR-SBR30UU-LK-W</t>
  </si>
  <si>
    <t xml:space="preserve">SBR-SBR35-AP</t>
  </si>
  <si>
    <t xml:space="preserve">SBR-SBR35L-L-AP</t>
  </si>
  <si>
    <t xml:space="preserve">SBR35L</t>
  </si>
  <si>
    <t xml:space="preserve">SBR-SBR35LUU-L</t>
  </si>
  <si>
    <t xml:space="preserve">SBR35LUU</t>
  </si>
  <si>
    <t xml:space="preserve">SBR-SBR35UU-DC-NP</t>
  </si>
  <si>
    <t xml:space="preserve">SBR35UU</t>
  </si>
  <si>
    <t xml:space="preserve">SBR-SBR35UU-DC-PL</t>
  </si>
  <si>
    <t xml:space="preserve">SBR-SBR40-AP</t>
  </si>
  <si>
    <t xml:space="preserve">SBR-SBR40L-L-AP</t>
  </si>
  <si>
    <t xml:space="preserve">SBR40L</t>
  </si>
  <si>
    <t xml:space="preserve">SBR-SBR40LUU-L</t>
  </si>
  <si>
    <t xml:space="preserve">SBR40LUU</t>
  </si>
  <si>
    <t xml:space="preserve">SBR-SBR40UU-DC-NP</t>
  </si>
  <si>
    <t xml:space="preserve">SBR40UU</t>
  </si>
  <si>
    <t xml:space="preserve">SBR-SBR40UU-DC-PL</t>
  </si>
  <si>
    <t xml:space="preserve">SBR-SBR50-AP</t>
  </si>
  <si>
    <t xml:space="preserve">SBR50</t>
  </si>
  <si>
    <t xml:space="preserve">SBR-SBR50L-L-AP</t>
  </si>
  <si>
    <t xml:space="preserve">SBR50L</t>
  </si>
  <si>
    <t xml:space="preserve">SBR-SBR50LUU-L</t>
  </si>
  <si>
    <t xml:space="preserve">SBR50LUU</t>
  </si>
  <si>
    <t xml:space="preserve">SCS Box Linear Bearing Block  [Linear Bearings &amp; Blocks]</t>
  </si>
  <si>
    <t xml:space="preserve">SCS10LUU</t>
  </si>
  <si>
    <t xml:space="preserve">SCS-SCS10LUU-SV-L</t>
  </si>
  <si>
    <t xml:space="preserve">SCS-SCS10UU-SV</t>
  </si>
  <si>
    <t xml:space="preserve">SCS10UU</t>
  </si>
  <si>
    <t xml:space="preserve">SCS-SCS10UU-SV-LK-W</t>
  </si>
  <si>
    <t xml:space="preserve">SCS-SCS10UUAJ-SV</t>
  </si>
  <si>
    <t xml:space="preserve">SCS10UUAJ</t>
  </si>
  <si>
    <t xml:space="preserve">SCS-SCS12-SV-GR</t>
  </si>
  <si>
    <t xml:space="preserve">SCS12</t>
  </si>
  <si>
    <t xml:space="preserve">with graphite bearing</t>
  </si>
  <si>
    <t xml:space="preserve">SCS-SCS12LUU-SV-L</t>
  </si>
  <si>
    <t xml:space="preserve">SCS12LUU</t>
  </si>
  <si>
    <t xml:space="preserve">SCS-SCS12UU-SV</t>
  </si>
  <si>
    <t xml:space="preserve">SCS12UU</t>
  </si>
  <si>
    <t xml:space="preserve">SCS-SCS12UU-SV-LK-W</t>
  </si>
  <si>
    <t xml:space="preserve">SCS-SCS12UUAJ-SV</t>
  </si>
  <si>
    <t xml:space="preserve">SCS12UUAJ</t>
  </si>
  <si>
    <t xml:space="preserve">SCS-SCS13LUU-SV-L</t>
  </si>
  <si>
    <t xml:space="preserve">SCS13LUU</t>
  </si>
  <si>
    <t xml:space="preserve">SCS-SCS13UU-SV</t>
  </si>
  <si>
    <t xml:space="preserve">SCS13UU</t>
  </si>
  <si>
    <t xml:space="preserve">SCS-SCS16LUU-SV-L</t>
  </si>
  <si>
    <t xml:space="preserve">SCS16LUU</t>
  </si>
  <si>
    <t xml:space="preserve">SCS-SCS16UU-SV</t>
  </si>
  <si>
    <t xml:space="preserve">SCS16UU</t>
  </si>
  <si>
    <t xml:space="preserve">SCS-SCS16UU-SV-LK-W</t>
  </si>
  <si>
    <t xml:space="preserve">SCS-SCS16UUAJ-SV</t>
  </si>
  <si>
    <t xml:space="preserve">SCS16UUAJ</t>
  </si>
  <si>
    <t xml:space="preserve">SCS-SCS20LUU-SV-DC-L</t>
  </si>
  <si>
    <t xml:space="preserve">SCS20LUU</t>
  </si>
  <si>
    <t xml:space="preserve">with dust cover Long</t>
  </si>
  <si>
    <t xml:space="preserve">SCS-SCS20LUU-SV-L</t>
  </si>
  <si>
    <t xml:space="preserve">SCS-SCS20UU-SV</t>
  </si>
  <si>
    <t xml:space="preserve">SCS20UU</t>
  </si>
  <si>
    <t xml:space="preserve">SCS-SCS20UU-SV-DC</t>
  </si>
  <si>
    <t xml:space="preserve">with dust cover</t>
  </si>
  <si>
    <t xml:space="preserve">SCS-SCS20UU-SV-LK-W</t>
  </si>
  <si>
    <t xml:space="preserve">SCS-SCS20UUAJ-SV</t>
  </si>
  <si>
    <t xml:space="preserve">SCS20UUAJ</t>
  </si>
  <si>
    <t xml:space="preserve">SCS-SCS25LUU-SV-DC-L</t>
  </si>
  <si>
    <t xml:space="preserve">SCS25LUU</t>
  </si>
  <si>
    <t xml:space="preserve">SCS-SCS25LUU-SV-L</t>
  </si>
  <si>
    <t xml:space="preserve">SCS-SCS25UU-SV</t>
  </si>
  <si>
    <t xml:space="preserve">SCS25UU</t>
  </si>
  <si>
    <t xml:space="preserve">SCS-SCS25UU-SV-DC</t>
  </si>
  <si>
    <t xml:space="preserve">SCS-SCS25UU-SV-LK-W</t>
  </si>
  <si>
    <t xml:space="preserve">SCS-SCS25UUAJ-SV</t>
  </si>
  <si>
    <t xml:space="preserve">SCS25UUAJ</t>
  </si>
  <si>
    <t xml:space="preserve">SCS-SCS30LUU-SV-DC-L</t>
  </si>
  <si>
    <t xml:space="preserve">SCS30LUU</t>
  </si>
  <si>
    <t xml:space="preserve">SCS-SCS30LUU-SV-L</t>
  </si>
  <si>
    <t xml:space="preserve">SCS-SCS30UU-SV-DC</t>
  </si>
  <si>
    <t xml:space="preserve">SCS30UU</t>
  </si>
  <si>
    <t xml:space="preserve">SCS-SCS30UU-SV-L72-W75-H58</t>
  </si>
  <si>
    <t xml:space="preserve">L 72 W 75 H 58</t>
  </si>
  <si>
    <t xml:space="preserve">SCS-SCS30UU-SV-L72-W78-H59.5</t>
  </si>
  <si>
    <t xml:space="preserve">L 72 W 78 H 59.5</t>
  </si>
  <si>
    <t xml:space="preserve">SCS-SCS30UU-SV-LK-W</t>
  </si>
  <si>
    <t xml:space="preserve">SCS-SCS30UUAJ-SV</t>
  </si>
  <si>
    <t xml:space="preserve">SCS30UUAJ</t>
  </si>
  <si>
    <t xml:space="preserve">SCS-SCS35LUU-SV-L</t>
  </si>
  <si>
    <t xml:space="preserve">SCS35LUU</t>
  </si>
  <si>
    <t xml:space="preserve">SCS-SCS35UU-SV</t>
  </si>
  <si>
    <t xml:space="preserve">SCS35UU</t>
  </si>
  <si>
    <t xml:space="preserve">SCS-SCS35UU-SV-LK-W</t>
  </si>
  <si>
    <t xml:space="preserve">SCS-SCS35UUAJ-SV</t>
  </si>
  <si>
    <t xml:space="preserve">SCS35UUAJ</t>
  </si>
  <si>
    <t xml:space="preserve">SCS-SCS40LUU-SV-L</t>
  </si>
  <si>
    <t xml:space="preserve">SCS40LUU</t>
  </si>
  <si>
    <t xml:space="preserve">SCS-SCS40UU-SV</t>
  </si>
  <si>
    <t xml:space="preserve">SCS40UU</t>
  </si>
  <si>
    <t xml:space="preserve">SCS-SCS40UU-SV-LK-W</t>
  </si>
  <si>
    <t xml:space="preserve">SCS-SCS40UUAJ-SV</t>
  </si>
  <si>
    <t xml:space="preserve">SCS40UUAJ</t>
  </si>
  <si>
    <t xml:space="preserve">SCS-SCS50LUU-SV-L</t>
  </si>
  <si>
    <t xml:space="preserve">SCS50LUU</t>
  </si>
  <si>
    <t xml:space="preserve">SCS-SCS50UU-SV</t>
  </si>
  <si>
    <t xml:space="preserve">SCS50UU</t>
  </si>
  <si>
    <t xml:space="preserve">SCS-SCS50UU-SV-LK-W</t>
  </si>
  <si>
    <t xml:space="preserve">SCS-SCS50UUAJ-SV</t>
  </si>
  <si>
    <t xml:space="preserve">SCS50UUAJ</t>
  </si>
  <si>
    <t xml:space="preserve">SCS-SCS60UU-SV</t>
  </si>
  <si>
    <t xml:space="preserve">SCS60UU</t>
  </si>
  <si>
    <t xml:space="preserve">SCS-SCS6UU-SV</t>
  </si>
  <si>
    <t xml:space="preserve">SCS6UU</t>
  </si>
  <si>
    <t xml:space="preserve">SCS-SCS8-SV-BK-PL</t>
  </si>
  <si>
    <t xml:space="preserve">SCS8</t>
  </si>
  <si>
    <t xml:space="preserve">set of Black plastic bearing</t>
  </si>
  <si>
    <t xml:space="preserve">SCS-SCS8-SV-GR</t>
  </si>
  <si>
    <t xml:space="preserve">SCS-SCS8-SV-GY-PL</t>
  </si>
  <si>
    <t xml:space="preserve">set of Grey plastic bearing</t>
  </si>
  <si>
    <t xml:space="preserve">SCS-SCS8-SV-YL-PL</t>
  </si>
  <si>
    <t xml:space="preserve">set of Yellow plastic bearing</t>
  </si>
  <si>
    <t xml:space="preserve">SCS-SCS8LUU-SV-L</t>
  </si>
  <si>
    <t xml:space="preserve">SCS8LUU</t>
  </si>
  <si>
    <t xml:space="preserve">SCS-SCS8LUU-SV-L-R</t>
  </si>
  <si>
    <t xml:space="preserve">Long Reinforced</t>
  </si>
  <si>
    <t xml:space="preserve">SCS-SCS8UU-BK</t>
  </si>
  <si>
    <t xml:space="preserve">SCS8UU</t>
  </si>
  <si>
    <t xml:space="preserve">SCS-SCS8UU-SV-BR</t>
  </si>
  <si>
    <t xml:space="preserve">SCS-SCS8UU-SV-BR-R</t>
  </si>
  <si>
    <t xml:space="preserve">SCS-SCS8UUAJ-SV</t>
  </si>
  <si>
    <t xml:space="preserve">SCS8UUAJ</t>
  </si>
  <si>
    <t xml:space="preserve">SCV Linear Bearing Aluminum Block  [Linear Bearings &amp; Blocks]</t>
  </si>
  <si>
    <t xml:space="preserve">SCV8UU</t>
  </si>
  <si>
    <t xml:space="preserve">RL-022-BK-SCV8UU</t>
  </si>
  <si>
    <t xml:space="preserve">RL-022-SV-SCV10UU</t>
  </si>
  <si>
    <t xml:space="preserve">SCV10UU</t>
  </si>
  <si>
    <t xml:space="preserve">RL-022-SV-SCV12UU</t>
  </si>
  <si>
    <t xml:space="preserve">SCV12UU</t>
  </si>
  <si>
    <t xml:space="preserve">RL-022-SV-SCV13UU</t>
  </si>
  <si>
    <t xml:space="preserve">SCV13UU</t>
  </si>
  <si>
    <t xml:space="preserve">RL-022-SV-SCV16UU</t>
  </si>
  <si>
    <t xml:space="preserve">SCV16UU</t>
  </si>
  <si>
    <t xml:space="preserve">RL-022-SV-SCV20UU</t>
  </si>
  <si>
    <t xml:space="preserve">SCV20UU</t>
  </si>
  <si>
    <t xml:space="preserve">RL-022-SV-SCV25UU</t>
  </si>
  <si>
    <t xml:space="preserve">SCV25UU</t>
  </si>
  <si>
    <t xml:space="preserve">RL-022-SV-SCV30UU</t>
  </si>
  <si>
    <t xml:space="preserve">SCV30UU</t>
  </si>
  <si>
    <t xml:space="preserve">RL-022-SV-SCV35UU</t>
  </si>
  <si>
    <t xml:space="preserve">SCV35UU</t>
  </si>
  <si>
    <t xml:space="preserve">RL-022-SV-SCV40UU</t>
  </si>
  <si>
    <t xml:space="preserve">SCV40UU</t>
  </si>
  <si>
    <t xml:space="preserve">RL-022-SV-SCV50UU</t>
  </si>
  <si>
    <t xml:space="preserve">SCV50UU</t>
  </si>
  <si>
    <t xml:space="preserve">RL-022-SV-SCV8UU</t>
  </si>
  <si>
    <t xml:space="preserve">SC Linear Bearing Block (Housing / Al-Plastic / All-Plastic)  [Linear Bearings &amp; Blocks]</t>
  </si>
  <si>
    <t xml:space="preserve">SC10</t>
  </si>
  <si>
    <t xml:space="preserve">SC-SC10-AP</t>
  </si>
  <si>
    <t xml:space="preserve">SC-SC10-H-C</t>
  </si>
  <si>
    <t xml:space="preserve">Housing with circlip</t>
  </si>
  <si>
    <t xml:space="preserve">SC-SC10L-AP-L</t>
  </si>
  <si>
    <t xml:space="preserve">SC10L</t>
  </si>
  <si>
    <t xml:space="preserve">with Al-plastic bearing Long</t>
  </si>
  <si>
    <t xml:space="preserve">SC-SC12-AP</t>
  </si>
  <si>
    <t xml:space="preserve">SC12</t>
  </si>
  <si>
    <t xml:space="preserve">SC-SC12-H-C</t>
  </si>
  <si>
    <t xml:space="preserve">SC-SC12L-AP-L</t>
  </si>
  <si>
    <t xml:space="preserve">SC12L</t>
  </si>
  <si>
    <t xml:space="preserve">SC-SC12L-L-H-C</t>
  </si>
  <si>
    <t xml:space="preserve">Long Housing with circlip</t>
  </si>
  <si>
    <t xml:space="preserve">SC-SC16-AP</t>
  </si>
  <si>
    <t xml:space="preserve">SC16</t>
  </si>
  <si>
    <t xml:space="preserve">SC-SC16-H-C</t>
  </si>
  <si>
    <t xml:space="preserve">SC-SC16L-AP-L</t>
  </si>
  <si>
    <t xml:space="preserve">SC16L</t>
  </si>
  <si>
    <t xml:space="preserve">SC-SC20-AP</t>
  </si>
  <si>
    <t xml:space="preserve">SC20</t>
  </si>
  <si>
    <t xml:space="preserve">SC-SC20-FP</t>
  </si>
  <si>
    <t xml:space="preserve">with all-plastic bearing</t>
  </si>
  <si>
    <t xml:space="preserve">SC-SC20-L50-W52-H39-BR-H-C</t>
  </si>
  <si>
    <t xml:space="preserve">Glossy Housing with circlip</t>
  </si>
  <si>
    <t xml:space="preserve">L 50 W 52 H 39</t>
  </si>
  <si>
    <t xml:space="preserve">SC-SC20-L50-W54-H41-BR-H-C</t>
  </si>
  <si>
    <t xml:space="preserve">L 50 W 54 H 41</t>
  </si>
  <si>
    <t xml:space="preserve">SC-SC20-L50-W54-H41-MT-H-C</t>
  </si>
  <si>
    <t xml:space="preserve">Matte Housing with circlip</t>
  </si>
  <si>
    <t xml:space="preserve">SC-SC20L-AP-L</t>
  </si>
  <si>
    <t xml:space="preserve">SC20L</t>
  </si>
  <si>
    <t xml:space="preserve">SC-SC25-AP</t>
  </si>
  <si>
    <t xml:space="preserve">SC25</t>
  </si>
  <si>
    <t xml:space="preserve">SC-SC25-H-C</t>
  </si>
  <si>
    <t xml:space="preserve">SC-SC25L-AP-L</t>
  </si>
  <si>
    <t xml:space="preserve">SC25L</t>
  </si>
  <si>
    <t xml:space="preserve">SC-SC30-AP</t>
  </si>
  <si>
    <t xml:space="preserve">SC30</t>
  </si>
  <si>
    <t xml:space="preserve">SC-SC30-H-C</t>
  </si>
  <si>
    <t xml:space="preserve">SC-SC30L-AP-L</t>
  </si>
  <si>
    <t xml:space="preserve">SC30L</t>
  </si>
  <si>
    <t xml:space="preserve">SC-SC35-AP</t>
  </si>
  <si>
    <t xml:space="preserve">SC35</t>
  </si>
  <si>
    <t xml:space="preserve">SC-SC35-H-C</t>
  </si>
  <si>
    <t xml:space="preserve">SC-SC35L-AP-L</t>
  </si>
  <si>
    <t xml:space="preserve">SC35L</t>
  </si>
  <si>
    <t xml:space="preserve">SC-SC40-AP</t>
  </si>
  <si>
    <t xml:space="preserve">SC40</t>
  </si>
  <si>
    <t xml:space="preserve">SC-SC40-H-C</t>
  </si>
  <si>
    <t xml:space="preserve">SC-SC40L-AP-L</t>
  </si>
  <si>
    <t xml:space="preserve">SC40L</t>
  </si>
  <si>
    <t xml:space="preserve">SC-SC50-AP</t>
  </si>
  <si>
    <t xml:space="preserve">SC50</t>
  </si>
  <si>
    <t xml:space="preserve">SC-SC50-H-C</t>
  </si>
  <si>
    <t xml:space="preserve">SC-SC50L-AP-L</t>
  </si>
  <si>
    <t xml:space="preserve">SC50L</t>
  </si>
  <si>
    <t xml:space="preserve">SC-SC6-H-C</t>
  </si>
  <si>
    <t xml:space="preserve">SC6</t>
  </si>
  <si>
    <t xml:space="preserve">SC-SC60-H-C</t>
  </si>
  <si>
    <t xml:space="preserve">SC60</t>
  </si>
  <si>
    <t xml:space="preserve">SC-SC8-H-C</t>
  </si>
  <si>
    <t xml:space="preserve">SC8</t>
  </si>
  <si>
    <t xml:space="preserve">WCS8 Shaft Rail Kit with T8 Lead Screw 400mm  [Linear Bearings &amp; Blocks]</t>
  </si>
  <si>
    <t xml:space="preserve">RL-045</t>
  </si>
  <si>
    <t xml:space="preserve">WCS8 Shaft Rail Slide Kit, 8mm  [Linear Bearings &amp; Blocks]</t>
  </si>
  <si>
    <t xml:space="preserve">Dia 8 L 1000 set</t>
  </si>
  <si>
    <t xml:space="preserve">RL-010-ZJ8CD1000SET</t>
  </si>
  <si>
    <t xml:space="preserve">RL-010-ZJ8CD150SET</t>
  </si>
  <si>
    <t xml:space="preserve">Dia 8 L 150 set</t>
  </si>
  <si>
    <t xml:space="preserve">RL-010-ZJ8CD200SET</t>
  </si>
  <si>
    <t xml:space="preserve">Dia 8 L 200 set</t>
  </si>
  <si>
    <t xml:space="preserve">RL-010-ZJ8CD230SET</t>
  </si>
  <si>
    <t xml:space="preserve">Dia 8 L 230 set</t>
  </si>
  <si>
    <t xml:space="preserve">RL-010-ZJ8CD250SET</t>
  </si>
  <si>
    <t xml:space="preserve">Dia 8 L 250 set</t>
  </si>
  <si>
    <t xml:space="preserve">RL-010-ZJ8CD300SET</t>
  </si>
  <si>
    <t xml:space="preserve">Dia 8 L 300 set</t>
  </si>
  <si>
    <t xml:space="preserve">RL-010-ZJ8CD350SET</t>
  </si>
  <si>
    <t xml:space="preserve">Dia 8 L 350 set</t>
  </si>
  <si>
    <t xml:space="preserve">RL-010-ZJ8CD400SET</t>
  </si>
  <si>
    <t xml:space="preserve">Dia 8 L 400 set</t>
  </si>
  <si>
    <t xml:space="preserve">RL-010-ZJ8CD450SET</t>
  </si>
  <si>
    <t xml:space="preserve">Dia 8 L 450 set</t>
  </si>
  <si>
    <t xml:space="preserve">RL-010-ZJ8CD500SET</t>
  </si>
  <si>
    <t xml:space="preserve">Dia 8 L 500 set</t>
  </si>
  <si>
    <t xml:space="preserve">RL-010-ZJ8CD550SET</t>
  </si>
  <si>
    <t xml:space="preserve">Dia 8 L 550 set</t>
  </si>
  <si>
    <t xml:space="preserve">RL-010-ZJ8CD600SET</t>
  </si>
  <si>
    <t xml:space="preserve">Dia 8 L 600 set</t>
  </si>
  <si>
    <t xml:space="preserve">RL-010-ZJ8CD650SET</t>
  </si>
  <si>
    <t xml:space="preserve">Dia 8 L 650 set</t>
  </si>
  <si>
    <t xml:space="preserve">RL-010-ZJ8CD700SET</t>
  </si>
  <si>
    <t xml:space="preserve">Dia 8 L 700 set</t>
  </si>
  <si>
    <t xml:space="preserve">RL-010-ZJ8CD750SET</t>
  </si>
  <si>
    <t xml:space="preserve">Dia 8 L 750 set</t>
  </si>
  <si>
    <t xml:space="preserve">RL-010-ZJ8CD800SET</t>
  </si>
  <si>
    <t xml:space="preserve">Dia 8 L 800 set</t>
  </si>
  <si>
    <t xml:space="preserve">RL-010-ZJ8CD850SET</t>
  </si>
  <si>
    <t xml:space="preserve">Dia 8 L 850 set</t>
  </si>
  <si>
    <t xml:space="preserve">RL-010-ZJ8CD900SET</t>
  </si>
  <si>
    <t xml:space="preserve">Dia 8 L 900 set</t>
  </si>
  <si>
    <t xml:space="preserve">RL-010-ZJ8CD950SET</t>
  </si>
  <si>
    <t xml:space="preserve">Dia 8 L 950 set</t>
  </si>
  <si>
    <t xml:space="preserve">WCS8 Shaft Rail Slide Kit, 8mm (II)  [Linear Bearings &amp; Blocks]</t>
  </si>
  <si>
    <t xml:space="preserve">RL-028-ZJ8CD150SET</t>
  </si>
  <si>
    <t xml:space="preserve">RL-028-ZJ8CD200SET</t>
  </si>
  <si>
    <t xml:space="preserve">RL-028-ZJ8CD230SET</t>
  </si>
  <si>
    <t xml:space="preserve">RL-028-ZJ8CD250SET</t>
  </si>
  <si>
    <t xml:space="preserve">RL-028-ZJ8CD300SET</t>
  </si>
  <si>
    <t xml:space="preserve">RL-028-ZJ8CD350SET</t>
  </si>
  <si>
    <t xml:space="preserve">RL-028-ZJ8CD400SET</t>
  </si>
  <si>
    <t xml:space="preserve">RL-028-ZJ8CD450SET</t>
  </si>
  <si>
    <t xml:space="preserve">RL-028-ZJ8CD700SET</t>
  </si>
  <si>
    <t xml:space="preserve">Maintenance-Free Plastic Box Slide  [Linear Bearings &amp; Blocks]</t>
  </si>
  <si>
    <t xml:space="preserve">RL-038</t>
  </si>
  <si>
    <t xml:space="preserve">Maintenance-free Al-Plastic Linear Bearing (Straight / Open / Flanged)  [Linear Bearings &amp; Blocks]</t>
  </si>
  <si>
    <t xml:space="preserve">AP-LM10LUU-10x19x55</t>
  </si>
  <si>
    <t xml:space="preserve">AP-LM10UU-10x19x29</t>
  </si>
  <si>
    <t xml:space="preserve">AP-LM12-OP-12x21x30</t>
  </si>
  <si>
    <t xml:space="preserve">LM12-OP</t>
  </si>
  <si>
    <t xml:space="preserve">AP-LM12LUU-12x21x57</t>
  </si>
  <si>
    <t xml:space="preserve">AP-LM12UU-12x21x30</t>
  </si>
  <si>
    <t xml:space="preserve">AP-LM16-OP-16x28x37</t>
  </si>
  <si>
    <t xml:space="preserve">LM16-OP</t>
  </si>
  <si>
    <t xml:space="preserve">AP-LM16LUU-16x28x70</t>
  </si>
  <si>
    <t xml:space="preserve">AP-LM16UU-16x28x37</t>
  </si>
  <si>
    <t xml:space="preserve">AP-LM20-OP-20x32x42</t>
  </si>
  <si>
    <t xml:space="preserve">LM20-OP</t>
  </si>
  <si>
    <t xml:space="preserve">AP-LM20LUU-20x32x80</t>
  </si>
  <si>
    <t xml:space="preserve">AP-LM20UU-20x32x42</t>
  </si>
  <si>
    <t xml:space="preserve">AP-LM25-OP-25x40x59</t>
  </si>
  <si>
    <t xml:space="preserve">LM25-OP</t>
  </si>
  <si>
    <t xml:space="preserve">AP-LM25LUU-25x40x112</t>
  </si>
  <si>
    <t xml:space="preserve">AP-LM25UU-25x40x59</t>
  </si>
  <si>
    <t xml:space="preserve">AP-LM30-OP-30x45x64</t>
  </si>
  <si>
    <t xml:space="preserve">LM30-OP</t>
  </si>
  <si>
    <t xml:space="preserve">AP-LM30LUU-30x45x123</t>
  </si>
  <si>
    <t xml:space="preserve">AP-LM30UU-30x45x64</t>
  </si>
  <si>
    <t xml:space="preserve">AP-LM35-OP-35x52x70</t>
  </si>
  <si>
    <t xml:space="preserve">LM35-OP</t>
  </si>
  <si>
    <t xml:space="preserve">AP-LM35UU-35x52x70</t>
  </si>
  <si>
    <t xml:space="preserve">AP-LM40-OP-40x60x80</t>
  </si>
  <si>
    <t xml:space="preserve">LM40-OP</t>
  </si>
  <si>
    <t xml:space="preserve">AP-LM40LUU-40x60x154</t>
  </si>
  <si>
    <t xml:space="preserve">AP-LM40UU-40x60x80</t>
  </si>
  <si>
    <t xml:space="preserve">AP-LMF10-10x19x21</t>
  </si>
  <si>
    <t xml:space="preserve">LMF10</t>
  </si>
  <si>
    <t xml:space="preserve">10x19x21</t>
  </si>
  <si>
    <t xml:space="preserve">AP-LMF12-12x21x30</t>
  </si>
  <si>
    <t xml:space="preserve">LMF12</t>
  </si>
  <si>
    <t xml:space="preserve">AP-LMF12L-12x22x57</t>
  </si>
  <si>
    <t xml:space="preserve">LMF12L</t>
  </si>
  <si>
    <t xml:space="preserve">AP-LMF16-16x28x37</t>
  </si>
  <si>
    <t xml:space="preserve">LMF16</t>
  </si>
  <si>
    <t xml:space="preserve">AP-LMF16L-16x28x70</t>
  </si>
  <si>
    <t xml:space="preserve">LMF16L</t>
  </si>
  <si>
    <t xml:space="preserve">AP-LMF20-20x32x42</t>
  </si>
  <si>
    <t xml:space="preserve">LMF20</t>
  </si>
  <si>
    <t xml:space="preserve">AP-LMF20L-20x32x80</t>
  </si>
  <si>
    <t xml:space="preserve">LMF20L</t>
  </si>
  <si>
    <t xml:space="preserve">AP-LMF25-25x40x59</t>
  </si>
  <si>
    <t xml:space="preserve">LMF25</t>
  </si>
  <si>
    <t xml:space="preserve">AP-LMF25L-25x40x112</t>
  </si>
  <si>
    <t xml:space="preserve">LMF25L</t>
  </si>
  <si>
    <t xml:space="preserve">AP-LMF30-30x45x64</t>
  </si>
  <si>
    <t xml:space="preserve">LMF30</t>
  </si>
  <si>
    <t xml:space="preserve">AP-LMF30L-30x45x123</t>
  </si>
  <si>
    <t xml:space="preserve">LMF30L</t>
  </si>
  <si>
    <t xml:space="preserve">AP-LMF35-35x52x70</t>
  </si>
  <si>
    <t xml:space="preserve">LMF35</t>
  </si>
  <si>
    <t xml:space="preserve">AP-LMF40-40x60x80</t>
  </si>
  <si>
    <t xml:space="preserve">LMF40</t>
  </si>
  <si>
    <t xml:space="preserve">AP-LMF40L-40x60x154</t>
  </si>
  <si>
    <t xml:space="preserve">LMF40L</t>
  </si>
  <si>
    <t xml:space="preserve">AP-LMH10-10x19x21</t>
  </si>
  <si>
    <t xml:space="preserve">LMH10</t>
  </si>
  <si>
    <t xml:space="preserve">Oval flange</t>
  </si>
  <si>
    <t xml:space="preserve">AP-LMH12-12x21x30</t>
  </si>
  <si>
    <t xml:space="preserve">LMH12</t>
  </si>
  <si>
    <t xml:space="preserve">AP-LMH12L-12x22x57</t>
  </si>
  <si>
    <t xml:space="preserve">LMH12L</t>
  </si>
  <si>
    <t xml:space="preserve">AP-LMH16-16x28x37</t>
  </si>
  <si>
    <t xml:space="preserve">LMH16</t>
  </si>
  <si>
    <t xml:space="preserve">AP-LMH16L-16x28x70</t>
  </si>
  <si>
    <t xml:space="preserve">LMH16L</t>
  </si>
  <si>
    <t xml:space="preserve">AP-LMH20-20x32x42</t>
  </si>
  <si>
    <t xml:space="preserve">LMH20</t>
  </si>
  <si>
    <t xml:space="preserve">AP-LMH20L-20x32x80</t>
  </si>
  <si>
    <t xml:space="preserve">LMH20L</t>
  </si>
  <si>
    <t xml:space="preserve">AP-LMH25-25x40x59</t>
  </si>
  <si>
    <t xml:space="preserve">LMH25</t>
  </si>
  <si>
    <t xml:space="preserve">AP-LMH25L-25x40x112</t>
  </si>
  <si>
    <t xml:space="preserve">LMH25L</t>
  </si>
  <si>
    <t xml:space="preserve">AP-LMH30-30x45x64</t>
  </si>
  <si>
    <t xml:space="preserve">LMH30</t>
  </si>
  <si>
    <t xml:space="preserve">AP-LMH30L-30x45x123</t>
  </si>
  <si>
    <t xml:space="preserve">LMH30L</t>
  </si>
  <si>
    <t xml:space="preserve">AP-LMH35-35x52x70</t>
  </si>
  <si>
    <t xml:space="preserve">LMH35</t>
  </si>
  <si>
    <t xml:space="preserve">AP-LMH40-40x60x80</t>
  </si>
  <si>
    <t xml:space="preserve">LMH40</t>
  </si>
  <si>
    <t xml:space="preserve">AP-LMH40L-40x60x154</t>
  </si>
  <si>
    <t xml:space="preserve">LMH40L</t>
  </si>
  <si>
    <t xml:space="preserve">AP-LMK10-10x19x21</t>
  </si>
  <si>
    <t xml:space="preserve">LMK10</t>
  </si>
  <si>
    <t xml:space="preserve">AP-LMK12-12x21x30</t>
  </si>
  <si>
    <t xml:space="preserve">LMK12</t>
  </si>
  <si>
    <t xml:space="preserve">AP-LMK12L-12x22x57</t>
  </si>
  <si>
    <t xml:space="preserve">LMK12L</t>
  </si>
  <si>
    <t xml:space="preserve">AP-LMK16-16x28x37</t>
  </si>
  <si>
    <t xml:space="preserve">LMK16</t>
  </si>
  <si>
    <t xml:space="preserve">AP-LMK16L-16x28x70</t>
  </si>
  <si>
    <t xml:space="preserve">LMK16L</t>
  </si>
  <si>
    <t xml:space="preserve">AP-LMK20-20x32x42</t>
  </si>
  <si>
    <t xml:space="preserve">LMK20</t>
  </si>
  <si>
    <t xml:space="preserve">AP-LMK20L-20x32x80</t>
  </si>
  <si>
    <t xml:space="preserve">LMK20L</t>
  </si>
  <si>
    <t xml:space="preserve">AP-LMK25-25x40x59</t>
  </si>
  <si>
    <t xml:space="preserve">LMK25</t>
  </si>
  <si>
    <t xml:space="preserve">AP-LMK25L-25x40x112</t>
  </si>
  <si>
    <t xml:space="preserve">LMK25L</t>
  </si>
  <si>
    <t xml:space="preserve">AP-LMK30-30x45x64</t>
  </si>
  <si>
    <t xml:space="preserve">LMK30</t>
  </si>
  <si>
    <t xml:space="preserve">AP-LMK30L-30x45x123</t>
  </si>
  <si>
    <t xml:space="preserve">LMK30L</t>
  </si>
  <si>
    <t xml:space="preserve">AP-LMK35-35x52x70</t>
  </si>
  <si>
    <t xml:space="preserve">LMK35</t>
  </si>
  <si>
    <t xml:space="preserve">AP-LMK40-40x60x80</t>
  </si>
  <si>
    <t xml:space="preserve">LMK40</t>
  </si>
  <si>
    <t xml:space="preserve">AP-LMK40L-40x60x154</t>
  </si>
  <si>
    <t xml:space="preserve">LMK40L</t>
  </si>
  <si>
    <t xml:space="preserve">Drawn Cup Linear Bearing, KH Series  [Linear Bearings &amp; Blocks]</t>
  </si>
  <si>
    <t xml:space="preserve">KH1026PP</t>
  </si>
  <si>
    <t xml:space="preserve">10x17x26</t>
  </si>
  <si>
    <t xml:space="preserve">RL-032-10x17x26-KH1026PP</t>
  </si>
  <si>
    <t xml:space="preserve">RL-032-12x19x28-KH1228PP</t>
  </si>
  <si>
    <t xml:space="preserve">KH1228PP</t>
  </si>
  <si>
    <t xml:space="preserve">12x19x28</t>
  </si>
  <si>
    <t xml:space="preserve">RL-032-14x21x28-KH1428PP</t>
  </si>
  <si>
    <t xml:space="preserve">KH1428PP</t>
  </si>
  <si>
    <t xml:space="preserve">14x21x28</t>
  </si>
  <si>
    <t xml:space="preserve">RL-032-16x24x30-KH1630PP</t>
  </si>
  <si>
    <t xml:space="preserve">KH1630PP</t>
  </si>
  <si>
    <t xml:space="preserve">16x24x30</t>
  </si>
  <si>
    <t xml:space="preserve">RL-032-20x28x30-KH2030PP</t>
  </si>
  <si>
    <t xml:space="preserve">KH2030PP</t>
  </si>
  <si>
    <t xml:space="preserve">20x28x30</t>
  </si>
  <si>
    <t xml:space="preserve">RL-032-25x35x40-KH2540PP</t>
  </si>
  <si>
    <t xml:space="preserve">KH2540PP</t>
  </si>
  <si>
    <t xml:space="preserve">25x35x40</t>
  </si>
  <si>
    <t xml:space="preserve">RL-032-30x40x50-KH3050PP</t>
  </si>
  <si>
    <t xml:space="preserve">KH3050PP</t>
  </si>
  <si>
    <t xml:space="preserve">30x40x50</t>
  </si>
  <si>
    <t xml:space="preserve">RL-032-40x52x60-KH4060PP</t>
  </si>
  <si>
    <t xml:space="preserve">KH4060PP</t>
  </si>
  <si>
    <t xml:space="preserve">40x52x60</t>
  </si>
  <si>
    <t xml:space="preserve">RL-032-50x62x70-KH5070PP</t>
  </si>
  <si>
    <t xml:space="preserve">KH5070PP</t>
  </si>
  <si>
    <t xml:space="preserve">50x62x70</t>
  </si>
  <si>
    <t xml:space="preserve">RL-032-6x12x22-KH0622PP</t>
  </si>
  <si>
    <t xml:space="preserve">KH0622PP</t>
  </si>
  <si>
    <t xml:space="preserve">6x12x22</t>
  </si>
  <si>
    <t xml:space="preserve">RL-032-8x15x24-KH0824PP</t>
  </si>
  <si>
    <t xml:space="preserve">KH0824PP</t>
  </si>
  <si>
    <t xml:space="preserve">Plastic Linear Bearing LMK8LUU / LMH8LUU  [Linear Bearings &amp; Blocks]</t>
  </si>
  <si>
    <t xml:space="preserve">LMH8LUU</t>
  </si>
  <si>
    <t xml:space="preserve">RL-052-LMH8LUU</t>
  </si>
  <si>
    <t xml:space="preserve">RL-052-LMK8LUU</t>
  </si>
  <si>
    <t xml:space="preserve">LMK8LUU</t>
  </si>
  <si>
    <t xml:space="preserve">Engineering Plastic Linear Bearing, RJMP Series  [Linear Bearings &amp; Blocks]</t>
  </si>
  <si>
    <t xml:space="preserve">Grey RJMP-01-10</t>
  </si>
  <si>
    <t xml:space="preserve">RL-021-10x19x29-BK-H-RJMP-01-10</t>
  </si>
  <si>
    <t xml:space="preserve">RL-021-10x19x29-GY-RJMP-01-10</t>
  </si>
  <si>
    <t xml:space="preserve">Grey</t>
  </si>
  <si>
    <t xml:space="preserve">RJMP-01-10</t>
  </si>
  <si>
    <t xml:space="preserve">RL-021-10x19x29-YL-RJMP-01-10</t>
  </si>
  <si>
    <t xml:space="preserve">Yellow</t>
  </si>
  <si>
    <t xml:space="preserve">RL-021-10x19x55-YL-LM10LUU</t>
  </si>
  <si>
    <t xml:space="preserve">RL-021-12x21x30-GY-RJ4JP-01-12</t>
  </si>
  <si>
    <t xml:space="preserve">RJ4JP-01-12</t>
  </si>
  <si>
    <t xml:space="preserve">RL-021-12x21x30-YL-RJ4JP-01-12</t>
  </si>
  <si>
    <t xml:space="preserve">RL-021-12x21x57-YL-LM12LUU</t>
  </si>
  <si>
    <t xml:space="preserve">RL-021-12x22x32-YL-RJMP-01-12</t>
  </si>
  <si>
    <t xml:space="preserve">RJMP-01-12</t>
  </si>
  <si>
    <t xml:space="preserve">RL-021-16x26x36-YL-RJMP-01-16</t>
  </si>
  <si>
    <t xml:space="preserve">RJMP-01-16</t>
  </si>
  <si>
    <t xml:space="preserve">RL-021-16x28x37-GY-RJ4JP-01-16</t>
  </si>
  <si>
    <t xml:space="preserve">RJ4JP-01-16</t>
  </si>
  <si>
    <t xml:space="preserve">RL-021-16x28x37-YL-RJ4JP-01-16</t>
  </si>
  <si>
    <t xml:space="preserve">RL-021-20x32x42-GY-RJ4JP-01-20</t>
  </si>
  <si>
    <t xml:space="preserve">RJ4JP-01-20</t>
  </si>
  <si>
    <t xml:space="preserve">RL-021-20x32x42-YL-RJ4JP-01-20</t>
  </si>
  <si>
    <t xml:space="preserve">RL-021-20x32x45-YL-RJMP-01-20</t>
  </si>
  <si>
    <t xml:space="preserve">RJMP-01-20</t>
  </si>
  <si>
    <t xml:space="preserve">RL-021-25x40x58-YL-RJMP-01-25</t>
  </si>
  <si>
    <t xml:space="preserve">RJMP-01-25</t>
  </si>
  <si>
    <t xml:space="preserve">RL-021-30x45x64-YL-LM30UU</t>
  </si>
  <si>
    <t xml:space="preserve">RL-021-6x12x19-GY-RJMP-01-06</t>
  </si>
  <si>
    <t xml:space="preserve">RJMP-01-06</t>
  </si>
  <si>
    <t xml:space="preserve">RL-021-6x12x19-YL-RJMP-01-06</t>
  </si>
  <si>
    <t xml:space="preserve">RL-021-6x12x35-BK-LM6LUU</t>
  </si>
  <si>
    <t xml:space="preserve">RL-021-6x12x35-YL-RJMPT-01-06</t>
  </si>
  <si>
    <t xml:space="preserve">RJMPT-01-06</t>
  </si>
  <si>
    <t xml:space="preserve">RL-021-8x15x17-BK-LM8SUU</t>
  </si>
  <si>
    <t xml:space="preserve">RL-021-8x15x17-WH-LM8SUU</t>
  </si>
  <si>
    <t xml:space="preserve">RL-021-8x15x17-YL-LM8SUU</t>
  </si>
  <si>
    <t xml:space="preserve">RL-021-8x15x24-BK-RJ4JP-01-08</t>
  </si>
  <si>
    <t xml:space="preserve">RJ4JP-01-08</t>
  </si>
  <si>
    <t xml:space="preserve">RL-021-8x15x24-GY-RJ4JP-01-08</t>
  </si>
  <si>
    <t xml:space="preserve">RL-021-8x15x24-YL-RJ4JP-01-08</t>
  </si>
  <si>
    <t xml:space="preserve">RL-021-8x15x45-GY-LM8LUU</t>
  </si>
  <si>
    <t xml:space="preserve">RL-021-8x15x45-YL-LM8LUU</t>
  </si>
  <si>
    <t xml:space="preserve">RL-021-8x16x25-BK-RJMP-01-08</t>
  </si>
  <si>
    <t xml:space="preserve">RJMP-01-08</t>
  </si>
  <si>
    <t xml:space="preserve">RL-021-8x16x25-YL-RJMP-01-08</t>
  </si>
  <si>
    <t xml:space="preserve">Open Linear Bearing Block, TBR Series  [Linear Bearings &amp; Blocks]</t>
  </si>
  <si>
    <t xml:space="preserve">heavy-duty TBR20LUU</t>
  </si>
  <si>
    <t xml:space="preserve">RL-042-SV-HV-TBR20LUU</t>
  </si>
  <si>
    <t xml:space="preserve">RL-042-SV-LONG-TBR16L-AP</t>
  </si>
  <si>
    <t xml:space="preserve">Long TBR16L with Al-plastic bearing</t>
  </si>
  <si>
    <t xml:space="preserve">RL-042-SV-LONG-TBR20L-AP</t>
  </si>
  <si>
    <t xml:space="preserve">Long TBR20L with Al-plastic bearing</t>
  </si>
  <si>
    <t xml:space="preserve">RL-042-SV-LONG-TBR25L-AP</t>
  </si>
  <si>
    <t xml:space="preserve">Long TBR25L with Al-plastic bearing</t>
  </si>
  <si>
    <t xml:space="preserve">RL-042-SV-LONG-TBR30L-AP</t>
  </si>
  <si>
    <t xml:space="preserve">Long TBR30L with Al-plastic bearing</t>
  </si>
  <si>
    <t xml:space="preserve">RL-042-SV-LT-TBR20LUU</t>
  </si>
  <si>
    <t xml:space="preserve">Light-duty TBR20LUU</t>
  </si>
  <si>
    <t xml:space="preserve">RL-042-SV-TBR16-AP</t>
  </si>
  <si>
    <t xml:space="preserve">TBR16 with Al-plastic bearing</t>
  </si>
  <si>
    <t xml:space="preserve">RL-042-SV-TBR20-AP</t>
  </si>
  <si>
    <t xml:space="preserve">TBR20 with Al-plastic bearing</t>
  </si>
  <si>
    <t xml:space="preserve">RL-042-SV-TBR25-AP</t>
  </si>
  <si>
    <t xml:space="preserve">TBR25 with Al-plastic bearing</t>
  </si>
  <si>
    <t xml:space="preserve">RL-042-SV-TBR30-AP</t>
  </si>
  <si>
    <t xml:space="preserve">TBR30 with Al-plastic bearing</t>
  </si>
  <si>
    <t xml:space="preserve">RL-042-TBR16LUU</t>
  </si>
  <si>
    <t xml:space="preserve">TBR16LUU</t>
  </si>
  <si>
    <t xml:space="preserve">RL-042-TBR16UU</t>
  </si>
  <si>
    <t xml:space="preserve">TBR16UU</t>
  </si>
  <si>
    <t xml:space="preserve">RL-042-TBR20UU</t>
  </si>
  <si>
    <t xml:space="preserve">TBR20UU</t>
  </si>
  <si>
    <t xml:space="preserve">RL-042-TBR25UU</t>
  </si>
  <si>
    <t xml:space="preserve">TBR25UU</t>
  </si>
  <si>
    <t xml:space="preserve">Flanged Linear Bearing (LMF Round / LMK Square / LMH Oval)  [Linear Bearings &amp; Blocks]</t>
  </si>
  <si>
    <t xml:space="preserve">LMF10GA</t>
  </si>
  <si>
    <t xml:space="preserve">LBF-LMF10GA-10x19x29-SS-MC</t>
  </si>
  <si>
    <t xml:space="preserve">LBF-LMF10LGA-10x19x55-SS-MC</t>
  </si>
  <si>
    <t xml:space="preserve">LMF10LGA</t>
  </si>
  <si>
    <t xml:space="preserve">LBF-LMF10LUU-10x19x55</t>
  </si>
  <si>
    <t xml:space="preserve">LMF10LUU</t>
  </si>
  <si>
    <t xml:space="preserve">LBF-LMF10LUU-10x19x55-NI</t>
  </si>
  <si>
    <t xml:space="preserve">LBF-LMF10LUU-10x19x55-SS-NY</t>
  </si>
  <si>
    <t xml:space="preserve">LBF-LMF10UU-10x19x29</t>
  </si>
  <si>
    <t xml:space="preserve">LMF10UU</t>
  </si>
  <si>
    <t xml:space="preserve">LBF-LMF10UU-10x19x29-NI</t>
  </si>
  <si>
    <t xml:space="preserve">LBF-LMF10UU-10x19x29-SS-NY</t>
  </si>
  <si>
    <t xml:space="preserve">LBF-LMF12GA-12x21x30-SS-MC</t>
  </si>
  <si>
    <t xml:space="preserve">LMF12GA</t>
  </si>
  <si>
    <t xml:space="preserve">LBF-LMF12LGA-12x21x57-SS-MC</t>
  </si>
  <si>
    <t xml:space="preserve">LMF12LGA</t>
  </si>
  <si>
    <t xml:space="preserve">LBF-LMF12LUU-12x21x57</t>
  </si>
  <si>
    <t xml:space="preserve">LMF12LUU</t>
  </si>
  <si>
    <t xml:space="preserve">LBF-LMF12LUU-12x21x57-NI</t>
  </si>
  <si>
    <t xml:space="preserve">LBF-LMF12LUU-12x21x57-SS-NY</t>
  </si>
  <si>
    <t xml:space="preserve">LBF-LMF12UU-12x21x30</t>
  </si>
  <si>
    <t xml:space="preserve">LMF12UU</t>
  </si>
  <si>
    <t xml:space="preserve">LBF-LMF12UU-12x21x30-NI</t>
  </si>
  <si>
    <t xml:space="preserve">LBF-LMF12UU-12x21x30-SS-NY</t>
  </si>
  <si>
    <t xml:space="preserve">LBF-LMF13LUU-13x23x61</t>
  </si>
  <si>
    <t xml:space="preserve">LMF13LUU</t>
  </si>
  <si>
    <t xml:space="preserve">LBF-LMF13UU-13x23x32</t>
  </si>
  <si>
    <t xml:space="preserve">LMF13UU</t>
  </si>
  <si>
    <t xml:space="preserve">LBF-LMF16GA-16x28x37-SS-MC</t>
  </si>
  <si>
    <t xml:space="preserve">LMF16GA</t>
  </si>
  <si>
    <t xml:space="preserve">LBF-LMF16LGA-16x28x70-SS-MC</t>
  </si>
  <si>
    <t xml:space="preserve">LMF16LGA</t>
  </si>
  <si>
    <t xml:space="preserve">LBF-LMF16LUU-16x28x57</t>
  </si>
  <si>
    <t xml:space="preserve">LMF16LUU</t>
  </si>
  <si>
    <t xml:space="preserve">16x28x57</t>
  </si>
  <si>
    <t xml:space="preserve">LBF-LMF16LUU-16x28x57-NI</t>
  </si>
  <si>
    <t xml:space="preserve">LBF-LMF16LUU-16x28x70-SS-NY</t>
  </si>
  <si>
    <t xml:space="preserve">LBF-LMF16UU-16x28x37</t>
  </si>
  <si>
    <t xml:space="preserve">LMF16UU</t>
  </si>
  <si>
    <t xml:space="preserve">LBF-LMF16UU-16x28x37-NI</t>
  </si>
  <si>
    <t xml:space="preserve">LBF-LMF16UU-16x28x37-SS-NY</t>
  </si>
  <si>
    <t xml:space="preserve">LBF-LMF20GA-20x32x42-SS-MC</t>
  </si>
  <si>
    <t xml:space="preserve">LMF20GA</t>
  </si>
  <si>
    <t xml:space="preserve">LBF-LMF20LGA-20x32x80-SS-MC</t>
  </si>
  <si>
    <t xml:space="preserve">LMF20LGA</t>
  </si>
  <si>
    <t xml:space="preserve">LBF-LMF20LUU-20x32x80</t>
  </si>
  <si>
    <t xml:space="preserve">LMF20LUU</t>
  </si>
  <si>
    <t xml:space="preserve">LBF-LMF20LUU-20x32x80-NI</t>
  </si>
  <si>
    <t xml:space="preserve">LBF-LMF20LUU-20x32x80-SS-NY</t>
  </si>
  <si>
    <t xml:space="preserve">LBF-LMF20UU-20x32x42</t>
  </si>
  <si>
    <t xml:space="preserve">LMF20UU</t>
  </si>
  <si>
    <t xml:space="preserve">LBF-LMF20UU-20x32x42-NI</t>
  </si>
  <si>
    <t xml:space="preserve">LBF-LMF20UU-20x32x42-SS-NY</t>
  </si>
  <si>
    <t xml:space="preserve">LBF-LMF25GA-25x40x59-SS-MC</t>
  </si>
  <si>
    <t xml:space="preserve">LMF25GA</t>
  </si>
  <si>
    <t xml:space="preserve">LBF-LMF25LGA-25x40x114-SS-MC</t>
  </si>
  <si>
    <t xml:space="preserve">LMF25LGA</t>
  </si>
  <si>
    <t xml:space="preserve">25x40x114</t>
  </si>
  <si>
    <t xml:space="preserve">LBF-LMF25LUU-25x40x112</t>
  </si>
  <si>
    <t xml:space="preserve">LMF25LUU</t>
  </si>
  <si>
    <t xml:space="preserve">LBF-LMF25LUU-25x40x112-NI</t>
  </si>
  <si>
    <t xml:space="preserve">LBF-LMF25LUU-25x40x112-SS-NY</t>
  </si>
  <si>
    <t xml:space="preserve">LBF-LMF25UU-25x40x58</t>
  </si>
  <si>
    <t xml:space="preserve">LMF25UU</t>
  </si>
  <si>
    <t xml:space="preserve">LBF-LMF25UU-25x40x58-NI</t>
  </si>
  <si>
    <t xml:space="preserve">LBF-LMF25UU-25x40x59-SS-NY</t>
  </si>
  <si>
    <t xml:space="preserve">LBF-LMF30GA-30x45x64-SS-MC</t>
  </si>
  <si>
    <t xml:space="preserve">LMF30GA</t>
  </si>
  <si>
    <t xml:space="preserve">LBF-LMF30LGA-30x45x123-SS-MC</t>
  </si>
  <si>
    <t xml:space="preserve">LMF30LGA</t>
  </si>
  <si>
    <t xml:space="preserve">LBF-LMF30LUU-30x45x123</t>
  </si>
  <si>
    <t xml:space="preserve">LMF30LUU</t>
  </si>
  <si>
    <t xml:space="preserve">LBF-LMF30LUU-30x45x123-NI</t>
  </si>
  <si>
    <t xml:space="preserve">LBF-LMF30LUU-30x45x123-SS-NY</t>
  </si>
  <si>
    <t xml:space="preserve">LBF-LMF30UU-30x45x64</t>
  </si>
  <si>
    <t xml:space="preserve">LMF30UU</t>
  </si>
  <si>
    <t xml:space="preserve">LBF-LMF30UU-30x45x64-NI</t>
  </si>
  <si>
    <t xml:space="preserve">LBF-LMF30UU-30x45x64-R</t>
  </si>
  <si>
    <t xml:space="preserve">LBF-LMF30UU-30x45x64-SS-NY</t>
  </si>
  <si>
    <t xml:space="preserve">LBF-LMF35GA-35x52x70-SS-MC</t>
  </si>
  <si>
    <t xml:space="preserve">LMF35GA</t>
  </si>
  <si>
    <t xml:space="preserve">LBF-LMF35LGA-35x52x135-SS-MC</t>
  </si>
  <si>
    <t xml:space="preserve">LMF35LGA</t>
  </si>
  <si>
    <t xml:space="preserve">LBF-LMF35LUU-35x52x135</t>
  </si>
  <si>
    <t xml:space="preserve">LMF35LUU</t>
  </si>
  <si>
    <t xml:space="preserve">LBF-LMF35LUU-35x52x135-NI</t>
  </si>
  <si>
    <t xml:space="preserve">LBF-LMF35LUU-35x52x135-SS-NY</t>
  </si>
  <si>
    <t xml:space="preserve">LBF-LMF35UU-35x52x70</t>
  </si>
  <si>
    <t xml:space="preserve">LMF35UU</t>
  </si>
  <si>
    <t xml:space="preserve">LBF-LMF35UU-35x52x70-NI</t>
  </si>
  <si>
    <t xml:space="preserve">LBF-LMF35UU-35x52x70-SS-NY</t>
  </si>
  <si>
    <t xml:space="preserve">LBF-LMF40GA-40x60x80-SS-MC</t>
  </si>
  <si>
    <t xml:space="preserve">LMF40GA</t>
  </si>
  <si>
    <t xml:space="preserve">LBF-LMF40LGA-40x60x154-SS-MC</t>
  </si>
  <si>
    <t xml:space="preserve">LMF40LGA</t>
  </si>
  <si>
    <t xml:space="preserve">LBF-LMF40LUU-40x60x154</t>
  </si>
  <si>
    <t xml:space="preserve">LMF40LUU</t>
  </si>
  <si>
    <t xml:space="preserve">LBF-LMF40LUU-40x60x154-NI</t>
  </si>
  <si>
    <t xml:space="preserve">LBF-LMF40LUU-40x60x154-SS-NY</t>
  </si>
  <si>
    <t xml:space="preserve">LBF-LMF40UU-40x60x80</t>
  </si>
  <si>
    <t xml:space="preserve">LMF40UU</t>
  </si>
  <si>
    <t xml:space="preserve">LBF-LMF40UU-40x60x80-NI</t>
  </si>
  <si>
    <t xml:space="preserve">LBF-LMF40UU-40x60x80-SS-NY</t>
  </si>
  <si>
    <t xml:space="preserve">LBF-LMF50LUU-50x80x192</t>
  </si>
  <si>
    <t xml:space="preserve">LMF50LUU</t>
  </si>
  <si>
    <t xml:space="preserve">LBF-LMF50LUU-50x80x192-NI</t>
  </si>
  <si>
    <t xml:space="preserve">LBF-LMF50UU-50x80x100</t>
  </si>
  <si>
    <t xml:space="preserve">LMF50UU</t>
  </si>
  <si>
    <t xml:space="preserve">LBF-LMF50UU-50x80x100-NI</t>
  </si>
  <si>
    <t xml:space="preserve">LBF-LMF60LUU-60x90x211</t>
  </si>
  <si>
    <t xml:space="preserve">LMF60LUU</t>
  </si>
  <si>
    <t xml:space="preserve">LBF-LMF60UU-60x90x110</t>
  </si>
  <si>
    <t xml:space="preserve">LMF60UU</t>
  </si>
  <si>
    <t xml:space="preserve">LBF-LMF6LUU-6x12x35</t>
  </si>
  <si>
    <t xml:space="preserve">LMF6LUU</t>
  </si>
  <si>
    <t xml:space="preserve">LBF-LMF6LUU-6x12x35-NI</t>
  </si>
  <si>
    <t xml:space="preserve">LBF-LMF6UU-6x12x19</t>
  </si>
  <si>
    <t xml:space="preserve">LMF6UU</t>
  </si>
  <si>
    <t xml:space="preserve">LBF-LMF6UU-6x12x19-NI</t>
  </si>
  <si>
    <t xml:space="preserve">LBF-LMF8GA-8x15x24-SS-MC</t>
  </si>
  <si>
    <t xml:space="preserve">LMF8GA</t>
  </si>
  <si>
    <t xml:space="preserve">LBF-LMF8LGA-8x15x45-SS-MC</t>
  </si>
  <si>
    <t xml:space="preserve">LMF8LGA</t>
  </si>
  <si>
    <t xml:space="preserve">LBF-LMF8LUU-8x15x45</t>
  </si>
  <si>
    <t xml:space="preserve">LMF8LUU</t>
  </si>
  <si>
    <t xml:space="preserve">LBF-LMF8LUU-8x15x45-NI</t>
  </si>
  <si>
    <t xml:space="preserve">LBF-LMF8LUU-8x15x45-SS-NY</t>
  </si>
  <si>
    <t xml:space="preserve">LBF-LMF8SUU-8x15x17</t>
  </si>
  <si>
    <t xml:space="preserve">LMF8SUU</t>
  </si>
  <si>
    <t xml:space="preserve">LBF-LMF8SUU-8x15x17-NI</t>
  </si>
  <si>
    <t xml:space="preserve">LBF-LMF8UU-8x15x24</t>
  </si>
  <si>
    <t xml:space="preserve">LMF8UU</t>
  </si>
  <si>
    <t xml:space="preserve">LBF-LMF8UU-8x15x24-NI</t>
  </si>
  <si>
    <t xml:space="preserve">LBF-LMF8UU-8x15x24-SS-NY</t>
  </si>
  <si>
    <t xml:space="preserve">LBF-LMH10LUU-10x19x55-2H</t>
  </si>
  <si>
    <t xml:space="preserve">LMH10LUU</t>
  </si>
  <si>
    <t xml:space="preserve">2 holes</t>
  </si>
  <si>
    <t xml:space="preserve">LBF-LMH10LUU-10x19x55-NI-2H</t>
  </si>
  <si>
    <t xml:space="preserve">Plated 2 holes</t>
  </si>
  <si>
    <t xml:space="preserve">LBF-LMH10UU-10x19x29-2H</t>
  </si>
  <si>
    <t xml:space="preserve">LMH10UU</t>
  </si>
  <si>
    <t xml:space="preserve">LBF-LMH10UU-10x19x29-NI-2H</t>
  </si>
  <si>
    <t xml:space="preserve">LBF-LMH10UU-10x19x29-R-2H</t>
  </si>
  <si>
    <t xml:space="preserve">Reinforced 2 holes</t>
  </si>
  <si>
    <t xml:space="preserve">LBF-LMH12LUU-12x21x57-2H</t>
  </si>
  <si>
    <t xml:space="preserve">LMH12LUU</t>
  </si>
  <si>
    <t xml:space="preserve">LBF-LMH12LUU-12x21x57-NI-2H</t>
  </si>
  <si>
    <t xml:space="preserve">LBF-LMH12UU-12x21x30-2H</t>
  </si>
  <si>
    <t xml:space="preserve">LMH12UU</t>
  </si>
  <si>
    <t xml:space="preserve">LBF-LMH12UU-12x21x30-NI-2H</t>
  </si>
  <si>
    <t xml:space="preserve">LBF-LMH13LUU-13x23x61-2H</t>
  </si>
  <si>
    <t xml:space="preserve">LMH13LUU</t>
  </si>
  <si>
    <t xml:space="preserve">LBF-LMH13UU-13x23x32-2H</t>
  </si>
  <si>
    <t xml:space="preserve">LMH13UU</t>
  </si>
  <si>
    <t xml:space="preserve">LBF-LMH13UU-13x23x32-NI-2H</t>
  </si>
  <si>
    <t xml:space="preserve">LBF-LMH16LUU-16x28x70-4H</t>
  </si>
  <si>
    <t xml:space="preserve">LMH16LUU</t>
  </si>
  <si>
    <t xml:space="preserve">4 holes</t>
  </si>
  <si>
    <t xml:space="preserve">LBF-LMH16LUU-16x28x70-NI-4H</t>
  </si>
  <si>
    <t xml:space="preserve">Plated 4 holes</t>
  </si>
  <si>
    <t xml:space="preserve">LBF-LMH16UU-16x28x37-4H</t>
  </si>
  <si>
    <t xml:space="preserve">LMH16UU</t>
  </si>
  <si>
    <t xml:space="preserve">LBF-LMH16UU-16x28x37-NI-4H</t>
  </si>
  <si>
    <t xml:space="preserve">LBF-LMH20LUU-20x32x80-4H</t>
  </si>
  <si>
    <t xml:space="preserve">LMH20LUU</t>
  </si>
  <si>
    <t xml:space="preserve">LBF-LMH20LUU-20x32x80-NI-4H</t>
  </si>
  <si>
    <t xml:space="preserve">LBF-LMH20UU-20x32x42-4H</t>
  </si>
  <si>
    <t xml:space="preserve">LMH20UU</t>
  </si>
  <si>
    <t xml:space="preserve">LBF-LMH20UU-20x32x42-NI-4H</t>
  </si>
  <si>
    <t xml:space="preserve">LBF-LMH25LUU-25x40x112-4H</t>
  </si>
  <si>
    <t xml:space="preserve">LMH25LUU</t>
  </si>
  <si>
    <t xml:space="preserve">LBF-LMH25LUU-25x40x112-NI-4H</t>
  </si>
  <si>
    <t xml:space="preserve">LBF-LMH25UU-25x40x58-4H</t>
  </si>
  <si>
    <t xml:space="preserve">LMH25UU</t>
  </si>
  <si>
    <t xml:space="preserve">LBF-LMH25UU-25x40x58-NI-4H</t>
  </si>
  <si>
    <t xml:space="preserve">LBF-LMH30LUU-30x45x123-4H</t>
  </si>
  <si>
    <t xml:space="preserve">LMH30LUU</t>
  </si>
  <si>
    <t xml:space="preserve">LBF-LMH30LUU-30x45x123-NI-4H</t>
  </si>
  <si>
    <t xml:space="preserve">LBF-LMH30UU-30x45x64-4H</t>
  </si>
  <si>
    <t xml:space="preserve">LMH30UU</t>
  </si>
  <si>
    <t xml:space="preserve">LBF-LMH30UU-30x45x64-NI-4H</t>
  </si>
  <si>
    <t xml:space="preserve">LBF-LMH35LUU-35x52x135-4H</t>
  </si>
  <si>
    <t xml:space="preserve">LMH35LUU</t>
  </si>
  <si>
    <t xml:space="preserve">LBF-LMH35LUU-35x52x135-NI-4H</t>
  </si>
  <si>
    <t xml:space="preserve">LBF-LMH35UU-35x52x70-4H</t>
  </si>
  <si>
    <t xml:space="preserve">LMH35UU</t>
  </si>
  <si>
    <t xml:space="preserve">LBF-LMH35UU-35x52x70-NI-4H</t>
  </si>
  <si>
    <t xml:space="preserve">LBF-LMH40LUU-40x60x154-4H</t>
  </si>
  <si>
    <t xml:space="preserve">LMH40LUU</t>
  </si>
  <si>
    <t xml:space="preserve">LBF-LMH40LUU-40x60x154-NI-4H</t>
  </si>
  <si>
    <t xml:space="preserve">LBF-LMH40UU-40x60x80-4H</t>
  </si>
  <si>
    <t xml:space="preserve">LMH40UU</t>
  </si>
  <si>
    <t xml:space="preserve">LBF-LMH40UU-40x60x80-NI-4H</t>
  </si>
  <si>
    <t xml:space="preserve">LBF-LMH50LUU-50x80x192-4H</t>
  </si>
  <si>
    <t xml:space="preserve">LMH50LUU</t>
  </si>
  <si>
    <t xml:space="preserve">LBF-LMH50LUU-50x80x192-NI-4H</t>
  </si>
  <si>
    <t xml:space="preserve">LBF-LMH50UU-50x80x100-4H</t>
  </si>
  <si>
    <t xml:space="preserve">LMH50UU</t>
  </si>
  <si>
    <t xml:space="preserve">LBF-LMH50UU-50x80x100-NI-4H</t>
  </si>
  <si>
    <t xml:space="preserve">LBF-LMH60UU-60x90x110-4H</t>
  </si>
  <si>
    <t xml:space="preserve">LMH60UU</t>
  </si>
  <si>
    <t xml:space="preserve">LBF-LMH6LUU-6x12x29-2H</t>
  </si>
  <si>
    <t xml:space="preserve">LMH6LUU</t>
  </si>
  <si>
    <t xml:space="preserve">6x12x29</t>
  </si>
  <si>
    <t xml:space="preserve">LBF-LMH6LUU-6x12x35-2H</t>
  </si>
  <si>
    <t xml:space="preserve">LBF-LMH6LUU-6x12x35-NI-2H</t>
  </si>
  <si>
    <t xml:space="preserve">LBF-LMH6UU-6x12x19-2H</t>
  </si>
  <si>
    <t xml:space="preserve">LMH6UU</t>
  </si>
  <si>
    <t xml:space="preserve">LBF-LMH6UU-6x12x19-NI-2H</t>
  </si>
  <si>
    <t xml:space="preserve">LBF-LMH8LUU-8x15x45-2H</t>
  </si>
  <si>
    <t xml:space="preserve">LBF-LMH8LUU-8x15x45-NI-2H</t>
  </si>
  <si>
    <t xml:space="preserve">LBF-LMH8SUU-8x15x17-2H</t>
  </si>
  <si>
    <t xml:space="preserve">LMH8SUU</t>
  </si>
  <si>
    <t xml:space="preserve">LBF-LMH8UU-8x15x24-2H</t>
  </si>
  <si>
    <t xml:space="preserve">LMH8UU</t>
  </si>
  <si>
    <t xml:space="preserve">LBF-LMH8UU-8x15x24-NI-2H</t>
  </si>
  <si>
    <t xml:space="preserve">LBF-LMK100UU-100x150x175</t>
  </si>
  <si>
    <t xml:space="preserve">LMK100UU</t>
  </si>
  <si>
    <t xml:space="preserve">LBF-LMK10LUU-10x19x55</t>
  </si>
  <si>
    <t xml:space="preserve">LMK10LUU</t>
  </si>
  <si>
    <t xml:space="preserve">LBF-LMK10LUU-10x19x55-NI</t>
  </si>
  <si>
    <t xml:space="preserve">LBF-LMK10UU-10x19x29</t>
  </si>
  <si>
    <t xml:space="preserve">LMK10UU</t>
  </si>
  <si>
    <t xml:space="preserve">LBF-LMK10UU-10x19x29-NI</t>
  </si>
  <si>
    <t xml:space="preserve">LBF-LMK12LUU-12x21x57</t>
  </si>
  <si>
    <t xml:space="preserve">LMK12LUU</t>
  </si>
  <si>
    <t xml:space="preserve">LBF-LMK12LUU-12x21x57-NI</t>
  </si>
  <si>
    <t xml:space="preserve">LBF-LMK12UU-12x21x30</t>
  </si>
  <si>
    <t xml:space="preserve">LMK12UU</t>
  </si>
  <si>
    <t xml:space="preserve">LBF-LMK12UU-12x21x30-NI</t>
  </si>
  <si>
    <t xml:space="preserve">LBF-LMK13LUU-13x23x61</t>
  </si>
  <si>
    <t xml:space="preserve">LMK13LUU</t>
  </si>
  <si>
    <t xml:space="preserve">LBF-LMK13LUU-13x23x61-NI</t>
  </si>
  <si>
    <t xml:space="preserve">LBF-LMK13UU-13x23x32</t>
  </si>
  <si>
    <t xml:space="preserve">LMK13UU</t>
  </si>
  <si>
    <t xml:space="preserve">LBF-LMK13UU-13x23x32-NI</t>
  </si>
  <si>
    <t xml:space="preserve">LBF-LMK16LUU-16x28x70</t>
  </si>
  <si>
    <t xml:space="preserve">LMK16LUU</t>
  </si>
  <si>
    <t xml:space="preserve">LBF-LMK16LUU-16x28x70-NI</t>
  </si>
  <si>
    <t xml:space="preserve">LBF-LMK16UU-16x28x37</t>
  </si>
  <si>
    <t xml:space="preserve">LMK16UU</t>
  </si>
  <si>
    <t xml:space="preserve">LBF-LMK16UU-16x28x37-NI</t>
  </si>
  <si>
    <t xml:space="preserve">LBF-LMK20LUU-20x32x80</t>
  </si>
  <si>
    <t xml:space="preserve">LMK20LUU</t>
  </si>
  <si>
    <t xml:space="preserve">LBF-LMK20LUU-20x32x80-NI</t>
  </si>
  <si>
    <t xml:space="preserve">LBF-LMK20UU-20x32x42</t>
  </si>
  <si>
    <t xml:space="preserve">LMK20UU</t>
  </si>
  <si>
    <t xml:space="preserve">LBF-LMK20UU-20x32x42-NI</t>
  </si>
  <si>
    <t xml:space="preserve">LBF-LMK25LUU-25x40x112</t>
  </si>
  <si>
    <t xml:space="preserve">LMK25LUU</t>
  </si>
  <si>
    <t xml:space="preserve">LBF-LMK25LUU-25x40x112-NI</t>
  </si>
  <si>
    <t xml:space="preserve">LBF-LMK25UU-25x40x59</t>
  </si>
  <si>
    <t xml:space="preserve">LMK25UU</t>
  </si>
  <si>
    <t xml:space="preserve">LBF-LMK25UU-25x40x59-NI</t>
  </si>
  <si>
    <t xml:space="preserve">LBF-LMK30LUU-30x45x123</t>
  </si>
  <si>
    <t xml:space="preserve">LMK30LUU</t>
  </si>
  <si>
    <t xml:space="preserve">LBF-LMK30LUU-30x45x123-NI</t>
  </si>
  <si>
    <t xml:space="preserve">LBF-LMK30UU-30x45x64</t>
  </si>
  <si>
    <t xml:space="preserve">LMK30UU</t>
  </si>
  <si>
    <t xml:space="preserve">LBF-LMK30UU-30x45x64-NI</t>
  </si>
  <si>
    <t xml:space="preserve">LBF-LMK35LUU-35x52x135</t>
  </si>
  <si>
    <t xml:space="preserve">LMK35LUU</t>
  </si>
  <si>
    <t xml:space="preserve">LBF-LMK35LUU-35x52x135-NI</t>
  </si>
  <si>
    <t xml:space="preserve">LBF-LMK35UU-35x52x70</t>
  </si>
  <si>
    <t xml:space="preserve">LMK35UU</t>
  </si>
  <si>
    <t xml:space="preserve">LBF-LMK35UU-35x52x70-NI</t>
  </si>
  <si>
    <t xml:space="preserve">LBF-LMK40LUU-40x60x154</t>
  </si>
  <si>
    <t xml:space="preserve">LMK40LUU</t>
  </si>
  <si>
    <t xml:space="preserve">LBF-LMK40LUU-40x60x154-NI</t>
  </si>
  <si>
    <t xml:space="preserve">LBF-LMK40UU-40x60x80</t>
  </si>
  <si>
    <t xml:space="preserve">LMK40UU</t>
  </si>
  <si>
    <t xml:space="preserve">LBF-LMK40UU-40x60x80-NI</t>
  </si>
  <si>
    <t xml:space="preserve">LBF-LMK50LUU-50x80x192</t>
  </si>
  <si>
    <t xml:space="preserve">LMK50LUU</t>
  </si>
  <si>
    <t xml:space="preserve">LBF-LMK50LUU-50x80x192-NI</t>
  </si>
  <si>
    <t xml:space="preserve">LBF-LMK50UU-50x80x100</t>
  </si>
  <si>
    <t xml:space="preserve">LMK50UU</t>
  </si>
  <si>
    <t xml:space="preserve">LBF-LMK50UU-50x80x100-NI</t>
  </si>
  <si>
    <t xml:space="preserve">LBF-LMK60LUU-60x90x211</t>
  </si>
  <si>
    <t xml:space="preserve">LMK60LUU</t>
  </si>
  <si>
    <t xml:space="preserve">LBF-LMK60UU-60x90x110</t>
  </si>
  <si>
    <t xml:space="preserve">LMK60UU</t>
  </si>
  <si>
    <t xml:space="preserve">LBF-LMK6LUU-6x12x35</t>
  </si>
  <si>
    <t xml:space="preserve">LMK6LUU</t>
  </si>
  <si>
    <t xml:space="preserve">LBF-LMK6LUU-6x12x35-NI</t>
  </si>
  <si>
    <t xml:space="preserve">LBF-LMK6UU-6x12x19</t>
  </si>
  <si>
    <t xml:space="preserve">LMK6UU</t>
  </si>
  <si>
    <t xml:space="preserve">LBF-LMK6UU-6x12x19-NI</t>
  </si>
  <si>
    <t xml:space="preserve">LBF-LMK80UU-80x120x140</t>
  </si>
  <si>
    <t xml:space="preserve">LMK80UU</t>
  </si>
  <si>
    <t xml:space="preserve">LBF-LMK8LUU-8x15x45</t>
  </si>
  <si>
    <t xml:space="preserve">LBF-LMK8LUU-8x15x45-NI</t>
  </si>
  <si>
    <t xml:space="preserve">LBF-LMK8SUU-8x15x17</t>
  </si>
  <si>
    <t xml:space="preserve">LMK8SUU</t>
  </si>
  <si>
    <t xml:space="preserve">LBF-LMK8SUU-8x15x17-NI</t>
  </si>
  <si>
    <t xml:space="preserve">LBF-LMK8UU-8x15x24</t>
  </si>
  <si>
    <t xml:space="preserve">LMK8UU</t>
  </si>
  <si>
    <t xml:space="preserve">LBF-LMK8UU-8x15x24-NI</t>
  </si>
  <si>
    <t xml:space="preserve">Linear Guide Clamp / Carriage Lock  [Linear Bearings &amp; Blocks]</t>
  </si>
  <si>
    <t xml:space="preserve">HG15</t>
  </si>
  <si>
    <t xml:space="preserve">RL-041-BK-AL-HG15</t>
  </si>
  <si>
    <t xml:space="preserve">RL-041-BK-AL-HG20</t>
  </si>
  <si>
    <t xml:space="preserve">HG20</t>
  </si>
  <si>
    <t xml:space="preserve">RL-041-BK-AL-HG25</t>
  </si>
  <si>
    <t xml:space="preserve">HG25</t>
  </si>
  <si>
    <t xml:space="preserve">RL-041-BK-ST-HG20</t>
  </si>
  <si>
    <t xml:space="preserve">RL-041-BK-ST-HG25</t>
  </si>
  <si>
    <t xml:space="preserve">RL-041-BK-ST-HG30</t>
  </si>
  <si>
    <t xml:space="preserve">HG30</t>
  </si>
  <si>
    <t xml:space="preserve">RL-041-SV-AL-HG20</t>
  </si>
  <si>
    <t xml:space="preserve">RL-041-SV-ST-HG20</t>
  </si>
  <si>
    <t xml:space="preserve">RL-041-SV-ST-HG25</t>
  </si>
  <si>
    <t xml:space="preserve">RL-041-SV-ST-HG30</t>
  </si>
  <si>
    <t xml:space="preserve">Linear Guide Stopper / Travel Limiter (HGH / EGH / MGN)  [Linear Bearings &amp; Blocks]</t>
  </si>
  <si>
    <t xml:space="preserve">EG15 no bumper no side hole</t>
  </si>
  <si>
    <t xml:space="preserve">RL-049-EG15-BDFZK-BDCK</t>
  </si>
  <si>
    <t xml:space="preserve">RL-049-EG15-BDFZK-DSB</t>
  </si>
  <si>
    <t xml:space="preserve">EG15 no bumper with handle</t>
  </si>
  <si>
    <t xml:space="preserve">RL-049-EG15-DFZK-BDCK</t>
  </si>
  <si>
    <t xml:space="preserve">EG15 with bumper no side hole</t>
  </si>
  <si>
    <t xml:space="preserve">RL-049-EG15-DFZK-DSB</t>
  </si>
  <si>
    <t xml:space="preserve">EG15 with bumper with handle</t>
  </si>
  <si>
    <t xml:space="preserve">RL-049-EG20-BDFZK-BDCK</t>
  </si>
  <si>
    <t xml:space="preserve">EG20 no bumper no side hole</t>
  </si>
  <si>
    <t xml:space="preserve">RL-049-EG20-BDFZK-DSB</t>
  </si>
  <si>
    <t xml:space="preserve">EG20 no bumper with handle</t>
  </si>
  <si>
    <t xml:space="preserve">RL-049-EG20-DFZK-BDCK</t>
  </si>
  <si>
    <t xml:space="preserve">EG20 with bumper no side hole</t>
  </si>
  <si>
    <t xml:space="preserve">RL-049-EG20-DFZK-DSB</t>
  </si>
  <si>
    <t xml:space="preserve">EG20 with bumper with handle</t>
  </si>
  <si>
    <t xml:space="preserve">RL-049-EG25-BDFZK-BDCK</t>
  </si>
  <si>
    <t xml:space="preserve">EG25 no bumper no side hole</t>
  </si>
  <si>
    <t xml:space="preserve">RL-049-EG25-BDFZK-DSB</t>
  </si>
  <si>
    <t xml:space="preserve">EG25 no bumper with handle</t>
  </si>
  <si>
    <t xml:space="preserve">RL-049-EG25-DFZK-BDCK</t>
  </si>
  <si>
    <t xml:space="preserve">EG25 with bumper no side hole</t>
  </si>
  <si>
    <t xml:space="preserve">RL-049-EG25-DFZK-DSB</t>
  </si>
  <si>
    <t xml:space="preserve">EG25 with bumper with handle</t>
  </si>
  <si>
    <t xml:space="preserve">RL-049-EG30-BDFZK-BDCK</t>
  </si>
  <si>
    <t xml:space="preserve">EG30 no bumper no side hole</t>
  </si>
  <si>
    <t xml:space="preserve">RL-049-EG30-BDFZK-DCK</t>
  </si>
  <si>
    <t xml:space="preserve">EG30 no bumper with side hole</t>
  </si>
  <si>
    <t xml:space="preserve">RL-049-EG30-BDFZK-DSB</t>
  </si>
  <si>
    <t xml:space="preserve">EG30 no bumper with handle</t>
  </si>
  <si>
    <t xml:space="preserve">RL-049-EG30-DFZK-BDCK</t>
  </si>
  <si>
    <t xml:space="preserve">EG30 with bumper no side hole</t>
  </si>
  <si>
    <t xml:space="preserve">RL-049-EG30-DFZK-DCK</t>
  </si>
  <si>
    <t xml:space="preserve">EG30 with bumper with side hole</t>
  </si>
  <si>
    <t xml:space="preserve">RL-049-EG30-DFZK-DSB</t>
  </si>
  <si>
    <t xml:space="preserve">EG30 with bumper with handle</t>
  </si>
  <si>
    <t xml:space="preserve">RL-049-HG15-BDFZK-BDCK</t>
  </si>
  <si>
    <t xml:space="preserve">HG15 no bumper no side hole</t>
  </si>
  <si>
    <t xml:space="preserve">RL-049-HG15-BDFZK-DCKM6</t>
  </si>
  <si>
    <t xml:space="preserve">HG15 no bumper with side hole M6</t>
  </si>
  <si>
    <t xml:space="preserve">RL-049-HG15-BDFZK-DSB</t>
  </si>
  <si>
    <t xml:space="preserve">HG15 no bumper with handle</t>
  </si>
  <si>
    <t xml:space="preserve">RL-049-HG15-DFZK-BDCK</t>
  </si>
  <si>
    <t xml:space="preserve">HG15 with bumper no side hole</t>
  </si>
  <si>
    <t xml:space="preserve">RL-049-HG15-DFZK-DCK</t>
  </si>
  <si>
    <t xml:space="preserve">HG15 with bumper with side hole</t>
  </si>
  <si>
    <t xml:space="preserve">RL-049-HG15-DFZK-DSB</t>
  </si>
  <si>
    <t xml:space="preserve">HG15 with bumper with handle</t>
  </si>
  <si>
    <t xml:space="preserve">RL-049-HG20-BDFZK-BDCK</t>
  </si>
  <si>
    <t xml:space="preserve">HG20 no bumper no side hole</t>
  </si>
  <si>
    <t xml:space="preserve">RL-049-HG20-BDFZK-DCKM6</t>
  </si>
  <si>
    <t xml:space="preserve">HG20 no bumper with side hole M6</t>
  </si>
  <si>
    <t xml:space="preserve">RL-049-HG20-BDFZK-DSB</t>
  </si>
  <si>
    <t xml:space="preserve">HG20 no bumper with handle</t>
  </si>
  <si>
    <t xml:space="preserve">RL-049-HG20-DFZK-BDCK</t>
  </si>
  <si>
    <t xml:space="preserve">HG20 with bumper no side hole</t>
  </si>
  <si>
    <t xml:space="preserve">RL-049-HG20-DFZK-DCK</t>
  </si>
  <si>
    <t xml:space="preserve">HG20 with bumper with side hole</t>
  </si>
  <si>
    <t xml:space="preserve">RL-049-HG20-DFZK-DSB</t>
  </si>
  <si>
    <t xml:space="preserve">HG20 with bumper with handle</t>
  </si>
  <si>
    <t xml:space="preserve">RL-049-HG25-BDFZK-BDCK</t>
  </si>
  <si>
    <t xml:space="preserve">HG25 no bumper no side hole</t>
  </si>
  <si>
    <t xml:space="preserve">RL-049-HG25-BDFZK-DCKM6</t>
  </si>
  <si>
    <t xml:space="preserve">HG25 no bumper with side hole M6</t>
  </si>
  <si>
    <t xml:space="preserve">RL-049-HG25-BDFZK-DSB</t>
  </si>
  <si>
    <t xml:space="preserve">HG25 no bumper with handle</t>
  </si>
  <si>
    <t xml:space="preserve">RL-049-HG25-DFZK-BDCK</t>
  </si>
  <si>
    <t xml:space="preserve">HG25 with bumper no side hole</t>
  </si>
  <si>
    <t xml:space="preserve">RL-049-HG25-DFZK-DCK</t>
  </si>
  <si>
    <t xml:space="preserve">HG25 with bumper with side hole</t>
  </si>
  <si>
    <t xml:space="preserve">RL-049-HG25-DFZK-DSB</t>
  </si>
  <si>
    <t xml:space="preserve">HG25 with bumper with handle</t>
  </si>
  <si>
    <t xml:space="preserve">RL-049-HG30-BDFZK-BDCK</t>
  </si>
  <si>
    <t xml:space="preserve">HG30 no bumper no side hole</t>
  </si>
  <si>
    <t xml:space="preserve">RL-049-HG30-BDFZK-DSB</t>
  </si>
  <si>
    <t xml:space="preserve">HG30 no bumper with handle</t>
  </si>
  <si>
    <t xml:space="preserve">RL-049-HG30-DFZK-BDCK</t>
  </si>
  <si>
    <t xml:space="preserve">HG30 with bumper no side hole</t>
  </si>
  <si>
    <t xml:space="preserve">RL-049-HG30-DFZK-DCK</t>
  </si>
  <si>
    <t xml:space="preserve">HG30 with bumper with side hole</t>
  </si>
  <si>
    <t xml:space="preserve">RL-049-HG30-DFZK-DSB</t>
  </si>
  <si>
    <t xml:space="preserve">HG30 with bumper with handle</t>
  </si>
  <si>
    <t xml:space="preserve">RL-049-HG35-BDFZK-BDCK</t>
  </si>
  <si>
    <t xml:space="preserve">HG35 no bumper no side hole</t>
  </si>
  <si>
    <t xml:space="preserve">RL-049-HG35-BDFZK-DSB</t>
  </si>
  <si>
    <t xml:space="preserve">HG35 no bumper with handle</t>
  </si>
  <si>
    <t xml:space="preserve">RL-049-HG35-DFZK-BDCK</t>
  </si>
  <si>
    <t xml:space="preserve">HG35 with bumper no side hole</t>
  </si>
  <si>
    <t xml:space="preserve">RL-049-HG35-DFZK-DSB</t>
  </si>
  <si>
    <t xml:space="preserve">HG35 with bumper with handle</t>
  </si>
  <si>
    <t xml:space="preserve">RL-049-HG45-BDFZK-BDCK</t>
  </si>
  <si>
    <t xml:space="preserve">HG45 no bumper no side hole</t>
  </si>
  <si>
    <t xml:space="preserve">RL-049-HG45-BDFZK-DSB</t>
  </si>
  <si>
    <t xml:space="preserve">HG45 no bumper with handle</t>
  </si>
  <si>
    <t xml:space="preserve">RL-049-HG45-DFZK-BDCK</t>
  </si>
  <si>
    <t xml:space="preserve">HG45 with bumper no side hole</t>
  </si>
  <si>
    <t xml:space="preserve">RL-049-HG45-DFZK-DSB</t>
  </si>
  <si>
    <t xml:space="preserve">HG45 with bumper with handle</t>
  </si>
  <si>
    <t xml:space="preserve">RL-049-HG55-BDFZK-BDCK</t>
  </si>
  <si>
    <t xml:space="preserve">HG55 no bumper no side hole</t>
  </si>
  <si>
    <t xml:space="preserve">RL-049-HG55-BDFZK-DSB</t>
  </si>
  <si>
    <t xml:space="preserve">HG55 no bumper with handle</t>
  </si>
  <si>
    <t xml:space="preserve">RL-049-HG55-DFZK-BDCK</t>
  </si>
  <si>
    <t xml:space="preserve">HG55 with bumper no side hole</t>
  </si>
  <si>
    <t xml:space="preserve">RL-049-HG55-DFZK-DSB</t>
  </si>
  <si>
    <t xml:space="preserve">HG55 with bumper with handle</t>
  </si>
  <si>
    <t xml:space="preserve">RL-049-MGN12-BDFZK</t>
  </si>
  <si>
    <t xml:space="preserve">MGN12 no bumper</t>
  </si>
  <si>
    <t xml:space="preserve">RL-049-MGN15-BDFZK</t>
  </si>
  <si>
    <t xml:space="preserve">MGN15 no bumper</t>
  </si>
  <si>
    <t xml:space="preserve">RL-049-MGN7-BDFZK</t>
  </si>
  <si>
    <t xml:space="preserve">MGN7 no bumper</t>
  </si>
  <si>
    <t xml:space="preserve">RL-049-MGN9-BDFZK</t>
  </si>
  <si>
    <t xml:space="preserve">MGN9 no bumper</t>
  </si>
  <si>
    <t xml:space="preserve">RL-049-MGW12-BDFZK</t>
  </si>
  <si>
    <t xml:space="preserve">MGW12 no bumper</t>
  </si>
  <si>
    <t xml:space="preserve">RL-049-MGW15-BDFZK</t>
  </si>
  <si>
    <t xml:space="preserve">MGW15 no bumper</t>
  </si>
  <si>
    <t xml:space="preserve">RL-049-MGW7-BDFZK</t>
  </si>
  <si>
    <t xml:space="preserve">MGW7 no bumper</t>
  </si>
  <si>
    <t xml:space="preserve">RL-049-MGW9-BDFZK</t>
  </si>
  <si>
    <t xml:space="preserve">MGW9 no bumper</t>
  </si>
  <si>
    <t xml:space="preserve">RL-049-XWK-MGN12-AK</t>
  </si>
  <si>
    <t xml:space="preserve">Stopper clip MGN12 A type</t>
  </si>
  <si>
    <t xml:space="preserve">RL-049-XWK-MGN12-BK</t>
  </si>
  <si>
    <t xml:space="preserve">Stopper clip MGN12 B type</t>
  </si>
  <si>
    <t xml:space="preserve">RL-049-XWK-MGN15-AK</t>
  </si>
  <si>
    <t xml:space="preserve">Stopper clip MGN15 A type</t>
  </si>
  <si>
    <t xml:space="preserve">RL-049-XWK-MGN15-BK</t>
  </si>
  <si>
    <t xml:space="preserve">Stopper clip MGN15 B type</t>
  </si>
  <si>
    <t xml:space="preserve">RL-049-XWK-MGN7-AK</t>
  </si>
  <si>
    <t xml:space="preserve">Stopper clip MGN7 A type</t>
  </si>
  <si>
    <t xml:space="preserve">RL-049-XWK-MGN7-BK</t>
  </si>
  <si>
    <t xml:space="preserve">Stopper clip MGN7 B type</t>
  </si>
  <si>
    <t xml:space="preserve">RL-049-XWK-MGN9-AK</t>
  </si>
  <si>
    <t xml:space="preserve">Stopper clip MGN9 A type</t>
  </si>
  <si>
    <t xml:space="preserve">RL-049-XWK-MGN9-BK</t>
  </si>
  <si>
    <t xml:space="preserve">Stopper clip MGN9 B type</t>
  </si>
  <si>
    <t xml:space="preserve">RL-049-XWK-MGW12-BK</t>
  </si>
  <si>
    <t xml:space="preserve">Stopper clip MGW12 B type</t>
  </si>
  <si>
    <t xml:space="preserve">RL-049-XWK-MGW15-BK</t>
  </si>
  <si>
    <t xml:space="preserve">Stopper clip MGW15 B type</t>
  </si>
  <si>
    <t xml:space="preserve">RL-049-XWK-MGW7-BK</t>
  </si>
  <si>
    <t xml:space="preserve">Stopper clip MGW7 B type</t>
  </si>
  <si>
    <t xml:space="preserve">RL-049-XWK-MGW9-BK</t>
  </si>
  <si>
    <t xml:space="preserve">Stopper clip MGW9 B type</t>
  </si>
  <si>
    <t xml:space="preserve">H59 Brass Bushing, Self-Lubricating  [Bushings &amp; Collars]</t>
  </si>
  <si>
    <t xml:space="preserve">5x8x5</t>
  </si>
  <si>
    <t xml:space="preserve">RL-018-5x8x5-P5</t>
  </si>
  <si>
    <t xml:space="preserve">RL-018-8x11x22</t>
  </si>
  <si>
    <t xml:space="preserve">8x11x22</t>
  </si>
  <si>
    <t xml:space="preserve">RL-018-8x11x30</t>
  </si>
  <si>
    <t xml:space="preserve">8x11x30</t>
  </si>
  <si>
    <t xml:space="preserve">RL-018-8x12x15</t>
  </si>
  <si>
    <t xml:space="preserve">8x12x15</t>
  </si>
  <si>
    <t xml:space="preserve">RL-018-8x12x22</t>
  </si>
  <si>
    <t xml:space="preserve">8x12x22</t>
  </si>
  <si>
    <t xml:space="preserve">RL-018-8x12x30</t>
  </si>
  <si>
    <t xml:space="preserve">8x12x30</t>
  </si>
  <si>
    <t xml:space="preserve">JDB Graphite Bronze Bushing, Oil-Free  [Bushings &amp; Collars]</t>
  </si>
  <si>
    <t xml:space="preserve">10x12x10</t>
  </si>
  <si>
    <t xml:space="preserve">RL-013-10x12x10</t>
  </si>
  <si>
    <t xml:space="preserve">RL-013-10x12x15</t>
  </si>
  <si>
    <t xml:space="preserve">10x12x15</t>
  </si>
  <si>
    <t xml:space="preserve">RL-013-10x14x45</t>
  </si>
  <si>
    <t xml:space="preserve">10x14x45</t>
  </si>
  <si>
    <t xml:space="preserve">RL-013-10x19x29</t>
  </si>
  <si>
    <t xml:space="preserve">RL-013-10x19x55</t>
  </si>
  <si>
    <t xml:space="preserve">RL-013-12x16x12</t>
  </si>
  <si>
    <t xml:space="preserve">12x16x12</t>
  </si>
  <si>
    <t xml:space="preserve">RL-013-12x16x25</t>
  </si>
  <si>
    <t xml:space="preserve">12x16x25</t>
  </si>
  <si>
    <t xml:space="preserve">RL-013-12x18x12</t>
  </si>
  <si>
    <t xml:space="preserve">12x18x12</t>
  </si>
  <si>
    <t xml:space="preserve">RL-013-12x18x16</t>
  </si>
  <si>
    <t xml:space="preserve">12x18x16</t>
  </si>
  <si>
    <t xml:space="preserve">RL-013-12x21x30</t>
  </si>
  <si>
    <t xml:space="preserve">RL-013-12x21x57</t>
  </si>
  <si>
    <t xml:space="preserve">RL-013-20x30x10</t>
  </si>
  <si>
    <t xml:space="preserve">20x30x10</t>
  </si>
  <si>
    <t xml:space="preserve">RL-013-35x44x30</t>
  </si>
  <si>
    <t xml:space="preserve">35x44x30</t>
  </si>
  <si>
    <t xml:space="preserve">RL-013-6x10x10</t>
  </si>
  <si>
    <t xml:space="preserve">6x10x10</t>
  </si>
  <si>
    <t xml:space="preserve">RL-013-6x10x15</t>
  </si>
  <si>
    <t xml:space="preserve">6x10x15</t>
  </si>
  <si>
    <t xml:space="preserve">RL-013-6x10x20</t>
  </si>
  <si>
    <t xml:space="preserve">6x10x20</t>
  </si>
  <si>
    <t xml:space="preserve">RL-013-6x12x19</t>
  </si>
  <si>
    <t xml:space="preserve">RL-013-6x12x30</t>
  </si>
  <si>
    <t xml:space="preserve">6x12x30</t>
  </si>
  <si>
    <t xml:space="preserve">RL-013-6x12x35</t>
  </si>
  <si>
    <t xml:space="preserve">RL-013-6x8x10</t>
  </si>
  <si>
    <t xml:space="preserve">6x8x10</t>
  </si>
  <si>
    <t xml:space="preserve">RL-013-8x10x25</t>
  </si>
  <si>
    <t xml:space="preserve">8x10x25</t>
  </si>
  <si>
    <t xml:space="preserve">RL-013-8x11x20</t>
  </si>
  <si>
    <t xml:space="preserve">8x11x20</t>
  </si>
  <si>
    <t xml:space="preserve">RL-013-8x11x30</t>
  </si>
  <si>
    <t xml:space="preserve">RL-013-8x12x30</t>
  </si>
  <si>
    <t xml:space="preserve">RL-013-8x15x17</t>
  </si>
  <si>
    <t xml:space="preserve">RL-013-8x15x24</t>
  </si>
  <si>
    <t xml:space="preserve">RL-013-8x15x45</t>
  </si>
  <si>
    <t xml:space="preserve">JDB Graphite Bronze Flange Bushing  [Bushings &amp; Collars]</t>
  </si>
  <si>
    <t xml:space="preserve">Matching Linear Bearing</t>
  </si>
  <si>
    <t xml:space="preserve">JDB-F-12x21x30-LMF12UU</t>
  </si>
  <si>
    <t xml:space="preserve">JDB-F-32x515x8x24-LMF8UU</t>
  </si>
  <si>
    <t xml:space="preserve">32x5/15x8x24</t>
  </si>
  <si>
    <t xml:space="preserve">JDB-F-32x515x8x45-LMF8LUU</t>
  </si>
  <si>
    <t xml:space="preserve">32x5/15x8x45</t>
  </si>
  <si>
    <t xml:space="preserve">JDB-F-60x535x45x20</t>
  </si>
  <si>
    <t xml:space="preserve">60x5/35x45x20</t>
  </si>
  <si>
    <t xml:space="preserve">JDB-H-29x410x14x20</t>
  </si>
  <si>
    <t xml:space="preserve">29x4/10x14x20</t>
  </si>
  <si>
    <t xml:space="preserve">Double-flat oval flange</t>
  </si>
  <si>
    <t xml:space="preserve">JDB-H-32x58x15x24-LMH8UU</t>
  </si>
  <si>
    <t xml:space="preserve">32x5/8x15x24</t>
  </si>
  <si>
    <t xml:space="preserve">JDB-H-32x58x15x45-LMH8LUU</t>
  </si>
  <si>
    <t xml:space="preserve">32x5/8x15x45</t>
  </si>
  <si>
    <t xml:space="preserve">JDB-H-40x610x19x29-LMH10UU</t>
  </si>
  <si>
    <t xml:space="preserve">40x6/10x19x29</t>
  </si>
  <si>
    <t xml:space="preserve">JDB-H-42x612x21x30-LMH12UU</t>
  </si>
  <si>
    <t xml:space="preserve">42x6/12x21x30</t>
  </si>
  <si>
    <t xml:space="preserve">JDB-K-12x21x30</t>
  </si>
  <si>
    <t xml:space="preserve">K-type square flange</t>
  </si>
  <si>
    <t xml:space="preserve">JDB-K-32x5-8x15x24</t>
  </si>
  <si>
    <t xml:space="preserve">32x5-8x15x24</t>
  </si>
  <si>
    <t xml:space="preserve">JDB-K-32x5-8x15x45</t>
  </si>
  <si>
    <t xml:space="preserve">32x5-8x15x45</t>
  </si>
  <si>
    <t xml:space="preserve">JDB-K-40x6-10x19x55</t>
  </si>
  <si>
    <t xml:space="preserve">40x6-10x19x55</t>
  </si>
  <si>
    <t xml:space="preserve">JDB-K-42x6-12x21x30</t>
  </si>
  <si>
    <t xml:space="preserve">42x6-12x21x30</t>
  </si>
  <si>
    <t xml:space="preserve">JDB-K-42x6-12x21x57</t>
  </si>
  <si>
    <t xml:space="preserve">42x6-12x21x57</t>
  </si>
  <si>
    <t xml:space="preserve">Openbuilds Aluminum Spacer / Shim, ID 3-6mm  [Bushings &amp; Collars]</t>
  </si>
  <si>
    <t xml:space="preserve">3x5x2</t>
  </si>
  <si>
    <t xml:space="preserve">RL-011-3x5x2-SV-BR-P20</t>
  </si>
  <si>
    <t xml:space="preserve">RL-011-3x6x15-SV-BR-P7</t>
  </si>
  <si>
    <t xml:space="preserve">3x6x15</t>
  </si>
  <si>
    <t xml:space="preserve">RL-011-5x10x10-SV-BR-P10</t>
  </si>
  <si>
    <t xml:space="preserve">5x10x10</t>
  </si>
  <si>
    <t xml:space="preserve">RL-011-5x10x12-SV-MT</t>
  </si>
  <si>
    <t xml:space="preserve">5x10x12</t>
  </si>
  <si>
    <t xml:space="preserve">RL-011-5x10x13.2-SV-BR-P10</t>
  </si>
  <si>
    <t xml:space="preserve">5x10x13.2</t>
  </si>
  <si>
    <t xml:space="preserve">RL-011-5x10x16-SV-BR-P5</t>
  </si>
  <si>
    <t xml:space="preserve">5x10x16</t>
  </si>
  <si>
    <t xml:space="preserve">RL-011-5x10x20-SV-BR-P5</t>
  </si>
  <si>
    <t xml:space="preserve">5x10x20</t>
  </si>
  <si>
    <t xml:space="preserve">RL-011-5x10x25-SV-BR-P5</t>
  </si>
  <si>
    <t xml:space="preserve">5x10x25</t>
  </si>
  <si>
    <t xml:space="preserve">RL-011-5x10x28-SV-MT-P3</t>
  </si>
  <si>
    <t xml:space="preserve">5x10x28</t>
  </si>
  <si>
    <t xml:space="preserve">RL-011-5x10x3-BK-BR-P5</t>
  </si>
  <si>
    <t xml:space="preserve">5x10x3</t>
  </si>
  <si>
    <t xml:space="preserve">RL-011-5x10x3-SV-BR-P10</t>
  </si>
  <si>
    <t xml:space="preserve">RL-011-5x10x3.175-SV-BR-P10</t>
  </si>
  <si>
    <t xml:space="preserve">5x10x3.175</t>
  </si>
  <si>
    <t xml:space="preserve">RL-011-5x10x30-SV-BR</t>
  </si>
  <si>
    <t xml:space="preserve">5x10x30</t>
  </si>
  <si>
    <t xml:space="preserve">RL-011-5x10x35-SV-MT</t>
  </si>
  <si>
    <t xml:space="preserve">5x10x35</t>
  </si>
  <si>
    <t xml:space="preserve">RL-011-5x10x38.1-SV-BR-P3</t>
  </si>
  <si>
    <t xml:space="preserve">5x10x38.1</t>
  </si>
  <si>
    <t xml:space="preserve">RL-011-5x10x4-SV-P11</t>
  </si>
  <si>
    <t xml:space="preserve">RL-011-5x10x40-SV-BR</t>
  </si>
  <si>
    <t xml:space="preserve">5x10x40</t>
  </si>
  <si>
    <t xml:space="preserve">RL-011-5x10x5-SV-BR-P5</t>
  </si>
  <si>
    <t xml:space="preserve">5x10x5</t>
  </si>
  <si>
    <t xml:space="preserve">RL-011-5x10x5.5-SV-BR-P10</t>
  </si>
  <si>
    <t xml:space="preserve">5x10x5.5</t>
  </si>
  <si>
    <t xml:space="preserve">RL-011-5x10x6-BK-BR-P4</t>
  </si>
  <si>
    <t xml:space="preserve">5x10x6</t>
  </si>
  <si>
    <t xml:space="preserve">RL-011-5x10x6-SV-BR-P5</t>
  </si>
  <si>
    <t xml:space="preserve">RL-011-5x10x6.35-SV-BR-P10</t>
  </si>
  <si>
    <t xml:space="preserve">5x10x6.35</t>
  </si>
  <si>
    <t xml:space="preserve">RL-011-5x10x7-SV-BR-P10</t>
  </si>
  <si>
    <t xml:space="preserve">5x10x7</t>
  </si>
  <si>
    <t xml:space="preserve">RL-011-5x10x8-SV-BR</t>
  </si>
  <si>
    <t xml:space="preserve">5x10x8</t>
  </si>
  <si>
    <t xml:space="preserve">RL-011-5x10x8.5-SV-BR-P10</t>
  </si>
  <si>
    <t xml:space="preserve">5x10x8.5</t>
  </si>
  <si>
    <t xml:space="preserve">RL-011-5x10x9-SV-BR</t>
  </si>
  <si>
    <t xml:space="preserve">5x10x9</t>
  </si>
  <si>
    <t xml:space="preserve">RL-011-5x10x9.5-SV-BR-P10</t>
  </si>
  <si>
    <t xml:space="preserve">5x10x9.5</t>
  </si>
  <si>
    <t xml:space="preserve">RL-011-5x8x10-SV-BR-P5</t>
  </si>
  <si>
    <t xml:space="preserve">5x8x10</t>
  </si>
  <si>
    <t xml:space="preserve">RL-011-5x8x13-SV-BR-P5</t>
  </si>
  <si>
    <t xml:space="preserve">5x8x13</t>
  </si>
  <si>
    <t xml:space="preserve">RL-011-5x8x16-SV-BR-P5</t>
  </si>
  <si>
    <t xml:space="preserve">5x8x16</t>
  </si>
  <si>
    <t xml:space="preserve">RL-011-5x8x25-SV-MT-P10</t>
  </si>
  <si>
    <t xml:space="preserve">5x8x25</t>
  </si>
  <si>
    <t xml:space="preserve">RL-011-5x8x4-SV-BR-P10</t>
  </si>
  <si>
    <t xml:space="preserve">5x8x4</t>
  </si>
  <si>
    <t xml:space="preserve">RL-011-5x8x4.5-SV-BR-P10</t>
  </si>
  <si>
    <t xml:space="preserve">5x8x4.5</t>
  </si>
  <si>
    <t xml:space="preserve">RL-011-5x8x5-SV-BR-P10</t>
  </si>
  <si>
    <t xml:space="preserve">RL-011-5x8x6-BK-BR-P5</t>
  </si>
  <si>
    <t xml:space="preserve">5x8x6</t>
  </si>
  <si>
    <t xml:space="preserve">RL-011-5x8x6-SV-BR-P10</t>
  </si>
  <si>
    <t xml:space="preserve">RL-011-5x8x7-SV-BR-P10</t>
  </si>
  <si>
    <t xml:space="preserve">5x8x7</t>
  </si>
  <si>
    <t xml:space="preserve">RL-011-5x8x8-SV-BR-P10</t>
  </si>
  <si>
    <t xml:space="preserve">5x8x8</t>
  </si>
  <si>
    <t xml:space="preserve">RL-011-5x8x8.3-SV-BR-P10</t>
  </si>
  <si>
    <t xml:space="preserve">5x8x8.3</t>
  </si>
  <si>
    <t xml:space="preserve">RL-011-5x8x8.5-SV-BR-P10</t>
  </si>
  <si>
    <t xml:space="preserve">5x8x8.5</t>
  </si>
  <si>
    <t xml:space="preserve">RL-011-6.3x16x6.3-SV-BR-P4</t>
  </si>
  <si>
    <t xml:space="preserve">6.3x16x6.3</t>
  </si>
  <si>
    <t xml:space="preserve">RL-011-6x10x6-SV-BR-P10</t>
  </si>
  <si>
    <t xml:space="preserve">6x10x6</t>
  </si>
  <si>
    <t xml:space="preserve">RL-011-6x11x7-SV-BR-P8</t>
  </si>
  <si>
    <t xml:space="preserve">6x11x7</t>
  </si>
  <si>
    <t xml:space="preserve">SF-1 Oil-Free Composite Bushing  [Bushings &amp; Collars]</t>
  </si>
  <si>
    <t xml:space="preserve">10x12x20</t>
  </si>
  <si>
    <t xml:space="preserve">RL-024-10x12x20</t>
  </si>
  <si>
    <t xml:space="preserve">RL-024-12x14x10</t>
  </si>
  <si>
    <t xml:space="preserve">12x14x10</t>
  </si>
  <si>
    <t xml:space="preserve">RL-024-12x14x15</t>
  </si>
  <si>
    <t xml:space="preserve">12x14x15</t>
  </si>
  <si>
    <t xml:space="preserve">RL-024-6x8x12</t>
  </si>
  <si>
    <t xml:space="preserve">6x8x12</t>
  </si>
  <si>
    <t xml:space="preserve">RL-024-8x10x10</t>
  </si>
  <si>
    <t xml:space="preserve">8x10x10</t>
  </si>
  <si>
    <t xml:space="preserve">RL-024-8x10x12</t>
  </si>
  <si>
    <t xml:space="preserve">8x10x12</t>
  </si>
  <si>
    <t xml:space="preserve">RL-024-8x10x15</t>
  </si>
  <si>
    <t xml:space="preserve">8x10x15</t>
  </si>
  <si>
    <t xml:space="preserve">RL-024-8x10x20</t>
  </si>
  <si>
    <t xml:space="preserve">8x10x20</t>
  </si>
  <si>
    <t xml:space="preserve">RL-024-8x10x5</t>
  </si>
  <si>
    <t xml:space="preserve">8x10x5</t>
  </si>
  <si>
    <t xml:space="preserve">RL-024-8x10x6</t>
  </si>
  <si>
    <t xml:space="preserve">8x10x6</t>
  </si>
  <si>
    <t xml:space="preserve">RL-024-8x10x8</t>
  </si>
  <si>
    <t xml:space="preserve">8x10x8</t>
  </si>
  <si>
    <t xml:space="preserve">Shaft Collar (Split / Clamp / Open / Set-Screw / Through-Hole)  [Bushings &amp; Collars]</t>
  </si>
  <si>
    <t xml:space="preserve">ID x OD x Thickness</t>
  </si>
  <si>
    <t xml:space="preserve">100x150x36</t>
  </si>
  <si>
    <t xml:space="preserve">CLR-CL-AL-100x150x36</t>
  </si>
  <si>
    <t xml:space="preserve">CLR-CL-AL-10x26x13</t>
  </si>
  <si>
    <t xml:space="preserve">10x26x13</t>
  </si>
  <si>
    <t xml:space="preserve">CLR-CL-AL-10x30x10</t>
  </si>
  <si>
    <t xml:space="preserve">10x30x10</t>
  </si>
  <si>
    <t xml:space="preserve">CLR-CL-AL-10x30x8</t>
  </si>
  <si>
    <t xml:space="preserve">10x30x8</t>
  </si>
  <si>
    <t xml:space="preserve">CLR-CL-AL-11x30x10</t>
  </si>
  <si>
    <t xml:space="preserve">11x30x10</t>
  </si>
  <si>
    <t xml:space="preserve">CLR-CL-AL-12x30x10</t>
  </si>
  <si>
    <t xml:space="preserve">CLR-CL-AL-12x30x12</t>
  </si>
  <si>
    <t xml:space="preserve">12x30x12</t>
  </si>
  <si>
    <t xml:space="preserve">CLR-CL-AL-13x30x10</t>
  </si>
  <si>
    <t xml:space="preserve">13x30x10</t>
  </si>
  <si>
    <t xml:space="preserve">CLR-CL-AL-14x30x10</t>
  </si>
  <si>
    <t xml:space="preserve">14x30x10</t>
  </si>
  <si>
    <t xml:space="preserve">CLR-CL-AL-14x35x12</t>
  </si>
  <si>
    <t xml:space="preserve">14x35x12</t>
  </si>
  <si>
    <t xml:space="preserve">CLR-CL-AL-15x35x10</t>
  </si>
  <si>
    <t xml:space="preserve">15x35x10</t>
  </si>
  <si>
    <t xml:space="preserve">CLR-CL-AL-15x35x12</t>
  </si>
  <si>
    <t xml:space="preserve">15x35x12</t>
  </si>
  <si>
    <t xml:space="preserve">CLR-CL-AL-16x34x10</t>
  </si>
  <si>
    <t xml:space="preserve">16x34x10</t>
  </si>
  <si>
    <t xml:space="preserve">CLR-CL-AL-16x35x10</t>
  </si>
  <si>
    <t xml:space="preserve">16x35x10</t>
  </si>
  <si>
    <t xml:space="preserve">CLR-CL-AL-16x35x12</t>
  </si>
  <si>
    <t xml:space="preserve">CLR-CL-AL-17x35x12</t>
  </si>
  <si>
    <t xml:space="preserve">17x35x12</t>
  </si>
  <si>
    <t xml:space="preserve">CLR-CL-AL-18x40x12</t>
  </si>
  <si>
    <t xml:space="preserve">18x40x12</t>
  </si>
  <si>
    <t xml:space="preserve">CLR-CL-AL-19x40x12</t>
  </si>
  <si>
    <t xml:space="preserve">19x40x12</t>
  </si>
  <si>
    <t xml:space="preserve">CLR-CL-AL-20x36x8</t>
  </si>
  <si>
    <t xml:space="preserve">20x36x8</t>
  </si>
  <si>
    <t xml:space="preserve">CLR-CL-AL-20x40x10</t>
  </si>
  <si>
    <t xml:space="preserve">20x40x10</t>
  </si>
  <si>
    <t xml:space="preserve">CLR-CL-AL-20x40x12</t>
  </si>
  <si>
    <t xml:space="preserve">CLR-CL-AL-20x40x15</t>
  </si>
  <si>
    <t xml:space="preserve">20x40x15</t>
  </si>
  <si>
    <t xml:space="preserve">CLR-CL-AL-20x45x15</t>
  </si>
  <si>
    <t xml:space="preserve">20x45x15</t>
  </si>
  <si>
    <t xml:space="preserve">CLR-CL-AL-22x42x12</t>
  </si>
  <si>
    <t xml:space="preserve">22x42x12</t>
  </si>
  <si>
    <t xml:space="preserve">CLR-CL-AL-22x45x12</t>
  </si>
  <si>
    <t xml:space="preserve">22x45x12</t>
  </si>
  <si>
    <t xml:space="preserve">CLR-CL-AL-22x45x15</t>
  </si>
  <si>
    <t xml:space="preserve">22x45x15</t>
  </si>
  <si>
    <t xml:space="preserve">CLR-CL-AL-24x45x12</t>
  </si>
  <si>
    <t xml:space="preserve">24x45x12</t>
  </si>
  <si>
    <t xml:space="preserve">CLR-CL-AL-25x45x10</t>
  </si>
  <si>
    <t xml:space="preserve">25x45x10</t>
  </si>
  <si>
    <t xml:space="preserve">CLR-CL-AL-25x45x12</t>
  </si>
  <si>
    <t xml:space="preserve">CLR-CL-AL-25x45x15</t>
  </si>
  <si>
    <t xml:space="preserve">25x45x15</t>
  </si>
  <si>
    <t xml:space="preserve">CLR-CL-AL-25x50x15</t>
  </si>
  <si>
    <t xml:space="preserve">25x50x15</t>
  </si>
  <si>
    <t xml:space="preserve">CLR-CL-AL-26x45x12</t>
  </si>
  <si>
    <t xml:space="preserve">26x45x12</t>
  </si>
  <si>
    <t xml:space="preserve">CLR-CL-AL-27x45x12</t>
  </si>
  <si>
    <t xml:space="preserve">27x45x12</t>
  </si>
  <si>
    <t xml:space="preserve">CLR-CL-AL-28x48x15</t>
  </si>
  <si>
    <t xml:space="preserve">28x48x15</t>
  </si>
  <si>
    <t xml:space="preserve">CLR-CL-AL-28x50x15</t>
  </si>
  <si>
    <t xml:space="preserve">28x50x15</t>
  </si>
  <si>
    <t xml:space="preserve">CLR-CL-AL-28x50x18</t>
  </si>
  <si>
    <t xml:space="preserve">28x50x18</t>
  </si>
  <si>
    <t xml:space="preserve">CLR-CL-AL-30x50x12</t>
  </si>
  <si>
    <t xml:space="preserve">30x50x12</t>
  </si>
  <si>
    <t xml:space="preserve">CLR-CL-AL-30x55x15</t>
  </si>
  <si>
    <t xml:space="preserve">30x55x15</t>
  </si>
  <si>
    <t xml:space="preserve">CLR-CL-AL-32x60x15</t>
  </si>
  <si>
    <t xml:space="preserve">32x60x15</t>
  </si>
  <si>
    <t xml:space="preserve">CLR-CL-AL-35x60x15</t>
  </si>
  <si>
    <t xml:space="preserve">CLR-CL-AL-36x60x15</t>
  </si>
  <si>
    <t xml:space="preserve">36x60x15</t>
  </si>
  <si>
    <t xml:space="preserve">CLR-CL-AL-38x70x18</t>
  </si>
  <si>
    <t xml:space="preserve">38x70x18</t>
  </si>
  <si>
    <t xml:space="preserve">CLR-CL-AL-3x16x8</t>
  </si>
  <si>
    <t xml:space="preserve">3x16x8</t>
  </si>
  <si>
    <t xml:space="preserve">CLR-CL-AL-40x60x15</t>
  </si>
  <si>
    <t xml:space="preserve">40x60x15</t>
  </si>
  <si>
    <t xml:space="preserve">CLR-CL-AL-40x70x18</t>
  </si>
  <si>
    <t xml:space="preserve">CLR-CL-AL-45x80x22</t>
  </si>
  <si>
    <t xml:space="preserve">45x80x22</t>
  </si>
  <si>
    <t xml:space="preserve">CLR-CL-AL-4x18x8</t>
  </si>
  <si>
    <t xml:space="preserve">4x18x8</t>
  </si>
  <si>
    <t xml:space="preserve">CLR-CL-AL-50x85x22</t>
  </si>
  <si>
    <t xml:space="preserve">50x85x22</t>
  </si>
  <si>
    <t xml:space="preserve">CLR-CL-AL-55x85x10</t>
  </si>
  <si>
    <t xml:space="preserve">55x85x10</t>
  </si>
  <si>
    <t xml:space="preserve">CLR-CL-AL-55x95x22</t>
  </si>
  <si>
    <t xml:space="preserve">55x95x22</t>
  </si>
  <si>
    <t xml:space="preserve">CLR-CL-AL-5x20x8</t>
  </si>
  <si>
    <t xml:space="preserve">5x20x8</t>
  </si>
  <si>
    <t xml:space="preserve">CLR-CL-AL-60x95x22</t>
  </si>
  <si>
    <t xml:space="preserve">60x95x22</t>
  </si>
  <si>
    <t xml:space="preserve">CLR-CL-AL-6x20x8</t>
  </si>
  <si>
    <t xml:space="preserve">6x20x8</t>
  </si>
  <si>
    <t xml:space="preserve">CLR-CL-AL-70x115x22</t>
  </si>
  <si>
    <t xml:space="preserve">70x115x22</t>
  </si>
  <si>
    <t xml:space="preserve">CLR-CL-AL-80x130x32</t>
  </si>
  <si>
    <t xml:space="preserve">80x130x32</t>
  </si>
  <si>
    <t xml:space="preserve">CLR-CL-AL-8x20x8</t>
  </si>
  <si>
    <t xml:space="preserve">8x20x8</t>
  </si>
  <si>
    <t xml:space="preserve">CLR-CL-AL-8x25x10</t>
  </si>
  <si>
    <t xml:space="preserve">8x25x10</t>
  </si>
  <si>
    <t xml:space="preserve">CLR-CL-AL-8x25x8</t>
  </si>
  <si>
    <t xml:space="preserve">8x25x8</t>
  </si>
  <si>
    <t xml:space="preserve">CLR-CL-AL-8x30x10</t>
  </si>
  <si>
    <t xml:space="preserve">CLR-CL-AL-9x25x8</t>
  </si>
  <si>
    <t xml:space="preserve">9x25x8</t>
  </si>
  <si>
    <t xml:space="preserve">CLR-CL-S304-10x24x9</t>
  </si>
  <si>
    <t xml:space="preserve">10x24x9</t>
  </si>
  <si>
    <t xml:space="preserve">CLR-OP-ST-100x134x23</t>
  </si>
  <si>
    <t xml:space="preserve">45 steel</t>
  </si>
  <si>
    <t xml:space="preserve">Open type</t>
  </si>
  <si>
    <t xml:space="preserve">100x134x23</t>
  </si>
  <si>
    <t xml:space="preserve">CLR-OP-ST-10x24x9</t>
  </si>
  <si>
    <t xml:space="preserve">CLR-OP-ST-12x28x11</t>
  </si>
  <si>
    <t xml:space="preserve">12x28x11</t>
  </si>
  <si>
    <t xml:space="preserve">CLR-OP-ST-15x34x13</t>
  </si>
  <si>
    <t xml:space="preserve">15x34x13</t>
  </si>
  <si>
    <t xml:space="preserve">CLR-OP-ST-16x33x12</t>
  </si>
  <si>
    <t xml:space="preserve">16x33x12</t>
  </si>
  <si>
    <t xml:space="preserve">CLR-OP-ST-16x34x13</t>
  </si>
  <si>
    <t xml:space="preserve">16x34x13</t>
  </si>
  <si>
    <t xml:space="preserve">CLR-OP-ST-17x36x13</t>
  </si>
  <si>
    <t xml:space="preserve">17x36x13</t>
  </si>
  <si>
    <t xml:space="preserve">CLR-OP-ST-18x36x13</t>
  </si>
  <si>
    <t xml:space="preserve">18x36x13</t>
  </si>
  <si>
    <t xml:space="preserve">CLR-OP-ST-20x40x15</t>
  </si>
  <si>
    <t xml:space="preserve">CLR-OP-ST-22x42x15</t>
  </si>
  <si>
    <t xml:space="preserve">22x42x15</t>
  </si>
  <si>
    <t xml:space="preserve">CLR-OP-ST-25x45x15</t>
  </si>
  <si>
    <t xml:space="preserve">CLR-OP-ST-28x48x15</t>
  </si>
  <si>
    <t xml:space="preserve">CLR-OP-ST-30x54x15</t>
  </si>
  <si>
    <t xml:space="preserve">30x54x15</t>
  </si>
  <si>
    <t xml:space="preserve">CLR-OP-ST-32x54x15</t>
  </si>
  <si>
    <t xml:space="preserve">32x54x15</t>
  </si>
  <si>
    <t xml:space="preserve">CLR-OP-ST-35x57x15</t>
  </si>
  <si>
    <t xml:space="preserve">35x57x15</t>
  </si>
  <si>
    <t xml:space="preserve">CLR-OP-ST-38x60x15</t>
  </si>
  <si>
    <t xml:space="preserve">38x60x15</t>
  </si>
  <si>
    <t xml:space="preserve">CLR-OP-ST-40x60x15</t>
  </si>
  <si>
    <t xml:space="preserve">CLR-OP-ST-45x73x19</t>
  </si>
  <si>
    <t xml:space="preserve">45x73x19</t>
  </si>
  <si>
    <t xml:space="preserve">CLR-OP-ST-50x78x19</t>
  </si>
  <si>
    <t xml:space="preserve">50x78x19</t>
  </si>
  <si>
    <t xml:space="preserve">CLR-OP-ST-55x82x19</t>
  </si>
  <si>
    <t xml:space="preserve">55x82x19</t>
  </si>
  <si>
    <t xml:space="preserve">CLR-OP-ST-60x88x19</t>
  </si>
  <si>
    <t xml:space="preserve">60x88x19</t>
  </si>
  <si>
    <t xml:space="preserve">CLR-OP-ST-65x93x19</t>
  </si>
  <si>
    <t xml:space="preserve">65x93x19</t>
  </si>
  <si>
    <t xml:space="preserve">CLR-OP-ST-6x16x9</t>
  </si>
  <si>
    <t xml:space="preserve">6x16x9</t>
  </si>
  <si>
    <t xml:space="preserve">CLR-OP-ST-70x98x19</t>
  </si>
  <si>
    <t xml:space="preserve">70x98x19</t>
  </si>
  <si>
    <t xml:space="preserve">CLR-OP-ST-75x103x19</t>
  </si>
  <si>
    <t xml:space="preserve">75x103x19</t>
  </si>
  <si>
    <t xml:space="preserve">CLR-OP-ST-80x108x19</t>
  </si>
  <si>
    <t xml:space="preserve">80x108x19</t>
  </si>
  <si>
    <t xml:space="preserve">CLR-OP-ST-8x18x9</t>
  </si>
  <si>
    <t xml:space="preserve">8x18x9</t>
  </si>
  <si>
    <t xml:space="preserve">CLR-OP-ST-90x122x23</t>
  </si>
  <si>
    <t xml:space="preserve">90x122x23</t>
  </si>
  <si>
    <t xml:space="preserve">CLR-SP-AL-100x150x36</t>
  </si>
  <si>
    <t xml:space="preserve">Split </t>
  </si>
  <si>
    <t xml:space="preserve">CLR-SP-AL-10x30x10</t>
  </si>
  <si>
    <t xml:space="preserve">CLR-SP-AL-12x30x10</t>
  </si>
  <si>
    <t xml:space="preserve">CLR-SP-AL-13x30x10</t>
  </si>
  <si>
    <t xml:space="preserve">CLR-SP-AL-14x30x10</t>
  </si>
  <si>
    <t xml:space="preserve">CLR-SP-AL-14x35x12</t>
  </si>
  <si>
    <t xml:space="preserve">CLR-SP-AL-15x35x10</t>
  </si>
  <si>
    <t xml:space="preserve">CLR-SP-AL-15x35x12</t>
  </si>
  <si>
    <t xml:space="preserve">CLR-SP-AL-16x35x10</t>
  </si>
  <si>
    <t xml:space="preserve">CLR-SP-AL-16x35x12</t>
  </si>
  <si>
    <t xml:space="preserve">CLR-SP-AL-17x35x12</t>
  </si>
  <si>
    <t xml:space="preserve">CLR-SP-AL-18x40x12</t>
  </si>
  <si>
    <t xml:space="preserve">CLR-SP-AL-20x35x8</t>
  </si>
  <si>
    <t xml:space="preserve">20x35x8</t>
  </si>
  <si>
    <t xml:space="preserve">CLR-SP-AL-20x40x10</t>
  </si>
  <si>
    <t xml:space="preserve">CLR-SP-AL-20x40x12</t>
  </si>
  <si>
    <t xml:space="preserve">CLR-SP-AL-20x40x15</t>
  </si>
  <si>
    <t xml:space="preserve">CLR-SP-AL-20x45x15</t>
  </si>
  <si>
    <t xml:space="preserve">CLR-SP-AL-22x42x12</t>
  </si>
  <si>
    <t xml:space="preserve">CLR-SP-AL-25x45x12</t>
  </si>
  <si>
    <t xml:space="preserve">CLR-SP-AL-25x45x15</t>
  </si>
  <si>
    <t xml:space="preserve">CLR-SP-AL-25x50x15</t>
  </si>
  <si>
    <t xml:space="preserve">CLR-SP-AL-28x50x12</t>
  </si>
  <si>
    <t xml:space="preserve">28x50x12</t>
  </si>
  <si>
    <t xml:space="preserve">CLR-SP-AL-28x50x15</t>
  </si>
  <si>
    <t xml:space="preserve">CLR-SP-AL-30x50x12</t>
  </si>
  <si>
    <t xml:space="preserve">CLR-SP-AL-30x55x15</t>
  </si>
  <si>
    <t xml:space="preserve">CLR-SP-AL-30x60x20</t>
  </si>
  <si>
    <t xml:space="preserve">30x60x20</t>
  </si>
  <si>
    <t xml:space="preserve">CLR-SP-AL-32x60x15</t>
  </si>
  <si>
    <t xml:space="preserve">CLR-SP-AL-35x60x15</t>
  </si>
  <si>
    <t xml:space="preserve">CLR-SP-AL-38x70x18</t>
  </si>
  <si>
    <t xml:space="preserve">CLR-SP-AL-3x16x8</t>
  </si>
  <si>
    <t xml:space="preserve">CLR-SP-AL-40x70x18</t>
  </si>
  <si>
    <t xml:space="preserve">CLR-SP-AL-45x80x22</t>
  </si>
  <si>
    <t xml:space="preserve">CLR-SP-AL-4x18x8</t>
  </si>
  <si>
    <t xml:space="preserve">CLR-SP-AL-50x85x22</t>
  </si>
  <si>
    <t xml:space="preserve">CLR-SP-AL-55x95x22</t>
  </si>
  <si>
    <t xml:space="preserve">CLR-SP-AL-5x20x8</t>
  </si>
  <si>
    <t xml:space="preserve">CLR-SP-AL-60x95x22</t>
  </si>
  <si>
    <t xml:space="preserve">CLR-SP-AL-6x20x8</t>
  </si>
  <si>
    <t xml:space="preserve">CLR-SP-AL-70x115x22</t>
  </si>
  <si>
    <t xml:space="preserve">CLR-SP-AL-80x130x32</t>
  </si>
  <si>
    <t xml:space="preserve">CLR-SP-AL-8x25x8</t>
  </si>
  <si>
    <t xml:space="preserve">CLR-SS-AL-10x16x6-S2</t>
  </si>
  <si>
    <t xml:space="preserve">Set-screw type</t>
  </si>
  <si>
    <t xml:space="preserve">10x16x6</t>
  </si>
  <si>
    <t xml:space="preserve">CLR-SS-AL-10x16x8-S2</t>
  </si>
  <si>
    <t xml:space="preserve">10x16x8</t>
  </si>
  <si>
    <t xml:space="preserve">CLR-SS-AL-12x20x6-S2</t>
  </si>
  <si>
    <t xml:space="preserve">12x20x6</t>
  </si>
  <si>
    <t xml:space="preserve">CLR-SS-AL-12x20x8-S2</t>
  </si>
  <si>
    <t xml:space="preserve">12x20x8</t>
  </si>
  <si>
    <t xml:space="preserve">CLR-SS-AL-13x22x8-S2</t>
  </si>
  <si>
    <t xml:space="preserve">13x22x8</t>
  </si>
  <si>
    <t xml:space="preserve">CLR-SS-AL-14x21x8-S2</t>
  </si>
  <si>
    <t xml:space="preserve">14x21x8</t>
  </si>
  <si>
    <t xml:space="preserve">CLR-SS-AL-15x24x10-S2</t>
  </si>
  <si>
    <t xml:space="preserve">15x24x10</t>
  </si>
  <si>
    <t xml:space="preserve">CLR-SS-AL-16x26x10-S2</t>
  </si>
  <si>
    <t xml:space="preserve">16x26x10</t>
  </si>
  <si>
    <t xml:space="preserve">CLR-SS-AL-17x32x10-S2</t>
  </si>
  <si>
    <t xml:space="preserve">17x32x10</t>
  </si>
  <si>
    <t xml:space="preserve">CLR-SS-AL-18x32x10-S2</t>
  </si>
  <si>
    <t xml:space="preserve">18x32x10</t>
  </si>
  <si>
    <t xml:space="preserve">CLR-SS-AL-19x32x10-S2</t>
  </si>
  <si>
    <t xml:space="preserve">19x32x10</t>
  </si>
  <si>
    <t xml:space="preserve">CLR-SS-AL-20x32x10-S2</t>
  </si>
  <si>
    <t xml:space="preserve">20x32x10</t>
  </si>
  <si>
    <t xml:space="preserve">CLR-SS-AL-20x32x12-S2</t>
  </si>
  <si>
    <t xml:space="preserve">20x32x12</t>
  </si>
  <si>
    <t xml:space="preserve">CLR-SS-AL-22x35x10-S2</t>
  </si>
  <si>
    <t xml:space="preserve">22x35x10</t>
  </si>
  <si>
    <t xml:space="preserve">CLR-SS-AL-25x38x12-S2</t>
  </si>
  <si>
    <t xml:space="preserve">25x38x12</t>
  </si>
  <si>
    <t xml:space="preserve">CLR-SS-AL-26x38x12-S2</t>
  </si>
  <si>
    <t xml:space="preserve">26x38x12</t>
  </si>
  <si>
    <t xml:space="preserve">CLR-SS-AL-30x46x15-S2</t>
  </si>
  <si>
    <t xml:space="preserve">30x46x15</t>
  </si>
  <si>
    <t xml:space="preserve">CLR-SS-AL-32x46x15-S2</t>
  </si>
  <si>
    <t xml:space="preserve">32x46x15</t>
  </si>
  <si>
    <t xml:space="preserve">CLR-SS-AL-35x50x15-S2</t>
  </si>
  <si>
    <t xml:space="preserve">35x50x15</t>
  </si>
  <si>
    <t xml:space="preserve">CLR-SS-AL-3x7x6-S2</t>
  </si>
  <si>
    <t xml:space="preserve">3x7x6</t>
  </si>
  <si>
    <t xml:space="preserve">CLR-SS-AL-3x7x8-S2</t>
  </si>
  <si>
    <t xml:space="preserve">3x7x8</t>
  </si>
  <si>
    <t xml:space="preserve">CLR-SS-AL-40x60x20-S2</t>
  </si>
  <si>
    <t xml:space="preserve">40x60x20</t>
  </si>
  <si>
    <t xml:space="preserve">CLR-SS-AL-45x60x20-S2</t>
  </si>
  <si>
    <t xml:space="preserve">45x60x20</t>
  </si>
  <si>
    <t xml:space="preserve">CLR-SS-AL-4x8x6-S2</t>
  </si>
  <si>
    <t xml:space="preserve">4x8x6</t>
  </si>
  <si>
    <t xml:space="preserve">CLR-SS-AL-4x8x8-S2</t>
  </si>
  <si>
    <t xml:space="preserve">4x8x8</t>
  </si>
  <si>
    <t xml:space="preserve">CLR-SS-AL-50x70x20-S2</t>
  </si>
  <si>
    <t xml:space="preserve">50x70x20</t>
  </si>
  <si>
    <t xml:space="preserve">CLR-SS-AL-50x70x22-S2</t>
  </si>
  <si>
    <t xml:space="preserve">50x70x22</t>
  </si>
  <si>
    <t xml:space="preserve">CLR-SS-AL-5x11x6-S2</t>
  </si>
  <si>
    <t xml:space="preserve">5x11x6</t>
  </si>
  <si>
    <t xml:space="preserve">CLR-SS-AL-5x11x8-S2</t>
  </si>
  <si>
    <t xml:space="preserve">5x11x8</t>
  </si>
  <si>
    <t xml:space="preserve">CLR-SS-AL-6x12x6-S2</t>
  </si>
  <si>
    <t xml:space="preserve">6x12x6</t>
  </si>
  <si>
    <t xml:space="preserve">CLR-SS-AL-6x12x8-S2</t>
  </si>
  <si>
    <t xml:space="preserve">6x12x8</t>
  </si>
  <si>
    <t xml:space="preserve">CLR-SS-AL-8.05x12x8-S1</t>
  </si>
  <si>
    <t xml:space="preserve">8.05x12x8</t>
  </si>
  <si>
    <t xml:space="preserve">CLR-SS-AL-8x14x6-S2</t>
  </si>
  <si>
    <t xml:space="preserve">8x14x6</t>
  </si>
  <si>
    <t xml:space="preserve">CLR-SS-AL-8x14x8-S2-SI</t>
  </si>
  <si>
    <t xml:space="preserve">Double set screw screws fitted</t>
  </si>
  <si>
    <t xml:space="preserve">8x14x8</t>
  </si>
  <si>
    <t xml:space="preserve">CLR-SS-AL-8x14x8-S2-SL</t>
  </si>
  <si>
    <t xml:space="preserve">Double set screw screws loose</t>
  </si>
  <si>
    <t xml:space="preserve">CLR-TH-AL-10x26x10-F2H</t>
  </si>
  <si>
    <t xml:space="preserve">End face 2 holes</t>
  </si>
  <si>
    <t xml:space="preserve">Through-hole type</t>
  </si>
  <si>
    <t xml:space="preserve">10x26x10</t>
  </si>
  <si>
    <t xml:space="preserve">CLR-TH-AL-10x26x10-F4H</t>
  </si>
  <si>
    <t xml:space="preserve">End face 4 holes</t>
  </si>
  <si>
    <t xml:space="preserve">CLR-TH-AL-12x32x12-F2H</t>
  </si>
  <si>
    <t xml:space="preserve">12x32x12</t>
  </si>
  <si>
    <t xml:space="preserve">CLR-TH-AL-12x32x12-F4H</t>
  </si>
  <si>
    <t xml:space="preserve">CLR-TH-AL-15x35x12-F2H</t>
  </si>
  <si>
    <t xml:space="preserve">CLR-TH-AL-15x35x12-F4H</t>
  </si>
  <si>
    <t xml:space="preserve">CLR-TH-AL-16x40x12-F2H</t>
  </si>
  <si>
    <t xml:space="preserve">16x40x12</t>
  </si>
  <si>
    <t xml:space="preserve">CLR-TH-AL-16x40x12-F2HM6</t>
  </si>
  <si>
    <t xml:space="preserve">End face 2 holes M6</t>
  </si>
  <si>
    <t xml:space="preserve">CLR-TH-AL-16x40x12-F4H</t>
  </si>
  <si>
    <t xml:space="preserve">CLR-TH-AL-20x44x12-F2H</t>
  </si>
  <si>
    <t xml:space="preserve">20x44x12</t>
  </si>
  <si>
    <t xml:space="preserve">CLR-TH-AL-20x44x12-F2HM6</t>
  </si>
  <si>
    <t xml:space="preserve">CLR-TH-AL-20x44x12-F4H</t>
  </si>
  <si>
    <t xml:space="preserve">CLR-TH-AL-25x49x12-F2H</t>
  </si>
  <si>
    <t xml:space="preserve">25x49x12</t>
  </si>
  <si>
    <t xml:space="preserve">CLR-TH-AL-25x49x12-F4H</t>
  </si>
  <si>
    <t xml:space="preserve">CLR-TH-AL-30x54x15-F2H</t>
  </si>
  <si>
    <t xml:space="preserve">CLR-TH-AL-30x54x15-F4H</t>
  </si>
  <si>
    <t xml:space="preserve">CLR-TH-AL-35x59x15-F2H</t>
  </si>
  <si>
    <t xml:space="preserve">35x59x15</t>
  </si>
  <si>
    <t xml:space="preserve">CLR-TH-AL-35x59x15-F4H</t>
  </si>
  <si>
    <t xml:space="preserve">CLR-TH-AL-40x72x20-F2H</t>
  </si>
  <si>
    <t xml:space="preserve">40x72x20</t>
  </si>
  <si>
    <t xml:space="preserve">CLR-TH-AL-40x72x20-F4H</t>
  </si>
  <si>
    <t xml:space="preserve">CLR-TH-AL-50x86x25-F2H</t>
  </si>
  <si>
    <t xml:space="preserve">50x86x25</t>
  </si>
  <si>
    <t xml:space="preserve">CLR-TH-AL-50x86x25-F4H</t>
  </si>
  <si>
    <t xml:space="preserve">CLR-TH-AL-6x22x10-F2H</t>
  </si>
  <si>
    <t xml:space="preserve">6x22x10</t>
  </si>
  <si>
    <t xml:space="preserve">CLR-TH-AL-6x22x10-F4H</t>
  </si>
  <si>
    <t xml:space="preserve">CLR-TH-AL-8x24x10-F2H</t>
  </si>
  <si>
    <t xml:space="preserve">8x24x10</t>
  </si>
  <si>
    <t xml:space="preserve">CLR-TH-AL-8x24x10-F4H</t>
  </si>
  <si>
    <t xml:space="preserve">Round Aluminum Standoff, Female M4 Both Ends  [Bushings &amp; Collars]</t>
  </si>
  <si>
    <t xml:space="preserve">RL-040</t>
  </si>
  <si>
    <t xml:space="preserve">Steel-Backed Bronze Linear Bushing (LM / LMF)  [Bushings &amp; Collars]</t>
  </si>
  <si>
    <t xml:space="preserve">CUS-LM10LUU-10x19x55</t>
  </si>
  <si>
    <t xml:space="preserve">CUS-LM10LUU-10x19x55-NI</t>
  </si>
  <si>
    <t xml:space="preserve">CUS-LM10UU-10x19x29</t>
  </si>
  <si>
    <t xml:space="preserve">CUS-LM10UU-10x19x29-NI</t>
  </si>
  <si>
    <t xml:space="preserve">CUS-LM12LUU-12x21x57</t>
  </si>
  <si>
    <t xml:space="preserve">CUS-LM12LUU-12x21x57-NI</t>
  </si>
  <si>
    <t xml:space="preserve">CUS-LM12UU-12x21x30</t>
  </si>
  <si>
    <t xml:space="preserve">CUS-LM12UU-12x21x30-NI</t>
  </si>
  <si>
    <t xml:space="preserve">CUS-LM16LUU-16x28x70</t>
  </si>
  <si>
    <t xml:space="preserve">CUS-LM16LUU-16x28x70-NI</t>
  </si>
  <si>
    <t xml:space="preserve">CUS-LM16UU-16x28x37</t>
  </si>
  <si>
    <t xml:space="preserve">CUS-LM16UU-16x28x37-NI</t>
  </si>
  <si>
    <t xml:space="preserve">CUS-LM20LUU-20x32x80</t>
  </si>
  <si>
    <t xml:space="preserve">CUS-LM20LUU-20x32x80-NI</t>
  </si>
  <si>
    <t xml:space="preserve">CUS-LM20UU-20x32x42</t>
  </si>
  <si>
    <t xml:space="preserve">CUS-LM20UU-20x32x42-NI</t>
  </si>
  <si>
    <t xml:space="preserve">CUS-LM25LUU-25x40x112</t>
  </si>
  <si>
    <t xml:space="preserve">CUS-LM25LUU-25x40x112-NI</t>
  </si>
  <si>
    <t xml:space="preserve">CUS-LM25UU-25x40x59</t>
  </si>
  <si>
    <t xml:space="preserve">CUS-LM25UU-25x40x59-NI</t>
  </si>
  <si>
    <t xml:space="preserve">CUS-LM30LUU-30x45x123</t>
  </si>
  <si>
    <t xml:space="preserve">CUS-LM30LUU-30x45x123-NI</t>
  </si>
  <si>
    <t xml:space="preserve">CUS-LM30UU-30x45x64</t>
  </si>
  <si>
    <t xml:space="preserve">CUS-LM30UU-30x45x64-NI</t>
  </si>
  <si>
    <t xml:space="preserve">CUS-LM35LUU-35x52x135</t>
  </si>
  <si>
    <t xml:space="preserve">CUS-LM35LUU-35x52x135-NI</t>
  </si>
  <si>
    <t xml:space="preserve">CUS-LM35UU-35x52x70</t>
  </si>
  <si>
    <t xml:space="preserve">CUS-LM35UU-35x52x70-NI</t>
  </si>
  <si>
    <t xml:space="preserve">CUS-LM40LUU-40x60x154</t>
  </si>
  <si>
    <t xml:space="preserve">CUS-LM40LUU-40x60x154-NI</t>
  </si>
  <si>
    <t xml:space="preserve">CUS-LM40UU-40x60x80</t>
  </si>
  <si>
    <t xml:space="preserve">CUS-LM40UU-40x60x80-NI</t>
  </si>
  <si>
    <t xml:space="preserve">CUS-LM50LUU-50x80x192</t>
  </si>
  <si>
    <t xml:space="preserve">CUS-LM50LUU-50x80x192-NI</t>
  </si>
  <si>
    <t xml:space="preserve">CUS-LM50UU-50x80x100</t>
  </si>
  <si>
    <t xml:space="preserve">CUS-LM50UU-50x80x100-NI</t>
  </si>
  <si>
    <t xml:space="preserve">CUS-LM60LUU-60x90x211</t>
  </si>
  <si>
    <t xml:space="preserve">CUS-LM60LUU-60x90x211-NI</t>
  </si>
  <si>
    <t xml:space="preserve">CUS-LM60UU-60x90x110</t>
  </si>
  <si>
    <t xml:space="preserve">CUS-LM60UU-60x90x110-NI</t>
  </si>
  <si>
    <t xml:space="preserve">CUS-LM80UU-80x120x140</t>
  </si>
  <si>
    <t xml:space="preserve">CUS-LM80UU-80x120x140-NI</t>
  </si>
  <si>
    <t xml:space="preserve">CUS-LM8LUU-8x15x45</t>
  </si>
  <si>
    <t xml:space="preserve">CUS-LM8LUU-8x15x45-NI</t>
  </si>
  <si>
    <t xml:space="preserve">CUS-LM8UU-8x15x24</t>
  </si>
  <si>
    <t xml:space="preserve">CUS-LM8UU-8x15x24-NI</t>
  </si>
  <si>
    <t xml:space="preserve">CUS-LMF10LUU-10x19x55</t>
  </si>
  <si>
    <t xml:space="preserve">CUS-LMF10LUU-10x19x55-NI</t>
  </si>
  <si>
    <t xml:space="preserve">CUS-LMF10UU-10x19x29</t>
  </si>
  <si>
    <t xml:space="preserve">CUS-LMF10UU-10x19x29-NI</t>
  </si>
  <si>
    <t xml:space="preserve">CUS-LMF12LUU-12x21x57</t>
  </si>
  <si>
    <t xml:space="preserve">CUS-LMF12LUU-12x21x57-NI</t>
  </si>
  <si>
    <t xml:space="preserve">CUS-LMF12UU-12x21x30</t>
  </si>
  <si>
    <t xml:space="preserve">CUS-LMF12UU-12x21x30-NI</t>
  </si>
  <si>
    <t xml:space="preserve">CUS-LMF16LUU-16x28x70</t>
  </si>
  <si>
    <t xml:space="preserve">CUS-LMF16LUU-16x28x70-NI</t>
  </si>
  <si>
    <t xml:space="preserve">CUS-LMF16UU-16x28x37</t>
  </si>
  <si>
    <t xml:space="preserve">CUS-LMF16UU-16x28x37-NI</t>
  </si>
  <si>
    <t xml:space="preserve">CUS-LMF20LUU-20x32x80</t>
  </si>
  <si>
    <t xml:space="preserve">CUS-LMF20LUU-20x32x80-NI</t>
  </si>
  <si>
    <t xml:space="preserve">CUS-LMF20UU-20x32x42</t>
  </si>
  <si>
    <t xml:space="preserve">CUS-LMF20UU-20x32x42-NI</t>
  </si>
  <si>
    <t xml:space="preserve">CUS-LMF25LUU-25x40x112</t>
  </si>
  <si>
    <t xml:space="preserve">CUS-LMF25LUU-25x40x112-NI</t>
  </si>
  <si>
    <t xml:space="preserve">CUS-LMF25UU-25x40x59</t>
  </si>
  <si>
    <t xml:space="preserve">CUS-LMF25UU-25x40x59-NI</t>
  </si>
  <si>
    <t xml:space="preserve">CUS-LMF30LUU-30x45x123</t>
  </si>
  <si>
    <t xml:space="preserve">CUS-LMF30LUU-30x45x123-NI</t>
  </si>
  <si>
    <t xml:space="preserve">CUS-LMF30UU-30x45x64</t>
  </si>
  <si>
    <t xml:space="preserve">CUS-LMF30UU-30x45x64-NI</t>
  </si>
  <si>
    <t xml:space="preserve">CUS-LMF35LUU-35x52x135</t>
  </si>
  <si>
    <t xml:space="preserve">CUS-LMF35LUU-35x52x135-NI</t>
  </si>
  <si>
    <t xml:space="preserve">CUS-LMF35UU-35x52x70</t>
  </si>
  <si>
    <t xml:space="preserve">CUS-LMF35UU-35x52x70-NI</t>
  </si>
  <si>
    <t xml:space="preserve">CUS-LMF40LUU-40x60x154</t>
  </si>
  <si>
    <t xml:space="preserve">CUS-LMF40LUU-40x60x154-NI</t>
  </si>
  <si>
    <t xml:space="preserve">CUS-LMF40UU-40x60x80</t>
  </si>
  <si>
    <t xml:space="preserve">CUS-LMF40UU-40x60x80-NI</t>
  </si>
  <si>
    <t xml:space="preserve">CUS-LMF50LUU-50x80x192</t>
  </si>
  <si>
    <t xml:space="preserve">CUS-LMF50LUU-50x80x192-NI</t>
  </si>
  <si>
    <t xml:space="preserve">CUS-LMF50UU-50x80x100</t>
  </si>
  <si>
    <t xml:space="preserve">CUS-LMF50UU-50x80x100-NI</t>
  </si>
  <si>
    <t xml:space="preserve">CUS-LMF60LUU-60x90x211</t>
  </si>
  <si>
    <t xml:space="preserve">CUS-LMF60LUU-60x90x211-NI</t>
  </si>
  <si>
    <t xml:space="preserve">CUS-LMF60UU-60x90x110</t>
  </si>
  <si>
    <t xml:space="preserve">CUS-LMF60UU-60x90x110-NI</t>
  </si>
  <si>
    <t xml:space="preserve">CUS-LMF80UU-80x120x140</t>
  </si>
  <si>
    <t xml:space="preserve">LMF80UU</t>
  </si>
  <si>
    <t xml:space="preserve">CUS-LMF80UU-80x120x140-NI</t>
  </si>
  <si>
    <t xml:space="preserve">CUS-LMF8LUU-8x15x45-NI</t>
  </si>
  <si>
    <t xml:space="preserve">CUS-LMF8UU-8x15x24</t>
  </si>
  <si>
    <t xml:space="preserve">CUS-LMF8UU-8x15x24-NI</t>
  </si>
  <si>
    <t xml:space="preserve">Ball Screw Bearing Spacer Sleeve  [Bushings &amp; Collars]</t>
  </si>
  <si>
    <t xml:space="preserve">RL-051-GD5.5</t>
  </si>
  <si>
    <t xml:space="preserve">RL-051-GD9.5</t>
  </si>
  <si>
    <t xml:space="preserve">9.5</t>
  </si>
  <si>
    <t xml:space="preserve">Polyurethane Bumper Pad  [Bushings &amp; Collars]</t>
  </si>
  <si>
    <t xml:space="preserve">6x16x15</t>
  </si>
  <si>
    <t xml:space="preserve">TB-017-6x16x15</t>
  </si>
  <si>
    <t xml:space="preserve">TB-017-8x18x5</t>
  </si>
  <si>
    <t xml:space="preserve">8x18x5</t>
  </si>
  <si>
    <t xml:space="preserve">Metal Shaft Collar with Side Set Screw  [Bushings &amp; Collars]</t>
  </si>
  <si>
    <t xml:space="preserve">Side Hole</t>
  </si>
  <si>
    <t xml:space="preserve">Black oxide</t>
  </si>
  <si>
    <t xml:space="preserve">10x20x10</t>
  </si>
  <si>
    <t xml:space="preserve">SLV-BO-10x20x10-M5-SI</t>
  </si>
  <si>
    <t xml:space="preserve">SLV-BO-10x20x10-M5-SL</t>
  </si>
  <si>
    <t xml:space="preserve">SLV-BO-3.17x8x5-M3-SI</t>
  </si>
  <si>
    <t xml:space="preserve">3.17x8x5</t>
  </si>
  <si>
    <t xml:space="preserve">SLV-BO-3.17x8x5-M3-SL</t>
  </si>
  <si>
    <t xml:space="preserve">SLV-BO-4x9x5-M3-NS</t>
  </si>
  <si>
    <t xml:space="preserve">no screws </t>
  </si>
  <si>
    <t xml:space="preserve">4x9x5</t>
  </si>
  <si>
    <t xml:space="preserve">SLV-BO-4x9x5-M3-SI</t>
  </si>
  <si>
    <t xml:space="preserve">SLV-BO-4x9x5-M3-SL</t>
  </si>
  <si>
    <t xml:space="preserve">SLV-BO-5x10x5-M3-NS</t>
  </si>
  <si>
    <t xml:space="preserve">SLV-BO-5x10x5-M3-SI</t>
  </si>
  <si>
    <t xml:space="preserve">SLV-BO-5x10x5-M3-SL</t>
  </si>
  <si>
    <t xml:space="preserve">SLV-BO-6x11x5-M3-NS</t>
  </si>
  <si>
    <t xml:space="preserve">6x11x5</t>
  </si>
  <si>
    <t xml:space="preserve">SLV-BO-6x11x5-M3-SI</t>
  </si>
  <si>
    <t xml:space="preserve">SLV-BO-6x11x5-M3-SL</t>
  </si>
  <si>
    <t xml:space="preserve">SLV-BO-7x12x5-M3-NS</t>
  </si>
  <si>
    <t xml:space="preserve">7x12x5</t>
  </si>
  <si>
    <t xml:space="preserve">SLV-BO-7x12x5-M3-SI</t>
  </si>
  <si>
    <t xml:space="preserve">SLV-BO-7x12x5-M3-SL</t>
  </si>
  <si>
    <t xml:space="preserve">SLV-BO-8x13x5-M3-NS</t>
  </si>
  <si>
    <t xml:space="preserve">8x13x5</t>
  </si>
  <si>
    <t xml:space="preserve">SLV-BO-8x13x5-M3-SI</t>
  </si>
  <si>
    <t xml:space="preserve">SLV-BO-8x13x5-M3-SL</t>
  </si>
  <si>
    <t xml:space="preserve">SLV-BO-8x14x7-M4-GBK</t>
  </si>
  <si>
    <t xml:space="preserve">Glossy black</t>
  </si>
  <si>
    <t xml:space="preserve">8x14x7</t>
  </si>
  <si>
    <t xml:space="preserve">SLV-BO-8x14x7-M4-NS</t>
  </si>
  <si>
    <t xml:space="preserve">SLV-BO-8x14x7-M4-SI</t>
  </si>
  <si>
    <t xml:space="preserve">SLV-BO-8x14x7-M4-SL</t>
  </si>
  <si>
    <t xml:space="preserve">SLV-GB884-10x20x10-SI</t>
  </si>
  <si>
    <t xml:space="preserve">GB884 locking collar</t>
  </si>
  <si>
    <t xml:space="preserve">SLV-GB884-10x20x10-SL</t>
  </si>
  <si>
    <t xml:space="preserve">SLV-GB884-12x21x8.5-NS</t>
  </si>
  <si>
    <t xml:space="preserve">12x21x8.5</t>
  </si>
  <si>
    <t xml:space="preserve">SLV-GB884-12x21x8.5-SI</t>
  </si>
  <si>
    <t xml:space="preserve">SLV-GB884-12x21x8.5-SL</t>
  </si>
  <si>
    <t xml:space="preserve">SLV-GB884-12x22x9-M5-SI</t>
  </si>
  <si>
    <t xml:space="preserve">12x22x9</t>
  </si>
  <si>
    <t xml:space="preserve">SLV-GB884-12x22x9-M5-SL</t>
  </si>
  <si>
    <t xml:space="preserve">SLV-NI-10x20x10-M5-NS</t>
  </si>
  <si>
    <t xml:space="preserve">Nickel-plated</t>
  </si>
  <si>
    <t xml:space="preserve">SLV-NI-10x20x10-M5-SI</t>
  </si>
  <si>
    <t xml:space="preserve">SLV-NI-10x20x10-M5-SL</t>
  </si>
  <si>
    <t xml:space="preserve">SLV-NI-10x20x10-M6-SI</t>
  </si>
  <si>
    <t xml:space="preserve">SLV-NI-10x20x10-M6-SL</t>
  </si>
  <si>
    <t xml:space="preserve">SLV-NI-12x18x12-M5</t>
  </si>
  <si>
    <t xml:space="preserve">SLV-NI-2x7x5-M3-NS</t>
  </si>
  <si>
    <t xml:space="preserve">2x7x5</t>
  </si>
  <si>
    <t xml:space="preserve">SLV-NI-2x7x5-M3-SI</t>
  </si>
  <si>
    <t xml:space="preserve">SLV-NI-2x7x5-M3-SL</t>
  </si>
  <si>
    <t xml:space="preserve">SLV-NI-3x8x4-M3-NS</t>
  </si>
  <si>
    <t xml:space="preserve">SLV-NI-3x8x4-M3-SI</t>
  </si>
  <si>
    <t xml:space="preserve">SLV-NI-3x8x4-M3-SL</t>
  </si>
  <si>
    <t xml:space="preserve">SLV-NI-3x8x5-M3</t>
  </si>
  <si>
    <t xml:space="preserve">3x8x5</t>
  </si>
  <si>
    <t xml:space="preserve">SLV-NI-4x9x5-M3</t>
  </si>
  <si>
    <t xml:space="preserve">SLV-NI-5x10x5-M3-NS</t>
  </si>
  <si>
    <t xml:space="preserve">SLV-NI-5x10x5-M3-SI</t>
  </si>
  <si>
    <t xml:space="preserve">SLV-NI-5x10x5-M3-SL</t>
  </si>
  <si>
    <t xml:space="preserve">SLV-NI-6x10x5-M3-KN</t>
  </si>
  <si>
    <t xml:space="preserve">Knurled</t>
  </si>
  <si>
    <t xml:space="preserve">6x10x5</t>
  </si>
  <si>
    <t xml:space="preserve">SLV-NI-6x11x5-M3-NS</t>
  </si>
  <si>
    <t xml:space="preserve">SLV-NI-6x11x5-M3-SI</t>
  </si>
  <si>
    <t xml:space="preserve">SLV-NI-6x11x5-M3-SL</t>
  </si>
  <si>
    <t xml:space="preserve">SLV-NI-7x12x5-M3</t>
  </si>
  <si>
    <t xml:space="preserve">SLV-NI-8x13x5-M3-NS</t>
  </si>
  <si>
    <t xml:space="preserve">SLV-NI-8x13x5-M3-SI</t>
  </si>
  <si>
    <t xml:space="preserve">SLV-NI-8x13x5-M3-SL</t>
  </si>
  <si>
    <t xml:space="preserve">SLV-NI-8x14x7-M4-NS</t>
  </si>
  <si>
    <t xml:space="preserve">SLV-NI-8x14x7-M4-SI</t>
  </si>
  <si>
    <t xml:space="preserve">SLV-NI-8x14x7-M4-SL</t>
  </si>
  <si>
    <t xml:space="preserve">SLV-S303-10x17x8-M4</t>
  </si>
  <si>
    <t xml:space="preserve">10x17x8</t>
  </si>
  <si>
    <t xml:space="preserve">SLV-S303-10x17x8-M5</t>
  </si>
  <si>
    <t xml:space="preserve">SLV-S303-10x20x10-M5</t>
  </si>
  <si>
    <t xml:space="preserve">SLV-S303-12x22x12-M6-NS</t>
  </si>
  <si>
    <t xml:space="preserve">12x22x12</t>
  </si>
  <si>
    <t xml:space="preserve">SLV-S303-12x22x12-M6-SI</t>
  </si>
  <si>
    <t xml:space="preserve">SLV-S303-12x22x12-M6-SL</t>
  </si>
  <si>
    <t xml:space="preserve">SLV-S303-16x28x12-M6</t>
  </si>
  <si>
    <t xml:space="preserve">16x28x12</t>
  </si>
  <si>
    <t xml:space="preserve">SLV-S303-20x32x14-M6-NS</t>
  </si>
  <si>
    <t xml:space="preserve">20x32x14</t>
  </si>
  <si>
    <t xml:space="preserve">SLV-S303-20x32x14-M6-SI</t>
  </si>
  <si>
    <t xml:space="preserve">SLV-S303-20x32x14-M6-SL</t>
  </si>
  <si>
    <t xml:space="preserve">SLV-S303-25x40x16-M8</t>
  </si>
  <si>
    <t xml:space="preserve">25x40x16</t>
  </si>
  <si>
    <t xml:space="preserve">SLV-S303-2x7x7-M4-SI</t>
  </si>
  <si>
    <t xml:space="preserve">2x7x7</t>
  </si>
  <si>
    <t xml:space="preserve">SLV-S303-2x7x7-M4-SL</t>
  </si>
  <si>
    <t xml:space="preserve">SLV-S303-3x8x7-M4-SI</t>
  </si>
  <si>
    <t xml:space="preserve">3x8x7</t>
  </si>
  <si>
    <t xml:space="preserve">SLV-S303-3x8x7-M4-SL</t>
  </si>
  <si>
    <t xml:space="preserve">SLV-S303-4.2x9x7-M4-SI</t>
  </si>
  <si>
    <t xml:space="preserve">4.2x9x7</t>
  </si>
  <si>
    <t xml:space="preserve">SLV-S303-4.2x9x7-M4-SL</t>
  </si>
  <si>
    <t xml:space="preserve">SLV-S303-4x9x7-M4-P2</t>
  </si>
  <si>
    <t xml:space="preserve">4x9x7</t>
  </si>
  <si>
    <t xml:space="preserve">SLV-S303-5x10x7-M4-P2</t>
  </si>
  <si>
    <t xml:space="preserve">SLV-S303-6x12x7-M4-SI</t>
  </si>
  <si>
    <t xml:space="preserve">6x12x7</t>
  </si>
  <si>
    <t xml:space="preserve">SLV-S303-6x12x7-M4-SL</t>
  </si>
  <si>
    <t xml:space="preserve">SLV-S303-6x14x7-M4-NS</t>
  </si>
  <si>
    <t xml:space="preserve">6x14x7</t>
  </si>
  <si>
    <t xml:space="preserve">SLV-S303-6x14x7-M4-SI</t>
  </si>
  <si>
    <t xml:space="preserve">SLV-S303-6x14x7-M4-SL</t>
  </si>
  <si>
    <t xml:space="preserve">SLV-S303-8x14x7-M4</t>
  </si>
  <si>
    <t xml:space="preserve">SLV-S303-8x16x8-M4</t>
  </si>
  <si>
    <t xml:space="preserve">8x16x8</t>
  </si>
  <si>
    <t xml:space="preserve">SLV-S303-8x16x8-M5</t>
  </si>
  <si>
    <t xml:space="preserve">SLV-ZN-10x20x10-M5-SI</t>
  </si>
  <si>
    <t xml:space="preserve">Blue-white zinc</t>
  </si>
  <si>
    <t xml:space="preserve">SLV-ZN-10x20x10-M5-SL</t>
  </si>
  <si>
    <t xml:space="preserve">SLV-ZN-12x22x12-M6-SI</t>
  </si>
  <si>
    <t xml:space="preserve">SLV-ZN-12x22x12-M6-SL</t>
  </si>
  <si>
    <t xml:space="preserve">20mm Stepper Micro Lead Screw Slide  [Motors]</t>
  </si>
  <si>
    <t xml:space="preserve">48-SM20-21L-T</t>
  </si>
  <si>
    <t xml:space="preserve">MT-021-48-SM20-21L-T</t>
  </si>
  <si>
    <t xml:space="preserve">MT-021-SM20-35L-T</t>
  </si>
  <si>
    <t xml:space="preserve">SM20-35L-T</t>
  </si>
  <si>
    <t xml:space="preserve">NEMA17 42mm Stepper Motor (all models)  [Motors]</t>
  </si>
  <si>
    <t xml:space="preserve">Wiring</t>
  </si>
  <si>
    <t xml:space="preserve">Shaft Output</t>
  </si>
  <si>
    <t xml:space="preserve">Shaft Length (mm)</t>
  </si>
  <si>
    <t xml:space="preserve">17HS4401 (body 40mm 1.5A 0.45N·m)</t>
  </si>
  <si>
    <t xml:space="preserve">Cable out</t>
  </si>
  <si>
    <t xml:space="preserve">Single shaft</t>
  </si>
  <si>
    <t xml:space="preserve">17HS4401-20-OUT</t>
  </si>
  <si>
    <t xml:space="preserve">17HS4401-20-SDP</t>
  </si>
  <si>
    <t xml:space="preserve">Socket with Dupont cable</t>
  </si>
  <si>
    <t xml:space="preserve">17HS4401-20-SXH</t>
  </si>
  <si>
    <t xml:space="preserve">Socket with XH254 cable</t>
  </si>
  <si>
    <t xml:space="preserve">17HS4401-24-OUT</t>
  </si>
  <si>
    <t xml:space="preserve">17HS4401-24-SDP</t>
  </si>
  <si>
    <t xml:space="preserve">17HS4401-24-SXH</t>
  </si>
  <si>
    <t xml:space="preserve">17HS6001-OUT</t>
  </si>
  <si>
    <t xml:space="preserve">17HS6001 (body 60mm 1.5A 0.8N·m)</t>
  </si>
  <si>
    <t xml:space="preserve">17HS6001-SDP</t>
  </si>
  <si>
    <t xml:space="preserve">17HS6001-SXH</t>
  </si>
  <si>
    <t xml:space="preserve">17HS6002-27B</t>
  </si>
  <si>
    <t xml:space="preserve">17HS6002-27B (1.5A)</t>
  </si>
  <si>
    <t xml:space="preserve">17HS8401</t>
  </si>
  <si>
    <t xml:space="preserve">17HS8401 (body 40mm)</t>
  </si>
  <si>
    <t xml:space="preserve">17HS8402-OUT</t>
  </si>
  <si>
    <t xml:space="preserve">17HS8402 (body 48mm 1.3A 0.55N·m)</t>
  </si>
  <si>
    <t xml:space="preserve">17HS8402-SDP</t>
  </si>
  <si>
    <t xml:space="preserve">17HS8402-SXH</t>
  </si>
  <si>
    <t xml:space="preserve">42BYGH34-1304B-DS-SDP</t>
  </si>
  <si>
    <t xml:space="preserve">42BYGH34-1304B (body 34mm 1.3A 0.30N·m)</t>
  </si>
  <si>
    <t xml:space="preserve">Dual shaft</t>
  </si>
  <si>
    <t xml:space="preserve">42BYGH48-2A-OUT</t>
  </si>
  <si>
    <t xml:space="preserve">42BYGH48 (body 48mm 2A 0.48N·m)</t>
  </si>
  <si>
    <t xml:space="preserve">42BYGH48-DS-SDP</t>
  </si>
  <si>
    <t xml:space="preserve">42BYGH48 (body 48mm)</t>
  </si>
  <si>
    <t xml:space="preserve">42BYGH48-DS-SXH</t>
  </si>
  <si>
    <t xml:space="preserve">42BYGH48-P4170-OUT</t>
  </si>
  <si>
    <t xml:space="preserve">42BYGH48-P4170 (body 48mm)</t>
  </si>
  <si>
    <t xml:space="preserve">42BYGH48-P4170-SDP</t>
  </si>
  <si>
    <t xml:space="preserve">42BYGH48-P4170-SXH</t>
  </si>
  <si>
    <t xml:space="preserve">NEMA23 Lead Screw Stepper 23HD56001Y-21B T8  [Motors]</t>
  </si>
  <si>
    <t xml:space="preserve">2.5m cable</t>
  </si>
  <si>
    <t xml:space="preserve">TS-001-2.5MX</t>
  </si>
  <si>
    <t xml:space="preserve">TS-001-5MX</t>
  </si>
  <si>
    <t xml:space="preserve">5m cable</t>
  </si>
  <si>
    <t xml:space="preserve">TS-001-DJ</t>
  </si>
  <si>
    <t xml:space="preserve">motor</t>
  </si>
  <si>
    <t xml:space="preserve">NEMA23 57mm Stepper Motor (CNC)  [Motors]</t>
  </si>
  <si>
    <t xml:space="preserve">Body Length (mm)</t>
  </si>
  <si>
    <t xml:space="preserve">Shaft Diameter (mm)</t>
  </si>
  <si>
    <t xml:space="preserve">1.0N.m</t>
  </si>
  <si>
    <t xml:space="preserve">MT-014-JS56-1.0N.M-ZJ8-ZZ18</t>
  </si>
  <si>
    <t xml:space="preserve">MT-014-JS76-2N.M-ZJ6.35-ZZ21</t>
  </si>
  <si>
    <t xml:space="preserve">2N.m</t>
  </si>
  <si>
    <t xml:space="preserve">MT-014-JS76-2N.M-ZJ8-ZZ21</t>
  </si>
  <si>
    <t xml:space="preserve">MT-014-JS76-2N.M-ZJ8-ZZ37</t>
  </si>
  <si>
    <t xml:space="preserve">NEMA8 Stepper Motor (all models)  [Motors]</t>
  </si>
  <si>
    <t xml:space="preserve">8HY0001-7SK (body 30mm 0.6A hollow shaft)</t>
  </si>
  <si>
    <t xml:space="preserve">8HY0001-7SK</t>
  </si>
  <si>
    <t xml:space="preserve">8HY2001-10</t>
  </si>
  <si>
    <t xml:space="preserve">8HY2001-10 (body 33mm 0.6A)</t>
  </si>
  <si>
    <t xml:space="preserve">8HY2001-20</t>
  </si>
  <si>
    <t xml:space="preserve">8HY2001-20 (body 33mm 0.6A)</t>
  </si>
  <si>
    <t xml:space="preserve">RS-775 High-Torque DC Motor  [Motors]</t>
  </si>
  <si>
    <t xml:space="preserve">MT-028</t>
  </si>
  <si>
    <t xml:space="preserve">T8 Lead Screw Stepper 17HS4401  [Motors]</t>
  </si>
  <si>
    <t xml:space="preserve">lead 2mm L 300mm cable type</t>
  </si>
  <si>
    <t xml:space="preserve">TS-003-DC2-CD300-CXK</t>
  </si>
  <si>
    <t xml:space="preserve">TS-003-DC2-CD300-CZK-+DBX</t>
  </si>
  <si>
    <t xml:space="preserve">lead 2mm L 300mm socket type + Dupont cable</t>
  </si>
  <si>
    <t xml:space="preserve">TS-003-DC2-CD300-CZK-+xH254X</t>
  </si>
  <si>
    <t xml:space="preserve">lead 2mm L 300mm socket type +XH254 cable</t>
  </si>
  <si>
    <t xml:space="preserve">TS-003-DC2-CD320-CXK</t>
  </si>
  <si>
    <t xml:space="preserve">lead 2mm L 320mm cable type</t>
  </si>
  <si>
    <t xml:space="preserve">TS-003-DC2-CD320-CZK-+DBX</t>
  </si>
  <si>
    <t xml:space="preserve">lead 2mm L 320mm socket type + Dupont cable</t>
  </si>
  <si>
    <t xml:space="preserve">TS-003-DC2-CD320-CZK-+xH254X</t>
  </si>
  <si>
    <t xml:space="preserve">lead 2mm L 320mm socket type +XH254 cable</t>
  </si>
  <si>
    <t xml:space="preserve">TS-003-DC2-CD400-CXK</t>
  </si>
  <si>
    <t xml:space="preserve">lead 2mm L 400mm cable type</t>
  </si>
  <si>
    <t xml:space="preserve">TS-003-DC2-CD400-CZK-+DBX</t>
  </si>
  <si>
    <t xml:space="preserve">lead 2mm L 400mm socket type + Dupont cable</t>
  </si>
  <si>
    <t xml:space="preserve">TS-003-DC2-CD400-CZK-+xH254X</t>
  </si>
  <si>
    <t xml:space="preserve">lead 2mm L 400mm socket type +XH254 cable</t>
  </si>
  <si>
    <t xml:space="preserve">TS-003-DC4-CD300-CZK-+DBX</t>
  </si>
  <si>
    <t xml:space="preserve">lead 4mm L 300mm socket type + Dupont cable</t>
  </si>
  <si>
    <t xml:space="preserve">TS-003-DC4-CD300-CZK-+xH254X</t>
  </si>
  <si>
    <t xml:space="preserve">lead 4mm L 300mm socket type +XH254 cable</t>
  </si>
  <si>
    <t xml:space="preserve">TS-003-DC8-CD200-CZK-+DBX</t>
  </si>
  <si>
    <t xml:space="preserve">lead 8mm L 200mm socket type + Dupont cable</t>
  </si>
  <si>
    <t xml:space="preserve">TS-003-DC8-CD200-CZK-+xH254X</t>
  </si>
  <si>
    <t xml:space="preserve">lead 8mm L 200mm socket type +XH254 cable</t>
  </si>
  <si>
    <t xml:space="preserve">TS-003-DC8-CD300-CXK</t>
  </si>
  <si>
    <t xml:space="preserve">lead 8mm L 300mm cable type</t>
  </si>
  <si>
    <t xml:space="preserve">TS-003-DC8-CD300-CZK-+DBX</t>
  </si>
  <si>
    <t xml:space="preserve">lead 8mm L 300mm socket type + Dupont cable</t>
  </si>
  <si>
    <t xml:space="preserve">TS-003-DC8-CD300-CZK-+xH254X</t>
  </si>
  <si>
    <t xml:space="preserve">lead 8mm L 300mm socket type +XH254 cable</t>
  </si>
  <si>
    <t xml:space="preserve">TS-003-DC8-CD320-CXK</t>
  </si>
  <si>
    <t xml:space="preserve">lead 8mm L 320mm cable type</t>
  </si>
  <si>
    <t xml:space="preserve">TS-003-DC8-CD320-CZK-+DBX</t>
  </si>
  <si>
    <t xml:space="preserve">lead 8mm L 320mm socket type + Dupont cable</t>
  </si>
  <si>
    <t xml:space="preserve">TS-003-DC8-CD320-CZK-+xH254X</t>
  </si>
  <si>
    <t xml:space="preserve">lead 8mm L 320mm socket type +XH254 cable</t>
  </si>
  <si>
    <t xml:space="preserve">TS-003-DC8-CD350-CZK-+DBX</t>
  </si>
  <si>
    <t xml:space="preserve">lead 8mm L 350mm socket type + Dupont cable</t>
  </si>
  <si>
    <t xml:space="preserve">TS-003-DC8-CD350-CZK-+xH254X</t>
  </si>
  <si>
    <t xml:space="preserve">lead 8mm L 350mm socket type +XH254 cable</t>
  </si>
  <si>
    <t xml:space="preserve">TS-003-DC8-CD400-CXK</t>
  </si>
  <si>
    <t xml:space="preserve">lead 8mm L 400mm cable type</t>
  </si>
  <si>
    <t xml:space="preserve">TS-003-DC8-CD400-CZK-+DBX</t>
  </si>
  <si>
    <t xml:space="preserve">lead 8mm L 400mm socket type + Dupont cable</t>
  </si>
  <si>
    <t xml:space="preserve">TS-003-DC8-CD400-CZK-+xH254X</t>
  </si>
  <si>
    <t xml:space="preserve">lead 8mm L 400mm socket type +XH254 cable</t>
  </si>
  <si>
    <t xml:space="preserve">T8 Lead Screw Stepper 42BYGH48  [Motors]</t>
  </si>
  <si>
    <t xml:space="preserve">Dupont cable</t>
  </si>
  <si>
    <t xml:space="preserve">TS-004-+DBX</t>
  </si>
  <si>
    <t xml:space="preserve">TS-004-+xH254X</t>
  </si>
  <si>
    <t xml:space="preserve">XH254 cable</t>
  </si>
  <si>
    <t xml:space="preserve">Micro Stepper Lead Screw Slide  [Motors]</t>
  </si>
  <si>
    <t xml:space="preserve">15-SM10-36L-P2.5</t>
  </si>
  <si>
    <t xml:space="preserve">TS-002-15-SM10-36L-P2.5</t>
  </si>
  <si>
    <t xml:space="preserve">TS-002-44-SM15-80L-T</t>
  </si>
  <si>
    <t xml:space="preserve">44-SM15-80L-T</t>
  </si>
  <si>
    <t xml:space="preserve">20mm Planetary Gear Stepper (with Hall sensor)  [Motor Accessories &amp; Drivers]</t>
  </si>
  <si>
    <t xml:space="preserve">MT-025</t>
  </si>
  <si>
    <t xml:space="preserve">NEMA17 / NEMA23 Stepper Damper  [Motor Accessories &amp; Drivers]</t>
  </si>
  <si>
    <t xml:space="preserve">Used 42 stepper damper A type</t>
  </si>
  <si>
    <t xml:space="preserve">MT-006-ESFQX-42BJDJJZP-AK</t>
  </si>
  <si>
    <t xml:space="preserve">MT-006-ESFQX-42BJDJJZP-BK-NS</t>
  </si>
  <si>
    <t xml:space="preserve">Used 42 stepper damper B type no screws</t>
  </si>
  <si>
    <t xml:space="preserve">MT-006-ESFQX-42BJDJJZP-BK-S</t>
  </si>
  <si>
    <t xml:space="preserve">Used 42 stepper damper B type with screws</t>
  </si>
  <si>
    <t xml:space="preserve">MT-006-ESFQX-42BJDJJZP-CK</t>
  </si>
  <si>
    <t xml:space="preserve">Used 42 stepper damper C type</t>
  </si>
  <si>
    <t xml:space="preserve">MT-006-ESFQX-42BJDJJZP-DK</t>
  </si>
  <si>
    <t xml:space="preserve">Used 42 stepper damper D type</t>
  </si>
  <si>
    <t xml:space="preserve">MT-006-ESFQX-42BJDJJZP-EK</t>
  </si>
  <si>
    <t xml:space="preserve">Used 42 stepper damper E type</t>
  </si>
  <si>
    <t xml:space="preserve">MT-006-ESFQX-42BJDJJZP-FK</t>
  </si>
  <si>
    <t xml:space="preserve">Used 42 stepper damper F type</t>
  </si>
  <si>
    <t xml:space="preserve">MT-006-ESFQX-42BJDJJZP-GK</t>
  </si>
  <si>
    <t xml:space="preserve">Used 42 stepper damper G type</t>
  </si>
  <si>
    <t xml:space="preserve">MT-006-ESFQX-42BJDJJZP-HK</t>
  </si>
  <si>
    <t xml:space="preserve">Used 42 stepper damper H type</t>
  </si>
  <si>
    <t xml:space="preserve">MT-006-ESFQX-42BJDJJZP-IK</t>
  </si>
  <si>
    <t xml:space="preserve">Used 42 stepper damper I type</t>
  </si>
  <si>
    <t xml:space="preserve">MT-006-ESFQX-42BJDJJZP-JK</t>
  </si>
  <si>
    <t xml:space="preserve">Used 42 stepper damper J type</t>
  </si>
  <si>
    <t xml:space="preserve">MT-006-ESFQX-42BJDJJZP-KK</t>
  </si>
  <si>
    <t xml:space="preserve">Used 42 stepper damper K type</t>
  </si>
  <si>
    <t xml:space="preserve">MT-006-ESFQX-42BJDJJZP-LK</t>
  </si>
  <si>
    <t xml:space="preserve">Used 42 stepper damper L type</t>
  </si>
  <si>
    <t xml:space="preserve">MT-006-ESFQX-42BJDJJZP-MK</t>
  </si>
  <si>
    <t xml:space="preserve">Used 42 stepper damper M type</t>
  </si>
  <si>
    <t xml:space="preserve">MT-006-ESFQX-42BJDJJZP-NK</t>
  </si>
  <si>
    <t xml:space="preserve">Used 42 stepper damper N type</t>
  </si>
  <si>
    <t xml:space="preserve">MT-006-ESFQX-57BJDJJZP-AK</t>
  </si>
  <si>
    <t xml:space="preserve">Used 57 stepper damper A type</t>
  </si>
  <si>
    <t xml:space="preserve">MT-006-ESFQX-57BJDJJZP-AK-P5</t>
  </si>
  <si>
    <t xml:space="preserve">MT-006-ESFQX-57BJDJJZP-BK</t>
  </si>
  <si>
    <t xml:space="preserve">Used 57 stepper damper B type</t>
  </si>
  <si>
    <t xml:space="preserve">MT-006-ESFQX-57BJDJJZP-CK</t>
  </si>
  <si>
    <t xml:space="preserve">Used 57 stepper damper C type</t>
  </si>
  <si>
    <t xml:space="preserve">MT-006-ESFQX-57BJDJJZP-DK-HD6</t>
  </si>
  <si>
    <t xml:space="preserve">Used 57 stepper damper D type T 6</t>
  </si>
  <si>
    <t xml:space="preserve">MT-006-ESFQX-57BJDJJZP-DK-HD8</t>
  </si>
  <si>
    <t xml:space="preserve">Used 57 stepper damper D type T 8</t>
  </si>
  <si>
    <t xml:space="preserve">MT-006-ESFQX-60BJDJJZP</t>
  </si>
  <si>
    <t xml:space="preserve">Used 60 stepper damper</t>
  </si>
  <si>
    <t xml:space="preserve">NEMA17 / 23 / 34 Steel Motor Bracket  [Motor Accessories &amp; Drivers]</t>
  </si>
  <si>
    <t xml:space="preserve">U-bracket</t>
  </si>
  <si>
    <t xml:space="preserve">775</t>
  </si>
  <si>
    <t xml:space="preserve">with screws</t>
  </si>
  <si>
    <t xml:space="preserve">MT-008-775-UXZJ-S</t>
  </si>
  <si>
    <t xml:space="preserve">MT-008-YZX-42BJDJZJ-NS</t>
  </si>
  <si>
    <t xml:space="preserve">42 stepper bracket</t>
  </si>
  <si>
    <t xml:space="preserve">Straight</t>
  </si>
  <si>
    <t xml:space="preserve">MT-008-ZJX-110BJDJZJ-NS</t>
  </si>
  <si>
    <t xml:space="preserve">110 stepper bracket</t>
  </si>
  <si>
    <t xml:space="preserve">Right-angle</t>
  </si>
  <si>
    <t xml:space="preserve">MT-008-ZJX-130BJDJZJ-NS</t>
  </si>
  <si>
    <t xml:space="preserve">130 stepper bracket</t>
  </si>
  <si>
    <t xml:space="preserve">MT-008-ZJX-42BJDJZJ-NS</t>
  </si>
  <si>
    <t xml:space="preserve">MT-008-ZJX-42BJDJZJ-S</t>
  </si>
  <si>
    <t xml:space="preserve">MT-008-ZJX-57BJDJZJ-NS</t>
  </si>
  <si>
    <t xml:space="preserve">57 stepper bracket</t>
  </si>
  <si>
    <t xml:space="preserve">MT-008-ZJX-57BJDJZJ-S</t>
  </si>
  <si>
    <t xml:space="preserve">MT-008-ZJX-60BJDJZJ-S</t>
  </si>
  <si>
    <t xml:space="preserve">60 stepper bracket</t>
  </si>
  <si>
    <t xml:space="preserve">MT-008-ZJX-775BJDJZJ-NS</t>
  </si>
  <si>
    <t xml:space="preserve">775 stepper bracket</t>
  </si>
  <si>
    <t xml:space="preserve">MT-008-ZJX-86BJDJZJ-NS</t>
  </si>
  <si>
    <t xml:space="preserve">86 stepper bracket</t>
  </si>
  <si>
    <t xml:space="preserve">NEMA17 Plastic Motor Bracket  [Motor Accessories &amp; Drivers]</t>
  </si>
  <si>
    <t xml:space="preserve">MT-007-BK</t>
  </si>
  <si>
    <t xml:space="preserve">MT-007-WH</t>
  </si>
  <si>
    <t xml:space="preserve">NEMA17 Cork Damper Pad  [Motor Accessories &amp; Drivers]</t>
  </si>
  <si>
    <t xml:space="preserve">2MM T</t>
  </si>
  <si>
    <t xml:space="preserve">MT-022-2HD</t>
  </si>
  <si>
    <t xml:space="preserve">MT-022-3HD</t>
  </si>
  <si>
    <t xml:space="preserve">3MM T</t>
  </si>
  <si>
    <t xml:space="preserve">NEMA23 / NEMA34 Aluminum Motor Bracket  [Motor Accessories &amp; Drivers]</t>
  </si>
  <si>
    <t xml:space="preserve">57 mounting bracket</t>
  </si>
  <si>
    <t xml:space="preserve">MT-012-57AZZJ</t>
  </si>
  <si>
    <t xml:space="preserve">MT-012-86AZZJ-SJ</t>
  </si>
  <si>
    <t xml:space="preserve">86 mounting bracket loose parts</t>
  </si>
  <si>
    <t xml:space="preserve">NEMA23 / NEMA34 Stepper Driver (DMA860H alternative)  [Motor Accessories &amp; Drivers]</t>
  </si>
  <si>
    <t xml:space="preserve">860 no fan</t>
  </si>
  <si>
    <t xml:space="preserve">MT-002-860BDFS</t>
  </si>
  <si>
    <t xml:space="preserve">MT-002-B-860HDFS</t>
  </si>
  <si>
    <t xml:space="preserve">860H with fan</t>
  </si>
  <si>
    <t xml:space="preserve">NEMA23 Plastic Motor Base  [Motor Accessories &amp; Drivers]</t>
  </si>
  <si>
    <t xml:space="preserve">MT-015</t>
  </si>
  <si>
    <t xml:space="preserve">NEMA23 Motor Mount, Extended  [Motor Accessories &amp; Drivers]</t>
  </si>
  <si>
    <t xml:space="preserve">with 57 stepper</t>
  </si>
  <si>
    <t xml:space="preserve">MT-017-57BJDJY</t>
  </si>
  <si>
    <t xml:space="preserve">MT-017-57XXJSY</t>
  </si>
  <si>
    <t xml:space="preserve">with 57 planetary gearbox</t>
  </si>
  <si>
    <t xml:space="preserve">NEMA23 Motor Mount Connector Frame  [Motor Accessories &amp; Drivers]</t>
  </si>
  <si>
    <t xml:space="preserve">MT-013</t>
  </si>
  <si>
    <t xml:space="preserve">NEMA23 Aluminum Motor Base  [Motor Accessories &amp; Drivers]</t>
  </si>
  <si>
    <t xml:space="preserve">with screw</t>
  </si>
  <si>
    <t xml:space="preserve">MT-009-BK-LS-P4</t>
  </si>
  <si>
    <t xml:space="preserve">MT-009-BK-NS</t>
  </si>
  <si>
    <t xml:space="preserve">MT-009-WH-LS-P4</t>
  </si>
  <si>
    <t xml:space="preserve">MT-009-WH-NS</t>
  </si>
  <si>
    <t xml:space="preserve">NEMA23 Profile Motor Clamp Mount  [Motor Accessories &amp; Drivers]</t>
  </si>
  <si>
    <t xml:space="preserve">L 100 W 86 H 86</t>
  </si>
  <si>
    <t xml:space="preserve">MT-027-Z100-K86-G86</t>
  </si>
  <si>
    <t xml:space="preserve">MT-027-Z35-K57-G57</t>
  </si>
  <si>
    <t xml:space="preserve">L 35 W 57 H 57</t>
  </si>
  <si>
    <t xml:space="preserve">MT-027-Z40-K57-G57</t>
  </si>
  <si>
    <t xml:space="preserve">L 40 W 57 H 57</t>
  </si>
  <si>
    <t xml:space="preserve">MT-027-Z45-K57-G57</t>
  </si>
  <si>
    <t xml:space="preserve">L 45 W 57 H 57</t>
  </si>
  <si>
    <t xml:space="preserve">MT-027-Z50-K57-G57</t>
  </si>
  <si>
    <t xml:space="preserve">L 50 W 57 H 57</t>
  </si>
  <si>
    <t xml:space="preserve">MT-027-Z55-K57-G57</t>
  </si>
  <si>
    <t xml:space="preserve">L 55 W 57 H 57</t>
  </si>
  <si>
    <t xml:space="preserve">MT-027-Z60-K57-G57</t>
  </si>
  <si>
    <t xml:space="preserve">L 60 W 57 H 57</t>
  </si>
  <si>
    <t xml:space="preserve">MT-027-Z60-K86-G86</t>
  </si>
  <si>
    <t xml:space="preserve">L 60 W 86 H 86</t>
  </si>
  <si>
    <t xml:space="preserve">MT-027-Z65-K57-G57</t>
  </si>
  <si>
    <t xml:space="preserve">L 65 W 57 H 57</t>
  </si>
  <si>
    <t xml:space="preserve">MT-027-Z70-K57-G57</t>
  </si>
  <si>
    <t xml:space="preserve">L 70 W 57 H 57</t>
  </si>
  <si>
    <t xml:space="preserve">MT-027-Z70-K86-G86</t>
  </si>
  <si>
    <t xml:space="preserve">L 70 W 86 H 86</t>
  </si>
  <si>
    <t xml:space="preserve">MT-027-Z80-K86-G86</t>
  </si>
  <si>
    <t xml:space="preserve">L 80 W 86 H 86</t>
  </si>
  <si>
    <t xml:space="preserve">MT-027-Z90-K86-G86</t>
  </si>
  <si>
    <t xml:space="preserve">L 90 W 86 H 86</t>
  </si>
  <si>
    <t xml:space="preserve">NEMA34 Motor Mount  [Motor Accessories &amp; Drivers]</t>
  </si>
  <si>
    <t xml:space="preserve">MT-020</t>
  </si>
  <si>
    <t xml:space="preserve">CR-10 Z-Axis NEMA17 Mount Block  [Motor Accessories &amp; Drivers]</t>
  </si>
  <si>
    <t xml:space="preserve">38mm*8.8mm*8mm</t>
  </si>
  <si>
    <t xml:space="preserve">MT-023-38x8.8x8</t>
  </si>
  <si>
    <t xml:space="preserve">MT-023-40x11x10</t>
  </si>
  <si>
    <t xml:space="preserve">40mm*11mm*10mm</t>
  </si>
  <si>
    <t xml:space="preserve">DM420 Stepper Driver 2A 128 Microstep  [Motor Accessories &amp; Drivers]</t>
  </si>
  <si>
    <t xml:space="preserve">MT-004</t>
  </si>
  <si>
    <t xml:space="preserve">MACH3 5-Axis Breakout Board  [Motor Accessories &amp; Drivers]</t>
  </si>
  <si>
    <t xml:space="preserve">MT-018</t>
  </si>
  <si>
    <t xml:space="preserve">MACH3 5-Axis Breakout Board (with driver)  [Motor Accessories &amp; Drivers]</t>
  </si>
  <si>
    <t xml:space="preserve">MT-016</t>
  </si>
  <si>
    <t xml:space="preserve">MACH3 USB Motion Control Card  [Motor Accessories &amp; Drivers]</t>
  </si>
  <si>
    <t xml:space="preserve">MT-003</t>
  </si>
  <si>
    <t xml:space="preserve">TB6600 Upgraded Stepper Driver 4.0A 42V  [Motor Accessories &amp; Drivers]</t>
  </si>
  <si>
    <t xml:space="preserve">MT-001</t>
  </si>
  <si>
    <t xml:space="preserve">TB6600 Single-Axis Driver, Enclosed 5A  [Motor Accessories &amp; Drivers]</t>
  </si>
  <si>
    <t xml:space="preserve">MT-024</t>
  </si>
  <si>
    <t xml:space="preserve">TMC2208 Stepper Driver 1.4A  [Motor Accessories &amp; Drivers]</t>
  </si>
  <si>
    <t xml:space="preserve">MT-026</t>
  </si>
  <si>
    <t xml:space="preserve">Square Silicone Damper Pad  [Motor Accessories &amp; Drivers]</t>
  </si>
  <si>
    <t xml:space="preserve">T 2mm (1 pcs)</t>
  </si>
  <si>
    <t xml:space="preserve">MT-019-BK-HD21P</t>
  </si>
  <si>
    <t xml:space="preserve">MT-019-BK-HD31P</t>
  </si>
  <si>
    <t xml:space="preserve">T 3mm (1 pcs)</t>
  </si>
  <si>
    <t xml:space="preserve">MT-019-WH-HD21P</t>
  </si>
  <si>
    <t xml:space="preserve">MT-019-WH-HD31P</t>
  </si>
  <si>
    <t xml:space="preserve">Stepper Motor Cable, 4-Wire with Connector, 1m  [Motor Accessories &amp; Drivers]</t>
  </si>
  <si>
    <t xml:space="preserve">MT-005</t>
  </si>
  <si>
    <t xml:space="preserve">Stepper Cable XH254 / Dupont 6-pin to 4-pin  [Motor Accessories &amp; Drivers]</t>
  </si>
  <si>
    <t xml:space="preserve">Cable Length</t>
  </si>
  <si>
    <t xml:space="preserve">Dupont</t>
  </si>
  <si>
    <t xml:space="preserve">0.1m</t>
  </si>
  <si>
    <t xml:space="preserve">MT-011-DB-XZ0.1M</t>
  </si>
  <si>
    <t xml:space="preserve">MT-011-DB-XZ0.2M</t>
  </si>
  <si>
    <t xml:space="preserve">0.2m</t>
  </si>
  <si>
    <t xml:space="preserve">MT-011-DB-XZ0.5M</t>
  </si>
  <si>
    <t xml:space="preserve">0.5m</t>
  </si>
  <si>
    <t xml:space="preserve">MT-011-DB-XZ0.7M</t>
  </si>
  <si>
    <t xml:space="preserve">0.7m</t>
  </si>
  <si>
    <t xml:space="preserve">MT-011-DB-XZ1.2M</t>
  </si>
  <si>
    <t xml:space="preserve">1.2m</t>
  </si>
  <si>
    <t xml:space="preserve">MT-011-DB-XZ1.5M</t>
  </si>
  <si>
    <t xml:space="preserve">1.5m</t>
  </si>
  <si>
    <t xml:space="preserve">MT-011-DB-XZ1M</t>
  </si>
  <si>
    <t xml:space="preserve">MT-011-DB-XZ2.5M</t>
  </si>
  <si>
    <t xml:space="preserve">2.5m</t>
  </si>
  <si>
    <t xml:space="preserve">MT-011-DB-XZ2M</t>
  </si>
  <si>
    <t xml:space="preserve">MT-011-DB-XZ3M</t>
  </si>
  <si>
    <t xml:space="preserve">3m</t>
  </si>
  <si>
    <t xml:space="preserve">MT-011-xH254-XZ0.1M</t>
  </si>
  <si>
    <t xml:space="preserve">XH254</t>
  </si>
  <si>
    <t xml:space="preserve">MT-011-xH254-XZ0.2M</t>
  </si>
  <si>
    <t xml:space="preserve">MT-011-xH254-XZ0.5M</t>
  </si>
  <si>
    <t xml:space="preserve">MT-011-xH254-XZ0.7M</t>
  </si>
  <si>
    <t xml:space="preserve">MT-011-xH254-XZ0.8M</t>
  </si>
  <si>
    <t xml:space="preserve">0.8m</t>
  </si>
  <si>
    <t xml:space="preserve">MT-011-xH254-XZ1.2M</t>
  </si>
  <si>
    <t xml:space="preserve">MT-011-xH254-XZ1.5M</t>
  </si>
  <si>
    <t xml:space="preserve">MT-011-xH254-XZ1M</t>
  </si>
  <si>
    <t xml:space="preserve">MT-011-xH254-XZ2.5M</t>
  </si>
  <si>
    <t xml:space="preserve">MT-011-xH254-XZ2M</t>
  </si>
  <si>
    <t xml:space="preserve">MT-011-xH254-XZ3M</t>
  </si>
  <si>
    <t xml:space="preserve">Stepper Driver Smoother (A4988 / DRV8825)  [Motor Accessories &amp; Drivers]</t>
  </si>
  <si>
    <t xml:space="preserve">RL-054</t>
  </si>
  <si>
    <t xml:space="preserve">Profile Motor Mount (57 / 60 / 80 / 86)  [Motor Accessories &amp; Drivers]</t>
  </si>
  <si>
    <t xml:space="preserve">110 stepper motor mount</t>
  </si>
  <si>
    <t xml:space="preserve">MT-010-110BJDJZ</t>
  </si>
  <si>
    <t xml:space="preserve">MT-010-110BJDJZPGZ</t>
  </si>
  <si>
    <t xml:space="preserve">110 stepper motor mount with cover</t>
  </si>
  <si>
    <t xml:space="preserve">MT-010-110CFDJZ</t>
  </si>
  <si>
    <t xml:space="preserve">110 servo motor mount</t>
  </si>
  <si>
    <t xml:space="preserve">MT-010-110CFDJZPGZ</t>
  </si>
  <si>
    <t xml:space="preserve">110 servo motor mount with cover</t>
  </si>
  <si>
    <t xml:space="preserve">MT-010-130BJDJZ</t>
  </si>
  <si>
    <t xml:space="preserve">130 stepper motor mount</t>
  </si>
  <si>
    <t xml:space="preserve">MT-010-130BJDJZPGZ</t>
  </si>
  <si>
    <t xml:space="preserve">130 stepper motor mount with cover</t>
  </si>
  <si>
    <t xml:space="preserve">MT-010-130CFDJZ</t>
  </si>
  <si>
    <t xml:space="preserve">130 servo motor mount</t>
  </si>
  <si>
    <t xml:space="preserve">MT-010-130CFDJZPGZ</t>
  </si>
  <si>
    <t xml:space="preserve">130 servo motor mount with cover</t>
  </si>
  <si>
    <t xml:space="preserve">MT-010-130JSDJZ</t>
  </si>
  <si>
    <t xml:space="preserve">130 gear motor mount</t>
  </si>
  <si>
    <t xml:space="preserve">MT-010-130JSDJZPGZ</t>
  </si>
  <si>
    <t xml:space="preserve">130 gear motor mount with cover</t>
  </si>
  <si>
    <t xml:space="preserve">MT-010-40CFDJZ</t>
  </si>
  <si>
    <t xml:space="preserve">40 servo motor mount</t>
  </si>
  <si>
    <t xml:space="preserve">MT-010-40CFDJZPGZ</t>
  </si>
  <si>
    <t xml:space="preserve">40 servo motor mount with cover</t>
  </si>
  <si>
    <t xml:space="preserve">MT-010-42BJDJZ</t>
  </si>
  <si>
    <t xml:space="preserve">42 stepper motor mount</t>
  </si>
  <si>
    <t xml:space="preserve">MT-010-42BJDJZPGZ</t>
  </si>
  <si>
    <t xml:space="preserve">42 stepper motor mount with cover</t>
  </si>
  <si>
    <t xml:space="preserve">MT-010-57BJDJZ</t>
  </si>
  <si>
    <t xml:space="preserve">57 stepper motor mount</t>
  </si>
  <si>
    <t xml:space="preserve">MT-010-57BJDJZPGZ</t>
  </si>
  <si>
    <t xml:space="preserve">57 stepper motor mount with cover</t>
  </si>
  <si>
    <t xml:space="preserve">MT-010-60CFDJZ</t>
  </si>
  <si>
    <t xml:space="preserve">60 servo motor mount</t>
  </si>
  <si>
    <t xml:space="preserve">MT-010-60CFDJZPGZ</t>
  </si>
  <si>
    <t xml:space="preserve">60 servo motor mount with cover</t>
  </si>
  <si>
    <t xml:space="preserve">MT-010-80CFDJZ</t>
  </si>
  <si>
    <t xml:space="preserve">80 servo motor mount</t>
  </si>
  <si>
    <t xml:space="preserve">MT-010-80CFDJZPGZ</t>
  </si>
  <si>
    <t xml:space="preserve">80 servo motor mount with cover</t>
  </si>
  <si>
    <t xml:space="preserve">MT-010-86BJDJZ</t>
  </si>
  <si>
    <t xml:space="preserve">86 stepper motor mount</t>
  </si>
  <si>
    <t xml:space="preserve">MT-010-86BJDJZPGZ</t>
  </si>
  <si>
    <t xml:space="preserve">86 stepper motor mount with cover</t>
  </si>
  <si>
    <t xml:space="preserve">MT-010-90CFJSDJZ</t>
  </si>
  <si>
    <t xml:space="preserve">90 servo gear motor mount</t>
  </si>
  <si>
    <t xml:space="preserve">MT-010-90CFJSDJZPGZ</t>
  </si>
  <si>
    <t xml:space="preserve">90 servo gear motor mount with cover</t>
  </si>
  <si>
    <t xml:space="preserve">Lead (mm)</t>
  </si>
  <si>
    <t xml:space="preserve">SL4080UM-BK-L900-P8</t>
  </si>
  <si>
    <t xml:space="preserve">SL4080UM-SV-L400-P8</t>
  </si>
  <si>
    <t xml:space="preserve">SL4080UM-SV-L900-P8</t>
  </si>
  <si>
    <t xml:space="preserve">SL4080UM-WH-L1000-P8</t>
  </si>
  <si>
    <t xml:space="preserve">SL4080UM-WH-L150-P8</t>
  </si>
  <si>
    <t xml:space="preserve">SL4080UM-WH-L200-P8</t>
  </si>
  <si>
    <t xml:space="preserve">SL4080UM-WH-L250-P8</t>
  </si>
  <si>
    <t xml:space="preserve">SL4080UM-WH-L300-P8</t>
  </si>
  <si>
    <t xml:space="preserve">SL4080UM-WH-L500-P8</t>
  </si>
  <si>
    <t xml:space="preserve">SL4080UM-WH-L600-P8</t>
  </si>
  <si>
    <t xml:space="preserve">SL4080UM-WH-L700-P8</t>
  </si>
  <si>
    <t xml:space="preserve">SL4080UM-WH-L800-P8</t>
  </si>
  <si>
    <t xml:space="preserve">Silver lead 8 upper profile L 200+ lower profile L 200</t>
  </si>
  <si>
    <t xml:space="preserve">XY4080U-8-200-200</t>
  </si>
  <si>
    <t xml:space="preserve">XY4080U-8-200-500</t>
  </si>
  <si>
    <t xml:space="preserve">Silver lead 8 upper profile L 200+ lower profile L 500</t>
  </si>
  <si>
    <t xml:space="preserve">1000mm*1000mm</t>
  </si>
  <si>
    <t xml:space="preserve">OOZ-1000mm-1000mm</t>
  </si>
  <si>
    <t xml:space="preserve">OOZ-500mm-750mm</t>
  </si>
  <si>
    <t xml:space="preserve">500mm*750mm</t>
  </si>
  <si>
    <t xml:space="preserve">SL2040Z-BK-L1000</t>
  </si>
  <si>
    <t xml:space="preserve">SL2040Z-BK-L250</t>
  </si>
  <si>
    <t xml:space="preserve">SL2040Z-BK-L300</t>
  </si>
  <si>
    <t xml:space="preserve">SL2040Z-BK-L400</t>
  </si>
  <si>
    <t xml:space="preserve">SL2040Z-BK-L450</t>
  </si>
  <si>
    <t xml:space="preserve">SL2040Z-BK-L500</t>
  </si>
  <si>
    <t xml:space="preserve">SL2040Z-BK-L600</t>
  </si>
  <si>
    <t xml:space="preserve">SL2040Z-SV-L1000</t>
  </si>
  <si>
    <t xml:space="preserve">SL2040Z-SV-L250</t>
  </si>
  <si>
    <t xml:space="preserve">SL2040Z-SV-L300</t>
  </si>
  <si>
    <t xml:space="preserve">SL2040Z-SV-L400</t>
  </si>
  <si>
    <t xml:space="preserve">SL2040Z-SV-L450</t>
  </si>
  <si>
    <t xml:space="preserve">SL2040Z-SV-L500</t>
  </si>
  <si>
    <t xml:space="preserve">SL2040Z-SV-L600</t>
  </si>
  <si>
    <t xml:space="preserve">SL4080U-BK-L1000-P8</t>
  </si>
  <si>
    <t xml:space="preserve">SL4080U-BK-L150-P2</t>
  </si>
  <si>
    <t xml:space="preserve">SL4080U-BK-L150-P8</t>
  </si>
  <si>
    <t xml:space="preserve">SL4080U-BK-L200-P1</t>
  </si>
  <si>
    <t xml:space="preserve">1</t>
  </si>
  <si>
    <t xml:space="preserve">SL4080U-BK-L200-P2</t>
  </si>
  <si>
    <t xml:space="preserve">SL4080U-BK-L200-P4</t>
  </si>
  <si>
    <t xml:space="preserve">SL4080U-BK-L200-P8</t>
  </si>
  <si>
    <t xml:space="preserve">SL4080U-BK-L250-P2</t>
  </si>
  <si>
    <t xml:space="preserve">SL4080U-BK-L250-P8</t>
  </si>
  <si>
    <t xml:space="preserve">SL4080U-BK-L300-P2</t>
  </si>
  <si>
    <t xml:space="preserve">SL4080U-BK-L300-P8</t>
  </si>
  <si>
    <t xml:space="preserve">SL4080U-BK-L350-P2</t>
  </si>
  <si>
    <t xml:space="preserve">SL4080U-BK-L350-P8</t>
  </si>
  <si>
    <t xml:space="preserve">SL4080U-BK-L400-P2</t>
  </si>
  <si>
    <t xml:space="preserve">SL4080U-BK-L400-P8</t>
  </si>
  <si>
    <t xml:space="preserve">SL4080U-BK-L450-P2</t>
  </si>
  <si>
    <t xml:space="preserve">SL4080U-BK-L450-P8</t>
  </si>
  <si>
    <t xml:space="preserve">SL4080U-BK-L500-P2</t>
  </si>
  <si>
    <t xml:space="preserve">SL4080U-BK-L500-P4</t>
  </si>
  <si>
    <t xml:space="preserve">SL4080U-BK-L500-P8</t>
  </si>
  <si>
    <t xml:space="preserve">SL4080U-BK-L550-P8</t>
  </si>
  <si>
    <t xml:space="preserve">SL4080U-BK-L600-P8</t>
  </si>
  <si>
    <t xml:space="preserve">SL4080U-BK-L650-P8</t>
  </si>
  <si>
    <t xml:space="preserve">SL4080U-BK-L700-P8</t>
  </si>
  <si>
    <t xml:space="preserve">SL4080U-BK-L750-P8</t>
  </si>
  <si>
    <t xml:space="preserve">SL4080U-BK-L800-P8</t>
  </si>
  <si>
    <t xml:space="preserve">SL4080U-BK-L850-P8</t>
  </si>
  <si>
    <t xml:space="preserve">SL4080U-BK-L900-P8</t>
  </si>
  <si>
    <t xml:space="preserve">SL4080U-BK-L950-P8</t>
  </si>
  <si>
    <t xml:space="preserve">SL4080U-SV-L1000-P8</t>
  </si>
  <si>
    <t xml:space="preserve">SL4080U-SV-L150-P8</t>
  </si>
  <si>
    <t xml:space="preserve">SL4080U-SV-L200-P2</t>
  </si>
  <si>
    <t xml:space="preserve">SL4080U-SV-L200-P4</t>
  </si>
  <si>
    <t xml:space="preserve">SL4080U-SV-L200-P8</t>
  </si>
  <si>
    <t xml:space="preserve">SL4080U-SV-L250-P2</t>
  </si>
  <si>
    <t xml:space="preserve">SL4080U-SV-L250-P8</t>
  </si>
  <si>
    <t xml:space="preserve">SL4080U-SV-L300-P2</t>
  </si>
  <si>
    <t xml:space="preserve">SL4080U-SV-L300-P8</t>
  </si>
  <si>
    <t xml:space="preserve">SL4080U-SV-L350-P2</t>
  </si>
  <si>
    <t xml:space="preserve">SL4080U-SV-L350-P8</t>
  </si>
  <si>
    <t xml:space="preserve">SL4080U-SV-L400-P2</t>
  </si>
  <si>
    <t xml:space="preserve">SL4080U-SV-L400-P8</t>
  </si>
  <si>
    <t xml:space="preserve">SL4080U-SV-L450-P8</t>
  </si>
  <si>
    <t xml:space="preserve">SL4080U-SV-L500-P2</t>
  </si>
  <si>
    <t xml:space="preserve">SL4080U-SV-L500-P8</t>
  </si>
  <si>
    <t xml:space="preserve">SL4080U-SV-L550-P8</t>
  </si>
  <si>
    <t xml:space="preserve">SL4080U-SV-L600-P8</t>
  </si>
  <si>
    <t xml:space="preserve">SL4080U-SV-L650-P8</t>
  </si>
  <si>
    <t xml:space="preserve">SL4080U-SV-L700-P8</t>
  </si>
  <si>
    <t xml:space="preserve">SL4080U-SV-L750-P8</t>
  </si>
  <si>
    <t xml:space="preserve">SL4080U-SV-L800-P8</t>
  </si>
  <si>
    <t xml:space="preserve">SL4080U-SV-L850-P8</t>
  </si>
  <si>
    <t xml:space="preserve">SL4080U-SV-L900-P8</t>
  </si>
  <si>
    <t xml:space="preserve">SL4080U-SV-L950-P8</t>
  </si>
  <si>
    <t xml:space="preserve">mini CNC router (no motor)</t>
  </si>
  <si>
    <t xml:space="preserve">MINICNC-mini</t>
  </si>
  <si>
    <t xml:space="preserve">MINICNC-mini-57</t>
  </si>
  <si>
    <t xml:space="preserve">mini CNC router (with 57 motor)</t>
  </si>
  <si>
    <t xml:space="preserve">OBARM-L250</t>
  </si>
  <si>
    <t xml:space="preserve">OBARM-L300</t>
  </si>
  <si>
    <t xml:space="preserve">OBARM-L400</t>
  </si>
  <si>
    <t xml:space="preserve">OBARM-L500</t>
  </si>
  <si>
    <t xml:space="preserve">Effective Stroke (mm)</t>
  </si>
  <si>
    <t xml:space="preserve">SLT6-28-L100-P1</t>
  </si>
  <si>
    <t xml:space="preserve">SLT6-28-L100-P2</t>
  </si>
  <si>
    <t xml:space="preserve">SLT6-28-L50-P2</t>
  </si>
  <si>
    <t xml:space="preserve">THK90-L200</t>
  </si>
  <si>
    <t xml:space="preserve">THK90-L300</t>
  </si>
  <si>
    <t xml:space="preserve">THK90-L400</t>
  </si>
  <si>
    <t xml:space="preserve">THK90-L500</t>
  </si>
  <si>
    <t xml:space="preserve">THK90-L600</t>
  </si>
  <si>
    <t xml:space="preserve">THK90-L700</t>
  </si>
  <si>
    <t xml:space="preserve">All lengths refer to the aluminum profile length. Contact us for other sizes. The slide comes with an XH254 cable by default; leave a note if you need a Dupont cable.</t>
  </si>
  <si>
    <t xml:space="preserve">SL2020B-BK-L1000</t>
  </si>
  <si>
    <t xml:space="preserve">SL2020B-BK-L250</t>
  </si>
  <si>
    <t xml:space="preserve">SL2020B-BK-L260</t>
  </si>
  <si>
    <t xml:space="preserve">SL2020B-BK-L270</t>
  </si>
  <si>
    <t xml:space="preserve">SL2020B-BK-L300</t>
  </si>
  <si>
    <t xml:space="preserve">SL2020B-BK-L350</t>
  </si>
  <si>
    <t xml:space="preserve">SL2020B-BK-L400</t>
  </si>
  <si>
    <t xml:space="preserve">SL2020B-BK-L450</t>
  </si>
  <si>
    <t xml:space="preserve">SL2020B-BK-L500</t>
  </si>
  <si>
    <t xml:space="preserve">SL2020B-BK-L550</t>
  </si>
  <si>
    <t xml:space="preserve">SL2020B-BK-L600</t>
  </si>
  <si>
    <t xml:space="preserve">SL2020B-BK-L650</t>
  </si>
  <si>
    <t xml:space="preserve">SL2020B-BK-L700</t>
  </si>
  <si>
    <t xml:space="preserve">SL2020B-BK-L750</t>
  </si>
  <si>
    <t xml:space="preserve">SL2020B-SV-L1000</t>
  </si>
  <si>
    <t xml:space="preserve">SL2020B-SV-L250</t>
  </si>
  <si>
    <t xml:space="preserve">SL2020B-SV-L260</t>
  </si>
  <si>
    <t xml:space="preserve">SL2020B-SV-L270</t>
  </si>
  <si>
    <t xml:space="preserve">SL2020B-SV-L300</t>
  </si>
  <si>
    <t xml:space="preserve">SL2020B-SV-L350</t>
  </si>
  <si>
    <t xml:space="preserve">SL2020B-SV-L400</t>
  </si>
  <si>
    <t xml:space="preserve">SL2020B-SV-L450</t>
  </si>
  <si>
    <t xml:space="preserve">SL2020B-SV-L500</t>
  </si>
  <si>
    <t xml:space="preserve">SL2020B-SV-L550</t>
  </si>
  <si>
    <t xml:space="preserve">SL2020B-SV-L600</t>
  </si>
  <si>
    <t xml:space="preserve">SL2020B-SV-L650</t>
  </si>
  <si>
    <t xml:space="preserve">SL2020B-SV-L700</t>
  </si>
  <si>
    <t xml:space="preserve">SL2020B-SV-L750</t>
  </si>
  <si>
    <t xml:space="preserve">SL2040B-BK-L1000-DP</t>
  </si>
  <si>
    <t xml:space="preserve">SL2040B-BK-L1000-XH</t>
  </si>
  <si>
    <t xml:space="preserve">SL2040B-BK-L300-DP</t>
  </si>
  <si>
    <t xml:space="preserve">SL2040B-BK-L300-XH</t>
  </si>
  <si>
    <t xml:space="preserve">SL2060T-BK-L1000</t>
  </si>
  <si>
    <t xml:space="preserve">SL2060T-BK-L250</t>
  </si>
  <si>
    <t xml:space="preserve">SL2060T-BK-L300</t>
  </si>
  <si>
    <t xml:space="preserve">SL2060T-BK-L400</t>
  </si>
  <si>
    <t xml:space="preserve">SL2060T-BK-L500</t>
  </si>
  <si>
    <t xml:space="preserve">SL2060T-BK-L600</t>
  </si>
  <si>
    <t xml:space="preserve">SL2060T-SV-L1000</t>
  </si>
  <si>
    <t xml:space="preserve">SL2060T-SV-L250</t>
  </si>
  <si>
    <t xml:space="preserve">SL2060T-SV-L400</t>
  </si>
  <si>
    <t xml:space="preserve">SL2060T-SV-L500</t>
  </si>
  <si>
    <t xml:space="preserve">SL2060T-SV-L600</t>
  </si>
  <si>
    <t xml:space="preserve">XY1605-1605-150mm</t>
  </si>
  <si>
    <t xml:space="preserve">1/2 Shank Bottom Cleaning Router Bit  [Taps / Cutters / Collets]</t>
  </si>
  <si>
    <t xml:space="preserve">EG-041</t>
  </si>
  <si>
    <t xml:space="preserve">1/4 Shank Long Double-Flute Straight Bit  [Taps / Cutters / Collets]</t>
  </si>
  <si>
    <t xml:space="preserve">Long trimming bit</t>
  </si>
  <si>
    <t xml:space="preserve">EG-070-JZXBD</t>
  </si>
  <si>
    <t xml:space="preserve">EG-070-JZZD</t>
  </si>
  <si>
    <t xml:space="preserve">Long straight bit</t>
  </si>
  <si>
    <t xml:space="preserve">6mm Single-Flute MDF End Mill  [Taps / Cutters / Collets]</t>
  </si>
  <si>
    <t xml:space="preserve">EG-033</t>
  </si>
  <si>
    <t xml:space="preserve">B10 Mini Drill Chuck 0.6-6mm  [Taps / Cutters / Collets]</t>
  </si>
  <si>
    <t xml:space="preserve">0.6-6mm/B10 taper mount</t>
  </si>
  <si>
    <t xml:space="preserve">EG-034-0.6-6B10-ZDLJ</t>
  </si>
  <si>
    <t xml:space="preserve">EG-034-0.6-6B10NI-ZDLJ</t>
  </si>
  <si>
    <t xml:space="preserve">0.6-6mm/B10 Nickel-plated taper mount</t>
  </si>
  <si>
    <t xml:space="preserve">EG-034-1.5-10B12-ZDLJ</t>
  </si>
  <si>
    <t xml:space="preserve">1.5-10mm/B12 taper mount</t>
  </si>
  <si>
    <t xml:space="preserve">EG-034-12-1.5-10-20UNF-LWLJ</t>
  </si>
  <si>
    <t xml:space="preserve">1.5-10mm -20UNF threaded</t>
  </si>
  <si>
    <t xml:space="preserve">1/2</t>
  </si>
  <si>
    <t xml:space="preserve">EG-034-38-0.6-6-24UNF-LWLJ</t>
  </si>
  <si>
    <t xml:space="preserve">0.6-6mm -24UNF threaded</t>
  </si>
  <si>
    <t xml:space="preserve">3/8</t>
  </si>
  <si>
    <t xml:space="preserve">EG-034-38-1.5-10-24UNF-LWLJ</t>
  </si>
  <si>
    <t xml:space="preserve">1.5-10mm -24UNF threaded</t>
  </si>
  <si>
    <t xml:space="preserve">EG-034-M12x1.25-1.5-10-LWLJ</t>
  </si>
  <si>
    <t xml:space="preserve">1.5-10mm/threaded</t>
  </si>
  <si>
    <t xml:space="preserve">B10 Drill Chuck Arbor / Taper Adapter  [Taps / Cutters / Collets]</t>
  </si>
  <si>
    <t xml:space="preserve">3.17mm</t>
  </si>
  <si>
    <t xml:space="preserve">EG-017-3.17</t>
  </si>
  <si>
    <t xml:space="preserve">EG-017-4</t>
  </si>
  <si>
    <t xml:space="preserve">EG-017-5</t>
  </si>
  <si>
    <t xml:space="preserve">EG-017-6</t>
  </si>
  <si>
    <t xml:space="preserve">6mm</t>
  </si>
  <si>
    <t xml:space="preserve">EG-017-6.35</t>
  </si>
  <si>
    <t xml:space="preserve">EG-017-7</t>
  </si>
  <si>
    <t xml:space="preserve">7mm</t>
  </si>
  <si>
    <t xml:space="preserve">EG-017-8</t>
  </si>
  <si>
    <t xml:space="preserve">B12 Drill Chuck Adapter Sleeve  [Taps / Cutters / Collets]</t>
  </si>
  <si>
    <t xml:space="preserve">EG-082-10</t>
  </si>
  <si>
    <t xml:space="preserve">EG-082-11</t>
  </si>
  <si>
    <t xml:space="preserve">11mm</t>
  </si>
  <si>
    <t xml:space="preserve">EG-082-12</t>
  </si>
  <si>
    <t xml:space="preserve">EG-082-14</t>
  </si>
  <si>
    <t xml:space="preserve">EG-082-5</t>
  </si>
  <si>
    <t xml:space="preserve">EG-082-6</t>
  </si>
  <si>
    <t xml:space="preserve">EG-082-6.35</t>
  </si>
  <si>
    <t xml:space="preserve">EG-082-7</t>
  </si>
  <si>
    <t xml:space="preserve">EG-082-8</t>
  </si>
  <si>
    <t xml:space="preserve">ER11 Air-Cooled Spindle 150W / 200W  [Taps / Cutters / Collets]</t>
  </si>
  <si>
    <t xml:space="preserve">Power</t>
  </si>
  <si>
    <t xml:space="preserve">150W</t>
  </si>
  <si>
    <t xml:space="preserve">EG-022-150W</t>
  </si>
  <si>
    <t xml:space="preserve">EG-022-200W</t>
  </si>
  <si>
    <t xml:space="preserve">200W</t>
  </si>
  <si>
    <t xml:space="preserve">EG-022-300W</t>
  </si>
  <si>
    <t xml:space="preserve">300W</t>
  </si>
  <si>
    <t xml:space="preserve">EG-022-400W</t>
  </si>
  <si>
    <t xml:space="preserve">400W</t>
  </si>
  <si>
    <t xml:space="preserve">ER11 / ER16 Spindle Extension Rod  [Taps / Cutters / Collets]</t>
  </si>
  <si>
    <t xml:space="preserve">C16-ER11-35L holes 6.35mm</t>
  </si>
  <si>
    <t xml:space="preserve">1/4</t>
  </si>
  <si>
    <t xml:space="preserve">EG-049-14-SV-C16-ER11-35LK6.35</t>
  </si>
  <si>
    <t xml:space="preserve">EG-049-14-SV-C20-ER16-32LK6.35</t>
  </si>
  <si>
    <t xml:space="preserve">C20-ER16-32L holes 6.35mm</t>
  </si>
  <si>
    <t xml:space="preserve">EG-049-14-SV-C20-ER16-38LK6.35</t>
  </si>
  <si>
    <t xml:space="preserve">C20-ER16-38L holes 6.35mm</t>
  </si>
  <si>
    <t xml:space="preserve">EG-049-18-SV-C16-ER11-35LK3.175</t>
  </si>
  <si>
    <t xml:space="preserve">C16-ER11-35L holes 3.175mm</t>
  </si>
  <si>
    <t xml:space="preserve">1/8</t>
  </si>
  <si>
    <t xml:space="preserve">EG-049-18-SV-C20-ER16-38LK3.175</t>
  </si>
  <si>
    <t xml:space="preserve">C20-ER16-38L holes 3.175mm</t>
  </si>
  <si>
    <t xml:space="preserve">EG-049-BK-C16-ER11-35L-K5</t>
  </si>
  <si>
    <t xml:space="preserve">C16-ER11-35L holes 5mm</t>
  </si>
  <si>
    <t xml:space="preserve">EG-049-SV-C12-ER8-27L-K3</t>
  </si>
  <si>
    <t xml:space="preserve">C12-ER8-27L- holes 3mm</t>
  </si>
  <si>
    <t xml:space="preserve">EG-049-SV-C12-ER8-27L-K3.175</t>
  </si>
  <si>
    <t xml:space="preserve">C12-ER8-27L- holes 3.175mm</t>
  </si>
  <si>
    <t xml:space="preserve">EG-049-SV-C12-ER8-27L-K4</t>
  </si>
  <si>
    <t xml:space="preserve">C12-ER8-27L- holes 4mm</t>
  </si>
  <si>
    <t xml:space="preserve">EG-049-SV-C12-ER8-27L-K5</t>
  </si>
  <si>
    <t xml:space="preserve">C12-ER8-27L- holes 5mm</t>
  </si>
  <si>
    <t xml:space="preserve">EG-049-SV-C16-ER11-35LK10</t>
  </si>
  <si>
    <t xml:space="preserve">C16-ER11-35L holes 10mm</t>
  </si>
  <si>
    <t xml:space="preserve">EG-049-SV-C16-ER11-35LK12</t>
  </si>
  <si>
    <t xml:space="preserve">C16-ER11-35L holes 12mm</t>
  </si>
  <si>
    <t xml:space="preserve">EG-049-SV-C16-ER11-35LK3</t>
  </si>
  <si>
    <t xml:space="preserve">C16-ER11-35L holes 3mm</t>
  </si>
  <si>
    <t xml:space="preserve">EG-049-SV-C16-ER11-35LK4</t>
  </si>
  <si>
    <t xml:space="preserve">C16-ER11-35L holes 4mm</t>
  </si>
  <si>
    <t xml:space="preserve">EG-049-SV-C16-ER11-35LK5</t>
  </si>
  <si>
    <t xml:space="preserve">C16-ER11-35L holes 5mm </t>
  </si>
  <si>
    <t xml:space="preserve">EG-049-SV-C16-ER11-35LK6</t>
  </si>
  <si>
    <t xml:space="preserve">C16-ER11-35L holes 6mm</t>
  </si>
  <si>
    <t xml:space="preserve">EG-049-SV-C16-ER11-35LK7</t>
  </si>
  <si>
    <t xml:space="preserve">C16-ER11-35L holes 7mm</t>
  </si>
  <si>
    <t xml:space="preserve">EG-049-SV-C16-ER11-35LK8</t>
  </si>
  <si>
    <t xml:space="preserve">C16-ER11-35L holes 8mm</t>
  </si>
  <si>
    <t xml:space="preserve">EG-049-SV-C19-ER16-38LK8</t>
  </si>
  <si>
    <t xml:space="preserve">C19-ER16-38L holes 8mm</t>
  </si>
  <si>
    <t xml:space="preserve">EG-049-SV-C20-ER16-32LK4</t>
  </si>
  <si>
    <t xml:space="preserve">C20-ER16-32L holes 4mm</t>
  </si>
  <si>
    <t xml:space="preserve">EG-049-SV-C20-ER16-32LK5</t>
  </si>
  <si>
    <t xml:space="preserve">C20-ER16-32L holes 5mm</t>
  </si>
  <si>
    <t xml:space="preserve">EG-049-SV-C20-ER16-32LK6</t>
  </si>
  <si>
    <t xml:space="preserve">C20-ER16-32L holes 6mm</t>
  </si>
  <si>
    <t xml:space="preserve">EG-049-SV-C20-ER16-32LK8</t>
  </si>
  <si>
    <t xml:space="preserve">C20-ER16-32L holes 8mm</t>
  </si>
  <si>
    <t xml:space="preserve">EG-049-SV-C20-ER16-38LK4</t>
  </si>
  <si>
    <t xml:space="preserve">C20-ER16-38L holes 4mm</t>
  </si>
  <si>
    <t xml:space="preserve">EG-049-SV-C20-ER16-38LK5</t>
  </si>
  <si>
    <t xml:space="preserve">C20-ER16-38L holes 5mm</t>
  </si>
  <si>
    <t xml:space="preserve">EG-049-SV-C20-ER16-38LK6</t>
  </si>
  <si>
    <t xml:space="preserve">C20-ER16-38L holes 6mm</t>
  </si>
  <si>
    <t xml:space="preserve">EG-049-SV-C20-ER16-38LK8</t>
  </si>
  <si>
    <t xml:space="preserve">C20-ER16-38L holes 8mm</t>
  </si>
  <si>
    <t xml:space="preserve">ER11A Spindle Extension Nut (Black UM)  [Taps / Cutters / Collets]</t>
  </si>
  <si>
    <t xml:space="preserve">ER8M</t>
  </si>
  <si>
    <t xml:space="preserve">EG-032-M10x0.75-SV-ER8M</t>
  </si>
  <si>
    <t xml:space="preserve">EG-032-M12x0.75-BK-ER8A</t>
  </si>
  <si>
    <t xml:space="preserve">ER8A</t>
  </si>
  <si>
    <t xml:space="preserve">M12x0.75</t>
  </si>
  <si>
    <t xml:space="preserve">EG-032-M13x0.75-BK-ER11M</t>
  </si>
  <si>
    <t xml:space="preserve">ER11M</t>
  </si>
  <si>
    <t xml:space="preserve">M13x0.75</t>
  </si>
  <si>
    <t xml:space="preserve">EG-032-M13x0.75-SV-ER11M</t>
  </si>
  <si>
    <t xml:space="preserve">EG-032-M14x0.75-BK-ER11A</t>
  </si>
  <si>
    <t xml:space="preserve">ER11A</t>
  </si>
  <si>
    <t xml:space="preserve">M14x0.75</t>
  </si>
  <si>
    <t xml:space="preserve">EG-032-M14x0.75-SV-ER11A</t>
  </si>
  <si>
    <t xml:space="preserve">EG-032-M19x1-BK-ER16A</t>
  </si>
  <si>
    <t xml:space="preserve">ER16A</t>
  </si>
  <si>
    <t xml:space="preserve">M19x1</t>
  </si>
  <si>
    <t xml:space="preserve">EG-032-M19x1-BK-ER16M</t>
  </si>
  <si>
    <t xml:space="preserve">ER16M</t>
  </si>
  <si>
    <t xml:space="preserve">EG-032-M22x1.5-BK-ER16A</t>
  </si>
  <si>
    <t xml:space="preserve">EG-032-M22x1.5-SV-ER16A</t>
  </si>
  <si>
    <t xml:space="preserve">EG-032-M24x1-BK-ER20A</t>
  </si>
  <si>
    <t xml:space="preserve">ER20A</t>
  </si>
  <si>
    <t xml:space="preserve">EG-032-M24x1-BK-ER20M</t>
  </si>
  <si>
    <t xml:space="preserve">ER20M</t>
  </si>
  <si>
    <t xml:space="preserve">EG-032-M24x1-SV-ER20M</t>
  </si>
  <si>
    <t xml:space="preserve">EG-032-M25x1.5-BK-ER20A</t>
  </si>
  <si>
    <t xml:space="preserve">EG-032-M25x1.5-SV-ER20A</t>
  </si>
  <si>
    <t xml:space="preserve">EG-032-M32x1.5-BK-ER25UM</t>
  </si>
  <si>
    <t xml:space="preserve">ER25UM</t>
  </si>
  <si>
    <t xml:space="preserve">EG-032-M32x1.5-SV-ER25UM</t>
  </si>
  <si>
    <t xml:space="preserve">EG-032-M40x1.5-BK-ER32UM</t>
  </si>
  <si>
    <t xml:space="preserve">ER32UM</t>
  </si>
  <si>
    <t xml:space="preserve">EG-032-M40x1.5-SV-ER32UM</t>
  </si>
  <si>
    <t xml:space="preserve">EG-032-M50x1.5-BK-ER40UM</t>
  </si>
  <si>
    <t xml:space="preserve">ER40UM</t>
  </si>
  <si>
    <t xml:space="preserve">EG-032-M50x1.5-SV-ER40UM</t>
  </si>
  <si>
    <t xml:space="preserve">EG-032-M64x2-BK-ER50UM</t>
  </si>
  <si>
    <t xml:space="preserve">ER50UM</t>
  </si>
  <si>
    <t xml:space="preserve">EG-032-M64x2-SV-ER50UM</t>
  </si>
  <si>
    <t xml:space="preserve">ER11A / ER16A Spindle Nut  [Taps / Cutters / Collets]</t>
  </si>
  <si>
    <t xml:space="preserve">ER11A wrench</t>
  </si>
  <si>
    <t xml:space="preserve">EG-013-ER11AW</t>
  </si>
  <si>
    <t xml:space="preserve">EG-013-ER16AXBS</t>
  </si>
  <si>
    <t xml:space="preserve">ER16A wrench</t>
  </si>
  <si>
    <t xml:space="preserve">EG-013-ER16MXBS</t>
  </si>
  <si>
    <t xml:space="preserve">ER16M wrench</t>
  </si>
  <si>
    <t xml:space="preserve">EG-013-ER16UMXBS</t>
  </si>
  <si>
    <t xml:space="preserve">ER16UM wrench</t>
  </si>
  <si>
    <t xml:space="preserve">EG-013-ER25UMXBS</t>
  </si>
  <si>
    <t xml:space="preserve">ER25UM wrench</t>
  </si>
  <si>
    <t xml:space="preserve">EG-013-ER25YYBS</t>
  </si>
  <si>
    <t xml:space="preserve">ER25 C-wrench</t>
  </si>
  <si>
    <t xml:space="preserve">EG-013-ER32UMXBS</t>
  </si>
  <si>
    <t xml:space="preserve">ER32UM wrench</t>
  </si>
  <si>
    <t xml:space="preserve">EG-013-ER32YYBS</t>
  </si>
  <si>
    <t xml:space="preserve">ER32 C-wrench</t>
  </si>
  <si>
    <t xml:space="preserve">ER16 Morse Taper Holder MTB1-ER16  [Taps / Cutters / Collets]</t>
  </si>
  <si>
    <t xml:space="preserve">EG-009</t>
  </si>
  <si>
    <t xml:space="preserve">ER Spring Collet (ER8-ER40, all sizes)  [Taps / Cutters / Collets]</t>
  </si>
  <si>
    <t xml:space="preserve">Precision</t>
  </si>
  <si>
    <t xml:space="preserve">ER11</t>
  </si>
  <si>
    <t xml:space="preserve">A grade 0.015mm</t>
  </si>
  <si>
    <t xml:space="preserve">ER11-A-1</t>
  </si>
  <si>
    <t xml:space="preserve">ER11-A-1-16</t>
  </si>
  <si>
    <t xml:space="preserve">1/16</t>
  </si>
  <si>
    <t xml:space="preserve">ER11-A-1-4</t>
  </si>
  <si>
    <t xml:space="preserve">ER11-A-1-8</t>
  </si>
  <si>
    <t xml:space="preserve">ER11-A-1.5</t>
  </si>
  <si>
    <t xml:space="preserve">ER11-A-2</t>
  </si>
  <si>
    <t xml:space="preserve">ER11-A-2.5</t>
  </si>
  <si>
    <t xml:space="preserve">ER11-A-3</t>
  </si>
  <si>
    <t xml:space="preserve">ER11-A-3-16</t>
  </si>
  <si>
    <t xml:space="preserve">3/16</t>
  </si>
  <si>
    <t xml:space="preserve">ER11-A-3-32</t>
  </si>
  <si>
    <t xml:space="preserve">3/32</t>
  </si>
  <si>
    <t xml:space="preserve">ER11-A-3.5</t>
  </si>
  <si>
    <t xml:space="preserve">ER11-A-4</t>
  </si>
  <si>
    <t xml:space="preserve">ER11-A-4.5</t>
  </si>
  <si>
    <t xml:space="preserve">ER11-A-5</t>
  </si>
  <si>
    <t xml:space="preserve">ER11-A-5-32</t>
  </si>
  <si>
    <t xml:space="preserve">5/32</t>
  </si>
  <si>
    <t xml:space="preserve">ER11-A-5.5</t>
  </si>
  <si>
    <t xml:space="preserve">ER11-A-6</t>
  </si>
  <si>
    <t xml:space="preserve">ER11-A-6.5</t>
  </si>
  <si>
    <t xml:space="preserve">ER11-A-7</t>
  </si>
  <si>
    <t xml:space="preserve">ER11-A-7-32</t>
  </si>
  <si>
    <t xml:space="preserve">7/32</t>
  </si>
  <si>
    <t xml:space="preserve">ER11-A-8</t>
  </si>
  <si>
    <t xml:space="preserve">ER11-AA-1-4</t>
  </si>
  <si>
    <t xml:space="preserve">AA grade 0.008mm</t>
  </si>
  <si>
    <t xml:space="preserve">ER11-AA-1-8</t>
  </si>
  <si>
    <t xml:space="preserve">ER11-AA-3</t>
  </si>
  <si>
    <t xml:space="preserve">ER11-AA-4</t>
  </si>
  <si>
    <t xml:space="preserve">ER11-AA-5</t>
  </si>
  <si>
    <t xml:space="preserve">ER11-AA-6</t>
  </si>
  <si>
    <t xml:space="preserve">ER11-AAA-1-8</t>
  </si>
  <si>
    <t xml:space="preserve">AAA grade 0.005mm</t>
  </si>
  <si>
    <t xml:space="preserve">ER11-AAA-3</t>
  </si>
  <si>
    <t xml:space="preserve">ER11-AAA-4</t>
  </si>
  <si>
    <t xml:space="preserve">ER11-AAA-5</t>
  </si>
  <si>
    <t xml:space="preserve">ER11-AAA-6</t>
  </si>
  <si>
    <t xml:space="preserve">ER16-A-1</t>
  </si>
  <si>
    <t xml:space="preserve">ER16</t>
  </si>
  <si>
    <t xml:space="preserve">ER16-A-1-4-6.35</t>
  </si>
  <si>
    <t xml:space="preserve">1/4 6.35</t>
  </si>
  <si>
    <t xml:space="preserve">ER16-A-1-8-3.175</t>
  </si>
  <si>
    <t xml:space="preserve">1/8 3.175</t>
  </si>
  <si>
    <t xml:space="preserve">ER16-A-1.5</t>
  </si>
  <si>
    <t xml:space="preserve">ER16-A-10</t>
  </si>
  <si>
    <t xml:space="preserve">ER16-A-2</t>
  </si>
  <si>
    <t xml:space="preserve">ER16-A-2.5</t>
  </si>
  <si>
    <t xml:space="preserve">ER16-A-3</t>
  </si>
  <si>
    <t xml:space="preserve">ER16-A-3.5</t>
  </si>
  <si>
    <t xml:space="preserve">ER16-A-4</t>
  </si>
  <si>
    <t xml:space="preserve">ER16-A-4.5</t>
  </si>
  <si>
    <t xml:space="preserve">ER16-A-5</t>
  </si>
  <si>
    <t xml:space="preserve">ER16-A-5.5</t>
  </si>
  <si>
    <t xml:space="preserve">ER16-A-6</t>
  </si>
  <si>
    <t xml:space="preserve">ER16-A-6.5</t>
  </si>
  <si>
    <t xml:space="preserve">ER16-A-7</t>
  </si>
  <si>
    <t xml:space="preserve">ER16-A-7.5</t>
  </si>
  <si>
    <t xml:space="preserve">7.5</t>
  </si>
  <si>
    <t xml:space="preserve">ER16-A-8</t>
  </si>
  <si>
    <t xml:space="preserve">ER16-A-8.5</t>
  </si>
  <si>
    <t xml:space="preserve">8.5</t>
  </si>
  <si>
    <t xml:space="preserve">ER16-A-9</t>
  </si>
  <si>
    <t xml:space="preserve">ER16-A-9.5</t>
  </si>
  <si>
    <t xml:space="preserve">ER16-AA-1-4-6.35</t>
  </si>
  <si>
    <t xml:space="preserve">ER16-AA-1-8-3.175</t>
  </si>
  <si>
    <t xml:space="preserve">ER16-AA-6</t>
  </si>
  <si>
    <t xml:space="preserve">ER16-AA-8</t>
  </si>
  <si>
    <t xml:space="preserve">ER20-A-1</t>
  </si>
  <si>
    <t xml:space="preserve">ER20</t>
  </si>
  <si>
    <t xml:space="preserve">ER20-A-1-16</t>
  </si>
  <si>
    <t xml:space="preserve">ER20-A-1-2-12.7</t>
  </si>
  <si>
    <t xml:space="preserve">1/2 12.7</t>
  </si>
  <si>
    <t xml:space="preserve">ER20-A-1-4-6.35</t>
  </si>
  <si>
    <t xml:space="preserve">ER20-A-1-8-3.175</t>
  </si>
  <si>
    <t xml:space="preserve">ER20-A-1.5</t>
  </si>
  <si>
    <t xml:space="preserve">ER20-A-10</t>
  </si>
  <si>
    <t xml:space="preserve">ER20-A-10.5</t>
  </si>
  <si>
    <t xml:space="preserve">10.5</t>
  </si>
  <si>
    <t xml:space="preserve">ER20-A-11</t>
  </si>
  <si>
    <t xml:space="preserve">ER20-A-11-32</t>
  </si>
  <si>
    <t xml:space="preserve">11/32</t>
  </si>
  <si>
    <t xml:space="preserve">ER20-A-11.5</t>
  </si>
  <si>
    <t xml:space="preserve">11.5</t>
  </si>
  <si>
    <t xml:space="preserve">ER20-A-12</t>
  </si>
  <si>
    <t xml:space="preserve">ER20-A-12.5</t>
  </si>
  <si>
    <t xml:space="preserve">12.5</t>
  </si>
  <si>
    <t xml:space="preserve">ER20-A-13</t>
  </si>
  <si>
    <t xml:space="preserve">ER20-A-13-32</t>
  </si>
  <si>
    <t xml:space="preserve">13/32</t>
  </si>
  <si>
    <t xml:space="preserve">ER20-A-2</t>
  </si>
  <si>
    <t xml:space="preserve">ER20-A-2.5</t>
  </si>
  <si>
    <t xml:space="preserve">ER20-A-3</t>
  </si>
  <si>
    <t xml:space="preserve">ER20-A-3-16</t>
  </si>
  <si>
    <t xml:space="preserve">ER20-A-3-32</t>
  </si>
  <si>
    <t xml:space="preserve">ER20-A-3-8</t>
  </si>
  <si>
    <t xml:space="preserve">ER20-A-3.5</t>
  </si>
  <si>
    <t xml:space="preserve">ER20-A-4</t>
  </si>
  <si>
    <t xml:space="preserve">ER20-A-4.5</t>
  </si>
  <si>
    <t xml:space="preserve">ER20-A-5</t>
  </si>
  <si>
    <t xml:space="preserve">ER20-A-5-16</t>
  </si>
  <si>
    <t xml:space="preserve">5/16</t>
  </si>
  <si>
    <t xml:space="preserve">ER20-A-5-32</t>
  </si>
  <si>
    <t xml:space="preserve">ER20-A-5.5</t>
  </si>
  <si>
    <t xml:space="preserve">ER20-A-6</t>
  </si>
  <si>
    <t xml:space="preserve">ER20-A-6.5</t>
  </si>
  <si>
    <t xml:space="preserve">ER20-A-7</t>
  </si>
  <si>
    <t xml:space="preserve">ER20-A-7-16</t>
  </si>
  <si>
    <t xml:space="preserve">7/16</t>
  </si>
  <si>
    <t xml:space="preserve">ER20-A-7-32</t>
  </si>
  <si>
    <t xml:space="preserve">ER20-A-7.5</t>
  </si>
  <si>
    <t xml:space="preserve">ER20-A-8</t>
  </si>
  <si>
    <t xml:space="preserve">ER20-A-8.5</t>
  </si>
  <si>
    <t xml:space="preserve">ER20-A-9</t>
  </si>
  <si>
    <t xml:space="preserve">ER20-A-9-32</t>
  </si>
  <si>
    <t xml:space="preserve">9/32</t>
  </si>
  <si>
    <t xml:space="preserve">ER20-A-9.5</t>
  </si>
  <si>
    <t xml:space="preserve">ER20-AA-1</t>
  </si>
  <si>
    <t xml:space="preserve">ER20-AA-1-2</t>
  </si>
  <si>
    <t xml:space="preserve">ER20-AA-1-4</t>
  </si>
  <si>
    <t xml:space="preserve">ER20-AA-1-8</t>
  </si>
  <si>
    <t xml:space="preserve">ER20-AA-10</t>
  </si>
  <si>
    <t xml:space="preserve">ER20-AA-11</t>
  </si>
  <si>
    <t xml:space="preserve">ER20-AA-12</t>
  </si>
  <si>
    <t xml:space="preserve">ER20-AA-13</t>
  </si>
  <si>
    <t xml:space="preserve">ER20-AA-2</t>
  </si>
  <si>
    <t xml:space="preserve">ER20-AA-3</t>
  </si>
  <si>
    <t xml:space="preserve">ER20-AA-4</t>
  </si>
  <si>
    <t xml:space="preserve">ER20-AA-5</t>
  </si>
  <si>
    <t xml:space="preserve">ER20-AA-6</t>
  </si>
  <si>
    <t xml:space="preserve">ER20-AA-6.5</t>
  </si>
  <si>
    <t xml:space="preserve">ER20-AA-7</t>
  </si>
  <si>
    <t xml:space="preserve">ER20-AA-7.5</t>
  </si>
  <si>
    <t xml:space="preserve">ER20-AA-8</t>
  </si>
  <si>
    <t xml:space="preserve">ER20-AA-9</t>
  </si>
  <si>
    <t xml:space="preserve">ER20-AAA-1-8</t>
  </si>
  <si>
    <t xml:space="preserve">ER20-AAA-10</t>
  </si>
  <si>
    <t xml:space="preserve">ER20-AAA-12</t>
  </si>
  <si>
    <t xml:space="preserve">ER20-AAA-2</t>
  </si>
  <si>
    <t xml:space="preserve">ER20-AAA-3</t>
  </si>
  <si>
    <t xml:space="preserve">ER20-AAA-4</t>
  </si>
  <si>
    <t xml:space="preserve">ER20-AAA-6</t>
  </si>
  <si>
    <t xml:space="preserve">ER20-AAA-7.5</t>
  </si>
  <si>
    <t xml:space="preserve">ER20-AAA-8</t>
  </si>
  <si>
    <t xml:space="preserve">ER25-A-1</t>
  </si>
  <si>
    <t xml:space="preserve">ER25</t>
  </si>
  <si>
    <t xml:space="preserve">ER25-A-10</t>
  </si>
  <si>
    <t xml:space="preserve">ER25-A-13</t>
  </si>
  <si>
    <t xml:space="preserve">ER25-A-14</t>
  </si>
  <si>
    <t xml:space="preserve">ER25-A-15</t>
  </si>
  <si>
    <t xml:space="preserve">ER25-A-16</t>
  </si>
  <si>
    <t xml:space="preserve">ER25-A-2</t>
  </si>
  <si>
    <t xml:space="preserve">ER25-A-3</t>
  </si>
  <si>
    <t xml:space="preserve">ER32-A-1</t>
  </si>
  <si>
    <t xml:space="preserve">ER32</t>
  </si>
  <si>
    <t xml:space="preserve">ER32-A-10</t>
  </si>
  <si>
    <t xml:space="preserve">ER32-A-2</t>
  </si>
  <si>
    <t xml:space="preserve">ER32-A-3</t>
  </si>
  <si>
    <t xml:space="preserve">ER32-A-3.175</t>
  </si>
  <si>
    <t xml:space="preserve">ER32-A-4</t>
  </si>
  <si>
    <t xml:space="preserve">ER32-A-5</t>
  </si>
  <si>
    <t xml:space="preserve">ER32-A-6</t>
  </si>
  <si>
    <t xml:space="preserve">ER32-A-6.35</t>
  </si>
  <si>
    <t xml:space="preserve">ER32-A-7</t>
  </si>
  <si>
    <t xml:space="preserve">ER32-A-8</t>
  </si>
  <si>
    <t xml:space="preserve">ER32-A-9</t>
  </si>
  <si>
    <t xml:space="preserve">ER32-AAA-20</t>
  </si>
  <si>
    <t xml:space="preserve">ER40-A-1</t>
  </si>
  <si>
    <t xml:space="preserve">ER40</t>
  </si>
  <si>
    <t xml:space="preserve">1 imperial</t>
  </si>
  <si>
    <t xml:space="preserve">ER40-A-1-2</t>
  </si>
  <si>
    <t xml:space="preserve">ER40-A-1-4</t>
  </si>
  <si>
    <t xml:space="preserve">ER40-A-1-8</t>
  </si>
  <si>
    <t xml:space="preserve">ER40-A-10</t>
  </si>
  <si>
    <t xml:space="preserve">ER40-A-11</t>
  </si>
  <si>
    <t xml:space="preserve">ER40-A-12</t>
  </si>
  <si>
    <t xml:space="preserve">ER40-A-13</t>
  </si>
  <si>
    <t xml:space="preserve">ER40-A-15</t>
  </si>
  <si>
    <t xml:space="preserve">ER40-A-16</t>
  </si>
  <si>
    <t xml:space="preserve">ER40-A-17</t>
  </si>
  <si>
    <t xml:space="preserve">ER40-A-18</t>
  </si>
  <si>
    <t xml:space="preserve">ER40-A-19</t>
  </si>
  <si>
    <t xml:space="preserve">ER40-A-20</t>
  </si>
  <si>
    <t xml:space="preserve">ER40-A-21</t>
  </si>
  <si>
    <t xml:space="preserve">ER40-A-22</t>
  </si>
  <si>
    <t xml:space="preserve">ER40-A-23</t>
  </si>
  <si>
    <t xml:space="preserve">ER40-A-24</t>
  </si>
  <si>
    <t xml:space="preserve">ER40-A-25</t>
  </si>
  <si>
    <t xml:space="preserve">ER40-A-26</t>
  </si>
  <si>
    <t xml:space="preserve">ER40-A-27</t>
  </si>
  <si>
    <t xml:space="preserve">ER40-A-28</t>
  </si>
  <si>
    <t xml:space="preserve">ER40-A-29</t>
  </si>
  <si>
    <t xml:space="preserve">ER40-A-3</t>
  </si>
  <si>
    <t xml:space="preserve">ER40-A-3-4</t>
  </si>
  <si>
    <t xml:space="preserve">3/4</t>
  </si>
  <si>
    <t xml:space="preserve">ER40-A-30</t>
  </si>
  <si>
    <t xml:space="preserve">ER40-A-4</t>
  </si>
  <si>
    <t xml:space="preserve">ER40-A-40</t>
  </si>
  <si>
    <t xml:space="preserve">ER40-A-5</t>
  </si>
  <si>
    <t xml:space="preserve">ER40-A-6</t>
  </si>
  <si>
    <t xml:space="preserve">ER40-A-7</t>
  </si>
  <si>
    <t xml:space="preserve">ER40-A-8</t>
  </si>
  <si>
    <t xml:space="preserve">ER40-A-9</t>
  </si>
  <si>
    <t xml:space="preserve">ER8-A-1</t>
  </si>
  <si>
    <t xml:space="preserve">ER8</t>
  </si>
  <si>
    <t xml:space="preserve">ER8-A-1.5</t>
  </si>
  <si>
    <t xml:space="preserve">ER8-A-2</t>
  </si>
  <si>
    <t xml:space="preserve">ER8-A-2.5</t>
  </si>
  <si>
    <t xml:space="preserve">ER8-A-3</t>
  </si>
  <si>
    <t xml:space="preserve">ER8-A-3.175-1-8</t>
  </si>
  <si>
    <t xml:space="preserve">3.175 1/8</t>
  </si>
  <si>
    <t xml:space="preserve">ER8-A-3.5</t>
  </si>
  <si>
    <t xml:space="preserve">ER8-A-4</t>
  </si>
  <si>
    <t xml:space="preserve">ER8-A-4.5</t>
  </si>
  <si>
    <t xml:space="preserve">ER8-A-5</t>
  </si>
  <si>
    <t xml:space="preserve">M35 Cobalt Machine Tap for Stainless  [Taps / Cutters / Collets]</t>
  </si>
  <si>
    <t xml:space="preserve">Spiral</t>
  </si>
  <si>
    <t xml:space="preserve">EG-065-LX</t>
  </si>
  <si>
    <t xml:space="preserve">EG-065-ZC</t>
  </si>
  <si>
    <t xml:space="preserve">Straight flute</t>
  </si>
  <si>
    <t xml:space="preserve">M35 Cobalt Spiral Tap for Aluminum  [Taps / Cutters / Collets]</t>
  </si>
  <si>
    <t xml:space="preserve">EG-064</t>
  </si>
  <si>
    <t xml:space="preserve">PCB Corn End Mill (Left / Right Hand)  [Taps / Cutters / Collets]</t>
  </si>
  <si>
    <t xml:space="preserve">Helix Direction</t>
  </si>
  <si>
    <t xml:space="preserve">Coating</t>
  </si>
  <si>
    <t xml:space="preserve">Locating Ring</t>
  </si>
  <si>
    <t xml:space="preserve">3.175*1.0*7*38L</t>
  </si>
  <si>
    <t xml:space="preserve">1 pcs </t>
  </si>
  <si>
    <t xml:space="preserve">Left-hand</t>
  </si>
  <si>
    <t xml:space="preserve">no locating ring</t>
  </si>
  <si>
    <t xml:space="preserve">PCB-L-3.175-1.0-7-38L-NR</t>
  </si>
  <si>
    <t xml:space="preserve">PCB-L-3.175-1.0-7-38L-RG</t>
  </si>
  <si>
    <t xml:space="preserve">with locating ring</t>
  </si>
  <si>
    <t xml:space="preserve">PCB-L-3.175-1.0-7-38L-TI-NR</t>
  </si>
  <si>
    <t xml:space="preserve">Titanium coated</t>
  </si>
  <si>
    <t xml:space="preserve">PCB-L-3.175-1.0-7-38L-TI-RG</t>
  </si>
  <si>
    <t xml:space="preserve">PCB-L-3.175-1.3-8-38L-NR</t>
  </si>
  <si>
    <t xml:space="preserve">3.175*1.3*8*38L</t>
  </si>
  <si>
    <t xml:space="preserve">PCB-L-3.175-1.3-8-38L-RG</t>
  </si>
  <si>
    <t xml:space="preserve">PCB-L-3.175-1.5-8.5-38L-NR</t>
  </si>
  <si>
    <t xml:space="preserve">3.175*1.5*8.5*38L</t>
  </si>
  <si>
    <t xml:space="preserve">PCB-L-3.175-1.5-8.5-38L-RG</t>
  </si>
  <si>
    <t xml:space="preserve">PCB-L-3.175-1.6-8.5-38L-NR</t>
  </si>
  <si>
    <t xml:space="preserve">3.175*1.6*8.5*38L</t>
  </si>
  <si>
    <t xml:space="preserve">PCB-L-3.175-1.6-8.5-38L-RG</t>
  </si>
  <si>
    <t xml:space="preserve">PCB-L-3.175-1.8-9.5-38L-NR</t>
  </si>
  <si>
    <t xml:space="preserve">3.175*1.8*9.5*38L</t>
  </si>
  <si>
    <t xml:space="preserve">PCB-L-3.175-1.8-9.5-38L-RG</t>
  </si>
  <si>
    <t xml:space="preserve">PCB-L-3.175-2.0-9.5-38L-NR</t>
  </si>
  <si>
    <t xml:space="preserve">3.175*2.0*9.5*38L</t>
  </si>
  <si>
    <t xml:space="preserve">PCB-L-3.175-2.0-9.5-38L-RG</t>
  </si>
  <si>
    <t xml:space="preserve">PCB-R-3.175-0.4-3.5-38L-RG</t>
  </si>
  <si>
    <t xml:space="preserve">3.175*0.4*3.5*38L</t>
  </si>
  <si>
    <t xml:space="preserve">Right-hand</t>
  </si>
  <si>
    <t xml:space="preserve">PCB-R-3.175-0.5-4-38L-NR</t>
  </si>
  <si>
    <t xml:space="preserve">3.175*0.5*4*38L</t>
  </si>
  <si>
    <t xml:space="preserve">PCB-R-3.175-0.6-4-38L-RG</t>
  </si>
  <si>
    <t xml:space="preserve">3.175*0.6*4*38L</t>
  </si>
  <si>
    <t xml:space="preserve">PCB-R-3.175-0.6-4-38L-TI-NR-P10</t>
  </si>
  <si>
    <t xml:space="preserve">10 pcs pack</t>
  </si>
  <si>
    <t xml:space="preserve">PCB-R-3.175-0.6-4-38L-TI-RG-P10</t>
  </si>
  <si>
    <t xml:space="preserve">PCB-R-3.175-0.8-5.5-38L-RG</t>
  </si>
  <si>
    <t xml:space="preserve">3.175*0.8*5.5*38L</t>
  </si>
  <si>
    <t xml:space="preserve">PCB-R-3.175-1.0-7-38L-NR</t>
  </si>
  <si>
    <t xml:space="preserve">PCB-R-3.175-1.0-7-38L-RG</t>
  </si>
  <si>
    <t xml:space="preserve">PCB-R-3.175-1.0-7-38L-TI-NR</t>
  </si>
  <si>
    <t xml:space="preserve">PCB-R-3.175-1.0-7-38L-TI-NR-P10</t>
  </si>
  <si>
    <t xml:space="preserve">PCB-R-3.175-1.0-7-38L-TI-RG</t>
  </si>
  <si>
    <t xml:space="preserve">PCB-R-3.175-1.0-7-38L-TI-RG-P10</t>
  </si>
  <si>
    <t xml:space="preserve">PCB-R-3.175-1.2-7-38L-RG</t>
  </si>
  <si>
    <t xml:space="preserve">3.175*1.2*7*38L</t>
  </si>
  <si>
    <t xml:space="preserve">PCB-R-3.175-1.3-8-38L-RG</t>
  </si>
  <si>
    <t xml:space="preserve">PCB-R-3.175-1.5-8.5-38L-NR</t>
  </si>
  <si>
    <t xml:space="preserve">PCB-R-3.175-1.5-8.5-38L-RG</t>
  </si>
  <si>
    <t xml:space="preserve">PCB-R-3.175-1.5-8.5-38L-TI-NR-P10</t>
  </si>
  <si>
    <t xml:space="preserve">PCB-R-3.175-1.5-8.5-38L-TI-RG-P10</t>
  </si>
  <si>
    <t xml:space="preserve">PCB-R-3.175-1.6-8.5-38L-NR</t>
  </si>
  <si>
    <t xml:space="preserve">PCB-R-3.175-1.6-8.5-38L-RG</t>
  </si>
  <si>
    <t xml:space="preserve">PCB-R-3.175-1.8-9.5-38L-RG</t>
  </si>
  <si>
    <t xml:space="preserve">PCB-R-3.175-2.0-9.5-38L-NR</t>
  </si>
  <si>
    <t xml:space="preserve">PCB-R-3.175-2.0-9.5-38L-RG</t>
  </si>
  <si>
    <t xml:space="preserve">PCB-R-3.175-2.4-10.5-38L-RG</t>
  </si>
  <si>
    <t xml:space="preserve">3.175*2.4*10.5*38L</t>
  </si>
  <si>
    <t xml:space="preserve">PCB-R-3.175-2.5-10.5-38L-NR</t>
  </si>
  <si>
    <t xml:space="preserve">3.175*2.5*10.5*38L</t>
  </si>
  <si>
    <t xml:space="preserve">PCB-R-3.175-2.5-10.5-38L-RG</t>
  </si>
  <si>
    <t xml:space="preserve">PCB-R-3.175-2.5-12-38L-NR</t>
  </si>
  <si>
    <t xml:space="preserve">3.175*2.5*12*38L</t>
  </si>
  <si>
    <t xml:space="preserve">PCB-R-3.175-2.5-12-38L-RG</t>
  </si>
  <si>
    <t xml:space="preserve">PCB-R-3.175-2.5-12-38L-TI-NR</t>
  </si>
  <si>
    <t xml:space="preserve">PCB-R-3.175-2.5-12-38L-TI-RG</t>
  </si>
  <si>
    <t xml:space="preserve">PCB-R-3.175-3.0-12-38L-NR</t>
  </si>
  <si>
    <t xml:space="preserve">3.175*3.0*12*38L</t>
  </si>
  <si>
    <t xml:space="preserve">PCB-R-3.175-3.0-12-38L-RG</t>
  </si>
  <si>
    <t xml:space="preserve">PCB-R-3.175-3.175-12-38L-NR</t>
  </si>
  <si>
    <t xml:space="preserve">3.175*3.175*12*38L</t>
  </si>
  <si>
    <t xml:space="preserve">PCB-R-3.175-3.175-12-38L-RG</t>
  </si>
  <si>
    <t xml:space="preserve">PCB-R-5-5-25-50</t>
  </si>
  <si>
    <t xml:space="preserve">5*5*25*50</t>
  </si>
  <si>
    <t xml:space="preserve">PCB-R-6-6-25-50</t>
  </si>
  <si>
    <t xml:space="preserve">6*6*25*50</t>
  </si>
  <si>
    <t xml:space="preserve">PCB-R-6-6-42-75</t>
  </si>
  <si>
    <t xml:space="preserve">6*6*42*75</t>
  </si>
  <si>
    <t xml:space="preserve">PCB-R-6.35-6.35-25-50</t>
  </si>
  <si>
    <t xml:space="preserve">6.35*6.35*25*50</t>
  </si>
  <si>
    <t xml:space="preserve">PCB-R-S3.175mm-0.8-3.175mm-TI-P10</t>
  </si>
  <si>
    <t xml:space="preserve">Shank Dia 3.175mm 0.8-3.175mm</t>
  </si>
  <si>
    <t xml:space="preserve">PCB Drill / End Mill Box (3.175 / 4mm)  [Taps / Cutters / Collets]</t>
  </si>
  <si>
    <t xml:space="preserve">Holes</t>
  </si>
  <si>
    <t xml:space="preserve">3.175 standard</t>
  </si>
  <si>
    <t xml:space="preserve">20 holes</t>
  </si>
  <si>
    <t xml:space="preserve">EG-006-3.175-20H</t>
  </si>
  <si>
    <t xml:space="preserve">EG-006-3.175PTDKC-10H</t>
  </si>
  <si>
    <t xml:space="preserve">3.175 standard with slots</t>
  </si>
  <si>
    <t xml:space="preserve">10 holes</t>
  </si>
  <si>
    <t xml:space="preserve">EG-006-3.175THMWKC-10H</t>
  </si>
  <si>
    <t xml:space="preserve">3.175mm foam, no slots</t>
  </si>
  <si>
    <t xml:space="preserve">EG-006-4THMWKC-10H</t>
  </si>
  <si>
    <t xml:space="preserve">4mm foam, no slots</t>
  </si>
  <si>
    <t xml:space="preserve">Trapezoidal Machine Tap T8-T20  [Taps / Cutters / Collets]</t>
  </si>
  <si>
    <t xml:space="preserve">T12x1.5x115</t>
  </si>
  <si>
    <t xml:space="preserve">EG-042-LH-T12x1.5x115</t>
  </si>
  <si>
    <t xml:space="preserve">EG-042-LH-T12x1x115</t>
  </si>
  <si>
    <t xml:space="preserve">T12x1x115</t>
  </si>
  <si>
    <t xml:space="preserve">EG-042-LH-T12x2x115</t>
  </si>
  <si>
    <t xml:space="preserve">T12x2x115</t>
  </si>
  <si>
    <t xml:space="preserve">EG-042-LH-T12x3</t>
  </si>
  <si>
    <t xml:space="preserve">T12x3</t>
  </si>
  <si>
    <t xml:space="preserve">EG-042-LH-T14x1.5x150</t>
  </si>
  <si>
    <t xml:space="preserve">T14x1.5x150</t>
  </si>
  <si>
    <t xml:space="preserve">EG-042-LH-T14x2x150</t>
  </si>
  <si>
    <t xml:space="preserve">T14x2x150</t>
  </si>
  <si>
    <t xml:space="preserve">EG-042-LH-T14x3x150</t>
  </si>
  <si>
    <t xml:space="preserve">T14x3x150</t>
  </si>
  <si>
    <t xml:space="preserve">EG-042-LH-T16x2.5x160</t>
  </si>
  <si>
    <t xml:space="preserve">T16x2.5x160</t>
  </si>
  <si>
    <t xml:space="preserve">EG-042-LH-T16x2x160</t>
  </si>
  <si>
    <t xml:space="preserve">T16x2x160</t>
  </si>
  <si>
    <t xml:space="preserve">EG-042-LH-T16x4x160</t>
  </si>
  <si>
    <t xml:space="preserve">T16x4x160</t>
  </si>
  <si>
    <t xml:space="preserve">EG-042-LH-T20x2.5x170</t>
  </si>
  <si>
    <t xml:space="preserve">T20x2.5x170</t>
  </si>
  <si>
    <t xml:space="preserve">EG-042-LH-T20x2x170</t>
  </si>
  <si>
    <t xml:space="preserve">T20x2x170</t>
  </si>
  <si>
    <t xml:space="preserve">EG-042-LH-T20x3x170</t>
  </si>
  <si>
    <t xml:space="preserve">T20x3x170</t>
  </si>
  <si>
    <t xml:space="preserve">EG-042-LH-T20x4x170</t>
  </si>
  <si>
    <t xml:space="preserve">T20x4x170</t>
  </si>
  <si>
    <t xml:space="preserve">EG-042-T12x1.5x115</t>
  </si>
  <si>
    <t xml:space="preserve">EG-042-T12x1x115</t>
  </si>
  <si>
    <t xml:space="preserve">EG-042-T12x2x115</t>
  </si>
  <si>
    <t xml:space="preserve">EG-042-T12x3x115</t>
  </si>
  <si>
    <t xml:space="preserve">T12x3x115</t>
  </si>
  <si>
    <t xml:space="preserve">EG-042-T12x4x115</t>
  </si>
  <si>
    <t xml:space="preserve">T12x4x115</t>
  </si>
  <si>
    <t xml:space="preserve">EG-042-T14x2x150</t>
  </si>
  <si>
    <t xml:space="preserve">EG-042-T14x3x150</t>
  </si>
  <si>
    <t xml:space="preserve">EG-042-T16x1.5x160</t>
  </si>
  <si>
    <t xml:space="preserve">T16x1.5x160</t>
  </si>
  <si>
    <t xml:space="preserve">EG-042-T16x2x160</t>
  </si>
  <si>
    <t xml:space="preserve">EG-042-T16x3x160</t>
  </si>
  <si>
    <t xml:space="preserve">T16x3x160</t>
  </si>
  <si>
    <t xml:space="preserve">EG-042-T16x4x160</t>
  </si>
  <si>
    <t xml:space="preserve">EG-042-T20x2.5x170</t>
  </si>
  <si>
    <t xml:space="preserve">EG-042-T20x2x170</t>
  </si>
  <si>
    <t xml:space="preserve">EG-042-T20x3x170</t>
  </si>
  <si>
    <t xml:space="preserve">EG-042-T20x4x170</t>
  </si>
  <si>
    <t xml:space="preserve">EG-042-TR8x1ZZ80</t>
  </si>
  <si>
    <t xml:space="preserve">TR8x1 total L 80</t>
  </si>
  <si>
    <t xml:space="preserve">EG-042-TR8x2ZZ80</t>
  </si>
  <si>
    <t xml:space="preserve">TR8x2 total L 80</t>
  </si>
  <si>
    <t xml:space="preserve">TCT Double-Flute Straight Router Bit 1/2 Shank  [Taps / Cutters / Collets]</t>
  </si>
  <si>
    <t xml:space="preserve">EG-031</t>
  </si>
  <si>
    <t xml:space="preserve">Ultimaker 2 Bed Glass Clip  [Taps / Cutters / Collets]</t>
  </si>
  <si>
    <t xml:space="preserve">Large glass clip</t>
  </si>
  <si>
    <t xml:space="preserve">EG-028-DBLJ</t>
  </si>
  <si>
    <t xml:space="preserve">EG-028-UM2-HBLJ-P2</t>
  </si>
  <si>
    <t xml:space="preserve">UM2 rear glass clip</t>
  </si>
  <si>
    <t xml:space="preserve">EG-028-UM2-QBLJ</t>
  </si>
  <si>
    <t xml:space="preserve">UM2 front glass clip</t>
  </si>
  <si>
    <t xml:space="preserve">Spindle Collet Reducer Sleeve  [Taps / Cutters / Collets]</t>
  </si>
  <si>
    <t xml:space="preserve">12.7mm</t>
  </si>
  <si>
    <t xml:space="preserve">EG-054-12.7-10</t>
  </si>
  <si>
    <t xml:space="preserve">EG-054-12.7-3.175</t>
  </si>
  <si>
    <t xml:space="preserve">3.175mm</t>
  </si>
  <si>
    <t xml:space="preserve">EG-054-12.7-4</t>
  </si>
  <si>
    <t xml:space="preserve">EG-054-12.7-6</t>
  </si>
  <si>
    <t xml:space="preserve">EG-054-12.7-6.35</t>
  </si>
  <si>
    <t xml:space="preserve">EG-054-12.7-8</t>
  </si>
  <si>
    <t xml:space="preserve">EG-054-6-3.175</t>
  </si>
  <si>
    <t xml:space="preserve">EG-054-6-4</t>
  </si>
  <si>
    <t xml:space="preserve">EG-054-6.35-3.175</t>
  </si>
  <si>
    <t xml:space="preserve">EG-054-6.35-4</t>
  </si>
  <si>
    <t xml:space="preserve">Router Surfacing Bit, 8mm shank  [Taps / Cutters / Collets]</t>
  </si>
  <si>
    <t xml:space="preserve">7 -pc set</t>
  </si>
  <si>
    <t xml:space="preserve">EG-072-7JT</t>
  </si>
  <si>
    <t xml:space="preserve">EG-072-8x10</t>
  </si>
  <si>
    <t xml:space="preserve">8mm*10mm</t>
  </si>
  <si>
    <t xml:space="preserve">EG-072-8x12</t>
  </si>
  <si>
    <t xml:space="preserve">8mm*12mm</t>
  </si>
  <si>
    <t xml:space="preserve">EG-072-8x16</t>
  </si>
  <si>
    <t xml:space="preserve">8mm*16mm</t>
  </si>
  <si>
    <t xml:space="preserve">EG-072-8x18</t>
  </si>
  <si>
    <t xml:space="preserve">8mm*18mm</t>
  </si>
  <si>
    <t xml:space="preserve">EG-072-8x5</t>
  </si>
  <si>
    <t xml:space="preserve">8mm*5mm</t>
  </si>
  <si>
    <t xml:space="preserve">EG-072-8x6</t>
  </si>
  <si>
    <t xml:space="preserve">8mm*6mm</t>
  </si>
  <si>
    <t xml:space="preserve">EG-072-8x8</t>
  </si>
  <si>
    <t xml:space="preserve">8mm*8mm</t>
  </si>
  <si>
    <t xml:space="preserve">Hex Shank 3-in-1 Drill Tap  [Taps / Cutters / Collets]</t>
  </si>
  <si>
    <t xml:space="preserve">EG-027</t>
  </si>
  <si>
    <t xml:space="preserve">Double-Bearing Flush Trim Router Bit  [Taps / Cutters / Collets]</t>
  </si>
  <si>
    <t xml:space="preserve">Top &amp; bottom bearing trimming bit *25</t>
  </si>
  <si>
    <t xml:space="preserve">1/4x1/2</t>
  </si>
  <si>
    <t xml:space="preserve">EG-023-14x12-BK-SXZC-XBD-x25</t>
  </si>
  <si>
    <t xml:space="preserve">EG-023-14x12-YL-SXZC-XBD-x25</t>
  </si>
  <si>
    <t xml:space="preserve">EG-023-14x12-YL-SXZC-XBD-x38</t>
  </si>
  <si>
    <t xml:space="preserve">Top &amp; bottom bearing trimming bit *38</t>
  </si>
  <si>
    <t xml:space="preserve">EG-023-14x38-YL-JZXBD-x2</t>
  </si>
  <si>
    <t xml:space="preserve">Long trimming bit *2</t>
  </si>
  <si>
    <t xml:space="preserve">1/4x3/8</t>
  </si>
  <si>
    <t xml:space="preserve">EG-023-14x38-YL-JZZD-x2</t>
  </si>
  <si>
    <t xml:space="preserve">Long straight bit *2</t>
  </si>
  <si>
    <t xml:space="preserve">Mini Lathe Tool Set 12mm, 21 pcs  [Taps / Cutters / Collets]</t>
  </si>
  <si>
    <t xml:space="preserve">EG-057-BK-10</t>
  </si>
  <si>
    <t xml:space="preserve">EG-057-BK-12</t>
  </si>
  <si>
    <t xml:space="preserve">EG-057-SV-10</t>
  </si>
  <si>
    <t xml:space="preserve">EG-057-SV-12</t>
  </si>
  <si>
    <t xml:space="preserve">Diamond Burr Set (3mm shank)  [Taps / Cutters / Collets]</t>
  </si>
  <si>
    <t xml:space="preserve">EG-025</t>
  </si>
  <si>
    <t xml:space="preserve">Steel Tap Wrench  [Taps / Cutters / Collets]</t>
  </si>
  <si>
    <t xml:space="preserve">190mm</t>
  </si>
  <si>
    <t xml:space="preserve">M1-M12</t>
  </si>
  <si>
    <t xml:space="preserve">EG-046-M1-M12-190</t>
  </si>
  <si>
    <t xml:space="preserve">EG-046-M8-M18-380</t>
  </si>
  <si>
    <t xml:space="preserve">380mm</t>
  </si>
  <si>
    <t xml:space="preserve">M8-M18</t>
  </si>
  <si>
    <t xml:space="preserve">Carbide 4-Flute Roughing End Mill 55°  [Taps / Cutters / Collets]</t>
  </si>
  <si>
    <t xml:space="preserve">EG-060</t>
  </si>
  <si>
    <t xml:space="preserve">Carbide PCB Micro Drill, 3.175mm shank  [Taps / Cutters / Collets]</t>
  </si>
  <si>
    <t xml:space="preserve">0.2 (1 pcs)</t>
  </si>
  <si>
    <t xml:space="preserve">EG-059-0.21Z</t>
  </si>
  <si>
    <t xml:space="preserve">EG-059-0.31Z</t>
  </si>
  <si>
    <t xml:space="preserve">0.3 (1 pcs)</t>
  </si>
  <si>
    <t xml:space="preserve">EG-059-0.51Z</t>
  </si>
  <si>
    <t xml:space="preserve">0.5 (1 pcs)</t>
  </si>
  <si>
    <t xml:space="preserve">EG-059-0.55x8.5x38.15</t>
  </si>
  <si>
    <t xml:space="preserve">0.55x8.5x38.15</t>
  </si>
  <si>
    <t xml:space="preserve">EG-059-0.61Z</t>
  </si>
  <si>
    <t xml:space="preserve">0.6 (1 pcs)</t>
  </si>
  <si>
    <t xml:space="preserve">EG-059-0.7x10x38.15</t>
  </si>
  <si>
    <t xml:space="preserve">0.7x10x38.15</t>
  </si>
  <si>
    <t xml:space="preserve">EG-059-0.81Z</t>
  </si>
  <si>
    <t xml:space="preserve">0.8 (1 pcs)</t>
  </si>
  <si>
    <t xml:space="preserve">EG-059-0.91Z</t>
  </si>
  <si>
    <t xml:space="preserve">0.9 (1 pcs)</t>
  </si>
  <si>
    <t xml:space="preserve">EG-059-1.0x10x38.15-1Z</t>
  </si>
  <si>
    <t xml:space="preserve">1.0x10x38.15</t>
  </si>
  <si>
    <t xml:space="preserve">EG-059-1.11Z</t>
  </si>
  <si>
    <t xml:space="preserve">1.1 (1 pcs)</t>
  </si>
  <si>
    <t xml:space="preserve">EG-059-1.21Z</t>
  </si>
  <si>
    <t xml:space="preserve">1.2 (1 pcs)</t>
  </si>
  <si>
    <t xml:space="preserve">EG-059-1.31Z</t>
  </si>
  <si>
    <t xml:space="preserve">1.3 (1 pcs)</t>
  </si>
  <si>
    <t xml:space="preserve">EG-059-1.41Z</t>
  </si>
  <si>
    <t xml:space="preserve">1.4 (1 pcs)</t>
  </si>
  <si>
    <t xml:space="preserve">EG-059-1.6x12x38.15-1Z</t>
  </si>
  <si>
    <t xml:space="preserve">1.6x12x38.15</t>
  </si>
  <si>
    <t xml:space="preserve">EG-059-3.0x12x38.15</t>
  </si>
  <si>
    <t xml:space="preserve">3.0x12x38.15</t>
  </si>
  <si>
    <t xml:space="preserve">EG-059-ES-0.41Z</t>
  </si>
  <si>
    <t xml:space="preserve">Used 0.4 (1 pcs)</t>
  </si>
  <si>
    <t xml:space="preserve">Titanium Coated Spiral Machine Tap M2-M20  [Taps / Cutters / Collets]</t>
  </si>
  <si>
    <t xml:space="preserve">Spiral fine</t>
  </si>
  <si>
    <t xml:space="preserve">EG-035-M10x1-BK-LX-F</t>
  </si>
  <si>
    <t xml:space="preserve">EG-035-M10x1-BK-ZC-F</t>
  </si>
  <si>
    <t xml:space="preserve">Straight flute fine</t>
  </si>
  <si>
    <t xml:space="preserve">EG-035-M10x1-DT-LX-F</t>
  </si>
  <si>
    <t xml:space="preserve">Titanium coated Spiral fine</t>
  </si>
  <si>
    <t xml:space="preserve">EG-035-M10x1-DT-ZC-F</t>
  </si>
  <si>
    <t xml:space="preserve">Titanium coated Straight flute fine</t>
  </si>
  <si>
    <t xml:space="preserve">EG-035-M10x1.25-BK-LX-F</t>
  </si>
  <si>
    <t xml:space="preserve">EG-035-M10x1.25-DT-LX-F</t>
  </si>
  <si>
    <t xml:space="preserve">EG-035-M10x1.25-DT-ZC-F</t>
  </si>
  <si>
    <t xml:space="preserve">EG-035-M10x1.5-BK-LX</t>
  </si>
  <si>
    <t xml:space="preserve">EG-035-M10x1.5-BK-ZC</t>
  </si>
  <si>
    <t xml:space="preserve">EG-035-M10x1.5-DT-LX</t>
  </si>
  <si>
    <t xml:space="preserve">Titanium coated Spiral</t>
  </si>
  <si>
    <t xml:space="preserve">EG-035-M10x1.5-DT-ZC</t>
  </si>
  <si>
    <t xml:space="preserve">Titanium coated Straight flute</t>
  </si>
  <si>
    <t xml:space="preserve">EG-035-M12x1-BK-LX-F</t>
  </si>
  <si>
    <t xml:space="preserve">EG-035-M12x1-DT-LX-F</t>
  </si>
  <si>
    <t xml:space="preserve">EG-035-M12x1-DT-ZC-F</t>
  </si>
  <si>
    <t xml:space="preserve">EG-035-M12x1.25-BK-LX-F</t>
  </si>
  <si>
    <t xml:space="preserve">EG-035-M12x1.25-DT-LX-F</t>
  </si>
  <si>
    <t xml:space="preserve">EG-035-M12x1.25-DT-ZC-F</t>
  </si>
  <si>
    <t xml:space="preserve">EG-035-M12x1.5-BK-LX-F</t>
  </si>
  <si>
    <t xml:space="preserve">EG-035-M12x1.5-DT-LX-F</t>
  </si>
  <si>
    <t xml:space="preserve">EG-035-M12x1.5-DT-ZC-F</t>
  </si>
  <si>
    <t xml:space="preserve">EG-035-M12x1.75-BK-LX</t>
  </si>
  <si>
    <t xml:space="preserve">EG-035-M12x1.75-BK-ZC</t>
  </si>
  <si>
    <t xml:space="preserve">EG-035-M12x1.75-DT-LX</t>
  </si>
  <si>
    <t xml:space="preserve">EG-035-M12x1.75-DT-ZC</t>
  </si>
  <si>
    <t xml:space="preserve">EG-035-M14x1.5-BK-LX-F</t>
  </si>
  <si>
    <t xml:space="preserve">EG-035-M14x1.5-DT-LX-F</t>
  </si>
  <si>
    <t xml:space="preserve">EG-035-M14x1.5-DT-ZC-F</t>
  </si>
  <si>
    <t xml:space="preserve">EG-035-M14x2-BK-LX</t>
  </si>
  <si>
    <t xml:space="preserve">EG-035-M14x2-BK-ZC</t>
  </si>
  <si>
    <t xml:space="preserve">EG-035-M14x2-DT-LX</t>
  </si>
  <si>
    <t xml:space="preserve">EG-035-M14x2-DT-ZC</t>
  </si>
  <si>
    <t xml:space="preserve">EG-035-M16x1.5-BK-LX-F</t>
  </si>
  <si>
    <t xml:space="preserve">EG-035-M16x1.5-DT-LX-F</t>
  </si>
  <si>
    <t xml:space="preserve">EG-035-M16x1.5-DT-ZC-F</t>
  </si>
  <si>
    <t xml:space="preserve">EG-035-M16x2-BK-LX</t>
  </si>
  <si>
    <t xml:space="preserve">EG-035-M16x2-BK-ZC</t>
  </si>
  <si>
    <t xml:space="preserve">EG-035-M16x2-DT-LX</t>
  </si>
  <si>
    <t xml:space="preserve">EG-035-M16x2-DT-ZC</t>
  </si>
  <si>
    <t xml:space="preserve">EG-035-M18x1.5-BK-LX-F</t>
  </si>
  <si>
    <t xml:space="preserve">EG-035-M18x1.5-DT-LX-F</t>
  </si>
  <si>
    <t xml:space="preserve">EG-035-M18x1.5-DT-ZC-F</t>
  </si>
  <si>
    <t xml:space="preserve">EG-035-M18x2-DT-LX-F</t>
  </si>
  <si>
    <t xml:space="preserve">M18x2</t>
  </si>
  <si>
    <t xml:space="preserve">EG-035-M18x2.5-BK-LX</t>
  </si>
  <si>
    <t xml:space="preserve">EG-035-M18x2.5-DT-LX</t>
  </si>
  <si>
    <t xml:space="preserve">EG-035-M18x2.5-DT-ZC</t>
  </si>
  <si>
    <t xml:space="preserve">EG-035-M2.5x0.45-BK-LX</t>
  </si>
  <si>
    <t xml:space="preserve">M2.5x0.45</t>
  </si>
  <si>
    <t xml:space="preserve">EG-035-M2.5x0.45-BK-ZC</t>
  </si>
  <si>
    <t xml:space="preserve">EG-035-M2.5x0.45-DT-LX</t>
  </si>
  <si>
    <t xml:space="preserve">EG-035-M2.5x0.45-DT-ZC</t>
  </si>
  <si>
    <t xml:space="preserve">EG-035-M2.9x0.5-BK-ZC</t>
  </si>
  <si>
    <t xml:space="preserve">M2.9x0.5</t>
  </si>
  <si>
    <t xml:space="preserve">EG-035-M20x1.5-BK-LX-F</t>
  </si>
  <si>
    <t xml:space="preserve">EG-035-M20x1.5-DT-LX-F</t>
  </si>
  <si>
    <t xml:space="preserve">EG-035-M20x1.5-DT-ZC-F</t>
  </si>
  <si>
    <t xml:space="preserve">EG-035-M20x2-DT-LX-F</t>
  </si>
  <si>
    <t xml:space="preserve">EG-035-M20x2.5-BK-LX</t>
  </si>
  <si>
    <t xml:space="preserve">EG-035-M20x2.5-DT-LX</t>
  </si>
  <si>
    <t xml:space="preserve">EG-035-M20x2.5-DT-ZC</t>
  </si>
  <si>
    <t xml:space="preserve">EG-035-M22x1.5-DT-LX-F</t>
  </si>
  <si>
    <t xml:space="preserve">EG-035-M22x1.5-DT-ZC-F</t>
  </si>
  <si>
    <t xml:space="preserve">EG-035-M22x2-DT-LX-F</t>
  </si>
  <si>
    <t xml:space="preserve">M22x2</t>
  </si>
  <si>
    <t xml:space="preserve">EG-035-M22x2.5-BK-LX</t>
  </si>
  <si>
    <t xml:space="preserve">M22x2.5</t>
  </si>
  <si>
    <t xml:space="preserve">EG-035-M22x2.5-DT-LX</t>
  </si>
  <si>
    <t xml:space="preserve">EG-035-M24x1.5-DT-LX-F</t>
  </si>
  <si>
    <t xml:space="preserve">EG-035-M24x1.5-DT-ZC-F</t>
  </si>
  <si>
    <t xml:space="preserve">EG-035-M24x2-DT-LX-F</t>
  </si>
  <si>
    <t xml:space="preserve">EG-035-M24x3-BK-LX</t>
  </si>
  <si>
    <t xml:space="preserve">M24x3</t>
  </si>
  <si>
    <t xml:space="preserve">EG-035-M24x3-DT-LX</t>
  </si>
  <si>
    <t xml:space="preserve">EG-035-M24x3-DT-ZC</t>
  </si>
  <si>
    <t xml:space="preserve">EG-035-M27x1.5-DT-LX-F</t>
  </si>
  <si>
    <t xml:space="preserve">EG-035-M27x1.5-DT-ZC-F</t>
  </si>
  <si>
    <t xml:space="preserve">EG-035-M27x2-DT-LX-F</t>
  </si>
  <si>
    <t xml:space="preserve">EG-035-M27x3-DT-LX</t>
  </si>
  <si>
    <t xml:space="preserve">M27x3</t>
  </si>
  <si>
    <t xml:space="preserve">EG-035-M27x3-DT-ZC-F</t>
  </si>
  <si>
    <t xml:space="preserve">EG-035-M2x0.4-BK-LX</t>
  </si>
  <si>
    <t xml:space="preserve">M2x0.4</t>
  </si>
  <si>
    <t xml:space="preserve">EG-035-M2x0.4-BK-ZC</t>
  </si>
  <si>
    <t xml:space="preserve">EG-035-M2x0.4-DT-LX</t>
  </si>
  <si>
    <t xml:space="preserve">EG-035-M2x0.4-DT-ZC</t>
  </si>
  <si>
    <t xml:space="preserve">EG-035-M3.5x0.6-BK-LX</t>
  </si>
  <si>
    <t xml:space="preserve">M3.5x0.6</t>
  </si>
  <si>
    <t xml:space="preserve">EG-035-M3.5x0.6-BK-ZC</t>
  </si>
  <si>
    <t xml:space="preserve">EG-035-M3.5x0.6-DT-LX</t>
  </si>
  <si>
    <t xml:space="preserve">EG-035-M3.9x0.6-BK-ZC</t>
  </si>
  <si>
    <t xml:space="preserve">M3.9x0.6</t>
  </si>
  <si>
    <t xml:space="preserve">EG-035-M30x1.5-DT-LX-F</t>
  </si>
  <si>
    <t xml:space="preserve">EG-035-M30x1.5-DT-ZC-F</t>
  </si>
  <si>
    <t xml:space="preserve">EG-035-M30x2-DT-LX-F</t>
  </si>
  <si>
    <t xml:space="preserve">EG-035-M30x3.5-DT-LX</t>
  </si>
  <si>
    <t xml:space="preserve">M30x3.5</t>
  </si>
  <si>
    <t xml:space="preserve">EG-035-M30x3.5-DT-ZC-F</t>
  </si>
  <si>
    <t xml:space="preserve">EG-035-M3x0.5-BK-LX</t>
  </si>
  <si>
    <t xml:space="preserve">EG-035-M3x0.5-BK-ZC</t>
  </si>
  <si>
    <t xml:space="preserve">EG-035-M3x0.5-DT-LX</t>
  </si>
  <si>
    <t xml:space="preserve">EG-035-M3x0.5-DT-ZC</t>
  </si>
  <si>
    <t xml:space="preserve">EG-035-M3x0.6-DT-ZC</t>
  </si>
  <si>
    <t xml:space="preserve">M3x0.6</t>
  </si>
  <si>
    <t xml:space="preserve">EG-035-M4.5x0.75-DT-ZC</t>
  </si>
  <si>
    <t xml:space="preserve">M4.5x0.75</t>
  </si>
  <si>
    <t xml:space="preserve">EG-035-M4x0.7-BK-LX</t>
  </si>
  <si>
    <t xml:space="preserve">EG-035-M4x0.7-BK-ZC</t>
  </si>
  <si>
    <t xml:space="preserve">EG-035-M4x0.7-DT-LX</t>
  </si>
  <si>
    <t xml:space="preserve">EG-035-M4x0.7-DT-ZC</t>
  </si>
  <si>
    <t xml:space="preserve">EG-035-M5x0.8-BK-LX</t>
  </si>
  <si>
    <t xml:space="preserve">EG-035-M5x0.8-BK-ZC</t>
  </si>
  <si>
    <t xml:space="preserve">EG-035-M5x0.8-DT-LX</t>
  </si>
  <si>
    <t xml:space="preserve">EG-035-M5x0.8-DT-ZC</t>
  </si>
  <si>
    <t xml:space="preserve">EG-035-M6x1-BK-LX</t>
  </si>
  <si>
    <t xml:space="preserve">EG-035-M6x1-BK-ZC</t>
  </si>
  <si>
    <t xml:space="preserve">EG-035-M6x1-DT-LX</t>
  </si>
  <si>
    <t xml:space="preserve">EG-035-M6x1-DT-ZC</t>
  </si>
  <si>
    <t xml:space="preserve">EG-035-M7x0.75-DT-ZC-F</t>
  </si>
  <si>
    <t xml:space="preserve">M7x0.75</t>
  </si>
  <si>
    <t xml:space="preserve">EG-035-M8x1-DT-LX-F</t>
  </si>
  <si>
    <t xml:space="preserve">EG-035-M8x1-DT-ZC-F</t>
  </si>
  <si>
    <t xml:space="preserve">EG-035-M8x1.25-BK-LX</t>
  </si>
  <si>
    <t xml:space="preserve">EG-035-M8x1.25-BK-ZC</t>
  </si>
  <si>
    <t xml:space="preserve">EG-035-M8x1.25-DT-LX</t>
  </si>
  <si>
    <t xml:space="preserve">EG-035-M8x1.25-DT-ZC</t>
  </si>
  <si>
    <t xml:space="preserve">Titanium Coated Spiral Drill Tap  [Taps / Cutters / Collets]</t>
  </si>
  <si>
    <t xml:space="preserve">EG-063-M4x0.7</t>
  </si>
  <si>
    <t xml:space="preserve">EG-063-M5x0.8</t>
  </si>
  <si>
    <t xml:space="preserve">Engraving V-Bit (Flat / Triangular)  [Taps / Cutters / Collets]</t>
  </si>
  <si>
    <t xml:space="preserve">Shank Diameter (mm)</t>
  </si>
  <si>
    <t xml:space="preserve">Angle</t>
  </si>
  <si>
    <t xml:space="preserve">Tip</t>
  </si>
  <si>
    <t xml:space="preserve">Flat V-bit</t>
  </si>
  <si>
    <t xml:space="preserve">10°</t>
  </si>
  <si>
    <t xml:space="preserve">0.1mm</t>
  </si>
  <si>
    <t xml:space="preserve">VB-F-S3.175-10-0.1</t>
  </si>
  <si>
    <t xml:space="preserve">VB-F-S3.175-10-0.2</t>
  </si>
  <si>
    <t xml:space="preserve">0.2mm</t>
  </si>
  <si>
    <t xml:space="preserve">VB-F-S3.175-10-0.3</t>
  </si>
  <si>
    <t xml:space="preserve">0.3mm</t>
  </si>
  <si>
    <t xml:space="preserve">VB-F-S3.175-15-0.1</t>
  </si>
  <si>
    <t xml:space="preserve">15°</t>
  </si>
  <si>
    <t xml:space="preserve">VB-F-S3.175-15-0.2</t>
  </si>
  <si>
    <t xml:space="preserve">VB-F-S3.175-15-0.3</t>
  </si>
  <si>
    <t xml:space="preserve">VB-F-S3.175-20-0.1</t>
  </si>
  <si>
    <t xml:space="preserve">20°</t>
  </si>
  <si>
    <t xml:space="preserve">VB-F-S3.175-20-0.2</t>
  </si>
  <si>
    <t xml:space="preserve">VB-F-S3.175-20-0.3</t>
  </si>
  <si>
    <t xml:space="preserve">VB-F-S3.175-20-0.4</t>
  </si>
  <si>
    <t xml:space="preserve">0.4mm</t>
  </si>
  <si>
    <t xml:space="preserve">VB-F-S3.175-20-0.5</t>
  </si>
  <si>
    <t xml:space="preserve">0.5mm</t>
  </si>
  <si>
    <t xml:space="preserve">VB-F-S3.175-25-0.1</t>
  </si>
  <si>
    <t xml:space="preserve">25°</t>
  </si>
  <si>
    <t xml:space="preserve">VB-F-S3.175-30-0.1</t>
  </si>
  <si>
    <t xml:space="preserve">30°</t>
  </si>
  <si>
    <t xml:space="preserve">VB-F-S3.175-30-0.2</t>
  </si>
  <si>
    <t xml:space="preserve">VB-F-S3.175-30-0.3</t>
  </si>
  <si>
    <t xml:space="preserve">VB-F-S3.175-30-0.4</t>
  </si>
  <si>
    <t xml:space="preserve">VB-F-S3.175-30-0.5</t>
  </si>
  <si>
    <t xml:space="preserve">VB-F-S3.175-30-0.6</t>
  </si>
  <si>
    <t xml:space="preserve">0.6mm</t>
  </si>
  <si>
    <t xml:space="preserve">VB-F-S3.175-30-0.7</t>
  </si>
  <si>
    <t xml:space="preserve">0.7mm</t>
  </si>
  <si>
    <t xml:space="preserve">VB-F-S3.175-30-0.8</t>
  </si>
  <si>
    <t xml:space="preserve">0.8mm</t>
  </si>
  <si>
    <t xml:space="preserve">VB-F-S3.175-30-0.9</t>
  </si>
  <si>
    <t xml:space="preserve">0.9mm</t>
  </si>
  <si>
    <t xml:space="preserve">VB-F-S3.175-30-1.0</t>
  </si>
  <si>
    <t xml:space="preserve">1.0mm</t>
  </si>
  <si>
    <t xml:space="preserve">VB-F-S3.175-40-0.1</t>
  </si>
  <si>
    <t xml:space="preserve">40°</t>
  </si>
  <si>
    <t xml:space="preserve">VB-F-S3.175-45-0.1</t>
  </si>
  <si>
    <t xml:space="preserve">45°</t>
  </si>
  <si>
    <t xml:space="preserve">VB-F-S3.175-45-0.2</t>
  </si>
  <si>
    <t xml:space="preserve">VB-F-S3.175-45-0.3</t>
  </si>
  <si>
    <t xml:space="preserve">VB-F-S3.175-60-0.1</t>
  </si>
  <si>
    <t xml:space="preserve">60°</t>
  </si>
  <si>
    <t xml:space="preserve">VB-F-S3.175-60-0.2</t>
  </si>
  <si>
    <t xml:space="preserve">VB-F-S3.175-60-0.3</t>
  </si>
  <si>
    <t xml:space="preserve">VB-F-S3.175-90-0.1</t>
  </si>
  <si>
    <t xml:space="preserve">90°</t>
  </si>
  <si>
    <t xml:space="preserve">VB-F-S3.175-90-0.2</t>
  </si>
  <si>
    <t xml:space="preserve">VB-F-S3.175-90-0.3</t>
  </si>
  <si>
    <t xml:space="preserve">VB-F-S4-20-0.1</t>
  </si>
  <si>
    <t xml:space="preserve">VB-F-S4-30-0.2</t>
  </si>
  <si>
    <t xml:space="preserve">VB-F-S4-45-0.1</t>
  </si>
  <si>
    <t xml:space="preserve">VB-F-S4-45-0.4</t>
  </si>
  <si>
    <t xml:space="preserve">VB-F-S4-60-0.1</t>
  </si>
  <si>
    <t xml:space="preserve">VB-F-S4-60-0.2</t>
  </si>
  <si>
    <t xml:space="preserve">VB-F-S4-60-0.3</t>
  </si>
  <si>
    <t xml:space="preserve">VB-F-S6-20-0.1</t>
  </si>
  <si>
    <t xml:space="preserve">VB-T-S3.175-10-0.1</t>
  </si>
  <si>
    <t xml:space="preserve">Triangular V-bit</t>
  </si>
  <si>
    <t xml:space="preserve">VB-T-S3.175-10-0.2</t>
  </si>
  <si>
    <t xml:space="preserve">VB-T-S3.175-10-0.3</t>
  </si>
  <si>
    <t xml:space="preserve">VB-T-S3.175-15-0.1</t>
  </si>
  <si>
    <t xml:space="preserve">VB-T-S3.175-15-0.2</t>
  </si>
  <si>
    <t xml:space="preserve">VB-T-S3.175-15-0.3</t>
  </si>
  <si>
    <t xml:space="preserve">VB-T-S3.175-15-0.5</t>
  </si>
  <si>
    <t xml:space="preserve">VB-T-S3.175-20-0.1</t>
  </si>
  <si>
    <t xml:space="preserve">VB-T-S3.175-20-0.2</t>
  </si>
  <si>
    <t xml:space="preserve">VB-T-S3.175-20-0.3</t>
  </si>
  <si>
    <t xml:space="preserve">VB-T-S3.175-20-0.4</t>
  </si>
  <si>
    <t xml:space="preserve">VB-T-S3.175-25-0.1</t>
  </si>
  <si>
    <t xml:space="preserve">VB-T-S3.175-25-0.2</t>
  </si>
  <si>
    <t xml:space="preserve">VB-T-S3.175-30-0.1</t>
  </si>
  <si>
    <t xml:space="preserve">VB-T-S3.175-30-0.2</t>
  </si>
  <si>
    <t xml:space="preserve">VB-T-S3.175-30-0.3</t>
  </si>
  <si>
    <t xml:space="preserve">VB-T-S3.175-30-0.4</t>
  </si>
  <si>
    <t xml:space="preserve">VB-T-S3.175-30-0.5</t>
  </si>
  <si>
    <t xml:space="preserve">VB-T-S3.175-30-0.6</t>
  </si>
  <si>
    <t xml:space="preserve">VB-T-S3.175-30-0.8</t>
  </si>
  <si>
    <t xml:space="preserve">VB-T-S3.175-30-1.0</t>
  </si>
  <si>
    <t xml:space="preserve">VB-T-S3.175-40-0.1</t>
  </si>
  <si>
    <t xml:space="preserve">VB-T-S3.175-45-0.1</t>
  </si>
  <si>
    <t xml:space="preserve">VB-T-S3.175-45-0.2</t>
  </si>
  <si>
    <t xml:space="preserve">VB-T-S3.175-45-0.3</t>
  </si>
  <si>
    <t xml:space="preserve">VB-T-S3.175-60-0.1</t>
  </si>
  <si>
    <t xml:space="preserve">VB-T-S3.175-60-0.2</t>
  </si>
  <si>
    <t xml:space="preserve">VB-T-S3.175-60-0.3</t>
  </si>
  <si>
    <t xml:space="preserve">VB-T-S3.175-75-0.1</t>
  </si>
  <si>
    <t xml:space="preserve">75°</t>
  </si>
  <si>
    <t xml:space="preserve">VB-T-S3.175-90-0.1</t>
  </si>
  <si>
    <t xml:space="preserve">VB-T-S3.175-90-0.2</t>
  </si>
  <si>
    <t xml:space="preserve">VB-T-S4-15-0.1</t>
  </si>
  <si>
    <t xml:space="preserve">VB-T-S4-20-0.1</t>
  </si>
  <si>
    <t xml:space="preserve">VB-T-S4-20-0.3</t>
  </si>
  <si>
    <t xml:space="preserve">VB-T-S4-30-0.4</t>
  </si>
  <si>
    <t xml:space="preserve">VB-T-S4-60-0.1</t>
  </si>
  <si>
    <t xml:space="preserve">VB-T-S4-60-0.2</t>
  </si>
  <si>
    <t xml:space="preserve">VB-T-S4-60-0.3</t>
  </si>
  <si>
    <t xml:space="preserve">VB-T-S4-90-0.1</t>
  </si>
  <si>
    <t xml:space="preserve">VB-T-S6-20-0.1</t>
  </si>
  <si>
    <t xml:space="preserve">VB-T-S6-20-0.2</t>
  </si>
  <si>
    <t xml:space="preserve">VB-T-S6-25-0.1</t>
  </si>
  <si>
    <t xml:space="preserve">VB-T-S6-25-0.2</t>
  </si>
  <si>
    <t xml:space="preserve">VB-T-S6-30-0.2</t>
  </si>
  <si>
    <t xml:space="preserve">VB-T-S6-30-0.4</t>
  </si>
  <si>
    <t xml:space="preserve">VB-T-S6-30-0.6</t>
  </si>
  <si>
    <t xml:space="preserve">VB-T-S6-45-0.1</t>
  </si>
  <si>
    <t xml:space="preserve">VB-T-S6-45-0.2</t>
  </si>
  <si>
    <t xml:space="preserve">VB-T-S6-60-0.1</t>
  </si>
  <si>
    <t xml:space="preserve">VB-T-S6-60-0.2</t>
  </si>
  <si>
    <t xml:space="preserve">VB-T-S6-60-0.3</t>
  </si>
  <si>
    <t xml:space="preserve">90° Corner Clamp  [Vises / Clamps / Tools]</t>
  </si>
  <si>
    <t xml:space="preserve">EG-053-BK</t>
  </si>
  <si>
    <t xml:space="preserve">EG-053-RD</t>
  </si>
  <si>
    <t xml:space="preserve">E3D / MK8 Nozzle L Socket Wrench  [Vises / Clamps / Tools]</t>
  </si>
  <si>
    <t xml:space="preserve">EG-067-10</t>
  </si>
  <si>
    <t xml:space="preserve">EG-067-6</t>
  </si>
  <si>
    <t xml:space="preserve">EG-067-7</t>
  </si>
  <si>
    <t xml:space="preserve">EG-067-8</t>
  </si>
  <si>
    <t xml:space="preserve">EG-067-9</t>
  </si>
  <si>
    <t xml:space="preserve">9mm</t>
  </si>
  <si>
    <t xml:space="preserve">E3D / MK8 Nozzle Open-End Wrench  [Vises / Clamps / Tools]</t>
  </si>
  <si>
    <t xml:space="preserve">EG-081-10</t>
  </si>
  <si>
    <t xml:space="preserve">EG-081-6</t>
  </si>
  <si>
    <t xml:space="preserve">EG-081-7</t>
  </si>
  <si>
    <t xml:space="preserve">EG-081-8</t>
  </si>
  <si>
    <t xml:space="preserve">L-Type Ball-End Hex Key (single)  [Vises / Clamps / Tools]</t>
  </si>
  <si>
    <t xml:space="preserve">2mm</t>
  </si>
  <si>
    <t xml:space="preserve">EG-003-2</t>
  </si>
  <si>
    <t xml:space="preserve">EG-003-2.5</t>
  </si>
  <si>
    <t xml:space="preserve">2.5mm</t>
  </si>
  <si>
    <t xml:space="preserve">EG-003-3</t>
  </si>
  <si>
    <t xml:space="preserve">3mm</t>
  </si>
  <si>
    <t xml:space="preserve">MK8 Nozzle / Heater Block 5-in-1 Wrench  [Vises / Clamps / Tools]</t>
  </si>
  <si>
    <t xml:space="preserve">EG-080</t>
  </si>
  <si>
    <t xml:space="preserve">PLATO-170 Flush Cutter  [Vises / Clamps / Tools]</t>
  </si>
  <si>
    <t xml:space="preserve">EG-077</t>
  </si>
  <si>
    <t xml:space="preserve">Cross Slide Vise 4 in  [Vises / Clamps / Tools]</t>
  </si>
  <si>
    <t xml:space="preserve">4in no base corner mount QM16100</t>
  </si>
  <si>
    <t xml:space="preserve">EG-091-4C-WD-JGS-QM16100</t>
  </si>
  <si>
    <t xml:space="preserve">EG-091-4C-X-Q97100</t>
  </si>
  <si>
    <t xml:space="preserve">4in cross Q97100</t>
  </si>
  <si>
    <t xml:space="preserve">Vertical Toggle Clamp (GH-13005 etc.)  [Vises / Clamps / Tools]</t>
  </si>
  <si>
    <t xml:space="preserve">GH-13005</t>
  </si>
  <si>
    <t xml:space="preserve">EG-043-GH-13005</t>
  </si>
  <si>
    <t xml:space="preserve">EG-043-GH-13009</t>
  </si>
  <si>
    <t xml:space="preserve">GH-13009</t>
  </si>
  <si>
    <t xml:space="preserve">EG-043-GH-14009</t>
  </si>
  <si>
    <t xml:space="preserve">GH-14009</t>
  </si>
  <si>
    <t xml:space="preserve">EG-043-GH-201-C</t>
  </si>
  <si>
    <t xml:space="preserve">GH-201-C</t>
  </si>
  <si>
    <t xml:space="preserve">EG-043-GH-201-H</t>
  </si>
  <si>
    <t xml:space="preserve">GH-201-H</t>
  </si>
  <si>
    <t xml:space="preserve">EG-043-GH-201-L</t>
  </si>
  <si>
    <t xml:space="preserve">GH-201-L</t>
  </si>
  <si>
    <t xml:space="preserve">EG-043-GH-201A</t>
  </si>
  <si>
    <t xml:space="preserve">GH-201A</t>
  </si>
  <si>
    <t xml:space="preserve">EG-043-GH-201B</t>
  </si>
  <si>
    <t xml:space="preserve">GH-201B</t>
  </si>
  <si>
    <t xml:space="preserve">EG-043-GH-225D</t>
  </si>
  <si>
    <t xml:space="preserve">GH-225D</t>
  </si>
  <si>
    <t xml:space="preserve">EG-043-GH-301-A</t>
  </si>
  <si>
    <t xml:space="preserve">GH-301-A</t>
  </si>
  <si>
    <t xml:space="preserve">EG-043-GH-304-CM</t>
  </si>
  <si>
    <t xml:space="preserve">GH-304-CM</t>
  </si>
  <si>
    <t xml:space="preserve">EG-043-GH-4001</t>
  </si>
  <si>
    <t xml:space="preserve">GH-4001</t>
  </si>
  <si>
    <t xml:space="preserve">Nylon A-Type Spring Clamp  [Vises / Clamps / Tools]</t>
  </si>
  <si>
    <t xml:space="preserve">2in</t>
  </si>
  <si>
    <t xml:space="preserve">EG-037-BK-2C-P3</t>
  </si>
  <si>
    <t xml:space="preserve">EG-037-BK-3.5C</t>
  </si>
  <si>
    <t xml:space="preserve">3.5in</t>
  </si>
  <si>
    <t xml:space="preserve">EG-037-BK-3C-P2</t>
  </si>
  <si>
    <t xml:space="preserve">3in</t>
  </si>
  <si>
    <t xml:space="preserve">EG-037-BK-4C</t>
  </si>
  <si>
    <t xml:space="preserve">4in</t>
  </si>
  <si>
    <t xml:space="preserve">EG-037-BK-6C</t>
  </si>
  <si>
    <t xml:space="preserve">6in</t>
  </si>
  <si>
    <t xml:space="preserve">EG-037-BK-9C</t>
  </si>
  <si>
    <t xml:space="preserve">9in</t>
  </si>
  <si>
    <t xml:space="preserve">EG-037-BL-2C-P3</t>
  </si>
  <si>
    <t xml:space="preserve">EG-037-LS2C-P3</t>
  </si>
  <si>
    <t xml:space="preserve">Green 2in</t>
  </si>
  <si>
    <t xml:space="preserve">EG-037-RD-2C-P3</t>
  </si>
  <si>
    <t xml:space="preserve">EG-037-YL-2C-P3</t>
  </si>
  <si>
    <t xml:space="preserve">Nylon Hold-Down Clamp (CNC table)  [Vises / Clamps / Tools]</t>
  </si>
  <si>
    <t xml:space="preserve">T-screw</t>
  </si>
  <si>
    <t xml:space="preserve">M8x85</t>
  </si>
  <si>
    <t xml:space="preserve">EG-061-M8x85-TXLS</t>
  </si>
  <si>
    <t xml:space="preserve">EG-061-YBTJ-M10-AK</t>
  </si>
  <si>
    <t xml:space="preserve">Clamp kit M10 A type</t>
  </si>
  <si>
    <t xml:space="preserve">EG-061-YBTJ-M8-100-BK</t>
  </si>
  <si>
    <t xml:space="preserve">Clamp kit M8 100mm B type</t>
  </si>
  <si>
    <t xml:space="preserve">EG-061-YBTJ-M8-80-BK</t>
  </si>
  <si>
    <t xml:space="preserve">Clamp kit M8 80mm B type</t>
  </si>
  <si>
    <t xml:space="preserve">EG-061-YBTJ-M8-AK</t>
  </si>
  <si>
    <t xml:space="preserve">Clamp kit M8 A type</t>
  </si>
  <si>
    <t xml:space="preserve">EG-061-YBTJC-M6</t>
  </si>
  <si>
    <t xml:space="preserve">Clamp kit C M6</t>
  </si>
  <si>
    <t xml:space="preserve">Mechanical Edge Finder VPS-302  [Vises / Clamps / Tools]</t>
  </si>
  <si>
    <t xml:space="preserve">EG-040</t>
  </si>
  <si>
    <t xml:space="preserve">Ferrule Crimping Tool  [Vises / Clamps / Tools]</t>
  </si>
  <si>
    <t xml:space="preserve">1640 ferrule terminal (Copper)</t>
  </si>
  <si>
    <t xml:space="preserve">EG-079-YS1640GXDZZT</t>
  </si>
  <si>
    <t xml:space="preserve">EG-079-YS6-4A-+1640PCSSET</t>
  </si>
  <si>
    <t xml:space="preserve">6-4A +1640pcs set</t>
  </si>
  <si>
    <t xml:space="preserve">EG-079-YS6-4ASSYXQ</t>
  </si>
  <si>
    <t xml:space="preserve">6-4A two-color crimper</t>
  </si>
  <si>
    <t xml:space="preserve">PTFE Tube Cutter  [Vises / Clamps / Tools]</t>
  </si>
  <si>
    <t xml:space="preserve">EG-073</t>
  </si>
  <si>
    <t xml:space="preserve">Aluminum Spindle Motor Mount  [Vises / Clamps / Tools]</t>
  </si>
  <si>
    <t xml:space="preserve">EG-074-20-LS-P4</t>
  </si>
  <si>
    <t xml:space="preserve">EG-074-22-LS-P4</t>
  </si>
  <si>
    <t xml:space="preserve">EG-074-24-LS-P4</t>
  </si>
  <si>
    <t xml:space="preserve">EG-074-26-LS-P4</t>
  </si>
  <si>
    <t xml:space="preserve">EG-074-28-LS-P4</t>
  </si>
  <si>
    <t xml:space="preserve">EG-074-30-LS-P4</t>
  </si>
  <si>
    <t xml:space="preserve">EG-074-32-LS-P4</t>
  </si>
  <si>
    <t xml:space="preserve">EG-074-34-LS-P4</t>
  </si>
  <si>
    <t xml:space="preserve">EG-074-36-LS-P4</t>
  </si>
  <si>
    <t xml:space="preserve">EG-074-38-LS-P4</t>
  </si>
  <si>
    <t xml:space="preserve">EG-074-40-LS-P4</t>
  </si>
  <si>
    <t xml:space="preserve">EG-074-40-NS</t>
  </si>
  <si>
    <t xml:space="preserve">EG-074-42-LS-P4</t>
  </si>
  <si>
    <t xml:space="preserve">EG-074-44-LS-P4</t>
  </si>
  <si>
    <t xml:space="preserve">EG-074-44-NS</t>
  </si>
  <si>
    <t xml:space="preserve">EG-074-45-LS-P4</t>
  </si>
  <si>
    <t xml:space="preserve">EG-074-46-LS-P4</t>
  </si>
  <si>
    <t xml:space="preserve">EG-074-48-LS-P4</t>
  </si>
  <si>
    <t xml:space="preserve">EG-074-50-LS-P4</t>
  </si>
  <si>
    <t xml:space="preserve">EG-074-50-NS</t>
  </si>
  <si>
    <t xml:space="preserve">EG-074-52-LS-P4</t>
  </si>
  <si>
    <t xml:space="preserve">EG-074-52-NS</t>
  </si>
  <si>
    <t xml:space="preserve">EG-074-54-LS-P4</t>
  </si>
  <si>
    <t xml:space="preserve">EG-074-56-LS-P4</t>
  </si>
  <si>
    <t xml:space="preserve">EG-074-57-LS-P4</t>
  </si>
  <si>
    <t xml:space="preserve">57</t>
  </si>
  <si>
    <t xml:space="preserve">EG-074-58-LS-P4</t>
  </si>
  <si>
    <t xml:space="preserve">EG-074-60-LS-P4</t>
  </si>
  <si>
    <t xml:space="preserve">EG-074-60-NS</t>
  </si>
  <si>
    <t xml:space="preserve">EG-074-62-LS-P4</t>
  </si>
  <si>
    <t xml:space="preserve">EG-074-64-LS-P4</t>
  </si>
  <si>
    <t xml:space="preserve">EG-074-65-BK-LS-P4</t>
  </si>
  <si>
    <t xml:space="preserve">thin with screw</t>
  </si>
  <si>
    <t xml:space="preserve">EG-074-65-BK-NS</t>
  </si>
  <si>
    <t xml:space="preserve">thin no screws</t>
  </si>
  <si>
    <t xml:space="preserve">EG-074-65-HK-LS-P4</t>
  </si>
  <si>
    <t xml:space="preserve">Thick with screw </t>
  </si>
  <si>
    <t xml:space="preserve">EG-074-65-HK-NS</t>
  </si>
  <si>
    <t xml:space="preserve">Thick no screws</t>
  </si>
  <si>
    <t xml:space="preserve">EG-074-65-JHK-LS-P4</t>
  </si>
  <si>
    <t xml:space="preserve">Thick with screw</t>
  </si>
  <si>
    <t xml:space="preserve">EG-074-66-LS-P4</t>
  </si>
  <si>
    <t xml:space="preserve">EG-074-68-LS-P4</t>
  </si>
  <si>
    <t xml:space="preserve">EG-074-70-LS-P4</t>
  </si>
  <si>
    <t xml:space="preserve">EG-074-72-LS-P4</t>
  </si>
  <si>
    <t xml:space="preserve">EG-074-74-LS-P4</t>
  </si>
  <si>
    <t xml:space="preserve">EG-074-75-LS-P4</t>
  </si>
  <si>
    <t xml:space="preserve">EG-074-76-LS-P4</t>
  </si>
  <si>
    <t xml:space="preserve">EG-074-78-LS-P4</t>
  </si>
  <si>
    <t xml:space="preserve">EG-074-80-BK-LS-P4</t>
  </si>
  <si>
    <t xml:space="preserve">EG-074-80-BK-NS</t>
  </si>
  <si>
    <t xml:space="preserve">EG-074-80-HK-LS-P4</t>
  </si>
  <si>
    <t xml:space="preserve">EG-074-80-HK-NS</t>
  </si>
  <si>
    <t xml:space="preserve">EG-074-82-LS-P4</t>
  </si>
  <si>
    <t xml:space="preserve">EG-074-84-LS-P4</t>
  </si>
  <si>
    <t xml:space="preserve">EG-074-86-LS-P4</t>
  </si>
  <si>
    <t xml:space="preserve">EG-074-88-LS-P4</t>
  </si>
  <si>
    <t xml:space="preserve">EG-074-88-NS</t>
  </si>
  <si>
    <t xml:space="preserve">EG-074-90-LS-P4</t>
  </si>
  <si>
    <t xml:space="preserve">EG-074-NJ45M-NS</t>
  </si>
  <si>
    <t xml:space="preserve">ID 45m no screws</t>
  </si>
  <si>
    <t xml:space="preserve">Aluminum Mini Vise 2.5 in  [Vises / Clamps / Tools]</t>
  </si>
  <si>
    <t xml:space="preserve">EG-088</t>
  </si>
  <si>
    <t xml:space="preserve">Cast Aluminum Spindle Mount 62-125  [Vises / Clamps / Tools]</t>
  </si>
  <si>
    <t xml:space="preserve">Round type</t>
  </si>
  <si>
    <t xml:space="preserve">EG-056-100-YXK</t>
  </si>
  <si>
    <t xml:space="preserve">EG-056-105-YXK</t>
  </si>
  <si>
    <t xml:space="preserve">EG-056-110-YXK</t>
  </si>
  <si>
    <t xml:space="preserve">EG-056-120-YXK-FLS</t>
  </si>
  <si>
    <t xml:space="preserve">Round type split</t>
  </si>
  <si>
    <t xml:space="preserve">EG-056-125-YXK-FLS</t>
  </si>
  <si>
    <t xml:space="preserve">EG-056-62-YXK</t>
  </si>
  <si>
    <t xml:space="preserve">EG-056-65-FXK</t>
  </si>
  <si>
    <t xml:space="preserve">Square type</t>
  </si>
  <si>
    <t xml:space="preserve">EG-056-65-WTK</t>
  </si>
  <si>
    <t xml:space="preserve">Angled head</t>
  </si>
  <si>
    <t xml:space="preserve">EG-056-65-YXK</t>
  </si>
  <si>
    <t xml:space="preserve">EG-056-80-FXK</t>
  </si>
  <si>
    <t xml:space="preserve">EG-056-80-WTK</t>
  </si>
  <si>
    <t xml:space="preserve">EG-056-80-YXK</t>
  </si>
  <si>
    <t xml:space="preserve">EG-056-80-YXK-BK</t>
  </si>
  <si>
    <t xml:space="preserve">Round type thin</t>
  </si>
  <si>
    <t xml:space="preserve">EG-056-80-YXK-GBFLS</t>
  </si>
  <si>
    <t xml:space="preserve">Round type hanging split</t>
  </si>
  <si>
    <t xml:space="preserve">EG-056-85-YXK</t>
  </si>
  <si>
    <t xml:space="preserve">Anti-Static Pointed Tweezers ESD-10  [Vises / Clamps / Tools]</t>
  </si>
  <si>
    <t xml:space="preserve">ESD-10</t>
  </si>
  <si>
    <t xml:space="preserve">EG-030-YSESD-10</t>
  </si>
  <si>
    <t xml:space="preserve">EG-030-YSESD-11</t>
  </si>
  <si>
    <t xml:space="preserve">ESD-11</t>
  </si>
  <si>
    <t xml:space="preserve">EG-030-YSESD-12</t>
  </si>
  <si>
    <t xml:space="preserve">ESD-12</t>
  </si>
  <si>
    <t xml:space="preserve">EG-030-YSESD-13</t>
  </si>
  <si>
    <t xml:space="preserve">ESD-13</t>
  </si>
  <si>
    <t xml:space="preserve">EG-030-YSESD-14</t>
  </si>
  <si>
    <t xml:space="preserve">ESD-14</t>
  </si>
  <si>
    <t xml:space="preserve">EG-030-YSESD-15</t>
  </si>
  <si>
    <t xml:space="preserve">ESD-15</t>
  </si>
  <si>
    <t xml:space="preserve">EG-030-YSESD-16</t>
  </si>
  <si>
    <t xml:space="preserve">ESD-16</t>
  </si>
  <si>
    <t xml:space="preserve">EG-030-YSESD-17</t>
  </si>
  <si>
    <t xml:space="preserve">ESD-17</t>
  </si>
  <si>
    <t xml:space="preserve">EG-030-YSESD-18</t>
  </si>
  <si>
    <t xml:space="preserve">ESD-18</t>
  </si>
  <si>
    <t xml:space="preserve">3D Printer Limit Switch (1m cable)  [Switches / Coolant]</t>
  </si>
  <si>
    <t xml:space="preserve">belt 1m cable</t>
  </si>
  <si>
    <t xml:space="preserve">NC switch</t>
  </si>
  <si>
    <t xml:space="preserve">belt XH2.54 terminal</t>
  </si>
  <si>
    <t xml:space="preserve">EG-002-CBKG-D1MX-DxH2.54DZ</t>
  </si>
  <si>
    <t xml:space="preserve">EG-002-CBKG-D2MX-BDDZ</t>
  </si>
  <si>
    <t xml:space="preserve">belt 2m cable</t>
  </si>
  <si>
    <t xml:space="preserve">no terminal</t>
  </si>
  <si>
    <t xml:space="preserve">EG-002-CKKG-D1MX-BDDZ</t>
  </si>
  <si>
    <t xml:space="preserve">NO switch</t>
  </si>
  <si>
    <t xml:space="preserve">KW12 Micro Limit Switch 5A  [Switches / Coolant]</t>
  </si>
  <si>
    <t xml:space="preserve">Button no handle</t>
  </si>
  <si>
    <t xml:space="preserve">EG-047-BK-AJ-BDB</t>
  </si>
  <si>
    <t xml:space="preserve">EG-047-KW12-3DL</t>
  </si>
  <si>
    <t xml:space="preserve">KW12-3 roller</t>
  </si>
  <si>
    <t xml:space="preserve">EG-047-KW12-3PB</t>
  </si>
  <si>
    <t xml:space="preserve">KW12-3 flat lever</t>
  </si>
  <si>
    <t xml:space="preserve">EG-047-KW12-3WB</t>
  </si>
  <si>
    <t xml:space="preserve">KW12-3 bent lever</t>
  </si>
  <si>
    <t xml:space="preserve">EG-047-KW12-3ZB29</t>
  </si>
  <si>
    <t xml:space="preserve">KW12-3 long lever 29</t>
  </si>
  <si>
    <t xml:space="preserve">EG-047-RD-AJ-BDB</t>
  </si>
  <si>
    <t xml:space="preserve">EG-047-SS-5GL</t>
  </si>
  <si>
    <t xml:space="preserve">SS-5GL</t>
  </si>
  <si>
    <t xml:space="preserve">Openbuilds Micro Switch Mount Plate  [Switches / Coolant]</t>
  </si>
  <si>
    <t xml:space="preserve">Plate only</t>
  </si>
  <si>
    <t xml:space="preserve">EG-038</t>
  </si>
  <si>
    <t xml:space="preserve">EG-038-K</t>
  </si>
  <si>
    <t xml:space="preserve">kit</t>
  </si>
  <si>
    <t xml:space="preserve">Flexible Coolant Spray Nozzle (with valve)  [Switches / Coolant]</t>
  </si>
  <si>
    <t xml:space="preserve">kit 1</t>
  </si>
  <si>
    <t xml:space="preserve">EG-039-K1</t>
  </si>
  <si>
    <t xml:space="preserve">EG-039-K2</t>
  </si>
  <si>
    <t xml:space="preserve">kit 2</t>
  </si>
  <si>
    <t xml:space="preserve">Optical Endstop (RAMPS 1.4)  [Switches / Coolant]</t>
  </si>
  <si>
    <t xml:space="preserve">EG-078</t>
  </si>
  <si>
    <t xml:space="preserve">Optical Endstop Sensor (1m cable)  [Switches / Coolant]</t>
  </si>
  <si>
    <t xml:space="preserve">EG-084</t>
  </si>
  <si>
    <t xml:space="preserve">Round Rocker Switch KCD1-105  [Switches / Coolant]</t>
  </si>
  <si>
    <t xml:space="preserve">EG-090</t>
  </si>
  <si>
    <t xml:space="preserve">Illuminated Rocker Switch 3-Pin 2-Position  [Switches / Coolant]</t>
  </si>
  <si>
    <t xml:space="preserve">Copper pins</t>
  </si>
  <si>
    <t xml:space="preserve">EG-062-CU</t>
  </si>
  <si>
    <t xml:space="preserve">EG-062-FE</t>
  </si>
  <si>
    <t xml:space="preserve">Iron pins</t>
  </si>
  <si>
    <t xml:space="preserve">Filament Runout Sensor Module  [Switches / Coolant]</t>
  </si>
  <si>
    <t xml:space="preserve">1.75mm</t>
  </si>
  <si>
    <t xml:space="preserve">EG-029-BK-AK-1.75</t>
  </si>
  <si>
    <t xml:space="preserve">EG-029-BK-AK-3.0</t>
  </si>
  <si>
    <t xml:space="preserve">3.0mm</t>
  </si>
  <si>
    <t xml:space="preserve">EG-029-BK-BK-1.75</t>
  </si>
  <si>
    <t xml:space="preserve">EG-029-TR-AK-1.75</t>
  </si>
  <si>
    <t xml:space="preserve">EG-029-WH-AK-1.75</t>
  </si>
  <si>
    <t xml:space="preserve">EG-029-WH-AK-3.0</t>
  </si>
  <si>
    <t xml:space="preserve">EG-029-WH-BK-1.75</t>
  </si>
  <si>
    <t xml:space="preserve">Mechanical Endstop Module (RAMPS 1.4)  [Switches / Coolant]</t>
  </si>
  <si>
    <t xml:space="preserve">EG-036-BK</t>
  </si>
  <si>
    <t xml:space="preserve">EG-036-RD</t>
  </si>
  <si>
    <t xml:space="preserve">Inductive Proximity Switch  [Switches / Coolant]</t>
  </si>
  <si>
    <t xml:space="preserve">AC 2-wire NO LJ18A3-8-J/EZ</t>
  </si>
  <si>
    <t xml:space="preserve">EG-024-JL-EX-CK-LJ18A3-8-JEZ</t>
  </si>
  <si>
    <t xml:space="preserve">EG-024-LJ12A3-4-JEZ</t>
  </si>
  <si>
    <t xml:space="preserve">LJ12A3-4-J/EZ</t>
  </si>
  <si>
    <t xml:space="preserve">EG-024-LJ12A3-4-JEx</t>
  </si>
  <si>
    <t xml:space="preserve">LJ12A3-4-J/EX</t>
  </si>
  <si>
    <t xml:space="preserve">EG-024-LJ12A3-4-ZAY</t>
  </si>
  <si>
    <t xml:space="preserve">LJ12A3-4-Z/AY</t>
  </si>
  <si>
    <t xml:space="preserve">EG-024-LJ12A3-4-ZAx</t>
  </si>
  <si>
    <t xml:space="preserve">LJ12A3-4-Z/AX</t>
  </si>
  <si>
    <t xml:space="preserve">EG-024-LJ12A3-4-ZBY</t>
  </si>
  <si>
    <t xml:space="preserve">LJ12A3-4-Z/BY</t>
  </si>
  <si>
    <t xml:space="preserve">EG-024-LJ12A3-4-ZBx</t>
  </si>
  <si>
    <t xml:space="preserve">LJ12A3-4-Z/BX</t>
  </si>
  <si>
    <t xml:space="preserve">EG-024-LJ18A3-8-ZBY</t>
  </si>
  <si>
    <t xml:space="preserve">LJ18A3-8-Z/BY</t>
  </si>
  <si>
    <t xml:space="preserve">EG-024-LJ8A3-2-ZBx</t>
  </si>
  <si>
    <t xml:space="preserve">LJ8A3-2-Z/BX</t>
  </si>
  <si>
    <t xml:space="preserve">Mushroom Emergency Stop Button LAY37-11ZS  [Switches / Coolant]</t>
  </si>
  <si>
    <t xml:space="preserve">EG-001</t>
  </si>
  <si>
    <t xml:space="preserve">Travel Switch TZ ME-8108  [Switches / Coolant]</t>
  </si>
  <si>
    <t xml:space="preserve">Aluminum base</t>
  </si>
  <si>
    <t xml:space="preserve">ME-8104</t>
  </si>
  <si>
    <t xml:space="preserve">EG-015-ME-8104-LHJDZ</t>
  </si>
  <si>
    <t xml:space="preserve">EG-015-ME-8104-SLDZ</t>
  </si>
  <si>
    <t xml:space="preserve">Plastic base</t>
  </si>
  <si>
    <t xml:space="preserve">EG-015-ME-8104-XHJDZ</t>
  </si>
  <si>
    <t xml:space="preserve">Zinc alloy base</t>
  </si>
  <si>
    <t xml:space="preserve">EG-015-ME-8107-LHJDZ</t>
  </si>
  <si>
    <t xml:space="preserve">ME-8107</t>
  </si>
  <si>
    <t xml:space="preserve">EG-015-ME-8107-SLDZ</t>
  </si>
  <si>
    <t xml:space="preserve">EG-015-ME-8107-XHJDZ</t>
  </si>
  <si>
    <t xml:space="preserve">EG-015-ME-8108-LHJDZ</t>
  </si>
  <si>
    <t xml:space="preserve">ME-8108</t>
  </si>
  <si>
    <t xml:space="preserve">EG-015-ME-8108-SLDZ</t>
  </si>
  <si>
    <t xml:space="preserve">EG-015-ME-8108-XHJDZ</t>
  </si>
  <si>
    <t xml:space="preserve">EG-015-ME-8111-LHJDZ</t>
  </si>
  <si>
    <t xml:space="preserve">ME-8111</t>
  </si>
  <si>
    <t xml:space="preserve">EG-015-ME-8111-SLDZ</t>
  </si>
  <si>
    <t xml:space="preserve">EG-015-ME-8111-XHJDZ</t>
  </si>
  <si>
    <t xml:space="preserve">EG-015-ME-8112-LHJDZ</t>
  </si>
  <si>
    <t xml:space="preserve">ME-8112</t>
  </si>
  <si>
    <t xml:space="preserve">EG-015-ME-8112-SLDZ</t>
  </si>
  <si>
    <t xml:space="preserve">EG-015-ME-8112-XHJDZ</t>
  </si>
  <si>
    <t xml:space="preserve">EG-015-ME-8122-LHJDZ</t>
  </si>
  <si>
    <t xml:space="preserve">ME-8122</t>
  </si>
  <si>
    <t xml:space="preserve">EG-015-ME-8122-SLDZ</t>
  </si>
  <si>
    <t xml:space="preserve">EG-015-ME-8122-XHJDZ</t>
  </si>
  <si>
    <t xml:space="preserve">EG-015-ME-8166-LHJDZ</t>
  </si>
  <si>
    <t xml:space="preserve">ME-8166</t>
  </si>
  <si>
    <t xml:space="preserve">EG-015-ME-8166-SLDZ</t>
  </si>
  <si>
    <t xml:space="preserve">EG-015-ME-8166-XHJDZ</t>
  </si>
  <si>
    <t xml:space="preserve">EG-015-ME-8167-XHJDZ</t>
  </si>
  <si>
    <t xml:space="preserve">ME-8167</t>
  </si>
  <si>
    <t xml:space="preserve">EG-015-ME-8169-LHJDZ</t>
  </si>
  <si>
    <t xml:space="preserve">ME-8169</t>
  </si>
  <si>
    <t xml:space="preserve">EG-015-ME-8169-SLDZ</t>
  </si>
  <si>
    <t xml:space="preserve">EG-015-ME-8169-XHJDZ</t>
  </si>
  <si>
    <t xml:space="preserve">EG-015-ME-9101-LHJDZ</t>
  </si>
  <si>
    <t xml:space="preserve">ME-9101</t>
  </si>
  <si>
    <t xml:space="preserve">EG-015-ME-9101-SLDZ</t>
  </si>
  <si>
    <t xml:space="preserve">EG-015-ME-9101-XHJDZ</t>
  </si>
  <si>
    <t xml:space="preserve">Aluminum Push Button Enclosure  [Switches / Coolant]</t>
  </si>
  <si>
    <t xml:space="preserve">EG-093-2H</t>
  </si>
  <si>
    <t xml:space="preserve">EG-093-3H</t>
  </si>
  <si>
    <t xml:space="preserve">3 holes</t>
  </si>
  <si>
    <t xml:space="preserve">Waterproof Push Button Box, BX Series  [Switches / Coolant]</t>
  </si>
  <si>
    <t xml:space="preserve">EG-075-WH</t>
  </si>
  <si>
    <t xml:space="preserve">EG-075-WH-SJK</t>
  </si>
  <si>
    <t xml:space="preserve">upgraded</t>
  </si>
  <si>
    <t xml:space="preserve">EG-075-YL</t>
  </si>
  <si>
    <t xml:space="preserve">EG-075-YL-SJK</t>
  </si>
  <si>
    <t xml:space="preserve">Limit Switch (Optical / Mechanical / Inductive SN04-N)  [Switches / Coolant]</t>
  </si>
  <si>
    <t xml:space="preserve">SN04-N NPN NO</t>
  </si>
  <si>
    <t xml:space="preserve">EG-010-BL-SN04-N-NPN-CK</t>
  </si>
  <si>
    <t xml:space="preserve">EG-010-BL-SN04-N2-NPN-CB</t>
  </si>
  <si>
    <t xml:space="preserve">SN04-N2 NPN NC</t>
  </si>
  <si>
    <t xml:space="preserve">EG-010-BL-SN04-P-PNP-CK</t>
  </si>
  <si>
    <t xml:space="preserve">SN04-P PNP NO</t>
  </si>
  <si>
    <t xml:space="preserve">EG-010-BL-SN04-P2-PNP-CB</t>
  </si>
  <si>
    <t xml:space="preserve">SN04-P2 PNP NC</t>
  </si>
  <si>
    <t xml:space="preserve">EG-010-LS-SN04-N-NPN-CK</t>
  </si>
  <si>
    <t xml:space="preserve">Green SN04-N NPN NO</t>
  </si>
  <si>
    <t xml:space="preserve">EG-010-LS-SN04-N2-NPN-CB</t>
  </si>
  <si>
    <t xml:space="preserve">Green SN04-N2 NPN NC</t>
  </si>
  <si>
    <t xml:space="preserve">EG-010-LS-SN04-P-PNP-CK</t>
  </si>
  <si>
    <t xml:space="preserve">Green SN04-P PNP NO</t>
  </si>
  <si>
    <t xml:space="preserve">EG-010-LS-SN04-P2-PNP-CB</t>
  </si>
  <si>
    <t xml:space="preserve">Green SN04-P2 PNP NC</t>
  </si>
  <si>
    <t xml:space="preserve">EG-010-YL-SN04-P-PNP-CK</t>
  </si>
  <si>
    <t xml:space="preserve">Limit Micro Switch V-156-1C25  [Switches / Coolant]</t>
  </si>
  <si>
    <t xml:space="preserve">EG-011</t>
  </si>
  <si>
    <t xml:space="preserve">Spindle Cooling Submersible Pump  [Switches / Coolant]</t>
  </si>
  <si>
    <t xml:space="preserve">Voltage</t>
  </si>
  <si>
    <t xml:space="preserve">Head 2.5m brass outlet</t>
  </si>
  <si>
    <t xml:space="preserve">45W</t>
  </si>
  <si>
    <t xml:space="preserve">EG-048-45W-YC2.5M-TSZ</t>
  </si>
  <si>
    <t xml:space="preserve">EG-048-BL-220V-80W-YC3.5M-OBCT-50HZ</t>
  </si>
  <si>
    <t xml:space="preserve">Head 3.5m EU plug 50hz</t>
  </si>
  <si>
    <t xml:space="preserve">220V</t>
  </si>
  <si>
    <t xml:space="preserve">80W</t>
  </si>
  <si>
    <t xml:space="preserve">Nylon Cable Drag Chain (all series)  [Drag Chains]</t>
  </si>
  <si>
    <t xml:space="preserve">Series</t>
  </si>
  <si>
    <t xml:space="preserve">Length</t>
  </si>
  <si>
    <t xml:space="preserve">Standard color</t>
  </si>
  <si>
    <t xml:space="preserve">Bridge opens inside</t>
  </si>
  <si>
    <t xml:space="preserve">CH-BI-18x25-L1</t>
  </si>
  <si>
    <t xml:space="preserve">CH-BI-18x37-L1</t>
  </si>
  <si>
    <t xml:space="preserve">18x37</t>
  </si>
  <si>
    <t xml:space="preserve">CH-BI-18x50xR28-L1</t>
  </si>
  <si>
    <t xml:space="preserve">18x50xR28</t>
  </si>
  <si>
    <t xml:space="preserve">CH-BN-10x10-J</t>
  </si>
  <si>
    <t xml:space="preserve">Bridge non-opening angled end</t>
  </si>
  <si>
    <t xml:space="preserve">Ends only (1 pair)</t>
  </si>
  <si>
    <t xml:space="preserve">CH-BN-10x10xR18-L1</t>
  </si>
  <si>
    <t xml:space="preserve">10x10xR18</t>
  </si>
  <si>
    <t xml:space="preserve">CH-BN-10x10xR28-L1</t>
  </si>
  <si>
    <t xml:space="preserve">10x10xR28</t>
  </si>
  <si>
    <t xml:space="preserve">CH-BN-10x15xR18-L1</t>
  </si>
  <si>
    <t xml:space="preserve">10x15xR18</t>
  </si>
  <si>
    <t xml:space="preserve">CH-BN-10x15xR28-L1</t>
  </si>
  <si>
    <t xml:space="preserve">10x15xR28</t>
  </si>
  <si>
    <t xml:space="preserve">CH-BN-10x20xR18-L1</t>
  </si>
  <si>
    <t xml:space="preserve">10x20xR18</t>
  </si>
  <si>
    <t xml:space="preserve">CH-BN-10x20xR28-L1</t>
  </si>
  <si>
    <t xml:space="preserve">10x20xR28</t>
  </si>
  <si>
    <t xml:space="preserve">CH-BN-10x20xR38-L1</t>
  </si>
  <si>
    <t xml:space="preserve">10x20xR38</t>
  </si>
  <si>
    <t xml:space="preserve">CH-BN-10x30xR28-L1</t>
  </si>
  <si>
    <t xml:space="preserve">10x30xR28</t>
  </si>
  <si>
    <t xml:space="preserve">CH-BN-10x40xR38-L1</t>
  </si>
  <si>
    <t xml:space="preserve">10x40xR38</t>
  </si>
  <si>
    <t xml:space="preserve">CH-BN-12x40-L1</t>
  </si>
  <si>
    <t xml:space="preserve">12x40</t>
  </si>
  <si>
    <t xml:space="preserve">CH-BN-15x15xR28-L1</t>
  </si>
  <si>
    <t xml:space="preserve">15x15xR28</t>
  </si>
  <si>
    <t xml:space="preserve">CH-BN-15x20xR28-L1</t>
  </si>
  <si>
    <t xml:space="preserve">15x20xR28</t>
  </si>
  <si>
    <t xml:space="preserve">CH-BN-15x20xR38-L1</t>
  </si>
  <si>
    <t xml:space="preserve">15x20xR38</t>
  </si>
  <si>
    <t xml:space="preserve">CH-BN-15x20xR48-L1</t>
  </si>
  <si>
    <t xml:space="preserve">15x20xR48</t>
  </si>
  <si>
    <t xml:space="preserve">CH-BN-15x30xR28-L1</t>
  </si>
  <si>
    <t xml:space="preserve">15x30xR28</t>
  </si>
  <si>
    <t xml:space="preserve">CH-BN-15x30xR38-L1</t>
  </si>
  <si>
    <t xml:space="preserve">15x30xR38</t>
  </si>
  <si>
    <t xml:space="preserve">CH-BN-15x30xR48-L1</t>
  </si>
  <si>
    <t xml:space="preserve">15x30xR48</t>
  </si>
  <si>
    <t xml:space="preserve">CH-BN-15x40xR28-L1</t>
  </si>
  <si>
    <t xml:space="preserve">15x40xR28</t>
  </si>
  <si>
    <t xml:space="preserve">CH-BN-15x50xR28-L1</t>
  </si>
  <si>
    <t xml:space="preserve">15x50xR28</t>
  </si>
  <si>
    <t xml:space="preserve">CH-BN-18x25-L1</t>
  </si>
  <si>
    <t xml:space="preserve">CH-BN-5x5-J</t>
  </si>
  <si>
    <t xml:space="preserve">CH-BN-5x5xR10-L1</t>
  </si>
  <si>
    <t xml:space="preserve">5x5xR10</t>
  </si>
  <si>
    <t xml:space="preserve">CH-BN-5x7xR15-L1</t>
  </si>
  <si>
    <t xml:space="preserve">5x7xR15</t>
  </si>
  <si>
    <t xml:space="preserve">CH-BN-5x7xR18-L1</t>
  </si>
  <si>
    <t xml:space="preserve">5x7xR18</t>
  </si>
  <si>
    <t xml:space="preserve">CH-BN-7x10xR15-L1</t>
  </si>
  <si>
    <t xml:space="preserve">7x10xR15</t>
  </si>
  <si>
    <t xml:space="preserve">CH-BN-7x15xR28-L1</t>
  </si>
  <si>
    <t xml:space="preserve">7x15xR28</t>
  </si>
  <si>
    <t xml:space="preserve">CH-BN-7x7xR15-L0.3</t>
  </si>
  <si>
    <t xml:space="preserve">7x7xR15</t>
  </si>
  <si>
    <t xml:space="preserve">0.3m</t>
  </si>
  <si>
    <t xml:space="preserve">CH-BN-7x7xR15-L0.5</t>
  </si>
  <si>
    <t xml:space="preserve">CH-BN-7x7xR15-L1</t>
  </si>
  <si>
    <t xml:space="preserve">CH-BN-7x7xR25-L1</t>
  </si>
  <si>
    <t xml:space="preserve">7x7xR25</t>
  </si>
  <si>
    <t xml:space="preserve">CH-BN-8x8-J</t>
  </si>
  <si>
    <t xml:space="preserve">CH-BN-8x8xR18-L1</t>
  </si>
  <si>
    <t xml:space="preserve">8x8xR18</t>
  </si>
  <si>
    <t xml:space="preserve">CH-BO-10x6-J</t>
  </si>
  <si>
    <t xml:space="preserve">Bridge outside opening angled end</t>
  </si>
  <si>
    <t xml:space="preserve">CH-BO-10x6xR28-L1</t>
  </si>
  <si>
    <t xml:space="preserve">10x6xR28</t>
  </si>
  <si>
    <t xml:space="preserve">CH-BO-5x5-J</t>
  </si>
  <si>
    <t xml:space="preserve">CH-BO-5x5xR10-L1</t>
  </si>
  <si>
    <t xml:space="preserve">CH-BP-10x10xR28-L1</t>
  </si>
  <si>
    <t xml:space="preserve">Bridge detachable press type</t>
  </si>
  <si>
    <t xml:space="preserve">CH-BP-10x11xR28-L1</t>
  </si>
  <si>
    <t xml:space="preserve">10x11xR28</t>
  </si>
  <si>
    <t xml:space="preserve">CH-BP-10x30xR18-L1</t>
  </si>
  <si>
    <t xml:space="preserve">10x30xR18</t>
  </si>
  <si>
    <t xml:space="preserve">CH-BP-10x30xR28-L1</t>
  </si>
  <si>
    <t xml:space="preserve">CH-BX-10x10-J</t>
  </si>
  <si>
    <t xml:space="preserve">Bridge opens outside</t>
  </si>
  <si>
    <t xml:space="preserve">CH-BX-10x10xR18-L0.5</t>
  </si>
  <si>
    <t xml:space="preserve">CH-BX-10x10xR18-L1</t>
  </si>
  <si>
    <t xml:space="preserve">CH-BX-10x11xR18-L1</t>
  </si>
  <si>
    <t xml:space="preserve">10x11xR18</t>
  </si>
  <si>
    <t xml:space="preserve">CH-BX-10x11xR28-L1</t>
  </si>
  <si>
    <t xml:space="preserve">CH-BX-10x11xR38-L1</t>
  </si>
  <si>
    <t xml:space="preserve">10x11xR38</t>
  </si>
  <si>
    <t xml:space="preserve">CH-BX-10x15-J</t>
  </si>
  <si>
    <t xml:space="preserve">CH-BX-10x15xR18-L1</t>
  </si>
  <si>
    <t xml:space="preserve">CH-BX-10x15xR28-L1</t>
  </si>
  <si>
    <t xml:space="preserve">CH-BX-10x15xR38-L1</t>
  </si>
  <si>
    <t xml:space="preserve">10x15xR38</t>
  </si>
  <si>
    <t xml:space="preserve">CH-BX-10x20-J</t>
  </si>
  <si>
    <t xml:space="preserve">CH-BX-10x20xR18-L1</t>
  </si>
  <si>
    <t xml:space="preserve">CH-BX-10x20xR18-L1.5</t>
  </si>
  <si>
    <t xml:space="preserve">CH-BX-10x20xR28-L1</t>
  </si>
  <si>
    <t xml:space="preserve">CH-BX-10x20xR28-L1.5</t>
  </si>
  <si>
    <t xml:space="preserve">CH-BX-10x20xR38-L1</t>
  </si>
  <si>
    <t xml:space="preserve">CH-BX-10x20xR38-L1.5</t>
  </si>
  <si>
    <t xml:space="preserve">CH-BX-10x30-J</t>
  </si>
  <si>
    <t xml:space="preserve">10x30</t>
  </si>
  <si>
    <t xml:space="preserve">CH-BX-10x30xR18-L1</t>
  </si>
  <si>
    <t xml:space="preserve">CH-BX-10x30xR28-L1</t>
  </si>
  <si>
    <t xml:space="preserve">CH-BX-10x30xR38-L1</t>
  </si>
  <si>
    <t xml:space="preserve">10x30xR38</t>
  </si>
  <si>
    <t xml:space="preserve">CH-BX-15x15xR28-L1</t>
  </si>
  <si>
    <t xml:space="preserve">CH-BX-15x15xR38-L1</t>
  </si>
  <si>
    <t xml:space="preserve">15x15xR38</t>
  </si>
  <si>
    <t xml:space="preserve">CH-BX-15x20xR28-L1</t>
  </si>
  <si>
    <t xml:space="preserve">CH-BX-15x20xR38-L1</t>
  </si>
  <si>
    <t xml:space="preserve">CH-BX-15x20xR48-L1</t>
  </si>
  <si>
    <t xml:space="preserve">CH-BX-15x25xR28-L1</t>
  </si>
  <si>
    <t xml:space="preserve">15x25xR28</t>
  </si>
  <si>
    <t xml:space="preserve">CH-BX-15x30xR28-L1</t>
  </si>
  <si>
    <t xml:space="preserve">CH-BX-15x30xR38-L1</t>
  </si>
  <si>
    <t xml:space="preserve">CH-BX-15x30xR48-L1</t>
  </si>
  <si>
    <t xml:space="preserve">CH-BX-15x36-L1</t>
  </si>
  <si>
    <t xml:space="preserve">15x36</t>
  </si>
  <si>
    <t xml:space="preserve">CH-BX-15x50xR28-L1</t>
  </si>
  <si>
    <t xml:space="preserve">CH-BX-18x18-L1</t>
  </si>
  <si>
    <t xml:space="preserve">CH-BX-18x25-L1</t>
  </si>
  <si>
    <t xml:space="preserve">CH-BX-18x37-L1</t>
  </si>
  <si>
    <t xml:space="preserve">CH-FC-25x38xR55-L1</t>
  </si>
  <si>
    <t xml:space="preserve">25x38xR55</t>
  </si>
  <si>
    <t xml:space="preserve">Fully enclosed angled end</t>
  </si>
  <si>
    <t xml:space="preserve">CH-HC-15x15-L1</t>
  </si>
  <si>
    <t xml:space="preserve">Semi-enclosed</t>
  </si>
  <si>
    <t xml:space="preserve">CH-HC-15x20xR28-L1</t>
  </si>
  <si>
    <t xml:space="preserve">CH-HC-15x20xR28-L1-WH</t>
  </si>
  <si>
    <t xml:space="preserve">CH-HC-15x20xR38-L1</t>
  </si>
  <si>
    <t xml:space="preserve">CH-HC-15x20xR48-L1</t>
  </si>
  <si>
    <t xml:space="preserve">CH-HC-15x30xR28-L1</t>
  </si>
  <si>
    <t xml:space="preserve">CH-HC-15x30xR38-L1</t>
  </si>
  <si>
    <t xml:space="preserve">CH-HC-15x30xR48-L1</t>
  </si>
  <si>
    <t xml:space="preserve">CH-HC-15x40xR28-L1</t>
  </si>
  <si>
    <t xml:space="preserve">CH-HC-15x40xR38-L1</t>
  </si>
  <si>
    <t xml:space="preserve">15x40xR38</t>
  </si>
  <si>
    <t xml:space="preserve">CH-HC-15x40xR48-L1</t>
  </si>
  <si>
    <t xml:space="preserve">15x40xR48</t>
  </si>
  <si>
    <t xml:space="preserve">CH-HC-15x50xR28-L1</t>
  </si>
  <si>
    <t xml:space="preserve">CH-HC-15x50xR38-L1</t>
  </si>
  <si>
    <t xml:space="preserve">15x50xR38</t>
  </si>
  <si>
    <t xml:space="preserve">CH-HC-15x50xR48-L1</t>
  </si>
  <si>
    <t xml:space="preserve">15x50xR48</t>
  </si>
  <si>
    <t xml:space="preserve">CH-HC-18x18-J</t>
  </si>
  <si>
    <t xml:space="preserve">CH-HC-18x18xR38-L1</t>
  </si>
  <si>
    <t xml:space="preserve">18x18xR38</t>
  </si>
  <si>
    <t xml:space="preserve">CH-HC-18x25xR38-L1</t>
  </si>
  <si>
    <t xml:space="preserve">18x25xR38</t>
  </si>
  <si>
    <t xml:space="preserve">CH-HC-18x37xR38-L1</t>
  </si>
  <si>
    <t xml:space="preserve">18x37xR38</t>
  </si>
  <si>
    <t xml:space="preserve">CH-HC-18x50xR38-L1</t>
  </si>
  <si>
    <t xml:space="preserve">18x50xR38</t>
  </si>
  <si>
    <t xml:space="preserve">CH-HN-10x15xR28-L1</t>
  </si>
  <si>
    <t xml:space="preserve">Semi-enclosed non-opening</t>
  </si>
  <si>
    <t xml:space="preserve">CH-HN-10x20xR28-L1</t>
  </si>
  <si>
    <t xml:space="preserve">CH-HN-10x30xR28-L1</t>
  </si>
  <si>
    <t xml:space="preserve">CH-KB-25x38xR55-L1</t>
  </si>
  <si>
    <t xml:space="preserve">All black opens inside &amp; outside angled end</t>
  </si>
  <si>
    <t xml:space="preserve">CH-KB-25x77xR55-L1</t>
  </si>
  <si>
    <t xml:space="preserve">25x77xR55</t>
  </si>
  <si>
    <t xml:space="preserve">CH-KB-25x77xR75-L1</t>
  </si>
  <si>
    <t xml:space="preserve">25x77xR75</t>
  </si>
  <si>
    <t xml:space="preserve">CH-TK-18x18xR38-L1</t>
  </si>
  <si>
    <t xml:space="preserve">Quiet tank chain</t>
  </si>
  <si>
    <t xml:space="preserve">CH-TK-18x25xR38-L1</t>
  </si>
  <si>
    <t xml:space="preserve">CH-TK-18x37xR38-L1</t>
  </si>
  <si>
    <t xml:space="preserve">CH-TK-18x50xR38-L1</t>
  </si>
  <si>
    <t xml:space="preserve">CH-TK-25x103-L1</t>
  </si>
  <si>
    <t xml:space="preserve">25x103</t>
  </si>
  <si>
    <t xml:space="preserve">CH-TK-25x25-L1</t>
  </si>
  <si>
    <t xml:space="preserve">CH-TK-25x38-L1</t>
  </si>
  <si>
    <t xml:space="preserve">CH-TK-25x50-L1</t>
  </si>
  <si>
    <t xml:space="preserve">25x50</t>
  </si>
  <si>
    <t xml:space="preserve">CH-TK-25x57-L1</t>
  </si>
  <si>
    <t xml:space="preserve">25x57</t>
  </si>
  <si>
    <t xml:space="preserve">CH-TK-25x60-L1</t>
  </si>
  <si>
    <t xml:space="preserve">25x60</t>
  </si>
  <si>
    <t xml:space="preserve">CH-TK-25x70-L1</t>
  </si>
  <si>
    <t xml:space="preserve">25x70</t>
  </si>
  <si>
    <t xml:space="preserve">CH-TK-25x77-L1</t>
  </si>
  <si>
    <t xml:space="preserve">25x77</t>
  </si>
  <si>
    <t xml:space="preserve">CH-TK-25x80-L1</t>
  </si>
  <si>
    <t xml:space="preserve">25x80</t>
  </si>
  <si>
    <t xml:space="preserve">CH-TK-25x90-L1</t>
  </si>
  <si>
    <t xml:space="preserve">25x90</t>
  </si>
  <si>
    <t xml:space="preserve">CH-TK-28x103-L1</t>
  </si>
  <si>
    <t xml:space="preserve">28x103</t>
  </si>
  <si>
    <t xml:space="preserve">CH-TK-28x25-L1</t>
  </si>
  <si>
    <t xml:space="preserve">28x25</t>
  </si>
  <si>
    <t xml:space="preserve">CH-TK-28x38-L1</t>
  </si>
  <si>
    <t xml:space="preserve">28x38</t>
  </si>
  <si>
    <t xml:space="preserve">CH-TK-28x50-L1</t>
  </si>
  <si>
    <t xml:space="preserve">28x50</t>
  </si>
  <si>
    <t xml:space="preserve">CH-TK-28x57-L1</t>
  </si>
  <si>
    <t xml:space="preserve">28x57</t>
  </si>
  <si>
    <t xml:space="preserve">CH-TK-28x60-L1</t>
  </si>
  <si>
    <t xml:space="preserve">28x60</t>
  </si>
  <si>
    <t xml:space="preserve">CH-TK-28x70-L1</t>
  </si>
  <si>
    <t xml:space="preserve">28x70</t>
  </si>
  <si>
    <t xml:space="preserve">CH-TK-28x77-L1</t>
  </si>
  <si>
    <t xml:space="preserve">28x77</t>
  </si>
  <si>
    <t xml:space="preserve">CH-TK-28x80-L1</t>
  </si>
  <si>
    <t xml:space="preserve">28x80</t>
  </si>
  <si>
    <t xml:space="preserve">CH-TK-28x90-L1</t>
  </si>
  <si>
    <t xml:space="preserve">28x90</t>
  </si>
  <si>
    <t xml:space="preserve">CH-TK-35x103-L1</t>
  </si>
  <si>
    <t xml:space="preserve">35x103</t>
  </si>
  <si>
    <t xml:space="preserve">CH-TK-35x38-L1</t>
  </si>
  <si>
    <t xml:space="preserve">35x38</t>
  </si>
  <si>
    <t xml:space="preserve">CH-TK-35x50-L1</t>
  </si>
  <si>
    <t xml:space="preserve">35x50</t>
  </si>
  <si>
    <t xml:space="preserve">CH-TK-35x57-L1</t>
  </si>
  <si>
    <t xml:space="preserve">35x57</t>
  </si>
  <si>
    <t xml:space="preserve">CH-TK-35x60-L1</t>
  </si>
  <si>
    <t xml:space="preserve">35x60</t>
  </si>
  <si>
    <t xml:space="preserve">CH-TK-35x70-L1</t>
  </si>
  <si>
    <t xml:space="preserve">35x70</t>
  </si>
  <si>
    <t xml:space="preserve">CH-TK-35x77-L1</t>
  </si>
  <si>
    <t xml:space="preserve">35x77</t>
  </si>
  <si>
    <t xml:space="preserve">CH-TK-35x80-L1</t>
  </si>
  <si>
    <t xml:space="preserve">35x80</t>
  </si>
  <si>
    <t xml:space="preserve">CH-TK-35x90-L1</t>
  </si>
  <si>
    <t xml:space="preserve">35x90</t>
  </si>
  <si>
    <t xml:space="preserve">CH-TK-40x100-L1</t>
  </si>
  <si>
    <t xml:space="preserve">40x100</t>
  </si>
  <si>
    <t xml:space="preserve">CH-TK-40x125-L1</t>
  </si>
  <si>
    <t xml:space="preserve">40x125</t>
  </si>
  <si>
    <t xml:space="preserve">CH-TK-40x50-L1</t>
  </si>
  <si>
    <t xml:space="preserve">40x50</t>
  </si>
  <si>
    <t xml:space="preserve">CH-TK-40x75-L1</t>
  </si>
  <si>
    <t xml:space="preserve">40x75</t>
  </si>
  <si>
    <t xml:space="preserve">CH-YB-20x25xR55-L1</t>
  </si>
  <si>
    <t xml:space="preserve">20x25xR55</t>
  </si>
  <si>
    <t xml:space="preserve">Bridge yellow-dot opens inside &amp; outside</t>
  </si>
  <si>
    <t xml:space="preserve">CH-YB-20x30xR55-L1</t>
  </si>
  <si>
    <t xml:space="preserve">20x30xR55</t>
  </si>
  <si>
    <t xml:space="preserve">CH-YB-20x38xR55-L1</t>
  </si>
  <si>
    <t xml:space="preserve">20x38xR55</t>
  </si>
  <si>
    <t xml:space="preserve">CH-YB-20x57xR55-L1</t>
  </si>
  <si>
    <t xml:space="preserve">20x57xR55</t>
  </si>
  <si>
    <t xml:space="preserve">CH-YB-25x103xR55-L1</t>
  </si>
  <si>
    <t xml:space="preserve">25x103xR55</t>
  </si>
  <si>
    <t xml:space="preserve">CH-YB-25x77xR55-L1</t>
  </si>
  <si>
    <t xml:space="preserve">CH-YB-35x100xR100-L1</t>
  </si>
  <si>
    <t xml:space="preserve">35x100xR100</t>
  </si>
  <si>
    <t xml:space="preserve">CH-YB-35x50xR100-L1</t>
  </si>
  <si>
    <t xml:space="preserve">35x50xR100</t>
  </si>
  <si>
    <t xml:space="preserve">CH-YB-35x50xR75-L1</t>
  </si>
  <si>
    <t xml:space="preserve">35x50xR75</t>
  </si>
  <si>
    <t xml:space="preserve">CH-YB-35x75xR100-L1</t>
  </si>
  <si>
    <t xml:space="preserve">35x75xR100</t>
  </si>
  <si>
    <t xml:space="preserve">CH-YB-35x75xR125-L1</t>
  </si>
  <si>
    <t xml:space="preserve">35x75xR125</t>
  </si>
  <si>
    <t xml:space="preserve">CH-YB-35x75xR75-L1</t>
  </si>
  <si>
    <t xml:space="preserve">35x75xR75</t>
  </si>
  <si>
    <t xml:space="preserve">CH-YF-20x50-L1</t>
  </si>
  <si>
    <t xml:space="preserve">20x50</t>
  </si>
  <si>
    <t xml:space="preserve">Yellow-clip fully enclosed rectangular end</t>
  </si>
  <si>
    <t xml:space="preserve">CH-YF-25x50xR55-L1</t>
  </si>
  <si>
    <t xml:space="preserve">25x50xR55</t>
  </si>
  <si>
    <t xml:space="preserve">CH-YF-25x50xR75-L1</t>
  </si>
  <si>
    <t xml:space="preserve">25x50xR75</t>
  </si>
  <si>
    <t xml:space="preserve">CH-YF-25x75xR55-L1</t>
  </si>
  <si>
    <t xml:space="preserve">25x75xR55</t>
  </si>
  <si>
    <t xml:space="preserve">CH-YF-25x75xR75-L1</t>
  </si>
  <si>
    <t xml:space="preserve">25x75xR75</t>
  </si>
  <si>
    <t xml:space="preserve">CH-YF-25x77xR55-L1</t>
  </si>
  <si>
    <t xml:space="preserve">CH-YF-35x50-L1</t>
  </si>
  <si>
    <t xml:space="preserve">CH-YH-20x25-L1</t>
  </si>
  <si>
    <t xml:space="preserve">20x25</t>
  </si>
  <si>
    <t xml:space="preserve">Yellow-clip semi-enclosed square end</t>
  </si>
  <si>
    <t xml:space="preserve">CH-YH-20x30-L1</t>
  </si>
  <si>
    <t xml:space="preserve">20x30</t>
  </si>
  <si>
    <t xml:space="preserve">CH-YH-20x38-L1</t>
  </si>
  <si>
    <t xml:space="preserve">20x38</t>
  </si>
  <si>
    <t xml:space="preserve">CH-YH-20x57-L1</t>
  </si>
  <si>
    <t xml:space="preserve">20x57</t>
  </si>
  <si>
    <t xml:space="preserve">CH-YI-18x18xR38-L1</t>
  </si>
  <si>
    <t xml:space="preserve">Yellow-clip semi-enclosed opens inside angled end</t>
  </si>
  <si>
    <t xml:space="preserve">CH-YI-18x25xR38-L1</t>
  </si>
  <si>
    <t xml:space="preserve">CH-YI-18x37-L1</t>
  </si>
  <si>
    <t xml:space="preserve">CH-YI-18x50-L1</t>
  </si>
  <si>
    <t xml:space="preserve">18x50</t>
  </si>
  <si>
    <t xml:space="preserve">CH-YL-25x103xR55-L1</t>
  </si>
  <si>
    <t xml:space="preserve">Large yellow clip opens both sides angled end</t>
  </si>
  <si>
    <t xml:space="preserve">CH-YL-25x77xR55-L1</t>
  </si>
  <si>
    <t xml:space="preserve">CH-YL-35x100xR100-L1</t>
  </si>
  <si>
    <t xml:space="preserve">CH-YL-35x50xR100-L1</t>
  </si>
  <si>
    <t xml:space="preserve">CH-YL-35x50xR75-L1</t>
  </si>
  <si>
    <t xml:space="preserve">CH-YL-35x75xR100-L1</t>
  </si>
  <si>
    <t xml:space="preserve">CH-YL-35x75xR125-L1</t>
  </si>
  <si>
    <t xml:space="preserve">CH-YL-35x75xR75-L1</t>
  </si>
  <si>
    <t xml:space="preserve">CH-YS-20x25-L1</t>
  </si>
  <si>
    <t xml:space="preserve">Yellow-clip bridge square end</t>
  </si>
  <si>
    <t xml:space="preserve">CH-YS-20x30-L1</t>
  </si>
  <si>
    <t xml:space="preserve">CH-YS-20x38-L1</t>
  </si>
  <si>
    <t xml:space="preserve">CH-YS-20x57-L1</t>
  </si>
  <si>
    <t xml:space="preserve">CH-YS-25x103xR100-L1</t>
  </si>
  <si>
    <t xml:space="preserve">25x103xR100</t>
  </si>
  <si>
    <t xml:space="preserve">CH-YS-25x103xR125-L1</t>
  </si>
  <si>
    <t xml:space="preserve">25x103xR125</t>
  </si>
  <si>
    <t xml:space="preserve">CH-YS-25x103xR150-L1</t>
  </si>
  <si>
    <t xml:space="preserve">25x103xR150</t>
  </si>
  <si>
    <t xml:space="preserve">CH-YS-25x103xR175-L1</t>
  </si>
  <si>
    <t xml:space="preserve">25x103xR175</t>
  </si>
  <si>
    <t xml:space="preserve">CH-YS-25x103xR55-L1</t>
  </si>
  <si>
    <t xml:space="preserve">CH-YS-25x103xR75-L1</t>
  </si>
  <si>
    <t xml:space="preserve">25x103xR75</t>
  </si>
  <si>
    <t xml:space="preserve">CH-YS-25x38-J</t>
  </si>
  <si>
    <t xml:space="preserve">CH-YS-25x38xR55-L1</t>
  </si>
  <si>
    <t xml:space="preserve">CH-YS-25x50xR55-L1</t>
  </si>
  <si>
    <t xml:space="preserve">CH-YS-25x50xR75-L1</t>
  </si>
  <si>
    <t xml:space="preserve">CH-YS-25x57xR55-L1</t>
  </si>
  <si>
    <t xml:space="preserve">25x57xR55</t>
  </si>
  <si>
    <t xml:space="preserve">CH-YS-25x57xR55-L1.5</t>
  </si>
  <si>
    <t xml:space="preserve">CH-YS-25x75xR125-L1</t>
  </si>
  <si>
    <t xml:space="preserve">25x75xR125</t>
  </si>
  <si>
    <t xml:space="preserve">CH-YS-25x75xR55-L1</t>
  </si>
  <si>
    <t xml:space="preserve">CH-YS-25x77xR100-L1</t>
  </si>
  <si>
    <t xml:space="preserve">25x77xR100</t>
  </si>
  <si>
    <t xml:space="preserve">CH-YS-25x77xR125-L0.3</t>
  </si>
  <si>
    <t xml:space="preserve">25x77xR125</t>
  </si>
  <si>
    <t xml:space="preserve">CH-YS-25x77xR125-L1</t>
  </si>
  <si>
    <t xml:space="preserve">CH-YS-25x77xR55-L1</t>
  </si>
  <si>
    <t xml:space="preserve">CH-YS-25x77xR75-L1</t>
  </si>
  <si>
    <t xml:space="preserve">CH-YS-35x75xR125-L1</t>
  </si>
  <si>
    <t xml:space="preserve">CH-YS-35x75xR55-L1</t>
  </si>
  <si>
    <t xml:space="preserve">35x75xR55</t>
  </si>
  <si>
    <t xml:space="preserve">CH-YS-45x75xR55-L1</t>
  </si>
  <si>
    <t xml:space="preserve">45x75xR55</t>
  </si>
  <si>
    <t xml:space="preserve">DB15 Cable (2-row 15-pin)  [Electronics &amp; Cables]</t>
  </si>
  <si>
    <t xml:space="preserve">Female-female</t>
  </si>
  <si>
    <t xml:space="preserve">EG-051-BK-FF</t>
  </si>
  <si>
    <t xml:space="preserve">EG-051-BK-MF</t>
  </si>
  <si>
    <t xml:space="preserve">Male-female</t>
  </si>
  <si>
    <t xml:space="preserve">EG-051-BK-MM</t>
  </si>
  <si>
    <t xml:space="preserve">Male-male</t>
  </si>
  <si>
    <t xml:space="preserve">EG-051-WH-FF</t>
  </si>
  <si>
    <t xml:space="preserve">EG-051-WH-MF</t>
  </si>
  <si>
    <t xml:space="preserve">EG-051-WH-MM</t>
  </si>
  <si>
    <t xml:space="preserve">PWM Controller IC TL494CN DIP-16  [Electronics &amp; Cables]</t>
  </si>
  <si>
    <t xml:space="preserve">EG-083</t>
  </si>
  <si>
    <t xml:space="preserve">Red Line Laser Module MXD1230  [Electronics &amp; Cables]</t>
  </si>
  <si>
    <t xml:space="preserve">Dot laser</t>
  </si>
  <si>
    <t xml:space="preserve">EG-021-DZJG</t>
  </si>
  <si>
    <t xml:space="preserve">EG-021-SZXJG</t>
  </si>
  <si>
    <t xml:space="preserve">Cross laser</t>
  </si>
  <si>
    <t xml:space="preserve">EG-021-YZXJG</t>
  </si>
  <si>
    <t xml:space="preserve">Line laser</t>
  </si>
  <si>
    <t xml:space="preserve">Single-Phase Solid State Relay SSR-25DA  [Electronics &amp; Cables]</t>
  </si>
  <si>
    <t xml:space="preserve">SSR-25DA</t>
  </si>
  <si>
    <t xml:space="preserve">EG-058-SSR-25DA</t>
  </si>
  <si>
    <t xml:space="preserve">EG-058-SSR-40DA</t>
  </si>
  <si>
    <t xml:space="preserve">SSR-40DA</t>
  </si>
  <si>
    <t xml:space="preserve">Red-Black Dupont Ribbon Wire  [Electronics &amp; Cables]</t>
  </si>
  <si>
    <t xml:space="preserve">2P female-female L 100CM</t>
  </si>
  <si>
    <t xml:space="preserve">EG-016-2PMDMZ100CM</t>
  </si>
  <si>
    <t xml:space="preserve">EG-016-2PMDMZ70CM</t>
  </si>
  <si>
    <t xml:space="preserve">2P female-female L 70CM</t>
  </si>
  <si>
    <t xml:space="preserve">EG-016-3PMDMZ100CM</t>
  </si>
  <si>
    <t xml:space="preserve">3P female-female L 100CM</t>
  </si>
  <si>
    <t xml:space="preserve">EG-016-3PMDMZ70CM</t>
  </si>
  <si>
    <t xml:space="preserve">3P female-female L 70CM</t>
  </si>
  <si>
    <t xml:space="preserve">EG-016-4PMDMZ100CM</t>
  </si>
  <si>
    <t xml:space="preserve">4P female-female L 100CM</t>
  </si>
  <si>
    <t xml:space="preserve">EG-016-4PMDMZ70CM</t>
  </si>
  <si>
    <t xml:space="preserve">4P female-female L 70CM</t>
  </si>
  <si>
    <t xml:space="preserve">Aluminum Potentiometer Knob  [Electronics &amp; Cables]</t>
  </si>
  <si>
    <t xml:space="preserve">EG-050-BK</t>
  </si>
  <si>
    <t xml:space="preserve">EG-050-SV</t>
  </si>
  <si>
    <t xml:space="preserve">PE Spiral Wrap Cable Sleeve  [Cable Sleeves]</t>
  </si>
  <si>
    <t xml:space="preserve">10mm (10m)</t>
  </si>
  <si>
    <t xml:space="preserve">EG-019-BK-1010M</t>
  </si>
  <si>
    <t xml:space="preserve">EG-019-BK-128M</t>
  </si>
  <si>
    <t xml:space="preserve">12mm (8m)</t>
  </si>
  <si>
    <t xml:space="preserve">EG-019-BK-146M</t>
  </si>
  <si>
    <t xml:space="preserve">14mm (6m)</t>
  </si>
  <si>
    <t xml:space="preserve">EG-019-BK-165M</t>
  </si>
  <si>
    <t xml:space="preserve">16mm (5m)</t>
  </si>
  <si>
    <t xml:space="preserve">EG-019-BK-184M</t>
  </si>
  <si>
    <t xml:space="preserve">18mm (4m)</t>
  </si>
  <si>
    <t xml:space="preserve">EG-019-BK-203M</t>
  </si>
  <si>
    <t xml:space="preserve">20mm (3m)</t>
  </si>
  <si>
    <t xml:space="preserve">EG-019-BK-252.2M</t>
  </si>
  <si>
    <t xml:space="preserve">25mm (2.2m)</t>
  </si>
  <si>
    <t xml:space="preserve">EG-019-BK-302M</t>
  </si>
  <si>
    <t xml:space="preserve">30mm (2m)</t>
  </si>
  <si>
    <t xml:space="preserve">EG-019-BK-320M</t>
  </si>
  <si>
    <t xml:space="preserve">3mm (20m)</t>
  </si>
  <si>
    <t xml:space="preserve">EG-019-BK-420M</t>
  </si>
  <si>
    <t xml:space="preserve">4mm (20m)</t>
  </si>
  <si>
    <t xml:space="preserve">EG-019-BK-615M</t>
  </si>
  <si>
    <t xml:space="preserve">6mm (15m)</t>
  </si>
  <si>
    <t xml:space="preserve">EG-019-BK-812M</t>
  </si>
  <si>
    <t xml:space="preserve">8mm (12m)</t>
  </si>
  <si>
    <t xml:space="preserve">EG-019-WH-1010M</t>
  </si>
  <si>
    <t xml:space="preserve">EG-019-WH-128M</t>
  </si>
  <si>
    <t xml:space="preserve">EG-019-WH-146M</t>
  </si>
  <si>
    <t xml:space="preserve">EG-019-WH-165M</t>
  </si>
  <si>
    <t xml:space="preserve">EG-019-WH-184M</t>
  </si>
  <si>
    <t xml:space="preserve">EG-019-WH-203M</t>
  </si>
  <si>
    <t xml:space="preserve">EG-019-WH-252.2M</t>
  </si>
  <si>
    <t xml:space="preserve">EG-019-WH-302M</t>
  </si>
  <si>
    <t xml:space="preserve">EG-019-WH-320M</t>
  </si>
  <si>
    <t xml:space="preserve">EG-019-WH-420M</t>
  </si>
  <si>
    <t xml:space="preserve">EG-019-WH-615M</t>
  </si>
  <si>
    <t xml:space="preserve">EG-019-WH-812M</t>
  </si>
  <si>
    <t xml:space="preserve">PVC Heat Shrink Sleeve (battery packs)  [Cable Sleeves]</t>
  </si>
  <si>
    <t xml:space="preserve">Flattened (1m)</t>
  </si>
  <si>
    <t xml:space="preserve">W 105</t>
  </si>
  <si>
    <t xml:space="preserve">EG-055-K105-BK-MM1M</t>
  </si>
  <si>
    <t xml:space="preserve">EG-055-K125-BK-MM1M</t>
  </si>
  <si>
    <t xml:space="preserve">W 125</t>
  </si>
  <si>
    <t xml:space="preserve">EG-055-K130-BK-MM1M</t>
  </si>
  <si>
    <t xml:space="preserve">W 130</t>
  </si>
  <si>
    <t xml:space="preserve">EG-055-K135-BK-MM1M</t>
  </si>
  <si>
    <t xml:space="preserve">W 135</t>
  </si>
  <si>
    <t xml:space="preserve">EG-055-K135-BL-MM1M</t>
  </si>
  <si>
    <t xml:space="preserve">EG-055-K150-BL-MM1M</t>
  </si>
  <si>
    <t xml:space="preserve">W 150</t>
  </si>
  <si>
    <t xml:space="preserve">EG-055-K170-BK-MM1M</t>
  </si>
  <si>
    <t xml:space="preserve">W 170</t>
  </si>
  <si>
    <t xml:space="preserve">EG-055-K170-BL-MM1M</t>
  </si>
  <si>
    <t xml:space="preserve">EG-055-K250-BK-MM1M</t>
  </si>
  <si>
    <t xml:space="preserve">W 250</t>
  </si>
  <si>
    <t xml:space="preserve">EG-055-K28-BK-MM10M</t>
  </si>
  <si>
    <t xml:space="preserve">Flattened (10m)</t>
  </si>
  <si>
    <t xml:space="preserve">W 28</t>
  </si>
  <si>
    <t xml:space="preserve">EG-055-K28-BL-MM10M</t>
  </si>
  <si>
    <t xml:space="preserve">EG-055-K30-BK-MM10M</t>
  </si>
  <si>
    <t xml:space="preserve">EG-055-K30-BL-MM10M</t>
  </si>
  <si>
    <t xml:space="preserve">EG-055-K30-BL-MMxCD72100P</t>
  </si>
  <si>
    <t xml:space="preserve">L 72mm (100 pcs)</t>
  </si>
  <si>
    <t xml:space="preserve">EG-055-K300-BK-MM1M</t>
  </si>
  <si>
    <t xml:space="preserve">W 300</t>
  </si>
  <si>
    <t xml:space="preserve">EG-055-K400-BK-MM1M</t>
  </si>
  <si>
    <t xml:space="preserve">W 400</t>
  </si>
  <si>
    <t xml:space="preserve">EG-055-K85-BK-MM1M</t>
  </si>
  <si>
    <t xml:space="preserve">W 85</t>
  </si>
  <si>
    <t xml:space="preserve">PVC Clear Oil Tube 4x2.5mm  [Cable Sleeves]</t>
  </si>
  <si>
    <t xml:space="preserve">10m</t>
  </si>
  <si>
    <t xml:space="preserve">OD 4mm</t>
  </si>
  <si>
    <t xml:space="preserve">EG-085-2.5-WJ4-10M</t>
  </si>
  <si>
    <t xml:space="preserve">EG-085-2.5-WJ4-ZJ100M</t>
  </si>
  <si>
    <t xml:space="preserve">EG-085-4-WJ6-10M</t>
  </si>
  <si>
    <t xml:space="preserve">OD 6mm</t>
  </si>
  <si>
    <t xml:space="preserve">EG-085-4-WJ6-ZJ100M</t>
  </si>
  <si>
    <t xml:space="preserve">EG-085-YGBHTZJ4-Z4M</t>
  </si>
  <si>
    <t xml:space="preserve">L 4m</t>
  </si>
  <si>
    <t xml:space="preserve">Tube sleeve Dia 4mm</t>
  </si>
  <si>
    <t xml:space="preserve">EG-085-YGBHTZJ6-Z4M</t>
  </si>
  <si>
    <t xml:space="preserve">Tube sleeve Dia 6mm</t>
  </si>
  <si>
    <t xml:space="preserve">Plastic Cable Protection Tube  [Cable Sleeves]</t>
  </si>
  <si>
    <t xml:space="preserve">EG-087</t>
  </si>
  <si>
    <t xml:space="preserve">Nylon Braided Expandable Sleeving  [Cable Sleeves]</t>
  </si>
  <si>
    <t xml:space="preserve">Flat (full roll 100m)</t>
  </si>
  <si>
    <t xml:space="preserve">W 8</t>
  </si>
  <si>
    <t xml:space="preserve">EG-004-K8-B-MMZJ100M</t>
  </si>
  <si>
    <t xml:space="preserve">EG-004-NK101M</t>
  </si>
  <si>
    <t xml:space="preserve">bore 10mm (1m)</t>
  </si>
  <si>
    <t xml:space="preserve">EG-004-NK61M</t>
  </si>
  <si>
    <t xml:space="preserve">bore 6mm (1m)</t>
  </si>
  <si>
    <t xml:space="preserve">Adhesive Cable Tie Mount (NC Series)  [Cable Sleeves]</t>
  </si>
  <si>
    <t xml:space="preserve">NC-1316</t>
  </si>
  <si>
    <t xml:space="preserve">Red film</t>
  </si>
  <si>
    <t xml:space="preserve">EG-008-BK-HM-NC-1316</t>
  </si>
  <si>
    <t xml:space="preserve">EG-008-BK-HM-NC-1316-P9</t>
  </si>
  <si>
    <t xml:space="preserve">EG-008-BK-HM-NC-912</t>
  </si>
  <si>
    <t xml:space="preserve">NC-912</t>
  </si>
  <si>
    <t xml:space="preserve">EG-008-BK-HM-NC-912-P16</t>
  </si>
  <si>
    <t xml:space="preserve">EG-008-BK-LGJ-NC-1321</t>
  </si>
  <si>
    <t xml:space="preserve">NC-1321</t>
  </si>
  <si>
    <t xml:space="preserve">Green grid adhesive</t>
  </si>
  <si>
    <t xml:space="preserve">EG-008-BK-LGJ-NC-1321-P6</t>
  </si>
  <si>
    <t xml:space="preserve">EG-008-BK-LGJ-NC-911</t>
  </si>
  <si>
    <t xml:space="preserve">NC-911</t>
  </si>
  <si>
    <t xml:space="preserve">EG-008-BK-LGJ-NC-911-P11</t>
  </si>
  <si>
    <t xml:space="preserve">EG-008-WH-LGJ-NC-1010</t>
  </si>
  <si>
    <t xml:space="preserve">NC-1010</t>
  </si>
  <si>
    <t xml:space="preserve">EG-008-WH-LGJ-NC-1010-P11</t>
  </si>
  <si>
    <t xml:space="preserve">EG-008-WH-LGJ-NC-1316</t>
  </si>
  <si>
    <t xml:space="preserve">EG-008-WH-LGJ-NC-1316-P9</t>
  </si>
  <si>
    <t xml:space="preserve">EG-008-WH-LGJ-NC-1321</t>
  </si>
  <si>
    <t xml:space="preserve">EG-008-WH-LGJ-NC-1321-P6</t>
  </si>
  <si>
    <t xml:space="preserve">EG-008-WH-LGJ-NC-911</t>
  </si>
  <si>
    <t xml:space="preserve">EG-008-WH-LGJ-NC-911-P12</t>
  </si>
  <si>
    <t xml:space="preserve">12 pcs</t>
  </si>
  <si>
    <t xml:space="preserve">EG-008-WH-LGJ-NC-912</t>
  </si>
  <si>
    <t xml:space="preserve">EG-008-WH-LGJ-NC-912-P50</t>
  </si>
  <si>
    <t xml:space="preserve">50 pcs</t>
  </si>
  <si>
    <t xml:space="preserve">GX12 / GX16 Aviation Connector  [Connectors]</t>
  </si>
  <si>
    <t xml:space="preserve">Cores</t>
  </si>
  <si>
    <t xml:space="preserve">GX12</t>
  </si>
  <si>
    <t xml:space="preserve">plug + socket</t>
  </si>
  <si>
    <t xml:space="preserve">Panel mount</t>
  </si>
  <si>
    <t xml:space="preserve">2 core</t>
  </si>
  <si>
    <t xml:space="preserve">GX12-2P-PS</t>
  </si>
  <si>
    <t xml:space="preserve">GX12-3P-PS</t>
  </si>
  <si>
    <t xml:space="preserve">3 core</t>
  </si>
  <si>
    <t xml:space="preserve">GX12-4P-PS</t>
  </si>
  <si>
    <t xml:space="preserve">4 core</t>
  </si>
  <si>
    <t xml:space="preserve">GX12-5P-PS</t>
  </si>
  <si>
    <t xml:space="preserve">5 core</t>
  </si>
  <si>
    <t xml:space="preserve">GX12-6P-PS</t>
  </si>
  <si>
    <t xml:space="preserve">6 core</t>
  </si>
  <si>
    <t xml:space="preserve">GX12-7P-PS</t>
  </si>
  <si>
    <t xml:space="preserve">7 core</t>
  </si>
  <si>
    <t xml:space="preserve">GX12-D2P-PS</t>
  </si>
  <si>
    <t xml:space="preserve">Male/female mating</t>
  </si>
  <si>
    <t xml:space="preserve">GX12-D4P-PS</t>
  </si>
  <si>
    <t xml:space="preserve">GX16-10P-PS</t>
  </si>
  <si>
    <t xml:space="preserve">GX16</t>
  </si>
  <si>
    <t xml:space="preserve">10 core</t>
  </si>
  <si>
    <t xml:space="preserve">GX16-2P-PS</t>
  </si>
  <si>
    <t xml:space="preserve">GX16-3P-PS</t>
  </si>
  <si>
    <t xml:space="preserve">GX16-4P-P</t>
  </si>
  <si>
    <t xml:space="preserve">plug</t>
  </si>
  <si>
    <t xml:space="preserve">GX16-4P-PS</t>
  </si>
  <si>
    <t xml:space="preserve">GX16-4P-S</t>
  </si>
  <si>
    <t xml:space="preserve">socket</t>
  </si>
  <si>
    <t xml:space="preserve">GX16-5P-PS</t>
  </si>
  <si>
    <t xml:space="preserve">GX16-6P-PS</t>
  </si>
  <si>
    <t xml:space="preserve">GX16-7P-PS</t>
  </si>
  <si>
    <t xml:space="preserve">GX16-8P-PS</t>
  </si>
  <si>
    <t xml:space="preserve">8 core</t>
  </si>
  <si>
    <t xml:space="preserve">GX16-9P-PS</t>
  </si>
  <si>
    <t xml:space="preserve">9 core</t>
  </si>
  <si>
    <t xml:space="preserve">GX16-D10P-PS</t>
  </si>
  <si>
    <t xml:space="preserve">GX16-D2P-PS</t>
  </si>
  <si>
    <t xml:space="preserve">GX16-D3P-PS</t>
  </si>
  <si>
    <t xml:space="preserve">GX16-D4P-PS</t>
  </si>
  <si>
    <t xml:space="preserve">GX16-D5P-PS</t>
  </si>
  <si>
    <t xml:space="preserve">GX16-D6P-PS</t>
  </si>
  <si>
    <t xml:space="preserve">GX16-D7P-PS</t>
  </si>
  <si>
    <t xml:space="preserve">GX16-D8P-PS</t>
  </si>
  <si>
    <t xml:space="preserve">GX16-D9P-PS</t>
  </si>
  <si>
    <t xml:space="preserve">GX20-10P-PS</t>
  </si>
  <si>
    <t xml:space="preserve">GX20</t>
  </si>
  <si>
    <t xml:space="preserve">GX20-12P-PS</t>
  </si>
  <si>
    <t xml:space="preserve">12 core</t>
  </si>
  <si>
    <t xml:space="preserve">GX20-14P-PS</t>
  </si>
  <si>
    <t xml:space="preserve">14 core</t>
  </si>
  <si>
    <t xml:space="preserve">GX20-2P-PS</t>
  </si>
  <si>
    <t xml:space="preserve">GX20-3P-PS</t>
  </si>
  <si>
    <t xml:space="preserve">GX20-4P-PS</t>
  </si>
  <si>
    <t xml:space="preserve">GX20-5P-PS</t>
  </si>
  <si>
    <t xml:space="preserve">GX20-6P-PS</t>
  </si>
  <si>
    <t xml:space="preserve">GX20-7P-PS</t>
  </si>
  <si>
    <t xml:space="preserve">GX20-8P-PS</t>
  </si>
  <si>
    <t xml:space="preserve">GX20-9P-PS</t>
  </si>
  <si>
    <t xml:space="preserve">GX16 Aviation Connector Dust Cap  [Connectors]</t>
  </si>
  <si>
    <t xml:space="preserve">GX12 rubber dust cap</t>
  </si>
  <si>
    <t xml:space="preserve">EG-045-Gx12XJFCG</t>
  </si>
  <si>
    <t xml:space="preserve">EG-045-Gx16XJFCG</t>
  </si>
  <si>
    <t xml:space="preserve">GX16 rubber dust cap</t>
  </si>
  <si>
    <t xml:space="preserve">EG-045-Gx20XJFCG</t>
  </si>
  <si>
    <t xml:space="preserve">GX20 rubber dust cap</t>
  </si>
  <si>
    <t xml:space="preserve">M12 Panel-Mount Aviation Connector 5-Pin  [Connectors]</t>
  </si>
  <si>
    <t xml:space="preserve">EG-014</t>
  </si>
  <si>
    <t xml:space="preserve">YD20 Waterproof Aviation Connector (spindle motor)  [Connectors]</t>
  </si>
  <si>
    <t xml:space="preserve">Reversed YD20-3 core plug</t>
  </si>
  <si>
    <t xml:space="preserve">EG-007-FZ-YD20-3X-CT</t>
  </si>
  <si>
    <t xml:space="preserve">EG-007-FZ-YD20-3X-CZ</t>
  </si>
  <si>
    <t xml:space="preserve">Reversed YD20-3 core socket</t>
  </si>
  <si>
    <t xml:space="preserve">EG-007-FZ-YD20-4X-CT</t>
  </si>
  <si>
    <t xml:space="preserve">Reversed YD20-4 core plug</t>
  </si>
  <si>
    <t xml:space="preserve">EG-007-FZ-YD20-4X-CZ</t>
  </si>
  <si>
    <t xml:space="preserve">Reversed YD20-4 core socket</t>
  </si>
  <si>
    <t xml:space="preserve">EG-007-FZ-YD20-5X-CT</t>
  </si>
  <si>
    <t xml:space="preserve">Reversed YD20-5 core plug</t>
  </si>
  <si>
    <t xml:space="preserve">EG-007-FZ-YD20-5X-CZ</t>
  </si>
  <si>
    <t xml:space="preserve">Reversed YD20-5 core socket</t>
  </si>
  <si>
    <t xml:space="preserve">EG-007-FZ-YD20-7X-CT</t>
  </si>
  <si>
    <t xml:space="preserve">Reversed YD20-7 core plug</t>
  </si>
  <si>
    <t xml:space="preserve">EG-007-FZ-YD20-7X-CZ</t>
  </si>
  <si>
    <t xml:space="preserve">Reversed YD20-7 core socket</t>
  </si>
  <si>
    <t xml:space="preserve">EG-007-FZ-YD20J3TP-3X-CT-+CZ</t>
  </si>
  <si>
    <t xml:space="preserve">Reversed YD20J3TP 3 core plug + socket</t>
  </si>
  <si>
    <t xml:space="preserve">EG-007-FZ-YD20J4TP-4X-CT-+CZ</t>
  </si>
  <si>
    <t xml:space="preserve">Reversed YD20J4TP 4 core plug + socket</t>
  </si>
  <si>
    <t xml:space="preserve">EG-007-FZ-YD20J5TP-5X-CT-+CZ</t>
  </si>
  <si>
    <t xml:space="preserve">Reversed YD20J5TP 5 core plug + socket</t>
  </si>
  <si>
    <t xml:space="preserve">EG-007-FZ-YD20J7TP-7X-CT-+CZ</t>
  </si>
  <si>
    <t xml:space="preserve">Reversed YD20J7TP 7 core plug + socket</t>
  </si>
  <si>
    <t xml:space="preserve">EG-007-FZ-YD32-19X-CT</t>
  </si>
  <si>
    <t xml:space="preserve">Reversed YD32-19 core plug</t>
  </si>
  <si>
    <t xml:space="preserve">EG-007-FZ-YD32-19X-CZ</t>
  </si>
  <si>
    <t xml:space="preserve">Reversed YD32-19 core socket</t>
  </si>
  <si>
    <t xml:space="preserve">EG-007-FZ-YD32J19TP-19X-CT-+CZ</t>
  </si>
  <si>
    <t xml:space="preserve">Reversed YD32J19TP 19 core plug + socket</t>
  </si>
  <si>
    <t xml:space="preserve">EG-007-ZZ-YD20-3X-CT</t>
  </si>
  <si>
    <t xml:space="preserve">Standard mount YD20-3 core plug</t>
  </si>
  <si>
    <t xml:space="preserve">EG-007-ZZ-YD20-3X-CZ</t>
  </si>
  <si>
    <t xml:space="preserve">Standard mount YD20-3 core socket</t>
  </si>
  <si>
    <t xml:space="preserve">EG-007-ZZ-YD20-4X-CT</t>
  </si>
  <si>
    <t xml:space="preserve">Standard mount YD20-4 core plug</t>
  </si>
  <si>
    <t xml:space="preserve">EG-007-ZZ-YD20-4X-CZ</t>
  </si>
  <si>
    <t xml:space="preserve">Standard mount YD20-4 core socket</t>
  </si>
  <si>
    <t xml:space="preserve">EG-007-ZZ-YD20-5X-CT</t>
  </si>
  <si>
    <t xml:space="preserve">Standard mount YD20-5 core plug</t>
  </si>
  <si>
    <t xml:space="preserve">EG-007-ZZ-YD20-5X-CZ</t>
  </si>
  <si>
    <t xml:space="preserve">Standard mount YD20-5 core socket</t>
  </si>
  <si>
    <t xml:space="preserve">EG-007-ZZ-YD20-7X-CT</t>
  </si>
  <si>
    <t xml:space="preserve">Standard mount YD20-7 core plug</t>
  </si>
  <si>
    <t xml:space="preserve">EG-007-ZZ-YD20-7X-CZ</t>
  </si>
  <si>
    <t xml:space="preserve">Standard mount YD20-7 core socket</t>
  </si>
  <si>
    <t xml:space="preserve">EG-007-ZZ-YD20K3TP-3X-CT-+CZ</t>
  </si>
  <si>
    <t xml:space="preserve">Standard mount YD20K3TP 3 core plug + socket</t>
  </si>
  <si>
    <t xml:space="preserve">EG-007-ZZ-YD20K4TP-4X-CT-+CZ</t>
  </si>
  <si>
    <t xml:space="preserve">Standard mount YD20K4TP 4 core plug + socket</t>
  </si>
  <si>
    <t xml:space="preserve">EG-007-ZZ-YD20K5TP-5X-CT-+CZ</t>
  </si>
  <si>
    <t xml:space="preserve">Standard mount YD20K5TP 5 core plug + socket</t>
  </si>
  <si>
    <t xml:space="preserve">EG-007-ZZ-YD20K7TP-7X-CT-+CZ</t>
  </si>
  <si>
    <t xml:space="preserve">Standard mount YD20K7TP 7 core plug + socket</t>
  </si>
  <si>
    <t xml:space="preserve">EG-007-ZZ-YD32-19X-CT</t>
  </si>
  <si>
    <t xml:space="preserve">Standard mount YD32-19 core plug</t>
  </si>
  <si>
    <t xml:space="preserve">EG-007-ZZ-YD32-19X-CZ</t>
  </si>
  <si>
    <t xml:space="preserve">Standard mount YD32-19 core socket</t>
  </si>
  <si>
    <t xml:space="preserve">EG-007-ZZ-YD32K19TP-19X-CT-+CZ</t>
  </si>
  <si>
    <t xml:space="preserve">Standard mount YD32K19TP 19 core plug + socket</t>
  </si>
  <si>
    <t xml:space="preserve">Power Inlet Socket (with switch &amp; fuse)  [Connectors]</t>
  </si>
  <si>
    <t xml:space="preserve">3 -pin</t>
  </si>
  <si>
    <t xml:space="preserve">EG-068-3J</t>
  </si>
  <si>
    <t xml:space="preserve">EG-068-4J</t>
  </si>
  <si>
    <t xml:space="preserve">4 -pin</t>
  </si>
  <si>
    <t xml:space="preserve">Flat Bellows Cover  [Covers]</t>
  </si>
  <si>
    <t xml:space="preserve">Extended Length x Width x Height</t>
  </si>
  <si>
    <t xml:space="preserve">1500x150x30</t>
  </si>
  <si>
    <t xml:space="preserve">EG-012-1500x150x30</t>
  </si>
  <si>
    <t xml:space="preserve">EG-012-1500x200x30</t>
  </si>
  <si>
    <t xml:space="preserve">1500x200x30</t>
  </si>
  <si>
    <t xml:space="preserve">EG-012-1500x300x30</t>
  </si>
  <si>
    <t xml:space="preserve">1500x300x30</t>
  </si>
  <si>
    <t xml:space="preserve">EG-012-1500x400x30</t>
  </si>
  <si>
    <t xml:space="preserve">1500x400x30</t>
  </si>
  <si>
    <t xml:space="preserve">Linear Guide Bellows Dust Cover  [Covers]</t>
  </si>
  <si>
    <t xml:space="preserve">Dust-proof, flame-retardant</t>
  </si>
  <si>
    <t xml:space="preserve">EG-092-FCZR-HGR15</t>
  </si>
  <si>
    <t xml:space="preserve">EG-092-FCZR-HGR20</t>
  </si>
  <si>
    <t xml:space="preserve">EG-092-FSFCFY-HGR15</t>
  </si>
  <si>
    <t xml:space="preserve">Water/dust/oil-proof</t>
  </si>
  <si>
    <t xml:space="preserve">EG-092-FSFCFY-HGR20</t>
  </si>
  <si>
    <t xml:space="preserve">EG-092-FSZR-HGR15</t>
  </si>
  <si>
    <t xml:space="preserve">Waterproof, flame-retardant</t>
  </si>
  <si>
    <t xml:space="preserve">EG-092-FSZR-HGR20</t>
  </si>
  <si>
    <t xml:space="preserve">U-Type Bellows Cover  [Covers]</t>
  </si>
  <si>
    <t xml:space="preserve">EG-005</t>
  </si>
  <si>
    <t xml:space="preserve">CNC Router Dust Shoe  [Covers]</t>
  </si>
  <si>
    <t xml:space="preserve">spindle port 100mm dust port 100mm</t>
  </si>
  <si>
    <t xml:space="preserve">EG-066-ZZK100-XCK100</t>
  </si>
  <si>
    <t xml:space="preserve">EG-066-ZZK125-XCK100</t>
  </si>
  <si>
    <t xml:space="preserve">spindle port 125mm dust port 100mm</t>
  </si>
  <si>
    <t xml:space="preserve">EG-066-ZZK70XCK100</t>
  </si>
  <si>
    <t xml:space="preserve">spindle port 70mm dust port 100mm</t>
  </si>
  <si>
    <t xml:space="preserve">EG-066-ZZK80XCK100</t>
  </si>
  <si>
    <t xml:space="preserve">spindle port 80mm dust port 100mm</t>
  </si>
  <si>
    <t xml:space="preserve">EG-066-ZZK85-XCK100</t>
  </si>
  <si>
    <t xml:space="preserve">spindle port 85mm dust port 100mm</t>
  </si>
  <si>
    <t xml:space="preserve">E3D Titan Plastic Extruder Gear M0.5 66T  [CNC Accessories]</t>
  </si>
  <si>
    <t xml:space="preserve">EG-018</t>
  </si>
  <si>
    <t xml:space="preserve">Z-Axis Tool Setter (MACH3)  [CNC Accessories]</t>
  </si>
  <si>
    <t xml:space="preserve">White-black cable</t>
  </si>
  <si>
    <t xml:space="preserve">EG-020-BHX</t>
  </si>
  <si>
    <t xml:space="preserve">EG-020-RB-X</t>
  </si>
  <si>
    <t xml:space="preserve">cable</t>
  </si>
  <si>
    <t xml:space="preserve">Wood Lathe Live Center Tailstock  [CNC Accessories]</t>
  </si>
  <si>
    <t xml:space="preserve">EG-086</t>
  </si>
  <si>
    <t xml:space="preserve">Stepper Motor Aluminum Handwheel (42 / 57 / 86)  [CNC Accessories]</t>
  </si>
  <si>
    <t xml:space="preserve">EG-044-14-BK-AK</t>
  </si>
  <si>
    <t xml:space="preserve">EG-044-14-SV-AK</t>
  </si>
  <si>
    <t xml:space="preserve">EG-044-5-BK-AK</t>
  </si>
  <si>
    <t xml:space="preserve">EG-044-5-SV-AK</t>
  </si>
  <si>
    <t xml:space="preserve">EG-044-6-SV-AK</t>
  </si>
  <si>
    <t xml:space="preserve">EG-044-6.35-BK-AK</t>
  </si>
  <si>
    <t xml:space="preserve">EG-044-6.35-SV-AK</t>
  </si>
  <si>
    <t xml:space="preserve">EG-044-8-BK-AK</t>
  </si>
  <si>
    <t xml:space="preserve">EG-044-8-BL-S-AK</t>
  </si>
  <si>
    <t xml:space="preserve">Deep A type</t>
  </si>
  <si>
    <t xml:space="preserve">EG-044-8-BL-S-BK</t>
  </si>
  <si>
    <t xml:space="preserve">Deep B type</t>
  </si>
  <si>
    <t xml:space="preserve">EG-044-8-SV-AK</t>
  </si>
  <si>
    <t xml:space="preserve">EG-044-8-SV-BK</t>
  </si>
  <si>
    <t xml:space="preserve">Laser Machine X-Axis Tensioner  [CNC Accessories]</t>
  </si>
  <si>
    <t xml:space="preserve">Unit price, quantity 1 pc.</t>
  </si>
  <si>
    <t xml:space="preserve">EG-071-AK-GD25</t>
  </si>
  <si>
    <t xml:space="preserve">EG-071-BK-GD30</t>
  </si>
  <si>
    <t xml:space="preserve">Vacuum Pump Filter Assembly F003  [CNC Accessories]</t>
  </si>
  <si>
    <t xml:space="preserve">EG-094</t>
  </si>
  <si>
    <t xml:space="preserve">Carbon Steel Helical Gear Rack M1.25  [CNC Accessories]</t>
  </si>
  <si>
    <t xml:space="preserve">Gear racks are excluded from free shipping; contact us for the shipping cost.</t>
  </si>
  <si>
    <t xml:space="preserve">1M Black oxide spur rack</t>
  </si>
  <si>
    <t xml:space="preserve">20x20x1500</t>
  </si>
  <si>
    <t xml:space="preserve">EG-026-20x20x1500-1M-BO-ZCT</t>
  </si>
  <si>
    <t xml:space="preserve">EG-026-22x25x1400-1.25M-YXHCT</t>
  </si>
  <si>
    <t xml:space="preserve">1.25M right helix black rack</t>
  </si>
  <si>
    <t xml:space="preserve">22x25x1400</t>
  </si>
  <si>
    <t xml:space="preserve">EG-026-22x25x1400-1.25M-ZHCT</t>
  </si>
  <si>
    <t xml:space="preserve">1.25M straight black rack</t>
  </si>
  <si>
    <t xml:space="preserve">EG-026-22x25x670-1.25M-YXBCT</t>
  </si>
  <si>
    <t xml:space="preserve">1.25M right helix white rack</t>
  </si>
  <si>
    <t xml:space="preserve">22x25x670</t>
  </si>
  <si>
    <t xml:space="preserve">EG-026-22x25x670-1.25M-YXHCT</t>
  </si>
  <si>
    <t xml:space="preserve">EG-026-22x25x670-1.25M-ZHCT</t>
  </si>
  <si>
    <t xml:space="preserve">EG-026-22x25x670-1.25M-ZXBCT</t>
  </si>
  <si>
    <t xml:space="preserve">1.25M left helix white rack</t>
  </si>
  <si>
    <t xml:space="preserve">EG-026-22x25x670-1.25M-ZXHCT</t>
  </si>
  <si>
    <t xml:space="preserve">1.25M left helix black rack</t>
  </si>
  <si>
    <t xml:space="preserve">EG-026-22x25x670-1.5M-YXBCT</t>
  </si>
  <si>
    <t xml:space="preserve">1.5M right helix white rack</t>
  </si>
  <si>
    <t xml:space="preserve">Bakelite Alloy Back-Dished Handwheel  [CNC Accessories]</t>
  </si>
  <si>
    <t xml:space="preserve">Handle screw</t>
  </si>
  <si>
    <t xml:space="preserve">M5x34</t>
  </si>
  <si>
    <t xml:space="preserve">EG-052-M5x34-SBLS</t>
  </si>
  <si>
    <t xml:space="preserve">EG-052-M6x34-SBLS</t>
  </si>
  <si>
    <t xml:space="preserve">M6x34</t>
  </si>
  <si>
    <t xml:space="preserve">EG-052-WH-P-NJ10-WJ100-DSM5</t>
  </si>
  <si>
    <t xml:space="preserve">Disc ID 10 OD 100 set screw M5</t>
  </si>
  <si>
    <t xml:space="preserve">EG-052-WH-P-NJ10-WJ100-JC3</t>
  </si>
  <si>
    <t xml:space="preserve">Disc ID 10 OD 100 keyway 3</t>
  </si>
  <si>
    <t xml:space="preserve">EG-052-WH-P-NJ10-WJ100-WJC</t>
  </si>
  <si>
    <t xml:space="preserve">Disc ID 10 OD 100 no keyway</t>
  </si>
  <si>
    <t xml:space="preserve">EG-052-WH-P-NJ10-WJ125-JC3</t>
  </si>
  <si>
    <t xml:space="preserve">Disc ID 10 OD 125 keyway 3</t>
  </si>
  <si>
    <t xml:space="preserve">EG-052-WH-P-NJ10-WJ125-WJC</t>
  </si>
  <si>
    <t xml:space="preserve">Disc ID 10 OD 125 no keyway</t>
  </si>
  <si>
    <t xml:space="preserve">EG-052-WH-P-NJ10-WJ63-DSM5</t>
  </si>
  <si>
    <t xml:space="preserve">Disc ID 10 OD 63 set screw M5</t>
  </si>
  <si>
    <t xml:space="preserve">EG-052-WH-P-NJ10-WJ63-JC3</t>
  </si>
  <si>
    <t xml:space="preserve">Disc ID 10 OD 63 keyway 3</t>
  </si>
  <si>
    <t xml:space="preserve">EG-052-WH-P-NJ10-WJ63-WJC</t>
  </si>
  <si>
    <t xml:space="preserve">Disc ID 10 OD 63 no keyway</t>
  </si>
  <si>
    <t xml:space="preserve">EG-052-WH-P-NJ10-WJ80-DSM5</t>
  </si>
  <si>
    <t xml:space="preserve">Disc ID 10 OD 80 set screw M5</t>
  </si>
  <si>
    <t xml:space="preserve">EG-052-WH-P-NJ10-WJ80-JC3</t>
  </si>
  <si>
    <t xml:space="preserve">Disc ID 10 OD 80 keyway 3</t>
  </si>
  <si>
    <t xml:space="preserve">EG-052-WH-P-NJ10-WJ80-WJC</t>
  </si>
  <si>
    <t xml:space="preserve">Disc ID 10 OD 80 no keyway</t>
  </si>
  <si>
    <t xml:space="preserve">EG-052-WH-P-NJ12-WJ100-DSM5</t>
  </si>
  <si>
    <t xml:space="preserve">Disc ID 12 OD 100 set screw M5</t>
  </si>
  <si>
    <t xml:space="preserve">EG-052-WH-P-NJ12-WJ100-JC4</t>
  </si>
  <si>
    <t xml:space="preserve">Disc ID 12 OD 100 keyway 4</t>
  </si>
  <si>
    <t xml:space="preserve">EG-052-WH-P-NJ12-WJ100-WJC</t>
  </si>
  <si>
    <t xml:space="preserve">Disc ID 12 OD 100 no keyway</t>
  </si>
  <si>
    <t xml:space="preserve">EG-052-WH-P-NJ12-WJ125-DSM6</t>
  </si>
  <si>
    <t xml:space="preserve">Disc ID 12 OD 125 set screw M6</t>
  </si>
  <si>
    <t xml:space="preserve">EG-052-WH-P-NJ12-WJ125-JC4</t>
  </si>
  <si>
    <t xml:space="preserve">Disc ID 12 OD 125 keyway 4</t>
  </si>
  <si>
    <t xml:space="preserve">EG-052-WH-P-NJ12-WJ125-WJC</t>
  </si>
  <si>
    <t xml:space="preserve">Disc ID 12 OD 125 no keyway</t>
  </si>
  <si>
    <t xml:space="preserve">EG-052-WH-P-NJ12-WJ80-DSM5</t>
  </si>
  <si>
    <t xml:space="preserve">Disc ID 12 OD 80 set screw M5</t>
  </si>
  <si>
    <t xml:space="preserve">EG-052-WH-P-NJ12-WJ80-JC4</t>
  </si>
  <si>
    <t xml:space="preserve">Disc ID 12 OD 80 keyway 4</t>
  </si>
  <si>
    <t xml:space="preserve">EG-052-WH-P-NJ12-WJ80-WJC</t>
  </si>
  <si>
    <t xml:space="preserve">Disc ID 12 OD 80 no keyway</t>
  </si>
  <si>
    <t xml:space="preserve">EG-052-WH-P-NJ14-WJ100-WJC</t>
  </si>
  <si>
    <t xml:space="preserve">Disc ID 14 OD 100 no keyway</t>
  </si>
  <si>
    <t xml:space="preserve">EG-052-WH-P-NJ14-WJ125-JC5</t>
  </si>
  <si>
    <t xml:space="preserve">Disc ID 14 OD 125 keyway 5</t>
  </si>
  <si>
    <t xml:space="preserve">EG-052-WH-P-NJ14-WJ125-WJC</t>
  </si>
  <si>
    <t xml:space="preserve">Disc ID 14 OD 125 no keyway</t>
  </si>
  <si>
    <t xml:space="preserve">EG-052-WH-P-NJ14-WJ160-DSM6</t>
  </si>
  <si>
    <t xml:space="preserve">Disc ID 14 OD 160 set screw M6</t>
  </si>
  <si>
    <t xml:space="preserve">EG-052-WH-P-NJ15-WJ160-DSM6</t>
  </si>
  <si>
    <t xml:space="preserve">Disc ID 15 OD 160 set screw M6</t>
  </si>
  <si>
    <t xml:space="preserve">EG-052-WH-P-NJ16-WJ125-JC5</t>
  </si>
  <si>
    <t xml:space="preserve">Disc ID 16 OD 125 keyway 5</t>
  </si>
  <si>
    <t xml:space="preserve">EG-052-WH-P-NJ16-WJ125-WJC</t>
  </si>
  <si>
    <t xml:space="preserve">Disc ID 16 OD 125 no keyway</t>
  </si>
  <si>
    <t xml:space="preserve">EG-052-WH-P-NJ16-WJ160-DSM6</t>
  </si>
  <si>
    <t xml:space="preserve">Disc ID 16 OD 160 set screw M6</t>
  </si>
  <si>
    <t xml:space="preserve">EG-052-WH-P-NJ16-WJ160-JC5</t>
  </si>
  <si>
    <t xml:space="preserve">Disc ID 16 OD 160 keyway 5</t>
  </si>
  <si>
    <t xml:space="preserve">EG-052-WH-P-NJ16-WJ160-WJC</t>
  </si>
  <si>
    <t xml:space="preserve">Disc ID 16 OD 160 no keyway</t>
  </si>
  <si>
    <t xml:space="preserve">EG-052-WH-P-NJ18-WJ200-DSM6</t>
  </si>
  <si>
    <t xml:space="preserve">Disc ID 18 OD 200 set screw M6</t>
  </si>
  <si>
    <t xml:space="preserve">EG-052-WH-P-NJ18-WJ200-WJC</t>
  </si>
  <si>
    <t xml:space="preserve">Disc ID 18 OD 200 no keyway</t>
  </si>
  <si>
    <t xml:space="preserve">EG-052-WH-P-NJ18-WJ200JC6</t>
  </si>
  <si>
    <t xml:space="preserve">Disc ID 18 OD 200 keyway 6</t>
  </si>
  <si>
    <t xml:space="preserve">EG-052-WH-P-NJ20-WJ200-DSM6</t>
  </si>
  <si>
    <t xml:space="preserve">Disc ID 20 OD 200 set screw M6</t>
  </si>
  <si>
    <t xml:space="preserve">EG-052-WH-P-NJ20-WJ200-JC6</t>
  </si>
  <si>
    <t xml:space="preserve">Disc ID 20 OD 200 keyway 6</t>
  </si>
  <si>
    <t xml:space="preserve">EG-052-WH-P-NJ20-WJ200-WJC</t>
  </si>
  <si>
    <t xml:space="preserve">Disc ID 20 OD 200 no keyway</t>
  </si>
  <si>
    <t xml:space="preserve">EG-052-WH-P-NJ22-WJ250-JC6</t>
  </si>
  <si>
    <t xml:space="preserve">Disc ID 22 OD 250 keyway 6</t>
  </si>
  <si>
    <t xml:space="preserve">EG-052-WH-P-NJ8-WJ63-DSM5</t>
  </si>
  <si>
    <t xml:space="preserve">Disc ID 8 OD 63 set screw M5</t>
  </si>
  <si>
    <t xml:space="preserve">EG-052-WH-P-NJ8-WJ63-JC3</t>
  </si>
  <si>
    <t xml:space="preserve">Disc ID 8 OD 63 keyway 3</t>
  </si>
  <si>
    <t xml:space="preserve">EG-052-WH-P-NJ8-WJ63-WJC</t>
  </si>
  <si>
    <t xml:space="preserve">Disc ID 8 OD 63 no keyway</t>
  </si>
  <si>
    <t xml:space="preserve">EG-052-WH-P-NJ8-WJ80-DSM5</t>
  </si>
  <si>
    <t xml:space="preserve">Disc ID 8 OD 80 set screw M5</t>
  </si>
  <si>
    <t xml:space="preserve">EG-052-WH-P-NJ8-WJ80-WJC</t>
  </si>
  <si>
    <t xml:space="preserve">Disc ID 8 OD 80 no keyway</t>
  </si>
  <si>
    <t xml:space="preserve">EG-052-YL-P-NJ10-WJ100-JC3</t>
  </si>
  <si>
    <t xml:space="preserve">EG-052-YL-P-NJ6-WJ63-DSM5</t>
  </si>
  <si>
    <t xml:space="preserve">Disc ID 6 OD 63 set screw M5</t>
  </si>
  <si>
    <t xml:space="preserve">EG-052-YL-P-NJ6-WJ80-DSM5</t>
  </si>
  <si>
    <t xml:space="preserve">Disc ID 6 OD 80 set screw M5</t>
  </si>
  <si>
    <t xml:space="preserve">EG-052-YL-P-NJ8-WJ63-JC3</t>
  </si>
  <si>
    <t xml:space="preserve">Bakelite 3-Spoke Handwheel  [CNC Accessories]</t>
  </si>
  <si>
    <t xml:space="preserve">EG-089</t>
  </si>
  <si>
    <t xml:space="preserve">Aluminum Profile Seal / Cover Strip  [CNC Accessories]</t>
  </si>
  <si>
    <t xml:space="preserve">Soft cover strip DCR slot 10 100m</t>
  </si>
  <si>
    <t xml:space="preserve">EG-069-BK-RFT-DCR-C10-100M</t>
  </si>
  <si>
    <t xml:space="preserve">EG-069-BK-RFT-DCR-C10-200M</t>
  </si>
  <si>
    <t xml:space="preserve">Soft cover strip DCR slot 10 200m</t>
  </si>
  <si>
    <t xml:space="preserve">EG-069-BK-RFT-DCR-C101M</t>
  </si>
  <si>
    <t xml:space="preserve">Soft cover strip DCR slot 10 (1m)</t>
  </si>
  <si>
    <t xml:space="preserve">EG-069-BK-RFT-DCR-C6-100M</t>
  </si>
  <si>
    <t xml:space="preserve">Soft cover strip DCR slot 6 100m</t>
  </si>
  <si>
    <t xml:space="preserve">EG-069-BK-RFT-DCR-C61M</t>
  </si>
  <si>
    <t xml:space="preserve">Soft cover strip DCR slot 6 (1m)</t>
  </si>
  <si>
    <t xml:space="preserve">EG-069-BK-RFT-DCR-C8-100M</t>
  </si>
  <si>
    <t xml:space="preserve">Soft cover strip DCR slot 8 100m</t>
  </si>
  <si>
    <t xml:space="preserve">EG-069-BK-RFT-DCR-C81M</t>
  </si>
  <si>
    <t xml:space="preserve">Soft cover strip DCR slot 8 (1m)</t>
  </si>
  <si>
    <t xml:space="preserve">EG-069-BK-RPFT-PE-C101M</t>
  </si>
  <si>
    <t xml:space="preserve">Soft flat cover strip PE slot 10 (1m)</t>
  </si>
  <si>
    <t xml:space="preserve">EG-069-BK-RPFT-PE-C61M</t>
  </si>
  <si>
    <t xml:space="preserve">Soft flat cover strip PE slot 6 (1m)</t>
  </si>
  <si>
    <t xml:space="preserve">EG-069-BK-YFT-1530Y-U6MG1M</t>
  </si>
  <si>
    <t xml:space="preserve">Hard cover strip 1530 use U6 (per piece 1m)</t>
  </si>
  <si>
    <t xml:space="preserve">EG-069-BK-YFT-EU2020Y-U6MG1M</t>
  </si>
  <si>
    <t xml:space="preserve">Hard cover strip EU 2020 use U6 (per piece 1m)</t>
  </si>
  <si>
    <t xml:space="preserve">EG-069-BK-YFT-EU2020Y-U6MG2M</t>
  </si>
  <si>
    <t xml:space="preserve">Hard cover strip EU 2020 use U6 (per piece 2m)</t>
  </si>
  <si>
    <t xml:space="preserve">EG-069-BK-YFT-U10MG1M</t>
  </si>
  <si>
    <t xml:space="preserve">Hard cover strip U10 (per piece 1m)</t>
  </si>
  <si>
    <t xml:space="preserve">EG-069-BK-YFT-U10MG2M</t>
  </si>
  <si>
    <t xml:space="preserve">Hard cover strip U10 (per piece 2m)</t>
  </si>
  <si>
    <t xml:space="preserve">EG-069-BK-YFT-U8MG1M</t>
  </si>
  <si>
    <t xml:space="preserve">Hard cover strip U8 (per piece 1m)</t>
  </si>
  <si>
    <t xml:space="preserve">EG-069-BK-YPFT-C10MG1M</t>
  </si>
  <si>
    <t xml:space="preserve">Hard flat cover strip C10 (per piece 1m)</t>
  </si>
  <si>
    <t xml:space="preserve">EG-069-BK-YPFT-C10MG2M</t>
  </si>
  <si>
    <t xml:space="preserve">Hard flat cover strip C10 (per piece 2m)</t>
  </si>
  <si>
    <t xml:space="preserve">EG-069-BK-YPFT-C6MG1M</t>
  </si>
  <si>
    <t xml:space="preserve">Hard flat cover strip C6 (per piece 1m)</t>
  </si>
  <si>
    <t xml:space="preserve">EG-069-BK-YPFT-C6MG2M</t>
  </si>
  <si>
    <t xml:space="preserve">Hard flat cover strip C6 (per piece 2m)</t>
  </si>
  <si>
    <t xml:space="preserve">EG-069-BK-YPFT-C8MG1M</t>
  </si>
  <si>
    <t xml:space="preserve">Hard flat cover strip C8 (per piece 1m)</t>
  </si>
  <si>
    <t xml:space="preserve">EG-069-BK-YPFT-C8MG2M</t>
  </si>
  <si>
    <t xml:space="preserve">Hard flat cover strip C8 (per piece 2m)</t>
  </si>
  <si>
    <t xml:space="preserve">EG-069-BL-RFT-DCR-C101M</t>
  </si>
  <si>
    <t xml:space="preserve">EG-069-BL-RFT-DCR-C61M</t>
  </si>
  <si>
    <t xml:space="preserve">EG-069-BL-RFT-DCR-C8-100M</t>
  </si>
  <si>
    <t xml:space="preserve">EG-069-BL-RFT-DCR-C81M</t>
  </si>
  <si>
    <t xml:space="preserve">EG-069-BL-RPFT-PE-C61M</t>
  </si>
  <si>
    <t xml:space="preserve">EG-069-BL-RPFT-PE-C81M</t>
  </si>
  <si>
    <t xml:space="preserve">Soft flat cover strip PE slot 8 (1m)</t>
  </si>
  <si>
    <t xml:space="preserve">EG-069-BL-YPFT-C10MG1M</t>
  </si>
  <si>
    <t xml:space="preserve">EG-069-BL-YPFT-C10MG2M</t>
  </si>
  <si>
    <t xml:space="preserve">EG-069-BL-YPFT-C6MG1M</t>
  </si>
  <si>
    <t xml:space="preserve">EG-069-BL-YPFT-C6MG2M</t>
  </si>
  <si>
    <t xml:space="preserve">EG-069-BL-YPFT-C8MG1M</t>
  </si>
  <si>
    <t xml:space="preserve">EG-069-BL-YPFT-C8MG2M</t>
  </si>
  <si>
    <t xml:space="preserve">EG-069-GY-RFT-DCR-C61M</t>
  </si>
  <si>
    <t xml:space="preserve">EG-069-GY-RFT-DCR-C81M</t>
  </si>
  <si>
    <t xml:space="preserve">EG-069-GY-RPFT-PE-C101M</t>
  </si>
  <si>
    <t xml:space="preserve">EG-069-GY-RPFT-PE-C61M</t>
  </si>
  <si>
    <t xml:space="preserve">EG-069-GY-RPFT-PE-C81M</t>
  </si>
  <si>
    <t xml:space="preserve">EG-069-GY-YPFT-C6MG1M</t>
  </si>
  <si>
    <t xml:space="preserve">EG-069-GY-YPFT-C6MG2M</t>
  </si>
  <si>
    <t xml:space="preserve">EG-069-GY-YPFT-C8MG1M</t>
  </si>
  <si>
    <t xml:space="preserve">EG-069-GY-YPFT-C8MG2M</t>
  </si>
  <si>
    <t xml:space="preserve">EG-069-RD-RFT-DCR-C101M</t>
  </si>
  <si>
    <t xml:space="preserve">EG-069-RD-RFT-DCR-C61M</t>
  </si>
  <si>
    <t xml:space="preserve">EG-069-RD-RFT-DCR-C81M</t>
  </si>
  <si>
    <t xml:space="preserve">EG-069-RD-YPFT-C10MG1M</t>
  </si>
  <si>
    <t xml:space="preserve">EG-069-RD-YPFT-C10MG2M</t>
  </si>
  <si>
    <t xml:space="preserve">EG-069-RD-YPFT-C6MG1M</t>
  </si>
  <si>
    <t xml:space="preserve">EG-069-RD-YPFT-C6MG2M</t>
  </si>
  <si>
    <t xml:space="preserve">EG-069-RD-YPFT-C8MG1M</t>
  </si>
  <si>
    <t xml:space="preserve">EG-069-RD-YPFT-C8MG2M</t>
  </si>
  <si>
    <t xml:space="preserve">EG-069-RFT-CS-DCR-C81M</t>
  </si>
  <si>
    <t xml:space="preserve">Soft cover strip Orange DCR slot 8 (1m)</t>
  </si>
  <si>
    <t xml:space="preserve">EG-069-SV-RFT-DCR-C10-100M</t>
  </si>
  <si>
    <t xml:space="preserve">EG-069-SV-RFT-DCR-C6-100M</t>
  </si>
  <si>
    <t xml:space="preserve">EG-069-SV-RFT-DCR-C8-100M</t>
  </si>
  <si>
    <t xml:space="preserve">EG-069-SV-RFT-DCR-C81M</t>
  </si>
  <si>
    <t xml:space="preserve">EG-069-TR-RPFT-S-PE-C81M</t>
  </si>
  <si>
    <t xml:space="preserve">Soft flat cover strip color PE slot 8 (1m)</t>
  </si>
  <si>
    <t xml:space="preserve">EG-069-TR-YPFT-B-C10MG1M</t>
  </si>
  <si>
    <t xml:space="preserve">Hard flat cover strip half C10 (per piece 1m)</t>
  </si>
  <si>
    <t xml:space="preserve">EG-069-TR-YPFT-B-C10MG2M</t>
  </si>
  <si>
    <t xml:space="preserve">Hard flat cover strip half C10 (per piece 2m)</t>
  </si>
  <si>
    <t xml:space="preserve">EG-069-TR-YPFT-B-C6MG1M</t>
  </si>
  <si>
    <t xml:space="preserve">Hard flat cover strip half C6 (per piece 1m)</t>
  </si>
  <si>
    <t xml:space="preserve">EG-069-TR-YPFT-B-C6MG2M</t>
  </si>
  <si>
    <t xml:space="preserve">Hard flat cover strip half C6 (per piece 2m)</t>
  </si>
  <si>
    <t xml:space="preserve">EG-069-TR-YPFT-B-C8MG1M</t>
  </si>
  <si>
    <t xml:space="preserve">Hard flat cover strip half C8 (per piece 1m)</t>
  </si>
  <si>
    <t xml:space="preserve">EG-069-TR-YPFT-B-C8MG2M</t>
  </si>
  <si>
    <t xml:space="preserve">Hard flat cover strip half C8 (per piece 2m)</t>
  </si>
  <si>
    <t xml:space="preserve">EG-069-WH-RFT-H-DCR-C10-100M</t>
  </si>
  <si>
    <t xml:space="preserve">Soft cover strip Grey DCR slot 10 100m</t>
  </si>
  <si>
    <t xml:space="preserve">EG-069-WH-RFT-H-DCR-C10-200M</t>
  </si>
  <si>
    <t xml:space="preserve">Soft cover strip Grey DCR slot 10 200m</t>
  </si>
  <si>
    <t xml:space="preserve">EG-069-WH-RFT-H-DCR-C101M</t>
  </si>
  <si>
    <t xml:space="preserve">Soft cover strip Grey DCR slot 10 (1m)</t>
  </si>
  <si>
    <t xml:space="preserve">EG-069-WH-RPFT-H-PE-C101M</t>
  </si>
  <si>
    <t xml:space="preserve">Soft flat cover strip Grey PE slot 10 (1m)</t>
  </si>
  <si>
    <t xml:space="preserve">EG-069-WH-RPFT-H-PE-C61M</t>
  </si>
  <si>
    <t xml:space="preserve">Soft flat cover strip Grey PE slot 6 (1m)</t>
  </si>
  <si>
    <t xml:space="preserve">EG-069-WH-RPFT-H-PE-C81M</t>
  </si>
  <si>
    <t xml:space="preserve">Soft flat cover strip Grey PE slot 8 (1m)</t>
  </si>
  <si>
    <t xml:space="preserve">EG-069-WH-YPFT-H-C10MG1M</t>
  </si>
  <si>
    <t xml:space="preserve">Hard flat cover strip Grey C10 (per piece 1m)</t>
  </si>
  <si>
    <t xml:space="preserve">EG-069-WH-YPFT-H-C10MG2M</t>
  </si>
  <si>
    <t xml:space="preserve">Hard flat cover strip Grey C10 (per piece 2m)</t>
  </si>
  <si>
    <t xml:space="preserve">EG-069-YL-RFT-DCR-C101M</t>
  </si>
  <si>
    <t xml:space="preserve">EG-069-YL-RFT-DCR-C61M</t>
  </si>
  <si>
    <t xml:space="preserve">EG-069-YL-RFT-DCR-C81M</t>
  </si>
  <si>
    <t xml:space="preserve">EG-069-YL-RPFT-PE-C81M</t>
  </si>
  <si>
    <t xml:space="preserve">EG-069-YL-YPFT-C10MG1M</t>
  </si>
  <si>
    <t xml:space="preserve">EG-069-YL-YPFT-C10MG2M</t>
  </si>
  <si>
    <t xml:space="preserve">EG-069-YL-YPFT-C8MG1M</t>
  </si>
  <si>
    <t xml:space="preserve">EG-069-YL-YPFT-C8MG2M</t>
  </si>
  <si>
    <t xml:space="preserve">Air-Cooled High-Speed Spindle 400W  [CNC Accessories]</t>
  </si>
  <si>
    <t xml:space="preserve">Spindle motor</t>
  </si>
  <si>
    <t xml:space="preserve">EG-076-400W-ZZDJ</t>
  </si>
  <si>
    <t xml:space="preserve">EG-076-500W-DY</t>
  </si>
  <si>
    <t xml:space="preserve">power supply</t>
  </si>
  <si>
    <t xml:space="preserve">500W</t>
  </si>
  <si>
    <t xml:space="preserve">EG-076-52DJZ</t>
  </si>
  <si>
    <t xml:space="preserve">52 motor mount</t>
  </si>
  <si>
    <t xml:space="preserve">EG-076-DJ-+DY-+DJZ</t>
  </si>
  <si>
    <t xml:space="preserve">motor + power supply + motor mount</t>
  </si>
  <si>
    <t xml:space="preserve">304 Stainless Leveling Foot  [Casters &amp; Feet]</t>
  </si>
  <si>
    <t xml:space="preserve">AL-044</t>
  </si>
  <si>
    <t xml:space="preserve">Square Tube End Plug  [Casters &amp; Feet]</t>
  </si>
  <si>
    <t xml:space="preserve">3050 cap</t>
  </si>
  <si>
    <t xml:space="preserve">AL-038-3050FG</t>
  </si>
  <si>
    <t xml:space="preserve">AL-038-50x50-FS</t>
  </si>
  <si>
    <t xml:space="preserve">Square plug</t>
  </si>
  <si>
    <t xml:space="preserve">Orange PU Cart Caster  [Casters &amp; Feet]</t>
  </si>
  <si>
    <t xml:space="preserve">AL-068</t>
  </si>
  <si>
    <t xml:space="preserve">Quiet Rubber Caster with Brake, 2 in M8  [Casters &amp; Feet]</t>
  </si>
  <si>
    <t xml:space="preserve">WHL-RB-2IN-M8-BRK</t>
  </si>
  <si>
    <t xml:space="preserve">Black Leveling Foot  [Casters &amp; Feet]</t>
  </si>
  <si>
    <t xml:space="preserve">base 40</t>
  </si>
  <si>
    <t xml:space="preserve">M10x100</t>
  </si>
  <si>
    <t xml:space="preserve">AL-045-M10x100-DP40</t>
  </si>
  <si>
    <t xml:space="preserve">AL-045-M10x100-DP50</t>
  </si>
  <si>
    <t xml:space="preserve">base 50</t>
  </si>
  <si>
    <t xml:space="preserve">AL-045-M10x100-DP60</t>
  </si>
  <si>
    <t xml:space="preserve">base 60</t>
  </si>
  <si>
    <t xml:space="preserve">AL-045-M10x50-DP40</t>
  </si>
  <si>
    <t xml:space="preserve">M10x50</t>
  </si>
  <si>
    <t xml:space="preserve">AL-045-M10x50-DP50</t>
  </si>
  <si>
    <t xml:space="preserve">AL-045-M10x50-DP60</t>
  </si>
  <si>
    <t xml:space="preserve">AL-045-M10x80-DP40</t>
  </si>
  <si>
    <t xml:space="preserve">M10x80</t>
  </si>
  <si>
    <t xml:space="preserve">AL-045-M10x80-DP50</t>
  </si>
  <si>
    <t xml:space="preserve">AL-045-M10x80-DP60</t>
  </si>
  <si>
    <t xml:space="preserve">AL-045-M12x100-DP40</t>
  </si>
  <si>
    <t xml:space="preserve">M12x100</t>
  </si>
  <si>
    <t xml:space="preserve">AL-045-M12x100-DP50</t>
  </si>
  <si>
    <t xml:space="preserve">AL-045-M12x100-DP60</t>
  </si>
  <si>
    <t xml:space="preserve">AL-045-M12x120-DP40</t>
  </si>
  <si>
    <t xml:space="preserve">M12x120</t>
  </si>
  <si>
    <t xml:space="preserve">AL-045-M12x120-DP50</t>
  </si>
  <si>
    <t xml:space="preserve">AL-045-M12x120-DP60</t>
  </si>
  <si>
    <t xml:space="preserve">AL-045-M12x150-DP40</t>
  </si>
  <si>
    <t xml:space="preserve">M12x150</t>
  </si>
  <si>
    <t xml:space="preserve">AL-045-M12x150-DP50</t>
  </si>
  <si>
    <t xml:space="preserve">AL-045-M12x150-DP60</t>
  </si>
  <si>
    <t xml:space="preserve">AL-045-M12x50-DP40</t>
  </si>
  <si>
    <t xml:space="preserve">M12x50</t>
  </si>
  <si>
    <t xml:space="preserve">AL-045-M12x50-DP50</t>
  </si>
  <si>
    <t xml:space="preserve">AL-045-M12x50-DP60</t>
  </si>
  <si>
    <t xml:space="preserve">AL-045-M12x80-DP40</t>
  </si>
  <si>
    <t xml:space="preserve">M12x80</t>
  </si>
  <si>
    <t xml:space="preserve">AL-045-M12x80-DP50</t>
  </si>
  <si>
    <t xml:space="preserve">AL-045-M12x80-DP60</t>
  </si>
  <si>
    <t xml:space="preserve">AL-045-M16x100-DP50</t>
  </si>
  <si>
    <t xml:space="preserve">M16x100</t>
  </si>
  <si>
    <t xml:space="preserve">AL-045-M16x100-DP60</t>
  </si>
  <si>
    <t xml:space="preserve">AL-045-M16x120-DP50</t>
  </si>
  <si>
    <t xml:space="preserve">M16x120</t>
  </si>
  <si>
    <t xml:space="preserve">AL-045-M16x120-DP60</t>
  </si>
  <si>
    <t xml:space="preserve">AL-045-M16x150-DP50</t>
  </si>
  <si>
    <t xml:space="preserve">M16x150</t>
  </si>
  <si>
    <t xml:space="preserve">AL-045-M16x150-DP60</t>
  </si>
  <si>
    <t xml:space="preserve">AL-045-M16x50-DP50</t>
  </si>
  <si>
    <t xml:space="preserve">M16x50</t>
  </si>
  <si>
    <t xml:space="preserve">AL-045-M16x50-DP60</t>
  </si>
  <si>
    <t xml:space="preserve">AL-045-M16x80-DP50</t>
  </si>
  <si>
    <t xml:space="preserve">M16x80</t>
  </si>
  <si>
    <t xml:space="preserve">AL-045-M16x80-DP60</t>
  </si>
  <si>
    <t xml:space="preserve">AL-045-M20x100-DP60</t>
  </si>
  <si>
    <t xml:space="preserve">M20x100</t>
  </si>
  <si>
    <t xml:space="preserve">AL-045-M20x120-DP60</t>
  </si>
  <si>
    <t xml:space="preserve">M20x120</t>
  </si>
  <si>
    <t xml:space="preserve">AL-045-M20x150-DP60</t>
  </si>
  <si>
    <t xml:space="preserve">M20x150</t>
  </si>
  <si>
    <t xml:space="preserve">AL-045-M20x50-DP60</t>
  </si>
  <si>
    <t xml:space="preserve">M20x50</t>
  </si>
  <si>
    <t xml:space="preserve">AL-045-M20x80-DP60</t>
  </si>
  <si>
    <t xml:space="preserve">M20x80</t>
  </si>
  <si>
    <t xml:space="preserve">AL-045-M8x100-DP40</t>
  </si>
  <si>
    <t xml:space="preserve">M8x100</t>
  </si>
  <si>
    <t xml:space="preserve">AL-045-M8x100-DP50</t>
  </si>
  <si>
    <t xml:space="preserve">AL-045-M8x50-DP40</t>
  </si>
  <si>
    <t xml:space="preserve">M8x50</t>
  </si>
  <si>
    <t xml:space="preserve">AL-045-M8x50-DP50</t>
  </si>
  <si>
    <t xml:space="preserve">AL-045-M8x80-DP40</t>
  </si>
  <si>
    <t xml:space="preserve">M8x80</t>
  </si>
  <si>
    <t xml:space="preserve">AL-045-M8x80-DP50</t>
  </si>
  <si>
    <t xml:space="preserve">Castor with Leveling Foot  [Casters &amp; Feet]</t>
  </si>
  <si>
    <t xml:space="preserve">GD-100F flat type</t>
  </si>
  <si>
    <t xml:space="preserve">AL-062-GD-100F-PBK</t>
  </si>
  <si>
    <t xml:space="preserve">AL-062-GD-100S-SGK</t>
  </si>
  <si>
    <t xml:space="preserve">GD-100S screw type</t>
  </si>
  <si>
    <t xml:space="preserve">AL-062-GD-100T-SJBK</t>
  </si>
  <si>
    <t xml:space="preserve">GD-100T triangle plate type</t>
  </si>
  <si>
    <t xml:space="preserve">AL-062-GD-120F-PBK</t>
  </si>
  <si>
    <t xml:space="preserve">GD-120F flat type</t>
  </si>
  <si>
    <t xml:space="preserve">AL-062-GD-120S-SGK</t>
  </si>
  <si>
    <t xml:space="preserve">GD-120S screw type</t>
  </si>
  <si>
    <t xml:space="preserve">AL-062-GD-150F-PBK</t>
  </si>
  <si>
    <t xml:space="preserve">GD-150F flat type</t>
  </si>
  <si>
    <t xml:space="preserve">AL-062-GD-40F-PBK</t>
  </si>
  <si>
    <t xml:space="preserve">GD-40F flat type</t>
  </si>
  <si>
    <t xml:space="preserve">AL-062-GD-40S-SGK</t>
  </si>
  <si>
    <t xml:space="preserve">GD-40S screw type</t>
  </si>
  <si>
    <t xml:space="preserve">AL-062-GD-60F-PBK</t>
  </si>
  <si>
    <t xml:space="preserve">GD-60F flat type</t>
  </si>
  <si>
    <t xml:space="preserve">AL-062-GD-60S-SGK</t>
  </si>
  <si>
    <t xml:space="preserve">GD-60S screw type</t>
  </si>
  <si>
    <t xml:space="preserve">AL-062-GD-60T-SJBK</t>
  </si>
  <si>
    <t xml:space="preserve">GD-60T triangle plate type</t>
  </si>
  <si>
    <t xml:space="preserve">AL-062-GD-80F-PBK</t>
  </si>
  <si>
    <t xml:space="preserve">GD-80F flat type</t>
  </si>
  <si>
    <t xml:space="preserve">AL-062-GD-80S-SGK</t>
  </si>
  <si>
    <t xml:space="preserve">GD-80S screw type</t>
  </si>
  <si>
    <t xml:space="preserve">AL-062-GD-80T-SJBK</t>
  </si>
  <si>
    <t xml:space="preserve">GD-80T triangle plate type</t>
  </si>
  <si>
    <t xml:space="preserve">AL-062-SV-GD-100F-PB-SB</t>
  </si>
  <si>
    <t xml:space="preserve">GD-100F Flat handle</t>
  </si>
  <si>
    <t xml:space="preserve">AL-062-SV-GD-100S-SG-SB</t>
  </si>
  <si>
    <t xml:space="preserve">GD-100S stud handle</t>
  </si>
  <si>
    <t xml:space="preserve">AL-062-SV-GD-120F-PB-SB</t>
  </si>
  <si>
    <t xml:space="preserve">GD-120F Flat handle</t>
  </si>
  <si>
    <t xml:space="preserve">AL-062-SV-GD-120S-SG-SB</t>
  </si>
  <si>
    <t xml:space="preserve">GD-120S stud handle</t>
  </si>
  <si>
    <t xml:space="preserve">AL-062-SV-GD-60F-PB-SB</t>
  </si>
  <si>
    <t xml:space="preserve">GD-60F Flat handle</t>
  </si>
  <si>
    <t xml:space="preserve">AL-062-SV-GD-60S-SG-SB</t>
  </si>
  <si>
    <t xml:space="preserve">GD-60S stud handle</t>
  </si>
  <si>
    <t xml:space="preserve">AL-062-SV-GD-80F-PB-SB</t>
  </si>
  <si>
    <t xml:space="preserve">GD-80F Flat handle</t>
  </si>
  <si>
    <t xml:space="preserve">AL-062-SV-GD-80S-SG-SB</t>
  </si>
  <si>
    <t xml:space="preserve">GD-80S stud handle</t>
  </si>
  <si>
    <t xml:space="preserve">Quiet PU Swivel Caster (Medium / Heavy)  [Casters &amp; Feet]</t>
  </si>
  <si>
    <t xml:space="preserve">3in medium brake</t>
  </si>
  <si>
    <t xml:space="preserve">AL-063-3C-MD-BRK</t>
  </si>
  <si>
    <t xml:space="preserve">AL-063-3C-MD-FX</t>
  </si>
  <si>
    <t xml:space="preserve">3in medium fixed</t>
  </si>
  <si>
    <t xml:space="preserve">AL-063-3C-MD-SW</t>
  </si>
  <si>
    <t xml:space="preserve">3in medium swivel</t>
  </si>
  <si>
    <t xml:space="preserve">AL-063-4C-HV-BRK</t>
  </si>
  <si>
    <t xml:space="preserve">4in heavy-duty brake</t>
  </si>
  <si>
    <t xml:space="preserve">AL-063-4C-HV-FX</t>
  </si>
  <si>
    <t xml:space="preserve">4in heavy-duty fixed</t>
  </si>
  <si>
    <t xml:space="preserve">AL-063-4C-HV-FX-TX</t>
  </si>
  <si>
    <t xml:space="preserve">4in heavy-duty fixed iron core</t>
  </si>
  <si>
    <t xml:space="preserve">AL-063-4C-HV-SW</t>
  </si>
  <si>
    <t xml:space="preserve">4in heavy-duty swivel</t>
  </si>
  <si>
    <t xml:space="preserve">AL-063-4C-HV-SW-+BRK-TX</t>
  </si>
  <si>
    <t xml:space="preserve">4in heavy-duty swivel + brake iron core</t>
  </si>
  <si>
    <t xml:space="preserve">AL-063-4C-HV-SW-TX</t>
  </si>
  <si>
    <t xml:space="preserve">4in heavy-duty swivel iron core</t>
  </si>
  <si>
    <t xml:space="preserve">AL-063-4C-MD-BRK</t>
  </si>
  <si>
    <t xml:space="preserve">4in medium brake</t>
  </si>
  <si>
    <t xml:space="preserve">AL-063-4C-MD-FX</t>
  </si>
  <si>
    <t xml:space="preserve">4in medium fixed</t>
  </si>
  <si>
    <t xml:space="preserve">AL-063-4C-MD-SW</t>
  </si>
  <si>
    <t xml:space="preserve">4in medium swivel</t>
  </si>
  <si>
    <t xml:space="preserve">AL-063-5C-HV-BRK</t>
  </si>
  <si>
    <t xml:space="preserve">5in heavy-duty brake</t>
  </si>
  <si>
    <t xml:space="preserve">AL-063-5C-HV-FX</t>
  </si>
  <si>
    <t xml:space="preserve">5in heavy-duty fixed</t>
  </si>
  <si>
    <t xml:space="preserve">AL-063-5C-HV-FX-TX</t>
  </si>
  <si>
    <t xml:space="preserve">5in heavy-duty fixed iron core</t>
  </si>
  <si>
    <t xml:space="preserve">AL-063-5C-HV-SW</t>
  </si>
  <si>
    <t xml:space="preserve">5in heavy-duty swivel</t>
  </si>
  <si>
    <t xml:space="preserve">AL-063-5C-HV-SW-+BRK-TX</t>
  </si>
  <si>
    <t xml:space="preserve">5in heavy-duty swivel + brake iron core</t>
  </si>
  <si>
    <t xml:space="preserve">AL-063-5C-HV-SW-TX</t>
  </si>
  <si>
    <t xml:space="preserve">5in heavy-duty swivel iron core</t>
  </si>
  <si>
    <t xml:space="preserve">AL-063-5C-MD-BRK</t>
  </si>
  <si>
    <t xml:space="preserve">5in medium brake</t>
  </si>
  <si>
    <t xml:space="preserve">AL-063-5C-MD-FX</t>
  </si>
  <si>
    <t xml:space="preserve">5in medium fixed</t>
  </si>
  <si>
    <t xml:space="preserve">AL-063-5C-MD-SW</t>
  </si>
  <si>
    <t xml:space="preserve">5in medium swivel</t>
  </si>
  <si>
    <t xml:space="preserve">AL-063-6C-HV-BRK</t>
  </si>
  <si>
    <t xml:space="preserve">6in heavy-duty brake</t>
  </si>
  <si>
    <t xml:space="preserve">AL-063-6C-HV-FX</t>
  </si>
  <si>
    <t xml:space="preserve">6in heavy-duty fixed</t>
  </si>
  <si>
    <t xml:space="preserve">AL-063-6C-HV-FX-TX</t>
  </si>
  <si>
    <t xml:space="preserve">6in heavy-duty fixed iron core</t>
  </si>
  <si>
    <t xml:space="preserve">AL-063-6C-HV-SW</t>
  </si>
  <si>
    <t xml:space="preserve">6in heavy-duty swivel</t>
  </si>
  <si>
    <t xml:space="preserve">AL-063-6C-HV-SW-+BRK-TX</t>
  </si>
  <si>
    <t xml:space="preserve">6in heavy-duty swivel + brake iron core</t>
  </si>
  <si>
    <t xml:space="preserve">AL-063-6C-HV-SW-TX</t>
  </si>
  <si>
    <t xml:space="preserve">6in heavy-duty swivel iron core</t>
  </si>
  <si>
    <t xml:space="preserve">AL-063-8C-HV-BRK</t>
  </si>
  <si>
    <t xml:space="preserve">8in heavy-duty brake</t>
  </si>
  <si>
    <t xml:space="preserve">AL-063-8C-HV-FX</t>
  </si>
  <si>
    <t xml:space="preserve">8in heavy-duty fixed</t>
  </si>
  <si>
    <t xml:space="preserve">AL-063-8C-HV-FX-TX</t>
  </si>
  <si>
    <t xml:space="preserve">8in heavy-duty fixed iron core</t>
  </si>
  <si>
    <t xml:space="preserve">AL-063-8C-HV-SW</t>
  </si>
  <si>
    <t xml:space="preserve">8in heavy-duty swivel</t>
  </si>
  <si>
    <t xml:space="preserve">AL-063-8C-HV-SW-+BRK-TX</t>
  </si>
  <si>
    <t xml:space="preserve">8in heavy-duty swivel + brake iron core</t>
  </si>
  <si>
    <t xml:space="preserve">AL-063-8C-HV-SW-TX</t>
  </si>
  <si>
    <t xml:space="preserve">8in heavy-duty swivel iron core</t>
  </si>
  <si>
    <t xml:space="preserve">Mini Swivel Caster (1-2.5 in)  [Casters &amp; Feet]</t>
  </si>
  <si>
    <t xml:space="preserve">1.5in M10 stud brake with nut</t>
  </si>
  <si>
    <t xml:space="preserve">AL-059-1.5C-M10SG-BRK-WN</t>
  </si>
  <si>
    <t xml:space="preserve">AL-059-1.5C-M10SG-SW-WN</t>
  </si>
  <si>
    <t xml:space="preserve">1.5in M10 stud swivel with nut</t>
  </si>
  <si>
    <t xml:space="preserve">AL-059-1.5C-M8SG-BRK-WN</t>
  </si>
  <si>
    <t xml:space="preserve">1.5in M8 stud brake with nut</t>
  </si>
  <si>
    <t xml:space="preserve">AL-059-1.5C-M8SG-SW-WN</t>
  </si>
  <si>
    <t xml:space="preserve">1.5in M8 stud swivel with nut</t>
  </si>
  <si>
    <t xml:space="preserve">AL-059-1.5C-PD-BRK-NS</t>
  </si>
  <si>
    <t xml:space="preserve">1.5in flat base brake no screws</t>
  </si>
  <si>
    <t xml:space="preserve">AL-059-1.5C-PD-BRK-S</t>
  </si>
  <si>
    <t xml:space="preserve">1.5in flat base brake with screws</t>
  </si>
  <si>
    <t xml:space="preserve">AL-059-1.5C-PD-FX-NS</t>
  </si>
  <si>
    <t xml:space="preserve">1.5in flat base fixed no screws</t>
  </si>
  <si>
    <t xml:space="preserve">AL-059-1.5C-PD-FX-S</t>
  </si>
  <si>
    <t xml:space="preserve">1.5in flat base fixed with screws</t>
  </si>
  <si>
    <t xml:space="preserve">AL-059-1.5C-PD-SW-NS</t>
  </si>
  <si>
    <t xml:space="preserve">1.5in flat base swivel no screws</t>
  </si>
  <si>
    <t xml:space="preserve">AL-059-1.5C-PD-SW-S</t>
  </si>
  <si>
    <t xml:space="preserve">1.5in flat base swivel with screws</t>
  </si>
  <si>
    <t xml:space="preserve">AL-059-2.5C-M12SG-BRK-WN</t>
  </si>
  <si>
    <t xml:space="preserve">2.5in M12 stud brake with nut</t>
  </si>
  <si>
    <t xml:space="preserve">AL-059-2.5C-M12SG-SW-WN</t>
  </si>
  <si>
    <t xml:space="preserve">2.5in M12 stud swivel with nut</t>
  </si>
  <si>
    <t xml:space="preserve">AL-059-2.5C-PD-BRK-NS</t>
  </si>
  <si>
    <t xml:space="preserve">2.5in flat base brake no screws</t>
  </si>
  <si>
    <t xml:space="preserve">AL-059-2.5C-PD-BRKS</t>
  </si>
  <si>
    <t xml:space="preserve">2.5in flat base brake (with screws)</t>
  </si>
  <si>
    <t xml:space="preserve">AL-059-2.5C-PD-FX-NS</t>
  </si>
  <si>
    <t xml:space="preserve">2.5in flat base fixed no screws</t>
  </si>
  <si>
    <t xml:space="preserve">AL-059-2.5C-PD-FX-S</t>
  </si>
  <si>
    <t xml:space="preserve">2.5in flat base fixed with screws</t>
  </si>
  <si>
    <t xml:space="preserve">AL-059-2.5C-PD-SW-NS</t>
  </si>
  <si>
    <t xml:space="preserve">2.5in flat base swivel no screws</t>
  </si>
  <si>
    <t xml:space="preserve">AL-059-2.5C-PD-SW-S</t>
  </si>
  <si>
    <t xml:space="preserve">2.5in flat base swivel with screws</t>
  </si>
  <si>
    <t xml:space="preserve">AL-059-2C-M10SG-BRK-WN</t>
  </si>
  <si>
    <t xml:space="preserve">2in M10 stud brake with nut</t>
  </si>
  <si>
    <t xml:space="preserve">AL-059-2C-M10SG-SW-WN</t>
  </si>
  <si>
    <t xml:space="preserve">2in M10 stud swivel with nut</t>
  </si>
  <si>
    <t xml:space="preserve">AL-059-2C-M12SG-BRK-WN</t>
  </si>
  <si>
    <t xml:space="preserve">2in M12 stud brake with nut</t>
  </si>
  <si>
    <t xml:space="preserve">AL-059-2C-M12SG-SW-WN</t>
  </si>
  <si>
    <t xml:space="preserve">2in M12 stud swivel with nut</t>
  </si>
  <si>
    <t xml:space="preserve">AL-059-2C-M8SG-BRK-WN</t>
  </si>
  <si>
    <t xml:space="preserve">2in M8 stud brake with nut</t>
  </si>
  <si>
    <t xml:space="preserve">AL-059-2C-M8SG-SW-WN</t>
  </si>
  <si>
    <t xml:space="preserve">2in M8 stud swivel with nut</t>
  </si>
  <si>
    <t xml:space="preserve">AL-059-2C-PD-BRK-NS</t>
  </si>
  <si>
    <t xml:space="preserve">2in flat base brake no screws</t>
  </si>
  <si>
    <t xml:space="preserve">AL-059-2C-PD-BRK-S</t>
  </si>
  <si>
    <t xml:space="preserve">2in flat base brake with screws</t>
  </si>
  <si>
    <t xml:space="preserve">AL-059-2C-PD-FX-NS</t>
  </si>
  <si>
    <t xml:space="preserve">2in flat base fixed no screws</t>
  </si>
  <si>
    <t xml:space="preserve">AL-059-2C-PD-FX-S</t>
  </si>
  <si>
    <t xml:space="preserve">2in flat base fixed with screws</t>
  </si>
  <si>
    <t xml:space="preserve">AL-059-2C-PD-SW-NS</t>
  </si>
  <si>
    <t xml:space="preserve">2in flat base swivel no screws</t>
  </si>
  <si>
    <t xml:space="preserve">AL-059-2C-PD-SW-S</t>
  </si>
  <si>
    <t xml:space="preserve">2in flat base swivel with screws</t>
  </si>
  <si>
    <t xml:space="preserve">AL-059-M6x15-CJY-TPE-1.25C-SG-BRK-WN</t>
  </si>
  <si>
    <t xml:space="preserve">Ultra-quiet TPE 1.25in stud brake with nut</t>
  </si>
  <si>
    <t xml:space="preserve">M6x15</t>
  </si>
  <si>
    <t xml:space="preserve">AL-059-M6x15-CJY-TPE-1.25C-SG-SW-WN</t>
  </si>
  <si>
    <t xml:space="preserve">Ultra-quiet TPE 1.25in stud swivel with nut</t>
  </si>
  <si>
    <t xml:space="preserve">AL-059-M6x15-CJY-TPE-1C-SG-BRK-WN</t>
  </si>
  <si>
    <t xml:space="preserve">Ultra-quiet TPE 1in stud brake with nut</t>
  </si>
  <si>
    <t xml:space="preserve">AL-059-M6x15-CJY-TPE-1C-SG-SW-WN</t>
  </si>
  <si>
    <t xml:space="preserve">Ultra-quiet TPE 1in stud swivel with nut</t>
  </si>
  <si>
    <t xml:space="preserve">AL-059-M8x15-CJY-TPE-1.5C-SG-BRK-WN</t>
  </si>
  <si>
    <t xml:space="preserve">Ultra-quiet TPE 1.5in stud brake with nut</t>
  </si>
  <si>
    <t xml:space="preserve">M8x15</t>
  </si>
  <si>
    <t xml:space="preserve">AL-059-M8x15-CJY-TPE-1.5C-SG-SW-WN</t>
  </si>
  <si>
    <t xml:space="preserve">Ultra-quiet TPE 1.5in stud swivel with nut</t>
  </si>
  <si>
    <t xml:space="preserve">AL-059-M8x15-CJY-TPE-2C-SG-BRK-WN</t>
  </si>
  <si>
    <t xml:space="preserve">Ultra-quiet TPE 2in stud brake with nut</t>
  </si>
  <si>
    <t xml:space="preserve">AL-059-M8x15-CJY-TPE-2C-SG-SW-WN</t>
  </si>
  <si>
    <t xml:space="preserve">Ultra-quiet TPE 2in stud swivel with nut</t>
  </si>
  <si>
    <t xml:space="preserve">Profile L-Type Floor Mount  [Casters &amp; Feet]</t>
  </si>
  <si>
    <t xml:space="preserve">3060 double slot </t>
  </si>
  <si>
    <t xml:space="preserve">AL-053-BK-3060SC</t>
  </si>
  <si>
    <t xml:space="preserve">AL-053-BK-MS-3030-DC</t>
  </si>
  <si>
    <t xml:space="preserve">Frosted 3030 single slot</t>
  </si>
  <si>
    <t xml:space="preserve">AL-053-SV-2020-DC</t>
  </si>
  <si>
    <t xml:space="preserve">2020 single slot</t>
  </si>
  <si>
    <t xml:space="preserve">AL-053-SV-2040-SC</t>
  </si>
  <si>
    <t xml:space="preserve">2040 double slot</t>
  </si>
  <si>
    <t xml:space="preserve">AL-053-SV-3030-DC</t>
  </si>
  <si>
    <t xml:space="preserve">3030 single slot</t>
  </si>
  <si>
    <t xml:space="preserve">AL-053-SV-3060-SC</t>
  </si>
  <si>
    <t xml:space="preserve">3060 double slot</t>
  </si>
  <si>
    <t xml:space="preserve">AL-053-SV-4040-DC</t>
  </si>
  <si>
    <t xml:space="preserve">4040 single slot</t>
  </si>
  <si>
    <t xml:space="preserve">AL-053-SV-4080-SC</t>
  </si>
  <si>
    <t xml:space="preserve">4080 double slot</t>
  </si>
  <si>
    <t xml:space="preserve">AL-053-SV-4545-DC</t>
  </si>
  <si>
    <t xml:space="preserve">4545 single slot</t>
  </si>
  <si>
    <t xml:space="preserve">AL-053-SV-4590-SC</t>
  </si>
  <si>
    <t xml:space="preserve">4590 double slot</t>
  </si>
  <si>
    <t xml:space="preserve">AL-053-SV-50100-SC</t>
  </si>
  <si>
    <t xml:space="preserve">50100 double slot</t>
  </si>
  <si>
    <t xml:space="preserve">AL-053-SV-5050-DC</t>
  </si>
  <si>
    <t xml:space="preserve">5050 single slot</t>
  </si>
  <si>
    <t xml:space="preserve">AL-053-SV-6060-DC</t>
  </si>
  <si>
    <t xml:space="preserve">6060 single slot</t>
  </si>
  <si>
    <t xml:space="preserve">Aluminum Profile Leveling Foot (all sizes)  [Casters &amp; Feet]</t>
  </si>
  <si>
    <t xml:space="preserve">Base</t>
  </si>
  <si>
    <t xml:space="preserve">Stud</t>
  </si>
  <si>
    <t xml:space="preserve">Fixed</t>
  </si>
  <si>
    <t xml:space="preserve">D30</t>
  </si>
  <si>
    <t xml:space="preserve">M5x30</t>
  </si>
  <si>
    <t xml:space="preserve">FOOT-F-NI-D30-M5x30</t>
  </si>
  <si>
    <t xml:space="preserve">FOOT-F-NI-D40-M10x100</t>
  </si>
  <si>
    <t xml:space="preserve">D40</t>
  </si>
  <si>
    <t xml:space="preserve">FOOT-F-NI-D40-M10x30</t>
  </si>
  <si>
    <t xml:space="preserve">M10x30</t>
  </si>
  <si>
    <t xml:space="preserve">FOOT-F-NI-D40-M10x50</t>
  </si>
  <si>
    <t xml:space="preserve">FOOT-F-NI-D40-M10x80</t>
  </si>
  <si>
    <t xml:space="preserve">FOOT-F-NI-D40-M12x100</t>
  </si>
  <si>
    <t xml:space="preserve">FOOT-F-NI-D40-M12x150</t>
  </si>
  <si>
    <t xml:space="preserve">FOOT-F-NI-D40-M12x30</t>
  </si>
  <si>
    <t xml:space="preserve">M12x30</t>
  </si>
  <si>
    <t xml:space="preserve">FOOT-F-NI-D40-M12x50</t>
  </si>
  <si>
    <t xml:space="preserve">FOOT-F-NI-D40-M12x80</t>
  </si>
  <si>
    <t xml:space="preserve">FOOT-F-NI-D40-M8x30</t>
  </si>
  <si>
    <t xml:space="preserve">M8x30</t>
  </si>
  <si>
    <t xml:space="preserve">FOOT-F-NI-D40-M8x50</t>
  </si>
  <si>
    <t xml:space="preserve">FOOT-F-NI-D40-M8x80</t>
  </si>
  <si>
    <t xml:space="preserve">FOOT-F-NI-D50-M10x100</t>
  </si>
  <si>
    <t xml:space="preserve">D50</t>
  </si>
  <si>
    <t xml:space="preserve">FOOT-F-NI-D50-M10x30</t>
  </si>
  <si>
    <t xml:space="preserve">FOOT-F-NI-D50-M10x50</t>
  </si>
  <si>
    <t xml:space="preserve">FOOT-F-NI-D50-M10x80</t>
  </si>
  <si>
    <t xml:space="preserve">FOOT-F-NI-D50-M12x100</t>
  </si>
  <si>
    <t xml:space="preserve">FOOT-F-NI-D50-M12x150</t>
  </si>
  <si>
    <t xml:space="preserve">FOOT-F-NI-D50-M12x30</t>
  </si>
  <si>
    <t xml:space="preserve">FOOT-F-NI-D50-M12x50</t>
  </si>
  <si>
    <t xml:space="preserve">FOOT-F-NI-D50-M12x80</t>
  </si>
  <si>
    <t xml:space="preserve">FOOT-F-NI-D50-M8x30</t>
  </si>
  <si>
    <t xml:space="preserve">FOOT-F-NI-D50-M8x50</t>
  </si>
  <si>
    <t xml:space="preserve">FOOT-F-NI-D50-M8x80</t>
  </si>
  <si>
    <t xml:space="preserve">FOOT-F-NI-D60-M10x100</t>
  </si>
  <si>
    <t xml:space="preserve">D60</t>
  </si>
  <si>
    <t xml:space="preserve">FOOT-F-NI-D60-M10x30</t>
  </si>
  <si>
    <t xml:space="preserve">FOOT-F-NI-D60-M10x50</t>
  </si>
  <si>
    <t xml:space="preserve">FOOT-F-NI-D60-M10x80</t>
  </si>
  <si>
    <t xml:space="preserve">FOOT-F-NI-D60-M12x100</t>
  </si>
  <si>
    <t xml:space="preserve">FOOT-F-NI-D60-M12x150</t>
  </si>
  <si>
    <t xml:space="preserve">FOOT-F-NI-D60-M12x30</t>
  </si>
  <si>
    <t xml:space="preserve">FOOT-F-NI-D60-M12x50</t>
  </si>
  <si>
    <t xml:space="preserve">FOOT-F-NI-D60-M12x80</t>
  </si>
  <si>
    <t xml:space="preserve">FOOT-F-NI-D60-M14x100</t>
  </si>
  <si>
    <t xml:space="preserve">M14x100</t>
  </si>
  <si>
    <t xml:space="preserve">FOOT-F-NI-D60-M14x150</t>
  </si>
  <si>
    <t xml:space="preserve">M14x150</t>
  </si>
  <si>
    <t xml:space="preserve">FOOT-F-NI-D60-M16x100</t>
  </si>
  <si>
    <t xml:space="preserve">FOOT-F-NI-D60-M16x120</t>
  </si>
  <si>
    <t xml:space="preserve">FOOT-F-NI-D60-M16x150</t>
  </si>
  <si>
    <t xml:space="preserve">FOOT-F-NI-D60-M16x200</t>
  </si>
  <si>
    <t xml:space="preserve">M16x200</t>
  </si>
  <si>
    <t xml:space="preserve">FOOT-F-NI-D60-M16x50</t>
  </si>
  <si>
    <t xml:space="preserve">FOOT-F-NI-D60-M16x80</t>
  </si>
  <si>
    <t xml:space="preserve">FOOT-F-NI-D60-M20x100</t>
  </si>
  <si>
    <t xml:space="preserve">FOOT-F-NI-D60-M20x120</t>
  </si>
  <si>
    <t xml:space="preserve">FOOT-F-NI-D60-M20x150</t>
  </si>
  <si>
    <t xml:space="preserve">FOOT-F-NI-D60-M20x200</t>
  </si>
  <si>
    <t xml:space="preserve">M20x200</t>
  </si>
  <si>
    <t xml:space="preserve">FOOT-F-NI-D60-M8x30</t>
  </si>
  <si>
    <t xml:space="preserve">FOOT-F-NI-D60-M8x50</t>
  </si>
  <si>
    <t xml:space="preserve">FOOT-F-NI-D60-M8x80</t>
  </si>
  <si>
    <t xml:space="preserve">FOOT-F-NI-D80-M10x100</t>
  </si>
  <si>
    <t xml:space="preserve">D80</t>
  </si>
  <si>
    <t xml:space="preserve">FOOT-F-NI-D80-M10x30</t>
  </si>
  <si>
    <t xml:space="preserve">FOOT-F-NI-D80-M10x50</t>
  </si>
  <si>
    <t xml:space="preserve">FOOT-F-NI-D80-M10x80</t>
  </si>
  <si>
    <t xml:space="preserve">FOOT-F-NI-D80-M12x100</t>
  </si>
  <si>
    <t xml:space="preserve">FOOT-F-NI-D80-M12x150</t>
  </si>
  <si>
    <t xml:space="preserve">FOOT-F-NI-D80-M12x30</t>
  </si>
  <si>
    <t xml:space="preserve">FOOT-F-NI-D80-M12x50</t>
  </si>
  <si>
    <t xml:space="preserve">FOOT-F-NI-D80-M12x80</t>
  </si>
  <si>
    <t xml:space="preserve">FOOT-F-NI-D80-M14x100</t>
  </si>
  <si>
    <t xml:space="preserve">FOOT-F-NI-D80-M14x150</t>
  </si>
  <si>
    <t xml:space="preserve">FOOT-F-NI-D80-M16x100</t>
  </si>
  <si>
    <t xml:space="preserve">FOOT-F-NI-D80-M16x120</t>
  </si>
  <si>
    <t xml:space="preserve">FOOT-F-NI-D80-M16x150</t>
  </si>
  <si>
    <t xml:space="preserve">FOOT-F-NI-D80-M16x200</t>
  </si>
  <si>
    <t xml:space="preserve">FOOT-F-NI-D80-M16x50</t>
  </si>
  <si>
    <t xml:space="preserve">FOOT-F-NI-D80-M16x80</t>
  </si>
  <si>
    <t xml:space="preserve">FOOT-F-NI-D80-M20x100</t>
  </si>
  <si>
    <t xml:space="preserve">FOOT-F-NI-D80-M20x120</t>
  </si>
  <si>
    <t xml:space="preserve">FOOT-F-NI-D80-M20x150</t>
  </si>
  <si>
    <t xml:space="preserve">FOOT-F-NI-D80-M20x200</t>
  </si>
  <si>
    <t xml:space="preserve">FOOT-F-NI-D80-M24x100</t>
  </si>
  <si>
    <t xml:space="preserve">M24x100</t>
  </si>
  <si>
    <t xml:space="preserve">FOOT-F-NI-D80-M24x150</t>
  </si>
  <si>
    <t xml:space="preserve">M24x150</t>
  </si>
  <si>
    <t xml:space="preserve">FOOT-F-NI-D80-M24x200</t>
  </si>
  <si>
    <t xml:space="preserve">M24x200</t>
  </si>
  <si>
    <t xml:space="preserve">FOOT-F-NI-D80-M8x100</t>
  </si>
  <si>
    <t xml:space="preserve">FOOT-F-NI-D80-M8x30</t>
  </si>
  <si>
    <t xml:space="preserve">FOOT-F-NI-D80-M8x50</t>
  </si>
  <si>
    <t xml:space="preserve">FOOT-F-NI-D80-M8x80</t>
  </si>
  <si>
    <t xml:space="preserve">FOOT-F-SS-D50-M8x30</t>
  </si>
  <si>
    <t xml:space="preserve">FOOT-F-SS-D50-M8x50</t>
  </si>
  <si>
    <t xml:space="preserve">FOOT-F-ZN-D30-M5x30</t>
  </si>
  <si>
    <t xml:space="preserve">Zinc</t>
  </si>
  <si>
    <t xml:space="preserve">FOOT-F-ZN-D40-M10x80</t>
  </si>
  <si>
    <t xml:space="preserve">FOOT-F-ZN-D40-M12x80</t>
  </si>
  <si>
    <t xml:space="preserve">FOOT-F-ZN-D40-M5x30</t>
  </si>
  <si>
    <t xml:space="preserve">FOOT-F-ZN-D40-M6x150</t>
  </si>
  <si>
    <t xml:space="preserve">M6x150</t>
  </si>
  <si>
    <t xml:space="preserve">FOOT-F-ZN-D40-M6x40</t>
  </si>
  <si>
    <t xml:space="preserve">M6x40</t>
  </si>
  <si>
    <t xml:space="preserve">FOOT-F-ZN-D40-M6x50</t>
  </si>
  <si>
    <t xml:space="preserve">M6x50</t>
  </si>
  <si>
    <t xml:space="preserve">FOOT-F-ZN-D40-M8x30</t>
  </si>
  <si>
    <t xml:space="preserve">FOOT-F-ZN-D50-M6x50</t>
  </si>
  <si>
    <t xml:space="preserve">FOOT-F-ZN-D60-M12x100</t>
  </si>
  <si>
    <t xml:space="preserve">FOOT-F-ZN-D80-M12x100</t>
  </si>
  <si>
    <t xml:space="preserve">FOOT-F-ZN-D80-M16x100</t>
  </si>
  <si>
    <t xml:space="preserve">FOOT-U-NI-D100-M10x100</t>
  </si>
  <si>
    <t xml:space="preserve">swivel</t>
  </si>
  <si>
    <t xml:space="preserve">D100</t>
  </si>
  <si>
    <t xml:space="preserve">FOOT-U-NI-D100-M10x30</t>
  </si>
  <si>
    <t xml:space="preserve">FOOT-U-NI-D100-M10x50</t>
  </si>
  <si>
    <t xml:space="preserve">FOOT-U-NI-D100-M10x80</t>
  </si>
  <si>
    <t xml:space="preserve">FOOT-U-NI-D100-M12x100</t>
  </si>
  <si>
    <t xml:space="preserve">FOOT-U-NI-D100-M12x150</t>
  </si>
  <si>
    <t xml:space="preserve">FOOT-U-NI-D100-M12x200</t>
  </si>
  <si>
    <t xml:space="preserve">M12x200</t>
  </si>
  <si>
    <t xml:space="preserve">FOOT-U-NI-D100-M12x30</t>
  </si>
  <si>
    <t xml:space="preserve">FOOT-U-NI-D100-M12x50</t>
  </si>
  <si>
    <t xml:space="preserve">FOOT-U-NI-D100-M12x80</t>
  </si>
  <si>
    <t xml:space="preserve">FOOT-U-NI-D100-M14x100</t>
  </si>
  <si>
    <t xml:space="preserve">FOOT-U-NI-D100-M14x150</t>
  </si>
  <si>
    <t xml:space="preserve">FOOT-U-NI-D100-M14x80</t>
  </si>
  <si>
    <t xml:space="preserve">M14x80</t>
  </si>
  <si>
    <t xml:space="preserve">FOOT-U-NI-D100-M16x100</t>
  </si>
  <si>
    <t xml:space="preserve">FOOT-U-NI-D100-M16x120</t>
  </si>
  <si>
    <t xml:space="preserve">FOOT-U-NI-D100-M16x150</t>
  </si>
  <si>
    <t xml:space="preserve">FOOT-U-NI-D100-M16x200</t>
  </si>
  <si>
    <t xml:space="preserve">FOOT-U-NI-D100-M16x250</t>
  </si>
  <si>
    <t xml:space="preserve">M16x250</t>
  </si>
  <si>
    <t xml:space="preserve">FOOT-U-NI-D100-M16x50</t>
  </si>
  <si>
    <t xml:space="preserve">FOOT-U-NI-D100-M16x80</t>
  </si>
  <si>
    <t xml:space="preserve">FOOT-U-NI-D100-M20x100</t>
  </si>
  <si>
    <t xml:space="preserve">FOOT-U-NI-D100-M20x150</t>
  </si>
  <si>
    <t xml:space="preserve">FOOT-U-NI-D100-M20x200</t>
  </si>
  <si>
    <t xml:space="preserve">FOOT-U-NI-D100-M20x250</t>
  </si>
  <si>
    <t xml:space="preserve">M20x250</t>
  </si>
  <si>
    <t xml:space="preserve">FOOT-U-NI-D100-M20x50</t>
  </si>
  <si>
    <t xml:space="preserve">FOOT-U-NI-D100-M20x80</t>
  </si>
  <si>
    <t xml:space="preserve">FOOT-U-NI-D100-M24x100</t>
  </si>
  <si>
    <t xml:space="preserve">FOOT-U-NI-D100-M24x150</t>
  </si>
  <si>
    <t xml:space="preserve">FOOT-U-NI-D100-M24x200</t>
  </si>
  <si>
    <t xml:space="preserve">FOOT-U-NI-D100-M8x100</t>
  </si>
  <si>
    <t xml:space="preserve">FOOT-U-NI-D100-M8x30</t>
  </si>
  <si>
    <t xml:space="preserve">FOOT-U-NI-D100-M8x50</t>
  </si>
  <si>
    <t xml:space="preserve">FOOT-U-NI-D100-M8x80</t>
  </si>
  <si>
    <t xml:space="preserve">FOOT-U-NI-D125-M14x100</t>
  </si>
  <si>
    <t xml:space="preserve">D125</t>
  </si>
  <si>
    <t xml:space="preserve">FOOT-U-NI-D125-M14x150</t>
  </si>
  <si>
    <t xml:space="preserve">FOOT-U-NI-D125-M14x80</t>
  </si>
  <si>
    <t xml:space="preserve">FOOT-U-NI-D125-M16x100</t>
  </si>
  <si>
    <t xml:space="preserve">FOOT-U-NI-D125-M16x120</t>
  </si>
  <si>
    <t xml:space="preserve">FOOT-U-NI-D125-M16x150</t>
  </si>
  <si>
    <t xml:space="preserve">FOOT-U-NI-D125-M16x200</t>
  </si>
  <si>
    <t xml:space="preserve">FOOT-U-NI-D125-M16x250</t>
  </si>
  <si>
    <t xml:space="preserve">FOOT-U-NI-D125-M16x50</t>
  </si>
  <si>
    <t xml:space="preserve">FOOT-U-NI-D125-M16x80</t>
  </si>
  <si>
    <t xml:space="preserve">FOOT-U-NI-D125-M20x100</t>
  </si>
  <si>
    <t xml:space="preserve">FOOT-U-NI-D125-M20x150</t>
  </si>
  <si>
    <t xml:space="preserve">FOOT-U-NI-D125-M20x200</t>
  </si>
  <si>
    <t xml:space="preserve">FOOT-U-NI-D125-M20x250</t>
  </si>
  <si>
    <t xml:space="preserve">FOOT-U-NI-D125-M20x50</t>
  </si>
  <si>
    <t xml:space="preserve">FOOT-U-NI-D125-M20x80</t>
  </si>
  <si>
    <t xml:space="preserve">FOOT-U-NI-D125-M24x100</t>
  </si>
  <si>
    <t xml:space="preserve">FOOT-U-NI-D125-M24x150</t>
  </si>
  <si>
    <t xml:space="preserve">FOOT-U-NI-D125-M24x200</t>
  </si>
  <si>
    <t xml:space="preserve">FOOT-U-NI-D40-M10x100</t>
  </si>
  <si>
    <t xml:space="preserve">FOOT-U-NI-D40-M10x30</t>
  </si>
  <si>
    <t xml:space="preserve">FOOT-U-NI-D40-M10x50</t>
  </si>
  <si>
    <t xml:space="preserve">FOOT-U-NI-D40-M10x80</t>
  </si>
  <si>
    <t xml:space="preserve">FOOT-U-NI-D40-M12x100</t>
  </si>
  <si>
    <t xml:space="preserve">FOOT-U-NI-D40-M12x150</t>
  </si>
  <si>
    <t xml:space="preserve">FOOT-U-NI-D40-M12x200</t>
  </si>
  <si>
    <t xml:space="preserve">FOOT-U-NI-D40-M12x30</t>
  </si>
  <si>
    <t xml:space="preserve">FOOT-U-NI-D40-M12x50</t>
  </si>
  <si>
    <t xml:space="preserve">FOOT-U-NI-D40-M12x80</t>
  </si>
  <si>
    <t xml:space="preserve">FOOT-U-NI-D40-M8x100</t>
  </si>
  <si>
    <t xml:space="preserve">FOOT-U-NI-D40-M8x30</t>
  </si>
  <si>
    <t xml:space="preserve">FOOT-U-NI-D40-M8x50</t>
  </si>
  <si>
    <t xml:space="preserve">FOOT-U-NI-D40-M8x80</t>
  </si>
  <si>
    <t xml:space="preserve">FOOT-U-NI-D50-M10x100</t>
  </si>
  <si>
    <t xml:space="preserve">FOOT-U-NI-D50-M10x30</t>
  </si>
  <si>
    <t xml:space="preserve">FOOT-U-NI-D50-M10x50</t>
  </si>
  <si>
    <t xml:space="preserve">FOOT-U-NI-D50-M10x80</t>
  </si>
  <si>
    <t xml:space="preserve">FOOT-U-NI-D50-M12x100</t>
  </si>
  <si>
    <t xml:space="preserve">FOOT-U-NI-D50-M12x150</t>
  </si>
  <si>
    <t xml:space="preserve">FOOT-U-NI-D50-M12x200</t>
  </si>
  <si>
    <t xml:space="preserve">FOOT-U-NI-D50-M12x30</t>
  </si>
  <si>
    <t xml:space="preserve">FOOT-U-NI-D50-M12x50</t>
  </si>
  <si>
    <t xml:space="preserve">FOOT-U-NI-D50-M12x80</t>
  </si>
  <si>
    <t xml:space="preserve">FOOT-U-NI-D50-M8x100</t>
  </si>
  <si>
    <t xml:space="preserve">FOOT-U-NI-D50-M8x30</t>
  </si>
  <si>
    <t xml:space="preserve">FOOT-U-NI-D50-M8x50</t>
  </si>
  <si>
    <t xml:space="preserve">FOOT-U-NI-D50-M8x80</t>
  </si>
  <si>
    <t xml:space="preserve">FOOT-U-NI-D60-M10x100</t>
  </si>
  <si>
    <t xml:space="preserve">FOOT-U-NI-D60-M10x30</t>
  </si>
  <si>
    <t xml:space="preserve">FOOT-U-NI-D60-M10x50</t>
  </si>
  <si>
    <t xml:space="preserve">FOOT-U-NI-D60-M10x80</t>
  </si>
  <si>
    <t xml:space="preserve">FOOT-U-NI-D60-M12x100</t>
  </si>
  <si>
    <t xml:space="preserve">FOOT-U-NI-D60-M12x150</t>
  </si>
  <si>
    <t xml:space="preserve">FOOT-U-NI-D60-M12x200</t>
  </si>
  <si>
    <t xml:space="preserve">FOOT-U-NI-D60-M12x30</t>
  </si>
  <si>
    <t xml:space="preserve">FOOT-U-NI-D60-M12x50</t>
  </si>
  <si>
    <t xml:space="preserve">FOOT-U-NI-D60-M12x80</t>
  </si>
  <si>
    <t xml:space="preserve">FOOT-U-NI-D60-M14x100</t>
  </si>
  <si>
    <t xml:space="preserve">FOOT-U-NI-D60-M14x150</t>
  </si>
  <si>
    <t xml:space="preserve">FOOT-U-NI-D60-M14x80</t>
  </si>
  <si>
    <t xml:space="preserve">FOOT-U-NI-D60-M16x100</t>
  </si>
  <si>
    <t xml:space="preserve">FOOT-U-NI-D60-M16x120</t>
  </si>
  <si>
    <t xml:space="preserve">FOOT-U-NI-D60-M16x150</t>
  </si>
  <si>
    <t xml:space="preserve">FOOT-U-NI-D60-M16x200</t>
  </si>
  <si>
    <t xml:space="preserve">FOOT-U-NI-D60-M16x250</t>
  </si>
  <si>
    <t xml:space="preserve">FOOT-U-NI-D60-M16x50</t>
  </si>
  <si>
    <t xml:space="preserve">FOOT-U-NI-D60-M16x80</t>
  </si>
  <si>
    <t xml:space="preserve">FOOT-U-NI-D60-M20x100</t>
  </si>
  <si>
    <t xml:space="preserve">FOOT-U-NI-D60-M20x150</t>
  </si>
  <si>
    <t xml:space="preserve">FOOT-U-NI-D60-M20x250</t>
  </si>
  <si>
    <t xml:space="preserve">FOOT-U-NI-D60-M20x50</t>
  </si>
  <si>
    <t xml:space="preserve">FOOT-U-NI-D60-M20x80</t>
  </si>
  <si>
    <t xml:space="preserve">FOOT-U-NI-D60-M8x100</t>
  </si>
  <si>
    <t xml:space="preserve">FOOT-U-NI-D60-M8x30</t>
  </si>
  <si>
    <t xml:space="preserve">FOOT-U-NI-D60-M8x50</t>
  </si>
  <si>
    <t xml:space="preserve">FOOT-U-NI-D60-M8x80</t>
  </si>
  <si>
    <t xml:space="preserve">FOOT-U-NI-D80-M10x100</t>
  </si>
  <si>
    <t xml:space="preserve">FOOT-U-NI-D80-M10x30</t>
  </si>
  <si>
    <t xml:space="preserve">FOOT-U-NI-D80-M10x50</t>
  </si>
  <si>
    <t xml:space="preserve">FOOT-U-NI-D80-M10x80</t>
  </si>
  <si>
    <t xml:space="preserve">FOOT-U-NI-D80-M12x100</t>
  </si>
  <si>
    <t xml:space="preserve">FOOT-U-NI-D80-M12x150</t>
  </si>
  <si>
    <t xml:space="preserve">FOOT-U-NI-D80-M12x200</t>
  </si>
  <si>
    <t xml:space="preserve">FOOT-U-NI-D80-M12x30</t>
  </si>
  <si>
    <t xml:space="preserve">FOOT-U-NI-D80-M12x50</t>
  </si>
  <si>
    <t xml:space="preserve">FOOT-U-NI-D80-M12x80</t>
  </si>
  <si>
    <t xml:space="preserve">FOOT-U-NI-D80-M14x100</t>
  </si>
  <si>
    <t xml:space="preserve">FOOT-U-NI-D80-M14x150</t>
  </si>
  <si>
    <t xml:space="preserve">FOOT-U-NI-D80-M14x80</t>
  </si>
  <si>
    <t xml:space="preserve">FOOT-U-NI-D80-M16x100</t>
  </si>
  <si>
    <t xml:space="preserve">FOOT-U-NI-D80-M16x120</t>
  </si>
  <si>
    <t xml:space="preserve">FOOT-U-NI-D80-M16x150</t>
  </si>
  <si>
    <t xml:space="preserve">FOOT-U-NI-D80-M16x200</t>
  </si>
  <si>
    <t xml:space="preserve">FOOT-U-NI-D80-M16x250</t>
  </si>
  <si>
    <t xml:space="preserve">FOOT-U-NI-D80-M16x50</t>
  </si>
  <si>
    <t xml:space="preserve">FOOT-U-NI-D80-M16x80</t>
  </si>
  <si>
    <t xml:space="preserve">FOOT-U-NI-D80-M20x100</t>
  </si>
  <si>
    <t xml:space="preserve">FOOT-U-NI-D80-M20x150</t>
  </si>
  <si>
    <t xml:space="preserve">FOOT-U-NI-D80-M20x200</t>
  </si>
  <si>
    <t xml:space="preserve">FOOT-U-NI-D80-M20x250</t>
  </si>
  <si>
    <t xml:space="preserve">FOOT-U-NI-D80-M20x50</t>
  </si>
  <si>
    <t xml:space="preserve">FOOT-U-NI-D80-M20x80</t>
  </si>
  <si>
    <t xml:space="preserve">FOOT-U-NI-D80-M24x100</t>
  </si>
  <si>
    <t xml:space="preserve">FOOT-U-NI-D80-M24x150</t>
  </si>
  <si>
    <t xml:space="preserve">FOOT-U-NI-D80-M24x200</t>
  </si>
  <si>
    <t xml:space="preserve">FOOT-U-NI-D80-M8x100</t>
  </si>
  <si>
    <t xml:space="preserve">FOOT-U-NI-D80-M8x30</t>
  </si>
  <si>
    <t xml:space="preserve">FOOT-U-NI-D80-M8x50</t>
  </si>
  <si>
    <t xml:space="preserve">FOOT-U-NI-D80-M8x80</t>
  </si>
  <si>
    <t xml:space="preserve">Aluminum Profile Guide Pulley Assembly  [Casters &amp; Feet]</t>
  </si>
  <si>
    <t xml:space="preserve">Wheel Size</t>
  </si>
  <si>
    <t xml:space="preserve">25 pulley assembly</t>
  </si>
  <si>
    <t xml:space="preserve">PUL-25</t>
  </si>
  <si>
    <t xml:space="preserve">PUL-2550</t>
  </si>
  <si>
    <t xml:space="preserve">2550 pulley assembly</t>
  </si>
  <si>
    <t xml:space="preserve">PUL-40</t>
  </si>
  <si>
    <t xml:space="preserve">40 pulley assembly</t>
  </si>
  <si>
    <t xml:space="preserve">PUL-4080</t>
  </si>
  <si>
    <t xml:space="preserve">4080 pulley assembly</t>
  </si>
  <si>
    <t xml:space="preserve">PUL-W-6x37.5x12.2</t>
  </si>
  <si>
    <t xml:space="preserve">Wheel only (with screws)</t>
  </si>
  <si>
    <t xml:space="preserve">6x37.5x12.2</t>
  </si>
  <si>
    <t xml:space="preserve">PUL-W-8x54x19.8</t>
  </si>
  <si>
    <t xml:space="preserve">8x54x19.8</t>
  </si>
  <si>
    <t xml:space="preserve">Profile End Plate (for casters / feet)  [Casters &amp; Feet]</t>
  </si>
  <si>
    <t xml:space="preserve">Anodized 2040-M8</t>
  </si>
  <si>
    <t xml:space="preserve">AL-010-BK-AL-YH-2040-M8</t>
  </si>
  <si>
    <t xml:space="preserve">AL-010-CS-DG-SX-100100-M16</t>
  </si>
  <si>
    <t xml:space="preserve">Chrome Solid 100100-M16</t>
  </si>
  <si>
    <t xml:space="preserve">AL-010-CS-DG-SX-3060-M12</t>
  </si>
  <si>
    <t xml:space="preserve">Chrome Solid 3060-M12</t>
  </si>
  <si>
    <t xml:space="preserve">AL-010-CS-DG-SX-4080-M12</t>
  </si>
  <si>
    <t xml:space="preserve">Chrome Solid 4080-M12</t>
  </si>
  <si>
    <t xml:space="preserve">AL-010-CS-DG-SX-4080-M16</t>
  </si>
  <si>
    <t xml:space="preserve">Chrome Solid 4080-M16</t>
  </si>
  <si>
    <t xml:space="preserve">AL-010-CS-DG-SX-4590-M16</t>
  </si>
  <si>
    <t xml:space="preserve">Chrome Solid 4590-M16</t>
  </si>
  <si>
    <t xml:space="preserve">AL-010-CS-DG-SX-50100-M16</t>
  </si>
  <si>
    <t xml:space="preserve">Chrome Solid 50100-M16</t>
  </si>
  <si>
    <t xml:space="preserve">AL-010-CS-DG-SX-6060-M12</t>
  </si>
  <si>
    <t xml:space="preserve">Chrome Solid 6060-M12</t>
  </si>
  <si>
    <t xml:space="preserve">AL-010-CS-DG-SX-6060-M16</t>
  </si>
  <si>
    <t xml:space="preserve">Chrome Solid 6060-M16</t>
  </si>
  <si>
    <t xml:space="preserve">AL-010-CS-DG-SX-8080-M12</t>
  </si>
  <si>
    <t xml:space="preserve">Chrome Solid 8080-M12</t>
  </si>
  <si>
    <t xml:space="preserve">AL-010-CS-DG-SX-8080-M16</t>
  </si>
  <si>
    <t xml:space="preserve">Chrome Solid 8080-M16</t>
  </si>
  <si>
    <t xml:space="preserve">AL-010-CS-DG-SX-9090-M16</t>
  </si>
  <si>
    <t xml:space="preserve">Chrome Solid 9090-M16</t>
  </si>
  <si>
    <t xml:space="preserve">AL-010-CS-DX-SX-3060-M12</t>
  </si>
  <si>
    <t xml:space="preserve">Zinc Solid 3060-M12</t>
  </si>
  <si>
    <t xml:space="preserve">AL-010-CS-DX-SX-4080-M12</t>
  </si>
  <si>
    <t xml:space="preserve">Zinc Solid 4080-M12</t>
  </si>
  <si>
    <t xml:space="preserve">AL-010-CS-DX-SX-4080-M16</t>
  </si>
  <si>
    <t xml:space="preserve">Zinc Solid 4080-M16</t>
  </si>
  <si>
    <t xml:space="preserve">AL-010-YZL-KX-3060-M10</t>
  </si>
  <si>
    <t xml:space="preserve">Die-cast Al Hollow 3060-M10</t>
  </si>
  <si>
    <t xml:space="preserve">AL-010-YZL-KX-3060-M12</t>
  </si>
  <si>
    <t xml:space="preserve">Die-cast Al Hollow 3060-M12</t>
  </si>
  <si>
    <t xml:space="preserve">AL-010-YZL-KX-3060-M14</t>
  </si>
  <si>
    <t xml:space="preserve">Die-cast Al Hollow 3060-M14</t>
  </si>
  <si>
    <t xml:space="preserve">AL-010-YZL-KX-4040-M8</t>
  </si>
  <si>
    <t xml:space="preserve">Die-cast Al Hollow 4040-M8</t>
  </si>
  <si>
    <t xml:space="preserve">AL-010-YZL-KX-4080-M12</t>
  </si>
  <si>
    <t xml:space="preserve">Die-cast Al Hollow 4080-M12</t>
  </si>
  <si>
    <t xml:space="preserve">AL-010-YZL-KX-4080-M14</t>
  </si>
  <si>
    <t xml:space="preserve">Die-cast Al Hollow 4080-M14</t>
  </si>
  <si>
    <t xml:space="preserve">AL-010-YZL-KX-4080-M16</t>
  </si>
  <si>
    <t xml:space="preserve">Die-cast Al Hollow 4080-M16</t>
  </si>
  <si>
    <t xml:space="preserve">AL-010-YZL-KX-4080-M8</t>
  </si>
  <si>
    <t xml:space="preserve">Die-cast Al Hollow 4080-M8</t>
  </si>
  <si>
    <t xml:space="preserve">AL-010-YZL-KX-4590-M12</t>
  </si>
  <si>
    <t xml:space="preserve">Die-cast Al Hollow 4590-M12</t>
  </si>
  <si>
    <t xml:space="preserve">AL-010-YZL-KX-4590-M16</t>
  </si>
  <si>
    <t xml:space="preserve">Die-cast Al Hollow 4590-M16</t>
  </si>
  <si>
    <t xml:space="preserve">AL-010-YZL-KX-5050-M12</t>
  </si>
  <si>
    <t xml:space="preserve">Die-cast Al Hollow 5050-M12</t>
  </si>
  <si>
    <t xml:space="preserve">AL-010-YZL-KX-6060-M12</t>
  </si>
  <si>
    <t xml:space="preserve">Die-cast Al Hollow 6060-M12</t>
  </si>
  <si>
    <t xml:space="preserve">AL-010-YZL-KX-6060-M16</t>
  </si>
  <si>
    <t xml:space="preserve">Die-cast Al Hollow 6060-M16</t>
  </si>
  <si>
    <t xml:space="preserve">AL-010-YZL-KX-8080-M12</t>
  </si>
  <si>
    <t xml:space="preserve">Die-cast Al Hollow 8080-M12</t>
  </si>
  <si>
    <t xml:space="preserve">AL-010-YZL-KX-8080-M14</t>
  </si>
  <si>
    <t xml:space="preserve">Die-cast Al Hollow 8080-M14</t>
  </si>
  <si>
    <t xml:space="preserve">AL-010-YZL-KX-8080-M16</t>
  </si>
  <si>
    <t xml:space="preserve">Die-cast Al Hollow 8080-M16</t>
  </si>
  <si>
    <t xml:space="preserve">AL-010-YZL-KX-8080-M8</t>
  </si>
  <si>
    <t xml:space="preserve">Die-cast Al Hollow 8080-M8</t>
  </si>
  <si>
    <t xml:space="preserve">AL-010-YZL-KX-9090-M16</t>
  </si>
  <si>
    <t xml:space="preserve">Die-cast Al Hollow 9090-M16</t>
  </si>
  <si>
    <t xml:space="preserve">AL-010-YZL-SX-3060-M12</t>
  </si>
  <si>
    <t xml:space="preserve">Die-cast Al Solid 3060-M12</t>
  </si>
  <si>
    <t xml:space="preserve">AL-010-YZL-SX-4080-M12</t>
  </si>
  <si>
    <t xml:space="preserve">Die-cast Al Solid 4080-M12</t>
  </si>
  <si>
    <t xml:space="preserve">AL-010-YZL-SX-4080-M14</t>
  </si>
  <si>
    <t xml:space="preserve">Die-cast Al Solid 4080-M14</t>
  </si>
  <si>
    <t xml:space="preserve">AL-010-YZL-SX-4080-M16</t>
  </si>
  <si>
    <t xml:space="preserve">Die-cast Al Solid 4080-M16</t>
  </si>
  <si>
    <t xml:space="preserve">AL-010-YZL-SX-4080-M20</t>
  </si>
  <si>
    <t xml:space="preserve">Die-cast Al Solid 4080-M20</t>
  </si>
  <si>
    <t xml:space="preserve">AL-010-YZL-SX-6060-M12</t>
  </si>
  <si>
    <t xml:space="preserve">Die-cast Al Solid 6060-M12</t>
  </si>
  <si>
    <t xml:space="preserve">AL-010-YZL-SX-6060-M16</t>
  </si>
  <si>
    <t xml:space="preserve">Die-cast Al Solid 6060-M16</t>
  </si>
  <si>
    <t xml:space="preserve">AL-010-YZL-SX-8080-M12</t>
  </si>
  <si>
    <t xml:space="preserve">Die-cast Al Solid 8080-M12</t>
  </si>
  <si>
    <t xml:space="preserve">AL-010-YZL-SX-8080-M14</t>
  </si>
  <si>
    <t xml:space="preserve">Die-cast Al Solid 8080-M14</t>
  </si>
  <si>
    <t xml:space="preserve">AL-010-YZL-SX-8080-M16</t>
  </si>
  <si>
    <t xml:space="preserve">Die-cast Al Solid 8080-M16</t>
  </si>
  <si>
    <t xml:space="preserve">AL-010-YZL-SX-8080-M20</t>
  </si>
  <si>
    <t xml:space="preserve">Die-cast Al Solid 8080-M20</t>
  </si>
  <si>
    <t xml:space="preserve">Profile Foot Mount (3030 / 4040 / 4545)  [Casters &amp; Feet]</t>
  </si>
  <si>
    <t xml:space="preserve">3030</t>
  </si>
  <si>
    <t xml:space="preserve">Bright silver</t>
  </si>
  <si>
    <t xml:space="preserve">M10</t>
  </si>
  <si>
    <t xml:space="preserve">AL-030-LY-3030-M10</t>
  </si>
  <si>
    <t xml:space="preserve">AL-030-LY-3030-M12</t>
  </si>
  <si>
    <t xml:space="preserve">M12</t>
  </si>
  <si>
    <t xml:space="preserve">AL-030-LY-3030-M8</t>
  </si>
  <si>
    <t xml:space="preserve">AL-030-LY-4040-M10</t>
  </si>
  <si>
    <t xml:space="preserve">AL-030-LY-4040-M12</t>
  </si>
  <si>
    <t xml:space="preserve">AL-030-LY-4040-M8</t>
  </si>
  <si>
    <t xml:space="preserve">AL-030-LY-4545-M10</t>
  </si>
  <si>
    <t xml:space="preserve">4545</t>
  </si>
  <si>
    <t xml:space="preserve">AL-030-LY-4545-M12</t>
  </si>
  <si>
    <t xml:space="preserve">AL-030-PS-4040-M10</t>
  </si>
  <si>
    <t xml:space="preserve">Sandblasted</t>
  </si>
  <si>
    <t xml:space="preserve">AL-030-PS-4040-M12</t>
  </si>
  <si>
    <t xml:space="preserve">AL-030-PS-4040-M8</t>
  </si>
  <si>
    <t xml:space="preserve">Cast Aluminum Corner Plate (for casters / feet)  [Casters &amp; Feet]</t>
  </si>
  <si>
    <t xml:space="preserve">AL-043-M10</t>
  </si>
  <si>
    <t xml:space="preserve">AL-043-M12</t>
  </si>
  <si>
    <t xml:space="preserve">AL-043-M8</t>
  </si>
  <si>
    <t xml:space="preserve">Conical Rubber Foot  [Casters &amp; Feet]</t>
  </si>
  <si>
    <t xml:space="preserve">with washer</t>
  </si>
  <si>
    <t xml:space="preserve">11x9x6</t>
  </si>
  <si>
    <t xml:space="preserve">AL-055-11x9x6-BK-DDP-P10</t>
  </si>
  <si>
    <t xml:space="preserve">AL-055-12x8x7-BK-DDP-P9</t>
  </si>
  <si>
    <t xml:space="preserve">12x8x7</t>
  </si>
  <si>
    <t xml:space="preserve">AL-055-13x10x7-BK-DDP-P9</t>
  </si>
  <si>
    <t xml:space="preserve">13x10x7</t>
  </si>
  <si>
    <t xml:space="preserve">AL-055-14x11x9-BK-DDP-P9</t>
  </si>
  <si>
    <t xml:space="preserve">14x11x9</t>
  </si>
  <si>
    <t xml:space="preserve">AL-055-15x12x8-BK-DDP-P7</t>
  </si>
  <si>
    <t xml:space="preserve">15x12x8</t>
  </si>
  <si>
    <t xml:space="preserve">AL-055-17x13x14-BK-DDP-P10</t>
  </si>
  <si>
    <t xml:space="preserve">17x13x14</t>
  </si>
  <si>
    <t xml:space="preserve">AL-055-17x14x10-BK-DDP-P6</t>
  </si>
  <si>
    <t xml:space="preserve">17x14x10</t>
  </si>
  <si>
    <t xml:space="preserve">AL-055-17x14x10-WH-DDP-P5</t>
  </si>
  <si>
    <t xml:space="preserve">AL-055-18x14x10-BK-DDP-P6</t>
  </si>
  <si>
    <t xml:space="preserve">18x14x10</t>
  </si>
  <si>
    <t xml:space="preserve">AL-055-18x15x5-BK-BDDP-P12</t>
  </si>
  <si>
    <t xml:space="preserve">no washer</t>
  </si>
  <si>
    <t xml:space="preserve">18x15x5</t>
  </si>
  <si>
    <t xml:space="preserve">AL-055-18x15x5-BK-DDP-P10</t>
  </si>
  <si>
    <t xml:space="preserve">AL-055-18x15x8-BK-DDP-P6</t>
  </si>
  <si>
    <t xml:space="preserve">18x15x8</t>
  </si>
  <si>
    <t xml:space="preserve">AL-055-19x15x11-BK-DDP-P6</t>
  </si>
  <si>
    <t xml:space="preserve">19x15x11</t>
  </si>
  <si>
    <t xml:space="preserve">AL-055-19x15x17-BK-DDP-P5</t>
  </si>
  <si>
    <t xml:space="preserve">19x15x17</t>
  </si>
  <si>
    <t xml:space="preserve">AL-055-20x14x17-BK-DDP-P5</t>
  </si>
  <si>
    <t xml:space="preserve">20x14x17</t>
  </si>
  <si>
    <t xml:space="preserve">AL-055-20x15x8-BK-DDP-P6</t>
  </si>
  <si>
    <t xml:space="preserve">20x15x8</t>
  </si>
  <si>
    <t xml:space="preserve">AL-055-20x16x10.5-BK-DDP-P5</t>
  </si>
  <si>
    <t xml:space="preserve">20x16x10.5</t>
  </si>
  <si>
    <t xml:space="preserve">AL-055-20x16x20-BK-DDP-P5</t>
  </si>
  <si>
    <t xml:space="preserve">20x16x20</t>
  </si>
  <si>
    <t xml:space="preserve">AL-055-21x15x12-BK-DDP-P6</t>
  </si>
  <si>
    <t xml:space="preserve">21x15x12</t>
  </si>
  <si>
    <t xml:space="preserve">AL-055-21x17x12-BK-DDP-P5</t>
  </si>
  <si>
    <t xml:space="preserve">21x17x12</t>
  </si>
  <si>
    <t xml:space="preserve">AL-055-22x18x10-BK-DDP-P5</t>
  </si>
  <si>
    <t xml:space="preserve">22x18x10</t>
  </si>
  <si>
    <t xml:space="preserve">AL-055-23x18x16-BK-DDP-P5</t>
  </si>
  <si>
    <t xml:space="preserve">23x18x16</t>
  </si>
  <si>
    <t xml:space="preserve">AL-055-24x19x31-BK-DDP-P3</t>
  </si>
  <si>
    <t xml:space="preserve">24x19x31</t>
  </si>
  <si>
    <t xml:space="preserve">AL-055-25x19x15-BK-DDP-P4</t>
  </si>
  <si>
    <t xml:space="preserve">25x19x15</t>
  </si>
  <si>
    <t xml:space="preserve">AL-055-25x20x13-BK-DDP-P5</t>
  </si>
  <si>
    <t xml:space="preserve">25x20x13</t>
  </si>
  <si>
    <t xml:space="preserve">AL-055-25x23x9-BK-DDP-P5</t>
  </si>
  <si>
    <t xml:space="preserve">25x23x9</t>
  </si>
  <si>
    <t xml:space="preserve">AL-055-26x21x13-BK-DDP-P5</t>
  </si>
  <si>
    <t xml:space="preserve">26x21x13</t>
  </si>
  <si>
    <t xml:space="preserve">AL-055-27x21x18-BK-DDP-P4</t>
  </si>
  <si>
    <t xml:space="preserve">27x21x18</t>
  </si>
  <si>
    <t xml:space="preserve">AL-055-28x22x16.5-BK-DDP-P4</t>
  </si>
  <si>
    <t xml:space="preserve">28x22x16.5</t>
  </si>
  <si>
    <t xml:space="preserve">AL-055-28x25x14-BK-DDP-P4</t>
  </si>
  <si>
    <t xml:space="preserve">28x25x14</t>
  </si>
  <si>
    <t xml:space="preserve">AL-055-30x19x13-BK-DDP-P4</t>
  </si>
  <si>
    <t xml:space="preserve">30x19x13</t>
  </si>
  <si>
    <t xml:space="preserve">AL-055-30x20x25-BK-DDP-P2</t>
  </si>
  <si>
    <t xml:space="preserve">30x20x25</t>
  </si>
  <si>
    <t xml:space="preserve">AL-055-30x22x15-BK-DDP-P3</t>
  </si>
  <si>
    <t xml:space="preserve">30x22x15</t>
  </si>
  <si>
    <t xml:space="preserve">AL-055-31x18x26-BK-DDP-P2</t>
  </si>
  <si>
    <t xml:space="preserve">31x18x26</t>
  </si>
  <si>
    <t xml:space="preserve">AL-055-32x21x22-BK-DDP-P2</t>
  </si>
  <si>
    <t xml:space="preserve">32x21x22</t>
  </si>
  <si>
    <t xml:space="preserve">AL-055-32x24x18-BK-DDP-P2</t>
  </si>
  <si>
    <t xml:space="preserve">32x24x18</t>
  </si>
  <si>
    <t xml:space="preserve">AL-055-32x25x20-BK-DDP-P2</t>
  </si>
  <si>
    <t xml:space="preserve">32x25x20</t>
  </si>
  <si>
    <t xml:space="preserve">AL-055-32x27x30-BK-DDP-P2</t>
  </si>
  <si>
    <t xml:space="preserve">32x27x30</t>
  </si>
  <si>
    <t xml:space="preserve">AL-055-33x27x33-BK-DDP</t>
  </si>
  <si>
    <t xml:space="preserve">33x27x33</t>
  </si>
  <si>
    <t xml:space="preserve">AL-055-35x24x32-BK-DDP-P2</t>
  </si>
  <si>
    <t xml:space="preserve">35x24x32</t>
  </si>
  <si>
    <t xml:space="preserve">AL-055-36x28x25-BK-DDP-P2</t>
  </si>
  <si>
    <t xml:space="preserve">36x28x25</t>
  </si>
  <si>
    <t xml:space="preserve">AL-055-40x28x40-BK-DDP</t>
  </si>
  <si>
    <t xml:space="preserve">40x28x40</t>
  </si>
  <si>
    <t xml:space="preserve">AL-055-40x30x22-BK-DDP-P2</t>
  </si>
  <si>
    <t xml:space="preserve">40x30x22</t>
  </si>
  <si>
    <t xml:space="preserve">AL-055-43x32x52-BK-DDP</t>
  </si>
  <si>
    <t xml:space="preserve">43x32x52</t>
  </si>
  <si>
    <t xml:space="preserve">AL-055-47x33x28-BK-DDP</t>
  </si>
  <si>
    <t xml:space="preserve">47x33x28</t>
  </si>
  <si>
    <t xml:space="preserve">AL-055-49x32x29-BK-DDP</t>
  </si>
  <si>
    <t xml:space="preserve">49x32x29</t>
  </si>
  <si>
    <t xml:space="preserve">AL-055-50x32x30-BK-DDP</t>
  </si>
  <si>
    <t xml:space="preserve">50x32x30</t>
  </si>
  <si>
    <t xml:space="preserve">AL-055-50x35x25-BK-DDP</t>
  </si>
  <si>
    <t xml:space="preserve">50x35x25</t>
  </si>
  <si>
    <t xml:space="preserve">AL-055-50x38x40-BK-DDP</t>
  </si>
  <si>
    <t xml:space="preserve">50x38x40</t>
  </si>
  <si>
    <t xml:space="preserve">AL-055-50x40x50-BK-DDP</t>
  </si>
  <si>
    <t xml:space="preserve">50x40x50</t>
  </si>
  <si>
    <t xml:space="preserve">135° Corner Bracket  [Brackets / Nuts / Hinges / Handles]</t>
  </si>
  <si>
    <t xml:space="preserve">Anodized 135° -4040</t>
  </si>
  <si>
    <t xml:space="preserve">AL-029-BK-YH-135D-4040</t>
  </si>
  <si>
    <t xml:space="preserve">AL-029-SV-YH-135D-4040</t>
  </si>
  <si>
    <t xml:space="preserve">AL-029-WH-YH-90D-2020</t>
  </si>
  <si>
    <t xml:space="preserve">Anodized 90° 2020</t>
  </si>
  <si>
    <t xml:space="preserve">AL-029-WYH-135D-2020</t>
  </si>
  <si>
    <t xml:space="preserve">Unanodized 135° -2020</t>
  </si>
  <si>
    <t xml:space="preserve">AL-029-WYH-135D-4040-32K</t>
  </si>
  <si>
    <t xml:space="preserve">Unanodized 135° -4040 32 W</t>
  </si>
  <si>
    <t xml:space="preserve">AL-029-WYH-135D-4040-38K</t>
  </si>
  <si>
    <t xml:space="preserve">Unanodized 135° -4040 38 W</t>
  </si>
  <si>
    <t xml:space="preserve">AL-029-WYH-45D-2020</t>
  </si>
  <si>
    <t xml:space="preserve">Unanodized 45° -2020</t>
  </si>
  <si>
    <t xml:space="preserve">1515 / 1525 Corner Bracket  [Brackets / Nuts / Hinges / Handles]</t>
  </si>
  <si>
    <t xml:space="preserve">1515</t>
  </si>
  <si>
    <t xml:space="preserve">AL-017-1515</t>
  </si>
  <si>
    <t xml:space="preserve">AL-017-1525</t>
  </si>
  <si>
    <t xml:space="preserve">1525</t>
  </si>
  <si>
    <t xml:space="preserve">2040 Corner Bracket (Single / Double Support)  [Brackets / Nuts / Hinges / Handles]</t>
  </si>
  <si>
    <t xml:space="preserve">AL-022-BK-AK</t>
  </si>
  <si>
    <t xml:space="preserve">AL-022-BS-AK</t>
  </si>
  <si>
    <t xml:space="preserve">Natural A type</t>
  </si>
  <si>
    <t xml:space="preserve">AL-022-BS-BK</t>
  </si>
  <si>
    <t xml:space="preserve">Natural B type</t>
  </si>
  <si>
    <t xml:space="preserve">AL-022-DSZCTYGB</t>
  </si>
  <si>
    <t xml:space="preserve">Cover for single/double support</t>
  </si>
  <si>
    <t xml:space="preserve">2430 Corner Bracket  [Brackets / Nuts / Hinges / Handles]</t>
  </si>
  <si>
    <t xml:space="preserve">AL-039</t>
  </si>
  <si>
    <t xml:space="preserve">3030 Flat-Base Corner Bracket  [Brackets / Nuts / Hinges / Handles]</t>
  </si>
  <si>
    <t xml:space="preserve">AL-016-BK-AK</t>
  </si>
  <si>
    <t xml:space="preserve">AL-016-BK-BK-KD5.5</t>
  </si>
  <si>
    <t xml:space="preserve">B type clip 5.5</t>
  </si>
  <si>
    <t xml:space="preserve">AL-016-BK-CK</t>
  </si>
  <si>
    <t xml:space="preserve">AL-016-K7-SV-BK-KD7.5-C</t>
  </si>
  <si>
    <t xml:space="preserve">B type clip 7.5 slot</t>
  </si>
  <si>
    <t xml:space="preserve">W 7</t>
  </si>
  <si>
    <t xml:space="preserve">AL-016-K8-SV-BK-KD7.8-C-21K</t>
  </si>
  <si>
    <t xml:space="preserve">B type clip 7.8 slot 21g</t>
  </si>
  <si>
    <t xml:space="preserve">AL-016-K8-SV-BK-KD7.8-C-24K</t>
  </si>
  <si>
    <t xml:space="preserve">B type clip 7.8 slot 24g</t>
  </si>
  <si>
    <t xml:space="preserve">AL-016-SV-AK</t>
  </si>
  <si>
    <t xml:space="preserve">AL-016-SV-BK-KD5.5</t>
  </si>
  <si>
    <t xml:space="preserve">AL-016-SV-CK</t>
  </si>
  <si>
    <t xml:space="preserve">3030 / 4040 Flat Cross Plate (45° / 90° / 180°)  [Brackets / Nuts / Hinges / Handles]</t>
  </si>
  <si>
    <t xml:space="preserve">3030 Cross plate</t>
  </si>
  <si>
    <t xml:space="preserve">AL-023-BK-3030-JCB</t>
  </si>
  <si>
    <t xml:space="preserve">AL-023-BK-4040-JCB</t>
  </si>
  <si>
    <t xml:space="preserve">4040 Cross plate</t>
  </si>
  <si>
    <t xml:space="preserve">AL-023-DG-4040-JCB</t>
  </si>
  <si>
    <t xml:space="preserve">Chrome 4040 Cross plate</t>
  </si>
  <si>
    <t xml:space="preserve">AL-023-DX-4040-JCB</t>
  </si>
  <si>
    <t xml:space="preserve">Zinc 4040 Cross plate</t>
  </si>
  <si>
    <t xml:space="preserve">AL-023-S304-4040-JCB</t>
  </si>
  <si>
    <t xml:space="preserve">AL-023-WH-2020-JCB</t>
  </si>
  <si>
    <t xml:space="preserve">2020 Cross plate plate only</t>
  </si>
  <si>
    <t xml:space="preserve">AL-023-WH-3030-JCB</t>
  </si>
  <si>
    <t xml:space="preserve">3030 Cross plate plate only</t>
  </si>
  <si>
    <t xml:space="preserve">AL-023-WH-3030-PMB</t>
  </si>
  <si>
    <t xml:space="preserve">3030 Flat plate plate only</t>
  </si>
  <si>
    <t xml:space="preserve">AL-023-WH-4040-JCB</t>
  </si>
  <si>
    <t xml:space="preserve">4040 Cross plate plate only</t>
  </si>
  <si>
    <t xml:space="preserve">AL-023-WH-4040-PMB</t>
  </si>
  <si>
    <t xml:space="preserve">4040 Flat plate plate only</t>
  </si>
  <si>
    <t xml:space="preserve">AL-023-WH-EU-2020-JCB-SET</t>
  </si>
  <si>
    <t xml:space="preserve">EU 2020 Cross plate set</t>
  </si>
  <si>
    <t xml:space="preserve">AL-023-WH-EU-3030-JCB-SET</t>
  </si>
  <si>
    <t xml:space="preserve">EU 3030 Cross plate set</t>
  </si>
  <si>
    <t xml:space="preserve">AL-023-WH-EU-4040-JCB-SET</t>
  </si>
  <si>
    <t xml:space="preserve">EU 4040 Cross plate set</t>
  </si>
  <si>
    <t xml:space="preserve">AL-023-WH-RYJDLJB</t>
  </si>
  <si>
    <t xml:space="preserve">Any-angle connector plate</t>
  </si>
  <si>
    <t xml:space="preserve">304 Stainless Internal L-Connector (20-40)  [Brackets / Nuts / Hinges / Handles]</t>
  </si>
  <si>
    <t xml:space="preserve">EU 2020</t>
  </si>
  <si>
    <t xml:space="preserve">AL-026-EU2020-2H-M4</t>
  </si>
  <si>
    <t xml:space="preserve">AL-026-EU2020-4H-M4</t>
  </si>
  <si>
    <t xml:space="preserve">AL-026-EU3030-2H-M6</t>
  </si>
  <si>
    <t xml:space="preserve">EU 3030</t>
  </si>
  <si>
    <t xml:space="preserve">AL-026-EU3030-4H-M6</t>
  </si>
  <si>
    <t xml:space="preserve">AL-026-EU4040-2H-M8</t>
  </si>
  <si>
    <t xml:space="preserve">EU 4040</t>
  </si>
  <si>
    <t xml:space="preserve">AL-026-EU4040-4H-M8</t>
  </si>
  <si>
    <t xml:space="preserve">3060-4080 Corner Bracket  [Brackets / Nuts / Hinges / Handles]</t>
  </si>
  <si>
    <t xml:space="preserve">4080 angled clip</t>
  </si>
  <si>
    <t xml:space="preserve">AL-040-BK-4080-XKD</t>
  </si>
  <si>
    <t xml:space="preserve">AL-040-K6-BK-3060-XKD-C</t>
  </si>
  <si>
    <t xml:space="preserve">3060 angled clip slot</t>
  </si>
  <si>
    <t xml:space="preserve">AL-040-K6-BK-3060-XKD-CK8</t>
  </si>
  <si>
    <t xml:space="preserve">3060 angled clip slot width 8</t>
  </si>
  <si>
    <t xml:space="preserve">AL-040-K6-SV-3060-XKD-C</t>
  </si>
  <si>
    <t xml:space="preserve">AL-040-K6-SV-3060-XKD-CK8</t>
  </si>
  <si>
    <t xml:space="preserve">AL-040-K8-SV-3060-ZKD-C</t>
  </si>
  <si>
    <t xml:space="preserve">3060 straight clip slot</t>
  </si>
  <si>
    <t xml:space="preserve">AL-040-SV-4080-XKD</t>
  </si>
  <si>
    <t xml:space="preserve">AL-040-SV-4080-ZKD</t>
  </si>
  <si>
    <t xml:space="preserve">4080 straight clip</t>
  </si>
  <si>
    <t xml:space="preserve">AL-040-SV-DK-3060</t>
  </si>
  <si>
    <t xml:space="preserve">D type 3060</t>
  </si>
  <si>
    <t xml:space="preserve">AL-040-SV-EK-3060</t>
  </si>
  <si>
    <t xml:space="preserve">E type 3060</t>
  </si>
  <si>
    <t xml:space="preserve">4040 End Connection Plate EP8 40x40x90  [Brackets / Nuts / Hinges / Handles]</t>
  </si>
  <si>
    <t xml:space="preserve">AL-020</t>
  </si>
  <si>
    <t xml:space="preserve">4040 Corner Bracket  [Brackets / Nuts / Hinges / Handles]</t>
  </si>
  <si>
    <t xml:space="preserve">angled clip A type</t>
  </si>
  <si>
    <t xml:space="preserve">AL-021-BK-XKD-AK</t>
  </si>
  <si>
    <t xml:space="preserve">AL-021-SV-XKD-AK</t>
  </si>
  <si>
    <t xml:space="preserve">AL-021-SV-ZKD-H5-28K-BK</t>
  </si>
  <si>
    <t xml:space="preserve">straight clip T 5 28g B type</t>
  </si>
  <si>
    <t xml:space="preserve">45° Angled Corner Bracket  [Brackets / Nuts / Hinges / Handles]</t>
  </si>
  <si>
    <t xml:space="preserve">AL-027-3030</t>
  </si>
  <si>
    <t xml:space="preserve">AL-027-4040</t>
  </si>
  <si>
    <t xml:space="preserve">AL-027-4545</t>
  </si>
  <si>
    <t xml:space="preserve">C-Channel Rail Lock Nut  [Brackets / Nuts / Hinges / Handles]</t>
  </si>
  <si>
    <t xml:space="preserve">AL-013</t>
  </si>
  <si>
    <t xml:space="preserve">Straight Flat Joining Plate  [Brackets / Nuts / Hinges / Handles]</t>
  </si>
  <si>
    <t xml:space="preserve">1515-2 holes</t>
  </si>
  <si>
    <t xml:space="preserve">AL-028-BK-1515-2H</t>
  </si>
  <si>
    <t xml:space="preserve">AL-028-BK-1515-3H</t>
  </si>
  <si>
    <t xml:space="preserve">1515-3 holes</t>
  </si>
  <si>
    <t xml:space="preserve">AL-028-BK-2020-3H</t>
  </si>
  <si>
    <t xml:space="preserve">2020-3 holes</t>
  </si>
  <si>
    <t xml:space="preserve">AL-028-BK-2040-6H</t>
  </si>
  <si>
    <t xml:space="preserve">2040-6 holes</t>
  </si>
  <si>
    <t xml:space="preserve">AL-028-BK-3030-4H</t>
  </si>
  <si>
    <t xml:space="preserve">3030-4 holes</t>
  </si>
  <si>
    <t xml:space="preserve">AL-028-BK-4040-3H</t>
  </si>
  <si>
    <t xml:space="preserve">4040-3 holes</t>
  </si>
  <si>
    <t xml:space="preserve">AL-028-BK-4040-4H</t>
  </si>
  <si>
    <t xml:space="preserve">4040-4 holes</t>
  </si>
  <si>
    <t xml:space="preserve">AL-028-BK-6060-4H</t>
  </si>
  <si>
    <t xml:space="preserve">6060-4 holes</t>
  </si>
  <si>
    <t xml:space="preserve">AL-028-BK-6060-6H</t>
  </si>
  <si>
    <t xml:space="preserve">6060-6 holes</t>
  </si>
  <si>
    <t xml:space="preserve">AL-028-BK-6060-8H</t>
  </si>
  <si>
    <t xml:space="preserve">6060-8 holes</t>
  </si>
  <si>
    <t xml:space="preserve">AL-028-BK-8080-4H</t>
  </si>
  <si>
    <t xml:space="preserve">8080-4 holes</t>
  </si>
  <si>
    <t xml:space="preserve">AL-028-BK-8080-6H</t>
  </si>
  <si>
    <t xml:space="preserve">8080-6 holes</t>
  </si>
  <si>
    <t xml:space="preserve">AL-028-BK-BR-2040-4H</t>
  </si>
  <si>
    <t xml:space="preserve">Glossy 2040-4 holes</t>
  </si>
  <si>
    <t xml:space="preserve">AL-028-BK-BR-8080-8H</t>
  </si>
  <si>
    <t xml:space="preserve">Glossy 8080-8 holes</t>
  </si>
  <si>
    <t xml:space="preserve">AL-028-BK-BRU-2020-2H</t>
  </si>
  <si>
    <t xml:space="preserve">Brushed 2020-2 holes</t>
  </si>
  <si>
    <t xml:space="preserve">AL-028-BK-BRU-2020-3H</t>
  </si>
  <si>
    <t xml:space="preserve">Brushed 2020-3 holes</t>
  </si>
  <si>
    <t xml:space="preserve">AL-028-BK-KQ-2020-2H</t>
  </si>
  <si>
    <t xml:space="preserve">Painted 2020-2 holes</t>
  </si>
  <si>
    <t xml:space="preserve">AL-028-BK-KQ-3030-2H</t>
  </si>
  <si>
    <t xml:space="preserve">Painted 3030-2 holes</t>
  </si>
  <si>
    <t xml:space="preserve">AL-028-BK-KQ-4040-2H</t>
  </si>
  <si>
    <t xml:space="preserve">Painted 4040-2 holes</t>
  </si>
  <si>
    <t xml:space="preserve">AL-028-BK-MS-2020-2H</t>
  </si>
  <si>
    <t xml:space="preserve">Frosted 2020-2 holes</t>
  </si>
  <si>
    <t xml:space="preserve">AL-028-BK-MS-2020-4H</t>
  </si>
  <si>
    <t xml:space="preserve">Frosted 2020-4 holes</t>
  </si>
  <si>
    <t xml:space="preserve">AL-028-BK-MS-2040-8H</t>
  </si>
  <si>
    <t xml:space="preserve">Frosted 2040-8 holes</t>
  </si>
  <si>
    <t xml:space="preserve">AL-028-BK-MS-3030-3H</t>
  </si>
  <si>
    <t xml:space="preserve">Frosted 3030-3 holes</t>
  </si>
  <si>
    <t xml:space="preserve">AL-028-SV-BR-2020-2H</t>
  </si>
  <si>
    <t xml:space="preserve">Glossy 2020-2 holes</t>
  </si>
  <si>
    <t xml:space="preserve">AL-028-SV-BR-2020-3H</t>
  </si>
  <si>
    <t xml:space="preserve">Glossy 2020-3 holes</t>
  </si>
  <si>
    <t xml:space="preserve">AL-028-SV-BR-3030-2H</t>
  </si>
  <si>
    <t xml:space="preserve">Glossy 3030-2 holes</t>
  </si>
  <si>
    <t xml:space="preserve">AL-028-SV-BR-3030-3H</t>
  </si>
  <si>
    <t xml:space="preserve">Glossy 3030-3 holes</t>
  </si>
  <si>
    <t xml:space="preserve">AL-028-SV-BR-4040-2H</t>
  </si>
  <si>
    <t xml:space="preserve">Glossy 4040-2 holes</t>
  </si>
  <si>
    <t xml:space="preserve">AL-028-SV-BR-4040-2H-HD4</t>
  </si>
  <si>
    <t xml:space="preserve">Glossy 4040-2 holes T 4</t>
  </si>
  <si>
    <t xml:space="preserve">AL-028-SV-BR-4040-3H</t>
  </si>
  <si>
    <t xml:space="preserve">Glossy 4040-3 holes</t>
  </si>
  <si>
    <t xml:space="preserve">AL-028-SV-BR-4545-2H</t>
  </si>
  <si>
    <t xml:space="preserve">Glossy 4545-2 holes</t>
  </si>
  <si>
    <t xml:space="preserve">AL-028-SV-BR-4545-3H</t>
  </si>
  <si>
    <t xml:space="preserve">Glossy 4545-3 holes</t>
  </si>
  <si>
    <t xml:space="preserve">AL-028-SV-BR-6060-4H</t>
  </si>
  <si>
    <t xml:space="preserve">Glossy 6060-4 holes</t>
  </si>
  <si>
    <t xml:space="preserve">AL-028-WH-100100-4H</t>
  </si>
  <si>
    <t xml:space="preserve">100100-4 holes</t>
  </si>
  <si>
    <t xml:space="preserve">AL-028-WH-100100-6H</t>
  </si>
  <si>
    <t xml:space="preserve">100100-6 holes</t>
  </si>
  <si>
    <t xml:space="preserve">AL-028-WH-100100-8H</t>
  </si>
  <si>
    <t xml:space="preserve">100100-8 holes</t>
  </si>
  <si>
    <t xml:space="preserve">AL-028-WH-1515-2H</t>
  </si>
  <si>
    <t xml:space="preserve">AL-028-WH-1515-3H</t>
  </si>
  <si>
    <t xml:space="preserve">AL-028-WH-2020-2H</t>
  </si>
  <si>
    <t xml:space="preserve">2020-2 holes</t>
  </si>
  <si>
    <t xml:space="preserve">AL-028-WH-2020-3H</t>
  </si>
  <si>
    <t xml:space="preserve">AL-028-WH-2020-4H</t>
  </si>
  <si>
    <t xml:space="preserve">2020-4 holes</t>
  </si>
  <si>
    <t xml:space="preserve">AL-028-WH-2040-4H</t>
  </si>
  <si>
    <t xml:space="preserve">2040-4 holes</t>
  </si>
  <si>
    <t xml:space="preserve">AL-028-WH-2040-6H</t>
  </si>
  <si>
    <t xml:space="preserve">AL-028-WH-2040-8H</t>
  </si>
  <si>
    <t xml:space="preserve">2040-8 holes</t>
  </si>
  <si>
    <t xml:space="preserve">AL-028-WH-2550-4H</t>
  </si>
  <si>
    <t xml:space="preserve">2550-4 holes</t>
  </si>
  <si>
    <t xml:space="preserve">AL-028-WH-2550-8H</t>
  </si>
  <si>
    <t xml:space="preserve">2550-8 holes</t>
  </si>
  <si>
    <t xml:space="preserve">AL-028-WH-3030-2H</t>
  </si>
  <si>
    <t xml:space="preserve">3030-2 holes</t>
  </si>
  <si>
    <t xml:space="preserve">AL-028-WH-3030-3H</t>
  </si>
  <si>
    <t xml:space="preserve">3030-3 holes</t>
  </si>
  <si>
    <t xml:space="preserve">AL-028-WH-3030-4H</t>
  </si>
  <si>
    <t xml:space="preserve">AL-028-WH-4040-2H</t>
  </si>
  <si>
    <t xml:space="preserve">4040-2 holes</t>
  </si>
  <si>
    <t xml:space="preserve">AL-028-WH-4040-4H</t>
  </si>
  <si>
    <t xml:space="preserve">AL-028-WH-4545-2H</t>
  </si>
  <si>
    <t xml:space="preserve">4545-2 holes</t>
  </si>
  <si>
    <t xml:space="preserve">AL-028-WH-4545-3H</t>
  </si>
  <si>
    <t xml:space="preserve">4545-3 holes</t>
  </si>
  <si>
    <t xml:space="preserve">AL-028-WH-4545-4H</t>
  </si>
  <si>
    <t xml:space="preserve">4545-4 holes</t>
  </si>
  <si>
    <t xml:space="preserve">AL-028-WH-5050-2H</t>
  </si>
  <si>
    <t xml:space="preserve">5050-2 holes</t>
  </si>
  <si>
    <t xml:space="preserve">AL-028-WH-5050-3H</t>
  </si>
  <si>
    <t xml:space="preserve">5050-3 holes</t>
  </si>
  <si>
    <t xml:space="preserve">AL-028-WH-5050-4H</t>
  </si>
  <si>
    <t xml:space="preserve">5050-4 holes</t>
  </si>
  <si>
    <t xml:space="preserve">AL-028-WH-6060-4H</t>
  </si>
  <si>
    <t xml:space="preserve">AL-028-WH-6060-6H</t>
  </si>
  <si>
    <t xml:space="preserve">AL-028-WH-6060-8H</t>
  </si>
  <si>
    <t xml:space="preserve">AL-028-WH-8080-4H</t>
  </si>
  <si>
    <t xml:space="preserve">AL-028-WH-8080-6H</t>
  </si>
  <si>
    <t xml:space="preserve">AL-028-WH-8080-8H</t>
  </si>
  <si>
    <t xml:space="preserve">8080-8 holes</t>
  </si>
  <si>
    <t xml:space="preserve">AL-028-WH-9090-4H</t>
  </si>
  <si>
    <t xml:space="preserve">9090-4 holes</t>
  </si>
  <si>
    <t xml:space="preserve">AL-028-WH-9090-6H</t>
  </si>
  <si>
    <t xml:space="preserve">9090-6 holes</t>
  </si>
  <si>
    <t xml:space="preserve">AL-028-WH-9090-8H</t>
  </si>
  <si>
    <t xml:space="preserve">9090-8 holes</t>
  </si>
  <si>
    <t xml:space="preserve">Stainless Straight Slot Joiner  [Brackets / Nuts / Hinges / Handles]</t>
  </si>
  <si>
    <t xml:space="preserve">EU 45 M8 L 140 OD with screws</t>
  </si>
  <si>
    <t xml:space="preserve">AL-050-18x18-CS-EU45-M8Z140-WJ-HLS</t>
  </si>
  <si>
    <t xml:space="preserve">AL-050-19.5x19.5-CS-EU45-M8-Z180-WJ-NS</t>
  </si>
  <si>
    <t xml:space="preserve">EU 45 M8 L 180 OD no screws</t>
  </si>
  <si>
    <t xml:space="preserve">19.5x19.5</t>
  </si>
  <si>
    <t xml:space="preserve">AL-050-19.5x19.5-CS-EU45-M8Z180-WJ-HLS</t>
  </si>
  <si>
    <t xml:space="preserve">EU 45 M8 L 180 OD with screws</t>
  </si>
  <si>
    <t xml:space="preserve">AL-050-CS-EU20-M5-Z100-HLS</t>
  </si>
  <si>
    <t xml:space="preserve">EU 20 M5 L 100 with screws</t>
  </si>
  <si>
    <t xml:space="preserve">AL-050-CS-EU30-M6-Z180-NS</t>
  </si>
  <si>
    <t xml:space="preserve">EU 30 M6 L 180 no screws</t>
  </si>
  <si>
    <t xml:space="preserve">AL-050-CS-EU30X-M6CD180-HLS</t>
  </si>
  <si>
    <t xml:space="preserve">EU 30-type -M6 L 180 with screws</t>
  </si>
  <si>
    <t xml:space="preserve">AL-050-CS-EU40X-M6CD180-HLS</t>
  </si>
  <si>
    <t xml:space="preserve">EU 40-type -M6 L 180 with screws</t>
  </si>
  <si>
    <t xml:space="preserve">AL-050-CS-EU40X-M8CD180-HLS</t>
  </si>
  <si>
    <t xml:space="preserve">EU 40-type -M8 L 180 with screws</t>
  </si>
  <si>
    <t xml:space="preserve">AL-050-CS-GB30X-M5CD110-HLS</t>
  </si>
  <si>
    <t xml:space="preserve">GB 30-type -M5 L 110 with screws</t>
  </si>
  <si>
    <t xml:space="preserve">AL-050-CS-GB40X-M6CD140-HLS</t>
  </si>
  <si>
    <t xml:space="preserve">GB 40-type -M6 L 140 with screws</t>
  </si>
  <si>
    <t xml:space="preserve">AL-050-CS-LD-EU20-M5-Z100-NS</t>
  </si>
  <si>
    <t xml:space="preserve">Cold-headed EU 20 M5 L 100 no screws</t>
  </si>
  <si>
    <t xml:space="preserve">AL-050-CS-LD-EU20-M5-Z100-SI</t>
  </si>
  <si>
    <t xml:space="preserve">Cold-headed EU 20 M5 L 100 screws fitted</t>
  </si>
  <si>
    <t xml:space="preserve">AL-050-CS-LD-EU20-M5-Z100-SL</t>
  </si>
  <si>
    <t xml:space="preserve">Cold-headed EU 20 M5 L 100 screws loose</t>
  </si>
  <si>
    <t xml:space="preserve">AL-050-CS-QG-EU20-M5-Z100-NS</t>
  </si>
  <si>
    <t xml:space="preserve">Cut EU 20 M5 L 100 no screws</t>
  </si>
  <si>
    <t xml:space="preserve">AL-050-CS-QG-EU20-M5-Z100-SI</t>
  </si>
  <si>
    <t xml:space="preserve">Cut EU 20 M5 L 100 screws fitted</t>
  </si>
  <si>
    <t xml:space="preserve">AL-050-CS-QG-EU20-M5-Z100-SL</t>
  </si>
  <si>
    <t xml:space="preserve">Cut EU 20 M5 L 100 screws loose</t>
  </si>
  <si>
    <t xml:space="preserve">AL-050-S304-EU20X-M5CD100-HLS</t>
  </si>
  <si>
    <t xml:space="preserve">EU 20-type -M5 L 100 with screws</t>
  </si>
  <si>
    <t xml:space="preserve">AL-050-S304-EU30X-M6CD180-HLS</t>
  </si>
  <si>
    <t xml:space="preserve">AL-050-S304-EU40X-M6CD180-HLS</t>
  </si>
  <si>
    <t xml:space="preserve">AL-050-S304-EU45X-M8CD140-HLS</t>
  </si>
  <si>
    <t xml:space="preserve">EU 45-type -M8 L 140 with screws</t>
  </si>
  <si>
    <t xml:space="preserve">AL-050-S304-GB30X-M5CD110-HLS</t>
  </si>
  <si>
    <t xml:space="preserve">AL-050-S304-GB40X-M6CD140-HLS</t>
  </si>
  <si>
    <t xml:space="preserve">Stainless Straight Connector Plate / Bed Support  [Brackets / Nuts / Hinges / Handles]</t>
  </si>
  <si>
    <t xml:space="preserve">AL-003</t>
  </si>
  <si>
    <t xml:space="preserve">Heavy Adjustable 90° Bracket / Shelf Support  [Brackets / Nuts / Hinges / Handles]</t>
  </si>
  <si>
    <t xml:space="preserve">Nickel right-angle small</t>
  </si>
  <si>
    <t xml:space="preserve">28x62.3</t>
  </si>
  <si>
    <t xml:space="preserve">AL-058-28x62.3-DNZJXH</t>
  </si>
  <si>
    <t xml:space="preserve">AL-058-28x90-DNXHJZB</t>
  </si>
  <si>
    <t xml:space="preserve">Nickel small long</t>
  </si>
  <si>
    <t xml:space="preserve">AL-058-32.5x120-DNZJDH</t>
  </si>
  <si>
    <t xml:space="preserve">Nickel right-angle large</t>
  </si>
  <si>
    <t xml:space="preserve">32.5x120</t>
  </si>
  <si>
    <t xml:space="preserve">AL-058-32.5x85.5-DNZJZH</t>
  </si>
  <si>
    <t xml:space="preserve">Nickel right-angle medium</t>
  </si>
  <si>
    <t xml:space="preserve">32.5x85.5</t>
  </si>
  <si>
    <t xml:space="preserve">Die-Cast Aluminum End Cap  [Brackets / Nuts / Hinges / Handles]</t>
  </si>
  <si>
    <t xml:space="preserve">AL-047-BK-EU-3030</t>
  </si>
  <si>
    <t xml:space="preserve">AL-047-SV-EU-2020-P2</t>
  </si>
  <si>
    <t xml:space="preserve">AL-047-SV-EU-2040-P2</t>
  </si>
  <si>
    <t xml:space="preserve">EU 2040</t>
  </si>
  <si>
    <t xml:space="preserve">AL-047-SV-EU-3030-P2</t>
  </si>
  <si>
    <t xml:space="preserve">AL-047-SV-EU-3060</t>
  </si>
  <si>
    <t xml:space="preserve">EU 3060</t>
  </si>
  <si>
    <t xml:space="preserve">AL-047-SV-EU-4040-P2</t>
  </si>
  <si>
    <t xml:space="preserve">AL-047-SV-EU-4080</t>
  </si>
  <si>
    <t xml:space="preserve">EU 4080</t>
  </si>
  <si>
    <t xml:space="preserve">AL-047-SV-EU-4545</t>
  </si>
  <si>
    <t xml:space="preserve">EU 4545</t>
  </si>
  <si>
    <t xml:space="preserve">AL-047-SV-EU-5050</t>
  </si>
  <si>
    <t xml:space="preserve">EU 5050</t>
  </si>
  <si>
    <t xml:space="preserve">AL-047-SV-EU-6060</t>
  </si>
  <si>
    <t xml:space="preserve">EU 6060</t>
  </si>
  <si>
    <t xml:space="preserve">AL-047-SV-EU-8080</t>
  </si>
  <si>
    <t xml:space="preserve">EU 8080</t>
  </si>
  <si>
    <t xml:space="preserve">AL-047-SV-EU-BY-3030</t>
  </si>
  <si>
    <t xml:space="preserve">EU half-round 3030</t>
  </si>
  <si>
    <t xml:space="preserve">AL-047-SV-EU-BY-4040</t>
  </si>
  <si>
    <t xml:space="preserve">EU half-round 4040</t>
  </si>
  <si>
    <t xml:space="preserve">AL-047-SV-EU-BY-6630</t>
  </si>
  <si>
    <t xml:space="preserve">EU half-round 6630</t>
  </si>
  <si>
    <t xml:space="preserve">AL-047-SV-EU-BY-8840</t>
  </si>
  <si>
    <t xml:space="preserve">EU half-round 8840</t>
  </si>
  <si>
    <t xml:space="preserve">AL-047-SV-EU-ZJ-6630</t>
  </si>
  <si>
    <t xml:space="preserve">EU Right-angle 6630</t>
  </si>
  <si>
    <t xml:space="preserve">AL-047-SV-EU-ZJ-8840</t>
  </si>
  <si>
    <t xml:space="preserve">EU Right-angle 8840</t>
  </si>
  <si>
    <t xml:space="preserve">AL-047-SV-GB-1530-P2</t>
  </si>
  <si>
    <t xml:space="preserve">GB 1530</t>
  </si>
  <si>
    <t xml:space="preserve">AL-047-SV-GB-2020-P2</t>
  </si>
  <si>
    <t xml:space="preserve">GB 2020</t>
  </si>
  <si>
    <t xml:space="preserve">AL-047-SV-GB-2040</t>
  </si>
  <si>
    <t xml:space="preserve">GB 2040</t>
  </si>
  <si>
    <t xml:space="preserve">AL-047-SV-GB-3030-P2</t>
  </si>
  <si>
    <t xml:space="preserve">GB 3030</t>
  </si>
  <si>
    <t xml:space="preserve">AL-047-SV-GB-3060</t>
  </si>
  <si>
    <t xml:space="preserve">GB 3060</t>
  </si>
  <si>
    <t xml:space="preserve">AL-047-SV-GB-4040-P2</t>
  </si>
  <si>
    <t xml:space="preserve">GB 4040</t>
  </si>
  <si>
    <t xml:space="preserve">AL-047-SV-GB-4080</t>
  </si>
  <si>
    <t xml:space="preserve">GB 4080</t>
  </si>
  <si>
    <t xml:space="preserve">AL-047-SV-GB-6060</t>
  </si>
  <si>
    <t xml:space="preserve">GB 6060</t>
  </si>
  <si>
    <t xml:space="preserve">AL-047-SV-GB-8080</t>
  </si>
  <si>
    <t xml:space="preserve">GB 8080</t>
  </si>
  <si>
    <t xml:space="preserve">Whistle Type Internal Connector  [Brackets / Nuts / Hinges / Handles]</t>
  </si>
  <si>
    <t xml:space="preserve">shank 6</t>
  </si>
  <si>
    <t xml:space="preserve">AL-033-EU2020-B6-P5</t>
  </si>
  <si>
    <t xml:space="preserve">AL-033-EU3030-B8</t>
  </si>
  <si>
    <t xml:space="preserve">shank 8</t>
  </si>
  <si>
    <t xml:space="preserve">GB 1530 / 2040 2-Way Corner Block  [Brackets / Nuts / Hinges / Handles]</t>
  </si>
  <si>
    <t xml:space="preserve">AL-067</t>
  </si>
  <si>
    <t xml:space="preserve">GB 2020 Corner Bracket  [Brackets / Nuts / Hinges / Handles]</t>
  </si>
  <si>
    <t xml:space="preserve">2020 clip 3.6 B type</t>
  </si>
  <si>
    <t xml:space="preserve">AL-008-BK-2020-KD3.6-BK</t>
  </si>
  <si>
    <t xml:space="preserve">AL-008-BK-2020-KD4.5-CK</t>
  </si>
  <si>
    <t xml:space="preserve">2020 clip 4.5 C type</t>
  </si>
  <si>
    <t xml:space="preserve">AL-008-SV-2020-A</t>
  </si>
  <si>
    <t xml:space="preserve">2020-A</t>
  </si>
  <si>
    <t xml:space="preserve">AL-008-SV-2020-KD3.6-BK</t>
  </si>
  <si>
    <t xml:space="preserve">AL-008-SV-2020-KD3.6-BK-P50</t>
  </si>
  <si>
    <t xml:space="preserve">AL-008-SV-2020-KD4.5-CK-P10</t>
  </si>
  <si>
    <t xml:space="preserve">Outside Corner Plate Set (Cross / Straight / T / L)  [Brackets / Nuts / Hinges / Handles]</t>
  </si>
  <si>
    <t xml:space="preserve">2020L EU set</t>
  </si>
  <si>
    <t xml:space="preserve">AL-051-BK-2020LOBTZ</t>
  </si>
  <si>
    <t xml:space="preserve">AL-051-BK-2020TOBTZ</t>
  </si>
  <si>
    <t xml:space="preserve">2020T EU set</t>
  </si>
  <si>
    <t xml:space="preserve">AL-051-BK-2020X-OBTZ</t>
  </si>
  <si>
    <t xml:space="preserve">2020 cross EU set</t>
  </si>
  <si>
    <t xml:space="preserve">AL-051-BK-3030LOBTZ</t>
  </si>
  <si>
    <t xml:space="preserve">3030L EU set</t>
  </si>
  <si>
    <t xml:space="preserve">AL-051-BK-3030TOBTZ</t>
  </si>
  <si>
    <t xml:space="preserve">3030T EU set</t>
  </si>
  <si>
    <t xml:space="preserve">AL-051-BK-3030X-OBTZ</t>
  </si>
  <si>
    <t xml:space="preserve">3030 cross EU set</t>
  </si>
  <si>
    <t xml:space="preserve">AL-051-BK-4040LOBTZ</t>
  </si>
  <si>
    <t xml:space="preserve">4040L EU set</t>
  </si>
  <si>
    <t xml:space="preserve">AL-051-BK-4040SZLJB-OBTZ</t>
  </si>
  <si>
    <t xml:space="preserve">4040 cross connector plate EU set</t>
  </si>
  <si>
    <t xml:space="preserve">AL-051-BK-4040TOBTZ</t>
  </si>
  <si>
    <t xml:space="preserve">4040T EU set</t>
  </si>
  <si>
    <t xml:space="preserve">AL-051-DG2020L-OBTZ</t>
  </si>
  <si>
    <t xml:space="preserve">Chrome 2020L EU set</t>
  </si>
  <si>
    <t xml:space="preserve">AL-051-DG2020T-OBTZ</t>
  </si>
  <si>
    <t xml:space="preserve">Chrome 2020T EU set</t>
  </si>
  <si>
    <t xml:space="preserve">AL-051-DG2020X-OBTZ</t>
  </si>
  <si>
    <t xml:space="preserve">Chrome 2020 cross EU set</t>
  </si>
  <si>
    <t xml:space="preserve">AL-051-DG3030L-OBTZ</t>
  </si>
  <si>
    <t xml:space="preserve">Chrome 3030L EU set</t>
  </si>
  <si>
    <t xml:space="preserve">AL-051-DG3030T-OBTZ</t>
  </si>
  <si>
    <t xml:space="preserve">Chrome 3030T EU set</t>
  </si>
  <si>
    <t xml:space="preserve">AL-051-DG3030X-OBTZ</t>
  </si>
  <si>
    <t xml:space="preserve">Chrome 3030 cross EU set</t>
  </si>
  <si>
    <t xml:space="preserve">AL-051-DG4040L-OBTZ</t>
  </si>
  <si>
    <t xml:space="preserve">Chrome 4040L EU set</t>
  </si>
  <si>
    <t xml:space="preserve">AL-051-DG4040T-OBTZ</t>
  </si>
  <si>
    <t xml:space="preserve">Chrome 4040T EU set</t>
  </si>
  <si>
    <t xml:space="preserve">AL-051-DG4040X-OBTZ</t>
  </si>
  <si>
    <t xml:space="preserve">Chrome 4040 cross EU set</t>
  </si>
  <si>
    <t xml:space="preserve">Fence Floor Mount Base  [Brackets / Nuts / Hinges / Handles]</t>
  </si>
  <si>
    <t xml:space="preserve">AL-066</t>
  </si>
  <si>
    <t xml:space="preserve">Fence Connector Clip / Clamp Ring  [Brackets / Nuts / Hinges / Handles]</t>
  </si>
  <si>
    <t xml:space="preserve">Rubber bore 50</t>
  </si>
  <si>
    <t xml:space="preserve">330x250x130</t>
  </si>
  <si>
    <t xml:space="preserve">AL-065-330x250x130-XJ-KJ50</t>
  </si>
  <si>
    <t xml:space="preserve">AL-065-4040LMZZPJ</t>
  </si>
  <si>
    <t xml:space="preserve">4040 gantry post parts</t>
  </si>
  <si>
    <t xml:space="preserve">AL-065-4040LMZZPLZ</t>
  </si>
  <si>
    <t xml:space="preserve">4040 gantry post with wheels</t>
  </si>
  <si>
    <t xml:space="preserve">AL-065-5050HY</t>
  </si>
  <si>
    <t xml:space="preserve">5050 hinge</t>
  </si>
  <si>
    <t xml:space="preserve">AL-065-5050LMZZPJ</t>
  </si>
  <si>
    <t xml:space="preserve">5050 gantry post parts</t>
  </si>
  <si>
    <t xml:space="preserve">AL-065-5050LMZZPLZ</t>
  </si>
  <si>
    <t xml:space="preserve">5050 gantry post with wheels</t>
  </si>
  <si>
    <t xml:space="preserve">AL-065-5050MLPJ-P2</t>
  </si>
  <si>
    <t xml:space="preserve">5050 door beam parts</t>
  </si>
  <si>
    <t xml:space="preserve">AL-065-5050QK-ZN-3HBJZ</t>
  </si>
  <si>
    <t xml:space="preserve">5050 ring clip Blue-white zinc 3 holes off-center</t>
  </si>
  <si>
    <t xml:space="preserve">AL-065-5050QK-ZN-3HJZ-BYLS</t>
  </si>
  <si>
    <t xml:space="preserve">5050 ring clip Blue-white zinc 3 holes centered no screws</t>
  </si>
  <si>
    <t xml:space="preserve">AL-065-5050QK-ZN-3HJZ-S</t>
  </si>
  <si>
    <t xml:space="preserve">5050 ring clip Blue-white zinc 3 holes centered with screws</t>
  </si>
  <si>
    <t xml:space="preserve">AL-065-50UDZ</t>
  </si>
  <si>
    <t xml:space="preserve">50U base</t>
  </si>
  <si>
    <t xml:space="preserve">AL-065-6060-FCG</t>
  </si>
  <si>
    <t xml:space="preserve">6060 dust cover</t>
  </si>
  <si>
    <t xml:space="preserve">AL-065-BK-4060QK-BYLS</t>
  </si>
  <si>
    <t xml:space="preserve">4060 ring clip no screws</t>
  </si>
  <si>
    <t xml:space="preserve">AL-065-BK-4060QK-S</t>
  </si>
  <si>
    <t xml:space="preserve">4060 ring clip with screws</t>
  </si>
  <si>
    <t xml:space="preserve">AL-065-BK-5050-EG</t>
  </si>
  <si>
    <t xml:space="preserve">5050 ear mount</t>
  </si>
  <si>
    <t xml:space="preserve">AL-065-BK-6060-EG</t>
  </si>
  <si>
    <t xml:space="preserve">6060 ear mount</t>
  </si>
  <si>
    <t xml:space="preserve">AL-065-CXS</t>
  </si>
  <si>
    <t xml:space="preserve">Bolt lock</t>
  </si>
  <si>
    <t xml:space="preserve">AL-065-DDLZ</t>
  </si>
  <si>
    <t xml:space="preserve">Wheel only</t>
  </si>
  <si>
    <t xml:space="preserve">AL-065-DKMCBS</t>
  </si>
  <si>
    <t xml:space="preserve">Single-door magnetic handle</t>
  </si>
  <si>
    <t xml:space="preserve">AL-065-DZCXS</t>
  </si>
  <si>
    <t xml:space="preserve">Electronic bolt lock</t>
  </si>
  <si>
    <t xml:space="preserve">AL-065-FTJZ-M12</t>
  </si>
  <si>
    <t xml:space="preserve">Split foot base M12</t>
  </si>
  <si>
    <t xml:space="preserve">AL-065-KK-P10</t>
  </si>
  <si>
    <t xml:space="preserve">Clip</t>
  </si>
  <si>
    <t xml:space="preserve">AL-065-TLMBS</t>
  </si>
  <si>
    <t xml:space="preserve">Sliding door handle</t>
  </si>
  <si>
    <t xml:space="preserve">AL-065-ZXGDZJ-LL-L100</t>
  </si>
  <si>
    <t xml:space="preserve">Linear rolling assembly blue wheel L=100mm</t>
  </si>
  <si>
    <t xml:space="preserve">AL-065-ZXZDHTZJL55</t>
  </si>
  <si>
    <t xml:space="preserve">Linear-rotary sleeve assembly L55</t>
  </si>
  <si>
    <t xml:space="preserve">Lift-off Detachable Hinge  [Brackets / Nuts / Hinges / Handles]</t>
  </si>
  <si>
    <t xml:space="preserve">37 cut detachable Al hinge (L)</t>
  </si>
  <si>
    <t xml:space="preserve">AL-054-37QGKCLHYL</t>
  </si>
  <si>
    <t xml:space="preserve">AL-054-37QGKCLHYR</t>
  </si>
  <si>
    <t xml:space="preserve">37 cut detachable Al hinge (R)</t>
  </si>
  <si>
    <t xml:space="preserve">AL-054-42QGKCLHYL</t>
  </si>
  <si>
    <t xml:space="preserve">42 cut detachable Al hinge (L)</t>
  </si>
  <si>
    <t xml:space="preserve">AL-054-42QGKCLHYR</t>
  </si>
  <si>
    <t xml:space="preserve">42 cut detachable Al hinge (R)</t>
  </si>
  <si>
    <t xml:space="preserve">Robot Fixture Profile Cross Clamp  [Brackets / Nuts / Hinges / Handles]</t>
  </si>
  <si>
    <t xml:space="preserve">2020 Al profile use</t>
  </si>
  <si>
    <t xml:space="preserve">AL-036-2020LXCY</t>
  </si>
  <si>
    <t xml:space="preserve">AL-036-2525LXCY</t>
  </si>
  <si>
    <t xml:space="preserve">2525 Al profile use</t>
  </si>
  <si>
    <t xml:space="preserve">AL-036-3030LXCY</t>
  </si>
  <si>
    <t xml:space="preserve">3030 Al profile use</t>
  </si>
  <si>
    <t xml:space="preserve">AL-036-4040LXCY</t>
  </si>
  <si>
    <t xml:space="preserve">4040 Al profile use</t>
  </si>
  <si>
    <t xml:space="preserve">EU 2028 Corner Bracket  [Brackets / Nuts / Hinges / Handles]</t>
  </si>
  <si>
    <t xml:space="preserve">2028 B type</t>
  </si>
  <si>
    <t xml:space="preserve">AL-006-BK-2028-BK</t>
  </si>
  <si>
    <t xml:space="preserve">AL-006-BK-2028-BK-SET</t>
  </si>
  <si>
    <t xml:space="preserve">2028 B type set</t>
  </si>
  <si>
    <t xml:space="preserve">AL-006-BK-2028-CK</t>
  </si>
  <si>
    <t xml:space="preserve">2028 C type</t>
  </si>
  <si>
    <t xml:space="preserve">AL-006-SV-2028-AK</t>
  </si>
  <si>
    <t xml:space="preserve">2028 A type</t>
  </si>
  <si>
    <t xml:space="preserve">AL-006-SV-2028-BK</t>
  </si>
  <si>
    <t xml:space="preserve">AL-006-SV-2028-BK-SET</t>
  </si>
  <si>
    <t xml:space="preserve">AL-006-SV-2028-CK</t>
  </si>
  <si>
    <t xml:space="preserve">EU 4545 L Corner Bracket  [Brackets / Nuts / Hinges / Handles]</t>
  </si>
  <si>
    <t xml:space="preserve">Straight hole</t>
  </si>
  <si>
    <t xml:space="preserve">AL-014-BK-YZK</t>
  </si>
  <si>
    <t xml:space="preserve">AL-014-SV-4545</t>
  </si>
  <si>
    <t xml:space="preserve">AL-014-SV-TK</t>
  </si>
  <si>
    <t xml:space="preserve">T holes</t>
  </si>
  <si>
    <t xml:space="preserve">AL-014-SV-YZK</t>
  </si>
  <si>
    <t xml:space="preserve">EU 6060 / 8080 Corner Bracket  [Brackets / Nuts / Hinges / Handles]</t>
  </si>
  <si>
    <t xml:space="preserve">6060</t>
  </si>
  <si>
    <t xml:space="preserve">clip 6</t>
  </si>
  <si>
    <t xml:space="preserve">AL-005-AK-KD6-6060</t>
  </si>
  <si>
    <t xml:space="preserve">AL-005-AK-XKD7.2-8080</t>
  </si>
  <si>
    <t xml:space="preserve">8080</t>
  </si>
  <si>
    <t xml:space="preserve">angled clip 7.2</t>
  </si>
  <si>
    <t xml:space="preserve">AL-005-BK-ZKD-8080</t>
  </si>
  <si>
    <t xml:space="preserve">straight clip</t>
  </si>
  <si>
    <t xml:space="preserve">EU 2-Way / 3-Way Corner Cube  [Brackets / Nuts / Hinges / Handles]</t>
  </si>
  <si>
    <t xml:space="preserve">Aluminum alloy Natural EU 1515 2-way with screws + cap (1 set)</t>
  </si>
  <si>
    <t xml:space="preserve">AL-015-AL-BS-EU-1515ET-HLS-+GZYT</t>
  </si>
  <si>
    <t xml:space="preserve">AL-015-AL-BS-EU-1515ST-HLS-+GZYT</t>
  </si>
  <si>
    <t xml:space="preserve">Aluminum alloy Natural EU 1515 3-way with screws + cap (1 set)</t>
  </si>
  <si>
    <t xml:space="preserve">AL-015-AL-BS-EU-3030ET-HLS-+GZYT</t>
  </si>
  <si>
    <t xml:space="preserve">Aluminum alloy Natural EU 3030 2-way with screws + cap (1 set)</t>
  </si>
  <si>
    <t xml:space="preserve">AL-015-AL-BS-EU-3030ST-HGZ-+BHLSYT</t>
  </si>
  <si>
    <t xml:space="preserve">Aluminum alloy Natural EU 3030 3-way with cap + no screws (1 set)</t>
  </si>
  <si>
    <t xml:space="preserve">AL-015-AL-BS-EU-3030ST-HLS-+GZYT</t>
  </si>
  <si>
    <t xml:space="preserve">Aluminum alloy Natural EU 3030 3-way with screws + cap (1 set)</t>
  </si>
  <si>
    <t xml:space="preserve">AL-015-AL-BS-EU-4040ET-HLS-+GZYT</t>
  </si>
  <si>
    <t xml:space="preserve">Aluminum alloy Natural EU 4040 2-way with screws + cap (1 set)</t>
  </si>
  <si>
    <t xml:space="preserve">AL-015-AL-BS-EU-4040ST-HLS-+GZYT</t>
  </si>
  <si>
    <t xml:space="preserve">Aluminum alloy Natural EU 4040 3-way with screws + cap (1 set)</t>
  </si>
  <si>
    <t xml:space="preserve">AL-015-AL-BS-EU-4545ET-HLS-+GZYT</t>
  </si>
  <si>
    <t xml:space="preserve">Aluminum alloy Natural EU 4545 2-way with screws + cap (1 set)</t>
  </si>
  <si>
    <t xml:space="preserve">AL-015-AL-BS-EU-4545ST-HLS-+GZYT</t>
  </si>
  <si>
    <t xml:space="preserve">Aluminum alloy Natural EU 4545 3-way with screws + cap (1 set)</t>
  </si>
  <si>
    <t xml:space="preserve">AL-015-AL-BS-EU2020ST-HGZ-BHLS</t>
  </si>
  <si>
    <t xml:space="preserve">Aluminum alloy Natural EU 2020 3-way with cap no screws</t>
  </si>
  <si>
    <t xml:space="preserve">AL-015-AL-BS-EU2020ST-PGZ-+LS</t>
  </si>
  <si>
    <t xml:space="preserve">Aluminum alloy Natural EU 2020 3-way with cap + screw</t>
  </si>
  <si>
    <t xml:space="preserve">AL-015-AL-BS-EU4545ST-HGZ-BHLS</t>
  </si>
  <si>
    <t xml:space="preserve">Aluminum alloy Natural EU 4545 3-way with cap no screws</t>
  </si>
  <si>
    <t xml:space="preserve">AL-015-AL-BS-GB-2020-ET-HLS-+GZYT</t>
  </si>
  <si>
    <t xml:space="preserve">Aluminum alloy Natural GB 2020 2-way with screws + cap (1 set)</t>
  </si>
  <si>
    <t xml:space="preserve">AL-015-BK-AL-EU-3030ET-HLS-+GZYT</t>
  </si>
  <si>
    <t xml:space="preserve">Aluminum alloy EU 3030 2-way with screws + cap (1 set)</t>
  </si>
  <si>
    <t xml:space="preserve">AL-015-BK-AL-EU-3030ST-HLS-+GZYT</t>
  </si>
  <si>
    <t xml:space="preserve">Aluminum alloy EU 3030 3-way with screws + cap (1 set)</t>
  </si>
  <si>
    <t xml:space="preserve">AL-015-BK-AL-EU-4040ET-HLS-+GZYT</t>
  </si>
  <si>
    <t xml:space="preserve">Aluminum alloy EU 4040 2-way with screws + cap (1 set)</t>
  </si>
  <si>
    <t xml:space="preserve">AL-015-BK-AL-EU-4040ST-HLS-+GZYT</t>
  </si>
  <si>
    <t xml:space="preserve">Aluminum alloy EU 4040 3-way with screws + cap (1 set)</t>
  </si>
  <si>
    <t xml:space="preserve">AL-015-BK-AL-EU2020ST-HGZ-BHLS</t>
  </si>
  <si>
    <t xml:space="preserve">Aluminum alloy EU 2020 3-way with cap no screws</t>
  </si>
  <si>
    <t xml:space="preserve">AL-015-BK-AL-EU2020ST-PGZ-+LS</t>
  </si>
  <si>
    <t xml:space="preserve">Aluminum alloy EU 2020 3-way with cap + screw</t>
  </si>
  <si>
    <t xml:space="preserve">AL-015-BK-AL-EU3030-ST-HGZ-BHLS</t>
  </si>
  <si>
    <t xml:space="preserve">Aluminum alloy EU 3030 3-way with cap no screws</t>
  </si>
  <si>
    <t xml:space="preserve">AL-015-BK-AL-EU4545ST-HGZ-BHLS</t>
  </si>
  <si>
    <t xml:space="preserve">Aluminum alloy EU 4545 3-way with cap no screws</t>
  </si>
  <si>
    <t xml:space="preserve">AL-015-BK-AL-EU4545ST-HGZ-LS</t>
  </si>
  <si>
    <t xml:space="preserve">Aluminum alloy EU 4545 3-way with cap screw</t>
  </si>
  <si>
    <t xml:space="preserve">AL-015-BK-ZN-EU-1515-ET-HGZ-BHLSYT</t>
  </si>
  <si>
    <t xml:space="preserve">EU 1515 2-way with cap no screws (1 set)</t>
  </si>
  <si>
    <t xml:space="preserve">AL-015-BK-ZN-EU-1515-ET-HGZ-HLSYT</t>
  </si>
  <si>
    <t xml:space="preserve">EU 1515 2-way with cap with screws (1 set)</t>
  </si>
  <si>
    <t xml:space="preserve">AL-015-BK-ZN-EU-1515-ST-HGZ-BHLSYT</t>
  </si>
  <si>
    <t xml:space="preserve">EU 1515 3-way with cap no screws (1 set)</t>
  </si>
  <si>
    <t xml:space="preserve">AL-015-BK-ZN-EU-1515-ST-HGZ-HLSYT</t>
  </si>
  <si>
    <t xml:space="preserve">EU 1515 3-way with cap with screws (1 set)</t>
  </si>
  <si>
    <t xml:space="preserve">AL-015-BK-ZN-EU-2020ET-HLS-+GZYT</t>
  </si>
  <si>
    <t xml:space="preserve">EU 2020 2-way with screws + cap (1 set)</t>
  </si>
  <si>
    <t xml:space="preserve">AL-015-BK-ZN-EU-2020ST-HLS-+GZYT</t>
  </si>
  <si>
    <t xml:space="preserve">EU 2020 3-way with screws + cap (1 set)</t>
  </si>
  <si>
    <t xml:space="preserve">AL-015-BK-ZN-EU2020-ST-HGZ-BHLS</t>
  </si>
  <si>
    <t xml:space="preserve">EU 2020 3-way with cap no screws</t>
  </si>
  <si>
    <t xml:space="preserve">AL-015-SV-ZN-EU-1515-ET-HGZ-HLSYT</t>
  </si>
  <si>
    <t xml:space="preserve">AL-015-SV-ZN-EU-1515-ST-HGZ-BHLSYT</t>
  </si>
  <si>
    <t xml:space="preserve">AL-015-SV-ZN-EU-1515-ST-HGZ-HLSYT</t>
  </si>
  <si>
    <t xml:space="preserve">AL-015-SV-ZN-EU-1515ET-HGZ-BHLS</t>
  </si>
  <si>
    <t xml:space="preserve">EU 1515 2-way with cap no screws</t>
  </si>
  <si>
    <t xml:space="preserve">AL-015-ZN-BS-EU-2020ET-HLS-+GZYT</t>
  </si>
  <si>
    <t xml:space="preserve">Natural EU 2020 2-way with screws + cap (1 set)</t>
  </si>
  <si>
    <t xml:space="preserve">AL-015-ZN-BS-EU-2020ST-HLS-+GZYT</t>
  </si>
  <si>
    <t xml:space="preserve">Natural EU 2020 3-way with screws + cap (1 set)</t>
  </si>
  <si>
    <t xml:space="preserve">AL-015-ZN-BS-GB2020ET-HGZ-BHLS</t>
  </si>
  <si>
    <t xml:space="preserve">Natural GB 2020 2-way with cap no screws</t>
  </si>
  <si>
    <t xml:space="preserve">EU 2020 T-Slot Boat Nut Set  [Brackets / Nuts / Hinges / Handles]</t>
  </si>
  <si>
    <t xml:space="preserve">110pcs 3030</t>
  </si>
  <si>
    <t xml:space="preserve">AL-012-110PCS-3030</t>
  </si>
  <si>
    <t xml:space="preserve">AL-012-120PCS-014</t>
  </si>
  <si>
    <t xml:space="preserve">120pcs 014</t>
  </si>
  <si>
    <t xml:space="preserve">AL-012-120PCS-260</t>
  </si>
  <si>
    <t xml:space="preserve">120pcs 260</t>
  </si>
  <si>
    <t xml:space="preserve">AL-012-150PCS-009</t>
  </si>
  <si>
    <t xml:space="preserve">150pcs 009</t>
  </si>
  <si>
    <t xml:space="preserve">AL-012-160PCS</t>
  </si>
  <si>
    <t xml:space="preserve">160pcs</t>
  </si>
  <si>
    <t xml:space="preserve">AL-012-200PCS-010</t>
  </si>
  <si>
    <t xml:space="preserve">200pcs 010</t>
  </si>
  <si>
    <t xml:space="preserve">AL-012-65PCS-008</t>
  </si>
  <si>
    <t xml:space="preserve">65pcs 008</t>
  </si>
  <si>
    <t xml:space="preserve">AL-012-90PCS-259</t>
  </si>
  <si>
    <t xml:space="preserve">90pcs 259</t>
  </si>
  <si>
    <t xml:space="preserve">AL-012-EU-180PCS-P20</t>
  </si>
  <si>
    <t xml:space="preserve">EU set of 180pcs</t>
  </si>
  <si>
    <t xml:space="preserve">EU 4040 Quick-Assembly Block (fence mesh)  [Brackets / Nuts / Hinges / Handles]</t>
  </si>
  <si>
    <t xml:space="preserve">AL-061</t>
  </si>
  <si>
    <t xml:space="preserve">EU Standard T-Bolt (all sizes)  [Brackets / Nuts / Hinges / Handles]</t>
  </si>
  <si>
    <t xml:space="preserve">EU 20</t>
  </si>
  <si>
    <t xml:space="preserve">M5x12</t>
  </si>
  <si>
    <t xml:space="preserve">TB-BK-EU20-M5x12-P6</t>
  </si>
  <si>
    <t xml:space="preserve">TB-BK-EU30-M6x16-P5</t>
  </si>
  <si>
    <t xml:space="preserve">EU 30</t>
  </si>
  <si>
    <t xml:space="preserve">M6x16</t>
  </si>
  <si>
    <t xml:space="preserve">TB-BK-EU40-M8x16-P5</t>
  </si>
  <si>
    <t xml:space="preserve">EU 40</t>
  </si>
  <si>
    <t xml:space="preserve">M8x16</t>
  </si>
  <si>
    <t xml:space="preserve">TB-BK-EU40-M8x20-P5</t>
  </si>
  <si>
    <t xml:space="preserve">M8x20</t>
  </si>
  <si>
    <t xml:space="preserve">TB-BK-EU40-M8x25-P4</t>
  </si>
  <si>
    <t xml:space="preserve">M8x25</t>
  </si>
  <si>
    <t xml:space="preserve">TB-BK-EU45-M8x20-P4</t>
  </si>
  <si>
    <t xml:space="preserve">EU 45</t>
  </si>
  <si>
    <t xml:space="preserve">TB-BK-EU45-M8x25-P4</t>
  </si>
  <si>
    <t xml:space="preserve">TB-NI-EU20-M5x10-P100</t>
  </si>
  <si>
    <t xml:space="preserve">Nickel carbon steel</t>
  </si>
  <si>
    <t xml:space="preserve">M5x10</t>
  </si>
  <si>
    <t xml:space="preserve">100 pcs</t>
  </si>
  <si>
    <t xml:space="preserve">TB-NI-EU20-M5x12-P10</t>
  </si>
  <si>
    <t xml:space="preserve">TB-NI-EU20-M5x16-P100</t>
  </si>
  <si>
    <t xml:space="preserve">M5x16</t>
  </si>
  <si>
    <t xml:space="preserve">TB-NI-EU20-M5x20-P50</t>
  </si>
  <si>
    <t xml:space="preserve">M5x20</t>
  </si>
  <si>
    <t xml:space="preserve">TB-NI-EU20-M5x25-P5</t>
  </si>
  <si>
    <t xml:space="preserve">M5x25</t>
  </si>
  <si>
    <t xml:space="preserve">TB-NI-EU20-M5x30-P10</t>
  </si>
  <si>
    <t xml:space="preserve">TB-NI-EU30-M6x12-P10</t>
  </si>
  <si>
    <t xml:space="preserve">M6x12</t>
  </si>
  <si>
    <t xml:space="preserve">TB-NI-EU30-M6x16-P5</t>
  </si>
  <si>
    <t xml:space="preserve">TB-NI-EU30-M6x20-P10</t>
  </si>
  <si>
    <t xml:space="preserve">M6x20</t>
  </si>
  <si>
    <t xml:space="preserve">TB-NI-EU30-M6x25-P10</t>
  </si>
  <si>
    <t xml:space="preserve">M6x25</t>
  </si>
  <si>
    <t xml:space="preserve">TB-NI-EU30-M6x30-P10</t>
  </si>
  <si>
    <t xml:space="preserve">M6x30</t>
  </si>
  <si>
    <t xml:space="preserve">TB-NI-EU30-M6x35-P10</t>
  </si>
  <si>
    <t xml:space="preserve">M6x35</t>
  </si>
  <si>
    <t xml:space="preserve">TB-NI-EU30-M6x40-P10</t>
  </si>
  <si>
    <t xml:space="preserve">TB-NI-EU30-M8x16-P10</t>
  </si>
  <si>
    <t xml:space="preserve">TB-NI-EU30-M8x20-P10</t>
  </si>
  <si>
    <t xml:space="preserve">TB-NI-EU30-M8x25-P10</t>
  </si>
  <si>
    <t xml:space="preserve">TB-NI-EU40-M8x16-P10</t>
  </si>
  <si>
    <t xml:space="preserve">TB-NI-EU40-M8x20-G88-P5</t>
  </si>
  <si>
    <t xml:space="preserve">8.8 grade</t>
  </si>
  <si>
    <t xml:space="preserve">TB-NI-EU40-M8x20-P5</t>
  </si>
  <si>
    <t xml:space="preserve">TB-NI-EU40-M8x25-G88-P4</t>
  </si>
  <si>
    <t xml:space="preserve">TB-NI-EU40-M8x25-P10</t>
  </si>
  <si>
    <t xml:space="preserve">TB-NI-EU40-M8x30-P10</t>
  </si>
  <si>
    <t xml:space="preserve">TB-NI-EU40-M8x35-P10</t>
  </si>
  <si>
    <t xml:space="preserve">M8x35</t>
  </si>
  <si>
    <t xml:space="preserve">TB-NI-EU40-M8x40-P10</t>
  </si>
  <si>
    <t xml:space="preserve">M8x40</t>
  </si>
  <si>
    <t xml:space="preserve">TB-NI-EU40-M8x45-P10</t>
  </si>
  <si>
    <t xml:space="preserve">M8x45</t>
  </si>
  <si>
    <t xml:space="preserve">TB-NI-EU45-M8x16-P10</t>
  </si>
  <si>
    <t xml:space="preserve">TB-NI-EU45-M8x20-P10</t>
  </si>
  <si>
    <t xml:space="preserve">TB-NI-EU45-M8x25-P10</t>
  </si>
  <si>
    <t xml:space="preserve">TB-NI-EU45-M8x30-P10</t>
  </si>
  <si>
    <t xml:space="preserve">TB-NI-EU45-M8x35-P10</t>
  </si>
  <si>
    <t xml:space="preserve">TB-NI-EU45-M8x40-P10</t>
  </si>
  <si>
    <t xml:space="preserve">TB-NI-EU45-M8x45-P10</t>
  </si>
  <si>
    <t xml:space="preserve">TB-SS-EU20-M5x12-P2</t>
  </si>
  <si>
    <t xml:space="preserve">TB-SS-EU20-M5x16-P2</t>
  </si>
  <si>
    <t xml:space="preserve">TB-SS-EU20-M5x20-P2</t>
  </si>
  <si>
    <t xml:space="preserve">TB-SS-EU30-M6x16-P2</t>
  </si>
  <si>
    <t xml:space="preserve">TB-SS-EU30-M6x20-P2</t>
  </si>
  <si>
    <t xml:space="preserve">TB-SS-EU30-M6x25-P2</t>
  </si>
  <si>
    <t xml:space="preserve">TB-SS-EU40-M8x16-P2</t>
  </si>
  <si>
    <t xml:space="preserve">TB-SS-EU40-M8x20-P2</t>
  </si>
  <si>
    <t xml:space="preserve">TB-SS-EU40-M8x25-P2</t>
  </si>
  <si>
    <t xml:space="preserve">TB-SS-EU40-M8x30-P2</t>
  </si>
  <si>
    <t xml:space="preserve">TB-SS-EU40-M8x35-P2</t>
  </si>
  <si>
    <t xml:space="preserve">TB-SS-EU40-M8x40-P2</t>
  </si>
  <si>
    <t xml:space="preserve">TB-SS-EU45-M8x20-P2</t>
  </si>
  <si>
    <t xml:space="preserve">TB-SS-EU45-M8x25-P2</t>
  </si>
  <si>
    <t xml:space="preserve">TB-SS-EU45-M8x30-P2</t>
  </si>
  <si>
    <t xml:space="preserve">TB-SS-EU45-M8x35-P2</t>
  </si>
  <si>
    <t xml:space="preserve">TB-SS-EU45-M8x40-P1</t>
  </si>
  <si>
    <t xml:space="preserve">TB-SS-GB37-M6x12-P2</t>
  </si>
  <si>
    <t xml:space="preserve">GB 37</t>
  </si>
  <si>
    <t xml:space="preserve">TB-SS-GB37-M6x16-P2</t>
  </si>
  <si>
    <t xml:space="preserve">TB-SS-GB37-M6x20-P2</t>
  </si>
  <si>
    <t xml:space="preserve">TB-SS-GB37-M8x20-P2</t>
  </si>
  <si>
    <t xml:space="preserve">TB-SS-GB37-M8x25-P2</t>
  </si>
  <si>
    <t xml:space="preserve">TB-SS-GB37-M8x30-P2</t>
  </si>
  <si>
    <t xml:space="preserve">TB-SS-GB37-M8x35-P1</t>
  </si>
  <si>
    <t xml:space="preserve">TB-SS-GB37-M8x40-P1</t>
  </si>
  <si>
    <t xml:space="preserve">TB-SS-GB40-M8x20-PV-H13-P3</t>
  </si>
  <si>
    <t xml:space="preserve">GB 40</t>
  </si>
  <si>
    <t xml:space="preserve">For PV head L 13</t>
  </si>
  <si>
    <t xml:space="preserve">TB-SS-GB40-M8x20-PV-H14-P3</t>
  </si>
  <si>
    <t xml:space="preserve">For PV head L 14</t>
  </si>
  <si>
    <t xml:space="preserve">TB-SS-GB40-M8x20-PV-H17-P2</t>
  </si>
  <si>
    <t xml:space="preserve">For PV head L 17</t>
  </si>
  <si>
    <t xml:space="preserve">TB-SS-GB40-M8x25-PV-H13-P2</t>
  </si>
  <si>
    <t xml:space="preserve">TB-SS-GB40-M8x25-PV-H14-P2</t>
  </si>
  <si>
    <t xml:space="preserve">TB-SS-GB40-M8x25-PV-H17-P2</t>
  </si>
  <si>
    <t xml:space="preserve">TB-SS-GB40-M8x30-PV-H13-P2</t>
  </si>
  <si>
    <t xml:space="preserve">TB-SS-GB40-M8x30-PV-H14-P2</t>
  </si>
  <si>
    <t xml:space="preserve">TB-SS-GB40-M8x30-PV-H17-P2</t>
  </si>
  <si>
    <t xml:space="preserve">TB-SS-GB40-M8x35-PV-H14-P2</t>
  </si>
  <si>
    <t xml:space="preserve">TB-SS-GB40-M8x40-PV-H14-P2</t>
  </si>
  <si>
    <t xml:space="preserve">TB-SS-X-M8x20-PV-H23-P2</t>
  </si>
  <si>
    <t xml:space="preserve">universal</t>
  </si>
  <si>
    <t xml:space="preserve">For PV head L 23</t>
  </si>
  <si>
    <t xml:space="preserve">TB-SS-X-M8x25-PV-H23-P2</t>
  </si>
  <si>
    <t xml:space="preserve">TB-SS-X-M8x30-PV-H23-P2</t>
  </si>
  <si>
    <t xml:space="preserve">TB-SS-X-M8x35-PV-H23-P2</t>
  </si>
  <si>
    <t xml:space="preserve">TB-SS-X-M8x40-PV-H23-P1</t>
  </si>
  <si>
    <t xml:space="preserve">TB-SS-X-M8x45-PV-H23-P1</t>
  </si>
  <si>
    <t xml:space="preserve">TB-ZN-EU45-M10x25-P2</t>
  </si>
  <si>
    <t xml:space="preserve">Zinc carbon steel</t>
  </si>
  <si>
    <t xml:space="preserve">M10x25</t>
  </si>
  <si>
    <t xml:space="preserve">TB-ZN-EU45-M10x30-P2</t>
  </si>
  <si>
    <t xml:space="preserve">TB-ZN-EU45-M10x35-P2</t>
  </si>
  <si>
    <t xml:space="preserve">M10x35</t>
  </si>
  <si>
    <t xml:space="preserve">TB-ZN-EU45-M10x40-P2</t>
  </si>
  <si>
    <t xml:space="preserve">M10x40</t>
  </si>
  <si>
    <t xml:space="preserve">TB-ZN-GB30-M6x12-P6</t>
  </si>
  <si>
    <t xml:space="preserve">GB 30</t>
  </si>
  <si>
    <t xml:space="preserve">TB-ZN-GB30-M6x16-P6</t>
  </si>
  <si>
    <t xml:space="preserve">TB-ZN-GB30-M6x20-P5</t>
  </si>
  <si>
    <t xml:space="preserve">TB-ZN-GB30-M6x25-P5</t>
  </si>
  <si>
    <t xml:space="preserve">TB-ZN-GB30-M6x30-P4</t>
  </si>
  <si>
    <t xml:space="preserve">TB-ZN-GB40-M8x16-P6</t>
  </si>
  <si>
    <t xml:space="preserve">TB-ZN-GB40-M8x20-P6</t>
  </si>
  <si>
    <t xml:space="preserve">TB-ZN-GB40-M8x25-P5</t>
  </si>
  <si>
    <t xml:space="preserve">TB-ZN-GB40-M8x30-P5</t>
  </si>
  <si>
    <t xml:space="preserve">TB-ZN-GB40-M8x35-P4</t>
  </si>
  <si>
    <t xml:space="preserve">TB-ZN-GB40-M8x40-P3</t>
  </si>
  <si>
    <t xml:space="preserve">EU Parallel Clamp Connector  [Brackets / Nuts / Hinges / Handles]</t>
  </si>
  <si>
    <t xml:space="preserve">slot 1.5mm thick</t>
  </si>
  <si>
    <t xml:space="preserve">AL-060-2020-CK1.5HY</t>
  </si>
  <si>
    <t xml:space="preserve">AL-060-2020-CK1.8HY</t>
  </si>
  <si>
    <t xml:space="preserve">slot 1.8mm thick</t>
  </si>
  <si>
    <t xml:space="preserve">AL-060-3030-CK1.8-2.0HY</t>
  </si>
  <si>
    <t xml:space="preserve">slot 1.8-2.0mm thick</t>
  </si>
  <si>
    <t xml:space="preserve">AL-060-3030-CK2.2HY</t>
  </si>
  <si>
    <t xml:space="preserve">slot 2.2mm thick</t>
  </si>
  <si>
    <t xml:space="preserve">AL-060-4040-CK4.5Y</t>
  </si>
  <si>
    <t xml:space="preserve">slot 4.5mm use</t>
  </si>
  <si>
    <t xml:space="preserve">AL-060-4545-CK4.3HY</t>
  </si>
  <si>
    <t xml:space="preserve">slot 4.3mm thick</t>
  </si>
  <si>
    <t xml:space="preserve">EU Aluminum Decorative End Cap  [Brackets / Nuts / Hinges / Handles]</t>
  </si>
  <si>
    <t xml:space="preserve">EU 2020T 5</t>
  </si>
  <si>
    <t xml:space="preserve">AL-031-BK-EU-2020-HD5</t>
  </si>
  <si>
    <t xml:space="preserve">AL-031-BK-EU-2040-HD5</t>
  </si>
  <si>
    <t xml:space="preserve">EU 2040T 5</t>
  </si>
  <si>
    <t xml:space="preserve">AL-031-BK-EU-2060</t>
  </si>
  <si>
    <t xml:space="preserve">EU 2060</t>
  </si>
  <si>
    <t xml:space="preserve">AL-031-BK-EU-2080</t>
  </si>
  <si>
    <t xml:space="preserve">EU 2080</t>
  </si>
  <si>
    <t xml:space="preserve">AL-031-BK-EU-30120</t>
  </si>
  <si>
    <t xml:space="preserve">EU 30120</t>
  </si>
  <si>
    <t xml:space="preserve">AL-031-BK-EU-3030-HD4</t>
  </si>
  <si>
    <t xml:space="preserve">EU 3030T 4</t>
  </si>
  <si>
    <t xml:space="preserve">AL-031-BK-EU-3030-HD5</t>
  </si>
  <si>
    <t xml:space="preserve">EU 3030T 5</t>
  </si>
  <si>
    <t xml:space="preserve">AL-031-BK-EU-3060</t>
  </si>
  <si>
    <t xml:space="preserve">AL-031-BK-EU-3090</t>
  </si>
  <si>
    <t xml:space="preserve">EU 3090</t>
  </si>
  <si>
    <t xml:space="preserve">AL-031-BK-EU-40120</t>
  </si>
  <si>
    <t xml:space="preserve">EU 40120</t>
  </si>
  <si>
    <t xml:space="preserve">AL-031-BK-EU-40160</t>
  </si>
  <si>
    <t xml:space="preserve">EU 40160</t>
  </si>
  <si>
    <t xml:space="preserve">AL-031-BK-EU-4040-HD4</t>
  </si>
  <si>
    <t xml:space="preserve">EU 4040T 4</t>
  </si>
  <si>
    <t xml:space="preserve">AL-031-BK-EU-4040-HD5</t>
  </si>
  <si>
    <t xml:space="preserve">EU 4040T 5</t>
  </si>
  <si>
    <t xml:space="preserve">AL-031-BK-EU-4080-HD4</t>
  </si>
  <si>
    <t xml:space="preserve">EU 4080T 4</t>
  </si>
  <si>
    <t xml:space="preserve">AL-031-BK-EU-4080-HD5</t>
  </si>
  <si>
    <t xml:space="preserve">EU 4080T 5</t>
  </si>
  <si>
    <t xml:space="preserve">AL-031-BK-EU-4545</t>
  </si>
  <si>
    <t xml:space="preserve">AL-031-BK-EU-4590</t>
  </si>
  <si>
    <t xml:space="preserve">EU 4590</t>
  </si>
  <si>
    <t xml:space="preserve">AL-031-BK-EU-6060-HD5</t>
  </si>
  <si>
    <t xml:space="preserve">EU 6060T 5</t>
  </si>
  <si>
    <t xml:space="preserve">AL-031-BK-EU-8080</t>
  </si>
  <si>
    <t xml:space="preserve">AL-031-BK-EU-SC-4040</t>
  </si>
  <si>
    <t xml:space="preserve">EU double slot 4040</t>
  </si>
  <si>
    <t xml:space="preserve">AL-031-SV-EU-2020-HD5</t>
  </si>
  <si>
    <t xml:space="preserve">AL-031-SV-EU-2060</t>
  </si>
  <si>
    <t xml:space="preserve">AL-031-SV-EU-3030-HD4</t>
  </si>
  <si>
    <t xml:space="preserve">AL-031-SV-EU-3060-HD4</t>
  </si>
  <si>
    <t xml:space="preserve">EU 3060T 4</t>
  </si>
  <si>
    <t xml:space="preserve">AL-031-SV-EU-4040-HD4</t>
  </si>
  <si>
    <t xml:space="preserve">AL-031-SV-EU-4080-HD4</t>
  </si>
  <si>
    <t xml:space="preserve">AL-031-SV-EU-6060-HD5</t>
  </si>
  <si>
    <t xml:space="preserve">AL-031-SV-EU-8080-HD4</t>
  </si>
  <si>
    <t xml:space="preserve">EU 8080T 4</t>
  </si>
  <si>
    <t xml:space="preserve">AL-031-SV-EU-HD5-2040</t>
  </si>
  <si>
    <t xml:space="preserve">EU T 5 2040</t>
  </si>
  <si>
    <t xml:space="preserve">AL-031-WH-EU-2060</t>
  </si>
  <si>
    <t xml:space="preserve">AL-031-WH-EU-2080</t>
  </si>
  <si>
    <t xml:space="preserve">AL-031-WH-EU-30120</t>
  </si>
  <si>
    <t xml:space="preserve">AL-031-WH-EU-3030-HD5</t>
  </si>
  <si>
    <t xml:space="preserve">AL-031-WH-EU-3060</t>
  </si>
  <si>
    <t xml:space="preserve">AL-031-WH-EU-3090</t>
  </si>
  <si>
    <t xml:space="preserve">AL-031-WH-EU-40120</t>
  </si>
  <si>
    <t xml:space="preserve">AL-031-WH-EU-40160</t>
  </si>
  <si>
    <t xml:space="preserve">AL-031-WH-EU-4040-HD4</t>
  </si>
  <si>
    <t xml:space="preserve">AL-031-WH-EU-4040-HD5</t>
  </si>
  <si>
    <t xml:space="preserve">AL-031-WH-EU-4080-HD4</t>
  </si>
  <si>
    <t xml:space="preserve">AL-031-WH-EU-4080-HD5</t>
  </si>
  <si>
    <t xml:space="preserve">AL-031-WH-EU-4545</t>
  </si>
  <si>
    <t xml:space="preserve">AL-031-WH-EU-4590</t>
  </si>
  <si>
    <t xml:space="preserve">AL-031-WH-EU-6060-HD5</t>
  </si>
  <si>
    <t xml:space="preserve">AL-031-WH-EU-8080</t>
  </si>
  <si>
    <t xml:space="preserve">AL-031-WH-EU-SC-4040</t>
  </si>
  <si>
    <t xml:space="preserve">EU Profile End Cap (2020-4080)  [Brackets / Nuts / Hinges / Handles]</t>
  </si>
  <si>
    <t xml:space="preserve">2020 core 3.2</t>
  </si>
  <si>
    <t xml:space="preserve">AL-004-BK-2020-X3.2-P7</t>
  </si>
  <si>
    <t xml:space="preserve">AL-004-BK-EU-2020-1H-P2</t>
  </si>
  <si>
    <t xml:space="preserve">EU 2020 1 hole</t>
  </si>
  <si>
    <t xml:space="preserve">AL-004-BK-EU-2020R-SX-P10</t>
  </si>
  <si>
    <t xml:space="preserve">EU 2020R sector</t>
  </si>
  <si>
    <t xml:space="preserve">AL-004-BK-EU-2040-1H-P10</t>
  </si>
  <si>
    <t xml:space="preserve">EU 2040 1 hole</t>
  </si>
  <si>
    <t xml:space="preserve">AL-004-BK-EU-2040-2H-P10</t>
  </si>
  <si>
    <t xml:space="preserve">EU 2040 2 holes</t>
  </si>
  <si>
    <t xml:space="preserve">AL-004-BK-EU-2060-2H-P5</t>
  </si>
  <si>
    <t xml:space="preserve">EU 2060 2 holes</t>
  </si>
  <si>
    <t xml:space="preserve">AL-004-BK-EU-3030-1H-P20</t>
  </si>
  <si>
    <t xml:space="preserve">EU 3030 1 hole</t>
  </si>
  <si>
    <t xml:space="preserve">AL-004-BK-EU-3030R-SX-P10</t>
  </si>
  <si>
    <t xml:space="preserve">EU 3030R sector</t>
  </si>
  <si>
    <t xml:space="preserve">AL-004-BK-EU-3060-2H</t>
  </si>
  <si>
    <t xml:space="preserve">EU 3060 2 holes</t>
  </si>
  <si>
    <t xml:space="preserve">AL-004-BK-EU-4040-1H12-P10</t>
  </si>
  <si>
    <t xml:space="preserve">EU 4040 1 hole 12</t>
  </si>
  <si>
    <t xml:space="preserve">AL-004-BK-EU-4040-1H6.8-P10</t>
  </si>
  <si>
    <t xml:space="preserve">EU 4040 1 hole 6.8</t>
  </si>
  <si>
    <t xml:space="preserve">AL-004-BK-EU-4080-2H12-P5</t>
  </si>
  <si>
    <t xml:space="preserve">EU 4080 2 holes 12</t>
  </si>
  <si>
    <t xml:space="preserve">AL-004-BK-EU-4080-2H6.8-P10</t>
  </si>
  <si>
    <t xml:space="preserve">EU 4080 2 holes 6.8</t>
  </si>
  <si>
    <t xml:space="preserve">AL-004-BK-EU-6060-4H6.9-P2</t>
  </si>
  <si>
    <t xml:space="preserve">EU 6060 4 holes 6.9</t>
  </si>
  <si>
    <t xml:space="preserve">AL-004-BK-EU-8080-1H7.2-H5-P2</t>
  </si>
  <si>
    <t xml:space="preserve">EU 8080 1 hole 7.2T 5</t>
  </si>
  <si>
    <t xml:space="preserve">AL-004-BK-EU-8080-4H6.9-H4-P2</t>
  </si>
  <si>
    <t xml:space="preserve">EU 8080 4 holes 6.9T 4</t>
  </si>
  <si>
    <t xml:space="preserve">AL-004-BK-GB-4040-1H11-P6</t>
  </si>
  <si>
    <t xml:space="preserve">GB 4040 1 hole 11</t>
  </si>
  <si>
    <t xml:space="preserve">AL-004-BK-GB-4080-2H10.5</t>
  </si>
  <si>
    <t xml:space="preserve">GB 4080 2 holes 10.5</t>
  </si>
  <si>
    <t xml:space="preserve">AL-004-WH-EU-2020-1H-P10</t>
  </si>
  <si>
    <t xml:space="preserve">AL-004-WH-EU-2020R-SX-P10</t>
  </si>
  <si>
    <t xml:space="preserve">AL-004-WH-EU-3030-1H</t>
  </si>
  <si>
    <t xml:space="preserve">AL-004-WH-EU-3030R-SX-P10</t>
  </si>
  <si>
    <t xml:space="preserve">Carbon Steel Internal L-Connector (15-40)  [Brackets / Nuts / Hinges / Handles]</t>
  </si>
  <si>
    <t xml:space="preserve">GB</t>
  </si>
  <si>
    <t xml:space="preserve">AL-035-CS-GB-4040-4H-M6-S</t>
  </si>
  <si>
    <t xml:space="preserve">AL-035-EU-2020-2H-M5-NS</t>
  </si>
  <si>
    <t xml:space="preserve">EU</t>
  </si>
  <si>
    <t xml:space="preserve">AL-035-EU-2020-2H-M5-S</t>
  </si>
  <si>
    <t xml:space="preserve">AL-035-EU-3030-4H-M6-S</t>
  </si>
  <si>
    <t xml:space="preserve">AL-035-GB-1530-4H-M6-S</t>
  </si>
  <si>
    <t xml:space="preserve">AL-035-GB-2040-4H-M8-S</t>
  </si>
  <si>
    <t xml:space="preserve">Carbon Steel Outside Corner Plate (Cross / Straight / T / L)  [Brackets / Nuts / Hinges / Handles]</t>
  </si>
  <si>
    <t xml:space="preserve">201 Stainless 3030L-type</t>
  </si>
  <si>
    <t xml:space="preserve">AL-041-201SS-3030LX</t>
  </si>
  <si>
    <t xml:space="preserve">AL-041-201SS-3030TX</t>
  </si>
  <si>
    <t xml:space="preserve">201 Stainless 3030T-type</t>
  </si>
  <si>
    <t xml:space="preserve">AL-041-201SS-4040LX</t>
  </si>
  <si>
    <t xml:space="preserve">201 Stainless 4040L-type</t>
  </si>
  <si>
    <t xml:space="preserve">AL-041-201SS-4040TX</t>
  </si>
  <si>
    <t xml:space="preserve">201 Stainless 4040T-type</t>
  </si>
  <si>
    <t xml:space="preserve">AL-041-BK-CS-2020L</t>
  </si>
  <si>
    <t xml:space="preserve">2020L</t>
  </si>
  <si>
    <t xml:space="preserve">AL-041-BK-CS-2020T</t>
  </si>
  <si>
    <t xml:space="preserve">2020T</t>
  </si>
  <si>
    <t xml:space="preserve">AL-041-BK-CS-2020X</t>
  </si>
  <si>
    <t xml:space="preserve">2020 cross</t>
  </si>
  <si>
    <t xml:space="preserve">AL-041-BK-CS-3030L</t>
  </si>
  <si>
    <t xml:space="preserve">3030L</t>
  </si>
  <si>
    <t xml:space="preserve">AL-041-BK-CS-3030T</t>
  </si>
  <si>
    <t xml:space="preserve">3030T</t>
  </si>
  <si>
    <t xml:space="preserve">AL-041-BK-CS-3030X</t>
  </si>
  <si>
    <t xml:space="preserve">3030 cross</t>
  </si>
  <si>
    <t xml:space="preserve">AL-041-BK-CS-4040L</t>
  </si>
  <si>
    <t xml:space="preserve">4040L</t>
  </si>
  <si>
    <t xml:space="preserve">AL-041-BK-CS-4040T</t>
  </si>
  <si>
    <t xml:space="preserve">4040T</t>
  </si>
  <si>
    <t xml:space="preserve">AL-041-BK-CS-4040X</t>
  </si>
  <si>
    <t xml:space="preserve">4040 cross</t>
  </si>
  <si>
    <t xml:space="preserve">AL-041-CS-DG-2020-YZX-2H-HD2</t>
  </si>
  <si>
    <t xml:space="preserve">Chrome 2020 Straight 2 holes T 2</t>
  </si>
  <si>
    <t xml:space="preserve">AL-041-CS-DG-2020-YZX-2H-HD2.2</t>
  </si>
  <si>
    <t xml:space="preserve">Chrome 2020 Straight 2 holes T 2.2</t>
  </si>
  <si>
    <t xml:space="preserve">AL-041-CS-DG-2020-YZX-2H-HD2.5</t>
  </si>
  <si>
    <t xml:space="preserve">Chrome 2020 Straight 2 holes T 2.5</t>
  </si>
  <si>
    <t xml:space="preserve">AL-041-CS-DG-2020LX</t>
  </si>
  <si>
    <t xml:space="preserve">Chrome 2020L-type</t>
  </si>
  <si>
    <t xml:space="preserve">AL-041-CS-DG-2020SZX</t>
  </si>
  <si>
    <t xml:space="preserve">Chrome 2020 cross</t>
  </si>
  <si>
    <t xml:space="preserve">AL-041-CS-DG-2020TX</t>
  </si>
  <si>
    <t xml:space="preserve">Chrome 2020T-type</t>
  </si>
  <si>
    <t xml:space="preserve">AL-041-CS-DG-2040LX</t>
  </si>
  <si>
    <t xml:space="preserve">Chrome 2040L-type</t>
  </si>
  <si>
    <t xml:space="preserve">AL-041-CS-DG-2040SZX</t>
  </si>
  <si>
    <t xml:space="preserve">Chrome 2040 cross</t>
  </si>
  <si>
    <t xml:space="preserve">AL-041-CS-DG-2040TX</t>
  </si>
  <si>
    <t xml:space="preserve">Chrome 2040T-type</t>
  </si>
  <si>
    <t xml:space="preserve">AL-041-CS-DG-2060YZX</t>
  </si>
  <si>
    <t xml:space="preserve">Chrome 2060 Straight</t>
  </si>
  <si>
    <t xml:space="preserve">AL-041-CS-DG-3030-YZX-2H</t>
  </si>
  <si>
    <t xml:space="preserve">Chrome 3030 Straight 2 holes</t>
  </si>
  <si>
    <t xml:space="preserve">AL-041-CS-DG-3030LX</t>
  </si>
  <si>
    <t xml:space="preserve">Chrome 3030L-type</t>
  </si>
  <si>
    <t xml:space="preserve">AL-041-CS-DG-3030SZX</t>
  </si>
  <si>
    <t xml:space="preserve">Chrome 3030 cross</t>
  </si>
  <si>
    <t xml:space="preserve">AL-041-CS-DG-3030TX</t>
  </si>
  <si>
    <t xml:space="preserve">Chrome 3030T-type</t>
  </si>
  <si>
    <t xml:space="preserve">AL-041-CS-DG-3060SZX</t>
  </si>
  <si>
    <t xml:space="preserve">Chrome 3060 cross</t>
  </si>
  <si>
    <t xml:space="preserve">AL-041-CS-DG-3060YZX</t>
  </si>
  <si>
    <t xml:space="preserve">Chrome 3060 Straight</t>
  </si>
  <si>
    <t xml:space="preserve">AL-041-CS-DG-3090YZX</t>
  </si>
  <si>
    <t xml:space="preserve">Chrome 3090 Straight</t>
  </si>
  <si>
    <t xml:space="preserve">AL-041-CS-DG-40120YZX</t>
  </si>
  <si>
    <t xml:space="preserve">Chrome 40120 Straight</t>
  </si>
  <si>
    <t xml:space="preserve">AL-041-CS-DG-40160YZX</t>
  </si>
  <si>
    <t xml:space="preserve">Chrome 40160 Straight</t>
  </si>
  <si>
    <t xml:space="preserve">AL-041-CS-DG-4040LX</t>
  </si>
  <si>
    <t xml:space="preserve">Chrome 4040L-type</t>
  </si>
  <si>
    <t xml:space="preserve">AL-041-CS-DG-4040SZX</t>
  </si>
  <si>
    <t xml:space="preserve">Chrome 4040 cross</t>
  </si>
  <si>
    <t xml:space="preserve">AL-041-CS-DG-4040TX</t>
  </si>
  <si>
    <t xml:space="preserve">Chrome 4040T-type</t>
  </si>
  <si>
    <t xml:space="preserve">AL-041-CS-DG-4080SZX</t>
  </si>
  <si>
    <t xml:space="preserve">Chrome 4080 cross</t>
  </si>
  <si>
    <t xml:space="preserve">AL-041-CS-DG-4080YZX</t>
  </si>
  <si>
    <t xml:space="preserve">Chrome 4080 Straight</t>
  </si>
  <si>
    <t xml:space="preserve">AL-041-CS-DG-45135YZX</t>
  </si>
  <si>
    <t xml:space="preserve">Chrome 45135 Straight</t>
  </si>
  <si>
    <t xml:space="preserve">AL-041-CS-DG-45180YZX</t>
  </si>
  <si>
    <t xml:space="preserve">Chrome 45180 Straight</t>
  </si>
  <si>
    <t xml:space="preserve">AL-041-CS-DG-4545LX</t>
  </si>
  <si>
    <t xml:space="preserve">Chrome 4545L-type</t>
  </si>
  <si>
    <t xml:space="preserve">AL-041-CS-DG-4545SZX</t>
  </si>
  <si>
    <t xml:space="preserve">Chrome 4545 cross</t>
  </si>
  <si>
    <t xml:space="preserve">AL-041-CS-DG-4545TX</t>
  </si>
  <si>
    <t xml:space="preserve">Chrome 4545T-type</t>
  </si>
  <si>
    <t xml:space="preserve">AL-041-CS-DG-4590LX</t>
  </si>
  <si>
    <t xml:space="preserve">Chrome 4590L-type</t>
  </si>
  <si>
    <t xml:space="preserve">AL-041-CS-DG-4590SZX</t>
  </si>
  <si>
    <t xml:space="preserve">Chrome 4590 cross</t>
  </si>
  <si>
    <t xml:space="preserve">AL-041-CS-DG-4590TX</t>
  </si>
  <si>
    <t xml:space="preserve">Chrome 4590T-type</t>
  </si>
  <si>
    <t xml:space="preserve">AL-041-CS-DG-4590YZX</t>
  </si>
  <si>
    <t xml:space="preserve">Chrome 4590 Straight</t>
  </si>
  <si>
    <t xml:space="preserve">AL-041-CS-DG-50100LX</t>
  </si>
  <si>
    <t xml:space="preserve">Chrome 50100L-type</t>
  </si>
  <si>
    <t xml:space="preserve">AL-041-CS-DG-50100SZX</t>
  </si>
  <si>
    <t xml:space="preserve">Chrome 50100 cross</t>
  </si>
  <si>
    <t xml:space="preserve">AL-041-CS-DG-50100TX</t>
  </si>
  <si>
    <t xml:space="preserve">Chrome 50100T-type</t>
  </si>
  <si>
    <t xml:space="preserve">AL-041-CS-DG-5050LX</t>
  </si>
  <si>
    <t xml:space="preserve">Chrome 5050L-type</t>
  </si>
  <si>
    <t xml:space="preserve">AL-041-CS-DG-5050SZX</t>
  </si>
  <si>
    <t xml:space="preserve">Chrome 5050 cross</t>
  </si>
  <si>
    <t xml:space="preserve">AL-041-CS-DG-5050TX</t>
  </si>
  <si>
    <t xml:space="preserve">Chrome 5050T-type</t>
  </si>
  <si>
    <t xml:space="preserve">AL-041-CS-DG-6060LX</t>
  </si>
  <si>
    <t xml:space="preserve">Chrome 6060L-type</t>
  </si>
  <si>
    <t xml:space="preserve">AL-041-CS-DG-6060TX</t>
  </si>
  <si>
    <t xml:space="preserve">Chrome 6060T-type</t>
  </si>
  <si>
    <t xml:space="preserve">AL-041-CS-DG-8080LX</t>
  </si>
  <si>
    <t xml:space="preserve">Chrome 8080L-type</t>
  </si>
  <si>
    <t xml:space="preserve">AL-041-CS-DG-8080TX</t>
  </si>
  <si>
    <t xml:space="preserve">Chrome 8080T-type</t>
  </si>
  <si>
    <t xml:space="preserve">Lean Pipe Straight Outer Connector  [Brackets / Nuts / Hinges / Handles]</t>
  </si>
  <si>
    <t xml:space="preserve">45° elbow fitting</t>
  </si>
  <si>
    <t xml:space="preserve">AL-042-45NJWXJT</t>
  </si>
  <si>
    <t xml:space="preserve">AL-042-BK-FJD-0.8-BH-1M</t>
  </si>
  <si>
    <t xml:space="preserve">Anti-static 0.8mm wall 1m</t>
  </si>
  <si>
    <t xml:space="preserve">AL-042-BK-FJD-0.8-BH-4M</t>
  </si>
  <si>
    <t xml:space="preserve">Anti-static 0.8mm wall 4m</t>
  </si>
  <si>
    <t xml:space="preserve">AL-042-HJ-1-HLSLM</t>
  </si>
  <si>
    <t xml:space="preserve">HJ-1 with screws &amp; nuts</t>
  </si>
  <si>
    <t xml:space="preserve">AL-042-HJ-2-HLSLM</t>
  </si>
  <si>
    <t xml:space="preserve">HJ-2 with screws &amp; nuts</t>
  </si>
  <si>
    <t xml:space="preserve">AL-042-P28-02XBJT</t>
  </si>
  <si>
    <t xml:space="preserve">P28-02 pipe foot cover</t>
  </si>
  <si>
    <t xml:space="preserve">AL-042-P28-12-TXCXBDT</t>
  </si>
  <si>
    <t xml:space="preserve">P28-12T-slot pipe end plug</t>
  </si>
  <si>
    <t xml:space="preserve">AL-042-ZXZDHTZJL55</t>
  </si>
  <si>
    <t xml:space="preserve">Linear-rotary sleeve assembly L55 </t>
  </si>
  <si>
    <t xml:space="preserve">Ultra-thin Hidden Magnetic Door Catch  [Brackets / Nuts / Hinges / Handles]</t>
  </si>
  <si>
    <t xml:space="preserve">AL-052</t>
  </si>
  <si>
    <t xml:space="preserve">Aluminum Internal L-Connector (15-40)  [Brackets / Nuts / Hinges / Handles]</t>
  </si>
  <si>
    <t xml:space="preserve">AL-019</t>
  </si>
  <si>
    <t xml:space="preserve">Aluminum Right-Angle Bracket  [Brackets / Nuts / Hinges / Handles]</t>
  </si>
  <si>
    <t xml:space="preserve">4040- round hole</t>
  </si>
  <si>
    <t xml:space="preserve">AL-025-BK-4040-YK-P2</t>
  </si>
  <si>
    <t xml:space="preserve">AL-025-BK-KD4040-1YK1ZK</t>
  </si>
  <si>
    <t xml:space="preserve">Adjustable 4040-1 round hole 1 slotted hole</t>
  </si>
  <si>
    <t xml:space="preserve">AL-025-RD-4040-YK-P2</t>
  </si>
  <si>
    <t xml:space="preserve">AL-025-WH-2020-YK-P2</t>
  </si>
  <si>
    <t xml:space="preserve">2020- round hole</t>
  </si>
  <si>
    <t xml:space="preserve">AL-025-WH-2020-YK-P4</t>
  </si>
  <si>
    <t xml:space="preserve">AL-025-WH-2060-YK-P12</t>
  </si>
  <si>
    <t xml:space="preserve">2060- round hole</t>
  </si>
  <si>
    <t xml:space="preserve">AL-025-WH-3030-YK-P2</t>
  </si>
  <si>
    <t xml:space="preserve">3030- round hole</t>
  </si>
  <si>
    <t xml:space="preserve">AL-025-WH-3030-YK-P4</t>
  </si>
  <si>
    <t xml:space="preserve">AL-025-WH-3060-YK-P4</t>
  </si>
  <si>
    <t xml:space="preserve">3060- round hole</t>
  </si>
  <si>
    <t xml:space="preserve">AL-025-WH-4040-YK-P2</t>
  </si>
  <si>
    <t xml:space="preserve">AL-025-WH-4080-YK-P4</t>
  </si>
  <si>
    <t xml:space="preserve">4080- round hole</t>
  </si>
  <si>
    <t xml:space="preserve">AL-025-WH-KD4040-1YK1ZK</t>
  </si>
  <si>
    <t xml:space="preserve">Small Aluminum Handle (sliding / cabinet door)  [Brackets / Nuts / Hinges / Handles]</t>
  </si>
  <si>
    <t xml:space="preserve">Unit price, quantity 1 pc or 1 set.</t>
  </si>
  <si>
    <t xml:space="preserve">12cm long</t>
  </si>
  <si>
    <t xml:space="preserve">AL-048-BK-12LMZ</t>
  </si>
  <si>
    <t xml:space="preserve">AL-048-BK-9LMZ</t>
  </si>
  <si>
    <t xml:space="preserve">9cm long</t>
  </si>
  <si>
    <t xml:space="preserve">AL-048-GTS-9LMZ</t>
  </si>
  <si>
    <t xml:space="preserve">Bronze 9cm long</t>
  </si>
  <si>
    <t xml:space="preserve">AL-048-JS-12LMZ</t>
  </si>
  <si>
    <t xml:space="preserve">Gold 12cm long</t>
  </si>
  <si>
    <t xml:space="preserve">AL-048-JS-9LMZ</t>
  </si>
  <si>
    <t xml:space="preserve">Gold 9cm long</t>
  </si>
  <si>
    <t xml:space="preserve">AL-048-KS-12LMZ</t>
  </si>
  <si>
    <t xml:space="preserve">Coffee 12cm long</t>
  </si>
  <si>
    <t xml:space="preserve">AL-048-KS-9LMZ</t>
  </si>
  <si>
    <t xml:space="preserve">Coffee 9cm long</t>
  </si>
  <si>
    <t xml:space="preserve">AL-048-LMH-9LMZ</t>
  </si>
  <si>
    <t xml:space="preserve">Glossy grey 9cm long</t>
  </si>
  <si>
    <t xml:space="preserve">AL-048-MSH-12LMZ</t>
  </si>
  <si>
    <t xml:space="preserve">Frosted grey 12cm long</t>
  </si>
  <si>
    <t xml:space="preserve">AL-048-SV-12LMZ</t>
  </si>
  <si>
    <t xml:space="preserve">AL-048-SV-9LMZ</t>
  </si>
  <si>
    <t xml:space="preserve">AL-048-WH-12LMZ</t>
  </si>
  <si>
    <t xml:space="preserve">AL-048-WH-9LMZ</t>
  </si>
  <si>
    <t xml:space="preserve">Aluminum / Nylon Square Handle (pitch 90-180)  [Brackets / Nuts / Hinges / Handles]</t>
  </si>
  <si>
    <t xml:space="preserve">Square hole pitch 120mm (EU 30 set M6)</t>
  </si>
  <si>
    <t xml:space="preserve">AL-009-BK-AL-FX-KJ120EU30SETM6</t>
  </si>
  <si>
    <t xml:space="preserve">AL-009-BK-FX-AL-KJ120</t>
  </si>
  <si>
    <t xml:space="preserve">Square Aluminum alloy hole pitch 120mm</t>
  </si>
  <si>
    <t xml:space="preserve">AL-009-BK-FX-AL-KJ180</t>
  </si>
  <si>
    <t xml:space="preserve">Square Aluminum alloy hole pitch 180mm</t>
  </si>
  <si>
    <t xml:space="preserve">AL-009-BK-FX-AL-KJ90</t>
  </si>
  <si>
    <t xml:space="preserve">Square Aluminum alloy hole pitch 90mm</t>
  </si>
  <si>
    <t xml:space="preserve">AL-009-BK-FX-SL-KJ100</t>
  </si>
  <si>
    <t xml:space="preserve">Square plastic hole pitch 100mm</t>
  </si>
  <si>
    <t xml:space="preserve">AL-009-BK-FX-SL-KJ115</t>
  </si>
  <si>
    <t xml:space="preserve">Square plastic hole pitch 115mm</t>
  </si>
  <si>
    <t xml:space="preserve">AL-009-BK-FX-SL-KJ120</t>
  </si>
  <si>
    <t xml:space="preserve">Square plastic hole pitch 120mm</t>
  </si>
  <si>
    <t xml:space="preserve">AL-009-BK-FX-SL-KJ130</t>
  </si>
  <si>
    <t xml:space="preserve">Square plastic hole pitch 130mm</t>
  </si>
  <si>
    <t xml:space="preserve">AL-009-BK-FX-SL-KJ150</t>
  </si>
  <si>
    <t xml:space="preserve">Square plastic hole pitch 150mm</t>
  </si>
  <si>
    <t xml:space="preserve">AL-009-BK-FX-SL-KJ170</t>
  </si>
  <si>
    <t xml:space="preserve">Square plastic hole pitch 170mm</t>
  </si>
  <si>
    <t xml:space="preserve">AL-009-BK-FX-SL-KJ180</t>
  </si>
  <si>
    <t xml:space="preserve">Square plastic hole pitch 180mm</t>
  </si>
  <si>
    <t xml:space="preserve">AL-009-BK-FX-SL-KJ90</t>
  </si>
  <si>
    <t xml:space="preserve">Square plastic hole pitch 90mm</t>
  </si>
  <si>
    <t xml:space="preserve">AL-009-BK-X-AL-KJ100</t>
  </si>
  <si>
    <t xml:space="preserve">Angled Aluminum alloy hole pitch 100mm</t>
  </si>
  <si>
    <t xml:space="preserve">AL-009-BK-X-AL-KJ120</t>
  </si>
  <si>
    <t xml:space="preserve">Angled Aluminum alloy hole pitch 120mm</t>
  </si>
  <si>
    <t xml:space="preserve">AL-009-BK-X-AL-KJ130</t>
  </si>
  <si>
    <t xml:space="preserve">Angled Aluminum alloy hole pitch 130mm</t>
  </si>
  <si>
    <t xml:space="preserve">AL-009-FX-CS-AL-KJ120</t>
  </si>
  <si>
    <t xml:space="preserve">Square Orange Aluminum alloy hole pitch 120mm</t>
  </si>
  <si>
    <t xml:space="preserve">AL-009-FX-CS-AL-KJ180</t>
  </si>
  <si>
    <t xml:space="preserve">Square Orange Aluminum alloy hole pitch 180mm</t>
  </si>
  <si>
    <t xml:space="preserve">AL-009-FX-CS-AL-KJ90</t>
  </si>
  <si>
    <t xml:space="preserve">Square Orange Aluminum alloy hole pitch 90mm</t>
  </si>
  <si>
    <t xml:space="preserve">AL-009-SV-FX-AL-KJ120</t>
  </si>
  <si>
    <t xml:space="preserve">AL-009-SV-FX-AL-KJ180</t>
  </si>
  <si>
    <t xml:space="preserve">AL-009-SV-FX-AL-KJ90</t>
  </si>
  <si>
    <t xml:space="preserve">AL-009-SV-X-AL-KJ100</t>
  </si>
  <si>
    <t xml:space="preserve">AL-009-SV-X-AL-KJ120</t>
  </si>
  <si>
    <t xml:space="preserve">AL-009-SV-X-AL-KJ130</t>
  </si>
  <si>
    <t xml:space="preserve">Aluminum Tube Handle  [Brackets / Nuts / Hinges / Handles]</t>
  </si>
  <si>
    <t xml:space="preserve">AL-049</t>
  </si>
  <si>
    <t xml:space="preserve">Aluminum Window Handle  [Brackets / Nuts / Hinges / Handles]</t>
  </si>
  <si>
    <t xml:space="preserve">50-type right handle</t>
  </si>
  <si>
    <t xml:space="preserve">AL-011-BK-YS50XYZS</t>
  </si>
  <si>
    <t xml:space="preserve">AL-011-BK-YS50XZZS</t>
  </si>
  <si>
    <t xml:space="preserve">50-type left handle</t>
  </si>
  <si>
    <t xml:space="preserve">AL-011-SV-YS50XYZS</t>
  </si>
  <si>
    <t xml:space="preserve">AL-011-SV-YS50XZZS</t>
  </si>
  <si>
    <t xml:space="preserve">Aluminum Quiet Butterfly Hinge  [Brackets / Nuts / Hinges / Handles]</t>
  </si>
  <si>
    <t xml:space="preserve">2020 3 section hole pitch 21-13</t>
  </si>
  <si>
    <t xml:space="preserve">AL-046-BK-2020-3J-KJ21-13</t>
  </si>
  <si>
    <t xml:space="preserve">AL-046-BK-2020-3J-KJ21-25</t>
  </si>
  <si>
    <t xml:space="preserve">2020 3 section hole pitch 21-25</t>
  </si>
  <si>
    <t xml:space="preserve">AL-046-BK-2020-4J-KJ21-25</t>
  </si>
  <si>
    <t xml:space="preserve">2020 4 section hole pitch 21-25</t>
  </si>
  <si>
    <t xml:space="preserve">AL-046-BK-3030-4J-KJ31-30</t>
  </si>
  <si>
    <t xml:space="preserve">3030 4 section hole pitch 31-30</t>
  </si>
  <si>
    <t xml:space="preserve">AL-046-SV-BR-3030-4J-KJ31-30-H3.5</t>
  </si>
  <si>
    <t xml:space="preserve">Glossy 3030 4 section hole pitch 31-30T 3.5</t>
  </si>
  <si>
    <t xml:space="preserve">AL-046-SV-MT-2020-3J-KJ21-13</t>
  </si>
  <si>
    <t xml:space="preserve">Matte 2020 3 section hole pitch 21-13</t>
  </si>
  <si>
    <t xml:space="preserve">AL-046-SV-MT-2020-3J-KJ21-25</t>
  </si>
  <si>
    <t xml:space="preserve">Matte 2020 3 section hole pitch 21-25</t>
  </si>
  <si>
    <t xml:space="preserve">AL-046-SV-MT-2020-4J-KJ21-25</t>
  </si>
  <si>
    <t xml:space="preserve">Matte 2020 4 section hole pitch 21-25</t>
  </si>
  <si>
    <t xml:space="preserve">AL-046-SV-MT-3030-4J-KJ31-30-H3.5</t>
  </si>
  <si>
    <t xml:space="preserve">Matte 3030 4 section hole pitch 31-30T 3.5</t>
  </si>
  <si>
    <t xml:space="preserve">AL-046-SV-MT-3030-4J-KJ31-30-H3.8</t>
  </si>
  <si>
    <t xml:space="preserve">Matte 3030 4 section hole pitch 31-30T 3.8</t>
  </si>
  <si>
    <t xml:space="preserve">AL-046-SV-MT-4040-4J-KJ41-40-H5.5</t>
  </si>
  <si>
    <t xml:space="preserve">Matte 4040 4 section hole pitch 41-40T 5.5</t>
  </si>
  <si>
    <t xml:space="preserve">Aluminum Profile Side Panel Fixing Clip (EU / GB 20-40)  [Brackets / Nuts / Hinges / Handles]</t>
  </si>
  <si>
    <t xml:space="preserve">Profile</t>
  </si>
  <si>
    <t xml:space="preserve">SPF-EU20-BK</t>
  </si>
  <si>
    <t xml:space="preserve">SPF-EU20-SV</t>
  </si>
  <si>
    <t xml:space="preserve">SPF-EU30-BK</t>
  </si>
  <si>
    <t xml:space="preserve">SPF-EU30-SV</t>
  </si>
  <si>
    <t xml:space="preserve">SPF-EU40-BK</t>
  </si>
  <si>
    <t xml:space="preserve">SPF-EU40-SV</t>
  </si>
  <si>
    <t xml:space="preserve">SPF-GB30-BK</t>
  </si>
  <si>
    <t xml:space="preserve">SPF-GB30-SV</t>
  </si>
  <si>
    <t xml:space="preserve">SPF-GB40-BK</t>
  </si>
  <si>
    <t xml:space="preserve">SPF-GB40-SV</t>
  </si>
  <si>
    <t xml:space="preserve">Profile Mesh Panel Clamp Nut  [Brackets / Nuts / Hinges / Handles]</t>
  </si>
  <si>
    <t xml:space="preserve">30 profile</t>
  </si>
  <si>
    <t xml:space="preserve">slot 8</t>
  </si>
  <si>
    <t xml:space="preserve">AL-002-30XC-C8</t>
  </si>
  <si>
    <t xml:space="preserve">AL-002-40XC-C10</t>
  </si>
  <si>
    <t xml:space="preserve">40 profile</t>
  </si>
  <si>
    <t xml:space="preserve">slot 10</t>
  </si>
  <si>
    <t xml:space="preserve">AL-002-40XC-C8</t>
  </si>
  <si>
    <t xml:space="preserve">Aluminum Profile Snap-in Internal Connector (20-45)  [Brackets / Nuts / Hinges / Handles]</t>
  </si>
  <si>
    <t xml:space="preserve">Screws Included</t>
  </si>
  <si>
    <t xml:space="preserve">EU 20-M6</t>
  </si>
  <si>
    <t xml:space="preserve">Single fastener</t>
  </si>
  <si>
    <t xml:space="preserve">SF20-M6</t>
  </si>
  <si>
    <t xml:space="preserve">SF20-M6x12</t>
  </si>
  <si>
    <t xml:space="preserve">with M6x12 screw</t>
  </si>
  <si>
    <t xml:space="preserve">SF20-M6x16</t>
  </si>
  <si>
    <t xml:space="preserve">with M6x16 screw</t>
  </si>
  <si>
    <t xml:space="preserve">SF30-M8</t>
  </si>
  <si>
    <t xml:space="preserve">EU 30-M8</t>
  </si>
  <si>
    <t xml:space="preserve">SF30-M8x16</t>
  </si>
  <si>
    <t xml:space="preserve">with M8x16 screw</t>
  </si>
  <si>
    <t xml:space="preserve">SF30-M8x20</t>
  </si>
  <si>
    <t xml:space="preserve">with M8x20 screw</t>
  </si>
  <si>
    <t xml:space="preserve">SF40-M8</t>
  </si>
  <si>
    <t xml:space="preserve">EU 40-M8</t>
  </si>
  <si>
    <t xml:space="preserve">SF40-M8x20</t>
  </si>
  <si>
    <t xml:space="preserve">SF45-M12</t>
  </si>
  <si>
    <t xml:space="preserve">EU 45-M12</t>
  </si>
  <si>
    <t xml:space="preserve">Aluminum Profile Slot Strip  [Brackets / Nuts / Hinges / Handles]</t>
  </si>
  <si>
    <t xml:space="preserve">SLT-3030-L80-WH</t>
  </si>
  <si>
    <t xml:space="preserve">SLT-4040-L80-WH</t>
  </si>
  <si>
    <t xml:space="preserve">SLT-4545-L80-WH</t>
  </si>
  <si>
    <t xml:space="preserve">Aluminum Profile Sliding Hook  [Brackets / Nuts / Hinges / Handles]</t>
  </si>
  <si>
    <t xml:space="preserve">Nylon</t>
  </si>
  <si>
    <t xml:space="preserve">HOOK-NY-20</t>
  </si>
  <si>
    <t xml:space="preserve">HOOK-NY-3040</t>
  </si>
  <si>
    <t xml:space="preserve">EU 30/40</t>
  </si>
  <si>
    <t xml:space="preserve">HOOK-NY-45</t>
  </si>
  <si>
    <t xml:space="preserve">HOOK-ZN-20</t>
  </si>
  <si>
    <t xml:space="preserve">Nickel zinc alloy</t>
  </si>
  <si>
    <t xml:space="preserve">HOOK-ZN-3040</t>
  </si>
  <si>
    <t xml:space="preserve">HOOK-ZN-45</t>
  </si>
  <si>
    <t xml:space="preserve">Aluminum Profile Nuts (all types)  [Brackets / Nuts / Hinges / Handles]</t>
  </si>
  <si>
    <t xml:space="preserve">Cold-headed</t>
  </si>
  <si>
    <t xml:space="preserve">Spring ball nut</t>
  </si>
  <si>
    <t xml:space="preserve">NUT-SB-NI-C-EU30-M5-P10</t>
  </si>
  <si>
    <t xml:space="preserve">NUT-SB-NI-C-EU30-M6-P10</t>
  </si>
  <si>
    <t xml:space="preserve">NUT-SB-NI-C-EU40-M6-P5</t>
  </si>
  <si>
    <t xml:space="preserve">NUT-SB-NI-EU20-M3-P6</t>
  </si>
  <si>
    <t xml:space="preserve">NUT-SB-NI-EU20-M4-P3</t>
  </si>
  <si>
    <t xml:space="preserve">NUT-SB-NI-EU20-M5-P5</t>
  </si>
  <si>
    <t xml:space="preserve">NUT-SB-NI-EU20-M6-P4</t>
  </si>
  <si>
    <t xml:space="preserve">NUT-SB-NI-EU30-M3-P3</t>
  </si>
  <si>
    <t xml:space="preserve">NUT-SB-NI-EU30-M4-P4</t>
  </si>
  <si>
    <t xml:space="preserve">NUT-SB-NI-EU30-M8-P10</t>
  </si>
  <si>
    <t xml:space="preserve">NUT-SB-NI-EU40-M3-P3</t>
  </si>
  <si>
    <t xml:space="preserve">NUT-SB-NI-EU40-M4-P5</t>
  </si>
  <si>
    <t xml:space="preserve">NUT-SB-NI-EU40-M5-P5</t>
  </si>
  <si>
    <t xml:space="preserve">NUT-SB-NI-EU40-M8-P3</t>
  </si>
  <si>
    <t xml:space="preserve">NUT-SB-NI-EU45-M4-P3</t>
  </si>
  <si>
    <t xml:space="preserve">NUT-SB-NI-EU45-M5-P3</t>
  </si>
  <si>
    <t xml:space="preserve">NUT-SB-NI-EU45-M6-P3</t>
  </si>
  <si>
    <t xml:space="preserve">NUT-SB-NI-EU45-M8-P4</t>
  </si>
  <si>
    <t xml:space="preserve">NUT-SB-NI-F-EU30-M6-P10</t>
  </si>
  <si>
    <t xml:space="preserve">Finished</t>
  </si>
  <si>
    <t xml:space="preserve">NUT-SB-NI-F-EU40-M6-P5</t>
  </si>
  <si>
    <t xml:space="preserve">NUT-SB-SS-EU20-M3-P2</t>
  </si>
  <si>
    <t xml:space="preserve">NUT-SB-SS-EU20-M4-P2</t>
  </si>
  <si>
    <t xml:space="preserve">NUT-SB-SS-EU20-M5-P2</t>
  </si>
  <si>
    <t xml:space="preserve">NUT-SB-SS-EU20-M6-P2</t>
  </si>
  <si>
    <t xml:space="preserve">NUT-SB-SS-EU30-M4-P1</t>
  </si>
  <si>
    <t xml:space="preserve">NUT-SB-SS-EU30-M5-P1</t>
  </si>
  <si>
    <t xml:space="preserve">NUT-SB-SS-EU30-M6-P1</t>
  </si>
  <si>
    <t xml:space="preserve">NUT-SB-SS-EU30-M8-P1</t>
  </si>
  <si>
    <t xml:space="preserve">NUT-SB-SS-EU40-M4-P1</t>
  </si>
  <si>
    <t xml:space="preserve">NUT-SB-SS-EU40-M5-P1</t>
  </si>
  <si>
    <t xml:space="preserve">NUT-SB-SS-EU40-M6-P1</t>
  </si>
  <si>
    <t xml:space="preserve">NUT-SB-SS-EU40-M8-P1</t>
  </si>
  <si>
    <t xml:space="preserve">NUT-SB-SS-EU45-M5-P1</t>
  </si>
  <si>
    <t xml:space="preserve">NUT-SB-SS-EU45-M6-P1</t>
  </si>
  <si>
    <t xml:space="preserve">NUT-SB-SS-EU45-M8-P1</t>
  </si>
  <si>
    <t xml:space="preserve">NUT-SB-ZN-30S6-M3-P2</t>
  </si>
  <si>
    <t xml:space="preserve">30 profile slot 6</t>
  </si>
  <si>
    <t xml:space="preserve">NUT-SB-ZN-30S6-M4-P2</t>
  </si>
  <si>
    <t xml:space="preserve">NUT-SB-ZN-30S6-M5-P2</t>
  </si>
  <si>
    <t xml:space="preserve">NUT-SB-ZN-30S6-M6-P2</t>
  </si>
  <si>
    <t xml:space="preserve">NUT-SP-NI-C-EU40-M5-P1</t>
  </si>
  <si>
    <t xml:space="preserve">Spring leaf nut</t>
  </si>
  <si>
    <t xml:space="preserve">NUT-SP-NI-C-EU40-M6-P2</t>
  </si>
  <si>
    <t xml:space="preserve">NUT-SP-NI-C-EU40-M8-P2</t>
  </si>
  <si>
    <t xml:space="preserve">NUT-SP-NI-EU20-M3-P4</t>
  </si>
  <si>
    <t xml:space="preserve">NUT-SP-NI-EU20-M4-P5</t>
  </si>
  <si>
    <t xml:space="preserve">NUT-SP-NI-EU20-M5-P5</t>
  </si>
  <si>
    <t xml:space="preserve">NUT-SP-NI-EU20-M6-P5</t>
  </si>
  <si>
    <t xml:space="preserve">NUT-SP-NI-EU3040-M3-P3</t>
  </si>
  <si>
    <t xml:space="preserve">NUT-SP-NI-EU3040-M4-P5</t>
  </si>
  <si>
    <t xml:space="preserve">NUT-SP-NI-EU3040-M5-P5</t>
  </si>
  <si>
    <t xml:space="preserve">NUT-SP-NI-EU3040-M6-P5</t>
  </si>
  <si>
    <t xml:space="preserve">NUT-SP-NI-EU3040-M8-P5</t>
  </si>
  <si>
    <t xml:space="preserve">NUT-SP-NI-EU40-M3-P2</t>
  </si>
  <si>
    <t xml:space="preserve">NUT-SP-NI-EU40-M4-P5</t>
  </si>
  <si>
    <t xml:space="preserve">NUT-SP-NI-M-EU40-M5-P1</t>
  </si>
  <si>
    <t xml:space="preserve">NUT-SP-NI-M-EU40-M6-P5</t>
  </si>
  <si>
    <t xml:space="preserve">NUT-SP-NI-M-EU40-M8-P5</t>
  </si>
  <si>
    <t xml:space="preserve">NUT-SP-NI-M-EU45-M10-P1</t>
  </si>
  <si>
    <t xml:space="preserve">NUT-SP-NI-M-EU45-M4-P10</t>
  </si>
  <si>
    <t xml:space="preserve">NUT-SP-NI-M-EU45-M5-P10</t>
  </si>
  <si>
    <t xml:space="preserve">NUT-SP-NI-M-EU45-M6-P10</t>
  </si>
  <si>
    <t xml:space="preserve">NUT-SP-NI-M-EU45-M8-P10</t>
  </si>
  <si>
    <t xml:space="preserve">NUT-SP-SS-EU20-M3-P1</t>
  </si>
  <si>
    <t xml:space="preserve">NUT-SP-SS-EU20-M4-P1</t>
  </si>
  <si>
    <t xml:space="preserve">NUT-SP-SS-EU20-M5-P1</t>
  </si>
  <si>
    <t xml:space="preserve">NUT-SP-SS-EU20-M6-P1</t>
  </si>
  <si>
    <t xml:space="preserve">NUT-SQ-NI-C-EU20-M5-P2</t>
  </si>
  <si>
    <t xml:space="preserve">Square slide nut</t>
  </si>
  <si>
    <t xml:space="preserve">NUT-SQ-NI-C-EU30-M4-P10</t>
  </si>
  <si>
    <t xml:space="preserve">NUT-SQ-NI-C-EU30-M5-P5</t>
  </si>
  <si>
    <t xml:space="preserve">NUT-SQ-NI-C-EU30-M6-P10</t>
  </si>
  <si>
    <t xml:space="preserve">NUT-SQ-NI-C-EU30-M8-P1</t>
  </si>
  <si>
    <t xml:space="preserve">NUT-SQ-NI-C-EU40-M5-P3</t>
  </si>
  <si>
    <t xml:space="preserve">NUT-SQ-NI-C-EU40-M8-P3</t>
  </si>
  <si>
    <t xml:space="preserve">NUT-SQ-NI-X-EU30-M3-P2</t>
  </si>
  <si>
    <t xml:space="preserve">Cut</t>
  </si>
  <si>
    <t xml:space="preserve">NUT-SQ-NI-X-EU30-M4-P2</t>
  </si>
  <si>
    <t xml:space="preserve">NUT-SQ-NI-X-EU30-M5-P2</t>
  </si>
  <si>
    <t xml:space="preserve">NUT-SQ-NI-X-EU30-M6-P2</t>
  </si>
  <si>
    <t xml:space="preserve">NUT-SQ-NI-X-EU30-M8-P5</t>
  </si>
  <si>
    <t xml:space="preserve">NUT-SQ-NI-X-EU40-M6-P3</t>
  </si>
  <si>
    <t xml:space="preserve">NUT-SQ-SS-C-EU20-M5-P4</t>
  </si>
  <si>
    <t xml:space="preserve">NUT-SQ-SS-C-EU20-M6-P5</t>
  </si>
  <si>
    <t xml:space="preserve">NUT-SQ-SS-C-EU30-M6-P1</t>
  </si>
  <si>
    <t xml:space="preserve">NUT-SQ-SS-M-EU20-M3-P2</t>
  </si>
  <si>
    <t xml:space="preserve">NUT-SQ-SS-M-EU20-M4-P2</t>
  </si>
  <si>
    <t xml:space="preserve">NUT-SQ-SS-M-EU20-M5-P2</t>
  </si>
  <si>
    <t xml:space="preserve">NUT-SQ-SS-M-EU20-M6-P1</t>
  </si>
  <si>
    <t xml:space="preserve">NUT-SQ-SS-M-EU30-M4-P1</t>
  </si>
  <si>
    <t xml:space="preserve">NUT-SQ-SS-M-EU30-M5-P1</t>
  </si>
  <si>
    <t xml:space="preserve">NUT-SQ-SS-M-EU30-M6-P1</t>
  </si>
  <si>
    <t xml:space="preserve">NUT-SQ-SS-M-EU30-M8-P1</t>
  </si>
  <si>
    <t xml:space="preserve">NUT-SQ-SS-M-EU40-M4-P1</t>
  </si>
  <si>
    <t xml:space="preserve">NUT-SQ-SS-M-EU40-M5-P1</t>
  </si>
  <si>
    <t xml:space="preserve">NUT-SQ-SS-M-EU40-M6-P1</t>
  </si>
  <si>
    <t xml:space="preserve">NUT-SQ-SS-M-EU40-M8-P1</t>
  </si>
  <si>
    <t xml:space="preserve">NUT-SQ-SS-M-EU45-M4-OD18-P1</t>
  </si>
  <si>
    <t xml:space="preserve">NUT-SQ-SS-M-EU45-M5-OD18-P1</t>
  </si>
  <si>
    <t xml:space="preserve">NUT-SQ-SS-M-EU45-M6-OD18-P1</t>
  </si>
  <si>
    <t xml:space="preserve">NUT-SQ-SS-M-EU45-M6-OD20-P1</t>
  </si>
  <si>
    <t xml:space="preserve">NUT-SQ-SS-M-EU45-M8-OD18-P1</t>
  </si>
  <si>
    <t xml:space="preserve">NUT-SQ-SS-M-EU45-M8-OD20-P1</t>
  </si>
  <si>
    <t xml:space="preserve">NUT-SQ-ZN-C-EU15-M3-P4</t>
  </si>
  <si>
    <t xml:space="preserve">Blue-white zinc carbon steel</t>
  </si>
  <si>
    <t xml:space="preserve">EU 15</t>
  </si>
  <si>
    <t xml:space="preserve">NUT-SQ-ZN-C-EU15-M4-P4</t>
  </si>
  <si>
    <t xml:space="preserve">NUT-SQ-ZN-C-EU15-M5-P4</t>
  </si>
  <si>
    <t xml:space="preserve">NUT-SQ-ZN-C-EU20-M3-P10</t>
  </si>
  <si>
    <t xml:space="preserve">NUT-SQ-ZN-C-EU20-M4-P22</t>
  </si>
  <si>
    <t xml:space="preserve">22 pcs</t>
  </si>
  <si>
    <t xml:space="preserve">NUT-SQ-ZN-C-EU20-M5-P10</t>
  </si>
  <si>
    <t xml:space="preserve">NUT-SQ-ZN-C-EU20-M6-P10</t>
  </si>
  <si>
    <t xml:space="preserve">NUT-SQ-ZN-C-EU40-M4-P5</t>
  </si>
  <si>
    <t xml:space="preserve">NUT-SQ-ZN-C-EU40-M5-P4</t>
  </si>
  <si>
    <t xml:space="preserve">NUT-SQ-ZN-C-EU40-M6-P10</t>
  </si>
  <si>
    <t xml:space="preserve">NUT-SQ-ZN-C-EU40-M8-P10</t>
  </si>
  <si>
    <t xml:space="preserve">NUT-SQ-ZN-C-EU45-M10-OD18-P4</t>
  </si>
  <si>
    <t xml:space="preserve">NUT-SQ-ZN-C-EU45-M10-OD20-P3</t>
  </si>
  <si>
    <t xml:space="preserve">NUT-SQ-ZN-C-EU45-M4-OD18-P4</t>
  </si>
  <si>
    <t xml:space="preserve">NUT-SQ-ZN-C-EU45-M5-OD18-P4</t>
  </si>
  <si>
    <t xml:space="preserve">NUT-SQ-ZN-C-EU45-M5-OD20-P3</t>
  </si>
  <si>
    <t xml:space="preserve">NUT-SQ-ZN-C-EU45-M6-OD18-P5</t>
  </si>
  <si>
    <t xml:space="preserve">NUT-SQ-ZN-C-EU45-M6-OD20-P3</t>
  </si>
  <si>
    <t xml:space="preserve">NUT-SQ-ZN-C-EU45-M8-OD18-P4</t>
  </si>
  <si>
    <t xml:space="preserve">NUT-SQ-ZN-C-EU45-M8-OD20-P3</t>
  </si>
  <si>
    <t xml:space="preserve">NUT-SQ-ZN-C-EU50-M5-P3</t>
  </si>
  <si>
    <t xml:space="preserve">EU 50</t>
  </si>
  <si>
    <t xml:space="preserve">NUT-SQ-ZN-C-EU50-M6-P3</t>
  </si>
  <si>
    <t xml:space="preserve">NUT-SQ-ZN-C-EU50-M8-P3</t>
  </si>
  <si>
    <t xml:space="preserve">NUT-SQ-ZN-CX-GB30-M3-P4</t>
  </si>
  <si>
    <t xml:space="preserve">Cold-headed + Cut</t>
  </si>
  <si>
    <t xml:space="preserve">NUT-SQ-ZN-CX-GB30-M4-P7</t>
  </si>
  <si>
    <t xml:space="preserve">NUT-SQ-ZN-CX-GB30-M5-P7</t>
  </si>
  <si>
    <t xml:space="preserve">NUT-SQ-ZN-CX-GB30-M6-P7</t>
  </si>
  <si>
    <t xml:space="preserve">NUT-SQ-ZN-CX-GB40-M4-P1</t>
  </si>
  <si>
    <t xml:space="preserve">NUT-SQ-ZN-CX-GB40-M5-P1</t>
  </si>
  <si>
    <t xml:space="preserve">NUT-SQ-ZN-CX-GB40-M6-P1</t>
  </si>
  <si>
    <t xml:space="preserve">NUT-SQ-ZN-CX-GB40-M8-P1</t>
  </si>
  <si>
    <t xml:space="preserve">NUT-SQ-ZN-X-EU20-M3-P50</t>
  </si>
  <si>
    <t xml:space="preserve">NUT-SQ-ZN-X-EU20-M4-P50</t>
  </si>
  <si>
    <t xml:space="preserve">NUT-SQ-ZN-X-EU20-M5-P50</t>
  </si>
  <si>
    <t xml:space="preserve">NUT-SQ-ZN-X-EU20-M6-P50</t>
  </si>
  <si>
    <t xml:space="preserve">NUT-SQ-ZN-X-EU40-M3-P1</t>
  </si>
  <si>
    <t xml:space="preserve">NUT-SQ-ZN-X-EU40-M4-P10</t>
  </si>
  <si>
    <t xml:space="preserve">NUT-SQ-ZN-X-EU40-M5-P10</t>
  </si>
  <si>
    <t xml:space="preserve">NUT-SQ-ZN-X-EU40-M6-P10</t>
  </si>
  <si>
    <t xml:space="preserve">NUT-SQ-ZN-X-EU40-M8-P10</t>
  </si>
  <si>
    <t xml:space="preserve">NUT-SQ-ZN-X-EU45-M10-OD18-P3</t>
  </si>
  <si>
    <t xml:space="preserve">NUT-SQ-ZN-X-EU45-M10-OD20-P10</t>
  </si>
  <si>
    <t xml:space="preserve">NUT-SQ-ZN-X-EU45-M4-OD18-P3</t>
  </si>
  <si>
    <t xml:space="preserve">NUT-SQ-ZN-X-EU45-M4-OD20-P10</t>
  </si>
  <si>
    <t xml:space="preserve">NUT-SQ-ZN-X-EU45-M5-OD18-P3</t>
  </si>
  <si>
    <t xml:space="preserve">NUT-SQ-ZN-X-EU45-M5-OD20-P10</t>
  </si>
  <si>
    <t xml:space="preserve">NUT-SQ-ZN-X-EU45-M6-OD18-P3</t>
  </si>
  <si>
    <t xml:space="preserve">NUT-SQ-ZN-X-EU45-M6-OD20-P10</t>
  </si>
  <si>
    <t xml:space="preserve">NUT-SQ-ZN-X-EU45-M8-OD18-P5</t>
  </si>
  <si>
    <t xml:space="preserve">NUT-SQ-ZN-X-EU45-M8-OD20-P2</t>
  </si>
  <si>
    <t xml:space="preserve">NUT-T-NI-EU15-M3-P1</t>
  </si>
  <si>
    <t xml:space="preserve">T-slot boat nut</t>
  </si>
  <si>
    <t xml:space="preserve">NUT-T-NI-EU15-M4-P4</t>
  </si>
  <si>
    <t xml:space="preserve">NUT-T-NI-EU15-M5-P4</t>
  </si>
  <si>
    <t xml:space="preserve">NUT-T-NI-EU20-M3-P10</t>
  </si>
  <si>
    <t xml:space="preserve">NUT-T-NI-EU20-M4-P20</t>
  </si>
  <si>
    <t xml:space="preserve">NUT-T-NI-EU20-M5-P20</t>
  </si>
  <si>
    <t xml:space="preserve">NUT-T-NI-EU30-M3-P18</t>
  </si>
  <si>
    <t xml:space="preserve">18 pcs</t>
  </si>
  <si>
    <t xml:space="preserve">NUT-T-NI-EU30-M4-P10</t>
  </si>
  <si>
    <t xml:space="preserve">NUT-T-NI-EU30-M5-P10</t>
  </si>
  <si>
    <t xml:space="preserve">NUT-T-NI-EU30-M6-P10</t>
  </si>
  <si>
    <t xml:space="preserve">NUT-T-NI-EU40-M3-P5</t>
  </si>
  <si>
    <t xml:space="preserve">NUT-T-NI-EU40-M4-P16</t>
  </si>
  <si>
    <t xml:space="preserve">NUT-T-NI-EU40-M5-P2</t>
  </si>
  <si>
    <t xml:space="preserve">NUT-T-NI-EU40-M6-P16</t>
  </si>
  <si>
    <t xml:space="preserve">NUT-T-NI-EU40-M8-P5</t>
  </si>
  <si>
    <t xml:space="preserve">NUT-T-NI-EU45-M4-P11</t>
  </si>
  <si>
    <t xml:space="preserve">NUT-T-NI-EU45-M5-P11</t>
  </si>
  <si>
    <t xml:space="preserve">NUT-T-NI-EU45-M6-P11</t>
  </si>
  <si>
    <t xml:space="preserve">NUT-T-NI-EU45-M8-P20</t>
  </si>
  <si>
    <t xml:space="preserve">NUT-T-SS-EU20-M3-P5</t>
  </si>
  <si>
    <t xml:space="preserve">NUT-T-SS-EU20-M4-P2</t>
  </si>
  <si>
    <t xml:space="preserve">NUT-T-SS-EU20-M5-P2</t>
  </si>
  <si>
    <t xml:space="preserve">NUT-T-SS-EU30-M4-P2</t>
  </si>
  <si>
    <t xml:space="preserve">NUT-T-SS-EU30-M5-P2</t>
  </si>
  <si>
    <t xml:space="preserve">NUT-T-SS-EU30-M6-P2</t>
  </si>
  <si>
    <t xml:space="preserve">NUT-T-SS-EU40-M4-P2</t>
  </si>
  <si>
    <t xml:space="preserve">NUT-T-SS-EU40-M5-P2</t>
  </si>
  <si>
    <t xml:space="preserve">NUT-T-SS-EU40-M6-P2</t>
  </si>
  <si>
    <t xml:space="preserve">NUT-T-SS-EU40-M8-P2</t>
  </si>
  <si>
    <t xml:space="preserve">NUT-T-SS-EU45-M5-P2</t>
  </si>
  <si>
    <t xml:space="preserve">NUT-T-SS-EU45-M6-P2</t>
  </si>
  <si>
    <t xml:space="preserve">NUT-T-SS-EU45-M8-P1</t>
  </si>
  <si>
    <t xml:space="preserve">NUT-T-SS-GB40-M5-P2</t>
  </si>
  <si>
    <t xml:space="preserve">NUT-T-SS-GB40-M6-P2</t>
  </si>
  <si>
    <t xml:space="preserve">NUT-T-ZN-EU25-M4-P1</t>
  </si>
  <si>
    <t xml:space="preserve">EU 25</t>
  </si>
  <si>
    <t xml:space="preserve">NUT-T-ZN-EU25-M5-P1</t>
  </si>
  <si>
    <t xml:space="preserve">NUT-T-ZN-GB30-M4-P16</t>
  </si>
  <si>
    <t xml:space="preserve">NUT-T-ZN-GB30-M5-P16</t>
  </si>
  <si>
    <t xml:space="preserve">NUT-T-ZN-GB40-M4-P10</t>
  </si>
  <si>
    <t xml:space="preserve">NUT-T-ZN-GB40-M5-P10</t>
  </si>
  <si>
    <t xml:space="preserve">NUT-T-ZN-GB40-M6-P10</t>
  </si>
  <si>
    <t xml:space="preserve">Aluminum Profile Threaded Sleeve / Nut Set (EU 20-45)  [Brackets / Nuts / Hinges / Handles]</t>
  </si>
  <si>
    <t xml:space="preserve">Hole</t>
  </si>
  <si>
    <t xml:space="preserve">Boat nut set</t>
  </si>
  <si>
    <t xml:space="preserve">no hole</t>
  </si>
  <si>
    <t xml:space="preserve">BN-20-NH</t>
  </si>
  <si>
    <t xml:space="preserve">SN-40-H</t>
  </si>
  <si>
    <t xml:space="preserve">Spring nut set M6</t>
  </si>
  <si>
    <t xml:space="preserve">with hole</t>
  </si>
  <si>
    <t xml:space="preserve">TT-20-H</t>
  </si>
  <si>
    <t xml:space="preserve">Threaded sleeve</t>
  </si>
  <si>
    <t xml:space="preserve">TT-20-NH</t>
  </si>
  <si>
    <t xml:space="preserve">TT-30-H</t>
  </si>
  <si>
    <t xml:space="preserve">TT-30-NH</t>
  </si>
  <si>
    <t xml:space="preserve">TT-40-H</t>
  </si>
  <si>
    <t xml:space="preserve">TT-45-H</t>
  </si>
  <si>
    <t xml:space="preserve">Profile Swivel Corner  [Brackets / Nuts / Hinges / Handles]</t>
  </si>
  <si>
    <t xml:space="preserve">AL-037-BK-2020</t>
  </si>
  <si>
    <t xml:space="preserve">AL-037-BK-3030</t>
  </si>
  <si>
    <t xml:space="preserve">AL-037-BK-4040</t>
  </si>
  <si>
    <t xml:space="preserve">AL-037-BK-4545</t>
  </si>
  <si>
    <t xml:space="preserve">AL-037-BK-EU2020</t>
  </si>
  <si>
    <t xml:space="preserve">EU 2020 </t>
  </si>
  <si>
    <t xml:space="preserve">AL-037-BK-EU3030</t>
  </si>
  <si>
    <t xml:space="preserve">EU 3030 </t>
  </si>
  <si>
    <t xml:space="preserve">AL-037-BK-EU4040</t>
  </si>
  <si>
    <t xml:space="preserve">EU 4040 </t>
  </si>
  <si>
    <t xml:space="preserve">AL-037-BK-EU4545</t>
  </si>
  <si>
    <t xml:space="preserve">EU 4545 </t>
  </si>
  <si>
    <t xml:space="preserve">AL-037-BK-GB2020</t>
  </si>
  <si>
    <t xml:space="preserve">GB 2020 </t>
  </si>
  <si>
    <t xml:space="preserve">AL-037-BK-GB3030</t>
  </si>
  <si>
    <t xml:space="preserve">GB 3030 </t>
  </si>
  <si>
    <t xml:space="preserve">AL-037-BK-GB4040</t>
  </si>
  <si>
    <t xml:space="preserve">GB 4040 </t>
  </si>
  <si>
    <t xml:space="preserve">AL-037-BK-GB4545</t>
  </si>
  <si>
    <t xml:space="preserve">GB 4545</t>
  </si>
  <si>
    <t xml:space="preserve">AL-037-NI-2020</t>
  </si>
  <si>
    <t xml:space="preserve">Nickel-plated 2020</t>
  </si>
  <si>
    <t xml:space="preserve">AL-037-NI-EU2020</t>
  </si>
  <si>
    <t xml:space="preserve">Nickel-plated EU 2020</t>
  </si>
  <si>
    <t xml:space="preserve">AL-037-NI-GB2020</t>
  </si>
  <si>
    <t xml:space="preserve">Nickel-plated GB 2020</t>
  </si>
  <si>
    <t xml:space="preserve">AL-037-SV-2020</t>
  </si>
  <si>
    <t xml:space="preserve">AL-037-SV-3030</t>
  </si>
  <si>
    <t xml:space="preserve">AL-037-SV-4040</t>
  </si>
  <si>
    <t xml:space="preserve">AL-037-SV-4545</t>
  </si>
  <si>
    <t xml:space="preserve">AL-037-SV-EU2020</t>
  </si>
  <si>
    <t xml:space="preserve">AL-037-SV-EU3030</t>
  </si>
  <si>
    <t xml:space="preserve">AL-037-SV-EU4040</t>
  </si>
  <si>
    <t xml:space="preserve">AL-037-SV-EU4545</t>
  </si>
  <si>
    <t xml:space="preserve">AL-037-SV-GB2020</t>
  </si>
  <si>
    <t xml:space="preserve">AL-037-SV-GB3030</t>
  </si>
  <si>
    <t xml:space="preserve">AL-037-SV-GB4040</t>
  </si>
  <si>
    <t xml:space="preserve">AL-037-SV-GB4545</t>
  </si>
  <si>
    <t xml:space="preserve">Zinc Alloy Profile Hinge (2020-4040)  [Brackets / Nuts / Hinges / Handles]</t>
  </si>
  <si>
    <t xml:space="preserve">26x22</t>
  </si>
  <si>
    <t xml:space="preserve">AL-018-26x22-BK-ZN</t>
  </si>
  <si>
    <t xml:space="preserve">AL-018-26x22-ZN-NI</t>
  </si>
  <si>
    <t xml:space="preserve">AL-018-57x46-BK-NL-KJ33-24</t>
  </si>
  <si>
    <t xml:space="preserve">Nylon hole pitch 33-24</t>
  </si>
  <si>
    <t xml:space="preserve">57x46</t>
  </si>
  <si>
    <t xml:space="preserve">AL-018-57x46-WH-NL-KJ33-24</t>
  </si>
  <si>
    <t xml:space="preserve">AL-018-BK-AL-30</t>
  </si>
  <si>
    <t xml:space="preserve">Aluminum alloy 30</t>
  </si>
  <si>
    <t xml:space="preserve">AL-018-BK-AL-31</t>
  </si>
  <si>
    <t xml:space="preserve">Aluminum alloy 31</t>
  </si>
  <si>
    <t xml:space="preserve">AL-018-BK-NL-20</t>
  </si>
  <si>
    <t xml:space="preserve">Nylon 20</t>
  </si>
  <si>
    <t xml:space="preserve">AL-018-BK-NL-3030HJ30-25</t>
  </si>
  <si>
    <t xml:space="preserve">Nylon 3030 hole pitch 30-25</t>
  </si>
  <si>
    <t xml:space="preserve">AL-018-BK-NL-3535</t>
  </si>
  <si>
    <t xml:space="preserve">Nylon 3535</t>
  </si>
  <si>
    <t xml:space="preserve">AL-018-BK-NL-4040</t>
  </si>
  <si>
    <t xml:space="preserve">Nylon 4040</t>
  </si>
  <si>
    <t xml:space="preserve">AL-018-BK-ZN-2020-H4.5</t>
  </si>
  <si>
    <t xml:space="preserve">2020T 4.5</t>
  </si>
  <si>
    <t xml:space="preserve">AL-018-BK-ZN-2020-H5.2</t>
  </si>
  <si>
    <t xml:space="preserve">2020T 5.2</t>
  </si>
  <si>
    <t xml:space="preserve">AL-018-BK-ZN-25</t>
  </si>
  <si>
    <t xml:space="preserve">AL-018-BK-ZN-3030HJ30-23</t>
  </si>
  <si>
    <t xml:space="preserve">3030 hole pitch 30-23</t>
  </si>
  <si>
    <t xml:space="preserve">AL-018-BK-ZN-3030HJ31-30</t>
  </si>
  <si>
    <t xml:space="preserve">3030 hole pitch 31-30</t>
  </si>
  <si>
    <t xml:space="preserve">AL-018-BK-ZN-3040</t>
  </si>
  <si>
    <t xml:space="preserve">3040</t>
  </si>
  <si>
    <t xml:space="preserve">AL-018-BK-ZN-4040HJ40-25</t>
  </si>
  <si>
    <t xml:space="preserve">4040 hole pitch 40-25</t>
  </si>
  <si>
    <t xml:space="preserve">AL-018-BK-ZN-4040HJ41-30</t>
  </si>
  <si>
    <t xml:space="preserve">4040 hole pitch 41-30</t>
  </si>
  <si>
    <t xml:space="preserve">AL-018-BK-ZN-4545</t>
  </si>
  <si>
    <t xml:space="preserve">AL-018-SV-AL-30</t>
  </si>
  <si>
    <t xml:space="preserve">AL-018-SV-AL-31</t>
  </si>
  <si>
    <t xml:space="preserve">AL-018-SV-AL-35</t>
  </si>
  <si>
    <t xml:space="preserve">Aluminum alloy 35</t>
  </si>
  <si>
    <t xml:space="preserve">AL-018-SV-ZN-2020-H4.5</t>
  </si>
  <si>
    <t xml:space="preserve">AL-018-SV-ZN-2020-H5.2</t>
  </si>
  <si>
    <t xml:space="preserve">AL-018-SV-ZN-25</t>
  </si>
  <si>
    <t xml:space="preserve">AL-018-SV-ZN-3030HJ30-23</t>
  </si>
  <si>
    <t xml:space="preserve">AL-018-SV-ZN-3030HJ31-30</t>
  </si>
  <si>
    <t xml:space="preserve">AL-018-SV-ZN-3040</t>
  </si>
  <si>
    <t xml:space="preserve">AL-018-SV-ZN-4040HJ40-25</t>
  </si>
  <si>
    <t xml:space="preserve">AL-018-SV-ZN-4040HJ41-30</t>
  </si>
  <si>
    <t xml:space="preserve">AL-018-SV-ZN-4545</t>
  </si>
  <si>
    <t xml:space="preserve">AL-018-ZN-NI-3030</t>
  </si>
  <si>
    <t xml:space="preserve">Plated 3030</t>
  </si>
  <si>
    <t xml:space="preserve">Profile Panel L-Connector  [Brackets / Nuts / Hinges / Handles]</t>
  </si>
  <si>
    <t xml:space="preserve">AL-001</t>
  </si>
  <si>
    <t xml:space="preserve">Aluminum Door Bolt (3030 / 4040)  [Brackets / Nuts / Hinges / Handles]</t>
  </si>
  <si>
    <t xml:space="preserve">A</t>
  </si>
  <si>
    <t xml:space="preserve">AL-034-YSA</t>
  </si>
  <si>
    <t xml:space="preserve">AL-034-YSB</t>
  </si>
  <si>
    <t xml:space="preserve">B</t>
  </si>
  <si>
    <t xml:space="preserve">Zinc Alloy Internal L-Connector (15-40)  [Brackets / Nuts / Hinges / Handles]</t>
  </si>
  <si>
    <t xml:space="preserve">EU 1515 2 holes M4 screws loose</t>
  </si>
  <si>
    <t xml:space="preserve">AL-007-BK-EU-1515-2H-M4-SL</t>
  </si>
  <si>
    <t xml:space="preserve">AL-007-BK-EU-3030-2H-M6-SL</t>
  </si>
  <si>
    <t xml:space="preserve">EU 3030 2 holes M6 screws loose</t>
  </si>
  <si>
    <t xml:space="preserve">AL-007-BK-EU-3030-4H-M6-SL</t>
  </si>
  <si>
    <t xml:space="preserve">EU 3030 4 holes M6 screws loose</t>
  </si>
  <si>
    <t xml:space="preserve">AL-007-BK-EU-4040-2H-M6-SL</t>
  </si>
  <si>
    <t xml:space="preserve">EU 4040 2 holes M6 screws loose</t>
  </si>
  <si>
    <t xml:space="preserve">AL-007-BK-EU-4040-4H-M6-SL</t>
  </si>
  <si>
    <t xml:space="preserve">EU 4040 4 holes M6 screws loose</t>
  </si>
  <si>
    <t xml:space="preserve">AL-007-BK-EU2020-2H-M4-NS</t>
  </si>
  <si>
    <t xml:space="preserve">EU 2020 2 holes M4 no screws</t>
  </si>
  <si>
    <t xml:space="preserve">AL-007-BK-EU2020-2H-M4-SL</t>
  </si>
  <si>
    <t xml:space="preserve">EU 2020 2 holes M4 screws loose</t>
  </si>
  <si>
    <t xml:space="preserve">AL-007-BK-EU2020-2H-M5-NS</t>
  </si>
  <si>
    <t xml:space="preserve">EU 2020 2 holes M5 no screws</t>
  </si>
  <si>
    <t xml:space="preserve">AL-007-BK-EU2020-2H-M5-SL</t>
  </si>
  <si>
    <t xml:space="preserve">EU 2020 2 holes M5 screws loose</t>
  </si>
  <si>
    <t xml:space="preserve">AL-007-BK-GB-3030-4H-M5-SL</t>
  </si>
  <si>
    <t xml:space="preserve">GB 3030 4 holes M5 screws loose</t>
  </si>
  <si>
    <t xml:space="preserve">AL-007-BK-GB-4040-4H-M6-SL</t>
  </si>
  <si>
    <t xml:space="preserve">GB 4040 4 holes M6 screws loose</t>
  </si>
  <si>
    <t xml:space="preserve">AL-007-NI-EU-1515-2H-M4-NS</t>
  </si>
  <si>
    <t xml:space="preserve">Nickel-plated EU 1515 2 holes M4 no screws</t>
  </si>
  <si>
    <t xml:space="preserve">AL-007-NI-EU-1515-2H-M4-SI</t>
  </si>
  <si>
    <t xml:space="preserve">Nickel-plated EU 1515 2 holes M4 screws fitted</t>
  </si>
  <si>
    <t xml:space="preserve">AL-007-NI-EU-1515-2H-M4-SL</t>
  </si>
  <si>
    <t xml:space="preserve">Nickel-plated EU 1515 2 holes M4 screws loose</t>
  </si>
  <si>
    <t xml:space="preserve">AL-007-NI-EU-2020-2H-HD5-M5-SI</t>
  </si>
  <si>
    <t xml:space="preserve">Nickel-plated EU 2020 2 holes T 5 M5 screws fitted</t>
  </si>
  <si>
    <t xml:space="preserve">AL-007-NI-EU-2020-2H-M4-SL</t>
  </si>
  <si>
    <t xml:space="preserve">Nickel-plated EU 2020 2 holes M4 screws loose</t>
  </si>
  <si>
    <t xml:space="preserve">AL-007-NI-EU-3030-2H-H7.6-M6-NS</t>
  </si>
  <si>
    <t xml:space="preserve">Nickel-plated EU 3030 2 holes T 7.6 M6 no screws</t>
  </si>
  <si>
    <t xml:space="preserve">AL-007-NI-EU-3030-4H-M6-SL</t>
  </si>
  <si>
    <t xml:space="preserve">Nickel-plated EU 3030 4 holes M6 screws loose</t>
  </si>
  <si>
    <t xml:space="preserve">AL-007-NI-EU-4040-4H-M6-SL</t>
  </si>
  <si>
    <t xml:space="preserve">Nickel-plated EU 4040 4 holes M6 screws loose</t>
  </si>
  <si>
    <t xml:space="preserve">AL-007-NI-EU-4545-2H-M8-SL</t>
  </si>
  <si>
    <t xml:space="preserve">Nickel-plated EU 4545 2 holes M8 screws loose</t>
  </si>
  <si>
    <t xml:space="preserve">AL-007-NI-EU2020-2H-HD4-M5-NS</t>
  </si>
  <si>
    <t xml:space="preserve">Nickel-plated EU 2020 2 holes T 4 M5 no screws</t>
  </si>
  <si>
    <t xml:space="preserve">AL-007-NI-EU2020-2H-HD4-M5-SI</t>
  </si>
  <si>
    <t xml:space="preserve">Nickel-plated EU 2020 2 holes T 4 M5 screws fitted</t>
  </si>
  <si>
    <t xml:space="preserve">AL-007-NI-EU2020-2H-HD4-M5-SL</t>
  </si>
  <si>
    <t xml:space="preserve">Nickel-plated EU 2020 2 holes T 4 M5 screws loose</t>
  </si>
  <si>
    <t xml:space="preserve">AL-007-NI-EU2020-2H-HD5-M5-NS</t>
  </si>
  <si>
    <t xml:space="preserve">Nickel-plated EU 2020 2 holes T 5 M5 no screws</t>
  </si>
  <si>
    <t xml:space="preserve">AL-007-NI-EU2020-2H-HD5-M5-SL</t>
  </si>
  <si>
    <t xml:space="preserve">Nickel-plated EU 2020 2 holes T 5 M5 screws loose</t>
  </si>
  <si>
    <t xml:space="preserve">AL-007-NI-EU3030-2H-H7.6-M6-SI</t>
  </si>
  <si>
    <t xml:space="preserve">Nickel-plated EU 3030 2 holes T 7.6 M6 screws fitted</t>
  </si>
  <si>
    <t xml:space="preserve">AL-007-NI-EU3030-2H-H7.6-M6-SL</t>
  </si>
  <si>
    <t xml:space="preserve">Nickel-plated EU 3030 2 holes T 7.6 M6 screws loose</t>
  </si>
  <si>
    <t xml:space="preserve">AL-007-NI-EU3030-2H-HD7-M6-NS</t>
  </si>
  <si>
    <t xml:space="preserve">Nickel-plated EU 3030 2 holes T 7 M6 no screws</t>
  </si>
  <si>
    <t xml:space="preserve">AL-007-NI-EU3030-2H-HD7-M6-SI</t>
  </si>
  <si>
    <t xml:space="preserve">Nickel-plated EU 3030 2 holes T 7 M6 screws fitted</t>
  </si>
  <si>
    <t xml:space="preserve">AL-007-NI-EU3030-2H-HD7-M6-SL</t>
  </si>
  <si>
    <t xml:space="preserve">Nickel-plated EU 3030 2 holes T 7 M6 screws loose</t>
  </si>
  <si>
    <t xml:space="preserve">AL-007-NI-EU4040-2H-H8-M6-NS</t>
  </si>
  <si>
    <t xml:space="preserve">Nickel-plated EU 4040 2 holes T 8 M6 no screws</t>
  </si>
  <si>
    <t xml:space="preserve">AL-007-NI-EU4040-2H-H8-M6-SI</t>
  </si>
  <si>
    <t xml:space="preserve">Nickel-plated EU 4040 2 holes T 8 M6 screws fitted</t>
  </si>
  <si>
    <t xml:space="preserve">AL-007-NI-EU4040-2H-H8-M6-SL</t>
  </si>
  <si>
    <t xml:space="preserve">Nickel-plated EU 4040 2 holes T 8 M6 screws loose</t>
  </si>
  <si>
    <t xml:space="preserve">AL-007-NI-EU4040-2H-H9-M6-NS</t>
  </si>
  <si>
    <t xml:space="preserve">Nickel-plated EU 4040 2 holes T 9 M6 no screws</t>
  </si>
  <si>
    <t xml:space="preserve">AL-007-NI-EU4040-2H-H9-M6-SI</t>
  </si>
  <si>
    <t xml:space="preserve">Nickel-plated EU 4040 2 holes T 9 M6 screws fitted</t>
  </si>
  <si>
    <t xml:space="preserve">AL-007-NI-EU4040-2H-H9-M6-SL</t>
  </si>
  <si>
    <t xml:space="preserve">Nickel-plated EU 4040 2 holes T 9 M6 screws loose</t>
  </si>
  <si>
    <t xml:space="preserve">AL-007-NI-GB-1530-4H-M6-SL</t>
  </si>
  <si>
    <t xml:space="preserve">Nickel-plated GB 1530 4 holes M6 screws loose</t>
  </si>
  <si>
    <t xml:space="preserve">AL-007-NI-GB-2020-4H-M4-SL</t>
  </si>
  <si>
    <t xml:space="preserve">Nickel-plated GB 2020 4 holes M4 screws loose</t>
  </si>
  <si>
    <t xml:space="preserve">AL-007-NI-GB-2040-4H-M8-SL</t>
  </si>
  <si>
    <t xml:space="preserve">Nickel-plated GB 2040 4 holes M8 screws loose</t>
  </si>
  <si>
    <t xml:space="preserve">AL-007-NI-GB-3030-2H-M5-SL</t>
  </si>
  <si>
    <t xml:space="preserve">Nickel-plated GB 3030 2 holes M5 screws loose</t>
  </si>
  <si>
    <t xml:space="preserve">AL-007-NI-GB-3030-4H-M5-SL</t>
  </si>
  <si>
    <t xml:space="preserve">Nickel-plated GB 3030 4 holes M5 screws loose</t>
  </si>
  <si>
    <t xml:space="preserve">AL-007-NI-GB-4040-2H-M6-SL</t>
  </si>
  <si>
    <t xml:space="preserve">Nickel-plated GB 4040 2 holes M6 screws loose</t>
  </si>
  <si>
    <t xml:space="preserve">AL-007-NI-GB-4040-4H-M6-SL</t>
  </si>
  <si>
    <t xml:space="preserve">Nickel-plated GB 4040 4 holes M6 screws loose</t>
  </si>
  <si>
    <t xml:space="preserve">Zinc Die-Cast Corner Bracket (with cover)  [Brackets / Nuts / Hinges / Handles]</t>
  </si>
  <si>
    <t xml:space="preserve">2020 A type cap</t>
  </si>
  <si>
    <t xml:space="preserve">AL-064-2020-AK-GZ</t>
  </si>
  <si>
    <t xml:space="preserve">AL-064-2020-BK-GZ</t>
  </si>
  <si>
    <t xml:space="preserve">2020 B type cap</t>
  </si>
  <si>
    <t xml:space="preserve">AL-064-3030-BK-GZ</t>
  </si>
  <si>
    <t xml:space="preserve">3030 B type cap</t>
  </si>
  <si>
    <t xml:space="preserve">AL-064-4040-BK-GZ</t>
  </si>
  <si>
    <t xml:space="preserve">4040 B type cap</t>
  </si>
  <si>
    <t xml:space="preserve">AL-064-BK-AL-2020-DGZ-AK</t>
  </si>
  <si>
    <t xml:space="preserve">Aluminum alloy 2020 with cap A type</t>
  </si>
  <si>
    <t xml:space="preserve">AL-064-BK-AL-3060-KD6-DGZ-AK</t>
  </si>
  <si>
    <t xml:space="preserve">Aluminum alloy 3060 clip 6 with cap A type</t>
  </si>
  <si>
    <t xml:space="preserve">AL-064-BK-AL-3060-KD8-DGZ-AK</t>
  </si>
  <si>
    <t xml:space="preserve">Aluminum alloy 3060 clip 8 with cap A type</t>
  </si>
  <si>
    <t xml:space="preserve">AL-064-BK-AL-4040-KD10-DGZ-AK</t>
  </si>
  <si>
    <t xml:space="preserve">Aluminum alloy 4040 clip 10 with cap A type</t>
  </si>
  <si>
    <t xml:space="preserve">AL-064-BK-AL-4040-KD8-DGZ-AK</t>
  </si>
  <si>
    <t xml:space="preserve">Aluminum alloy 4040 clip 8 with cap A type</t>
  </si>
  <si>
    <t xml:space="preserve">AL-064-BK-AL-4080-KD10-DGZ-AK</t>
  </si>
  <si>
    <t xml:space="preserve">Aluminum alloy 4080 clip 10 with cap A type</t>
  </si>
  <si>
    <t xml:space="preserve">AL-064-BK-AL-4080-KD8-DGZ-AK</t>
  </si>
  <si>
    <t xml:space="preserve">Aluminum alloy 4080 clip 8 with cap A type</t>
  </si>
  <si>
    <t xml:space="preserve">AL-064-BK-AL-4545-KD10-DGZ-AK</t>
  </si>
  <si>
    <t xml:space="preserve">Aluminum alloy 4545 clip 10 with cap A type</t>
  </si>
  <si>
    <t xml:space="preserve">AL-064-BK-AL-4545-KD8-DGZ-AK</t>
  </si>
  <si>
    <t xml:space="preserve">Aluminum alloy 4545 clip 8 with cap A type</t>
  </si>
  <si>
    <t xml:space="preserve">AL-064-BK-AL-4590-K10-DGZ-AK</t>
  </si>
  <si>
    <t xml:space="preserve">Aluminum alloy 4590 clip 10 with cap A type</t>
  </si>
  <si>
    <t xml:space="preserve">AL-064-BK-AL-4590-KD8-DGZ-AK</t>
  </si>
  <si>
    <t xml:space="preserve">Aluminum alloy 4590 clip 8 with cap A type</t>
  </si>
  <si>
    <t xml:space="preserve">AL-064-BK-ZN-2020-DGZ-AK</t>
  </si>
  <si>
    <t xml:space="preserve">2020 with cap A type</t>
  </si>
  <si>
    <t xml:space="preserve">AL-064-BK-ZN-3060-KD6-DGZ-AK</t>
  </si>
  <si>
    <t xml:space="preserve">3060 clip 6 with cap A type</t>
  </si>
  <si>
    <t xml:space="preserve">AL-064-BK-ZN-3060-KD8-DGZ-AK</t>
  </si>
  <si>
    <t xml:space="preserve">3060 clip 8 with cap A type</t>
  </si>
  <si>
    <t xml:space="preserve">AL-064-BK-ZN-4040-KD10-DGZ-AK</t>
  </si>
  <si>
    <t xml:space="preserve">4040 clip 10 with cap A type</t>
  </si>
  <si>
    <t xml:space="preserve">AL-064-BK-ZN-4040-KD8-DGZ-AK</t>
  </si>
  <si>
    <t xml:space="preserve">4040 clip 8 with cap A type</t>
  </si>
  <si>
    <t xml:space="preserve">AL-064-BK-ZN-4080-KD10-DGZ-AK</t>
  </si>
  <si>
    <t xml:space="preserve">4080 clip 10 with cap A type</t>
  </si>
  <si>
    <t xml:space="preserve">AL-064-BK-ZN-4080-KD8-DGZ-AK</t>
  </si>
  <si>
    <t xml:space="preserve">4080 clip 8 with cap A type</t>
  </si>
  <si>
    <t xml:space="preserve">AL-064-BK-ZN-4545-KD10-DGZ-AK</t>
  </si>
  <si>
    <t xml:space="preserve">4545 clip 10 with cap A type</t>
  </si>
  <si>
    <t xml:space="preserve">AL-064-BK-ZN-4545-KD8-DGZ-AK</t>
  </si>
  <si>
    <t xml:space="preserve">4545 clip 8 with cap A type</t>
  </si>
  <si>
    <t xml:space="preserve">AL-064-BK-ZN-4590-KD10-DGZ-AK</t>
  </si>
  <si>
    <t xml:space="preserve">4590 clip 10 with cap A type</t>
  </si>
  <si>
    <t xml:space="preserve">AL-064-BK-ZN-4590-KD8-DGZ-AK</t>
  </si>
  <si>
    <t xml:space="preserve">4590 clip 8 with cap A type</t>
  </si>
  <si>
    <t xml:space="preserve">AL-064-SV-AL-2020-BDGZ-AK</t>
  </si>
  <si>
    <t xml:space="preserve">Aluminum alloy 2020 no cap A type</t>
  </si>
  <si>
    <t xml:space="preserve">AL-064-SV-AL-2020-DGZ-AK</t>
  </si>
  <si>
    <t xml:space="preserve">AL-064-SV-AL-3030-KD6-DGZ-AK</t>
  </si>
  <si>
    <t xml:space="preserve">Aluminum alloy 3030 clip 6 with cap A type</t>
  </si>
  <si>
    <t xml:space="preserve">AL-064-SV-AL-3030-KD8-DGZ-AK</t>
  </si>
  <si>
    <t xml:space="preserve">Aluminum alloy 3030 clip 8 with cap A type</t>
  </si>
  <si>
    <t xml:space="preserve">AL-064-SV-AL-3060-DGZ-AK</t>
  </si>
  <si>
    <t xml:space="preserve">Aluminum alloy 3060 with cap A type</t>
  </si>
  <si>
    <t xml:space="preserve">AL-064-SV-AL-3060-KD6-DGZ-AK</t>
  </si>
  <si>
    <t xml:space="preserve">AL-064-SV-AL-3060-KD8-DGZ-AK</t>
  </si>
  <si>
    <t xml:space="preserve">AL-064-SV-AL-4040-KD10-DGZ-AK</t>
  </si>
  <si>
    <t xml:space="preserve">AL-064-SV-AL-4040-KD8-DGZ-AK</t>
  </si>
  <si>
    <t xml:space="preserve">AL-064-SV-AL-4080-KD10-DGZ-AK</t>
  </si>
  <si>
    <t xml:space="preserve">AL-064-SV-AL-4080-KD8-DGZ-AK</t>
  </si>
  <si>
    <t xml:space="preserve">AL-064-SV-AL-4545-KD10-DGZ-AK</t>
  </si>
  <si>
    <t xml:space="preserve">AL-064-SV-AL-4545-KD8-DGZ-AK</t>
  </si>
  <si>
    <t xml:space="preserve">AL-064-SV-AL-4590-DGZ-AK</t>
  </si>
  <si>
    <t xml:space="preserve">Aluminum alloy 4590 with cap A type</t>
  </si>
  <si>
    <t xml:space="preserve">AL-064-SV-AL-4590-KD10-DGZ-AK</t>
  </si>
  <si>
    <t xml:space="preserve">Aluminum alloy 4590 clip 10 with cap A type </t>
  </si>
  <si>
    <t xml:space="preserve">AL-064-SV-AL-4590-KD8-DGZ-AK</t>
  </si>
  <si>
    <t xml:space="preserve">AL-064-SV-ZN-2020-BDGZ-AK</t>
  </si>
  <si>
    <t xml:space="preserve">2020 no cap A type</t>
  </si>
  <si>
    <t xml:space="preserve">AL-064-SV-ZN-2020-BDGZ-DLS-BK</t>
  </si>
  <si>
    <t xml:space="preserve">2020 no cap with screws B type</t>
  </si>
  <si>
    <t xml:space="preserve">AL-064-SV-ZN-2020-DGZ-AK</t>
  </si>
  <si>
    <t xml:space="preserve">AL-064-SV-ZN-2020-DGZ-DLS-BK</t>
  </si>
  <si>
    <t xml:space="preserve">2020 with cap with screws B type</t>
  </si>
  <si>
    <t xml:space="preserve">AL-064-SV-ZN-3030-KD6-BDGZ-BK</t>
  </si>
  <si>
    <t xml:space="preserve">3030 clip 6 no cap B type</t>
  </si>
  <si>
    <t xml:space="preserve">AL-064-SV-ZN-3030-KD6-DGZ-AK</t>
  </si>
  <si>
    <t xml:space="preserve">3030 clip 6 with cap A type</t>
  </si>
  <si>
    <t xml:space="preserve">AL-064-SV-ZN-3030-KD6-DGZ-BK</t>
  </si>
  <si>
    <t xml:space="preserve">3030 clip 6 with cap B type</t>
  </si>
  <si>
    <t xml:space="preserve">AL-064-SV-ZN-3030-KD8-DGZ-AK</t>
  </si>
  <si>
    <t xml:space="preserve">3030 clip 8 with cap A type</t>
  </si>
  <si>
    <t xml:space="preserve">AL-064-SV-ZN-3060-KD6-DGZ-AK</t>
  </si>
  <si>
    <t xml:space="preserve">AL-064-SV-ZN-3060-KD8-DGZ-AK</t>
  </si>
  <si>
    <t xml:space="preserve">AL-064-SV-ZN-4040-KD10-DGZ-AK</t>
  </si>
  <si>
    <t xml:space="preserve">AL-064-SV-ZN-4040-KD8-BDGZ-BK</t>
  </si>
  <si>
    <t xml:space="preserve">4040 clip 8 no cap B type</t>
  </si>
  <si>
    <t xml:space="preserve">AL-064-SV-ZN-4040-KD8-DGZ-AK</t>
  </si>
  <si>
    <t xml:space="preserve">AL-064-SV-ZN-4040-KD8-DGZ-BK</t>
  </si>
  <si>
    <t xml:space="preserve">4040 clip 8 with cap B type</t>
  </si>
  <si>
    <t xml:space="preserve">AL-064-SV-ZN-4080-BDGZ</t>
  </si>
  <si>
    <t xml:space="preserve">4080 no cap</t>
  </si>
  <si>
    <t xml:space="preserve">AL-064-SV-ZN-4080-DGZ</t>
  </si>
  <si>
    <t xml:space="preserve">4080 with cap</t>
  </si>
  <si>
    <t xml:space="preserve">AL-064-SV-ZN-4080-KD10-DGZ-AK</t>
  </si>
  <si>
    <t xml:space="preserve">AL-064-SV-ZN-4080-KD8-DGZ-AK</t>
  </si>
  <si>
    <t xml:space="preserve">AL-064-SV-ZN-4545-KD10-DGZ-AK</t>
  </si>
  <si>
    <t xml:space="preserve">AL-064-SV-ZN-4545-KD8-DGZ-AK</t>
  </si>
  <si>
    <t xml:space="preserve">AL-064-SV-ZN-4590-KD10-DGZ-AK</t>
  </si>
  <si>
    <t xml:space="preserve">AL-064-SV-ZN-4590-KD8-DGZ-AK</t>
  </si>
  <si>
    <t xml:space="preserve">Zinc Alloy Hinge  [Brackets / Nuts / Hinges / Handles]</t>
  </si>
  <si>
    <t xml:space="preserve">AL-056-EU-2020</t>
  </si>
  <si>
    <t xml:space="preserve">AL-056-EU-2020-DSB</t>
  </si>
  <si>
    <t xml:space="preserve">EU 2020 with handle</t>
  </si>
  <si>
    <t xml:space="preserve">AL-056-EU-3030</t>
  </si>
  <si>
    <t xml:space="preserve">AL-056-EU-3030-DSB</t>
  </si>
  <si>
    <t xml:space="preserve">EU 3030 with handle</t>
  </si>
  <si>
    <t xml:space="preserve">AL-056-EU-4040</t>
  </si>
  <si>
    <t xml:space="preserve">AL-056-EU-4040-DSB</t>
  </si>
  <si>
    <t xml:space="preserve">EU 4040 with handle</t>
  </si>
  <si>
    <t xml:space="preserve">AL-056-EU-4545</t>
  </si>
  <si>
    <t xml:space="preserve">AL-056-EU-4545-DSB</t>
  </si>
  <si>
    <t xml:space="preserve">EU 4545 with handle</t>
  </si>
  <si>
    <t xml:space="preserve">Frame Triangle Corner Block (25 / 30 / 40 / 45)  [Brackets / Nuts / Hinges / Handles]</t>
  </si>
  <si>
    <t xml:space="preserve">AL-024-BK-2020-2H</t>
  </si>
  <si>
    <t xml:space="preserve">AL-024-BK-2020-4H</t>
  </si>
  <si>
    <t xml:space="preserve">AL-024-BK-2040-4H</t>
  </si>
  <si>
    <t xml:space="preserve">AL-024-BK-2040-8H</t>
  </si>
  <si>
    <t xml:space="preserve">AL-024-BK-2525-4H</t>
  </si>
  <si>
    <t xml:space="preserve">2525-4 holes</t>
  </si>
  <si>
    <t xml:space="preserve">AL-024-BK-3030-2H</t>
  </si>
  <si>
    <t xml:space="preserve">AL-024-BK-3030-4H</t>
  </si>
  <si>
    <t xml:space="preserve">AL-024-BK-3060-4H</t>
  </si>
  <si>
    <t xml:space="preserve">3060-4 holes</t>
  </si>
  <si>
    <t xml:space="preserve">AL-024-BK-3060-8H</t>
  </si>
  <si>
    <t xml:space="preserve">3060-8 holes</t>
  </si>
  <si>
    <t xml:space="preserve">AL-024-BK-40120-6H</t>
  </si>
  <si>
    <t xml:space="preserve">40120-6 holes</t>
  </si>
  <si>
    <t xml:space="preserve">AL-024-BK-40160-8H</t>
  </si>
  <si>
    <t xml:space="preserve">40160-8 holes</t>
  </si>
  <si>
    <t xml:space="preserve">AL-024-BK-4040-2H</t>
  </si>
  <si>
    <t xml:space="preserve">AL-024-BK-4040-4H</t>
  </si>
  <si>
    <t xml:space="preserve">AL-024-BK-4080-4H</t>
  </si>
  <si>
    <t xml:space="preserve">4080-4 holes</t>
  </si>
  <si>
    <t xml:space="preserve">AL-024-BK-4080-8H</t>
  </si>
  <si>
    <t xml:space="preserve">4080-8 holes</t>
  </si>
  <si>
    <t xml:space="preserve">AL-024-BK-4545-2H</t>
  </si>
  <si>
    <t xml:space="preserve">AL-024-BK-4545-4H</t>
  </si>
  <si>
    <t xml:space="preserve">AL-024-BK-4590-4H</t>
  </si>
  <si>
    <t xml:space="preserve">4590-4 holes</t>
  </si>
  <si>
    <t xml:space="preserve">AL-024-BK-4590-8H</t>
  </si>
  <si>
    <t xml:space="preserve">4590-8 holes</t>
  </si>
  <si>
    <t xml:space="preserve">AL-024-RD-40120-6H</t>
  </si>
  <si>
    <t xml:space="preserve">AL-024-RD-40160-8H</t>
  </si>
  <si>
    <t xml:space="preserve">AL-024-SV-SB-2020-2H</t>
  </si>
  <si>
    <t xml:space="preserve">Sandblasted 2020-2 holes</t>
  </si>
  <si>
    <t xml:space="preserve">AL-024-SV-SB-3030-2H</t>
  </si>
  <si>
    <t xml:space="preserve">Sandblasted 3030-2 holes</t>
  </si>
  <si>
    <t xml:space="preserve">AL-024-SV-SB-3030-4H</t>
  </si>
  <si>
    <t xml:space="preserve">Sandblasted 3030-4 holes</t>
  </si>
  <si>
    <t xml:space="preserve">AL-024-SV-SB-4040-2H</t>
  </si>
  <si>
    <t xml:space="preserve">Sandblasted 4040-2 holes</t>
  </si>
  <si>
    <t xml:space="preserve">AL-024-SV-SB-4040-4H</t>
  </si>
  <si>
    <t xml:space="preserve">Sandblasted 4040-4 holes</t>
  </si>
  <si>
    <t xml:space="preserve">AL-024-WH-2020-2H</t>
  </si>
  <si>
    <t xml:space="preserve">AL-024-WH-2020-4H</t>
  </si>
  <si>
    <t xml:space="preserve">AL-024-WH-2040-4H</t>
  </si>
  <si>
    <t xml:space="preserve">AL-024-WH-2040-8H</t>
  </si>
  <si>
    <t xml:space="preserve">AL-024-WH-2060-12H</t>
  </si>
  <si>
    <t xml:space="preserve">2060-12 holes</t>
  </si>
  <si>
    <t xml:space="preserve">AL-024-WH-2060-6H</t>
  </si>
  <si>
    <t xml:space="preserve">2060-6 holes</t>
  </si>
  <si>
    <t xml:space="preserve">AL-024-WH-2080-16H</t>
  </si>
  <si>
    <t xml:space="preserve">2080-16 holes</t>
  </si>
  <si>
    <t xml:space="preserve">AL-024-WH-2080-8H</t>
  </si>
  <si>
    <t xml:space="preserve">2080-8 holes</t>
  </si>
  <si>
    <t xml:space="preserve">AL-024-WH-2525-4H</t>
  </si>
  <si>
    <t xml:space="preserve">AL-024-WH-30120-16H</t>
  </si>
  <si>
    <t xml:space="preserve">30120-16 holes</t>
  </si>
  <si>
    <t xml:space="preserve">AL-024-WH-30120-8H</t>
  </si>
  <si>
    <t xml:space="preserve">30120-8 holes</t>
  </si>
  <si>
    <t xml:space="preserve">AL-024-WH-3030-2H</t>
  </si>
  <si>
    <t xml:space="preserve">AL-024-WH-3030-4H</t>
  </si>
  <si>
    <t xml:space="preserve">AL-024-WH-3060-4H</t>
  </si>
  <si>
    <t xml:space="preserve">AL-024-WH-3060-8H</t>
  </si>
  <si>
    <t xml:space="preserve">AL-024-WH-3090-12H</t>
  </si>
  <si>
    <t xml:space="preserve">3090-12 holes</t>
  </si>
  <si>
    <t xml:space="preserve">AL-024-WH-3090-6H</t>
  </si>
  <si>
    <t xml:space="preserve">3090-6 holes</t>
  </si>
  <si>
    <t xml:space="preserve">AL-024-WH-40120-12H</t>
  </si>
  <si>
    <t xml:space="preserve">40120-12 holes</t>
  </si>
  <si>
    <t xml:space="preserve">AL-024-WH-40120-6H</t>
  </si>
  <si>
    <t xml:space="preserve">AL-024-WH-40160-16H</t>
  </si>
  <si>
    <t xml:space="preserve">40160-16 holes</t>
  </si>
  <si>
    <t xml:space="preserve">AL-024-WH-40160-8H</t>
  </si>
  <si>
    <t xml:space="preserve">AL-024-WH-4040-2H</t>
  </si>
  <si>
    <t xml:space="preserve">AL-024-WH-4040-4H</t>
  </si>
  <si>
    <t xml:space="preserve">AL-024-WH-4080-4H</t>
  </si>
  <si>
    <t xml:space="preserve">AL-024-WH-4080-8H</t>
  </si>
  <si>
    <t xml:space="preserve">AL-024-WH-4545-2H</t>
  </si>
  <si>
    <t xml:space="preserve">AL-024-WH-4545-4H</t>
  </si>
  <si>
    <t xml:space="preserve">AL-024-WH-4590-4H</t>
  </si>
  <si>
    <t xml:space="preserve">AL-024-WH-4590-8H</t>
  </si>
  <si>
    <t xml:space="preserve">AL-024-WH-50100-8H</t>
  </si>
  <si>
    <t xml:space="preserve">50100-8 holes</t>
  </si>
  <si>
    <t xml:space="preserve">Hidden 3D Corner Connector (2020-4040)  [Brackets / Nuts / Hinges / Handles]</t>
  </si>
  <si>
    <t xml:space="preserve">EU 1515 8 holes with screws</t>
  </si>
  <si>
    <t xml:space="preserve">AL-032-BK-EU1515-8H-HLS</t>
  </si>
  <si>
    <t xml:space="preserve">AL-032-BK-EU2020-4H-BYLS</t>
  </si>
  <si>
    <t xml:space="preserve">EU 2020 4 holes no screws</t>
  </si>
  <si>
    <t xml:space="preserve">AL-032-BK-EU2020-4H-SI</t>
  </si>
  <si>
    <t xml:space="preserve">EU 2020 4 holes screws fitted</t>
  </si>
  <si>
    <t xml:space="preserve">AL-032-BK-EU2020-4H-SL</t>
  </si>
  <si>
    <t xml:space="preserve">EU 2020 4 holes screws loose</t>
  </si>
  <si>
    <t xml:space="preserve">AL-032-BK-EU2020-8H-HLS</t>
  </si>
  <si>
    <t xml:space="preserve">EU 2020 8 holes with screws</t>
  </si>
  <si>
    <t xml:space="preserve">AL-032-BK-EU3030-8H-HLS</t>
  </si>
  <si>
    <t xml:space="preserve">EU 3030 8 holes with screws</t>
  </si>
  <si>
    <t xml:space="preserve">AL-032-BK-EU4040-8H-HLS</t>
  </si>
  <si>
    <t xml:space="preserve">EU 4040 8 holes with screws</t>
  </si>
  <si>
    <t xml:space="preserve">AL-032-BK-GB2020-8H-HLS</t>
  </si>
  <si>
    <t xml:space="preserve">GB 2020 8 holes with screws</t>
  </si>
  <si>
    <t xml:space="preserve">AL-032-BK-GB3030-8H-HLS</t>
  </si>
  <si>
    <t xml:space="preserve">GB 3030 8 holes with screws</t>
  </si>
  <si>
    <t xml:space="preserve">AL-032-BK-GB4040-8H-HLS</t>
  </si>
  <si>
    <t xml:space="preserve">GB 4040 8 holes with screws</t>
  </si>
  <si>
    <t xml:space="preserve">AL-032-SV-EU-4040-8H-NS</t>
  </si>
  <si>
    <t xml:space="preserve">EU 4040 8 holes no screws</t>
  </si>
  <si>
    <t xml:space="preserve">AL-032-SV-EU1515-8H-HLS</t>
  </si>
  <si>
    <t xml:space="preserve">AL-032-SV-EU2020-4H-BYLS</t>
  </si>
  <si>
    <t xml:space="preserve">AL-032-SV-EU2020-4H-SI</t>
  </si>
  <si>
    <t xml:space="preserve">AL-032-SV-EU2020-4H-SL</t>
  </si>
  <si>
    <t xml:space="preserve">AL-032-SV-EU2020-8H-NS</t>
  </si>
  <si>
    <t xml:space="preserve">EU 2020 8 holes no screws</t>
  </si>
  <si>
    <t xml:space="preserve">AL-032-SV-EU2020-8H-SI</t>
  </si>
  <si>
    <t xml:space="preserve">EU 2020 8 holes screws fitted</t>
  </si>
  <si>
    <t xml:space="preserve">AL-032-SV-EU2020-8H-SL</t>
  </si>
  <si>
    <t xml:space="preserve">EU 2020 8 holes screws loose</t>
  </si>
  <si>
    <t xml:space="preserve">AL-032-SV-EU3030-8H-NS</t>
  </si>
  <si>
    <t xml:space="preserve">EU 3030 8 holes no screws</t>
  </si>
  <si>
    <t xml:space="preserve">AL-032-SV-EU3030-8H-SI</t>
  </si>
  <si>
    <t xml:space="preserve">EU 3030 8 holes screws fitted</t>
  </si>
  <si>
    <t xml:space="preserve">AL-032-SV-EU3030-8H-SL</t>
  </si>
  <si>
    <t xml:space="preserve">EU 3030 8 holes screws loose</t>
  </si>
  <si>
    <t xml:space="preserve">AL-032-SV-EU4040-8H-HLS</t>
  </si>
  <si>
    <t xml:space="preserve">AL-032-SV-GB2020-8H-HLS</t>
  </si>
  <si>
    <t xml:space="preserve">AL-032-SV-GB3030-8H-HLS</t>
  </si>
  <si>
    <t xml:space="preserve">AL-032-SV-GB4040-8H-HLS</t>
  </si>
  <si>
    <t xml:space="preserve">Black Bakelite U-Handle  [Brackets / Nuts / Hinges / Handles]</t>
  </si>
  <si>
    <t xml:space="preserve">hole pitch 120</t>
  </si>
  <si>
    <t xml:space="preserve">AL-057-BK-KJ120-M8</t>
  </si>
  <si>
    <t xml:space="preserve">AL-057-BK-KJ160-M8</t>
  </si>
  <si>
    <t xml:space="preserve">hole pitch 160</t>
  </si>
  <si>
    <t xml:space="preserve">AL-057-BK-KJ180-M8</t>
  </si>
  <si>
    <t xml:space="preserve">hole pitch 180</t>
  </si>
  <si>
    <t xml:space="preserve">AL-057-BK-KJ200-M8</t>
  </si>
  <si>
    <t xml:space="preserve">hole pitch 200</t>
  </si>
  <si>
    <t xml:space="preserve">AL-057-BK-KJ240-M8</t>
  </si>
  <si>
    <t xml:space="preserve">hole pitch 240</t>
  </si>
  <si>
    <t xml:space="preserve">AL-057-BK-KJ320-M8</t>
  </si>
  <si>
    <t xml:space="preserve">hole pitch 320</t>
  </si>
  <si>
    <t xml:space="preserve">AL-057-BK-KJ400-M8</t>
  </si>
  <si>
    <t xml:space="preserve">hole pitch 400</t>
  </si>
  <si>
    <t xml:space="preserve">AL-057-BK-KJ90-M6</t>
  </si>
  <si>
    <t xml:space="preserve">hole pitch 90</t>
  </si>
  <si>
    <t xml:space="preserve">AL-057-BK-KJ90-M8</t>
  </si>
  <si>
    <t xml:space="preserve">AL-057-RD-KJ120-M8</t>
  </si>
  <si>
    <t xml:space="preserve">AL-057-RD-KJ160-M8</t>
  </si>
  <si>
    <t xml:space="preserve">AL-057-RD-KJ180-M8</t>
  </si>
  <si>
    <t xml:space="preserve">AL-057-RD-KJ200-M8</t>
  </si>
  <si>
    <t xml:space="preserve">AL-057-RD-KJ240-M8</t>
  </si>
  <si>
    <t xml:space="preserve">AL-057-RD-KJ320-M8</t>
  </si>
  <si>
    <t xml:space="preserve">AL-057-RD-KJ400-M8</t>
  </si>
  <si>
    <t xml:space="preserve">AL-057-RD-KJ90-M6</t>
  </si>
  <si>
    <t xml:space="preserve">AL-057-RD-KJ90-M8</t>
  </si>
  <si>
    <t xml:space="preserve">6061 Aluminum Plate  [Plates &amp; Tubes]</t>
  </si>
  <si>
    <t xml:space="preserve">Thickness x Width x Length</t>
  </si>
  <si>
    <t xml:space="preserve">Thickness (mm)</t>
  </si>
  <si>
    <t xml:space="preserve">Width x Length (mm)</t>
  </si>
  <si>
    <t xml:space="preserve">214x214</t>
  </si>
  <si>
    <t xml:space="preserve">6061-3x214x214</t>
  </si>
  <si>
    <t xml:space="preserve">6061-3x300x350</t>
  </si>
  <si>
    <t xml:space="preserve">300x350</t>
  </si>
  <si>
    <t xml:space="preserve">6061-4x240x240</t>
  </si>
  <si>
    <t xml:space="preserve">240x240</t>
  </si>
  <si>
    <t xml:space="preserve">6061-4x330x330</t>
  </si>
  <si>
    <t xml:space="preserve">330x330</t>
  </si>
  <si>
    <t xml:space="preserve">6061-5x340x340</t>
  </si>
  <si>
    <t xml:space="preserve">340x340</t>
  </si>
  <si>
    <t xml:space="preserve">6061-5x60x150</t>
  </si>
  <si>
    <t xml:space="preserve">60x150</t>
  </si>
  <si>
    <t xml:space="preserve">GB Standard Aluminum Profile (cut to length)  [Plates &amp; Tubes]</t>
  </si>
  <si>
    <t xml:space="preserve">15120</t>
  </si>
  <si>
    <t xml:space="preserve">GB15120-SV-L100</t>
  </si>
  <si>
    <t xml:space="preserve">GB15120-SV-L150</t>
  </si>
  <si>
    <t xml:space="preserve">GB15120-SV-L200</t>
  </si>
  <si>
    <t xml:space="preserve">GB15120-SV-L250</t>
  </si>
  <si>
    <t xml:space="preserve">GB15120-SV-L300</t>
  </si>
  <si>
    <t xml:space="preserve">GB15120-SV-L380</t>
  </si>
  <si>
    <t xml:space="preserve">GB15120-SV-L550</t>
  </si>
  <si>
    <t xml:space="preserve">GB15180-BK-L240</t>
  </si>
  <si>
    <t xml:space="preserve">15180</t>
  </si>
  <si>
    <t xml:space="preserve">GB15180-BK-L250</t>
  </si>
  <si>
    <t xml:space="preserve">GB15180-BK-L290</t>
  </si>
  <si>
    <t xml:space="preserve">GB15180-BK-L300</t>
  </si>
  <si>
    <t xml:space="preserve">GB15180-BK-L320</t>
  </si>
  <si>
    <t xml:space="preserve">GB15180-BK-L400</t>
  </si>
  <si>
    <t xml:space="preserve">GB15180-BK-L500</t>
  </si>
  <si>
    <t xml:space="preserve">GB15180-SV-L100</t>
  </si>
  <si>
    <t xml:space="preserve">GB15180-SV-L1000</t>
  </si>
  <si>
    <t xml:space="preserve">GB15180-SV-L200</t>
  </si>
  <si>
    <t xml:space="preserve">GB15180-SV-L230</t>
  </si>
  <si>
    <t xml:space="preserve">GB15180-SV-L290</t>
  </si>
  <si>
    <t xml:space="preserve">GB15180-SV-L300</t>
  </si>
  <si>
    <t xml:space="preserve">GB15180-SV-L320</t>
  </si>
  <si>
    <t xml:space="preserve">GB15180-SV-L380</t>
  </si>
  <si>
    <t xml:space="preserve">GB15180-SV-L400</t>
  </si>
  <si>
    <t xml:space="preserve">GB15180-SV-L420</t>
  </si>
  <si>
    <t xml:space="preserve">GB15180-SV-L430</t>
  </si>
  <si>
    <t xml:space="preserve">GB15180-SV-L450</t>
  </si>
  <si>
    <t xml:space="preserve">GB15180-SV-L500</t>
  </si>
  <si>
    <t xml:space="preserve">GB15180-SV-L600</t>
  </si>
  <si>
    <t xml:space="preserve">GB15180-SV-L640</t>
  </si>
  <si>
    <t xml:space="preserve">GB15180-SV-L650</t>
  </si>
  <si>
    <t xml:space="preserve">GB1530T-SV-L100</t>
  </si>
  <si>
    <t xml:space="preserve">1530T</t>
  </si>
  <si>
    <t xml:space="preserve">GB1530T-SV-L150</t>
  </si>
  <si>
    <t xml:space="preserve">GB1530T-SV-L170</t>
  </si>
  <si>
    <t xml:space="preserve">GB1530T-SV-L200</t>
  </si>
  <si>
    <t xml:space="preserve">GB1530T-SV-L350</t>
  </si>
  <si>
    <t xml:space="preserve">GB1530T-SV-L500</t>
  </si>
  <si>
    <t xml:space="preserve">GB1530U-SV-L150</t>
  </si>
  <si>
    <t xml:space="preserve">1530U</t>
  </si>
  <si>
    <t xml:space="preserve">GB1530U-SV-L200</t>
  </si>
  <si>
    <t xml:space="preserve">GB1530U-SV-L250</t>
  </si>
  <si>
    <t xml:space="preserve">GB1560T-SV-L1000</t>
  </si>
  <si>
    <t xml:space="preserve">1560T</t>
  </si>
  <si>
    <t xml:space="preserve">GB1560T-SV-L150</t>
  </si>
  <si>
    <t xml:space="preserve">GB1560T-SV-L200</t>
  </si>
  <si>
    <t xml:space="preserve">GB1560T-SV-L250</t>
  </si>
  <si>
    <t xml:space="preserve">GB1560T-SV-L500</t>
  </si>
  <si>
    <t xml:space="preserve">GB1560T-SV-L520</t>
  </si>
  <si>
    <t xml:space="preserve">GB1560T-SV-L700</t>
  </si>
  <si>
    <t xml:space="preserve">GB1560U-SV-L200</t>
  </si>
  <si>
    <t xml:space="preserve">1560U</t>
  </si>
  <si>
    <t xml:space="preserve">GB1560U-SV-L250</t>
  </si>
  <si>
    <t xml:space="preserve">GB1560U-SV-L500</t>
  </si>
  <si>
    <t xml:space="preserve">GB1590T-SV-L150</t>
  </si>
  <si>
    <t xml:space="preserve">1590T</t>
  </si>
  <si>
    <t xml:space="preserve">GB1590T-SV-L1500</t>
  </si>
  <si>
    <t xml:space="preserve">GB1590T-SV-L170</t>
  </si>
  <si>
    <t xml:space="preserve">GB1590T-SV-L200</t>
  </si>
  <si>
    <t xml:space="preserve">GB1590T-SV-L250</t>
  </si>
  <si>
    <t xml:space="preserve">GB1590T-SV-L300</t>
  </si>
  <si>
    <t xml:space="preserve">GB1590T-SV-L360</t>
  </si>
  <si>
    <t xml:space="preserve">GB1590T-SV-L400</t>
  </si>
  <si>
    <t xml:space="preserve">GB1590T-SV-L450</t>
  </si>
  <si>
    <t xml:space="preserve">GB1590T-SV-L500</t>
  </si>
  <si>
    <t xml:space="preserve">GB1590T-SV-L525</t>
  </si>
  <si>
    <t xml:space="preserve">GB1590T-SV-L750</t>
  </si>
  <si>
    <t xml:space="preserve">GB1590U-SV-L150</t>
  </si>
  <si>
    <t xml:space="preserve">1590U</t>
  </si>
  <si>
    <t xml:space="preserve">GB1590U-SV-L300</t>
  </si>
  <si>
    <t xml:space="preserve">GB20120-SV-L200</t>
  </si>
  <si>
    <t xml:space="preserve">20120</t>
  </si>
  <si>
    <t xml:space="preserve">GB20120-SV-L250</t>
  </si>
  <si>
    <t xml:space="preserve">GB20120-SV-L300</t>
  </si>
  <si>
    <t xml:space="preserve">GB20120-SV-L320</t>
  </si>
  <si>
    <t xml:space="preserve">GB20120-SV-L370</t>
  </si>
  <si>
    <t xml:space="preserve">GB20120-SV-L420</t>
  </si>
  <si>
    <t xml:space="preserve">EU Standard Aluminum Profile (cut to length)  [Plates &amp; Tubes]</t>
  </si>
  <si>
    <t xml:space="preserve">EU1020-SV-L100</t>
  </si>
  <si>
    <t xml:space="preserve">EU1020-SV-L1200</t>
  </si>
  <si>
    <t xml:space="preserve">EU1020-SV-L150</t>
  </si>
  <si>
    <t xml:space="preserve">EU1020-SV-L175</t>
  </si>
  <si>
    <t xml:space="preserve">EU1020-SV-L180</t>
  </si>
  <si>
    <t xml:space="preserve">EU1020-SV-L200</t>
  </si>
  <si>
    <t xml:space="preserve">EU1020-SV-L212</t>
  </si>
  <si>
    <t xml:space="preserve">EU1020-SV-L331</t>
  </si>
  <si>
    <t xml:space="preserve">331</t>
  </si>
  <si>
    <t xml:space="preserve">EU1020-SV-L400</t>
  </si>
  <si>
    <t xml:space="preserve">EU1020-SV-L500</t>
  </si>
  <si>
    <t xml:space="preserve">EU1020-SV-L550</t>
  </si>
  <si>
    <t xml:space="preserve">EU1020-SV-L800</t>
  </si>
  <si>
    <t xml:space="preserve">EU1640-SV-L150</t>
  </si>
  <si>
    <t xml:space="preserve">1640</t>
  </si>
  <si>
    <t xml:space="preserve">EU1640-SV-L300</t>
  </si>
  <si>
    <t xml:space="preserve">EU20100-SV-L150</t>
  </si>
  <si>
    <t xml:space="preserve">20100</t>
  </si>
  <si>
    <t xml:space="preserve">EU20100-SV-L180</t>
  </si>
  <si>
    <t xml:space="preserve">EU20100-SV-L200</t>
  </si>
  <si>
    <t xml:space="preserve">EU20100-SV-L300</t>
  </si>
  <si>
    <t xml:space="preserve">EU20100-SV-L350</t>
  </si>
  <si>
    <t xml:space="preserve">EU20100-SV-L400</t>
  </si>
  <si>
    <t xml:space="preserve">EU20100-SV-L420</t>
  </si>
  <si>
    <t xml:space="preserve">EU20100-SV-L450</t>
  </si>
  <si>
    <t xml:space="preserve">EU20100-SV-L600</t>
  </si>
  <si>
    <t xml:space="preserve">EU2020-BK-L100</t>
  </si>
  <si>
    <t xml:space="preserve">EU2020-BK-L135</t>
  </si>
  <si>
    <t xml:space="preserve">EU2020-BK-L140</t>
  </si>
  <si>
    <t xml:space="preserve">EU2020-BK-L150</t>
  </si>
  <si>
    <t xml:space="preserve">EU2020-BK-L1500</t>
  </si>
  <si>
    <t xml:space="preserve">EU2020-BK-L180</t>
  </si>
  <si>
    <t xml:space="preserve">EU2020-BK-L200</t>
  </si>
  <si>
    <t xml:space="preserve">EU2020-BK-L220</t>
  </si>
  <si>
    <t xml:space="preserve">EU2020-BK-L240</t>
  </si>
  <si>
    <t xml:space="preserve">EU2020-BK-L245</t>
  </si>
  <si>
    <t xml:space="preserve">EU2020-BK-L250</t>
  </si>
  <si>
    <t xml:space="preserve">EU2020-BK-L255</t>
  </si>
  <si>
    <t xml:space="preserve">EU2020-BK-L270</t>
  </si>
  <si>
    <t xml:space="preserve">EU2020-BK-L285</t>
  </si>
  <si>
    <t xml:space="preserve">EU2020-BK-L300</t>
  </si>
  <si>
    <t xml:space="preserve">EU2020-BK-L303</t>
  </si>
  <si>
    <t xml:space="preserve">EU2020-BK-L305</t>
  </si>
  <si>
    <t xml:space="preserve">EU2020-BK-L320</t>
  </si>
  <si>
    <t xml:space="preserve">EU2020-BK-L323</t>
  </si>
  <si>
    <t xml:space="preserve">323</t>
  </si>
  <si>
    <t xml:space="preserve">EU2020-BK-L332</t>
  </si>
  <si>
    <t xml:space="preserve">332</t>
  </si>
  <si>
    <t xml:space="preserve">EU2020-BK-L338</t>
  </si>
  <si>
    <t xml:space="preserve">EU2020-BK-L340</t>
  </si>
  <si>
    <t xml:space="preserve">EU2020-BK-L341</t>
  </si>
  <si>
    <t xml:space="preserve">341</t>
  </si>
  <si>
    <t xml:space="preserve">EU2020-BK-L350</t>
  </si>
  <si>
    <t xml:space="preserve">EU2020-BK-L351</t>
  </si>
  <si>
    <t xml:space="preserve">EU2020-BK-L355</t>
  </si>
  <si>
    <t xml:space="preserve">EU2020-BK-L360</t>
  </si>
  <si>
    <t xml:space="preserve">EU2020-BK-L380</t>
  </si>
  <si>
    <t xml:space="preserve">EU2020-BK-L400</t>
  </si>
  <si>
    <t xml:space="preserve">EU2020-BK-L405</t>
  </si>
  <si>
    <t xml:space="preserve">EU2020-BK-L410</t>
  </si>
  <si>
    <t xml:space="preserve">EU2020-BK-L415</t>
  </si>
  <si>
    <t xml:space="preserve">EU2020-BK-L420</t>
  </si>
  <si>
    <t xml:space="preserve">EU2020-BK-L430</t>
  </si>
  <si>
    <t xml:space="preserve">EU2020-BK-L435</t>
  </si>
  <si>
    <t xml:space="preserve">EU2020-BK-L440</t>
  </si>
  <si>
    <t xml:space="preserve">EU2020-BK-L450</t>
  </si>
  <si>
    <t xml:space="preserve">EU2020-BK-L460</t>
  </si>
  <si>
    <t xml:space="preserve">EU2020-BK-L480</t>
  </si>
  <si>
    <t xml:space="preserve">EU2020-BK-L500</t>
  </si>
  <si>
    <t xml:space="preserve">EU2020-BK-L510</t>
  </si>
  <si>
    <t xml:space="preserve">EU2020-BK-L525</t>
  </si>
  <si>
    <t xml:space="preserve">EU2020-BK-L540</t>
  </si>
  <si>
    <t xml:space="preserve">EU2020-BK-L550</t>
  </si>
  <si>
    <t xml:space="preserve">EU2020-BK-L560</t>
  </si>
  <si>
    <t xml:space="preserve">EU2020-BK-L590</t>
  </si>
  <si>
    <t xml:space="preserve">EU2020-BK-L600</t>
  </si>
  <si>
    <t xml:space="preserve">EU2020-BK-L610</t>
  </si>
  <si>
    <t xml:space="preserve">EU2020-BK-L640</t>
  </si>
  <si>
    <t xml:space="preserve">EU2020-BK-L650</t>
  </si>
  <si>
    <t xml:space="preserve">EU2020-BK-L750</t>
  </si>
  <si>
    <t xml:space="preserve">EU2020-BK-L800</t>
  </si>
  <si>
    <t xml:space="preserve">EU2020-SV-L100</t>
  </si>
  <si>
    <t xml:space="preserve">EU2020-SV-L110</t>
  </si>
  <si>
    <t xml:space="preserve">EU2020-SV-L135</t>
  </si>
  <si>
    <t xml:space="preserve">EU2020-SV-L140</t>
  </si>
  <si>
    <t xml:space="preserve">EU2020-SV-L150</t>
  </si>
  <si>
    <t xml:space="preserve">EU2020-SV-L155</t>
  </si>
  <si>
    <t xml:space="preserve">EU2020-SV-L160</t>
  </si>
  <si>
    <t xml:space="preserve">EU2020-SV-L180</t>
  </si>
  <si>
    <t xml:space="preserve">EU2020-SV-L189</t>
  </si>
  <si>
    <t xml:space="preserve">EU2020-SV-L200</t>
  </si>
  <si>
    <t xml:space="preserve">EU2020-SV-L210</t>
  </si>
  <si>
    <t xml:space="preserve">EU2020-SV-L220</t>
  </si>
  <si>
    <t xml:space="preserve">EU2020-SV-L230</t>
  </si>
  <si>
    <t xml:space="preserve">EU2020-SV-L235</t>
  </si>
  <si>
    <t xml:space="preserve">EU2020-SV-L240</t>
  </si>
  <si>
    <t xml:space="preserve">EU2020-SV-L250</t>
  </si>
  <si>
    <t xml:space="preserve">EU2020-SV-L255</t>
  </si>
  <si>
    <t xml:space="preserve">EU2020-SV-L260</t>
  </si>
  <si>
    <t xml:space="preserve">EU2020-SV-L285</t>
  </si>
  <si>
    <t xml:space="preserve">EU2020-SV-L300</t>
  </si>
  <si>
    <t xml:space="preserve">EU2020-SV-L303</t>
  </si>
  <si>
    <t xml:space="preserve">EU2020-SV-L308</t>
  </si>
  <si>
    <t xml:space="preserve">EU2020-SV-L310</t>
  </si>
  <si>
    <t xml:space="preserve">EU2020-SV-L315</t>
  </si>
  <si>
    <t xml:space="preserve">EU2020-SV-L320</t>
  </si>
  <si>
    <t xml:space="preserve">EU2020-SV-L325</t>
  </si>
  <si>
    <t xml:space="preserve">EU2020-SV-L330</t>
  </si>
  <si>
    <t xml:space="preserve">EU2020-SV-L340</t>
  </si>
  <si>
    <t xml:space="preserve">EU2020-SV-L350</t>
  </si>
  <si>
    <t xml:space="preserve">EU2020-SV-L360</t>
  </si>
  <si>
    <t xml:space="preserve">EU2020-SV-L370</t>
  </si>
  <si>
    <t xml:space="preserve">EU2020-SV-L380</t>
  </si>
  <si>
    <t xml:space="preserve">EU2020-SV-L390</t>
  </si>
  <si>
    <t xml:space="preserve">EU2020-SV-L400</t>
  </si>
  <si>
    <t xml:space="preserve">EU2020-SV-L410</t>
  </si>
  <si>
    <t xml:space="preserve">EU2020-SV-L415</t>
  </si>
  <si>
    <t xml:space="preserve">EU2020-SV-L420</t>
  </si>
  <si>
    <t xml:space="preserve">EU2020-SV-L428</t>
  </si>
  <si>
    <t xml:space="preserve">EU2020-SV-L430</t>
  </si>
  <si>
    <t xml:space="preserve">EU2020-SV-L440</t>
  </si>
  <si>
    <t xml:space="preserve">EU2020-SV-L450</t>
  </si>
  <si>
    <t xml:space="preserve">EU2020-SV-L460</t>
  </si>
  <si>
    <t xml:space="preserve">EU2020-SV-L470</t>
  </si>
  <si>
    <t xml:space="preserve">EU2020-SV-L475</t>
  </si>
  <si>
    <t xml:space="preserve">EU2020-SV-L480</t>
  </si>
  <si>
    <t xml:space="preserve">EU2020-SV-L488</t>
  </si>
  <si>
    <t xml:space="preserve">EU2020-SV-L490</t>
  </si>
  <si>
    <t xml:space="preserve">EU2020-SV-L495</t>
  </si>
  <si>
    <t xml:space="preserve">EU2020-SV-L50</t>
  </si>
  <si>
    <t xml:space="preserve">EU2020-SV-L500</t>
  </si>
  <si>
    <t xml:space="preserve">EU2020-SV-L505</t>
  </si>
  <si>
    <t xml:space="preserve">EU2020-SV-L510</t>
  </si>
  <si>
    <t xml:space="preserve">EU2020-SV-L515</t>
  </si>
  <si>
    <t xml:space="preserve">EU2020-SV-L520</t>
  </si>
  <si>
    <t xml:space="preserve">EU2020-SV-L525</t>
  </si>
  <si>
    <t xml:space="preserve">EU2020-SV-L530</t>
  </si>
  <si>
    <t xml:space="preserve">EU2020-SV-L550</t>
  </si>
  <si>
    <t xml:space="preserve">EU2020-SV-L560</t>
  </si>
  <si>
    <t xml:space="preserve">EU2020-SV-L600</t>
  </si>
  <si>
    <t xml:space="preserve">EU2020-SV-L650</t>
  </si>
  <si>
    <t xml:space="preserve">EU2020-SV-L700</t>
  </si>
  <si>
    <t xml:space="preserve">EU2020-SV-L740</t>
  </si>
  <si>
    <t xml:space="preserve">EU2020-SV-L760</t>
  </si>
  <si>
    <t xml:space="preserve">EU2020-SV-L770</t>
  </si>
  <si>
    <t xml:space="preserve">EU2020-SV-L780</t>
  </si>
  <si>
    <t xml:space="preserve">EU2020-SV-L800</t>
  </si>
  <si>
    <t xml:space="preserve">EU2020-SV-L900</t>
  </si>
  <si>
    <t xml:space="preserve">EU2020R-BK-L100</t>
  </si>
  <si>
    <t xml:space="preserve">2020R</t>
  </si>
  <si>
    <t xml:space="preserve">EU2020R-SV-L100</t>
  </si>
  <si>
    <t xml:space="preserve">EU2020R-SV-L1000</t>
  </si>
  <si>
    <t xml:space="preserve">EU2020R-SV-L130</t>
  </si>
  <si>
    <t xml:space="preserve">EU2020R-SV-L150</t>
  </si>
  <si>
    <t xml:space="preserve">EU2020R-SV-L200</t>
  </si>
  <si>
    <t xml:space="preserve">EU2020R-SV-L350</t>
  </si>
  <si>
    <t xml:space="preserve">EU2020R-SV-L400</t>
  </si>
  <si>
    <t xml:space="preserve">EU2020V-BK-L100</t>
  </si>
  <si>
    <t xml:space="preserve">2020V</t>
  </si>
  <si>
    <t xml:space="preserve">EU2020V-BK-L1000</t>
  </si>
  <si>
    <t xml:space="preserve">EU2020V-BK-L1100</t>
  </si>
  <si>
    <t xml:space="preserve">EU2020V-BK-L135</t>
  </si>
  <si>
    <t xml:space="preserve">EU2020V-BK-L140</t>
  </si>
  <si>
    <t xml:space="preserve">EU2020V-BK-L150</t>
  </si>
  <si>
    <t xml:space="preserve">EU2020V-BK-L180</t>
  </si>
  <si>
    <t xml:space="preserve">EU2020V-BK-L200</t>
  </si>
  <si>
    <t xml:space="preserve">EU2020V-BK-L250</t>
  </si>
  <si>
    <t xml:space="preserve">EU2020V-BK-L260</t>
  </si>
  <si>
    <t xml:space="preserve">EU2020V-BK-L270</t>
  </si>
  <si>
    <t xml:space="preserve">EU2020V-BK-L280</t>
  </si>
  <si>
    <t xml:space="preserve">EU2020V-BK-L285</t>
  </si>
  <si>
    <t xml:space="preserve">EU2020V-BK-L300</t>
  </si>
  <si>
    <t xml:space="preserve">EU2020V-BK-L310</t>
  </si>
  <si>
    <t xml:space="preserve">EU2020V-BK-L313</t>
  </si>
  <si>
    <t xml:space="preserve">313</t>
  </si>
  <si>
    <t xml:space="preserve">EU2020V-BK-L320</t>
  </si>
  <si>
    <t xml:space="preserve">EU2020V-BK-L330</t>
  </si>
  <si>
    <t xml:space="preserve">EU2020V-BK-L335</t>
  </si>
  <si>
    <t xml:space="preserve">EU2020V-BK-L340</t>
  </si>
  <si>
    <t xml:space="preserve">EU2020V-BK-L350</t>
  </si>
  <si>
    <t xml:space="preserve">EU2020V-BK-L360</t>
  </si>
  <si>
    <t xml:space="preserve">EU2020V-BK-L370</t>
  </si>
  <si>
    <t xml:space="preserve">EU2020V-BK-L380</t>
  </si>
  <si>
    <t xml:space="preserve">EU2020V-BK-L385</t>
  </si>
  <si>
    <t xml:space="preserve">EU2020V-BK-L390</t>
  </si>
  <si>
    <t xml:space="preserve">EU2020V-BK-L400</t>
  </si>
  <si>
    <t xml:space="preserve">EU2020V-BK-L405</t>
  </si>
  <si>
    <t xml:space="preserve">EU2020V-BK-L410</t>
  </si>
  <si>
    <t xml:space="preserve">EU2020V-BK-L415</t>
  </si>
  <si>
    <t xml:space="preserve">EU2020V-BK-L420</t>
  </si>
  <si>
    <t xml:space="preserve">EU2020V-BK-L430</t>
  </si>
  <si>
    <t xml:space="preserve">EU2020V-BK-L435</t>
  </si>
  <si>
    <t xml:space="preserve">EU2020V-BK-L440</t>
  </si>
  <si>
    <t xml:space="preserve">EU2020V-BK-L441</t>
  </si>
  <si>
    <t xml:space="preserve">EU2020V-BK-L450</t>
  </si>
  <si>
    <t xml:space="preserve">EU2020V-BK-L460</t>
  </si>
  <si>
    <t xml:space="preserve">EU2020V-BK-L470</t>
  </si>
  <si>
    <t xml:space="preserve">EU2020V-BK-L488</t>
  </si>
  <si>
    <t xml:space="preserve">EU2020V-BK-L490</t>
  </si>
  <si>
    <t xml:space="preserve">EU2020V-BK-L500</t>
  </si>
  <si>
    <t xml:space="preserve">EU2020V-BK-L503</t>
  </si>
  <si>
    <t xml:space="preserve">503</t>
  </si>
  <si>
    <t xml:space="preserve">EU2020V-BK-L520</t>
  </si>
  <si>
    <t xml:space="preserve">EU2020V-BK-L530</t>
  </si>
  <si>
    <t xml:space="preserve">EU2020V-BK-L540</t>
  </si>
  <si>
    <t xml:space="preserve">EU2020V-BK-L550</t>
  </si>
  <si>
    <t xml:space="preserve">EU2020V-BK-L560</t>
  </si>
  <si>
    <t xml:space="preserve">EU2020V-BK-L570</t>
  </si>
  <si>
    <t xml:space="preserve">EU2020V-BK-L600</t>
  </si>
  <si>
    <t xml:space="preserve">EU2020V-BK-L620</t>
  </si>
  <si>
    <t xml:space="preserve">EU2020V-BK-L640</t>
  </si>
  <si>
    <t xml:space="preserve">EU2020V-BK-L650</t>
  </si>
  <si>
    <t xml:space="preserve">EU2020V-BK-L700</t>
  </si>
  <si>
    <t xml:space="preserve">EU2020V-BK-L750</t>
  </si>
  <si>
    <t xml:space="preserve">EU2020V-BK-L80</t>
  </si>
  <si>
    <t xml:space="preserve">EU2020V-BK-L800</t>
  </si>
  <si>
    <t xml:space="preserve">EU2020V-SV-L1000</t>
  </si>
  <si>
    <t xml:space="preserve">EU2020V-SV-L1200</t>
  </si>
  <si>
    <t xml:space="preserve">EU2020V-SV-L154</t>
  </si>
  <si>
    <t xml:space="preserve">EU2020V-SV-L200</t>
  </si>
  <si>
    <t xml:space="preserve">EU2020V-SV-L220</t>
  </si>
  <si>
    <t xml:space="preserve">EU2020V-SV-L250</t>
  </si>
  <si>
    <t xml:space="preserve">EU2020V-SV-L260</t>
  </si>
  <si>
    <t xml:space="preserve">EU2020V-SV-L270</t>
  </si>
  <si>
    <t xml:space="preserve">EU2020V-SV-L300</t>
  </si>
  <si>
    <t xml:space="preserve">EU2020V-SV-L330</t>
  </si>
  <si>
    <t xml:space="preserve">EU2020V-SV-L340</t>
  </si>
  <si>
    <t xml:space="preserve">EU2020V-SV-L350</t>
  </si>
  <si>
    <t xml:space="preserve">EU2020V-SV-L380</t>
  </si>
  <si>
    <t xml:space="preserve">EU2020V-SV-L400</t>
  </si>
  <si>
    <t xml:space="preserve">EU2020V-SV-L410</t>
  </si>
  <si>
    <t xml:space="preserve">EU2020V-SV-L420</t>
  </si>
  <si>
    <t xml:space="preserve">EU2020V-SV-L440</t>
  </si>
  <si>
    <t xml:space="preserve">EU2020V-SV-L450</t>
  </si>
  <si>
    <t xml:space="preserve">EU2020V-SV-L460</t>
  </si>
  <si>
    <t xml:space="preserve">EU2020V-SV-L470</t>
  </si>
  <si>
    <t xml:space="preserve">EU2020V-SV-L480</t>
  </si>
  <si>
    <t xml:space="preserve">EU2020V-SV-L488</t>
  </si>
  <si>
    <t xml:space="preserve">EU2020V-SV-L490</t>
  </si>
  <si>
    <t xml:space="preserve">EU2020V-SV-L494</t>
  </si>
  <si>
    <t xml:space="preserve">EU2020V-SV-L500</t>
  </si>
  <si>
    <t xml:space="preserve">EU2020V-SV-L520</t>
  </si>
  <si>
    <t xml:space="preserve">EU2020V-SV-L550</t>
  </si>
  <si>
    <t xml:space="preserve">EU2020V-SV-L600</t>
  </si>
  <si>
    <t xml:space="preserve">EU2020V-SV-L620</t>
  </si>
  <si>
    <t xml:space="preserve">EU2020V-SV-L630</t>
  </si>
  <si>
    <t xml:space="preserve">EU2020V-SV-L650</t>
  </si>
  <si>
    <t xml:space="preserve">EU2020V-SV-L700</t>
  </si>
  <si>
    <t xml:space="preserve">EU2020V-SV-L750</t>
  </si>
  <si>
    <t xml:space="preserve">EU2020V-SV-L800</t>
  </si>
  <si>
    <t xml:space="preserve">EU2020V-SV-L900</t>
  </si>
  <si>
    <t xml:space="preserve">EU2040-BK-L100</t>
  </si>
  <si>
    <t xml:space="preserve">EU2040-BK-L1000</t>
  </si>
  <si>
    <t xml:space="preserve">EU2040-BK-L120</t>
  </si>
  <si>
    <t xml:space="preserve">EU2040-BK-L150</t>
  </si>
  <si>
    <t xml:space="preserve">EU2040-BK-L200</t>
  </si>
  <si>
    <t xml:space="preserve">EU2040-BK-L240</t>
  </si>
  <si>
    <t xml:space="preserve">EU2040-BK-L250</t>
  </si>
  <si>
    <t xml:space="preserve">EU2040-BK-L300</t>
  </si>
  <si>
    <t xml:space="preserve">EU2040-BK-L313</t>
  </si>
  <si>
    <t xml:space="preserve">EU2040-BK-L320</t>
  </si>
  <si>
    <t xml:space="preserve">EU2040-BK-L340</t>
  </si>
  <si>
    <t xml:space="preserve">EU2040-BK-L350</t>
  </si>
  <si>
    <t xml:space="preserve">EU2040-BK-L364</t>
  </si>
  <si>
    <t xml:space="preserve">EU2040-BK-L380</t>
  </si>
  <si>
    <t xml:space="preserve">EU2040-BK-L400</t>
  </si>
  <si>
    <t xml:space="preserve">EU2040-BK-L420</t>
  </si>
  <si>
    <t xml:space="preserve">EU2040-BK-L430</t>
  </si>
  <si>
    <t xml:space="preserve">EU2040-BK-L440</t>
  </si>
  <si>
    <t xml:space="preserve">EU2040-BK-L460</t>
  </si>
  <si>
    <t xml:space="preserve">EU2040-BK-L470</t>
  </si>
  <si>
    <t xml:space="preserve">EU2040-BK-L480</t>
  </si>
  <si>
    <t xml:space="preserve">EU2040-BK-L500</t>
  </si>
  <si>
    <t xml:space="preserve">EU2040-BK-L550</t>
  </si>
  <si>
    <t xml:space="preserve">EU2040-BK-L600</t>
  </si>
  <si>
    <t xml:space="preserve">EU2040-BK-L700</t>
  </si>
  <si>
    <t xml:space="preserve">EU2040-BK-L800</t>
  </si>
  <si>
    <t xml:space="preserve">EU2040-SV-L100</t>
  </si>
  <si>
    <t xml:space="preserve">EU2040-SV-L150</t>
  </si>
  <si>
    <t xml:space="preserve">EU2040-SV-L200</t>
  </si>
  <si>
    <t xml:space="preserve">EU2040-SV-L250</t>
  </si>
  <si>
    <t xml:space="preserve">EU2040-SV-L300</t>
  </si>
  <si>
    <t xml:space="preserve">EU2040-SV-L310</t>
  </si>
  <si>
    <t xml:space="preserve">EU2040-SV-L313</t>
  </si>
  <si>
    <t xml:space="preserve">EU2040-SV-L340</t>
  </si>
  <si>
    <t xml:space="preserve">EU2040-SV-L350</t>
  </si>
  <si>
    <t xml:space="preserve">EU2040-SV-L380</t>
  </si>
  <si>
    <t xml:space="preserve">EU2040-SV-L390</t>
  </si>
  <si>
    <t xml:space="preserve">EU2040-SV-L400</t>
  </si>
  <si>
    <t xml:space="preserve">EU2040-SV-L420</t>
  </si>
  <si>
    <t xml:space="preserve">EU2040-SV-L430</t>
  </si>
  <si>
    <t xml:space="preserve">EU2040-SV-L440</t>
  </si>
  <si>
    <t xml:space="preserve">EU2040-SV-L445</t>
  </si>
  <si>
    <t xml:space="preserve">EU2040-SV-L450</t>
  </si>
  <si>
    <t xml:space="preserve">EU2040-SV-L470</t>
  </si>
  <si>
    <t xml:space="preserve">EU2040-SV-L50</t>
  </si>
  <si>
    <t xml:space="preserve">EU2040-SV-L500</t>
  </si>
  <si>
    <t xml:space="preserve">EU2040-SV-L600</t>
  </si>
  <si>
    <t xml:space="preserve">EU2040V-BK-L100</t>
  </si>
  <si>
    <t xml:space="preserve">2040V</t>
  </si>
  <si>
    <t xml:space="preserve">EU2040V-BK-L1000</t>
  </si>
  <si>
    <t xml:space="preserve">EU2040V-BK-L1100</t>
  </si>
  <si>
    <t xml:space="preserve">EU2040V-BK-L1200</t>
  </si>
  <si>
    <t xml:space="preserve">EU2040V-BK-L130</t>
  </si>
  <si>
    <t xml:space="preserve">EU2040V-BK-L150</t>
  </si>
  <si>
    <t xml:space="preserve">EU2040V-BK-L200</t>
  </si>
  <si>
    <t xml:space="preserve">EU2040V-BK-L210</t>
  </si>
  <si>
    <t xml:space="preserve">EU2040V-BK-L227</t>
  </si>
  <si>
    <t xml:space="preserve">227</t>
  </si>
  <si>
    <t xml:space="preserve">EU2040V-BK-L240</t>
  </si>
  <si>
    <t xml:space="preserve">EU2040V-BK-L250</t>
  </si>
  <si>
    <t xml:space="preserve">EU2040V-BK-L260</t>
  </si>
  <si>
    <t xml:space="preserve">EU2040V-BK-L295</t>
  </si>
  <si>
    <t xml:space="preserve">EU2040V-BK-L300</t>
  </si>
  <si>
    <t xml:space="preserve">EU2040V-BK-L313</t>
  </si>
  <si>
    <t xml:space="preserve">EU2040V-BK-L331</t>
  </si>
  <si>
    <t xml:space="preserve">EU2040V-BK-L333</t>
  </si>
  <si>
    <t xml:space="preserve">EU2040V-BK-L340</t>
  </si>
  <si>
    <t xml:space="preserve">EU2040V-BK-L341</t>
  </si>
  <si>
    <t xml:space="preserve">EU2040V-BK-L350</t>
  </si>
  <si>
    <t xml:space="preserve">EU2040V-BK-L360</t>
  </si>
  <si>
    <t xml:space="preserve">EU2040V-BK-L370</t>
  </si>
  <si>
    <t xml:space="preserve">EU2040V-BK-L380</t>
  </si>
  <si>
    <t xml:space="preserve">EU2040V-BK-L385</t>
  </si>
  <si>
    <t xml:space="preserve">EU2040V-BK-L400</t>
  </si>
  <si>
    <t xml:space="preserve">EU2040V-BK-L414</t>
  </si>
  <si>
    <t xml:space="preserve">EU2040V-BK-L433</t>
  </si>
  <si>
    <t xml:space="preserve">433</t>
  </si>
  <si>
    <t xml:space="preserve">EU2040V-BK-L440</t>
  </si>
  <si>
    <t xml:space="preserve">EU2040V-BK-L448</t>
  </si>
  <si>
    <t xml:space="preserve">EU2040V-BK-L450</t>
  </si>
  <si>
    <t xml:space="preserve">EU2040V-BK-L454</t>
  </si>
  <si>
    <t xml:space="preserve">EU2040V-BK-L460</t>
  </si>
  <si>
    <t xml:space="preserve">EU2040V-BK-L463</t>
  </si>
  <si>
    <t xml:space="preserve">463</t>
  </si>
  <si>
    <t xml:space="preserve">EU2040V-BK-L465</t>
  </si>
  <si>
    <t xml:space="preserve">EU2040V-BK-L470</t>
  </si>
  <si>
    <t xml:space="preserve">EU2040V-BK-L485</t>
  </si>
  <si>
    <t xml:space="preserve">EU2040V-BK-L488</t>
  </si>
  <si>
    <t xml:space="preserve">EU2040V-BK-L494</t>
  </si>
  <si>
    <t xml:space="preserve">EU2040V-BK-L500</t>
  </si>
  <si>
    <t xml:space="preserve">EU2040V-BK-L520</t>
  </si>
  <si>
    <t xml:space="preserve">EU2040V-BK-L530</t>
  </si>
  <si>
    <t xml:space="preserve">EU2040V-BK-L550</t>
  </si>
  <si>
    <t xml:space="preserve">EU2040V-BK-L554</t>
  </si>
  <si>
    <t xml:space="preserve">EU2040V-BK-L560</t>
  </si>
  <si>
    <t xml:space="preserve">EU2040V-BK-L600</t>
  </si>
  <si>
    <t xml:space="preserve">EU2040V-BK-L620</t>
  </si>
  <si>
    <t xml:space="preserve">EU2040V-BK-L650</t>
  </si>
  <si>
    <t xml:space="preserve">EU2040V-BK-L96</t>
  </si>
  <si>
    <t xml:space="preserve">EU2040V-SV-L100</t>
  </si>
  <si>
    <t xml:space="preserve">EU2040V-SV-L110</t>
  </si>
  <si>
    <t xml:space="preserve">EU2040V-SV-L1100</t>
  </si>
  <si>
    <t xml:space="preserve">EU2040V-SV-L190</t>
  </si>
  <si>
    <t xml:space="preserve">EU2040V-SV-L200</t>
  </si>
  <si>
    <t xml:space="preserve">EU2040V-SV-L230</t>
  </si>
  <si>
    <t xml:space="preserve">EU2040V-SV-L250</t>
  </si>
  <si>
    <t xml:space="preserve">EU2040V-SV-L265</t>
  </si>
  <si>
    <t xml:space="preserve">EU2040V-SV-L270</t>
  </si>
  <si>
    <t xml:space="preserve">EU2040V-SV-L300</t>
  </si>
  <si>
    <t xml:space="preserve">EU2040V-SV-L313</t>
  </si>
  <si>
    <t xml:space="preserve">EU2040V-SV-L330</t>
  </si>
  <si>
    <t xml:space="preserve">EU2040V-SV-L340</t>
  </si>
  <si>
    <t xml:space="preserve">EU2040V-SV-L360</t>
  </si>
  <si>
    <t xml:space="preserve">EU2040V-SV-L370</t>
  </si>
  <si>
    <t xml:space="preserve">EU2040V-SV-L400</t>
  </si>
  <si>
    <t xml:space="preserve">EU2040V-SV-L420</t>
  </si>
  <si>
    <t xml:space="preserve">EU2040V-SV-L433</t>
  </si>
  <si>
    <t xml:space="preserve">EU2040V-SV-L448</t>
  </si>
  <si>
    <t xml:space="preserve">EU2040V-SV-L450</t>
  </si>
  <si>
    <t xml:space="preserve">EU2040V-SV-L454</t>
  </si>
  <si>
    <t xml:space="preserve">EU2040V-SV-L460</t>
  </si>
  <si>
    <t xml:space="preserve">EU2040V-SV-L488</t>
  </si>
  <si>
    <t xml:space="preserve">EU2040V-SV-L494</t>
  </si>
  <si>
    <t xml:space="preserve">EU2040V-SV-L495</t>
  </si>
  <si>
    <t xml:space="preserve">EU2040V-SV-L500</t>
  </si>
  <si>
    <t xml:space="preserve">EU2040V-SV-L520</t>
  </si>
  <si>
    <t xml:space="preserve">EU2040V-SV-L560</t>
  </si>
  <si>
    <t xml:space="preserve">EU2040V-SV-L600</t>
  </si>
  <si>
    <t xml:space="preserve">EU2040V-SV-L665</t>
  </si>
  <si>
    <t xml:space="preserve">EU2040V-SV-L700</t>
  </si>
  <si>
    <t xml:space="preserve">EU2040V-SV-L745</t>
  </si>
  <si>
    <t xml:space="preserve">745</t>
  </si>
  <si>
    <t xml:space="preserve">EU2040V-SV-L750</t>
  </si>
  <si>
    <t xml:space="preserve">EU2040V-SV-L914</t>
  </si>
  <si>
    <t xml:space="preserve">914</t>
  </si>
  <si>
    <t xml:space="preserve">EU2040V-SV-L954</t>
  </si>
  <si>
    <t xml:space="preserve">954</t>
  </si>
  <si>
    <t xml:space="preserve">EU2060-SV-L100</t>
  </si>
  <si>
    <t xml:space="preserve">2060</t>
  </si>
  <si>
    <t xml:space="preserve">EU2060-SV-L150</t>
  </si>
  <si>
    <t xml:space="preserve">EU2060-SV-L200</t>
  </si>
  <si>
    <t xml:space="preserve">EU2060-SV-L400</t>
  </si>
  <si>
    <t xml:space="preserve">EU2060-SV-L550</t>
  </si>
  <si>
    <t xml:space="preserve">EU2060-SV-L600</t>
  </si>
  <si>
    <t xml:space="preserve">EU2060V-BK-L1000</t>
  </si>
  <si>
    <t xml:space="preserve">2060V</t>
  </si>
  <si>
    <t xml:space="preserve">EU2060V-BK-L1160</t>
  </si>
  <si>
    <t xml:space="preserve">1160</t>
  </si>
  <si>
    <t xml:space="preserve">EU2060V-BK-L200</t>
  </si>
  <si>
    <t xml:space="preserve">EU2060V-BK-L250</t>
  </si>
  <si>
    <t xml:space="preserve">EU2060V-BK-L300</t>
  </si>
  <si>
    <t xml:space="preserve">EU2060V-BK-L320</t>
  </si>
  <si>
    <t xml:space="preserve">EU2060V-BK-L400</t>
  </si>
  <si>
    <t xml:space="preserve">EU2060V-BK-L486</t>
  </si>
  <si>
    <t xml:space="preserve">EU2060V-BK-L500</t>
  </si>
  <si>
    <t xml:space="preserve">EU2060V-BK-L600</t>
  </si>
  <si>
    <t xml:space="preserve">EU2060V-BK-L700</t>
  </si>
  <si>
    <t xml:space="preserve">EU2060V-SV-L1000</t>
  </si>
  <si>
    <t xml:space="preserve">EU2060V-SV-L200</t>
  </si>
  <si>
    <t xml:space="preserve">EU2060V-SV-L250</t>
  </si>
  <si>
    <t xml:space="preserve">EU2060V-SV-L300</t>
  </si>
  <si>
    <t xml:space="preserve">EU2060V-SV-L380</t>
  </si>
  <si>
    <t xml:space="preserve">EU2060V-SV-L400</t>
  </si>
  <si>
    <t xml:space="preserve">EU2060V-SV-L500</t>
  </si>
  <si>
    <t xml:space="preserve">EU2060V-SV-L600</t>
  </si>
  <si>
    <t xml:space="preserve">EU2080-SV-L150</t>
  </si>
  <si>
    <t xml:space="preserve">2080</t>
  </si>
  <si>
    <t xml:space="preserve">EU2080-SV-L200</t>
  </si>
  <si>
    <t xml:space="preserve">EU2080-SV-L67</t>
  </si>
  <si>
    <t xml:space="preserve">67</t>
  </si>
  <si>
    <t xml:space="preserve">EU2080V-BK-L100</t>
  </si>
  <si>
    <t xml:space="preserve">2080V</t>
  </si>
  <si>
    <t xml:space="preserve">EU2080V-BK-L150</t>
  </si>
  <si>
    <t xml:space="preserve">EU2080V-BK-L200</t>
  </si>
  <si>
    <t xml:space="preserve">EU2080V-BK-L210</t>
  </si>
  <si>
    <t xml:space="preserve">EU2080V-BK-L250</t>
  </si>
  <si>
    <t xml:space="preserve">EU2080V-BK-L300</t>
  </si>
  <si>
    <t xml:space="preserve">EU2080V-BK-L310</t>
  </si>
  <si>
    <t xml:space="preserve">EU2080V-BK-L380</t>
  </si>
  <si>
    <t xml:space="preserve">EU2080V-BK-L400</t>
  </si>
  <si>
    <t xml:space="preserve">EU2080V-BK-L433</t>
  </si>
  <si>
    <t xml:space="preserve">EU2080V-BK-L450</t>
  </si>
  <si>
    <t xml:space="preserve">EU2080V-BK-L500</t>
  </si>
  <si>
    <t xml:space="preserve">EU2080V-BK-L540</t>
  </si>
  <si>
    <t xml:space="preserve">EU2080V-BK-L550</t>
  </si>
  <si>
    <t xml:space="preserve">EU2080V-BK-L750</t>
  </si>
  <si>
    <t xml:space="preserve">EU2080V-SV-L100</t>
  </si>
  <si>
    <t xml:space="preserve">EU2080V-SV-L350</t>
  </si>
  <si>
    <t xml:space="preserve">EU2080V-SV-L500</t>
  </si>
  <si>
    <t xml:space="preserve">EU30150-SV-L170</t>
  </si>
  <si>
    <t xml:space="preserve">30150</t>
  </si>
  <si>
    <t xml:space="preserve">EU30150-SV-L340</t>
  </si>
  <si>
    <t xml:space="preserve">EU30150-SV-L600</t>
  </si>
  <si>
    <t xml:space="preserve">EU30150-SV-L650</t>
  </si>
  <si>
    <t xml:space="preserve">EU30150-SV-L700</t>
  </si>
  <si>
    <t xml:space="preserve">EU3030-BK-L300</t>
  </si>
  <si>
    <t xml:space="preserve">EU3030-BK-L350</t>
  </si>
  <si>
    <t xml:space="preserve">EU3030-BK-L410</t>
  </si>
  <si>
    <t xml:space="preserve">EU3030-BK-L420</t>
  </si>
  <si>
    <t xml:space="preserve">EU3030-BK-L460</t>
  </si>
  <si>
    <t xml:space="preserve">EU3030-BK-L470</t>
  </si>
  <si>
    <t xml:space="preserve">EU3030-BK-L500</t>
  </si>
  <si>
    <t xml:space="preserve">EU3030-BK-L600</t>
  </si>
  <si>
    <t xml:space="preserve">EU3030-BK-L750</t>
  </si>
  <si>
    <t xml:space="preserve">EU3030-BK-L900</t>
  </si>
  <si>
    <t xml:space="preserve">EU3030-SV-L1000</t>
  </si>
  <si>
    <t xml:space="preserve">EU3030-SV-L120</t>
  </si>
  <si>
    <t xml:space="preserve">EU3030-SV-L200</t>
  </si>
  <si>
    <t xml:space="preserve">EU3030-SV-L345</t>
  </si>
  <si>
    <t xml:space="preserve">EU3030-SV-L400</t>
  </si>
  <si>
    <t xml:space="preserve">EU3030-SV-L450</t>
  </si>
  <si>
    <t xml:space="preserve">EU3030-SV-L460</t>
  </si>
  <si>
    <t xml:space="preserve">EU3030-SV-L500</t>
  </si>
  <si>
    <t xml:space="preserve">EU3030-SV-L550</t>
  </si>
  <si>
    <t xml:space="preserve">EU3030-SV-L800</t>
  </si>
  <si>
    <t xml:space="preserve">EU3060-BK-L1200</t>
  </si>
  <si>
    <t xml:space="preserve">3060</t>
  </si>
  <si>
    <t xml:space="preserve">EU3060-SV-L100</t>
  </si>
  <si>
    <t xml:space="preserve">EU3060-SV-L300</t>
  </si>
  <si>
    <t xml:space="preserve">EU4040-BK-L200</t>
  </si>
  <si>
    <t xml:space="preserve">EU4040-BK-L500</t>
  </si>
  <si>
    <t xml:space="preserve">EU4040-SV-L1000</t>
  </si>
  <si>
    <t xml:space="preserve">EU4040-SV-L500</t>
  </si>
  <si>
    <t xml:space="preserve">EU6060D-SV-L750</t>
  </si>
  <si>
    <t xml:space="preserve">6060 double slot</t>
  </si>
  <si>
    <t xml:space="preserve">Aluminum Square Tube 25x25x3  [Plates &amp; Tubes]</t>
  </si>
  <si>
    <t xml:space="preserve">SQT-25x25x3-L200</t>
  </si>
  <si>
    <t xml:space="preserve">SQT-25x25x3-L350</t>
  </si>
  <si>
    <t xml:space="preserve">ISO7380 Button Head Socket Screw, 10.9 Black Carbon Steel (M1.6-M20)  [Socket Screws]</t>
  </si>
  <si>
    <t xml:space="preserve">43 pcs</t>
  </si>
  <si>
    <t xml:space="preserve">M1.6</t>
  </si>
  <si>
    <t xml:space="preserve">I7380-G109-M1.6x10-P43</t>
  </si>
  <si>
    <t xml:space="preserve">I7380-G109-M1.6x12-P39</t>
  </si>
  <si>
    <t xml:space="preserve">39 pcs</t>
  </si>
  <si>
    <t xml:space="preserve">I7380-G109-M1.6x4-P47</t>
  </si>
  <si>
    <t xml:space="preserve">47 pcs</t>
  </si>
  <si>
    <t xml:space="preserve">I7380-G109-M1.6x5-P47</t>
  </si>
  <si>
    <t xml:space="preserve">I7380-G109-M1.6x6-P47</t>
  </si>
  <si>
    <t xml:space="preserve">I7380-G109-M1.6x8-P43</t>
  </si>
  <si>
    <t xml:space="preserve">I7380-G109-M10x100-P1</t>
  </si>
  <si>
    <t xml:space="preserve">I7380-G109-M10x110-P1</t>
  </si>
  <si>
    <t xml:space="preserve">I7380-G109-M10x12-P4</t>
  </si>
  <si>
    <t xml:space="preserve">I7380-G109-M10x120-P1</t>
  </si>
  <si>
    <t xml:space="preserve">I7380-G109-M10x130-P1</t>
  </si>
  <si>
    <t xml:space="preserve">I7380-G109-M10x140-P1</t>
  </si>
  <si>
    <t xml:space="preserve">I7380-G109-M10x150-P1</t>
  </si>
  <si>
    <t xml:space="preserve">I7380-G109-M10x16-P5</t>
  </si>
  <si>
    <t xml:space="preserve">I7380-G109-M10x18-P4</t>
  </si>
  <si>
    <t xml:space="preserve">I7380-G109-M10x20-P4</t>
  </si>
  <si>
    <t xml:space="preserve">I7380-G109-M10x25-P4</t>
  </si>
  <si>
    <t xml:space="preserve">I7380-G109-M10x30-P4</t>
  </si>
  <si>
    <t xml:space="preserve">I7380-G109-M10x35-P3</t>
  </si>
  <si>
    <t xml:space="preserve">I7380-G109-M10x40-P3</t>
  </si>
  <si>
    <t xml:space="preserve">I7380-G109-M10x45-P3</t>
  </si>
  <si>
    <t xml:space="preserve">I7380-G109-M10x50-P3</t>
  </si>
  <si>
    <t xml:space="preserve">I7380-G109-M10x55-P2</t>
  </si>
  <si>
    <t xml:space="preserve">I7380-G109-M10x60-P1</t>
  </si>
  <si>
    <t xml:space="preserve">I7380-G109-M10x65-P1</t>
  </si>
  <si>
    <t xml:space="preserve">I7380-G109-M10x70-P1</t>
  </si>
  <si>
    <t xml:space="preserve">I7380-G109-M10x75-P1</t>
  </si>
  <si>
    <t xml:space="preserve">I7380-G109-M10x80-P1</t>
  </si>
  <si>
    <t xml:space="preserve">I7380-G109-M10x85-P1</t>
  </si>
  <si>
    <t xml:space="preserve">I7380-G109-M10x90-P1</t>
  </si>
  <si>
    <t xml:space="preserve">I7380-G109-M12x100-P1</t>
  </si>
  <si>
    <t xml:space="preserve">I7380-G109-M12x110-P1</t>
  </si>
  <si>
    <t xml:space="preserve">I7380-G109-M12x120-P1</t>
  </si>
  <si>
    <t xml:space="preserve">I7380-G109-M12x130-P1</t>
  </si>
  <si>
    <t xml:space="preserve">I7380-G109-M12x140-P1</t>
  </si>
  <si>
    <t xml:space="preserve">I7380-G109-M12x150-P1</t>
  </si>
  <si>
    <t xml:space="preserve">I7380-G109-M12x16-P3</t>
  </si>
  <si>
    <t xml:space="preserve">I7380-G109-M12x20-P2</t>
  </si>
  <si>
    <t xml:space="preserve">I7380-G109-M12x25-P2</t>
  </si>
  <si>
    <t xml:space="preserve">I7380-G109-M12x30-P2</t>
  </si>
  <si>
    <t xml:space="preserve">I7380-G109-M12x35-P2</t>
  </si>
  <si>
    <t xml:space="preserve">I7380-G109-M12x40-P2</t>
  </si>
  <si>
    <t xml:space="preserve">I7380-G109-M12x45-P2</t>
  </si>
  <si>
    <t xml:space="preserve">I7380-G109-M12x50-P2</t>
  </si>
  <si>
    <t xml:space="preserve">I7380-G109-M12x55-P1</t>
  </si>
  <si>
    <t xml:space="preserve">I7380-G109-M12x60-P1</t>
  </si>
  <si>
    <t xml:space="preserve">I7380-G109-M12x65-P1</t>
  </si>
  <si>
    <t xml:space="preserve">I7380-G109-M12x70-P1</t>
  </si>
  <si>
    <t xml:space="preserve">I7380-G109-M12x75-P1</t>
  </si>
  <si>
    <t xml:space="preserve">I7380-G109-M12x80-P1</t>
  </si>
  <si>
    <t xml:space="preserve">I7380-G109-M12x90-P1</t>
  </si>
  <si>
    <t xml:space="preserve">I7380-G109-M14x100-P1</t>
  </si>
  <si>
    <t xml:space="preserve">M14</t>
  </si>
  <si>
    <t xml:space="preserve">I7380-G109-M14x30-P1</t>
  </si>
  <si>
    <t xml:space="preserve">I7380-G109-M14x35-P1</t>
  </si>
  <si>
    <t xml:space="preserve">I7380-G109-M14x40-P1</t>
  </si>
  <si>
    <t xml:space="preserve">I7380-G109-M14x45-P1</t>
  </si>
  <si>
    <t xml:space="preserve">I7380-G109-M14x50-P1</t>
  </si>
  <si>
    <t xml:space="preserve">I7380-G109-M14x55-P1</t>
  </si>
  <si>
    <t xml:space="preserve">I7380-G109-M14x60-P1</t>
  </si>
  <si>
    <t xml:space="preserve">I7380-G109-M14x70-P1</t>
  </si>
  <si>
    <t xml:space="preserve">I7380-G109-M14x80-P1</t>
  </si>
  <si>
    <t xml:space="preserve">I7380-G109-M14x90-P1</t>
  </si>
  <si>
    <t xml:space="preserve">I7380-G109-M16x100-P1</t>
  </si>
  <si>
    <t xml:space="preserve">M16</t>
  </si>
  <si>
    <t xml:space="preserve">I7380-G109-M16x110-P1</t>
  </si>
  <si>
    <t xml:space="preserve">I7380-G109-M16x120-P1</t>
  </si>
  <si>
    <t xml:space="preserve">I7380-G109-M16x130-P1</t>
  </si>
  <si>
    <t xml:space="preserve">I7380-G109-M16x140-P1</t>
  </si>
  <si>
    <t xml:space="preserve">I7380-G109-M16x150-P1</t>
  </si>
  <si>
    <t xml:space="preserve">I7380-G109-M16x25-P1</t>
  </si>
  <si>
    <t xml:space="preserve">I7380-G109-M16x30-P1</t>
  </si>
  <si>
    <t xml:space="preserve">I7380-G109-M16x35-P1</t>
  </si>
  <si>
    <t xml:space="preserve">I7380-G109-M16x40-P1</t>
  </si>
  <si>
    <t xml:space="preserve">I7380-G109-M16x45-P1</t>
  </si>
  <si>
    <t xml:space="preserve">I7380-G109-M16x50-P1</t>
  </si>
  <si>
    <t xml:space="preserve">I7380-G109-M16x55-P1</t>
  </si>
  <si>
    <t xml:space="preserve">I7380-G109-M16x60-P1</t>
  </si>
  <si>
    <t xml:space="preserve">I7380-G109-M16x65-P1</t>
  </si>
  <si>
    <t xml:space="preserve">I7380-G109-M16x70-P1</t>
  </si>
  <si>
    <t xml:space="preserve">I7380-G109-M16x75-P1</t>
  </si>
  <si>
    <t xml:space="preserve">I7380-G109-M16x80-P1</t>
  </si>
  <si>
    <t xml:space="preserve">I7380-G109-M16x90-P1</t>
  </si>
  <si>
    <t xml:space="preserve">I7380-G109-M2.5x10-P15</t>
  </si>
  <si>
    <t xml:space="preserve">15 pcs</t>
  </si>
  <si>
    <t xml:space="preserve">M2.5</t>
  </si>
  <si>
    <t xml:space="preserve">I7380-G109-M2.5x12-P14</t>
  </si>
  <si>
    <t xml:space="preserve">14 pcs</t>
  </si>
  <si>
    <t xml:space="preserve">I7380-G109-M2.5x14-P32</t>
  </si>
  <si>
    <t xml:space="preserve">32 pcs</t>
  </si>
  <si>
    <t xml:space="preserve">I7380-G109-M2.5x16-P12</t>
  </si>
  <si>
    <t xml:space="preserve">I7380-G109-M2.5x18-P30</t>
  </si>
  <si>
    <t xml:space="preserve">30 pcs</t>
  </si>
  <si>
    <t xml:space="preserve">I7380-G109-M2.5x20-P28</t>
  </si>
  <si>
    <t xml:space="preserve">28 pcs</t>
  </si>
  <si>
    <t xml:space="preserve">I7380-G109-M2.5x22-P17</t>
  </si>
  <si>
    <t xml:space="preserve">17 pcs</t>
  </si>
  <si>
    <t xml:space="preserve">I7380-G109-M2.5x25-P17</t>
  </si>
  <si>
    <t xml:space="preserve">I7380-G109-M2.5x3-P52</t>
  </si>
  <si>
    <t xml:space="preserve">52 pcs</t>
  </si>
  <si>
    <t xml:space="preserve">I7380-G109-M2.5x30-P15</t>
  </si>
  <si>
    <t xml:space="preserve">I7380-G109-M2.5x4-P15</t>
  </si>
  <si>
    <t xml:space="preserve">I7380-G109-M2.5x5-P15</t>
  </si>
  <si>
    <t xml:space="preserve">I7380-G109-M2.5x6-P15</t>
  </si>
  <si>
    <t xml:space="preserve">I7380-G109-M2.5x8-P15</t>
  </si>
  <si>
    <t xml:space="preserve">I7380-G109-M20x100-P1</t>
  </si>
  <si>
    <t xml:space="preserve">M20</t>
  </si>
  <si>
    <t xml:space="preserve">I7380-G109-M20x110-P1</t>
  </si>
  <si>
    <t xml:space="preserve">I7380-G109-M20x120-P1</t>
  </si>
  <si>
    <t xml:space="preserve">I7380-G109-M20x130-P1</t>
  </si>
  <si>
    <t xml:space="preserve">I7380-G109-M20x140-P1</t>
  </si>
  <si>
    <t xml:space="preserve">I7380-G109-M20x150-P1</t>
  </si>
  <si>
    <t xml:space="preserve">I7380-G109-M20x40-P1</t>
  </si>
  <si>
    <t xml:space="preserve">I7380-G109-M20x50-P1</t>
  </si>
  <si>
    <t xml:space="preserve">I7380-G109-M20x55-P1</t>
  </si>
  <si>
    <t xml:space="preserve">I7380-G109-M20x60-P1</t>
  </si>
  <si>
    <t xml:space="preserve">I7380-G109-M20x65-P1</t>
  </si>
  <si>
    <t xml:space="preserve">I7380-G109-M20x70-P1</t>
  </si>
  <si>
    <t xml:space="preserve">I7380-G109-M20x75-P1</t>
  </si>
  <si>
    <t xml:space="preserve">I7380-G109-M20x80-P1</t>
  </si>
  <si>
    <t xml:space="preserve">I7380-G109-M20x90-P1</t>
  </si>
  <si>
    <t xml:space="preserve">I7380-G109-M2x10-P15</t>
  </si>
  <si>
    <t xml:space="preserve">M2</t>
  </si>
  <si>
    <t xml:space="preserve">I7380-G109-M2x12-P14</t>
  </si>
  <si>
    <t xml:space="preserve">I7380-G109-M2x14-P43</t>
  </si>
  <si>
    <t xml:space="preserve">I7380-G109-M2x16-P12</t>
  </si>
  <si>
    <t xml:space="preserve">I7380-G109-M2x18-P30</t>
  </si>
  <si>
    <t xml:space="preserve">I7380-G109-M2x20-P28</t>
  </si>
  <si>
    <t xml:space="preserve">I7380-G109-M2x22-P16</t>
  </si>
  <si>
    <t xml:space="preserve">I7380-G109-M2x25-P15</t>
  </si>
  <si>
    <t xml:space="preserve">I7380-G109-M2x3-P52</t>
  </si>
  <si>
    <t xml:space="preserve">I7380-G109-M2x30-P13</t>
  </si>
  <si>
    <t xml:space="preserve">I7380-G109-M2x4-P15</t>
  </si>
  <si>
    <t xml:space="preserve">I7380-G109-M2x5-P15</t>
  </si>
  <si>
    <t xml:space="preserve">I7380-G109-M2x6-P15</t>
  </si>
  <si>
    <t xml:space="preserve">I7380-G109-M2x8-P15</t>
  </si>
  <si>
    <t xml:space="preserve">I7380-G109-M3x10-P37</t>
  </si>
  <si>
    <t xml:space="preserve">37 pcs</t>
  </si>
  <si>
    <t xml:space="preserve">I7380-G109-M3x12-P35</t>
  </si>
  <si>
    <t xml:space="preserve">35 pcs</t>
  </si>
  <si>
    <t xml:space="preserve">I7380-G109-M3x14-P27</t>
  </si>
  <si>
    <t xml:space="preserve">27 pcs</t>
  </si>
  <si>
    <t xml:space="preserve">I7380-G109-M3x16-P20</t>
  </si>
  <si>
    <t xml:space="preserve">I7380-G109-M3x20-P17</t>
  </si>
  <si>
    <t xml:space="preserve">I7380-G109-M3x25-P15</t>
  </si>
  <si>
    <t xml:space="preserve">I7380-G109-M3x30-P13</t>
  </si>
  <si>
    <t xml:space="preserve">I7380-G109-M3x35-P10</t>
  </si>
  <si>
    <t xml:space="preserve">I7380-G109-M3x4-P41</t>
  </si>
  <si>
    <t xml:space="preserve">41 pcs</t>
  </si>
  <si>
    <t xml:space="preserve">I7380-G109-M3x40-P9</t>
  </si>
  <si>
    <t xml:space="preserve">I7380-G109-M3x45-P8</t>
  </si>
  <si>
    <t xml:space="preserve">I7380-G109-M3x5-P39</t>
  </si>
  <si>
    <t xml:space="preserve">I7380-G109-M3x50-P6</t>
  </si>
  <si>
    <t xml:space="preserve">I7380-G109-M3x6-P35</t>
  </si>
  <si>
    <t xml:space="preserve">I7380-G109-M3x8-P39</t>
  </si>
  <si>
    <t xml:space="preserve">I7380-G109-M4x10-P25</t>
  </si>
  <si>
    <t xml:space="preserve">25 pcs</t>
  </si>
  <si>
    <t xml:space="preserve">I7380-G109-M4x12-P25</t>
  </si>
  <si>
    <t xml:space="preserve">I7380-G109-M4x14-P10</t>
  </si>
  <si>
    <t xml:space="preserve">I7380-G109-M4x16-P20</t>
  </si>
  <si>
    <t xml:space="preserve">I7380-G109-M4x18-P23</t>
  </si>
  <si>
    <t xml:space="preserve">23 pcs</t>
  </si>
  <si>
    <t xml:space="preserve">I7380-G109-M4x20-P17</t>
  </si>
  <si>
    <t xml:space="preserve">I7380-G109-M4x22-P18</t>
  </si>
  <si>
    <t xml:space="preserve">I7380-G109-M4x25-P15</t>
  </si>
  <si>
    <t xml:space="preserve">I7380-G109-M4x30-P13</t>
  </si>
  <si>
    <t xml:space="preserve">I7380-G109-M4x35-P10</t>
  </si>
  <si>
    <t xml:space="preserve">I7380-G109-M4x40-P9</t>
  </si>
  <si>
    <t xml:space="preserve">I7380-G109-M4x45-P8</t>
  </si>
  <si>
    <t xml:space="preserve">I7380-G109-M4x5-P36</t>
  </si>
  <si>
    <t xml:space="preserve">36 pcs</t>
  </si>
  <si>
    <t xml:space="preserve">I7380-G109-M4x50-P6</t>
  </si>
  <si>
    <t xml:space="preserve">I7380-G109-M4x6-P34</t>
  </si>
  <si>
    <t xml:space="preserve">34 pcs</t>
  </si>
  <si>
    <t xml:space="preserve">I7380-G109-M4x8-P34</t>
  </si>
  <si>
    <t xml:space="preserve">I7380-G109-M5x10-P26</t>
  </si>
  <si>
    <t xml:space="preserve">I7380-G109-M5x12-P20</t>
  </si>
  <si>
    <t xml:space="preserve">I7380-G109-M5x14-P18</t>
  </si>
  <si>
    <t xml:space="preserve">I7380-G109-M5x16-P17</t>
  </si>
  <si>
    <t xml:space="preserve">I7380-G109-M5x18-P17</t>
  </si>
  <si>
    <t xml:space="preserve">I7380-G109-M5x20-P17</t>
  </si>
  <si>
    <t xml:space="preserve">I7380-G109-M5x22-P16</t>
  </si>
  <si>
    <t xml:space="preserve">I7380-G109-M5x25-P17</t>
  </si>
  <si>
    <t xml:space="preserve">I7380-G109-M5x30-P13</t>
  </si>
  <si>
    <t xml:space="preserve">I7380-G109-M5x35-P9</t>
  </si>
  <si>
    <t xml:space="preserve">I7380-G109-M5x40-P8</t>
  </si>
  <si>
    <t xml:space="preserve">I7380-G109-M5x45-P7</t>
  </si>
  <si>
    <t xml:space="preserve">I7380-G109-M5x50-P6</t>
  </si>
  <si>
    <t xml:space="preserve">I7380-G109-M5x55-P4</t>
  </si>
  <si>
    <t xml:space="preserve">I7380-G109-M5x6-P25</t>
  </si>
  <si>
    <t xml:space="preserve">I7380-G109-M5x60-P5</t>
  </si>
  <si>
    <t xml:space="preserve">I7380-G109-M5x8-P28</t>
  </si>
  <si>
    <t xml:space="preserve">I7380-G109-M6x10-P17</t>
  </si>
  <si>
    <t xml:space="preserve">I7380-G109-M6x100-P2</t>
  </si>
  <si>
    <t xml:space="preserve">I7380-G109-M6x14-P14</t>
  </si>
  <si>
    <t xml:space="preserve">I7380-G109-M6x16-P15</t>
  </si>
  <si>
    <t xml:space="preserve">I7380-G109-M6x18-P13</t>
  </si>
  <si>
    <t xml:space="preserve">I7380-G109-M6x20-P1</t>
  </si>
  <si>
    <t xml:space="preserve">I7380-G109-M6x22-P11</t>
  </si>
  <si>
    <t xml:space="preserve">I7380-G109-M6x25-P12</t>
  </si>
  <si>
    <t xml:space="preserve">I7380-G109-M6x30-P10</t>
  </si>
  <si>
    <t xml:space="preserve">I7380-G109-M6x35-P8</t>
  </si>
  <si>
    <t xml:space="preserve">I7380-G109-M6x40-P7</t>
  </si>
  <si>
    <t xml:space="preserve">I7380-G109-M6x45-P6</t>
  </si>
  <si>
    <t xml:space="preserve">I7380-G109-M6x5-P18</t>
  </si>
  <si>
    <t xml:space="preserve">I7380-G109-M6x50-P5</t>
  </si>
  <si>
    <t xml:space="preserve">I7380-G109-M6x55-P4</t>
  </si>
  <si>
    <t xml:space="preserve">I7380-G109-M6x6-P18</t>
  </si>
  <si>
    <t xml:space="preserve">I7380-G109-M6x60-P3</t>
  </si>
  <si>
    <t xml:space="preserve">I7380-G109-M6x65-P3</t>
  </si>
  <si>
    <t xml:space="preserve">I7380-G109-M6x70-P3</t>
  </si>
  <si>
    <t xml:space="preserve">I7380-G109-M6x75-P3</t>
  </si>
  <si>
    <t xml:space="preserve">I7380-G109-M6x8-P17</t>
  </si>
  <si>
    <t xml:space="preserve">I7380-G109-M6x80-P3</t>
  </si>
  <si>
    <t xml:space="preserve">I7380-G109-M6x85-P2</t>
  </si>
  <si>
    <t xml:space="preserve">I7380-G109-M6x90-P2</t>
  </si>
  <si>
    <t xml:space="preserve">I7380-G109-M8x10-P8</t>
  </si>
  <si>
    <t xml:space="preserve">I7380-G109-M8x100-P2</t>
  </si>
  <si>
    <t xml:space="preserve">I7380-G109-M8x110-P2</t>
  </si>
  <si>
    <t xml:space="preserve">I7380-G109-M8x12-P8</t>
  </si>
  <si>
    <t xml:space="preserve">I7380-G109-M8x120-P2</t>
  </si>
  <si>
    <t xml:space="preserve">I7380-G109-M8x14-P7</t>
  </si>
  <si>
    <t xml:space="preserve">I7380-G109-M8x16-P7</t>
  </si>
  <si>
    <t xml:space="preserve">I7380-G109-M8x18-P7</t>
  </si>
  <si>
    <t xml:space="preserve">I7380-G109-M8x20-P7</t>
  </si>
  <si>
    <t xml:space="preserve">I7380-G109-M8x22-P6</t>
  </si>
  <si>
    <t xml:space="preserve">I7380-G109-M8x25-P6</t>
  </si>
  <si>
    <t xml:space="preserve">I7380-G109-M8x30-P5</t>
  </si>
  <si>
    <t xml:space="preserve">I7380-G109-M8x35-P5</t>
  </si>
  <si>
    <t xml:space="preserve">I7380-G109-M8x40-P5</t>
  </si>
  <si>
    <t xml:space="preserve">I7380-G109-M8x45-P4</t>
  </si>
  <si>
    <t xml:space="preserve">I7380-G109-M8x50-P4</t>
  </si>
  <si>
    <t xml:space="preserve">I7380-G109-M8x55-P3</t>
  </si>
  <si>
    <t xml:space="preserve">I7380-G109-M8x60-P3</t>
  </si>
  <si>
    <t xml:space="preserve">I7380-G109-M8x65-P2</t>
  </si>
  <si>
    <t xml:space="preserve">I7380-G109-M8x70-P2</t>
  </si>
  <si>
    <t xml:space="preserve">I7380-G109-M8x75-P2</t>
  </si>
  <si>
    <t xml:space="preserve">I7380-G109-M8x8-P9</t>
  </si>
  <si>
    <t xml:space="preserve">I7380-G109-M8x80-P2</t>
  </si>
  <si>
    <t xml:space="preserve">I7380-G109-M8x85-P2</t>
  </si>
  <si>
    <t xml:space="preserve">I7380-G109-M8x90-P2</t>
  </si>
  <si>
    <t xml:space="preserve">I7380-G109-M8x95-P2</t>
  </si>
  <si>
    <t xml:space="preserve">DIN912 Socket Head Cap Screw, 12.9 Black Carbon Steel (M2-M16)  [Socket Screws]</t>
  </si>
  <si>
    <t xml:space="preserve">Thread Length</t>
  </si>
  <si>
    <t xml:space="preserve">Half thread</t>
  </si>
  <si>
    <t xml:space="preserve">D912-G129-M10x100-HT-P1</t>
  </si>
  <si>
    <t xml:space="preserve">D912-G129-M10x110-HT-P1</t>
  </si>
  <si>
    <t xml:space="preserve">D912-G129-M10x120-HT-P1</t>
  </si>
  <si>
    <t xml:space="preserve">D912-G129-M10x130-HT-P1</t>
  </si>
  <si>
    <t xml:space="preserve">D912-G129-M10x140-HT-P1</t>
  </si>
  <si>
    <t xml:space="preserve">D912-G129-M10x150-HT-P1</t>
  </si>
  <si>
    <t xml:space="preserve">D912-G129-M10x16-P3</t>
  </si>
  <si>
    <t xml:space="preserve">Full thread</t>
  </si>
  <si>
    <t xml:space="preserve">D912-G129-M10x20-P3</t>
  </si>
  <si>
    <t xml:space="preserve">D912-G129-M10x25-P3</t>
  </si>
  <si>
    <t xml:space="preserve">D912-G129-M10x30-P3</t>
  </si>
  <si>
    <t xml:space="preserve">D912-G129-M10x35-P3</t>
  </si>
  <si>
    <t xml:space="preserve">D912-G129-M10x40-P3</t>
  </si>
  <si>
    <t xml:space="preserve">D912-G129-M10x45-P2</t>
  </si>
  <si>
    <t xml:space="preserve">D912-G129-M10x50-P2</t>
  </si>
  <si>
    <t xml:space="preserve">D912-G129-M10x55-HT-P2</t>
  </si>
  <si>
    <t xml:space="preserve">D912-G129-M10x60-HT-P2</t>
  </si>
  <si>
    <t xml:space="preserve">D912-G129-M10x65-HT-P2</t>
  </si>
  <si>
    <t xml:space="preserve">D912-G129-M10x70-HT-P2</t>
  </si>
  <si>
    <t xml:space="preserve">D912-G129-M10x75-HT-P2</t>
  </si>
  <si>
    <t xml:space="preserve">D912-G129-M10x80-HT-P2</t>
  </si>
  <si>
    <t xml:space="preserve">D912-G129-M10x90-HT-P1</t>
  </si>
  <si>
    <t xml:space="preserve">D912-G129-M12x100-HT-P1</t>
  </si>
  <si>
    <t xml:space="preserve">D912-G129-M12x110-HT-P1</t>
  </si>
  <si>
    <t xml:space="preserve">D912-G129-M12x120-HT-P1</t>
  </si>
  <si>
    <t xml:space="preserve">D912-G129-M12x130-HT-P1</t>
  </si>
  <si>
    <t xml:space="preserve">D912-G129-M12x140-HT-P1</t>
  </si>
  <si>
    <t xml:space="preserve">D912-G129-M12x150-HT-P1</t>
  </si>
  <si>
    <t xml:space="preserve">D912-G129-M12x16-P3</t>
  </si>
  <si>
    <t xml:space="preserve">D912-G129-M12x20-P3</t>
  </si>
  <si>
    <t xml:space="preserve">D912-G129-M12x25-P2</t>
  </si>
  <si>
    <t xml:space="preserve">D912-G129-M12x30-P2</t>
  </si>
  <si>
    <t xml:space="preserve">D912-G129-M12x35-P2</t>
  </si>
  <si>
    <t xml:space="preserve">D912-G129-M12x40-P2</t>
  </si>
  <si>
    <t xml:space="preserve">D912-G129-M12x45-P2</t>
  </si>
  <si>
    <t xml:space="preserve">D912-G129-M12x50-P2</t>
  </si>
  <si>
    <t xml:space="preserve">D912-G129-M12x55-HT-P2</t>
  </si>
  <si>
    <t xml:space="preserve">D912-G129-M12x60-HT-P2</t>
  </si>
  <si>
    <t xml:space="preserve">D912-G129-M12x65-HT-P1</t>
  </si>
  <si>
    <t xml:space="preserve">D912-G129-M12x70-HT-P1</t>
  </si>
  <si>
    <t xml:space="preserve">D912-G129-M12x75-HT-P1</t>
  </si>
  <si>
    <t xml:space="preserve">D912-G129-M12x80-HT-P1</t>
  </si>
  <si>
    <t xml:space="preserve">D912-G129-M12x90-HT-P1</t>
  </si>
  <si>
    <t xml:space="preserve">D912-G129-M14x100-HT-P1</t>
  </si>
  <si>
    <t xml:space="preserve">D912-G129-M14x110-HT-P1</t>
  </si>
  <si>
    <t xml:space="preserve">D912-G129-M14x120-HT-P1</t>
  </si>
  <si>
    <t xml:space="preserve">D912-G129-M14x130-HT-P1</t>
  </si>
  <si>
    <t xml:space="preserve">D912-G129-M14x140-HT-P1</t>
  </si>
  <si>
    <t xml:space="preserve">D912-G129-M14x150-HT-P1</t>
  </si>
  <si>
    <t xml:space="preserve">D912-G129-M14x30-P2</t>
  </si>
  <si>
    <t xml:space="preserve">D912-G129-M14x35-P2</t>
  </si>
  <si>
    <t xml:space="preserve">D912-G129-M14x40-P2</t>
  </si>
  <si>
    <t xml:space="preserve">D912-G129-M14x45-P2</t>
  </si>
  <si>
    <t xml:space="preserve">D912-G129-M14x50-P1</t>
  </si>
  <si>
    <t xml:space="preserve">D912-G129-M14x55-P1</t>
  </si>
  <si>
    <t xml:space="preserve">D912-G129-M14x60-HT-P1</t>
  </si>
  <si>
    <t xml:space="preserve">D912-G129-M14x65-HT-P1</t>
  </si>
  <si>
    <t xml:space="preserve">D912-G129-M14x70-HT-P1</t>
  </si>
  <si>
    <t xml:space="preserve">D912-G129-M14x75-HT-P1</t>
  </si>
  <si>
    <t xml:space="preserve">D912-G129-M14x80-HT-P1</t>
  </si>
  <si>
    <t xml:space="preserve">D912-G129-M14x90-HT-P1</t>
  </si>
  <si>
    <t xml:space="preserve">D912-G129-M16x100-HT-P1</t>
  </si>
  <si>
    <t xml:space="preserve">D912-G129-M16x110-HT-P1</t>
  </si>
  <si>
    <t xml:space="preserve">D912-G129-M16x120-HT-P1</t>
  </si>
  <si>
    <t xml:space="preserve">D912-G129-M16x130-HT-P1</t>
  </si>
  <si>
    <t xml:space="preserve">D912-G129-M16x140-HT-P1</t>
  </si>
  <si>
    <t xml:space="preserve">D912-G129-M16x150-HT-P1</t>
  </si>
  <si>
    <t xml:space="preserve">D912-G129-M16x30-P1</t>
  </si>
  <si>
    <t xml:space="preserve">D912-G129-M16x35-P1</t>
  </si>
  <si>
    <t xml:space="preserve">D912-G129-M16x40-P1</t>
  </si>
  <si>
    <t xml:space="preserve">D912-G129-M16x45-P1</t>
  </si>
  <si>
    <t xml:space="preserve">D912-G129-M16x50-P1</t>
  </si>
  <si>
    <t xml:space="preserve">D912-G129-M16x55-P1</t>
  </si>
  <si>
    <t xml:space="preserve">D912-G129-M16x60-P1</t>
  </si>
  <si>
    <t xml:space="preserve">D912-G129-M16x65-HT-P1</t>
  </si>
  <si>
    <t xml:space="preserve">D912-G129-M16x70-HT-P1</t>
  </si>
  <si>
    <t xml:space="preserve">D912-G129-M16x75-HT-P1</t>
  </si>
  <si>
    <t xml:space="preserve">D912-G129-M16x80-HT-P1</t>
  </si>
  <si>
    <t xml:space="preserve">D912-G129-M16x85-HT-P1</t>
  </si>
  <si>
    <t xml:space="preserve">D912-G129-M16x90-HT-P1</t>
  </si>
  <si>
    <t xml:space="preserve">D912-G129-M2.5x10-P23</t>
  </si>
  <si>
    <t xml:space="preserve">D912-G129-M2.5x12-P23</t>
  </si>
  <si>
    <t xml:space="preserve">D912-G129-M2.5x14-P21</t>
  </si>
  <si>
    <t xml:space="preserve">21 pcs</t>
  </si>
  <si>
    <t xml:space="preserve">D912-G129-M2.5x15-P6</t>
  </si>
  <si>
    <t xml:space="preserve">D912-G129-M2.5x16-P20</t>
  </si>
  <si>
    <t xml:space="preserve">D912-G129-M2.5x18-P18</t>
  </si>
  <si>
    <t xml:space="preserve">D912-G129-M2.5x20-P16</t>
  </si>
  <si>
    <t xml:space="preserve">D912-G129-M2.5x22-P4</t>
  </si>
  <si>
    <t xml:space="preserve">D912-G129-M2.5x25-P4</t>
  </si>
  <si>
    <t xml:space="preserve">D912-G129-M2.5x28-P3</t>
  </si>
  <si>
    <t xml:space="preserve">D912-G129-M2.5x3-P7</t>
  </si>
  <si>
    <t xml:space="preserve">D912-G129-M2.5x30-P3</t>
  </si>
  <si>
    <t xml:space="preserve">D912-G129-M2.5x32-P2</t>
  </si>
  <si>
    <t xml:space="preserve">D912-G129-M2.5x35-P2</t>
  </si>
  <si>
    <t xml:space="preserve">D912-G129-M2.5x38-P2</t>
  </si>
  <si>
    <t xml:space="preserve">D912-G129-M2.5x4-P23</t>
  </si>
  <si>
    <t xml:space="preserve">D912-G129-M2.5x40-P2</t>
  </si>
  <si>
    <t xml:space="preserve">D912-G129-M2.5x45-P2</t>
  </si>
  <si>
    <t xml:space="preserve">D912-G129-M2.5x5-P23</t>
  </si>
  <si>
    <t xml:space="preserve">D912-G129-M2.5x50-P2</t>
  </si>
  <si>
    <t xml:space="preserve">D912-G129-M2.5x6-P23</t>
  </si>
  <si>
    <t xml:space="preserve">D912-G129-M2.5x8-P23</t>
  </si>
  <si>
    <t xml:space="preserve">D912-G129-M2x10-P23</t>
  </si>
  <si>
    <t xml:space="preserve">D912-G129-M2x12-P23</t>
  </si>
  <si>
    <t xml:space="preserve">D912-G129-M2x14-P20</t>
  </si>
  <si>
    <t xml:space="preserve">D912-G129-M2x15-P6</t>
  </si>
  <si>
    <t xml:space="preserve">D912-G129-M2x16-P18</t>
  </si>
  <si>
    <t xml:space="preserve">D912-G129-M2x18-P16</t>
  </si>
  <si>
    <t xml:space="preserve">D912-G129-M2x20-P15</t>
  </si>
  <si>
    <t xml:space="preserve">D912-G129-M2x22-P4</t>
  </si>
  <si>
    <t xml:space="preserve">D912-G129-M2x25-P4</t>
  </si>
  <si>
    <t xml:space="preserve">D912-G129-M2x28-P3</t>
  </si>
  <si>
    <t xml:space="preserve">D912-G129-M2x3-P7</t>
  </si>
  <si>
    <t xml:space="preserve">D912-G129-M2x30-HT-TL15-P3</t>
  </si>
  <si>
    <t xml:space="preserve">thread L 15mm</t>
  </si>
  <si>
    <t xml:space="preserve">D912-G129-M2x30-HT-TL5-P3</t>
  </si>
  <si>
    <t xml:space="preserve">thread L 5mm</t>
  </si>
  <si>
    <t xml:space="preserve">D912-G129-M2x32-P2</t>
  </si>
  <si>
    <t xml:space="preserve">D912-G129-M2x35-P2</t>
  </si>
  <si>
    <t xml:space="preserve">D912-G129-M2x38-P2</t>
  </si>
  <si>
    <t xml:space="preserve">D912-G129-M2x4-P27</t>
  </si>
  <si>
    <t xml:space="preserve">D912-G129-M2x40-P2</t>
  </si>
  <si>
    <t xml:space="preserve">D912-G129-M2x5-P25</t>
  </si>
  <si>
    <t xml:space="preserve">D912-G129-M2x6-P25</t>
  </si>
  <si>
    <t xml:space="preserve">D912-G129-M2x7-P7</t>
  </si>
  <si>
    <t xml:space="preserve">D912-G129-M2x8-P23</t>
  </si>
  <si>
    <t xml:space="preserve">D912-G129-M2x9-P7</t>
  </si>
  <si>
    <t xml:space="preserve">D912-G129-M3x10-P34</t>
  </si>
  <si>
    <t xml:space="preserve">D912-G129-M3x12-P33</t>
  </si>
  <si>
    <t xml:space="preserve">33 pcs</t>
  </si>
  <si>
    <t xml:space="preserve">D912-G129-M3x14-P17</t>
  </si>
  <si>
    <t xml:space="preserve">D912-G129-M3x16-P31</t>
  </si>
  <si>
    <t xml:space="preserve">31 pcs</t>
  </si>
  <si>
    <t xml:space="preserve">D912-G129-M3x18-P14</t>
  </si>
  <si>
    <t xml:space="preserve">D912-G129-M3x20-P26</t>
  </si>
  <si>
    <t xml:space="preserve">D912-G129-M3x22-P18</t>
  </si>
  <si>
    <t xml:space="preserve">D912-G129-M3x25-P16</t>
  </si>
  <si>
    <t xml:space="preserve">D912-G129-M3x28-P15</t>
  </si>
  <si>
    <t xml:space="preserve">D912-G129-M3x30-HT-P5</t>
  </si>
  <si>
    <t xml:space="preserve">D912-G129-M3x30-P15</t>
  </si>
  <si>
    <t xml:space="preserve">D912-G129-M3x35-P9</t>
  </si>
  <si>
    <t xml:space="preserve">D912-G129-M3x4-P100</t>
  </si>
  <si>
    <t xml:space="preserve">D912-G129-M3x40-P9</t>
  </si>
  <si>
    <t xml:space="preserve">D912-G129-M3x45-P3</t>
  </si>
  <si>
    <t xml:space="preserve">D912-G129-M3x5-P26</t>
  </si>
  <si>
    <t xml:space="preserve">D912-G129-M3x50-P7</t>
  </si>
  <si>
    <t xml:space="preserve">D912-G129-M3x6-P31</t>
  </si>
  <si>
    <t xml:space="preserve">D912-G129-M3x8-P31</t>
  </si>
  <si>
    <t xml:space="preserve">D912-G129-M4x10-P22</t>
  </si>
  <si>
    <t xml:space="preserve">D912-G129-M4x100-HT-P2</t>
  </si>
  <si>
    <t xml:space="preserve">D912-G129-M4x110-HT-P2</t>
  </si>
  <si>
    <t xml:space="preserve">D912-G129-M4x12-P18</t>
  </si>
  <si>
    <t xml:space="preserve">D912-G129-M4x120-HT-P2</t>
  </si>
  <si>
    <t xml:space="preserve">D912-G129-M4x130-HT-P1</t>
  </si>
  <si>
    <t xml:space="preserve">D912-G129-M4x14-P15</t>
  </si>
  <si>
    <t xml:space="preserve">D912-G129-M4x140-HT-P1</t>
  </si>
  <si>
    <t xml:space="preserve">D912-G129-M4x150-HT-P1</t>
  </si>
  <si>
    <t xml:space="preserve">D912-G129-M4x16-P15</t>
  </si>
  <si>
    <t xml:space="preserve">D912-G129-M4x160-HT-P1</t>
  </si>
  <si>
    <t xml:space="preserve">D912-G129-M4x18-P9</t>
  </si>
  <si>
    <t xml:space="preserve">D912-G129-M4x20-P15</t>
  </si>
  <si>
    <t xml:space="preserve">D912-G129-M4x22-P15</t>
  </si>
  <si>
    <t xml:space="preserve">D912-G129-M4x25-P13</t>
  </si>
  <si>
    <t xml:space="preserve">D912-G129-M4x30-P10</t>
  </si>
  <si>
    <t xml:space="preserve">D912-G129-M4x35-P8</t>
  </si>
  <si>
    <t xml:space="preserve">D912-G129-M4x40-P8</t>
  </si>
  <si>
    <t xml:space="preserve">D912-G129-M4x45-P7</t>
  </si>
  <si>
    <t xml:space="preserve">D912-G129-M4x5-P20</t>
  </si>
  <si>
    <t xml:space="preserve">D912-G129-M4x50-P6</t>
  </si>
  <si>
    <t xml:space="preserve">D912-G129-M4x55-HT-P3</t>
  </si>
  <si>
    <t xml:space="preserve">D912-G129-M4x6-P50</t>
  </si>
  <si>
    <t xml:space="preserve">D912-G129-M4x60-HT-P3</t>
  </si>
  <si>
    <t xml:space="preserve">D912-G129-M4x65-HT-P3</t>
  </si>
  <si>
    <t xml:space="preserve">D912-G129-M4x70-HT-P2</t>
  </si>
  <si>
    <t xml:space="preserve">D912-G129-M4x75-HT-P2</t>
  </si>
  <si>
    <t xml:space="preserve">D912-G129-M4x8-P50</t>
  </si>
  <si>
    <t xml:space="preserve">D912-G129-M4x80-HT-P2</t>
  </si>
  <si>
    <t xml:space="preserve">D912-G129-M4x90-HT-P2</t>
  </si>
  <si>
    <t xml:space="preserve">D912-G129-M5x10-P14</t>
  </si>
  <si>
    <t xml:space="preserve">D912-G129-M5x100-HT-P2</t>
  </si>
  <si>
    <t xml:space="preserve">D912-G129-M5x105-HT-P2</t>
  </si>
  <si>
    <t xml:space="preserve">D912-G129-M5x110-HT-P2</t>
  </si>
  <si>
    <t xml:space="preserve">D912-G129-M5x115-HT-P2</t>
  </si>
  <si>
    <t xml:space="preserve">115</t>
  </si>
  <si>
    <t xml:space="preserve">D912-G129-M5x12-P17</t>
  </si>
  <si>
    <t xml:space="preserve">D912-G129-M5x120-HT-P2</t>
  </si>
  <si>
    <t xml:space="preserve">D912-G129-M5x125-HT-P1</t>
  </si>
  <si>
    <t xml:space="preserve">D912-G129-M5x130-HT-P1</t>
  </si>
  <si>
    <t xml:space="preserve">D912-G129-M5x135-HT-P1</t>
  </si>
  <si>
    <t xml:space="preserve">D912-G129-M5x14-P14</t>
  </si>
  <si>
    <t xml:space="preserve">D912-G129-M5x140-HT-P1</t>
  </si>
  <si>
    <t xml:space="preserve">D912-G129-M5x150-HT-P1</t>
  </si>
  <si>
    <t xml:space="preserve">D912-G129-M5x16-P14</t>
  </si>
  <si>
    <t xml:space="preserve">D912-G129-M5x18-P18</t>
  </si>
  <si>
    <t xml:space="preserve">D912-G129-M5x20-P13</t>
  </si>
  <si>
    <t xml:space="preserve">D912-G129-M5x22-P15</t>
  </si>
  <si>
    <t xml:space="preserve">D912-G129-M5x25-P9</t>
  </si>
  <si>
    <t xml:space="preserve">D912-G129-M5x30-P7</t>
  </si>
  <si>
    <t xml:space="preserve">D912-G129-M5x35-P7</t>
  </si>
  <si>
    <t xml:space="preserve">D912-G129-M5x40-HT-P6</t>
  </si>
  <si>
    <t xml:space="preserve">D912-G129-M5x40-P6</t>
  </si>
  <si>
    <t xml:space="preserve">D912-G129-M5x45-HT-P10</t>
  </si>
  <si>
    <t xml:space="preserve">D912-G129-M5x45-P6</t>
  </si>
  <si>
    <t xml:space="preserve">D912-G129-M5x50-HT-P9</t>
  </si>
  <si>
    <t xml:space="preserve">D912-G129-M5x50-P5</t>
  </si>
  <si>
    <t xml:space="preserve">D912-G129-M5x55-HT-P1</t>
  </si>
  <si>
    <t xml:space="preserve">D912-G129-M5x55-P6</t>
  </si>
  <si>
    <t xml:space="preserve">D912-G129-M5x60-HT-P6</t>
  </si>
  <si>
    <t xml:space="preserve">D912-G129-M5x60-P6</t>
  </si>
  <si>
    <t xml:space="preserve">D912-G129-M5x65-HT-P6</t>
  </si>
  <si>
    <t xml:space="preserve">D912-G129-M5x65-P5</t>
  </si>
  <si>
    <t xml:space="preserve">D912-G129-M5x70-HT-P4</t>
  </si>
  <si>
    <t xml:space="preserve">D912-G129-M5x70-P5</t>
  </si>
  <si>
    <t xml:space="preserve">D912-G129-M5x75-HT-P4</t>
  </si>
  <si>
    <t xml:space="preserve">D912-G129-M5x8-P12</t>
  </si>
  <si>
    <t xml:space="preserve">D912-G129-M5x80-HT-P3</t>
  </si>
  <si>
    <t xml:space="preserve">D912-G129-M5x80-P4</t>
  </si>
  <si>
    <t xml:space="preserve">D912-G129-M5x85-HT-P2</t>
  </si>
  <si>
    <t xml:space="preserve">D912-G129-M5x90-HT-P3</t>
  </si>
  <si>
    <t xml:space="preserve">D912-G129-M5x90-P3</t>
  </si>
  <si>
    <t xml:space="preserve">D912-G129-M6x10-P12</t>
  </si>
  <si>
    <t xml:space="preserve">D912-G129-M6x100-HT-P2</t>
  </si>
  <si>
    <t xml:space="preserve">D912-G129-M6x12-P13</t>
  </si>
  <si>
    <t xml:space="preserve">D912-G129-M6x16-P10</t>
  </si>
  <si>
    <t xml:space="preserve">D912-G129-M6x20-P8</t>
  </si>
  <si>
    <t xml:space="preserve">D912-G129-M6x25-P8</t>
  </si>
  <si>
    <t xml:space="preserve">D912-G129-M6x30-P6</t>
  </si>
  <si>
    <t xml:space="preserve">D912-G129-M6x35-P6</t>
  </si>
  <si>
    <t xml:space="preserve">D912-G129-M6x40-HT-P5</t>
  </si>
  <si>
    <t xml:space="preserve">D912-G129-M6x40-P5</t>
  </si>
  <si>
    <t xml:space="preserve">D912-G129-M6x45-P5</t>
  </si>
  <si>
    <t xml:space="preserve">D912-G129-M6x50-HT-P6</t>
  </si>
  <si>
    <t xml:space="preserve">D912-G129-M6x50-P5</t>
  </si>
  <si>
    <t xml:space="preserve">D912-G129-M6x55-HT-P5</t>
  </si>
  <si>
    <t xml:space="preserve">D912-G129-M6x60-HT-P5</t>
  </si>
  <si>
    <t xml:space="preserve">D912-G129-M6x60-P5</t>
  </si>
  <si>
    <t xml:space="preserve">D912-G129-M6x65-HT-P4</t>
  </si>
  <si>
    <t xml:space="preserve">D912-G129-M6x70-HT-P1</t>
  </si>
  <si>
    <t xml:space="preserve">D912-G129-M6x75-HT-P3</t>
  </si>
  <si>
    <t xml:space="preserve">D912-G129-M6x8-P11</t>
  </si>
  <si>
    <t xml:space="preserve">D912-G129-M6x80-HT-P3</t>
  </si>
  <si>
    <t xml:space="preserve">D912-G129-M6x90-HT-P4</t>
  </si>
  <si>
    <t xml:space="preserve">D912-G129-M7x10-P2</t>
  </si>
  <si>
    <t xml:space="preserve">M7</t>
  </si>
  <si>
    <t xml:space="preserve">D912-G129-M7x12-P2</t>
  </si>
  <si>
    <t xml:space="preserve">D912-G129-M7x16-P2</t>
  </si>
  <si>
    <t xml:space="preserve">D912-G129-M7x20-P2</t>
  </si>
  <si>
    <t xml:space="preserve">D912-G129-M7x25-P2</t>
  </si>
  <si>
    <t xml:space="preserve">D912-G129-M7x30-P2</t>
  </si>
  <si>
    <t xml:space="preserve">D912-G129-M7x35-P2</t>
  </si>
  <si>
    <t xml:space="preserve">D912-G129-M7x40-P2</t>
  </si>
  <si>
    <t xml:space="preserve">D912-G129-M7x45-P2</t>
  </si>
  <si>
    <t xml:space="preserve">D912-G129-M7x50-P1</t>
  </si>
  <si>
    <t xml:space="preserve">D912-G129-M8x10-P6</t>
  </si>
  <si>
    <t xml:space="preserve">D912-G129-M8x100-HT-P2</t>
  </si>
  <si>
    <t xml:space="preserve">D912-G129-M8x12-P7</t>
  </si>
  <si>
    <t xml:space="preserve">D912-G129-M8x16-P6</t>
  </si>
  <si>
    <t xml:space="preserve">D912-G129-M8x20-P6</t>
  </si>
  <si>
    <t xml:space="preserve">D912-G129-M8x25-P6</t>
  </si>
  <si>
    <t xml:space="preserve">D912-G129-M8x30-P5</t>
  </si>
  <si>
    <t xml:space="preserve">D912-G129-M8x35-P5</t>
  </si>
  <si>
    <t xml:space="preserve">D912-G129-M8x40-P4</t>
  </si>
  <si>
    <t xml:space="preserve">D912-G129-M8x45-P3</t>
  </si>
  <si>
    <t xml:space="preserve">D912-G129-M8x50-HT-P4</t>
  </si>
  <si>
    <t xml:space="preserve">D912-G129-M8x50-P3</t>
  </si>
  <si>
    <t xml:space="preserve">D912-G129-M8x55-HT-P3</t>
  </si>
  <si>
    <t xml:space="preserve">D912-G129-M8x60-HT-P3</t>
  </si>
  <si>
    <t xml:space="preserve">D912-G129-M8x65-HT-P3</t>
  </si>
  <si>
    <t xml:space="preserve">D912-G129-M8x70-HT-P1</t>
  </si>
  <si>
    <t xml:space="preserve">D912-G129-M8x75-HT-P2</t>
  </si>
  <si>
    <t xml:space="preserve">D912-G129-M8x80-HT-P2</t>
  </si>
  <si>
    <t xml:space="preserve">D912-G129-M8x90-HT-P2</t>
  </si>
  <si>
    <t xml:space="preserve">DIN7984 Low Head Socket Screw, 304 Stainless (M3-M12)  [Socket Screws]</t>
  </si>
  <si>
    <t xml:space="preserve">D7984-SS-M10x16-P2</t>
  </si>
  <si>
    <t xml:space="preserve">D7984-SS-M10x18-P2</t>
  </si>
  <si>
    <t xml:space="preserve">D7984-SS-M10x20-P2</t>
  </si>
  <si>
    <t xml:space="preserve">D7984-SS-M10x25-P2</t>
  </si>
  <si>
    <t xml:space="preserve">D7984-SS-M10x30-P1</t>
  </si>
  <si>
    <t xml:space="preserve">D7984-SS-M10x35-P1</t>
  </si>
  <si>
    <t xml:space="preserve">D7984-SS-M10x40-P1</t>
  </si>
  <si>
    <t xml:space="preserve">D7984-SS-M10x45-P1</t>
  </si>
  <si>
    <t xml:space="preserve">D7984-SS-M10x50-P1</t>
  </si>
  <si>
    <t xml:space="preserve">D7984-SS-M10x55-P1</t>
  </si>
  <si>
    <t xml:space="preserve">D7984-SS-M10x60-P1</t>
  </si>
  <si>
    <t xml:space="preserve">D7984-SS-M12x20-P1</t>
  </si>
  <si>
    <t xml:space="preserve">D7984-SS-M12x25-P1</t>
  </si>
  <si>
    <t xml:space="preserve">D7984-SS-M12x30-P1</t>
  </si>
  <si>
    <t xml:space="preserve">D7984-SS-M12x35-P1</t>
  </si>
  <si>
    <t xml:space="preserve">D7984-SS-M12x40-P1</t>
  </si>
  <si>
    <t xml:space="preserve">D7984-SS-M12x45-P1</t>
  </si>
  <si>
    <t xml:space="preserve">D7984-SS-M12x50-P1</t>
  </si>
  <si>
    <t xml:space="preserve">D7984-SS-M12x55-P1</t>
  </si>
  <si>
    <t xml:space="preserve">D7984-SS-M12x60-P1</t>
  </si>
  <si>
    <t xml:space="preserve">D7984-SS-M12x70-P1</t>
  </si>
  <si>
    <t xml:space="preserve">D7984-SS-M3x10-P14</t>
  </si>
  <si>
    <t xml:space="preserve">D7984-SS-M3x12-P12</t>
  </si>
  <si>
    <t xml:space="preserve">D7984-SS-M3x14-P12</t>
  </si>
  <si>
    <t xml:space="preserve">D7984-SS-M3x16-P11</t>
  </si>
  <si>
    <t xml:space="preserve">D7984-SS-M3x20-P9</t>
  </si>
  <si>
    <t xml:space="preserve">D7984-SS-M3x22-P8</t>
  </si>
  <si>
    <t xml:space="preserve">D7984-SS-M3x25-P8</t>
  </si>
  <si>
    <t xml:space="preserve">D7984-SS-M3x4-P16</t>
  </si>
  <si>
    <t xml:space="preserve">D7984-SS-M3x5-P16</t>
  </si>
  <si>
    <t xml:space="preserve">D7984-SS-M3x6-P17</t>
  </si>
  <si>
    <t xml:space="preserve">D7984-SS-M3x8-P15</t>
  </si>
  <si>
    <t xml:space="preserve">D7984-SS-M4x10-P12</t>
  </si>
  <si>
    <t xml:space="preserve">D7984-SS-M4x12-P10</t>
  </si>
  <si>
    <t xml:space="preserve">D7984-SS-M4x14-P9</t>
  </si>
  <si>
    <t xml:space="preserve">D7984-SS-M4x16-P9</t>
  </si>
  <si>
    <t xml:space="preserve">D7984-SS-M4x18-P8</t>
  </si>
  <si>
    <t xml:space="preserve">D7984-SS-M4x20-P7</t>
  </si>
  <si>
    <t xml:space="preserve">D7984-SS-M4x25-P6</t>
  </si>
  <si>
    <t xml:space="preserve">D7984-SS-M4x30-P6</t>
  </si>
  <si>
    <t xml:space="preserve">D7984-SS-M4x35-P5</t>
  </si>
  <si>
    <t xml:space="preserve">D7984-SS-M4x40-P4</t>
  </si>
  <si>
    <t xml:space="preserve">D7984-SS-M4x8-P13</t>
  </si>
  <si>
    <t xml:space="preserve">D7984-SS-M5x12-P7</t>
  </si>
  <si>
    <t xml:space="preserve">D7984-SS-M5x14-P6</t>
  </si>
  <si>
    <t xml:space="preserve">D7984-SS-M5x16-P6</t>
  </si>
  <si>
    <t xml:space="preserve">D7984-SS-M5x18-P5</t>
  </si>
  <si>
    <t xml:space="preserve">D7984-SS-M5x20-P5</t>
  </si>
  <si>
    <t xml:space="preserve">D7984-SS-M5x25-P4</t>
  </si>
  <si>
    <t xml:space="preserve">D7984-SS-M5x30-P4</t>
  </si>
  <si>
    <t xml:space="preserve">D7984-SS-M5x35-P3</t>
  </si>
  <si>
    <t xml:space="preserve">D7984-SS-M5x8-P8</t>
  </si>
  <si>
    <t xml:space="preserve">D7984-SS-M6x12-P5</t>
  </si>
  <si>
    <t xml:space="preserve">D7984-SS-M6x14-P5</t>
  </si>
  <si>
    <t xml:space="preserve">D7984-SS-M6x16-P5</t>
  </si>
  <si>
    <t xml:space="preserve">D7984-SS-M6x18-P4</t>
  </si>
  <si>
    <t xml:space="preserve">D7984-SS-M6x20-P4</t>
  </si>
  <si>
    <t xml:space="preserve">D7984-SS-M6x25-P3</t>
  </si>
  <si>
    <t xml:space="preserve">D7984-SS-M6x30-P3</t>
  </si>
  <si>
    <t xml:space="preserve">D7984-SS-M6x35-P3</t>
  </si>
  <si>
    <t xml:space="preserve">D7984-SS-M6x40-P2</t>
  </si>
  <si>
    <t xml:space="preserve">D7984-SS-M6x50-P2</t>
  </si>
  <si>
    <t xml:space="preserve">D7984-SS-M8x12-P3</t>
  </si>
  <si>
    <t xml:space="preserve">D7984-SS-M8x14-P3</t>
  </si>
  <si>
    <t xml:space="preserve">D7984-SS-M8x18-P3</t>
  </si>
  <si>
    <t xml:space="preserve">D7984-SS-M8x20-P2</t>
  </si>
  <si>
    <t xml:space="preserve">D7984-SS-M8x25-P2</t>
  </si>
  <si>
    <t xml:space="preserve">D7984-SS-M8x30-P2</t>
  </si>
  <si>
    <t xml:space="preserve">D7984-SS-M8x35-P2</t>
  </si>
  <si>
    <t xml:space="preserve">D7984-SS-M8x40-P2</t>
  </si>
  <si>
    <t xml:space="preserve">D7984-SS-M8x45-P1</t>
  </si>
  <si>
    <t xml:space="preserve">D7984-SS-M8x50-P1</t>
  </si>
  <si>
    <t xml:space="preserve">D7984-SS-M8x55-P1</t>
  </si>
  <si>
    <t xml:space="preserve">D7984-SS-M8x60-P1</t>
  </si>
  <si>
    <t xml:space="preserve">DIN912 Socket Head Cap Screw, 304 Stainless (M1.6-M16)  [Socket Screws]</t>
  </si>
  <si>
    <t xml:space="preserve">D912-SS-M1.6x14-P10</t>
  </si>
  <si>
    <t xml:space="preserve">D912-SS-M1.6x20-P10</t>
  </si>
  <si>
    <t xml:space="preserve">D912-SS-M1.6x25-P1</t>
  </si>
  <si>
    <t xml:space="preserve">D912-SS-M10x100-P1</t>
  </si>
  <si>
    <t xml:space="preserve">D912-SS-M10x110-P1</t>
  </si>
  <si>
    <t xml:space="preserve">D912-SS-M10x120-P1</t>
  </si>
  <si>
    <t xml:space="preserve">D912-SS-M10x130-P1</t>
  </si>
  <si>
    <t xml:space="preserve">D912-SS-M10x140-P1</t>
  </si>
  <si>
    <t xml:space="preserve">D912-SS-M10x150-P1</t>
  </si>
  <si>
    <t xml:space="preserve">D912-SS-M10x16-P3</t>
  </si>
  <si>
    <t xml:space="preserve">D912-SS-M10x160-P1</t>
  </si>
  <si>
    <t xml:space="preserve">D912-SS-M10x170-P1</t>
  </si>
  <si>
    <t xml:space="preserve">D912-SS-M10x180-P1</t>
  </si>
  <si>
    <t xml:space="preserve">D912-SS-M10x190-P1</t>
  </si>
  <si>
    <t xml:space="preserve">D912-SS-M10x20-P2</t>
  </si>
  <si>
    <t xml:space="preserve">D912-SS-M10x200-P1</t>
  </si>
  <si>
    <t xml:space="preserve">D912-SS-M10x22-P2</t>
  </si>
  <si>
    <t xml:space="preserve">D912-SS-M10x25-P2</t>
  </si>
  <si>
    <t xml:space="preserve">D912-SS-M10x28-P2</t>
  </si>
  <si>
    <t xml:space="preserve">D912-SS-M10x30-P2</t>
  </si>
  <si>
    <t xml:space="preserve">D912-SS-M10x35-P2</t>
  </si>
  <si>
    <t xml:space="preserve">D912-SS-M10x40-P2</t>
  </si>
  <si>
    <t xml:space="preserve">D912-SS-M10x45-P2</t>
  </si>
  <si>
    <t xml:space="preserve">D912-SS-M10x50-P2</t>
  </si>
  <si>
    <t xml:space="preserve">D912-SS-M10x55-P2</t>
  </si>
  <si>
    <t xml:space="preserve">D912-SS-M10x60-P2</t>
  </si>
  <si>
    <t xml:space="preserve">D912-SS-M10x65-P1</t>
  </si>
  <si>
    <t xml:space="preserve">D912-SS-M10x70-P1</t>
  </si>
  <si>
    <t xml:space="preserve">D912-SS-M10x75-P1</t>
  </si>
  <si>
    <t xml:space="preserve">D912-SS-M10x80-P1</t>
  </si>
  <si>
    <t xml:space="preserve">D912-SS-M10x90-P1</t>
  </si>
  <si>
    <t xml:space="preserve">D912-SS-M12x100-P1</t>
  </si>
  <si>
    <t xml:space="preserve">D912-SS-M12x110-P1</t>
  </si>
  <si>
    <t xml:space="preserve">D912-SS-M12x120-P1</t>
  </si>
  <si>
    <t xml:space="preserve">D912-SS-M12x130-P1</t>
  </si>
  <si>
    <t xml:space="preserve">D912-SS-M12x140-P1</t>
  </si>
  <si>
    <t xml:space="preserve">D912-SS-M12x150-P1</t>
  </si>
  <si>
    <t xml:space="preserve">D912-SS-M12x160-P1</t>
  </si>
  <si>
    <t xml:space="preserve">D912-SS-M12x170-P1</t>
  </si>
  <si>
    <t xml:space="preserve">D912-SS-M12x180-P1</t>
  </si>
  <si>
    <t xml:space="preserve">D912-SS-M12x190-P1</t>
  </si>
  <si>
    <t xml:space="preserve">D912-SS-M12x20-P2</t>
  </si>
  <si>
    <t xml:space="preserve">D912-SS-M12x200-P1</t>
  </si>
  <si>
    <t xml:space="preserve">D912-SS-M12x25-P2</t>
  </si>
  <si>
    <t xml:space="preserve">D912-SS-M12x30-P2</t>
  </si>
  <si>
    <t xml:space="preserve">D912-SS-M12x35-P1</t>
  </si>
  <si>
    <t xml:space="preserve">D912-SS-M12x40-P1</t>
  </si>
  <si>
    <t xml:space="preserve">D912-SS-M12x45-P1</t>
  </si>
  <si>
    <t xml:space="preserve">D912-SS-M12x50-P1</t>
  </si>
  <si>
    <t xml:space="preserve">D912-SS-M12x55-P1</t>
  </si>
  <si>
    <t xml:space="preserve">D912-SS-M12x60-P1</t>
  </si>
  <si>
    <t xml:space="preserve">D912-SS-M12x65-P1</t>
  </si>
  <si>
    <t xml:space="preserve">D912-SS-M12x70-P1</t>
  </si>
  <si>
    <t xml:space="preserve">D912-SS-M12x75-P1</t>
  </si>
  <si>
    <t xml:space="preserve">D912-SS-M12x80-P1</t>
  </si>
  <si>
    <t xml:space="preserve">D912-SS-M12x90-P1</t>
  </si>
  <si>
    <t xml:space="preserve">D912-SS-M14x100-P1</t>
  </si>
  <si>
    <t xml:space="preserve">D912-SS-M14x25-P1</t>
  </si>
  <si>
    <t xml:space="preserve">D912-SS-M14x30-P1</t>
  </si>
  <si>
    <t xml:space="preserve">D912-SS-M14x35-P1</t>
  </si>
  <si>
    <t xml:space="preserve">D912-SS-M14x40-P1</t>
  </si>
  <si>
    <t xml:space="preserve">D912-SS-M14x45-P1</t>
  </si>
  <si>
    <t xml:space="preserve">D912-SS-M14x50-P1</t>
  </si>
  <si>
    <t xml:space="preserve">D912-SS-M14x55-P1</t>
  </si>
  <si>
    <t xml:space="preserve">D912-SS-M14x60-P1</t>
  </si>
  <si>
    <t xml:space="preserve">D912-SS-M14x65-P1</t>
  </si>
  <si>
    <t xml:space="preserve">D912-SS-M14x70-P1</t>
  </si>
  <si>
    <t xml:space="preserve">D912-SS-M14x80-P1</t>
  </si>
  <si>
    <t xml:space="preserve">D912-SS-M14x90-P1</t>
  </si>
  <si>
    <t xml:space="preserve">D912-SS-M16x100-P1</t>
  </si>
  <si>
    <t xml:space="preserve">D912-SS-M16x110-P1</t>
  </si>
  <si>
    <t xml:space="preserve">D912-SS-M16x120-P1</t>
  </si>
  <si>
    <t xml:space="preserve">D912-SS-M16x25-P1</t>
  </si>
  <si>
    <t xml:space="preserve">D912-SS-M16x30-P1</t>
  </si>
  <si>
    <t xml:space="preserve">D912-SS-M16x35-P1</t>
  </si>
  <si>
    <t xml:space="preserve">D912-SS-M16x40-P1</t>
  </si>
  <si>
    <t xml:space="preserve">D912-SS-M16x45-P1</t>
  </si>
  <si>
    <t xml:space="preserve">D912-SS-M16x50-P1</t>
  </si>
  <si>
    <t xml:space="preserve">D912-SS-M16x55-P1</t>
  </si>
  <si>
    <t xml:space="preserve">D912-SS-M16x60-P1</t>
  </si>
  <si>
    <t xml:space="preserve">D912-SS-M16x65-P1</t>
  </si>
  <si>
    <t xml:space="preserve">D912-SS-M16x70-P1</t>
  </si>
  <si>
    <t xml:space="preserve">D912-SS-M16x75-P1</t>
  </si>
  <si>
    <t xml:space="preserve">D912-SS-M16x80-P1</t>
  </si>
  <si>
    <t xml:space="preserve">D912-SS-M16x85-P1</t>
  </si>
  <si>
    <t xml:space="preserve">D912-SS-M16x90-P1</t>
  </si>
  <si>
    <t xml:space="preserve">D912-SS-M2.5x10-P100</t>
  </si>
  <si>
    <t xml:space="preserve">D912-SS-M3x10-P100</t>
  </si>
  <si>
    <t xml:space="preserve">D912-SS-M3x12-P50</t>
  </si>
  <si>
    <t xml:space="preserve">D912-SS-M3x14-P22</t>
  </si>
  <si>
    <t xml:space="preserve">D912-SS-M3x15-P20</t>
  </si>
  <si>
    <t xml:space="preserve">D912-SS-M3x16-P50</t>
  </si>
  <si>
    <t xml:space="preserve">D912-SS-M3x18-P18</t>
  </si>
  <si>
    <t xml:space="preserve">D912-SS-M3x20-P20</t>
  </si>
  <si>
    <t xml:space="preserve">D912-SS-M3x22-P19</t>
  </si>
  <si>
    <t xml:space="preserve">19 pcs</t>
  </si>
  <si>
    <t xml:space="preserve">D912-SS-M3x25-P20</t>
  </si>
  <si>
    <t xml:space="preserve">D912-SS-M3x28-P50</t>
  </si>
  <si>
    <t xml:space="preserve">D912-SS-M3x3-P18</t>
  </si>
  <si>
    <t xml:space="preserve">D912-SS-M3x3.5-P18</t>
  </si>
  <si>
    <t xml:space="preserve">D912-SS-M3x30-P11</t>
  </si>
  <si>
    <t xml:space="preserve">D912-SS-M3x35-P8</t>
  </si>
  <si>
    <t xml:space="preserve">D912-SS-M3x4-P50</t>
  </si>
  <si>
    <t xml:space="preserve">D912-SS-M3x40-P8</t>
  </si>
  <si>
    <t xml:space="preserve">D912-SS-M3x45-P8</t>
  </si>
  <si>
    <t xml:space="preserve">D912-SS-M3x5-P23</t>
  </si>
  <si>
    <t xml:space="preserve">D912-SS-M3x50-P6</t>
  </si>
  <si>
    <t xml:space="preserve">D912-SS-M3x55-P5</t>
  </si>
  <si>
    <t xml:space="preserve">D912-SS-M3x6-P10</t>
  </si>
  <si>
    <t xml:space="preserve">D912-SS-M3x8-P100</t>
  </si>
  <si>
    <t xml:space="preserve">D912-SS-M4x10-P100</t>
  </si>
  <si>
    <t xml:space="preserve">D912-SS-M4x12-P10</t>
  </si>
  <si>
    <t xml:space="preserve">D912-SS-M4x14-P10</t>
  </si>
  <si>
    <t xml:space="preserve">D912-SS-M4x15-P11</t>
  </si>
  <si>
    <t xml:space="preserve">D912-SS-M4x16-P10</t>
  </si>
  <si>
    <t xml:space="preserve">D912-SS-M4x18-P10</t>
  </si>
  <si>
    <t xml:space="preserve">D912-SS-M4x20-P50</t>
  </si>
  <si>
    <t xml:space="preserve">D912-SS-M4x22-P9</t>
  </si>
  <si>
    <t xml:space="preserve">D912-SS-M4x25-P10</t>
  </si>
  <si>
    <t xml:space="preserve">D912-SS-M4x30-P16</t>
  </si>
  <si>
    <t xml:space="preserve">D912-SS-M4x35-P9</t>
  </si>
  <si>
    <t xml:space="preserve">D912-SS-M4x40-P7</t>
  </si>
  <si>
    <t xml:space="preserve">D912-SS-M4x45-P7</t>
  </si>
  <si>
    <t xml:space="preserve">D912-SS-M4x5-P16</t>
  </si>
  <si>
    <t xml:space="preserve">D912-SS-M4x50-P6</t>
  </si>
  <si>
    <t xml:space="preserve">D912-SS-M4x55-P6</t>
  </si>
  <si>
    <t xml:space="preserve">D912-SS-M4x6-P16</t>
  </si>
  <si>
    <t xml:space="preserve">D912-SS-M4x60-P5</t>
  </si>
  <si>
    <t xml:space="preserve">D912-SS-M4x70-P4</t>
  </si>
  <si>
    <t xml:space="preserve">D912-SS-M4x75-P4</t>
  </si>
  <si>
    <t xml:space="preserve">D912-SS-M4x8-P20</t>
  </si>
  <si>
    <t xml:space="preserve">D912-SS-M4x80-P3</t>
  </si>
  <si>
    <t xml:space="preserve">D912-SS-M5x10-BK-P9</t>
  </si>
  <si>
    <t xml:space="preserve">D912-SS-M5x10-P50</t>
  </si>
  <si>
    <t xml:space="preserve">D912-SS-M5x100-P2</t>
  </si>
  <si>
    <t xml:space="preserve">D912-SS-M5x110-P2</t>
  </si>
  <si>
    <t xml:space="preserve">D912-SS-M5x12-BK-P8</t>
  </si>
  <si>
    <t xml:space="preserve">D912-SS-M5x12-P10</t>
  </si>
  <si>
    <t xml:space="preserve">D912-SS-M5x120-P2</t>
  </si>
  <si>
    <t xml:space="preserve">D912-SS-M5x130-P2</t>
  </si>
  <si>
    <t xml:space="preserve">D912-SS-M5x14-P10</t>
  </si>
  <si>
    <t xml:space="preserve">D912-SS-M5x140-P2</t>
  </si>
  <si>
    <t xml:space="preserve">D912-SS-M5x15-P9</t>
  </si>
  <si>
    <t xml:space="preserve">D912-SS-M5x150-P2</t>
  </si>
  <si>
    <t xml:space="preserve">D912-SS-M5x16-BK-P7</t>
  </si>
  <si>
    <t xml:space="preserve">D912-SS-M5x16-P100</t>
  </si>
  <si>
    <t xml:space="preserve">D912-SS-M5x18-P9</t>
  </si>
  <si>
    <t xml:space="preserve">D912-SS-M5x20-P10</t>
  </si>
  <si>
    <t xml:space="preserve">D912-SS-M5x22-P9</t>
  </si>
  <si>
    <t xml:space="preserve">D912-SS-M5x25-P1</t>
  </si>
  <si>
    <t xml:space="preserve">D912-SS-M5x30-P5</t>
  </si>
  <si>
    <t xml:space="preserve">D912-SS-M5x35-P10</t>
  </si>
  <si>
    <t xml:space="preserve">D912-SS-M5x40-P5</t>
  </si>
  <si>
    <t xml:space="preserve">D912-SS-M5x45-P5</t>
  </si>
  <si>
    <t xml:space="preserve">D912-SS-M5x50-P5</t>
  </si>
  <si>
    <t xml:space="preserve">D912-SS-M5x55-P5</t>
  </si>
  <si>
    <t xml:space="preserve">D912-SS-M5x6-P100</t>
  </si>
  <si>
    <t xml:space="preserve">D912-SS-M5x60-P4</t>
  </si>
  <si>
    <t xml:space="preserve">D912-SS-M5x65-P4</t>
  </si>
  <si>
    <t xml:space="preserve">D912-SS-M5x70-P3</t>
  </si>
  <si>
    <t xml:space="preserve">D912-SS-M5x75-P3</t>
  </si>
  <si>
    <t xml:space="preserve">D912-SS-M5x8-BK-P10</t>
  </si>
  <si>
    <t xml:space="preserve">D912-SS-M5x8-P50</t>
  </si>
  <si>
    <t xml:space="preserve">D912-SS-M5x80-P3</t>
  </si>
  <si>
    <t xml:space="preserve">D912-SS-M5x85-P3</t>
  </si>
  <si>
    <t xml:space="preserve">D912-SS-M5x90-P3</t>
  </si>
  <si>
    <t xml:space="preserve">D912-SS-M5x95-P3</t>
  </si>
  <si>
    <t xml:space="preserve">D912-SS-M6x10-P9</t>
  </si>
  <si>
    <t xml:space="preserve">D912-SS-M6x100-P3</t>
  </si>
  <si>
    <t xml:space="preserve">D912-SS-M6x110-P2</t>
  </si>
  <si>
    <t xml:space="preserve">D912-SS-M6x12-P6</t>
  </si>
  <si>
    <t xml:space="preserve">D912-SS-M6x120-P2</t>
  </si>
  <si>
    <t xml:space="preserve">D912-SS-M6x130-P2</t>
  </si>
  <si>
    <t xml:space="preserve">D912-SS-M6x14-P9</t>
  </si>
  <si>
    <t xml:space="preserve">D912-SS-M6x140-P2</t>
  </si>
  <si>
    <t xml:space="preserve">D912-SS-M6x15-P10</t>
  </si>
  <si>
    <t xml:space="preserve">D912-SS-M6x150-P2</t>
  </si>
  <si>
    <t xml:space="preserve">D912-SS-M6x16-P7</t>
  </si>
  <si>
    <t xml:space="preserve">D912-SS-M6x160-P2</t>
  </si>
  <si>
    <t xml:space="preserve">D912-SS-M6x170-P1</t>
  </si>
  <si>
    <t xml:space="preserve">D912-SS-M6x18-P8</t>
  </si>
  <si>
    <t xml:space="preserve">D912-SS-M6x180-P1</t>
  </si>
  <si>
    <t xml:space="preserve">D912-SS-M6x190-P1</t>
  </si>
  <si>
    <t xml:space="preserve">D912-SS-M6x20-P50</t>
  </si>
  <si>
    <t xml:space="preserve">D912-SS-M6x200-P1</t>
  </si>
  <si>
    <t xml:space="preserve">D912-SS-M6x22-P7</t>
  </si>
  <si>
    <t xml:space="preserve">D912-SS-M6x25-P10</t>
  </si>
  <si>
    <t xml:space="preserve">D912-SS-M6x28-P6</t>
  </si>
  <si>
    <t xml:space="preserve">D912-SS-M6x30-P10</t>
  </si>
  <si>
    <t xml:space="preserve">D912-SS-M6x35-P10</t>
  </si>
  <si>
    <t xml:space="preserve">D912-SS-M6x40-P5</t>
  </si>
  <si>
    <t xml:space="preserve">D912-SS-M6x45-P4</t>
  </si>
  <si>
    <t xml:space="preserve">D912-SS-M6x50-P5</t>
  </si>
  <si>
    <t xml:space="preserve">D912-SS-M6x55-P4</t>
  </si>
  <si>
    <t xml:space="preserve">D912-SS-M6x60-P3</t>
  </si>
  <si>
    <t xml:space="preserve">D912-SS-M6x65-P3</t>
  </si>
  <si>
    <t xml:space="preserve">D912-SS-M6x70-P3</t>
  </si>
  <si>
    <t xml:space="preserve">D912-SS-M6x75-P3</t>
  </si>
  <si>
    <t xml:space="preserve">D912-SS-M6x8-P8</t>
  </si>
  <si>
    <t xml:space="preserve">D912-SS-M6x80-P3</t>
  </si>
  <si>
    <t xml:space="preserve">D912-SS-M6x85-P3</t>
  </si>
  <si>
    <t xml:space="preserve">D912-SS-M6x90-P3</t>
  </si>
  <si>
    <t xml:space="preserve">D912-SS-M6x95-P3</t>
  </si>
  <si>
    <t xml:space="preserve">D912-SS-M8x10-P3</t>
  </si>
  <si>
    <t xml:space="preserve">D912-SS-M8x100-P2</t>
  </si>
  <si>
    <t xml:space="preserve">D912-SS-M8x110-P2</t>
  </si>
  <si>
    <t xml:space="preserve">D912-SS-M8x12-P3</t>
  </si>
  <si>
    <t xml:space="preserve">D912-SS-M8x120-P1</t>
  </si>
  <si>
    <t xml:space="preserve">D912-SS-M8x130-P1</t>
  </si>
  <si>
    <t xml:space="preserve">D912-SS-M8x14-P4</t>
  </si>
  <si>
    <t xml:space="preserve">D912-SS-M8x140-P1</t>
  </si>
  <si>
    <t xml:space="preserve">D912-SS-M8x15-P3</t>
  </si>
  <si>
    <t xml:space="preserve">D912-SS-M8x150-HT-P1</t>
  </si>
  <si>
    <t xml:space="preserve">D912-SS-M8x150-P1</t>
  </si>
  <si>
    <t xml:space="preserve">D912-SS-M8x16-P4</t>
  </si>
  <si>
    <t xml:space="preserve">D912-SS-M8x160-P1</t>
  </si>
  <si>
    <t xml:space="preserve">D912-SS-M8x170-P1</t>
  </si>
  <si>
    <t xml:space="preserve">D912-SS-M8x18-P4</t>
  </si>
  <si>
    <t xml:space="preserve">D912-SS-M8x180-P1</t>
  </si>
  <si>
    <t xml:space="preserve">D912-SS-M8x190-P1</t>
  </si>
  <si>
    <t xml:space="preserve">D912-SS-M8x20-P4</t>
  </si>
  <si>
    <t xml:space="preserve">D912-SS-M8x200-P1</t>
  </si>
  <si>
    <t xml:space="preserve">D912-SS-M8x22-P4</t>
  </si>
  <si>
    <t xml:space="preserve">D912-SS-M8x25-P3</t>
  </si>
  <si>
    <t xml:space="preserve">D912-SS-M8x28-P3</t>
  </si>
  <si>
    <t xml:space="preserve">D912-SS-M8x30-P2</t>
  </si>
  <si>
    <t xml:space="preserve">D912-SS-M8x35-P3</t>
  </si>
  <si>
    <t xml:space="preserve">D912-SS-M8x40-P2</t>
  </si>
  <si>
    <t xml:space="preserve">D912-SS-M8x45-P2</t>
  </si>
  <si>
    <t xml:space="preserve">D912-SS-M8x50-P2</t>
  </si>
  <si>
    <t xml:space="preserve">D912-SS-M8x55-P2</t>
  </si>
  <si>
    <t xml:space="preserve">D912-SS-M8x60-P2</t>
  </si>
  <si>
    <t xml:space="preserve">D912-SS-M8x65-P2</t>
  </si>
  <si>
    <t xml:space="preserve">D912-SS-M8x70-P2</t>
  </si>
  <si>
    <t xml:space="preserve">D912-SS-M8x75-P2</t>
  </si>
  <si>
    <t xml:space="preserve">D912-SS-M8x80-P2</t>
  </si>
  <si>
    <t xml:space="preserve">D912-SS-M8x85-P2</t>
  </si>
  <si>
    <t xml:space="preserve">D912-SS-M8x90-P2</t>
  </si>
  <si>
    <t xml:space="preserve">D912-SS-M8x95-P2</t>
  </si>
  <si>
    <t xml:space="preserve">ISO7380 Button Head Socket Screw, 304 Stainless (M2-M12)  [Socket Screws]</t>
  </si>
  <si>
    <t xml:space="preserve">I7380-SS-M10x100-P1</t>
  </si>
  <si>
    <t xml:space="preserve">I7380-SS-M10x110-P1</t>
  </si>
  <si>
    <t xml:space="preserve">I7380-SS-M10x120-P1</t>
  </si>
  <si>
    <t xml:space="preserve">I7380-SS-M10x130-P1</t>
  </si>
  <si>
    <t xml:space="preserve">I7380-SS-M10x140-P1</t>
  </si>
  <si>
    <t xml:space="preserve">I7380-SS-M10x150-P1</t>
  </si>
  <si>
    <t xml:space="preserve">I7380-SS-M10x16-P2</t>
  </si>
  <si>
    <t xml:space="preserve">I7380-SS-M10x20-P2</t>
  </si>
  <si>
    <t xml:space="preserve">I7380-SS-M10x25-P2</t>
  </si>
  <si>
    <t xml:space="preserve">I7380-SS-M10x30-P2</t>
  </si>
  <si>
    <t xml:space="preserve">I7380-SS-M10x35-P2</t>
  </si>
  <si>
    <t xml:space="preserve">I7380-SS-M10x40-P2</t>
  </si>
  <si>
    <t xml:space="preserve">I7380-SS-M10x45-P1</t>
  </si>
  <si>
    <t xml:space="preserve">I7380-SS-M10x50-P1</t>
  </si>
  <si>
    <t xml:space="preserve">I7380-SS-M10x55-P1</t>
  </si>
  <si>
    <t xml:space="preserve">I7380-SS-M10x60-P1</t>
  </si>
  <si>
    <t xml:space="preserve">I7380-SS-M10x70-P1</t>
  </si>
  <si>
    <t xml:space="preserve">I7380-SS-M10x80-P1</t>
  </si>
  <si>
    <t xml:space="preserve">I7380-SS-M10x90-P1</t>
  </si>
  <si>
    <t xml:space="preserve">I7380-SS-M12x100-P1</t>
  </si>
  <si>
    <t xml:space="preserve">I7380-SS-M12x20-P1</t>
  </si>
  <si>
    <t xml:space="preserve">I7380-SS-M12x25-P1</t>
  </si>
  <si>
    <t xml:space="preserve">I7380-SS-M12x30-P1</t>
  </si>
  <si>
    <t xml:space="preserve">I7380-SS-M12x35-P1</t>
  </si>
  <si>
    <t xml:space="preserve">I7380-SS-M12x40-P1</t>
  </si>
  <si>
    <t xml:space="preserve">I7380-SS-M12x45-P1</t>
  </si>
  <si>
    <t xml:space="preserve">I7380-SS-M12x50-P1</t>
  </si>
  <si>
    <t xml:space="preserve">I7380-SS-M12x55-P1</t>
  </si>
  <si>
    <t xml:space="preserve">I7380-SS-M12x60-P1</t>
  </si>
  <si>
    <t xml:space="preserve">I7380-SS-M12x70-P1</t>
  </si>
  <si>
    <t xml:space="preserve">I7380-SS-M12x80-P1</t>
  </si>
  <si>
    <t xml:space="preserve">I7380-SS-M12x90-P1</t>
  </si>
  <si>
    <t xml:space="preserve">I7380-SS-M2.5x10-P33</t>
  </si>
  <si>
    <t xml:space="preserve">I7380-SS-M2.5x12-P31</t>
  </si>
  <si>
    <t xml:space="preserve">I7380-SS-M2.5x14-P28</t>
  </si>
  <si>
    <t xml:space="preserve">I7380-SS-M2.5x16-P25</t>
  </si>
  <si>
    <t xml:space="preserve">I7380-SS-M2.5x18-P22</t>
  </si>
  <si>
    <t xml:space="preserve">I7380-SS-M2.5x20-P20</t>
  </si>
  <si>
    <t xml:space="preserve">I7380-SS-M2.5x3-P36</t>
  </si>
  <si>
    <t xml:space="preserve">I7380-SS-M2.5x4-P39</t>
  </si>
  <si>
    <t xml:space="preserve">I7380-SS-M2.5x5-P10</t>
  </si>
  <si>
    <t xml:space="preserve">I7380-SS-M2.5x6-P39</t>
  </si>
  <si>
    <t xml:space="preserve">I7380-SS-M2.5x8-P36</t>
  </si>
  <si>
    <t xml:space="preserve">I7380-SS-M2x10-P35</t>
  </si>
  <si>
    <t xml:space="preserve">I7380-SS-M2x12-P30</t>
  </si>
  <si>
    <t xml:space="preserve">I7380-SS-M2x14-P28</t>
  </si>
  <si>
    <t xml:space="preserve">I7380-SS-M2x16-P24</t>
  </si>
  <si>
    <t xml:space="preserve">24 pcs</t>
  </si>
  <si>
    <t xml:space="preserve">I7380-SS-M2x18-P22</t>
  </si>
  <si>
    <t xml:space="preserve">I7380-SS-M2x20-P20</t>
  </si>
  <si>
    <t xml:space="preserve">I7380-SS-M2x3-P42</t>
  </si>
  <si>
    <t xml:space="preserve">42 pcs</t>
  </si>
  <si>
    <t xml:space="preserve">I7380-SS-M2x4-P45</t>
  </si>
  <si>
    <t xml:space="preserve">45 pcs</t>
  </si>
  <si>
    <t xml:space="preserve">I7380-SS-M2x5-P43</t>
  </si>
  <si>
    <t xml:space="preserve">I7380-SS-M2x6-P40</t>
  </si>
  <si>
    <t xml:space="preserve">I7380-SS-M2x8-P37</t>
  </si>
  <si>
    <t xml:space="preserve">I7380-SS-M3x10-P5</t>
  </si>
  <si>
    <t xml:space="preserve">I7380-SS-M3x12-P37</t>
  </si>
  <si>
    <t xml:space="preserve">I7380-SS-M3x14-P25</t>
  </si>
  <si>
    <t xml:space="preserve">I7380-SS-M3x16-P30</t>
  </si>
  <si>
    <t xml:space="preserve">I7380-SS-M3x18-P20</t>
  </si>
  <si>
    <t xml:space="preserve">I7380-SS-M3x20-P20</t>
  </si>
  <si>
    <t xml:space="preserve">I7380-SS-M3x22-P16</t>
  </si>
  <si>
    <t xml:space="preserve">I7380-SS-M3x25-P16</t>
  </si>
  <si>
    <t xml:space="preserve">I7380-SS-M3x30-P16</t>
  </si>
  <si>
    <t xml:space="preserve">I7380-SS-M3x35-P14</t>
  </si>
  <si>
    <t xml:space="preserve">I7380-SS-M3x4-P55</t>
  </si>
  <si>
    <t xml:space="preserve">55 pcs</t>
  </si>
  <si>
    <t xml:space="preserve">I7380-SS-M3x40-P10</t>
  </si>
  <si>
    <t xml:space="preserve">I7380-SS-M3x45-P8</t>
  </si>
  <si>
    <t xml:space="preserve">I7380-SS-M3x5-P32</t>
  </si>
  <si>
    <t xml:space="preserve">I7380-SS-M3x50-P7</t>
  </si>
  <si>
    <t xml:space="preserve">I7380-SS-M3x6-P10</t>
  </si>
  <si>
    <t xml:space="preserve">I7380-SS-M3x8-P50</t>
  </si>
  <si>
    <t xml:space="preserve">I7380-SS-M4x10-P5</t>
  </si>
  <si>
    <t xml:space="preserve">I7380-SS-M4x12-BK-P12</t>
  </si>
  <si>
    <t xml:space="preserve">I7380-SS-M4x12-P100</t>
  </si>
  <si>
    <t xml:space="preserve">I7380-SS-M4x14-P15</t>
  </si>
  <si>
    <t xml:space="preserve">I7380-SS-M4x16-P17</t>
  </si>
  <si>
    <t xml:space="preserve">I7380-SS-M4x18-P13</t>
  </si>
  <si>
    <t xml:space="preserve">I7380-SS-M4x20-P14</t>
  </si>
  <si>
    <t xml:space="preserve">I7380-SS-M4x22-P11</t>
  </si>
  <si>
    <t xml:space="preserve">I7380-SS-M4x25-BK-P8</t>
  </si>
  <si>
    <t xml:space="preserve">I7380-SS-M4x25-P11</t>
  </si>
  <si>
    <t xml:space="preserve">I7380-SS-M4x30-P10</t>
  </si>
  <si>
    <t xml:space="preserve">I7380-SS-M4x35-P8</t>
  </si>
  <si>
    <t xml:space="preserve">I7380-SS-M4x40-BK-P6</t>
  </si>
  <si>
    <t xml:space="preserve">I7380-SS-M4x40-P7</t>
  </si>
  <si>
    <t xml:space="preserve">I7380-SS-M4x45-P6</t>
  </si>
  <si>
    <t xml:space="preserve">I7380-SS-M4x50-P6</t>
  </si>
  <si>
    <t xml:space="preserve">I7380-SS-M4x55-P5</t>
  </si>
  <si>
    <t xml:space="preserve">I7380-SS-M4x6-P25</t>
  </si>
  <si>
    <t xml:space="preserve">I7380-SS-M4x60-P5</t>
  </si>
  <si>
    <t xml:space="preserve">I7380-SS-M4x70-P4</t>
  </si>
  <si>
    <t xml:space="preserve">I7380-SS-M4x8-P10</t>
  </si>
  <si>
    <t xml:space="preserve">I7380-SS-M4x80-P3</t>
  </si>
  <si>
    <t xml:space="preserve">I7380-SS-M5x10-P10</t>
  </si>
  <si>
    <t xml:space="preserve">I7380-SS-M5x100-P2</t>
  </si>
  <si>
    <t xml:space="preserve">I7380-SS-M5x12-P14</t>
  </si>
  <si>
    <t xml:space="preserve">I7380-SS-M5x14-P11</t>
  </si>
  <si>
    <t xml:space="preserve">I7380-SS-M5x16-P10</t>
  </si>
  <si>
    <t xml:space="preserve">I7380-SS-M5x18-P10</t>
  </si>
  <si>
    <t xml:space="preserve">I7380-SS-M5x20-P9</t>
  </si>
  <si>
    <t xml:space="preserve">I7380-SS-M5x22-P9</t>
  </si>
  <si>
    <t xml:space="preserve">I7380-SS-M5x25-BK-P6</t>
  </si>
  <si>
    <t xml:space="preserve">I7380-SS-M5x25-P7</t>
  </si>
  <si>
    <t xml:space="preserve">I7380-SS-M5x30-BK-P5</t>
  </si>
  <si>
    <t xml:space="preserve">I7380-SS-M5x30-P1</t>
  </si>
  <si>
    <t xml:space="preserve">I7380-SS-M5x35-P6</t>
  </si>
  <si>
    <t xml:space="preserve">I7380-SS-M5x40-P6</t>
  </si>
  <si>
    <t xml:space="preserve">I7380-SS-M5x45-P5</t>
  </si>
  <si>
    <t xml:space="preserve">I7380-SS-M5x50-P5</t>
  </si>
  <si>
    <t xml:space="preserve">I7380-SS-M5x55-P4</t>
  </si>
  <si>
    <t xml:space="preserve">I7380-SS-M5x6-BK-P10</t>
  </si>
  <si>
    <t xml:space="preserve">I7380-SS-M5x6-P10</t>
  </si>
  <si>
    <t xml:space="preserve">I7380-SS-M5x60-P4</t>
  </si>
  <si>
    <t xml:space="preserve">I7380-SS-M5x65-P1</t>
  </si>
  <si>
    <t xml:space="preserve">I7380-SS-M5x70-P3</t>
  </si>
  <si>
    <t xml:space="preserve">I7380-SS-M5x75-P3</t>
  </si>
  <si>
    <t xml:space="preserve">I7380-SS-M5x8-P10</t>
  </si>
  <si>
    <t xml:space="preserve">I7380-SS-M5x80-P3</t>
  </si>
  <si>
    <t xml:space="preserve">I7380-SS-M5x90-P2</t>
  </si>
  <si>
    <t xml:space="preserve">I7380-SS-M6x10-P11</t>
  </si>
  <si>
    <t xml:space="preserve">I7380-SS-M6x100-P2</t>
  </si>
  <si>
    <t xml:space="preserve">I7380-SS-M6x12-P10</t>
  </si>
  <si>
    <t xml:space="preserve">I7380-SS-M6x14-P8</t>
  </si>
  <si>
    <t xml:space="preserve">I7380-SS-M6x16-P9</t>
  </si>
  <si>
    <t xml:space="preserve">I7380-SS-M6x18-P7</t>
  </si>
  <si>
    <t xml:space="preserve">I7380-SS-M6x20-P7</t>
  </si>
  <si>
    <t xml:space="preserve">I7380-SS-M6x25-P6</t>
  </si>
  <si>
    <t xml:space="preserve">I7380-SS-M6x30-P6</t>
  </si>
  <si>
    <t xml:space="preserve">I7380-SS-M6x35-P4</t>
  </si>
  <si>
    <t xml:space="preserve">I7380-SS-M6x40-P4</t>
  </si>
  <si>
    <t xml:space="preserve">I7380-SS-M6x45-P3</t>
  </si>
  <si>
    <t xml:space="preserve">I7380-SS-M6x50-P3</t>
  </si>
  <si>
    <t xml:space="preserve">I7380-SS-M6x55-P3</t>
  </si>
  <si>
    <t xml:space="preserve">I7380-SS-M6x6-P1</t>
  </si>
  <si>
    <t xml:space="preserve">I7380-SS-M6x60-P3</t>
  </si>
  <si>
    <t xml:space="preserve">I7380-SS-M6x65-P2</t>
  </si>
  <si>
    <t xml:space="preserve">I7380-SS-M6x70-P2</t>
  </si>
  <si>
    <t xml:space="preserve">I7380-SS-M6x8-P10</t>
  </si>
  <si>
    <t xml:space="preserve">I7380-SS-M6x80-P2</t>
  </si>
  <si>
    <t xml:space="preserve">I7380-SS-M6x90-P2</t>
  </si>
  <si>
    <t xml:space="preserve">I7380-SS-M8x10-P1</t>
  </si>
  <si>
    <t xml:space="preserve">I7380-SS-M8x100-P1</t>
  </si>
  <si>
    <t xml:space="preserve">I7380-SS-M8x12-P5</t>
  </si>
  <si>
    <t xml:space="preserve">I7380-SS-M8x14-P4</t>
  </si>
  <si>
    <t xml:space="preserve">I7380-SS-M8x16-P5</t>
  </si>
  <si>
    <t xml:space="preserve">I7380-SS-M8x20-P10</t>
  </si>
  <si>
    <t xml:space="preserve">I7380-SS-M8x25-P3</t>
  </si>
  <si>
    <t xml:space="preserve">I7380-SS-M8x30-P3</t>
  </si>
  <si>
    <t xml:space="preserve">I7380-SS-M8x35-P2</t>
  </si>
  <si>
    <t xml:space="preserve">I7380-SS-M8x40-P2</t>
  </si>
  <si>
    <t xml:space="preserve">I7380-SS-M8x45-P2</t>
  </si>
  <si>
    <t xml:space="preserve">I7380-SS-M8x50-P2</t>
  </si>
  <si>
    <t xml:space="preserve">I7380-SS-M8x55-P2</t>
  </si>
  <si>
    <t xml:space="preserve">I7380-SS-M8x60-P2</t>
  </si>
  <si>
    <t xml:space="preserve">I7380-SS-M8x70-P2</t>
  </si>
  <si>
    <t xml:space="preserve">I7380-SS-M8x80-P1</t>
  </si>
  <si>
    <t xml:space="preserve">I7380-SS-M8x90-P1</t>
  </si>
  <si>
    <t xml:space="preserve">304 Stainless Solid Adjustable L-Handle  [Socket Screws]</t>
  </si>
  <si>
    <t xml:space="preserve">Handle</t>
  </si>
  <si>
    <t xml:space="preserve">Thread Type</t>
  </si>
  <si>
    <t xml:space="preserve">R30</t>
  </si>
  <si>
    <t xml:space="preserve">Carbon steel screw</t>
  </si>
  <si>
    <t xml:space="preserve">LH-BK-R30-CS-M5x12</t>
  </si>
  <si>
    <t xml:space="preserve">LH-BK-R30-CS-M5x16</t>
  </si>
  <si>
    <t xml:space="preserve">LH-BK-R30-CS-M5x20</t>
  </si>
  <si>
    <t xml:space="preserve">LH-BK-R30-CS-M5x25</t>
  </si>
  <si>
    <t xml:space="preserve">LH-BK-R30-CS-M5x32</t>
  </si>
  <si>
    <t xml:space="preserve">LH-BK-R30-CS-M5x40</t>
  </si>
  <si>
    <t xml:space="preserve">LH-BK-R30-CS-M6x12</t>
  </si>
  <si>
    <t xml:space="preserve">LH-BK-R30-CS-M6x16</t>
  </si>
  <si>
    <t xml:space="preserve">LH-BK-R30-CS-M6x20</t>
  </si>
  <si>
    <t xml:space="preserve">LH-BK-R30-CS-M6x25</t>
  </si>
  <si>
    <t xml:space="preserve">LH-BK-R30-CS-M6x32</t>
  </si>
  <si>
    <t xml:space="preserve">LH-BK-R30-CS-M6x40</t>
  </si>
  <si>
    <t xml:space="preserve">LH-BK-R30-CS-M6x50</t>
  </si>
  <si>
    <t xml:space="preserve">LH-BK-R30-I-M4</t>
  </si>
  <si>
    <t xml:space="preserve">Female thread</t>
  </si>
  <si>
    <t xml:space="preserve">LH-BK-R30-I-M5</t>
  </si>
  <si>
    <t xml:space="preserve">LH-BK-R30-I-M6</t>
  </si>
  <si>
    <t xml:space="preserve">LH-BK-R40-SS-M6x30</t>
  </si>
  <si>
    <t xml:space="preserve">R40</t>
  </si>
  <si>
    <t xml:space="preserve">Stainless screw</t>
  </si>
  <si>
    <t xml:space="preserve">LH-BK-R40-SS-M6x32</t>
  </si>
  <si>
    <t xml:space="preserve">LH-BK-R45-CS-M4x12</t>
  </si>
  <si>
    <t xml:space="preserve">R45</t>
  </si>
  <si>
    <t xml:space="preserve">LH-BK-R45-CS-M4x16</t>
  </si>
  <si>
    <t xml:space="preserve">LH-BK-R45-CS-M4x20</t>
  </si>
  <si>
    <t xml:space="preserve">LH-BK-R45-CS-M4x25</t>
  </si>
  <si>
    <t xml:space="preserve">LH-BK-R45-CS-M4x32</t>
  </si>
  <si>
    <t xml:space="preserve">LH-BK-R45-CS-M5x12</t>
  </si>
  <si>
    <t xml:space="preserve">LH-BK-R45-CS-M5x16</t>
  </si>
  <si>
    <t xml:space="preserve">LH-BK-R45-CS-M5x20</t>
  </si>
  <si>
    <t xml:space="preserve">LH-BK-R45-CS-M5x25</t>
  </si>
  <si>
    <t xml:space="preserve">LH-BK-R45-CS-M5x32</t>
  </si>
  <si>
    <t xml:space="preserve">LH-BK-R45-CS-M5x40</t>
  </si>
  <si>
    <t xml:space="preserve">LH-BK-R45-CS-M6x12</t>
  </si>
  <si>
    <t xml:space="preserve">LH-BK-R45-CS-M6x16</t>
  </si>
  <si>
    <t xml:space="preserve">LH-BK-R45-CS-M6x20</t>
  </si>
  <si>
    <t xml:space="preserve">LH-BK-R45-CS-M6x25</t>
  </si>
  <si>
    <t xml:space="preserve">LH-BK-R45-CS-M6x32</t>
  </si>
  <si>
    <t xml:space="preserve">LH-BK-R45-CS-M6x40</t>
  </si>
  <si>
    <t xml:space="preserve">LH-BK-R45-CS-M6x50</t>
  </si>
  <si>
    <t xml:space="preserve">LH-BK-R45-CS-M8x16</t>
  </si>
  <si>
    <t xml:space="preserve">LH-BK-R45-CS-M8x20</t>
  </si>
  <si>
    <t xml:space="preserve">LH-BK-R45-CS-M8x25</t>
  </si>
  <si>
    <t xml:space="preserve">LH-BK-R45-CS-M8x32</t>
  </si>
  <si>
    <t xml:space="preserve">LH-BK-R45-I-M4</t>
  </si>
  <si>
    <t xml:space="preserve">LH-BK-R45-I-M5</t>
  </si>
  <si>
    <t xml:space="preserve">LH-BK-R45-I-M6</t>
  </si>
  <si>
    <t xml:space="preserve">LH-BK-R45-SS-M4x12</t>
  </si>
  <si>
    <t xml:space="preserve">LH-BK-R45-SS-M4x16</t>
  </si>
  <si>
    <t xml:space="preserve">LH-BK-R45-SS-M4x20</t>
  </si>
  <si>
    <t xml:space="preserve">LH-BK-R45-SS-M5x12</t>
  </si>
  <si>
    <t xml:space="preserve">LH-BK-R45-SS-M5x16</t>
  </si>
  <si>
    <t xml:space="preserve">LH-BK-R45-SS-M5x20</t>
  </si>
  <si>
    <t xml:space="preserve">LH-BK-R45-SS-M5x25</t>
  </si>
  <si>
    <t xml:space="preserve">LH-BK-R45-SS-M5x30</t>
  </si>
  <si>
    <t xml:space="preserve">LH-BK-R45-SS-M6x12</t>
  </si>
  <si>
    <t xml:space="preserve">LH-BK-R45-SS-M6x16</t>
  </si>
  <si>
    <t xml:space="preserve">LH-BK-R45-SS-M6x20</t>
  </si>
  <si>
    <t xml:space="preserve">LH-BK-R45-SS-M6x25</t>
  </si>
  <si>
    <t xml:space="preserve">LH-BK-R45-SS-M6x32</t>
  </si>
  <si>
    <t xml:space="preserve">LH-BK-R45-SS-M6x40</t>
  </si>
  <si>
    <t xml:space="preserve">LH-BK-R45-SS-M8x16</t>
  </si>
  <si>
    <t xml:space="preserve">LH-BK-R45-SS-M8x20</t>
  </si>
  <si>
    <t xml:space="preserve">LH-BK-R45-SS-M8x25</t>
  </si>
  <si>
    <t xml:space="preserve">LH-BK-R45-SS-M8x32</t>
  </si>
  <si>
    <t xml:space="preserve">LH-BK-R45-SS-M8x40</t>
  </si>
  <si>
    <t xml:space="preserve">LH-OR-R45-SS-M6x20</t>
  </si>
  <si>
    <t xml:space="preserve">304 Stainless SEMS Screw (DIN912 + Flat &amp; Spring Washer)  [Socket Screws]</t>
  </si>
  <si>
    <t xml:space="preserve">D912C-SS-M3x10-P13</t>
  </si>
  <si>
    <t xml:space="preserve">D912C-SS-M3x12-P13</t>
  </si>
  <si>
    <t xml:space="preserve">D912C-SS-M3x14-P5</t>
  </si>
  <si>
    <t xml:space="preserve">D912C-SS-M3x16-P11</t>
  </si>
  <si>
    <t xml:space="preserve">D912C-SS-M3x18-P9</t>
  </si>
  <si>
    <t xml:space="preserve">D912C-SS-M3x20-P9</t>
  </si>
  <si>
    <t xml:space="preserve">D912C-SS-M3x6-P13</t>
  </si>
  <si>
    <t xml:space="preserve">D912C-SS-M3x8-P13</t>
  </si>
  <si>
    <t xml:space="preserve">D912C-SS-M4x10-P9</t>
  </si>
  <si>
    <t xml:space="preserve">D912C-SS-M4x12-P9</t>
  </si>
  <si>
    <t xml:space="preserve">D912C-SS-M4x14-P8</t>
  </si>
  <si>
    <t xml:space="preserve">D912C-SS-M4x16-P8</t>
  </si>
  <si>
    <t xml:space="preserve">D912C-SS-M4x18-P8</t>
  </si>
  <si>
    <t xml:space="preserve">D912C-SS-M4x20-P7</t>
  </si>
  <si>
    <t xml:space="preserve">D912C-SS-M4x25-P7</t>
  </si>
  <si>
    <t xml:space="preserve">D912C-SS-M4x30-P6</t>
  </si>
  <si>
    <t xml:space="preserve">D912C-SS-M4x6-P10</t>
  </si>
  <si>
    <t xml:space="preserve">D912C-SS-M4x8-P10</t>
  </si>
  <si>
    <t xml:space="preserve">D912C-SS-M5x10-P7</t>
  </si>
  <si>
    <t xml:space="preserve">D912C-SS-M5x12-P7</t>
  </si>
  <si>
    <t xml:space="preserve">D912C-SS-M5x14-P6</t>
  </si>
  <si>
    <t xml:space="preserve">D912C-SS-M5x16-P6</t>
  </si>
  <si>
    <t xml:space="preserve">D912C-SS-M5x18-P6</t>
  </si>
  <si>
    <t xml:space="preserve">D912C-SS-M5x20-P6</t>
  </si>
  <si>
    <t xml:space="preserve">D912C-SS-M5x25-P5</t>
  </si>
  <si>
    <t xml:space="preserve">D912C-SS-M5x30-P5</t>
  </si>
  <si>
    <t xml:space="preserve">D912C-SS-M5x35-P4</t>
  </si>
  <si>
    <t xml:space="preserve">D912C-SS-M5x40-P4</t>
  </si>
  <si>
    <t xml:space="preserve">D912C-SS-M5x45-P4</t>
  </si>
  <si>
    <t xml:space="preserve">D912C-SS-M5x50-P3</t>
  </si>
  <si>
    <t xml:space="preserve">D912C-SS-M5x8-P7</t>
  </si>
  <si>
    <t xml:space="preserve">D912C-SS-M6x15-P4</t>
  </si>
  <si>
    <t xml:space="preserve">D912C-SS-M6x16-P5</t>
  </si>
  <si>
    <t xml:space="preserve">304 Stainless Flanged Socket Screw (Button Flange / DIN251)  [Socket Screws]</t>
  </si>
  <si>
    <t xml:space="preserve">Head Type</t>
  </si>
  <si>
    <t xml:space="preserve">DIN251 flange face</t>
  </si>
  <si>
    <t xml:space="preserve">FLG-SS-D251-M4x14-P6</t>
  </si>
  <si>
    <t xml:space="preserve">FLG-SS-D251-M4x18-P5</t>
  </si>
  <si>
    <t xml:space="preserve">FLG-SS-M3x10-P21</t>
  </si>
  <si>
    <t xml:space="preserve">Button flange head</t>
  </si>
  <si>
    <t xml:space="preserve">FLG-SS-M3x12-P20</t>
  </si>
  <si>
    <t xml:space="preserve">FLG-SS-M3x16-P15</t>
  </si>
  <si>
    <t xml:space="preserve">FLG-SS-M3x20-P13</t>
  </si>
  <si>
    <t xml:space="preserve">FLG-SS-M3x25-P8</t>
  </si>
  <si>
    <t xml:space="preserve">FLG-SS-M3x3-P5</t>
  </si>
  <si>
    <t xml:space="preserve">FLG-SS-M3x30-P11</t>
  </si>
  <si>
    <t xml:space="preserve">FLG-SS-M3x4-P16</t>
  </si>
  <si>
    <t xml:space="preserve">FLG-SS-M3x40-P8</t>
  </si>
  <si>
    <t xml:space="preserve">FLG-SS-M3x5-P30</t>
  </si>
  <si>
    <t xml:space="preserve">FLG-SS-M3x50-P6</t>
  </si>
  <si>
    <t xml:space="preserve">FLG-SS-M3x6-P30</t>
  </si>
  <si>
    <t xml:space="preserve">FLG-SS-M3x60-P3</t>
  </si>
  <si>
    <t xml:space="preserve">FLG-SS-M3x8-P25</t>
  </si>
  <si>
    <t xml:space="preserve">FLG-SS-M4x10-P14</t>
  </si>
  <si>
    <t xml:space="preserve">FLG-SS-M4x12-P13</t>
  </si>
  <si>
    <t xml:space="preserve">FLG-SS-M4x14-P12</t>
  </si>
  <si>
    <t xml:space="preserve">FLG-SS-M4x16-P12</t>
  </si>
  <si>
    <t xml:space="preserve">FLG-SS-M4x20-P10</t>
  </si>
  <si>
    <t xml:space="preserve">FLG-SS-M4x25-P9</t>
  </si>
  <si>
    <t xml:space="preserve">FLG-SS-M4x30-P8</t>
  </si>
  <si>
    <t xml:space="preserve">FLG-SS-M4x6-P14</t>
  </si>
  <si>
    <t xml:space="preserve">FLG-SS-M4x8-P16</t>
  </si>
  <si>
    <t xml:space="preserve">FLG-SS-M5x10-P9</t>
  </si>
  <si>
    <t xml:space="preserve">FLG-SS-M5x12-P8</t>
  </si>
  <si>
    <t xml:space="preserve">FLG-SS-M5x14-P7</t>
  </si>
  <si>
    <t xml:space="preserve">FLG-SS-M5x16-P7</t>
  </si>
  <si>
    <t xml:space="preserve">FLG-SS-M5x20-P6</t>
  </si>
  <si>
    <t xml:space="preserve">FLG-SS-M5x25-P5</t>
  </si>
  <si>
    <t xml:space="preserve">FLG-SS-M5x30-P5</t>
  </si>
  <si>
    <t xml:space="preserve">FLG-SS-M5x8-P9</t>
  </si>
  <si>
    <t xml:space="preserve">FLG-SS-M6x10-P6</t>
  </si>
  <si>
    <t xml:space="preserve">FLG-SS-M6x12-P6</t>
  </si>
  <si>
    <t xml:space="preserve">FLG-SS-M6x14-P5</t>
  </si>
  <si>
    <t xml:space="preserve">FLG-SS-M6x16-P5</t>
  </si>
  <si>
    <t xml:space="preserve">FLG-SS-M6x20-P5</t>
  </si>
  <si>
    <t xml:space="preserve">FLG-SS-M6x25-P4</t>
  </si>
  <si>
    <t xml:space="preserve">FLG-SS-M6x30-P4</t>
  </si>
  <si>
    <t xml:space="preserve">FLG-SS-M6x35-P3</t>
  </si>
  <si>
    <t xml:space="preserve">FLG-SS-M6x40-P3</t>
  </si>
  <si>
    <t xml:space="preserve">FLG-SS-M6x8-P6</t>
  </si>
  <si>
    <t xml:space="preserve">FLG-SS-M8x10-P3</t>
  </si>
  <si>
    <t xml:space="preserve">FLG-SS-M8x12-P3</t>
  </si>
  <si>
    <t xml:space="preserve">FLG-SS-M8x14-P3</t>
  </si>
  <si>
    <t xml:space="preserve">FLG-SS-M8x16-P3</t>
  </si>
  <si>
    <t xml:space="preserve">FLG-SS-M8x18-P2</t>
  </si>
  <si>
    <t xml:space="preserve">FLG-SS-M8x20-P2</t>
  </si>
  <si>
    <t xml:space="preserve">FLG-SS-M8x25-P2</t>
  </si>
  <si>
    <t xml:space="preserve">FLG-SS-M8x30-P2</t>
  </si>
  <si>
    <t xml:space="preserve">FLG-SS-M8x35-P2</t>
  </si>
  <si>
    <t xml:space="preserve">FLG-SS-M8x40-P2</t>
  </si>
  <si>
    <t xml:space="preserve">304 Stainless Wafer Head Socket Screw (Ultra-thin / Chamfered)  [Socket Screws]</t>
  </si>
  <si>
    <t xml:space="preserve">Chamfered wafer head</t>
  </si>
  <si>
    <t xml:space="preserve">FH-SS-CH-M5x10-P2</t>
  </si>
  <si>
    <t xml:space="preserve">FH-SS-CH-M5x12-P5</t>
  </si>
  <si>
    <t xml:space="preserve">FH-SS-CH-M5x16-P1</t>
  </si>
  <si>
    <t xml:space="preserve">FH-SS-CH-M5x20-P1</t>
  </si>
  <si>
    <t xml:space="preserve">FH-SS-CH-M5x25-P2</t>
  </si>
  <si>
    <t xml:space="preserve">FH-SS-CH-M5x30-P2</t>
  </si>
  <si>
    <t xml:space="preserve">FH-SS-CH-M5x35-P2</t>
  </si>
  <si>
    <t xml:space="preserve">FH-SS-CH-M5x40-P1</t>
  </si>
  <si>
    <t xml:space="preserve">FH-SS-CH-M5x45-P1</t>
  </si>
  <si>
    <t xml:space="preserve">FH-SS-CH-M5x50-P1</t>
  </si>
  <si>
    <t xml:space="preserve">FH-SS-CH-M5x8-P2</t>
  </si>
  <si>
    <t xml:space="preserve">FH-SS-CM-M4x6-D8T1.2-P5</t>
  </si>
  <si>
    <t xml:space="preserve">head Dia 8T 1.2</t>
  </si>
  <si>
    <t xml:space="preserve">CM ultra-thin head</t>
  </si>
  <si>
    <t xml:space="preserve">FH-SS-CM-M4x8-D8T1.2-P100</t>
  </si>
  <si>
    <t xml:space="preserve">FH-SS-CM-M5x10-P5</t>
  </si>
  <si>
    <t xml:space="preserve">FH-SS-CM-M5x60-P1</t>
  </si>
  <si>
    <t xml:space="preserve">FH-SS-CM-M5x8-P5</t>
  </si>
  <si>
    <t xml:space="preserve">FH-SS-CM-M6x12-D12-P1</t>
  </si>
  <si>
    <t xml:space="preserve">head Dia 12</t>
  </si>
  <si>
    <t xml:space="preserve">FH-SS-CM-M6x20-D12-P6</t>
  </si>
  <si>
    <t xml:space="preserve">Adjustable Clamping Lever, L-Handle (Aluminum / Zinc Alloy)  [Socket Screws]</t>
  </si>
  <si>
    <t xml:space="preserve">Handle Material</t>
  </si>
  <si>
    <t xml:space="preserve">Handle Length (mm)</t>
  </si>
  <si>
    <t xml:space="preserve">Stud Length (mm)</t>
  </si>
  <si>
    <t xml:space="preserve">Male thread</t>
  </si>
  <si>
    <t xml:space="preserve">ADJ-AL-BK-E-M10x80x20-P1</t>
  </si>
  <si>
    <t xml:space="preserve">ADJ-AL-BK-E-M10x80x25-P1</t>
  </si>
  <si>
    <t xml:space="preserve">ADJ-AL-BK-E-M10x80x32-P1</t>
  </si>
  <si>
    <t xml:space="preserve">ADJ-AL-BK-E-M10x80x40-P1</t>
  </si>
  <si>
    <t xml:space="preserve">ADJ-AL-BK-E-M10x80x50-P1</t>
  </si>
  <si>
    <t xml:space="preserve">ADJ-AL-BK-E-M10x80x60-P1</t>
  </si>
  <si>
    <t xml:space="preserve">ADJ-AL-BK-E-M10x80x70-P1</t>
  </si>
  <si>
    <t xml:space="preserve">ADJ-AL-BK-E-M10x80x80-P1</t>
  </si>
  <si>
    <t xml:space="preserve">ADJ-AL-BK-E-M12x95x25-P1</t>
  </si>
  <si>
    <t xml:space="preserve">ADJ-AL-BK-E-M12x95x32-P1</t>
  </si>
  <si>
    <t xml:space="preserve">ADJ-AL-BK-E-M12x95x40-P1</t>
  </si>
  <si>
    <t xml:space="preserve">ADJ-AL-BK-E-M12x95x50-P1</t>
  </si>
  <si>
    <t xml:space="preserve">ADJ-AL-BK-E-M12x95x63-P1</t>
  </si>
  <si>
    <t xml:space="preserve">ADJ-AL-BK-E-M12x95x70-P1</t>
  </si>
  <si>
    <t xml:space="preserve">ADJ-AL-BK-E-M12x95x80-P1</t>
  </si>
  <si>
    <t xml:space="preserve">ADJ-AL-BK-E-M16x114x32-P1</t>
  </si>
  <si>
    <t xml:space="preserve">ADJ-AL-BK-E-M16x114x40-P1</t>
  </si>
  <si>
    <t xml:space="preserve">ADJ-AL-BK-E-M16x114x50-P1</t>
  </si>
  <si>
    <t xml:space="preserve">ADJ-AL-BK-E-M16x114x70-P1</t>
  </si>
  <si>
    <t xml:space="preserve">ADJ-AL-BK-E-M16x114x80-P1</t>
  </si>
  <si>
    <t xml:space="preserve">ADJ-AL-BK-E-M4x50x16-P1</t>
  </si>
  <si>
    <t xml:space="preserve">ADJ-AL-BK-E-M4x50x20-P1</t>
  </si>
  <si>
    <t xml:space="preserve">ADJ-AL-BK-E-M5x50x16-P2</t>
  </si>
  <si>
    <t xml:space="preserve">ADJ-AL-BK-E-M5x50x20-P2</t>
  </si>
  <si>
    <t xml:space="preserve">ADJ-AL-BK-E-M5x50x25-P1</t>
  </si>
  <si>
    <t xml:space="preserve">ADJ-AL-BK-E-M5x50x32-P2</t>
  </si>
  <si>
    <t xml:space="preserve">ADJ-AL-BK-E-M6x50x12-P1</t>
  </si>
  <si>
    <t xml:space="preserve">ADJ-AL-BK-E-M6x50x16-P2</t>
  </si>
  <si>
    <t xml:space="preserve">ADJ-AL-BK-E-M6x50x20-P1</t>
  </si>
  <si>
    <t xml:space="preserve">ADJ-AL-BK-E-M6x50x25-P2</t>
  </si>
  <si>
    <t xml:space="preserve">ADJ-AL-BK-E-M6x50x32-P2</t>
  </si>
  <si>
    <t xml:space="preserve">ADJ-AL-BK-E-M6x50x40-P2</t>
  </si>
  <si>
    <t xml:space="preserve">ADJ-AL-BK-E-M6x50x50-P2</t>
  </si>
  <si>
    <t xml:space="preserve">ADJ-AL-BK-E-M6x50x60-P1</t>
  </si>
  <si>
    <t xml:space="preserve">ADJ-AL-BK-E-M8x63x16-P1</t>
  </si>
  <si>
    <t xml:space="preserve">ADJ-AL-BK-E-M8x63x20-P1</t>
  </si>
  <si>
    <t xml:space="preserve">ADJ-AL-BK-E-M8x63x25-P1</t>
  </si>
  <si>
    <t xml:space="preserve">ADJ-AL-BK-E-M8x63x30-P1</t>
  </si>
  <si>
    <t xml:space="preserve">ADJ-AL-BK-E-M8x63x32-P1</t>
  </si>
  <si>
    <t xml:space="preserve">ADJ-AL-BK-E-M8x63x40-P1</t>
  </si>
  <si>
    <t xml:space="preserve">ADJ-AL-BK-E-M8x63x50-P1</t>
  </si>
  <si>
    <t xml:space="preserve">ADJ-AL-BK-E-M8x63x60-P1</t>
  </si>
  <si>
    <t xml:space="preserve">ADJ-AL-BK-E-M8x63x70-P1</t>
  </si>
  <si>
    <t xml:space="preserve">ADJ-AL-BK-E-M8x63x80-P1</t>
  </si>
  <si>
    <t xml:space="preserve">ADJ-AL-BK-I-M10x80-P1</t>
  </si>
  <si>
    <t xml:space="preserve">ADJ-AL-BK-I-M12x95-P1</t>
  </si>
  <si>
    <t xml:space="preserve">ADJ-AL-BK-I-M14-P1</t>
  </si>
  <si>
    <t xml:space="preserve">ADJ-AL-BK-I-M16x114-P1</t>
  </si>
  <si>
    <t xml:space="preserve">ADJ-AL-BK-I-M5x50-P2</t>
  </si>
  <si>
    <t xml:space="preserve">ADJ-AL-BK-I-M6x50-P2</t>
  </si>
  <si>
    <t xml:space="preserve">ADJ-AL-BK-I-M8x63-P1</t>
  </si>
  <si>
    <t xml:space="preserve">ADJ-AL-BL-E-M8x63x30-P1</t>
  </si>
  <si>
    <t xml:space="preserve">ADJ-ZN-BK-E-M5x50x50-P1</t>
  </si>
  <si>
    <t xml:space="preserve">ADJ-ZN-BK-E-M8x63x30-P1</t>
  </si>
  <si>
    <t xml:space="preserve">ADJ-ZN-BL-E-M8x63x30-P1</t>
  </si>
  <si>
    <t xml:space="preserve">DIN7984 Low Head Socket Screw, 8.8 Black Carbon Steel (M3-M30)  [Socket Screws]</t>
  </si>
  <si>
    <t xml:space="preserve">D7984-G88-M10x100-HT-P1</t>
  </si>
  <si>
    <t xml:space="preserve">D7984-G88-M10x12-P3</t>
  </si>
  <si>
    <t xml:space="preserve">D7984-G88-M10x120-HT-P1</t>
  </si>
  <si>
    <t xml:space="preserve">D7984-G88-M10x16-P4</t>
  </si>
  <si>
    <t xml:space="preserve">D7984-G88-M10x20-P4</t>
  </si>
  <si>
    <t xml:space="preserve">D7984-G88-M10x20-SH6-P3</t>
  </si>
  <si>
    <t xml:space="preserve">small hole 6</t>
  </si>
  <si>
    <t xml:space="preserve">D7984-G88-M10x22-P3</t>
  </si>
  <si>
    <t xml:space="preserve">D7984-G88-M10x25-P4</t>
  </si>
  <si>
    <t xml:space="preserve">D7984-G88-M10x28-P3</t>
  </si>
  <si>
    <t xml:space="preserve">D7984-G88-M10x30-P3</t>
  </si>
  <si>
    <t xml:space="preserve">D7984-G88-M10x35-P3</t>
  </si>
  <si>
    <t xml:space="preserve">D7984-G88-M10x40-P3</t>
  </si>
  <si>
    <t xml:space="preserve">D7984-G88-M10x45-P3</t>
  </si>
  <si>
    <t xml:space="preserve">D7984-G88-M10x50-P2</t>
  </si>
  <si>
    <t xml:space="preserve">D7984-G88-M10x55-P2</t>
  </si>
  <si>
    <t xml:space="preserve">D7984-G88-M10x60-HT-P1</t>
  </si>
  <si>
    <t xml:space="preserve">D7984-G88-M10x60-P2</t>
  </si>
  <si>
    <t xml:space="preserve">D7984-G88-M10x65-HT-P1</t>
  </si>
  <si>
    <t xml:space="preserve">D7984-G88-M10x65-P1</t>
  </si>
  <si>
    <t xml:space="preserve">D7984-G88-M10x70-HT-P1</t>
  </si>
  <si>
    <t xml:space="preserve">D7984-G88-M10x70-P2</t>
  </si>
  <si>
    <t xml:space="preserve">D7984-G88-M10x75-P1</t>
  </si>
  <si>
    <t xml:space="preserve">D7984-G88-M10x80-P1</t>
  </si>
  <si>
    <t xml:space="preserve">D7984-G88-M10x85-P1</t>
  </si>
  <si>
    <t xml:space="preserve">D7984-G88-M10x90-HT-P1</t>
  </si>
  <si>
    <t xml:space="preserve">D7984-G88-M10x90-P1</t>
  </si>
  <si>
    <t xml:space="preserve">D7984-G88-M10x95-HT-P1</t>
  </si>
  <si>
    <t xml:space="preserve">D7984-G88-M12x100-HT-P1</t>
  </si>
  <si>
    <t xml:space="preserve">D7984-G88-M12x110-HT-P1</t>
  </si>
  <si>
    <t xml:space="preserve">D7984-G88-M12x120-HT-P1</t>
  </si>
  <si>
    <t xml:space="preserve">D7984-G88-M12x16-P3</t>
  </si>
  <si>
    <t xml:space="preserve">D7984-G88-M12x20-P3</t>
  </si>
  <si>
    <t xml:space="preserve">D7984-G88-M12x25-P3</t>
  </si>
  <si>
    <t xml:space="preserve">D7984-G88-M12x30-P3</t>
  </si>
  <si>
    <t xml:space="preserve">D7984-G88-M12x35-P2</t>
  </si>
  <si>
    <t xml:space="preserve">D7984-G88-M12x40-P2</t>
  </si>
  <si>
    <t xml:space="preserve">D7984-G88-M12x45-P2</t>
  </si>
  <si>
    <t xml:space="preserve">D7984-G88-M12x50-HT-P1</t>
  </si>
  <si>
    <t xml:space="preserve">D7984-G88-M12x50-P2</t>
  </si>
  <si>
    <t xml:space="preserve">D7984-G88-M12x55-P2</t>
  </si>
  <si>
    <t xml:space="preserve">D7984-G88-M12x60-P2</t>
  </si>
  <si>
    <t xml:space="preserve">D7984-G88-M12x65-P1</t>
  </si>
  <si>
    <t xml:space="preserve">D7984-G88-M12x70-HT-P1</t>
  </si>
  <si>
    <t xml:space="preserve">D7984-G88-M12x70-P1</t>
  </si>
  <si>
    <t xml:space="preserve">D7984-G88-M12x80-P1</t>
  </si>
  <si>
    <t xml:space="preserve">D7984-G88-M12x85-HT-P1</t>
  </si>
  <si>
    <t xml:space="preserve">D7984-G88-M12x90-HT-P1</t>
  </si>
  <si>
    <t xml:space="preserve">D7984-G88-M14x20-P1</t>
  </si>
  <si>
    <t xml:space="preserve">D7984-G88-M14x25-P1</t>
  </si>
  <si>
    <t xml:space="preserve">D7984-G88-M14x30-P1</t>
  </si>
  <si>
    <t xml:space="preserve">D7984-G88-M14x35-P1</t>
  </si>
  <si>
    <t xml:space="preserve">D7984-G88-M14x40-P1</t>
  </si>
  <si>
    <t xml:space="preserve">D7984-G88-M14x50-P1</t>
  </si>
  <si>
    <t xml:space="preserve">D7984-G88-M14x60-HT-P1</t>
  </si>
  <si>
    <t xml:space="preserve">D7984-G88-M14x60-P1</t>
  </si>
  <si>
    <t xml:space="preserve">D7984-G88-M14x70-HT-P1</t>
  </si>
  <si>
    <t xml:space="preserve">D7984-G88-M16x100-HT-P1</t>
  </si>
  <si>
    <t xml:space="preserve">D7984-G88-M16x110-HT-P1</t>
  </si>
  <si>
    <t xml:space="preserve">D7984-G88-M16x120-HT-P1</t>
  </si>
  <si>
    <t xml:space="preserve">D7984-G88-M16x125-HT-P1</t>
  </si>
  <si>
    <t xml:space="preserve">D7984-G88-M16x130-HT-P1</t>
  </si>
  <si>
    <t xml:space="preserve">D7984-G88-M16x140-HT-P1</t>
  </si>
  <si>
    <t xml:space="preserve">D7984-G88-M16x145-HT-P1</t>
  </si>
  <si>
    <t xml:space="preserve">D7984-G88-M16x150-HT-P1</t>
  </si>
  <si>
    <t xml:space="preserve">D7984-G88-M16x160-HT-P1</t>
  </si>
  <si>
    <t xml:space="preserve">D7984-G88-M16x20-P1</t>
  </si>
  <si>
    <t xml:space="preserve">D7984-G88-M16x25-P1</t>
  </si>
  <si>
    <t xml:space="preserve">D7984-G88-M16x30-P1</t>
  </si>
  <si>
    <t xml:space="preserve">D7984-G88-M16x35-P1</t>
  </si>
  <si>
    <t xml:space="preserve">D7984-G88-M16x40-P1</t>
  </si>
  <si>
    <t xml:space="preserve">D7984-G88-M16x45-P1</t>
  </si>
  <si>
    <t xml:space="preserve">D7984-G88-M16x50-P1</t>
  </si>
  <si>
    <t xml:space="preserve">D7984-G88-M16x55-P1</t>
  </si>
  <si>
    <t xml:space="preserve">D7984-G88-M16x60-HT-P1</t>
  </si>
  <si>
    <t xml:space="preserve">D7984-G88-M16x60-P1</t>
  </si>
  <si>
    <t xml:space="preserve">D7984-G88-M16x65-HT-P1</t>
  </si>
  <si>
    <t xml:space="preserve">D7984-G88-M16x70-P1</t>
  </si>
  <si>
    <t xml:space="preserve">D7984-G88-M16x75-HT-P1</t>
  </si>
  <si>
    <t xml:space="preserve">D7984-G88-M16x80-P1</t>
  </si>
  <si>
    <t xml:space="preserve">D7984-G88-M16x85-HT-P1</t>
  </si>
  <si>
    <t xml:space="preserve">D7984-G88-M16x90-HT-P1</t>
  </si>
  <si>
    <t xml:space="preserve">D7984-G88-M18x30-P1</t>
  </si>
  <si>
    <t xml:space="preserve">M18</t>
  </si>
  <si>
    <t xml:space="preserve">D7984-G88-M18x40-P1</t>
  </si>
  <si>
    <t xml:space="preserve">D7984-G88-M18x50-P1</t>
  </si>
  <si>
    <t xml:space="preserve">D7984-G88-M18x60-P1</t>
  </si>
  <si>
    <t xml:space="preserve">D7984-G88-M18x65-P1</t>
  </si>
  <si>
    <t xml:space="preserve">D7984-G88-M18x70-P1</t>
  </si>
  <si>
    <t xml:space="preserve">D7984-G88-M20x100-HT-P1</t>
  </si>
  <si>
    <t xml:space="preserve">D7984-G88-M20x110-HT-P1</t>
  </si>
  <si>
    <t xml:space="preserve">D7984-G88-M20x120-HT-P1</t>
  </si>
  <si>
    <t xml:space="preserve">D7984-G88-M20x130-HT-P1</t>
  </si>
  <si>
    <t xml:space="preserve">D7984-G88-M20x140-HT-P1</t>
  </si>
  <si>
    <t xml:space="preserve">D7984-G88-M20x145-HT-P1</t>
  </si>
  <si>
    <t xml:space="preserve">D7984-G88-M20x150-HT-P1</t>
  </si>
  <si>
    <t xml:space="preserve">D7984-G88-M20x30-P1</t>
  </si>
  <si>
    <t xml:space="preserve">D7984-G88-M20x35-P1</t>
  </si>
  <si>
    <t xml:space="preserve">D7984-G88-M20x40-P1</t>
  </si>
  <si>
    <t xml:space="preserve">D7984-G88-M20x45-P1</t>
  </si>
  <si>
    <t xml:space="preserve">D7984-G88-M20x50-P1</t>
  </si>
  <si>
    <t xml:space="preserve">D7984-G88-M20x55-P1</t>
  </si>
  <si>
    <t xml:space="preserve">D7984-G88-M20x60-P1</t>
  </si>
  <si>
    <t xml:space="preserve">D7984-G88-M20x65-P1</t>
  </si>
  <si>
    <t xml:space="preserve">D7984-G88-M20x70-P1</t>
  </si>
  <si>
    <t xml:space="preserve">D7984-G88-M20x75-HT-P1</t>
  </si>
  <si>
    <t xml:space="preserve">D7984-G88-M20x75-P1</t>
  </si>
  <si>
    <t xml:space="preserve">D7984-G88-M20x80-P1</t>
  </si>
  <si>
    <t xml:space="preserve">D7984-G88-M20x85-P1</t>
  </si>
  <si>
    <t xml:space="preserve">D7984-G88-M20x90-P1</t>
  </si>
  <si>
    <t xml:space="preserve">D7984-G88-M24x100-HT-P1</t>
  </si>
  <si>
    <t xml:space="preserve">M24</t>
  </si>
  <si>
    <t xml:space="preserve">D7984-G88-M24x110-HT-P1</t>
  </si>
  <si>
    <t xml:space="preserve">D7984-G88-M24x120-HT-P1</t>
  </si>
  <si>
    <t xml:space="preserve">D7984-G88-M24x40-P1</t>
  </si>
  <si>
    <t xml:space="preserve">D7984-G88-M24x45-P1</t>
  </si>
  <si>
    <t xml:space="preserve">D7984-G88-M24x50-P1</t>
  </si>
  <si>
    <t xml:space="preserve">D7984-G88-M24x55-P1</t>
  </si>
  <si>
    <t xml:space="preserve">D7984-G88-M24x60-P1</t>
  </si>
  <si>
    <t xml:space="preserve">D7984-G88-M24x65-P1</t>
  </si>
  <si>
    <t xml:space="preserve">D7984-G88-M24x70-P1</t>
  </si>
  <si>
    <t xml:space="preserve">D7984-G88-M24x75-P1</t>
  </si>
  <si>
    <t xml:space="preserve">D7984-G88-M24x80-P1</t>
  </si>
  <si>
    <t xml:space="preserve">D7984-G88-M24x85-P1</t>
  </si>
  <si>
    <t xml:space="preserve">D7984-G88-M24x90-P1</t>
  </si>
  <si>
    <t xml:space="preserve">D7984-G88-M30x120-HT-P1</t>
  </si>
  <si>
    <t xml:space="preserve">M30</t>
  </si>
  <si>
    <t xml:space="preserve">D7984-G88-M30x140-HT-P1</t>
  </si>
  <si>
    <t xml:space="preserve">D7984-G88-M30x45-P1</t>
  </si>
  <si>
    <t xml:space="preserve">D7984-G88-M30x50-P1</t>
  </si>
  <si>
    <t xml:space="preserve">D7984-G88-M30x60-P1</t>
  </si>
  <si>
    <t xml:space="preserve">D7984-G88-M30x70-P1</t>
  </si>
  <si>
    <t xml:space="preserve">D7984-G88-M30x80-P1</t>
  </si>
  <si>
    <t xml:space="preserve">D7984-G88-M30x90-P1</t>
  </si>
  <si>
    <t xml:space="preserve">D7984-G88-M3x10-P14</t>
  </si>
  <si>
    <t xml:space="preserve">D7984-G88-M3x12-P13</t>
  </si>
  <si>
    <t xml:space="preserve">D7984-G88-M3x14-P11</t>
  </si>
  <si>
    <t xml:space="preserve">D7984-G88-M3x16-P13</t>
  </si>
  <si>
    <t xml:space="preserve">D7984-G88-M3x20-P13</t>
  </si>
  <si>
    <t xml:space="preserve">D7984-G88-M3x25-P12</t>
  </si>
  <si>
    <t xml:space="preserve">D7984-G88-M3x30-P8</t>
  </si>
  <si>
    <t xml:space="preserve">D7984-G88-M3x5-P15</t>
  </si>
  <si>
    <t xml:space="preserve">D7984-G88-M3x6-P15</t>
  </si>
  <si>
    <t xml:space="preserve">D7984-G88-M3x8-P14</t>
  </si>
  <si>
    <t xml:space="preserve">D7984-G88-M4x10-P17</t>
  </si>
  <si>
    <t xml:space="preserve">D7984-G88-M4x12-P15</t>
  </si>
  <si>
    <t xml:space="preserve">D7984-G88-M4x14-P13</t>
  </si>
  <si>
    <t xml:space="preserve">D7984-G88-M4x16-P15</t>
  </si>
  <si>
    <t xml:space="preserve">D7984-G88-M4x18-P12</t>
  </si>
  <si>
    <t xml:space="preserve">D7984-G88-M4x20-P13</t>
  </si>
  <si>
    <t xml:space="preserve">D7984-G88-M4x25-P8</t>
  </si>
  <si>
    <t xml:space="preserve">D7984-G88-M4x30-P7</t>
  </si>
  <si>
    <t xml:space="preserve">D7984-G88-M4x35-P7</t>
  </si>
  <si>
    <t xml:space="preserve">D7984-G88-M4x40-P6</t>
  </si>
  <si>
    <t xml:space="preserve">D7984-G88-M4x6-P17</t>
  </si>
  <si>
    <t xml:space="preserve">D7984-G88-M4x8-P18</t>
  </si>
  <si>
    <t xml:space="preserve">D7984-G88-M5x10-P15</t>
  </si>
  <si>
    <t xml:space="preserve">D7984-G88-M5x12-P15</t>
  </si>
  <si>
    <t xml:space="preserve">D7984-G88-M5x14-P12</t>
  </si>
  <si>
    <t xml:space="preserve">D7984-G88-M5x16-P14</t>
  </si>
  <si>
    <t xml:space="preserve">D7984-G88-M5x18-P11</t>
  </si>
  <si>
    <t xml:space="preserve">D7984-G88-M5x20-P12</t>
  </si>
  <si>
    <t xml:space="preserve">D7984-G88-M5x25-P11</t>
  </si>
  <si>
    <t xml:space="preserve">D7984-G88-M5x30-P9</t>
  </si>
  <si>
    <t xml:space="preserve">D7984-G88-M5x35-P8</t>
  </si>
  <si>
    <t xml:space="preserve">D7984-G88-M5x40-P6</t>
  </si>
  <si>
    <t xml:space="preserve">D7984-G88-M5x45-P6</t>
  </si>
  <si>
    <t xml:space="preserve">D7984-G88-M5x50-P5</t>
  </si>
  <si>
    <t xml:space="preserve">D7984-G88-M5x6-P15</t>
  </si>
  <si>
    <t xml:space="preserve">D7984-G88-M5x8-P16</t>
  </si>
  <si>
    <t xml:space="preserve">D7984-G88-M6x10-P13</t>
  </si>
  <si>
    <t xml:space="preserve">D7984-G88-M6x12-P11</t>
  </si>
  <si>
    <t xml:space="preserve">D7984-G88-M6x14-P8</t>
  </si>
  <si>
    <t xml:space="preserve">D7984-G88-M6x16-P10</t>
  </si>
  <si>
    <t xml:space="preserve">D7984-G88-M6x18-P7</t>
  </si>
  <si>
    <t xml:space="preserve">D7984-G88-M6x20-P8</t>
  </si>
  <si>
    <t xml:space="preserve">D7984-G88-M6x22-P7</t>
  </si>
  <si>
    <t xml:space="preserve">D7984-G88-M6x25-P7</t>
  </si>
  <si>
    <t xml:space="preserve">D7984-G88-M6x30-P7</t>
  </si>
  <si>
    <t xml:space="preserve">D7984-G88-M6x35-P7</t>
  </si>
  <si>
    <t xml:space="preserve">D7984-G88-M6x40-P6</t>
  </si>
  <si>
    <t xml:space="preserve">D7984-G88-M6x45-HT-P5</t>
  </si>
  <si>
    <t xml:space="preserve">D7984-G88-M6x50-P5</t>
  </si>
  <si>
    <t xml:space="preserve">D7984-G88-M6x55-P2</t>
  </si>
  <si>
    <t xml:space="preserve">D7984-G88-M6x60-P2</t>
  </si>
  <si>
    <t xml:space="preserve">D7984-G88-M6x70-P2</t>
  </si>
  <si>
    <t xml:space="preserve">D7984-G88-M6x8-P12</t>
  </si>
  <si>
    <t xml:space="preserve">D7984-G88-M8x10-P7</t>
  </si>
  <si>
    <t xml:space="preserve">D7984-G88-M8x12-P7</t>
  </si>
  <si>
    <t xml:space="preserve">D7984-G88-M8x14-P5</t>
  </si>
  <si>
    <t xml:space="preserve">D7984-G88-M8x16-P7</t>
  </si>
  <si>
    <t xml:space="preserve">D7984-G88-M8x18-P5</t>
  </si>
  <si>
    <t xml:space="preserve">D7984-G88-M8x20-P6</t>
  </si>
  <si>
    <t xml:space="preserve">D7984-G88-M8x22-P20</t>
  </si>
  <si>
    <t xml:space="preserve">D7984-G88-M8x25-P6</t>
  </si>
  <si>
    <t xml:space="preserve">D7984-G88-M8x28-P3</t>
  </si>
  <si>
    <t xml:space="preserve">D7984-G88-M8x30-P5</t>
  </si>
  <si>
    <t xml:space="preserve">D7984-G88-M8x35-P5</t>
  </si>
  <si>
    <t xml:space="preserve">D7984-G88-M8x40-P4</t>
  </si>
  <si>
    <t xml:space="preserve">D7984-G88-M8x45-P4</t>
  </si>
  <si>
    <t xml:space="preserve">D7984-G88-M8x50-HT-P2</t>
  </si>
  <si>
    <t xml:space="preserve">D7984-G88-M8x50-P4</t>
  </si>
  <si>
    <t xml:space="preserve">D7984-G88-M8x55-P3</t>
  </si>
  <si>
    <t xml:space="preserve">D7984-G88-M8x60-HT-P2</t>
  </si>
  <si>
    <t xml:space="preserve">D7984-G88-M8x60-P3</t>
  </si>
  <si>
    <t xml:space="preserve">D7984-G88-M8x65-P2</t>
  </si>
  <si>
    <t xml:space="preserve">D7984-G88-M8x70-HT-P2</t>
  </si>
  <si>
    <t xml:space="preserve">D7984-G88-M8x70-P2</t>
  </si>
  <si>
    <t xml:space="preserve">D7984-G88-M8x75-P2</t>
  </si>
  <si>
    <t xml:space="preserve">D7984-G88-M8x80-HT-P1</t>
  </si>
  <si>
    <t xml:space="preserve">D7984-G88-M8x80-P1</t>
  </si>
  <si>
    <t xml:space="preserve">D7984-G88-M8x90-P1</t>
  </si>
  <si>
    <t xml:space="preserve">8.8 Grade Flanged Socket Screw M10  [Socket Screws]</t>
  </si>
  <si>
    <t xml:space="preserve">BN-021</t>
  </si>
  <si>
    <t xml:space="preserve">DIN7991 Countersunk Socket Screw (10.9 Black / 304 Stainless)  [Socket Screws]</t>
  </si>
  <si>
    <t xml:space="preserve">10.9 grade black carbon steel</t>
  </si>
  <si>
    <t xml:space="preserve">D7991-G109-M5x16-P5</t>
  </si>
  <si>
    <t xml:space="preserve">D7991-G109-M8x20-P2</t>
  </si>
  <si>
    <t xml:space="preserve">D7991-G109-M8x25-P6</t>
  </si>
  <si>
    <t xml:space="preserve">D7991-SS-M3x10-P10</t>
  </si>
  <si>
    <t xml:space="preserve">D7991-SS-M3x18-BK-P16</t>
  </si>
  <si>
    <t xml:space="preserve">D7991-SS-M3x8-P50</t>
  </si>
  <si>
    <t xml:space="preserve">D7991-SS-M4x10-P22</t>
  </si>
  <si>
    <t xml:space="preserve">D7991-SS-M4x12-BK-P13</t>
  </si>
  <si>
    <t xml:space="preserve">D7991-SS-M4x12-P20</t>
  </si>
  <si>
    <t xml:space="preserve">D7991-SS-M4x20-P50</t>
  </si>
  <si>
    <t xml:space="preserve">D7991-SS-M5x10-P10</t>
  </si>
  <si>
    <t xml:space="preserve">D7991-SS-M5x12-P14</t>
  </si>
  <si>
    <t xml:space="preserve">D7991-SS-M5x14-P13</t>
  </si>
  <si>
    <t xml:space="preserve">D7991-SS-M5x15-P10</t>
  </si>
  <si>
    <t xml:space="preserve">D7991-SS-M5x16-P12</t>
  </si>
  <si>
    <t xml:space="preserve">D7991-SS-M5x30-P8</t>
  </si>
  <si>
    <t xml:space="preserve">D7991-SS-M5x50-P5</t>
  </si>
  <si>
    <t xml:space="preserve">D7991-SS-M5x6-P14</t>
  </si>
  <si>
    <t xml:space="preserve">D7991-SS-M5x60-P4</t>
  </si>
  <si>
    <t xml:space="preserve">D7991-SS-M5x8-P15</t>
  </si>
  <si>
    <t xml:space="preserve">D7991-SS-M6x10-P11</t>
  </si>
  <si>
    <t xml:space="preserve">D7991-SS-M6x12-P11</t>
  </si>
  <si>
    <t xml:space="preserve">D7991-SS-M6x16-P100</t>
  </si>
  <si>
    <t xml:space="preserve">D7991-SS-M6x20-P50</t>
  </si>
  <si>
    <t xml:space="preserve">D7991-SS-M6x30-P50</t>
  </si>
  <si>
    <t xml:space="preserve">D7991-SS-M8x16-P5</t>
  </si>
  <si>
    <t xml:space="preserve">T / L Handle Thumb Screw (M3-M8, 1/4 in)  [Socket Screws]</t>
  </si>
  <si>
    <t xml:space="preserve">Screw Material</t>
  </si>
  <si>
    <t xml:space="preserve">L-type</t>
  </si>
  <si>
    <t xml:space="preserve">TL-L-CS-BK-M3x10</t>
  </si>
  <si>
    <t xml:space="preserve">TL-L-CS-BK-M3x15</t>
  </si>
  <si>
    <t xml:space="preserve">TL-L-CS-BK-M3x20</t>
  </si>
  <si>
    <t xml:space="preserve">TL-L-CS-BK-M4x10</t>
  </si>
  <si>
    <t xml:space="preserve">TL-L-CS-BK-M4x12</t>
  </si>
  <si>
    <t xml:space="preserve">TL-L-CS-BK-M4x15</t>
  </si>
  <si>
    <t xml:space="preserve">TL-L-CS-BK-M4x17</t>
  </si>
  <si>
    <t xml:space="preserve">TL-L-CS-BK-M4x20</t>
  </si>
  <si>
    <t xml:space="preserve">TL-L-CS-BK-M4x5</t>
  </si>
  <si>
    <t xml:space="preserve">TL-L-CS-BK-M5x10</t>
  </si>
  <si>
    <t xml:space="preserve">TL-L-CS-BK-M5x12</t>
  </si>
  <si>
    <t xml:space="preserve">TL-L-CS-BK-M5x17</t>
  </si>
  <si>
    <t xml:space="preserve">TL-L-CS-BK-M5x20</t>
  </si>
  <si>
    <t xml:space="preserve">TL-L-CS-BK-M6x10</t>
  </si>
  <si>
    <t xml:space="preserve">TL-L-CS-BK-M6x12</t>
  </si>
  <si>
    <t xml:space="preserve">TL-L-CS-BK-M6x15</t>
  </si>
  <si>
    <t xml:space="preserve">TL-L-CS-BK-M6x20</t>
  </si>
  <si>
    <t xml:space="preserve">TL-L-CS-BK-M6x25</t>
  </si>
  <si>
    <t xml:space="preserve">TL-L-CS-BK-M8x12</t>
  </si>
  <si>
    <t xml:space="preserve">TL-L-CS-BK-M8x15</t>
  </si>
  <si>
    <t xml:space="preserve">TL-L-CS-BK-M8x20</t>
  </si>
  <si>
    <t xml:space="preserve">TL-L-CS-BK-U14x17</t>
  </si>
  <si>
    <t xml:space="preserve">1/4in</t>
  </si>
  <si>
    <t xml:space="preserve">TL-L-CS-GY-M3x10</t>
  </si>
  <si>
    <t xml:space="preserve">TL-L-CS-GY-M3x15</t>
  </si>
  <si>
    <t xml:space="preserve">TL-L-CS-GY-M3x20</t>
  </si>
  <si>
    <t xml:space="preserve">TL-L-CS-GY-M4x10</t>
  </si>
  <si>
    <t xml:space="preserve">TL-L-CS-GY-M4x12</t>
  </si>
  <si>
    <t xml:space="preserve">TL-L-CS-GY-M4x15</t>
  </si>
  <si>
    <t xml:space="preserve">TL-L-CS-GY-M4x17</t>
  </si>
  <si>
    <t xml:space="preserve">TL-L-CS-GY-M4x20</t>
  </si>
  <si>
    <t xml:space="preserve">TL-L-CS-GY-M4x5</t>
  </si>
  <si>
    <t xml:space="preserve">TL-L-CS-GY-M5x10</t>
  </si>
  <si>
    <t xml:space="preserve">TL-L-CS-GY-M5x12</t>
  </si>
  <si>
    <t xml:space="preserve">TL-L-CS-GY-M5x17</t>
  </si>
  <si>
    <t xml:space="preserve">TL-L-CS-GY-M5x20</t>
  </si>
  <si>
    <t xml:space="preserve">TL-L-CS-GY-M6x10</t>
  </si>
  <si>
    <t xml:space="preserve">TL-L-CS-GY-M6x12</t>
  </si>
  <si>
    <t xml:space="preserve">TL-L-CS-GY-M6x15</t>
  </si>
  <si>
    <t xml:space="preserve">TL-L-CS-GY-M6x20</t>
  </si>
  <si>
    <t xml:space="preserve">TL-L-CS-GY-M6x25</t>
  </si>
  <si>
    <t xml:space="preserve">TL-L-CS-GY-M8x12</t>
  </si>
  <si>
    <t xml:space="preserve">TL-L-CS-GY-M8x15</t>
  </si>
  <si>
    <t xml:space="preserve">TL-L-CS-GY-M8x20</t>
  </si>
  <si>
    <t xml:space="preserve">TL-L-CS-RD-M3x10</t>
  </si>
  <si>
    <t xml:space="preserve">TL-L-CS-RD-M3x15</t>
  </si>
  <si>
    <t xml:space="preserve">TL-L-CS-RD-M3x20</t>
  </si>
  <si>
    <t xml:space="preserve">TL-L-CS-RD-M4x10</t>
  </si>
  <si>
    <t xml:space="preserve">TL-L-CS-RD-M4x12</t>
  </si>
  <si>
    <t xml:space="preserve">TL-L-CS-RD-M4x15</t>
  </si>
  <si>
    <t xml:space="preserve">TL-L-CS-RD-M4x17</t>
  </si>
  <si>
    <t xml:space="preserve">TL-L-CS-RD-M4x20</t>
  </si>
  <si>
    <t xml:space="preserve">TL-L-CS-RD-M4x5</t>
  </si>
  <si>
    <t xml:space="preserve">TL-L-CS-RD-M5x10</t>
  </si>
  <si>
    <t xml:space="preserve">TL-L-CS-RD-M5x12</t>
  </si>
  <si>
    <t xml:space="preserve">TL-L-CS-RD-M5x17</t>
  </si>
  <si>
    <t xml:space="preserve">TL-L-CS-RD-M5x20</t>
  </si>
  <si>
    <t xml:space="preserve">TL-L-CS-RD-M6x10</t>
  </si>
  <si>
    <t xml:space="preserve">TL-L-CS-RD-M6x12</t>
  </si>
  <si>
    <t xml:space="preserve">TL-L-CS-RD-M6x15</t>
  </si>
  <si>
    <t xml:space="preserve">TL-L-CS-RD-M6x20</t>
  </si>
  <si>
    <t xml:space="preserve">TL-L-CS-RD-M6x25</t>
  </si>
  <si>
    <t xml:space="preserve">TL-L-CS-RD-M8x12</t>
  </si>
  <si>
    <t xml:space="preserve">TL-L-CS-RD-M8x15</t>
  </si>
  <si>
    <t xml:space="preserve">TL-L-CS-RD-M8x20</t>
  </si>
  <si>
    <t xml:space="preserve">TL-L-CS-RD-U14x17</t>
  </si>
  <si>
    <t xml:space="preserve">TL-L-SS-BK-M3x10</t>
  </si>
  <si>
    <t xml:space="preserve">Stainless</t>
  </si>
  <si>
    <t xml:space="preserve">TL-L-SS-BK-M4x10</t>
  </si>
  <si>
    <t xml:space="preserve">TL-L-SS-BK-M4x12</t>
  </si>
  <si>
    <t xml:space="preserve">TL-L-SS-BK-M4x17</t>
  </si>
  <si>
    <t xml:space="preserve">TL-L-SS-BK-M5x10</t>
  </si>
  <si>
    <t xml:space="preserve">TL-L-SS-BK-M5x12</t>
  </si>
  <si>
    <t xml:space="preserve">TL-L-SS-BK-M5x17</t>
  </si>
  <si>
    <t xml:space="preserve">TL-L-SS-BK-M6x15</t>
  </si>
  <si>
    <t xml:space="preserve">TL-L-SS-BK-MINI-M3x10</t>
  </si>
  <si>
    <t xml:space="preserve">Mini</t>
  </si>
  <si>
    <t xml:space="preserve">TL-L-SS-BK-MINI-M4x10</t>
  </si>
  <si>
    <t xml:space="preserve">TL-L-SS-BK-MINI-M4x12</t>
  </si>
  <si>
    <t xml:space="preserve">TL-L-SS-BK-MINI-M4x17</t>
  </si>
  <si>
    <t xml:space="preserve">TL-L-SS-BK-MINI-M5x10</t>
  </si>
  <si>
    <t xml:space="preserve">TL-L-SS-BK-MINI-M5x12</t>
  </si>
  <si>
    <t xml:space="preserve">TL-L-SS-BK-MINI-M5x15</t>
  </si>
  <si>
    <t xml:space="preserve">TL-L-SS-BK-MINI-M6x15</t>
  </si>
  <si>
    <t xml:space="preserve">TL-L-SS-GY-M3x10</t>
  </si>
  <si>
    <t xml:space="preserve">TL-L-SS-GY-M4x10</t>
  </si>
  <si>
    <t xml:space="preserve">TL-L-SS-GY-M4x12</t>
  </si>
  <si>
    <t xml:space="preserve">TL-L-SS-GY-M4x17</t>
  </si>
  <si>
    <t xml:space="preserve">TL-L-SS-GY-M5x10</t>
  </si>
  <si>
    <t xml:space="preserve">TL-L-SS-GY-M5x12</t>
  </si>
  <si>
    <t xml:space="preserve">TL-L-SS-GY-M5x17</t>
  </si>
  <si>
    <t xml:space="preserve">TL-L-SS-GY-M6x15</t>
  </si>
  <si>
    <t xml:space="preserve">TL-L-SS-GY-MINI-M3x10</t>
  </si>
  <si>
    <t xml:space="preserve">TL-L-SS-GY-MINI-M4x10</t>
  </si>
  <si>
    <t xml:space="preserve">TL-L-SS-GY-MINI-M4x12</t>
  </si>
  <si>
    <t xml:space="preserve">TL-L-SS-GY-MINI-M4x17</t>
  </si>
  <si>
    <t xml:space="preserve">TL-L-SS-GY-MINI-M5x10</t>
  </si>
  <si>
    <t xml:space="preserve">TL-L-SS-GY-MINI-M5x12</t>
  </si>
  <si>
    <t xml:space="preserve">TL-L-SS-GY-MINI-M5x15</t>
  </si>
  <si>
    <t xml:space="preserve">TL-L-SS-GY-MINI-M6x15</t>
  </si>
  <si>
    <t xml:space="preserve">TL-L-SS-RD-M3x10</t>
  </si>
  <si>
    <t xml:space="preserve">TL-L-SS-RD-M4x10</t>
  </si>
  <si>
    <t xml:space="preserve">TL-L-SS-RD-M4x12</t>
  </si>
  <si>
    <t xml:space="preserve">TL-L-SS-RD-M4x17</t>
  </si>
  <si>
    <t xml:space="preserve">TL-L-SS-RD-M5x10</t>
  </si>
  <si>
    <t xml:space="preserve">TL-L-SS-RD-M5x12</t>
  </si>
  <si>
    <t xml:space="preserve">TL-L-SS-RD-M5x17</t>
  </si>
  <si>
    <t xml:space="preserve">TL-L-SS-RD-M6x10</t>
  </si>
  <si>
    <t xml:space="preserve">TL-L-SS-RD-M6x15</t>
  </si>
  <si>
    <t xml:space="preserve">TL-L-SS-RD-MINI-M3x10</t>
  </si>
  <si>
    <t xml:space="preserve">TL-L-SS-RD-MINI-M4x10</t>
  </si>
  <si>
    <t xml:space="preserve">TL-L-SS-RD-MINI-M4x12</t>
  </si>
  <si>
    <t xml:space="preserve">TL-L-SS-RD-MINI-M4x17</t>
  </si>
  <si>
    <t xml:space="preserve">TL-L-SS-RD-MINI-M5x10</t>
  </si>
  <si>
    <t xml:space="preserve">TL-L-SS-RD-MINI-M5x12</t>
  </si>
  <si>
    <t xml:space="preserve">TL-L-SS-RD-MINI-M5x15</t>
  </si>
  <si>
    <t xml:space="preserve">TL-L-SS-RD-MINI-M6x15</t>
  </si>
  <si>
    <t xml:space="preserve">TL-T-CS-BK-M4x1.5</t>
  </si>
  <si>
    <t xml:space="preserve">T-type</t>
  </si>
  <si>
    <t xml:space="preserve">TL-T-CS-BK-M4x15</t>
  </si>
  <si>
    <t xml:space="preserve">TL-T-CS-BK-M4x19</t>
  </si>
  <si>
    <t xml:space="preserve">TL-T-CS-BK-M4x24</t>
  </si>
  <si>
    <t xml:space="preserve">TL-T-CS-BK-M4x5.5</t>
  </si>
  <si>
    <t xml:space="preserve">TL-T-CS-BK-M4x7.5</t>
  </si>
  <si>
    <t xml:space="preserve">TL-T-CS-BK-M4x9.5</t>
  </si>
  <si>
    <t xml:space="preserve">TL-T-SS-BK-M3x10</t>
  </si>
  <si>
    <t xml:space="preserve">TL-T-SS-BK-M3x100</t>
  </si>
  <si>
    <t xml:space="preserve">TL-T-SS-BK-M3x12</t>
  </si>
  <si>
    <t xml:space="preserve">TL-T-SS-BK-M3x15</t>
  </si>
  <si>
    <t xml:space="preserve">TL-T-SS-BK-M3x18</t>
  </si>
  <si>
    <t xml:space="preserve">TL-T-SS-BK-M3x20</t>
  </si>
  <si>
    <t xml:space="preserve">TL-T-SS-BK-M3x25</t>
  </si>
  <si>
    <t xml:space="preserve">TL-T-SS-BK-M3x30</t>
  </si>
  <si>
    <t xml:space="preserve">TL-T-SS-BK-M3x35</t>
  </si>
  <si>
    <t xml:space="preserve">TL-T-SS-BK-M3x40</t>
  </si>
  <si>
    <t xml:space="preserve">TL-T-SS-BK-M3x45</t>
  </si>
  <si>
    <t xml:space="preserve">TL-T-SS-BK-M3x50</t>
  </si>
  <si>
    <t xml:space="preserve">TL-T-SS-BK-M3x6</t>
  </si>
  <si>
    <t xml:space="preserve">TL-T-SS-BK-M3x60</t>
  </si>
  <si>
    <t xml:space="preserve">TL-T-SS-BK-M3x70</t>
  </si>
  <si>
    <t xml:space="preserve">TL-T-SS-BK-M3x8</t>
  </si>
  <si>
    <t xml:space="preserve">TL-T-SS-BK-M3x80</t>
  </si>
  <si>
    <t xml:space="preserve">TL-T-SS-BK-M3x90</t>
  </si>
  <si>
    <t xml:space="preserve">TL-T-SS-BK-M4x10</t>
  </si>
  <si>
    <t xml:space="preserve">TL-T-SS-BK-M4x100</t>
  </si>
  <si>
    <t xml:space="preserve">TL-T-SS-BK-M4x12</t>
  </si>
  <si>
    <t xml:space="preserve">TL-T-SS-BK-M4x15</t>
  </si>
  <si>
    <t xml:space="preserve">TL-T-SS-BK-M4x18</t>
  </si>
  <si>
    <t xml:space="preserve">TL-T-SS-BK-M4x20</t>
  </si>
  <si>
    <t xml:space="preserve">TL-T-SS-BK-M4x25</t>
  </si>
  <si>
    <t xml:space="preserve">TL-T-SS-BK-M4x30</t>
  </si>
  <si>
    <t xml:space="preserve">TL-T-SS-BK-M4x35</t>
  </si>
  <si>
    <t xml:space="preserve">TL-T-SS-BK-M4x40</t>
  </si>
  <si>
    <t xml:space="preserve">TL-T-SS-BK-M4x45</t>
  </si>
  <si>
    <t xml:space="preserve">TL-T-SS-BK-M4x50</t>
  </si>
  <si>
    <t xml:space="preserve">TL-T-SS-BK-M4x6</t>
  </si>
  <si>
    <t xml:space="preserve">TL-T-SS-BK-M4x60</t>
  </si>
  <si>
    <t xml:space="preserve">TL-T-SS-BK-M4x70</t>
  </si>
  <si>
    <t xml:space="preserve">TL-T-SS-BK-M4x8</t>
  </si>
  <si>
    <t xml:space="preserve">TL-T-SS-BK-M4x80</t>
  </si>
  <si>
    <t xml:space="preserve">TL-T-SS-BK-M4x90</t>
  </si>
  <si>
    <t xml:space="preserve">TL-T-SS-BK-M5x10</t>
  </si>
  <si>
    <t xml:space="preserve">TL-T-SS-BK-M5x100</t>
  </si>
  <si>
    <t xml:space="preserve">TL-T-SS-BK-M5x12</t>
  </si>
  <si>
    <t xml:space="preserve">TL-T-SS-BK-M5x15</t>
  </si>
  <si>
    <t xml:space="preserve">TL-T-SS-BK-M5x18</t>
  </si>
  <si>
    <t xml:space="preserve">TL-T-SS-BK-M5x20</t>
  </si>
  <si>
    <t xml:space="preserve">TL-T-SS-BK-M5x25</t>
  </si>
  <si>
    <t xml:space="preserve">TL-T-SS-BK-M5x30</t>
  </si>
  <si>
    <t xml:space="preserve">TL-T-SS-BK-M5x35</t>
  </si>
  <si>
    <t xml:space="preserve">TL-T-SS-BK-M5x40</t>
  </si>
  <si>
    <t xml:space="preserve">TL-T-SS-BK-M5x45</t>
  </si>
  <si>
    <t xml:space="preserve">TL-T-SS-BK-M5x50</t>
  </si>
  <si>
    <t xml:space="preserve">TL-T-SS-BK-M5x6</t>
  </si>
  <si>
    <t xml:space="preserve">TL-T-SS-BK-M5x60</t>
  </si>
  <si>
    <t xml:space="preserve">TL-T-SS-BK-M5x70</t>
  </si>
  <si>
    <t xml:space="preserve">TL-T-SS-BK-M5x8</t>
  </si>
  <si>
    <t xml:space="preserve">TL-T-SS-BK-M5x80</t>
  </si>
  <si>
    <t xml:space="preserve">TL-T-SS-BK-M5x90</t>
  </si>
  <si>
    <t xml:space="preserve">TL-T-SS-BK-M6x10</t>
  </si>
  <si>
    <t xml:space="preserve">TL-T-SS-BK-M6x12</t>
  </si>
  <si>
    <t xml:space="preserve">TL-T-SS-BK-M6x15</t>
  </si>
  <si>
    <t xml:space="preserve">TL-T-SS-BK-M6x18</t>
  </si>
  <si>
    <t xml:space="preserve">TL-T-SS-BK-M6x20</t>
  </si>
  <si>
    <t xml:space="preserve">TL-T-SS-BK-M6x25</t>
  </si>
  <si>
    <t xml:space="preserve">TL-T-SS-BK-M6x30</t>
  </si>
  <si>
    <t xml:space="preserve">TL-T-SS-BK-M6x35</t>
  </si>
  <si>
    <t xml:space="preserve">TL-T-SS-BK-M6x40</t>
  </si>
  <si>
    <t xml:space="preserve">TL-T-SS-BK-M6x45</t>
  </si>
  <si>
    <t xml:space="preserve">TL-T-SS-BK-M6x50</t>
  </si>
  <si>
    <t xml:space="preserve">TL-T-SS-BK-M6x55</t>
  </si>
  <si>
    <t xml:space="preserve">TL-T-SS-BK-M6x6</t>
  </si>
  <si>
    <t xml:space="preserve">TL-T-SS-BK-M6x60</t>
  </si>
  <si>
    <t xml:space="preserve">TL-T-SS-BK-M8x10</t>
  </si>
  <si>
    <t xml:space="preserve">TL-T-SS-BK-M8x12</t>
  </si>
  <si>
    <t xml:space="preserve">TL-T-SS-BK-M8x15</t>
  </si>
  <si>
    <t xml:space="preserve">TL-T-SS-BK-M8x18</t>
  </si>
  <si>
    <t xml:space="preserve">TL-T-SS-BK-M8x20</t>
  </si>
  <si>
    <t xml:space="preserve">TL-T-SS-BK-M8x25</t>
  </si>
  <si>
    <t xml:space="preserve">TL-T-SS-BK-M8x30</t>
  </si>
  <si>
    <t xml:space="preserve">TL-T-SS-BK-M8x35</t>
  </si>
  <si>
    <t xml:space="preserve">TL-T-SS-BK-M8x40</t>
  </si>
  <si>
    <t xml:space="preserve">TL-T-SS-BK-M8x45</t>
  </si>
  <si>
    <t xml:space="preserve">TL-T-SS-BK-M8x50</t>
  </si>
  <si>
    <t xml:space="preserve">TL-T-SS-BK-M8x55</t>
  </si>
  <si>
    <t xml:space="preserve">TL-T-SS-BK-M8x60</t>
  </si>
  <si>
    <t xml:space="preserve">TL-T-SS-BK-U14x10</t>
  </si>
  <si>
    <t xml:space="preserve">TL-T-SS-BK-U14x12</t>
  </si>
  <si>
    <t xml:space="preserve">TL-T-SS-BK-U14x15</t>
  </si>
  <si>
    <t xml:space="preserve">TL-T-SS-BK-U14x18</t>
  </si>
  <si>
    <t xml:space="preserve">TL-T-SS-BK-U14x20</t>
  </si>
  <si>
    <t xml:space="preserve">TL-T-SS-BK-U14x25</t>
  </si>
  <si>
    <t xml:space="preserve">TL-T-SS-BK-U14x30</t>
  </si>
  <si>
    <t xml:space="preserve">TL-T-SS-BK-U14x35</t>
  </si>
  <si>
    <t xml:space="preserve">TL-T-SS-BK-U14x40</t>
  </si>
  <si>
    <t xml:space="preserve">TL-T-SS-BK-U14x6</t>
  </si>
  <si>
    <t xml:space="preserve">TL-T-SS-BK-U14x8</t>
  </si>
  <si>
    <t xml:space="preserve">TL-T-SS-NB-M3x10</t>
  </si>
  <si>
    <t xml:space="preserve">Navy</t>
  </si>
  <si>
    <t xml:space="preserve">TL-T-SS-NB-M3x100</t>
  </si>
  <si>
    <t xml:space="preserve">TL-T-SS-NB-M3x12</t>
  </si>
  <si>
    <t xml:space="preserve">TL-T-SS-NB-M3x15</t>
  </si>
  <si>
    <t xml:space="preserve">TL-T-SS-NB-M3x18</t>
  </si>
  <si>
    <t xml:space="preserve">TL-T-SS-NB-M3x20</t>
  </si>
  <si>
    <t xml:space="preserve">TL-T-SS-NB-M3x25</t>
  </si>
  <si>
    <t xml:space="preserve">TL-T-SS-NB-M3x30</t>
  </si>
  <si>
    <t xml:space="preserve">TL-T-SS-NB-M3x35</t>
  </si>
  <si>
    <t xml:space="preserve">TL-T-SS-NB-M3x40</t>
  </si>
  <si>
    <t xml:space="preserve">TL-T-SS-NB-M3x45</t>
  </si>
  <si>
    <t xml:space="preserve">TL-T-SS-NB-M3x50</t>
  </si>
  <si>
    <t xml:space="preserve">TL-T-SS-NB-M3x6</t>
  </si>
  <si>
    <t xml:space="preserve">TL-T-SS-NB-M3x60</t>
  </si>
  <si>
    <t xml:space="preserve">TL-T-SS-NB-M3x70</t>
  </si>
  <si>
    <t xml:space="preserve">TL-T-SS-NB-M3x8</t>
  </si>
  <si>
    <t xml:space="preserve">TL-T-SS-NB-M3x80</t>
  </si>
  <si>
    <t xml:space="preserve">TL-T-SS-NB-M3x90</t>
  </si>
  <si>
    <t xml:space="preserve">TL-T-SS-NB-M4x10</t>
  </si>
  <si>
    <t xml:space="preserve">TL-T-SS-NB-M4x100</t>
  </si>
  <si>
    <t xml:space="preserve">TL-T-SS-NB-M4x12</t>
  </si>
  <si>
    <t xml:space="preserve">TL-T-SS-NB-M4x15</t>
  </si>
  <si>
    <t xml:space="preserve">TL-T-SS-NB-M4x18</t>
  </si>
  <si>
    <t xml:space="preserve">TL-T-SS-NB-M4x20</t>
  </si>
  <si>
    <t xml:space="preserve">TL-T-SS-NB-M4x25</t>
  </si>
  <si>
    <t xml:space="preserve">TL-T-SS-NB-M4x30</t>
  </si>
  <si>
    <t xml:space="preserve">TL-T-SS-NB-M4x35</t>
  </si>
  <si>
    <t xml:space="preserve">TL-T-SS-NB-M4x40</t>
  </si>
  <si>
    <t xml:space="preserve">TL-T-SS-NB-M4x45</t>
  </si>
  <si>
    <t xml:space="preserve">TL-T-SS-NB-M4x50</t>
  </si>
  <si>
    <t xml:space="preserve">TL-T-SS-NB-M4x6</t>
  </si>
  <si>
    <t xml:space="preserve">TL-T-SS-NB-M4x60</t>
  </si>
  <si>
    <t xml:space="preserve">TL-T-SS-NB-M4x70</t>
  </si>
  <si>
    <t xml:space="preserve">TL-T-SS-NB-M4x8</t>
  </si>
  <si>
    <t xml:space="preserve">TL-T-SS-NB-M4x80</t>
  </si>
  <si>
    <t xml:space="preserve">TL-T-SS-NB-M4x90</t>
  </si>
  <si>
    <t xml:space="preserve">TL-T-SS-NB-M5x10</t>
  </si>
  <si>
    <t xml:space="preserve">TL-T-SS-NB-M5x100</t>
  </si>
  <si>
    <t xml:space="preserve">TL-T-SS-NB-M5x12</t>
  </si>
  <si>
    <t xml:space="preserve">TL-T-SS-NB-M5x15</t>
  </si>
  <si>
    <t xml:space="preserve">TL-T-SS-NB-M5x18</t>
  </si>
  <si>
    <t xml:space="preserve">TL-T-SS-NB-M5x20</t>
  </si>
  <si>
    <t xml:space="preserve">TL-T-SS-NB-M5x25</t>
  </si>
  <si>
    <t xml:space="preserve">TL-T-SS-NB-M5x30</t>
  </si>
  <si>
    <t xml:space="preserve">TL-T-SS-NB-M5x35</t>
  </si>
  <si>
    <t xml:space="preserve">TL-T-SS-NB-M5x40</t>
  </si>
  <si>
    <t xml:space="preserve">TL-T-SS-NB-M5x45</t>
  </si>
  <si>
    <t xml:space="preserve">TL-T-SS-NB-M5x50</t>
  </si>
  <si>
    <t xml:space="preserve">TL-T-SS-NB-M5x6</t>
  </si>
  <si>
    <t xml:space="preserve">TL-T-SS-NB-M5x60</t>
  </si>
  <si>
    <t xml:space="preserve">TL-T-SS-NB-M5x70</t>
  </si>
  <si>
    <t xml:space="preserve">TL-T-SS-NB-M5x8</t>
  </si>
  <si>
    <t xml:space="preserve">TL-T-SS-NB-M5x80</t>
  </si>
  <si>
    <t xml:space="preserve">TL-T-SS-NB-M5x90</t>
  </si>
  <si>
    <t xml:space="preserve">TL-T-SS-NB-M6x10</t>
  </si>
  <si>
    <t xml:space="preserve">TL-T-SS-NB-M6x12</t>
  </si>
  <si>
    <t xml:space="preserve">TL-T-SS-NB-M6x15</t>
  </si>
  <si>
    <t xml:space="preserve">TL-T-SS-NB-M6x18</t>
  </si>
  <si>
    <t xml:space="preserve">TL-T-SS-NB-M6x20</t>
  </si>
  <si>
    <t xml:space="preserve">TL-T-SS-NB-M6x25</t>
  </si>
  <si>
    <t xml:space="preserve">TL-T-SS-NB-M6x30</t>
  </si>
  <si>
    <t xml:space="preserve">TL-T-SS-NB-M6x35</t>
  </si>
  <si>
    <t xml:space="preserve">TL-T-SS-NB-M6x40</t>
  </si>
  <si>
    <t xml:space="preserve">TL-T-SS-NB-M6x45</t>
  </si>
  <si>
    <t xml:space="preserve">TL-T-SS-NB-M6x50</t>
  </si>
  <si>
    <t xml:space="preserve">TL-T-SS-NB-M6x6</t>
  </si>
  <si>
    <t xml:space="preserve">TL-T-SS-NB-M6x60</t>
  </si>
  <si>
    <t xml:space="preserve">TL-T-SS-NB-M8x10</t>
  </si>
  <si>
    <t xml:space="preserve">TL-T-SS-NB-M8x12</t>
  </si>
  <si>
    <t xml:space="preserve">TL-T-SS-NB-M8x15</t>
  </si>
  <si>
    <t xml:space="preserve">TL-T-SS-NB-M8x20</t>
  </si>
  <si>
    <t xml:space="preserve">TL-T-SS-NB-M8x25</t>
  </si>
  <si>
    <t xml:space="preserve">TL-T-SS-NB-M8x30</t>
  </si>
  <si>
    <t xml:space="preserve">TL-T-SS-NB-M8x35</t>
  </si>
  <si>
    <t xml:space="preserve">TL-T-SS-NB-M8x40</t>
  </si>
  <si>
    <t xml:space="preserve">TL-T-SS-NB-M8x45</t>
  </si>
  <si>
    <t xml:space="preserve">TL-T-SS-NB-M8x50</t>
  </si>
  <si>
    <t xml:space="preserve">TL-T-SS-NB-M8x55</t>
  </si>
  <si>
    <t xml:space="preserve">TL-T-SS-NB-M8x60</t>
  </si>
  <si>
    <t xml:space="preserve">TL-T-SS-NB-U14x110</t>
  </si>
  <si>
    <t xml:space="preserve">TL-T-SS-NB-U14x12</t>
  </si>
  <si>
    <t xml:space="preserve">TL-T-SS-NB-U14x15</t>
  </si>
  <si>
    <t xml:space="preserve">TL-T-SS-NB-U14x18</t>
  </si>
  <si>
    <t xml:space="preserve">TL-T-SS-NB-U14x20</t>
  </si>
  <si>
    <t xml:space="preserve">TL-T-SS-NB-U14x25</t>
  </si>
  <si>
    <t xml:space="preserve">TL-T-SS-NB-U14x30</t>
  </si>
  <si>
    <t xml:space="preserve">TL-T-SS-NB-U14x35</t>
  </si>
  <si>
    <t xml:space="preserve">TL-T-SS-NB-U14x40</t>
  </si>
  <si>
    <t xml:space="preserve">TL-T-SS-NB-U14x6</t>
  </si>
  <si>
    <t xml:space="preserve">TL-T-SS-NB-U14x8</t>
  </si>
  <si>
    <t xml:space="preserve">TL-T-SS-RD-M3x10</t>
  </si>
  <si>
    <t xml:space="preserve">TL-T-SS-RD-M3x100</t>
  </si>
  <si>
    <t xml:space="preserve">TL-T-SS-RD-M3x12</t>
  </si>
  <si>
    <t xml:space="preserve">TL-T-SS-RD-M3x15</t>
  </si>
  <si>
    <t xml:space="preserve">TL-T-SS-RD-M3x18</t>
  </si>
  <si>
    <t xml:space="preserve">TL-T-SS-RD-M3x20</t>
  </si>
  <si>
    <t xml:space="preserve">TL-T-SS-RD-M3x25</t>
  </si>
  <si>
    <t xml:space="preserve">TL-T-SS-RD-M3x30</t>
  </si>
  <si>
    <t xml:space="preserve">TL-T-SS-RD-M3x35</t>
  </si>
  <si>
    <t xml:space="preserve">TL-T-SS-RD-M3x40</t>
  </si>
  <si>
    <t xml:space="preserve">TL-T-SS-RD-M3x45</t>
  </si>
  <si>
    <t xml:space="preserve">TL-T-SS-RD-M3x50</t>
  </si>
  <si>
    <t xml:space="preserve">TL-T-SS-RD-M3x60</t>
  </si>
  <si>
    <t xml:space="preserve">TL-T-SS-RD-M3x70</t>
  </si>
  <si>
    <t xml:space="preserve">TL-T-SS-RD-M3x8</t>
  </si>
  <si>
    <t xml:space="preserve">TL-T-SS-RD-M3x80</t>
  </si>
  <si>
    <t xml:space="preserve">TL-T-SS-RD-M3x90</t>
  </si>
  <si>
    <t xml:space="preserve">TL-T-SS-RD-M4x10</t>
  </si>
  <si>
    <t xml:space="preserve">TL-T-SS-RD-M4x100</t>
  </si>
  <si>
    <t xml:space="preserve">TL-T-SS-RD-M4x12</t>
  </si>
  <si>
    <t xml:space="preserve">TL-T-SS-RD-M4x15</t>
  </si>
  <si>
    <t xml:space="preserve">TL-T-SS-RD-M4x18</t>
  </si>
  <si>
    <t xml:space="preserve">TL-T-SS-RD-M4x20</t>
  </si>
  <si>
    <t xml:space="preserve">TL-T-SS-RD-M4x25</t>
  </si>
  <si>
    <t xml:space="preserve">TL-T-SS-RD-M4x30</t>
  </si>
  <si>
    <t xml:space="preserve">TL-T-SS-RD-M4x35</t>
  </si>
  <si>
    <t xml:space="preserve">TL-T-SS-RD-M4x40</t>
  </si>
  <si>
    <t xml:space="preserve">TL-T-SS-RD-M4x45</t>
  </si>
  <si>
    <t xml:space="preserve">TL-T-SS-RD-M4x50</t>
  </si>
  <si>
    <t xml:space="preserve">TL-T-SS-RD-M4x6</t>
  </si>
  <si>
    <t xml:space="preserve">TL-T-SS-RD-M4x60</t>
  </si>
  <si>
    <t xml:space="preserve">TL-T-SS-RD-M4x70</t>
  </si>
  <si>
    <t xml:space="preserve">TL-T-SS-RD-M4x8</t>
  </si>
  <si>
    <t xml:space="preserve">TL-T-SS-RD-M4x80</t>
  </si>
  <si>
    <t xml:space="preserve">TL-T-SS-RD-M4x90</t>
  </si>
  <si>
    <t xml:space="preserve">TL-T-SS-RD-M5x10</t>
  </si>
  <si>
    <t xml:space="preserve">TL-T-SS-RD-M5x100</t>
  </si>
  <si>
    <t xml:space="preserve">TL-T-SS-RD-M5x12</t>
  </si>
  <si>
    <t xml:space="preserve">TL-T-SS-RD-M5x15</t>
  </si>
  <si>
    <t xml:space="preserve">TL-T-SS-RD-M5x18</t>
  </si>
  <si>
    <t xml:space="preserve">TL-T-SS-RD-M5x20</t>
  </si>
  <si>
    <t xml:space="preserve">TL-T-SS-RD-M5x25</t>
  </si>
  <si>
    <t xml:space="preserve">TL-T-SS-RD-M5x30</t>
  </si>
  <si>
    <t xml:space="preserve">TL-T-SS-RD-M5x35</t>
  </si>
  <si>
    <t xml:space="preserve">TL-T-SS-RD-M5x40</t>
  </si>
  <si>
    <t xml:space="preserve">TL-T-SS-RD-M5x45</t>
  </si>
  <si>
    <t xml:space="preserve">TL-T-SS-RD-M5x50</t>
  </si>
  <si>
    <t xml:space="preserve">TL-T-SS-RD-M5x6</t>
  </si>
  <si>
    <t xml:space="preserve">TL-T-SS-RD-M5x60</t>
  </si>
  <si>
    <t xml:space="preserve">TL-T-SS-RD-M5x70</t>
  </si>
  <si>
    <t xml:space="preserve">TL-T-SS-RD-M5x8</t>
  </si>
  <si>
    <t xml:space="preserve">TL-T-SS-RD-M5x80</t>
  </si>
  <si>
    <t xml:space="preserve">TL-T-SS-RD-M5x90</t>
  </si>
  <si>
    <t xml:space="preserve">TL-T-SS-RD-M6x10</t>
  </si>
  <si>
    <t xml:space="preserve">TL-T-SS-RD-M6x12</t>
  </si>
  <si>
    <t xml:space="preserve">TL-T-SS-RD-M6x15</t>
  </si>
  <si>
    <t xml:space="preserve">TL-T-SS-RD-M6x18</t>
  </si>
  <si>
    <t xml:space="preserve">TL-T-SS-RD-M6x20</t>
  </si>
  <si>
    <t xml:space="preserve">TL-T-SS-RD-M6x25</t>
  </si>
  <si>
    <t xml:space="preserve">TL-T-SS-RD-M6x30</t>
  </si>
  <si>
    <t xml:space="preserve">TL-T-SS-RD-M6x35</t>
  </si>
  <si>
    <t xml:space="preserve">TL-T-SS-RD-M6x40</t>
  </si>
  <si>
    <t xml:space="preserve">TL-T-SS-RD-M6x45</t>
  </si>
  <si>
    <t xml:space="preserve">TL-T-SS-RD-M6x50</t>
  </si>
  <si>
    <t xml:space="preserve">TL-T-SS-RD-M6x6</t>
  </si>
  <si>
    <t xml:space="preserve">TL-T-SS-RD-M6x60</t>
  </si>
  <si>
    <t xml:space="preserve">TL-T-SS-RD-M8x10</t>
  </si>
  <si>
    <t xml:space="preserve">TL-T-SS-RD-M8x12</t>
  </si>
  <si>
    <t xml:space="preserve">TL-T-SS-RD-M8x15</t>
  </si>
  <si>
    <t xml:space="preserve">TL-T-SS-RD-M8x20</t>
  </si>
  <si>
    <t xml:space="preserve">TL-T-SS-RD-M8x25</t>
  </si>
  <si>
    <t xml:space="preserve">TL-T-SS-RD-M8x30</t>
  </si>
  <si>
    <t xml:space="preserve">TL-T-SS-RD-M8x35</t>
  </si>
  <si>
    <t xml:space="preserve">TL-T-SS-RD-M8x40</t>
  </si>
  <si>
    <t xml:space="preserve">TL-T-SS-RD-M8x45</t>
  </si>
  <si>
    <t xml:space="preserve">TL-T-SS-RD-M8x50</t>
  </si>
  <si>
    <t xml:space="preserve">TL-T-SS-RD-M8x55</t>
  </si>
  <si>
    <t xml:space="preserve">TL-T-SS-RD-M8x60</t>
  </si>
  <si>
    <t xml:space="preserve">TL-T-SS-RD-U14x10</t>
  </si>
  <si>
    <t xml:space="preserve">TL-T-SS-RD-U14x12</t>
  </si>
  <si>
    <t xml:space="preserve">TL-T-SS-RD-U14x15</t>
  </si>
  <si>
    <t xml:space="preserve">TL-T-SS-RD-U14x20</t>
  </si>
  <si>
    <t xml:space="preserve">TL-T-SS-RD-U14x25</t>
  </si>
  <si>
    <t xml:space="preserve">TL-T-SS-RD-U14x30</t>
  </si>
  <si>
    <t xml:space="preserve">TL-T-SS-RD-U14x35</t>
  </si>
  <si>
    <t xml:space="preserve">TL-T-SS-RD-U14x40</t>
  </si>
  <si>
    <t xml:space="preserve">TL-T-SS-RD-U14x6</t>
  </si>
  <si>
    <t xml:space="preserve">TL-T-SS-RD-U14x8</t>
  </si>
  <si>
    <t xml:space="preserve">TL-T-SS-SV-M3x10</t>
  </si>
  <si>
    <t xml:space="preserve">TL-T-SS-SV-M3x100</t>
  </si>
  <si>
    <t xml:space="preserve">TL-T-SS-SV-M3x12</t>
  </si>
  <si>
    <t xml:space="preserve">TL-T-SS-SV-M3x15</t>
  </si>
  <si>
    <t xml:space="preserve">TL-T-SS-SV-M3x18</t>
  </si>
  <si>
    <t xml:space="preserve">TL-T-SS-SV-M3x20</t>
  </si>
  <si>
    <t xml:space="preserve">TL-T-SS-SV-M3x25</t>
  </si>
  <si>
    <t xml:space="preserve">TL-T-SS-SV-M3x30</t>
  </si>
  <si>
    <t xml:space="preserve">TL-T-SS-SV-M3x35</t>
  </si>
  <si>
    <t xml:space="preserve">TL-T-SS-SV-M3x40</t>
  </si>
  <si>
    <t xml:space="preserve">TL-T-SS-SV-M3x45</t>
  </si>
  <si>
    <t xml:space="preserve">TL-T-SS-SV-M3x50</t>
  </si>
  <si>
    <t xml:space="preserve">TL-T-SS-SV-M3x6</t>
  </si>
  <si>
    <t xml:space="preserve">TL-T-SS-SV-M3x60</t>
  </si>
  <si>
    <t xml:space="preserve">TL-T-SS-SV-M3x70</t>
  </si>
  <si>
    <t xml:space="preserve">TL-T-SS-SV-M3x8</t>
  </si>
  <si>
    <t xml:space="preserve">TL-T-SS-SV-M3x80</t>
  </si>
  <si>
    <t xml:space="preserve">TL-T-SS-SV-M3x90</t>
  </si>
  <si>
    <t xml:space="preserve">TL-T-SS-SV-M4x10</t>
  </si>
  <si>
    <t xml:space="preserve">TL-T-SS-SV-M4x100</t>
  </si>
  <si>
    <t xml:space="preserve">TL-T-SS-SV-M4x12</t>
  </si>
  <si>
    <t xml:space="preserve">TL-T-SS-SV-M4x15</t>
  </si>
  <si>
    <t xml:space="preserve">TL-T-SS-SV-M4x20</t>
  </si>
  <si>
    <t xml:space="preserve">TL-T-SS-SV-M4x25</t>
  </si>
  <si>
    <t xml:space="preserve">TL-T-SS-SV-M4x30</t>
  </si>
  <si>
    <t xml:space="preserve">TL-T-SS-SV-M4x35</t>
  </si>
  <si>
    <t xml:space="preserve">TL-T-SS-SV-M4x40</t>
  </si>
  <si>
    <t xml:space="preserve">TL-T-SS-SV-M4x45</t>
  </si>
  <si>
    <t xml:space="preserve">TL-T-SS-SV-M4x50</t>
  </si>
  <si>
    <t xml:space="preserve">TL-T-SS-SV-M4x6</t>
  </si>
  <si>
    <t xml:space="preserve">TL-T-SS-SV-M4x60</t>
  </si>
  <si>
    <t xml:space="preserve">TL-T-SS-SV-M4x70</t>
  </si>
  <si>
    <t xml:space="preserve">TL-T-SS-SV-M4x8</t>
  </si>
  <si>
    <t xml:space="preserve">TL-T-SS-SV-M4x80</t>
  </si>
  <si>
    <t xml:space="preserve">TL-T-SS-SV-M4x90</t>
  </si>
  <si>
    <t xml:space="preserve">TL-T-SS-SV-M5x10</t>
  </si>
  <si>
    <t xml:space="preserve">TL-T-SS-SV-M5x100</t>
  </si>
  <si>
    <t xml:space="preserve">TL-T-SS-SV-M5x12</t>
  </si>
  <si>
    <t xml:space="preserve">TL-T-SS-SV-M5x15</t>
  </si>
  <si>
    <t xml:space="preserve">TL-T-SS-SV-M5x18</t>
  </si>
  <si>
    <t xml:space="preserve">TL-T-SS-SV-M5x20</t>
  </si>
  <si>
    <t xml:space="preserve">TL-T-SS-SV-M5x25</t>
  </si>
  <si>
    <t xml:space="preserve">TL-T-SS-SV-M5x30</t>
  </si>
  <si>
    <t xml:space="preserve">TL-T-SS-SV-M5x35</t>
  </si>
  <si>
    <t xml:space="preserve">TL-T-SS-SV-M5x40</t>
  </si>
  <si>
    <t xml:space="preserve">TL-T-SS-SV-M5x45</t>
  </si>
  <si>
    <t xml:space="preserve">TL-T-SS-SV-M5x50</t>
  </si>
  <si>
    <t xml:space="preserve">TL-T-SS-SV-M5x6</t>
  </si>
  <si>
    <t xml:space="preserve">TL-T-SS-SV-M5x60</t>
  </si>
  <si>
    <t xml:space="preserve">TL-T-SS-SV-M5x70</t>
  </si>
  <si>
    <t xml:space="preserve">TL-T-SS-SV-M5x8</t>
  </si>
  <si>
    <t xml:space="preserve">TL-T-SS-SV-M5x80</t>
  </si>
  <si>
    <t xml:space="preserve">TL-T-SS-SV-M5x90</t>
  </si>
  <si>
    <t xml:space="preserve">TL-T-SS-SV-M6x10</t>
  </si>
  <si>
    <t xml:space="preserve">TL-T-SS-SV-M6x12</t>
  </si>
  <si>
    <t xml:space="preserve">TL-T-SS-SV-M6x15</t>
  </si>
  <si>
    <t xml:space="preserve">TL-T-SS-SV-M6x18</t>
  </si>
  <si>
    <t xml:space="preserve">TL-T-SS-SV-M6x20</t>
  </si>
  <si>
    <t xml:space="preserve">TL-T-SS-SV-M6x25</t>
  </si>
  <si>
    <t xml:space="preserve">TL-T-SS-SV-M6x30</t>
  </si>
  <si>
    <t xml:space="preserve">TL-T-SS-SV-M6x35</t>
  </si>
  <si>
    <t xml:space="preserve">TL-T-SS-SV-M6x40</t>
  </si>
  <si>
    <t xml:space="preserve">TL-T-SS-SV-M6x45</t>
  </si>
  <si>
    <t xml:space="preserve">TL-T-SS-SV-M6x50</t>
  </si>
  <si>
    <t xml:space="preserve">TL-T-SS-SV-M6x6</t>
  </si>
  <si>
    <t xml:space="preserve">TL-T-SS-SV-M6x60</t>
  </si>
  <si>
    <t xml:space="preserve">TL-T-SS-SV-M8x10</t>
  </si>
  <si>
    <t xml:space="preserve">TL-T-SS-SV-M8x12</t>
  </si>
  <si>
    <t xml:space="preserve">TL-T-SS-SV-M8x15</t>
  </si>
  <si>
    <t xml:space="preserve">TL-T-SS-SV-M8x18</t>
  </si>
  <si>
    <t xml:space="preserve">TL-T-SS-SV-M8x20</t>
  </si>
  <si>
    <t xml:space="preserve">TL-T-SS-SV-M8x25</t>
  </si>
  <si>
    <t xml:space="preserve">TL-T-SS-SV-M8x30</t>
  </si>
  <si>
    <t xml:space="preserve">TL-T-SS-SV-M8x35</t>
  </si>
  <si>
    <t xml:space="preserve">TL-T-SS-SV-M8x40</t>
  </si>
  <si>
    <t xml:space="preserve">TL-T-SS-SV-M8x45</t>
  </si>
  <si>
    <t xml:space="preserve">TL-T-SS-SV-M8x50</t>
  </si>
  <si>
    <t xml:space="preserve">TL-T-SS-SV-M8x55</t>
  </si>
  <si>
    <t xml:space="preserve">TL-T-SS-SV-M8x60</t>
  </si>
  <si>
    <t xml:space="preserve">TL-T-SS-SV-U14x10</t>
  </si>
  <si>
    <t xml:space="preserve">TL-T-SS-SV-U14x12</t>
  </si>
  <si>
    <t xml:space="preserve">TL-T-SS-SV-U14x15</t>
  </si>
  <si>
    <t xml:space="preserve">TL-T-SS-SV-U14x18</t>
  </si>
  <si>
    <t xml:space="preserve">TL-T-SS-SV-U14x20</t>
  </si>
  <si>
    <t xml:space="preserve">TL-T-SS-SV-U14x25</t>
  </si>
  <si>
    <t xml:space="preserve">TL-T-SS-SV-U14x30</t>
  </si>
  <si>
    <t xml:space="preserve">TL-T-SS-SV-U14x35</t>
  </si>
  <si>
    <t xml:space="preserve">TL-T-SS-SV-U14x40</t>
  </si>
  <si>
    <t xml:space="preserve">TL-T-SS-SV-U14x6</t>
  </si>
  <si>
    <t xml:space="preserve">TL-T-SS-SV-U14x8</t>
  </si>
  <si>
    <t xml:space="preserve">Socket Set Screw (DIN916 / DIN913 / DIN914; Steel / 304 / Nylon)  [Socket Screws]</t>
  </si>
  <si>
    <t xml:space="preserve">Point Type</t>
  </si>
  <si>
    <t xml:space="preserve">12.9 grade carbon steel</t>
  </si>
  <si>
    <t xml:space="preserve">Flat point DIN913</t>
  </si>
  <si>
    <t xml:space="preserve">SET-G129-D913-M3x3-P100</t>
  </si>
  <si>
    <t xml:space="preserve">SET-G129-D913-M4x4-P100</t>
  </si>
  <si>
    <t xml:space="preserve">SET-G129-D916-M2.5x2.5-P26</t>
  </si>
  <si>
    <t xml:space="preserve">Cup point DIN916</t>
  </si>
  <si>
    <t xml:space="preserve">SET-G129-D916-M2x2-P18</t>
  </si>
  <si>
    <t xml:space="preserve">SET-G129-D916-M3x3-P100</t>
  </si>
  <si>
    <t xml:space="preserve">SET-G129-D916-M3x4-P70</t>
  </si>
  <si>
    <t xml:space="preserve">70 pcs</t>
  </si>
  <si>
    <t xml:space="preserve">SET-G129-D916-M3x5-P70</t>
  </si>
  <si>
    <t xml:space="preserve">SET-G129-D916-M4x3-P40</t>
  </si>
  <si>
    <t xml:space="preserve">SET-G129-D916-M4x4-P100</t>
  </si>
  <si>
    <t xml:space="preserve">SET-G129-D916-M4x5-P65</t>
  </si>
  <si>
    <t xml:space="preserve">65 pcs</t>
  </si>
  <si>
    <t xml:space="preserve">SET-G129-D916-M4x6-P50</t>
  </si>
  <si>
    <t xml:space="preserve">SET-G129-D916-M4x8-P100</t>
  </si>
  <si>
    <t xml:space="preserve">SET-G129-D916-M5x4-P76</t>
  </si>
  <si>
    <t xml:space="preserve">76 pcs</t>
  </si>
  <si>
    <t xml:space="preserve">SET-G129-D916-M5x5-P70</t>
  </si>
  <si>
    <t xml:space="preserve">SET-G129-D916-M5x6-P10</t>
  </si>
  <si>
    <t xml:space="preserve">SET-G129-D916-M6x10-P5</t>
  </si>
  <si>
    <t xml:space="preserve">SET-G129-D916-M6x5-P60</t>
  </si>
  <si>
    <t xml:space="preserve">60 pcs</t>
  </si>
  <si>
    <t xml:space="preserve">SET-G129-D916-M6x6-P100</t>
  </si>
  <si>
    <t xml:space="preserve">SET-G129-D916-M6x8-P50</t>
  </si>
  <si>
    <t xml:space="preserve">SET-G129-D916-M8x10-P22</t>
  </si>
  <si>
    <t xml:space="preserve">SET-G129-D916-M8x8-P25</t>
  </si>
  <si>
    <t xml:space="preserve">SET-PA-GB73-M4x4-P10</t>
  </si>
  <si>
    <t xml:space="preserve">Flat point GB73</t>
  </si>
  <si>
    <t xml:space="preserve">SET-SS-D913-M3x4-P100</t>
  </si>
  <si>
    <t xml:space="preserve">SET-SS-D913-M4x4-P78</t>
  </si>
  <si>
    <t xml:space="preserve">78 pcs</t>
  </si>
  <si>
    <t xml:space="preserve">SET-SS-D913-M5x6-P54</t>
  </si>
  <si>
    <t xml:space="preserve">54 pcs</t>
  </si>
  <si>
    <t xml:space="preserve">SET-SS-D914-M2x3-P5</t>
  </si>
  <si>
    <t xml:space="preserve">Cone point DIN914</t>
  </si>
  <si>
    <t xml:space="preserve">SET-SS-D914-M6x7-P10</t>
  </si>
  <si>
    <t xml:space="preserve">SET-SS-D916-M3x10-P38</t>
  </si>
  <si>
    <t xml:space="preserve">38 pcs</t>
  </si>
  <si>
    <t xml:space="preserve">SET-SS-D916-M3x3-P50</t>
  </si>
  <si>
    <t xml:space="preserve">SET-SS-D916-M3x4-P50</t>
  </si>
  <si>
    <t xml:space="preserve">SET-SS-D916-M3x5-P55</t>
  </si>
  <si>
    <t xml:space="preserve">SET-SS-D916-M3x6-P62</t>
  </si>
  <si>
    <t xml:space="preserve">62 pcs</t>
  </si>
  <si>
    <t xml:space="preserve">SET-SS-D916-M3x8-P46</t>
  </si>
  <si>
    <t xml:space="preserve">46 pcs</t>
  </si>
  <si>
    <t xml:space="preserve">SET-SS-D916-M4x10-P27</t>
  </si>
  <si>
    <t xml:space="preserve">SET-SS-D916-M4x12-P25</t>
  </si>
  <si>
    <t xml:space="preserve">SET-SS-D916-M4x3-P31</t>
  </si>
  <si>
    <t xml:space="preserve">SET-SS-D916-M4x4-P100</t>
  </si>
  <si>
    <t xml:space="preserve">SET-SS-D916-M4x5-P100</t>
  </si>
  <si>
    <t xml:space="preserve">SET-SS-D916-M4x6-P50</t>
  </si>
  <si>
    <t xml:space="preserve">SET-SS-D916-M4x8-P100</t>
  </si>
  <si>
    <t xml:space="preserve">SET-SS-D916-M5x10-P25</t>
  </si>
  <si>
    <t xml:space="preserve">SET-SS-D916-M5x12-P21</t>
  </si>
  <si>
    <t xml:space="preserve">SET-SS-D916-M5x14-P21</t>
  </si>
  <si>
    <t xml:space="preserve">SET-SS-D916-M5x16-P21</t>
  </si>
  <si>
    <t xml:space="preserve">SET-SS-D916-M5x20-P10</t>
  </si>
  <si>
    <t xml:space="preserve">SET-SS-D916-M5x3-P21</t>
  </si>
  <si>
    <t xml:space="preserve">SET-SS-D916-M5x30-P6</t>
  </si>
  <si>
    <t xml:space="preserve">SET-SS-D916-M5x4-P100</t>
  </si>
  <si>
    <t xml:space="preserve">SET-SS-D916-M5x5-P100</t>
  </si>
  <si>
    <t xml:space="preserve">SET-SS-D916-M5x6-P50</t>
  </si>
  <si>
    <t xml:space="preserve">SET-SS-D916-M5x8-P26</t>
  </si>
  <si>
    <t xml:space="preserve">SET-SS-D916-M6x10-P24</t>
  </si>
  <si>
    <t xml:space="preserve">SET-SS-D916-M6x12-P15</t>
  </si>
  <si>
    <t xml:space="preserve">SET-SS-D916-M6x16-P15</t>
  </si>
  <si>
    <t xml:space="preserve">SET-SS-D916-M6x6-P50</t>
  </si>
  <si>
    <t xml:space="preserve">SET-SS-D916-M6x8-P50</t>
  </si>
  <si>
    <t xml:space="preserve">SET-SS-D916-M8x10-P11</t>
  </si>
  <si>
    <t xml:space="preserve">SET-SS-D916-M8x12-P9</t>
  </si>
  <si>
    <t xml:space="preserve">SET-SS-D916-M8x5-P12</t>
  </si>
  <si>
    <t xml:space="preserve">SET-SS-D916-M8x6-P12</t>
  </si>
  <si>
    <t xml:space="preserve">SET-SS-D916-M8x8-P20</t>
  </si>
  <si>
    <t xml:space="preserve">Aluminum Thumb Screw Knob (M5-M10, 1/4 in)  [Socket Screws]</t>
  </si>
  <si>
    <t xml:space="preserve">ALH-BK-M10x10</t>
  </si>
  <si>
    <t xml:space="preserve">ALH-BK-M10x12</t>
  </si>
  <si>
    <t xml:space="preserve">ALH-BK-M10x15</t>
  </si>
  <si>
    <t xml:space="preserve">ALH-BK-M10x18</t>
  </si>
  <si>
    <t xml:space="preserve">ALH-BK-M10x20</t>
  </si>
  <si>
    <t xml:space="preserve">ALH-BK-M10x25</t>
  </si>
  <si>
    <t xml:space="preserve">ALH-BK-M10x30</t>
  </si>
  <si>
    <t xml:space="preserve">ALH-BK-M10x35</t>
  </si>
  <si>
    <t xml:space="preserve">ALH-BK-M10x40</t>
  </si>
  <si>
    <t xml:space="preserve">ALH-BK-M10x45</t>
  </si>
  <si>
    <t xml:space="preserve">ALH-BK-M10x50</t>
  </si>
  <si>
    <t xml:space="preserve">ALH-BK-M10x55</t>
  </si>
  <si>
    <t xml:space="preserve">ALH-BK-M10x60</t>
  </si>
  <si>
    <t xml:space="preserve">ALH-BK-M5x10</t>
  </si>
  <si>
    <t xml:space="preserve">ALH-BK-M5x100</t>
  </si>
  <si>
    <t xml:space="preserve">ALH-BK-M5x12</t>
  </si>
  <si>
    <t xml:space="preserve">ALH-BK-M5x15</t>
  </si>
  <si>
    <t xml:space="preserve">ALH-BK-M5x18</t>
  </si>
  <si>
    <t xml:space="preserve">ALH-BK-M5x20</t>
  </si>
  <si>
    <t xml:space="preserve">ALH-BK-M5x25</t>
  </si>
  <si>
    <t xml:space="preserve">ALH-BK-M5x30</t>
  </si>
  <si>
    <t xml:space="preserve">ALH-BK-M5x35</t>
  </si>
  <si>
    <t xml:space="preserve">ALH-BK-M5x40</t>
  </si>
  <si>
    <t xml:space="preserve">ALH-BK-M5x45</t>
  </si>
  <si>
    <t xml:space="preserve">ALH-BK-M5x50</t>
  </si>
  <si>
    <t xml:space="preserve">ALH-BK-M5x60</t>
  </si>
  <si>
    <t xml:space="preserve">ALH-BK-M5x70</t>
  </si>
  <si>
    <t xml:space="preserve">ALH-BK-M5x80</t>
  </si>
  <si>
    <t xml:space="preserve">ALH-BK-M5x90</t>
  </si>
  <si>
    <t xml:space="preserve">ALH-BK-M6x10</t>
  </si>
  <si>
    <t xml:space="preserve">ALH-BK-M6x12</t>
  </si>
  <si>
    <t xml:space="preserve">ALH-BK-M6x15</t>
  </si>
  <si>
    <t xml:space="preserve">ALH-BK-M6x16</t>
  </si>
  <si>
    <t xml:space="preserve">ALH-BK-M6x18</t>
  </si>
  <si>
    <t xml:space="preserve">ALH-BK-M6x20</t>
  </si>
  <si>
    <t xml:space="preserve">ALH-BK-M6x25</t>
  </si>
  <si>
    <t xml:space="preserve">ALH-BK-M6x30</t>
  </si>
  <si>
    <t xml:space="preserve">ALH-BK-M6x35</t>
  </si>
  <si>
    <t xml:space="preserve">ALH-BK-M6x40</t>
  </si>
  <si>
    <t xml:space="preserve">ALH-BK-M6x45</t>
  </si>
  <si>
    <t xml:space="preserve">ALH-BK-M6x50</t>
  </si>
  <si>
    <t xml:space="preserve">ALH-BK-M6x55</t>
  </si>
  <si>
    <t xml:space="preserve">ALH-BK-M6x60</t>
  </si>
  <si>
    <t xml:space="preserve">ALH-BK-M8x10</t>
  </si>
  <si>
    <t xml:space="preserve">ALH-BK-M8x12</t>
  </si>
  <si>
    <t xml:space="preserve">ALH-BK-M8x15</t>
  </si>
  <si>
    <t xml:space="preserve">ALH-BK-M8x16</t>
  </si>
  <si>
    <t xml:space="preserve">ALH-BK-M8x18</t>
  </si>
  <si>
    <t xml:space="preserve">ALH-BK-M8x20</t>
  </si>
  <si>
    <t xml:space="preserve">ALH-BK-M8x22</t>
  </si>
  <si>
    <t xml:space="preserve">ALH-BK-M8x25</t>
  </si>
  <si>
    <t xml:space="preserve">ALH-BK-M8x30</t>
  </si>
  <si>
    <t xml:space="preserve">ALH-BK-M8x35</t>
  </si>
  <si>
    <t xml:space="preserve">ALH-BK-M8x40</t>
  </si>
  <si>
    <t xml:space="preserve">ALH-BK-M8x45</t>
  </si>
  <si>
    <t xml:space="preserve">ALH-BK-M8x50</t>
  </si>
  <si>
    <t xml:space="preserve">ALH-BK-M8x55</t>
  </si>
  <si>
    <t xml:space="preserve">ALH-BK-M8x60</t>
  </si>
  <si>
    <t xml:space="preserve">ALH-BK-U14x12</t>
  </si>
  <si>
    <t xml:space="preserve">ALH-BK-U14x16</t>
  </si>
  <si>
    <t xml:space="preserve">ALH-BL-M10x10</t>
  </si>
  <si>
    <t xml:space="preserve">ALH-BL-M10x12</t>
  </si>
  <si>
    <t xml:space="preserve">ALH-BL-M10x15</t>
  </si>
  <si>
    <t xml:space="preserve">ALH-BL-M10x18</t>
  </si>
  <si>
    <t xml:space="preserve">ALH-BL-M10x20</t>
  </si>
  <si>
    <t xml:space="preserve">ALH-BL-M10x25</t>
  </si>
  <si>
    <t xml:space="preserve">ALH-BL-M10x30</t>
  </si>
  <si>
    <t xml:space="preserve">ALH-BL-M10x35</t>
  </si>
  <si>
    <t xml:space="preserve">ALH-BL-M10x40</t>
  </si>
  <si>
    <t xml:space="preserve">ALH-BL-M10x45</t>
  </si>
  <si>
    <t xml:space="preserve">ALH-BL-M10x50</t>
  </si>
  <si>
    <t xml:space="preserve">ALH-BL-M10x55</t>
  </si>
  <si>
    <t xml:space="preserve">ALH-BL-M10x60</t>
  </si>
  <si>
    <t xml:space="preserve">ALH-BL-M5x10</t>
  </si>
  <si>
    <t xml:space="preserve">ALH-BL-M5x100</t>
  </si>
  <si>
    <t xml:space="preserve">ALH-BL-M5x12</t>
  </si>
  <si>
    <t xml:space="preserve">ALH-BL-M5x15</t>
  </si>
  <si>
    <t xml:space="preserve">ALH-BL-M5x18</t>
  </si>
  <si>
    <t xml:space="preserve">ALH-BL-M5x20</t>
  </si>
  <si>
    <t xml:space="preserve">ALH-BL-M5x25</t>
  </si>
  <si>
    <t xml:space="preserve">ALH-BL-M5x30</t>
  </si>
  <si>
    <t xml:space="preserve">ALH-BL-M5x35</t>
  </si>
  <si>
    <t xml:space="preserve">ALH-BL-M5x40</t>
  </si>
  <si>
    <t xml:space="preserve">ALH-BL-M5x45</t>
  </si>
  <si>
    <t xml:space="preserve">ALH-BL-M5x50</t>
  </si>
  <si>
    <t xml:space="preserve">ALH-BL-M5x60</t>
  </si>
  <si>
    <t xml:space="preserve">ALH-BL-M5x70</t>
  </si>
  <si>
    <t xml:space="preserve">ALH-BL-M5x80</t>
  </si>
  <si>
    <t xml:space="preserve">ALH-BL-M5x90</t>
  </si>
  <si>
    <t xml:space="preserve">ALH-BL-M6x10</t>
  </si>
  <si>
    <t xml:space="preserve">ALH-BL-M6x12</t>
  </si>
  <si>
    <t xml:space="preserve">ALH-BL-M6x15</t>
  </si>
  <si>
    <t xml:space="preserve">ALH-BL-M6x16</t>
  </si>
  <si>
    <t xml:space="preserve">ALH-BL-M6x18</t>
  </si>
  <si>
    <t xml:space="preserve">ALH-BL-M6x20</t>
  </si>
  <si>
    <t xml:space="preserve">ALH-BL-M6x25</t>
  </si>
  <si>
    <t xml:space="preserve">ALH-BL-M6x30</t>
  </si>
  <si>
    <t xml:space="preserve">ALH-BL-M6x35</t>
  </si>
  <si>
    <t xml:space="preserve">ALH-BL-M6x40</t>
  </si>
  <si>
    <t xml:space="preserve">ALH-BL-M6x45</t>
  </si>
  <si>
    <t xml:space="preserve">ALH-BL-M6x50</t>
  </si>
  <si>
    <t xml:space="preserve">ALH-BL-M6x55</t>
  </si>
  <si>
    <t xml:space="preserve">ALH-BL-M6x60</t>
  </si>
  <si>
    <t xml:space="preserve">ALH-BL-M8x10</t>
  </si>
  <si>
    <t xml:space="preserve">ALH-BL-M8x12</t>
  </si>
  <si>
    <t xml:space="preserve">ALH-BL-M8x15</t>
  </si>
  <si>
    <t xml:space="preserve">ALH-BL-M8x16</t>
  </si>
  <si>
    <t xml:space="preserve">ALH-BL-M8x18</t>
  </si>
  <si>
    <t xml:space="preserve">ALH-BL-M8x20</t>
  </si>
  <si>
    <t xml:space="preserve">ALH-BL-M8x22</t>
  </si>
  <si>
    <t xml:space="preserve">ALH-BL-M8x25</t>
  </si>
  <si>
    <t xml:space="preserve">ALH-BL-M8x30</t>
  </si>
  <si>
    <t xml:space="preserve">ALH-BL-M8x35</t>
  </si>
  <si>
    <t xml:space="preserve">ALH-BL-M8x40</t>
  </si>
  <si>
    <t xml:space="preserve">ALH-BL-M8x45</t>
  </si>
  <si>
    <t xml:space="preserve">ALH-BL-M8x50</t>
  </si>
  <si>
    <t xml:space="preserve">ALH-BL-M8x55</t>
  </si>
  <si>
    <t xml:space="preserve">ALH-BL-M8x60</t>
  </si>
  <si>
    <t xml:space="preserve">ALH-BL-U14x12</t>
  </si>
  <si>
    <t xml:space="preserve">ALH-BL-U14x16</t>
  </si>
  <si>
    <t xml:space="preserve">ALH-RD-M10x10</t>
  </si>
  <si>
    <t xml:space="preserve">ALH-RD-M10x12</t>
  </si>
  <si>
    <t xml:space="preserve">ALH-RD-M10x15</t>
  </si>
  <si>
    <t xml:space="preserve">ALH-RD-M10x18</t>
  </si>
  <si>
    <t xml:space="preserve">ALH-RD-M10x20</t>
  </si>
  <si>
    <t xml:space="preserve">ALH-RD-M10x25</t>
  </si>
  <si>
    <t xml:space="preserve">ALH-RD-M10x30</t>
  </si>
  <si>
    <t xml:space="preserve">ALH-RD-M10x35</t>
  </si>
  <si>
    <t xml:space="preserve">ALH-RD-M10x40</t>
  </si>
  <si>
    <t xml:space="preserve">ALH-RD-M10x45</t>
  </si>
  <si>
    <t xml:space="preserve">ALH-RD-M10x50</t>
  </si>
  <si>
    <t xml:space="preserve">ALH-RD-M10x55</t>
  </si>
  <si>
    <t xml:space="preserve">ALH-RD-M10x60</t>
  </si>
  <si>
    <t xml:space="preserve">ALH-RD-M5x10</t>
  </si>
  <si>
    <t xml:space="preserve">ALH-RD-M5x100</t>
  </si>
  <si>
    <t xml:space="preserve">ALH-RD-M5x12</t>
  </si>
  <si>
    <t xml:space="preserve">ALH-RD-M5x15</t>
  </si>
  <si>
    <t xml:space="preserve">ALH-RD-M5x18</t>
  </si>
  <si>
    <t xml:space="preserve">ALH-RD-M5x20</t>
  </si>
  <si>
    <t xml:space="preserve">ALH-RD-M5x25</t>
  </si>
  <si>
    <t xml:space="preserve">ALH-RD-M5x30</t>
  </si>
  <si>
    <t xml:space="preserve">ALH-RD-M5x35</t>
  </si>
  <si>
    <t xml:space="preserve">ALH-RD-M5x40</t>
  </si>
  <si>
    <t xml:space="preserve">ALH-RD-M5x45</t>
  </si>
  <si>
    <t xml:space="preserve">ALH-RD-M5x50</t>
  </si>
  <si>
    <t xml:space="preserve">ALH-RD-M5x60</t>
  </si>
  <si>
    <t xml:space="preserve">ALH-RD-M5x70</t>
  </si>
  <si>
    <t xml:space="preserve">ALH-RD-M5x80</t>
  </si>
  <si>
    <t xml:space="preserve">ALH-RD-M5x90</t>
  </si>
  <si>
    <t xml:space="preserve">ALH-RD-M6x10</t>
  </si>
  <si>
    <t xml:space="preserve">ALH-RD-M6x12</t>
  </si>
  <si>
    <t xml:space="preserve">ALH-RD-M6x15</t>
  </si>
  <si>
    <t xml:space="preserve">ALH-RD-M6x16</t>
  </si>
  <si>
    <t xml:space="preserve">ALH-RD-M6x18</t>
  </si>
  <si>
    <t xml:space="preserve">ALH-RD-M6x20</t>
  </si>
  <si>
    <t xml:space="preserve">ALH-RD-M6x25</t>
  </si>
  <si>
    <t xml:space="preserve">ALH-RD-M6x30</t>
  </si>
  <si>
    <t xml:space="preserve">ALH-RD-M6x35</t>
  </si>
  <si>
    <t xml:space="preserve">ALH-RD-M6x40</t>
  </si>
  <si>
    <t xml:space="preserve">ALH-RD-M6x45</t>
  </si>
  <si>
    <t xml:space="preserve">ALH-RD-M6x50</t>
  </si>
  <si>
    <t xml:space="preserve">ALH-RD-M6x55</t>
  </si>
  <si>
    <t xml:space="preserve">ALH-RD-M6x60</t>
  </si>
  <si>
    <t xml:space="preserve">ALH-RD-M8x10</t>
  </si>
  <si>
    <t xml:space="preserve">ALH-RD-M8x12</t>
  </si>
  <si>
    <t xml:space="preserve">ALH-RD-M8x15</t>
  </si>
  <si>
    <t xml:space="preserve">ALH-RD-M8x16</t>
  </si>
  <si>
    <t xml:space="preserve">ALH-RD-M8x18</t>
  </si>
  <si>
    <t xml:space="preserve">ALH-RD-M8x20</t>
  </si>
  <si>
    <t xml:space="preserve">ALH-RD-M8x22</t>
  </si>
  <si>
    <t xml:space="preserve">ALH-RD-M8x25</t>
  </si>
  <si>
    <t xml:space="preserve">ALH-RD-M8x30</t>
  </si>
  <si>
    <t xml:space="preserve">ALH-RD-M8x35</t>
  </si>
  <si>
    <t xml:space="preserve">ALH-RD-M8x40</t>
  </si>
  <si>
    <t xml:space="preserve">ALH-RD-M8x45</t>
  </si>
  <si>
    <t xml:space="preserve">ALH-RD-M8x50</t>
  </si>
  <si>
    <t xml:space="preserve">ALH-RD-M8x55</t>
  </si>
  <si>
    <t xml:space="preserve">ALH-RD-M8x60</t>
  </si>
  <si>
    <t xml:space="preserve">ALH-RD-U14x12</t>
  </si>
  <si>
    <t xml:space="preserve">ALH-RD-U14x16</t>
  </si>
  <si>
    <t xml:space="preserve">ALH-SV-M10x10</t>
  </si>
  <si>
    <t xml:space="preserve">ALH-SV-M10x12</t>
  </si>
  <si>
    <t xml:space="preserve">ALH-SV-M10x15</t>
  </si>
  <si>
    <t xml:space="preserve">ALH-SV-M10x18</t>
  </si>
  <si>
    <t xml:space="preserve">ALH-SV-M10x20</t>
  </si>
  <si>
    <t xml:space="preserve">ALH-SV-M10x25</t>
  </si>
  <si>
    <t xml:space="preserve">ALH-SV-M10x30</t>
  </si>
  <si>
    <t xml:space="preserve">ALH-SV-M10x35</t>
  </si>
  <si>
    <t xml:space="preserve">ALH-SV-M10x40</t>
  </si>
  <si>
    <t xml:space="preserve">ALH-SV-M10x45</t>
  </si>
  <si>
    <t xml:space="preserve">ALH-SV-M10x50</t>
  </si>
  <si>
    <t xml:space="preserve">ALH-SV-M10x55</t>
  </si>
  <si>
    <t xml:space="preserve">ALH-SV-M10x60</t>
  </si>
  <si>
    <t xml:space="preserve">ALH-SV-M5x10</t>
  </si>
  <si>
    <t xml:space="preserve">ALH-SV-M5x100</t>
  </si>
  <si>
    <t xml:space="preserve">ALH-SV-M5x12</t>
  </si>
  <si>
    <t xml:space="preserve">ALH-SV-M5x15</t>
  </si>
  <si>
    <t xml:space="preserve">ALH-SV-M5x18</t>
  </si>
  <si>
    <t xml:space="preserve">ALH-SV-M5x20</t>
  </si>
  <si>
    <t xml:space="preserve">ALH-SV-M5x25</t>
  </si>
  <si>
    <t xml:space="preserve">ALH-SV-M5x30</t>
  </si>
  <si>
    <t xml:space="preserve">ALH-SV-M5x35</t>
  </si>
  <si>
    <t xml:space="preserve">ALH-SV-M5x40</t>
  </si>
  <si>
    <t xml:space="preserve">ALH-SV-M5x45</t>
  </si>
  <si>
    <t xml:space="preserve">ALH-SV-M5x50</t>
  </si>
  <si>
    <t xml:space="preserve">ALH-SV-M5x60</t>
  </si>
  <si>
    <t xml:space="preserve">ALH-SV-M5x70</t>
  </si>
  <si>
    <t xml:space="preserve">ALH-SV-M5x80</t>
  </si>
  <si>
    <t xml:space="preserve">ALH-SV-M5x90</t>
  </si>
  <si>
    <t xml:space="preserve">ALH-SV-M6x10</t>
  </si>
  <si>
    <t xml:space="preserve">ALH-SV-M6x12</t>
  </si>
  <si>
    <t xml:space="preserve">ALH-SV-M6x15</t>
  </si>
  <si>
    <t xml:space="preserve">ALH-SV-M6x18</t>
  </si>
  <si>
    <t xml:space="preserve">ALH-SV-M6x20</t>
  </si>
  <si>
    <t xml:space="preserve">ALH-SV-M6x25</t>
  </si>
  <si>
    <t xml:space="preserve">ALH-SV-M6x30</t>
  </si>
  <si>
    <t xml:space="preserve">ALH-SV-M6x35</t>
  </si>
  <si>
    <t xml:space="preserve">ALH-SV-M6x40</t>
  </si>
  <si>
    <t xml:space="preserve">ALH-SV-M6x45</t>
  </si>
  <si>
    <t xml:space="preserve">ALH-SV-M6x50</t>
  </si>
  <si>
    <t xml:space="preserve">ALH-SV-M6x55</t>
  </si>
  <si>
    <t xml:space="preserve">ALH-SV-M6x60</t>
  </si>
  <si>
    <t xml:space="preserve">ALH-SV-M8x10</t>
  </si>
  <si>
    <t xml:space="preserve">ALH-SV-M8x12</t>
  </si>
  <si>
    <t xml:space="preserve">ALH-SV-M8x15</t>
  </si>
  <si>
    <t xml:space="preserve">ALH-SV-M8x18</t>
  </si>
  <si>
    <t xml:space="preserve">ALH-SV-M8x20</t>
  </si>
  <si>
    <t xml:space="preserve">ALH-SV-M8x22</t>
  </si>
  <si>
    <t xml:space="preserve">ALH-SV-M8x25</t>
  </si>
  <si>
    <t xml:space="preserve">ALH-SV-M8x30</t>
  </si>
  <si>
    <t xml:space="preserve">ALH-SV-M8x35</t>
  </si>
  <si>
    <t xml:space="preserve">ALH-SV-M8x40</t>
  </si>
  <si>
    <t xml:space="preserve">ALH-SV-M8x45</t>
  </si>
  <si>
    <t xml:space="preserve">ALH-SV-M8x50</t>
  </si>
  <si>
    <t xml:space="preserve">ALH-SV-M8x55</t>
  </si>
  <si>
    <t xml:space="preserve">ALH-SV-M8x60</t>
  </si>
  <si>
    <t xml:space="preserve">304 Stainless Phillips Pan Head Machine Screw (GB818 / DIN967)  [Phillips Screws]</t>
  </si>
  <si>
    <t xml:space="preserve">GB818</t>
  </si>
  <si>
    <t xml:space="preserve">X818-M2.5x10-P39</t>
  </si>
  <si>
    <t xml:space="preserve">X818-M2.5x12-P35</t>
  </si>
  <si>
    <t xml:space="preserve">X818-M2.5x14-P32</t>
  </si>
  <si>
    <t xml:space="preserve">X818-M2.5x16-P30</t>
  </si>
  <si>
    <t xml:space="preserve">X818-M2.5x18-P28</t>
  </si>
  <si>
    <t xml:space="preserve">X818-M2.5x20-P24</t>
  </si>
  <si>
    <t xml:space="preserve">X818-M2.5x22-P22</t>
  </si>
  <si>
    <t xml:space="preserve">X818-M2.5x25-P22</t>
  </si>
  <si>
    <t xml:space="preserve">X818-M2.5x3-P39</t>
  </si>
  <si>
    <t xml:space="preserve">X818-M2.5x4-P43</t>
  </si>
  <si>
    <t xml:space="preserve">X818-M2.5x5-P47</t>
  </si>
  <si>
    <t xml:space="preserve">X818-M2.5x6-P45</t>
  </si>
  <si>
    <t xml:space="preserve">X818-M2.5x8-P43</t>
  </si>
  <si>
    <t xml:space="preserve">X818-M2x10-P52</t>
  </si>
  <si>
    <t xml:space="preserve">X818-M2x12-P48</t>
  </si>
  <si>
    <t xml:space="preserve">48 pcs</t>
  </si>
  <si>
    <t xml:space="preserve">X818-M2x14-P44</t>
  </si>
  <si>
    <t xml:space="preserve">44 pcs</t>
  </si>
  <si>
    <t xml:space="preserve">X818-M2x16-P35</t>
  </si>
  <si>
    <t xml:space="preserve">X818-M2x18-P27</t>
  </si>
  <si>
    <t xml:space="preserve">X818-M2x20-P29</t>
  </si>
  <si>
    <t xml:space="preserve">29 pcs</t>
  </si>
  <si>
    <t xml:space="preserve">X818-M2x22-P24</t>
  </si>
  <si>
    <t xml:space="preserve">X818-M2x25-P29</t>
  </si>
  <si>
    <t xml:space="preserve">X818-M2x3-P77</t>
  </si>
  <si>
    <t xml:space="preserve">77 pcs</t>
  </si>
  <si>
    <t xml:space="preserve">X818-M2x4-P68</t>
  </si>
  <si>
    <t xml:space="preserve">68 pcs</t>
  </si>
  <si>
    <t xml:space="preserve">X818-M2x5-P62</t>
  </si>
  <si>
    <t xml:space="preserve">X818-M2x6-P77</t>
  </si>
  <si>
    <t xml:space="preserve">X818-M2x8-P57</t>
  </si>
  <si>
    <t xml:space="preserve">57 pcs</t>
  </si>
  <si>
    <t xml:space="preserve">X818-M3x10-P100</t>
  </si>
  <si>
    <t xml:space="preserve">X818-M3x12-P32</t>
  </si>
  <si>
    <t xml:space="preserve">X818-M3x14-P26</t>
  </si>
  <si>
    <t xml:space="preserve">X818-M3x16-P29</t>
  </si>
  <si>
    <t xml:space="preserve">X818-M3x18-P22</t>
  </si>
  <si>
    <t xml:space="preserve">X818-M3x20-P24</t>
  </si>
  <si>
    <t xml:space="preserve">X818-M3x22-P18</t>
  </si>
  <si>
    <t xml:space="preserve">X818-M3x25-P15</t>
  </si>
  <si>
    <t xml:space="preserve">X818-M3x30-P14</t>
  </si>
  <si>
    <t xml:space="preserve">X818-M3x35-P12</t>
  </si>
  <si>
    <t xml:space="preserve">X818-M3x4-P34</t>
  </si>
  <si>
    <t xml:space="preserve">X818-M3x40-P11</t>
  </si>
  <si>
    <t xml:space="preserve">X818-M3x45-P10</t>
  </si>
  <si>
    <t xml:space="preserve">X818-M3x5-P37</t>
  </si>
  <si>
    <t xml:space="preserve">X818-M3x50-P9</t>
  </si>
  <si>
    <t xml:space="preserve">X818-M3x55-P7</t>
  </si>
  <si>
    <t xml:space="preserve">X818-M3x6-P44</t>
  </si>
  <si>
    <t xml:space="preserve">X818-M3x8-P100</t>
  </si>
  <si>
    <t xml:space="preserve">X818-M4x10-H6.3-P28</t>
  </si>
  <si>
    <t xml:space="preserve">head 6.3</t>
  </si>
  <si>
    <t xml:space="preserve">X818-M4x10-H8-P20</t>
  </si>
  <si>
    <t xml:space="preserve">head 8</t>
  </si>
  <si>
    <t xml:space="preserve">X818-M4x12-H6.3-P22</t>
  </si>
  <si>
    <t xml:space="preserve">X818-M4x12-H8-P18</t>
  </si>
  <si>
    <t xml:space="preserve">X818-M4x14-H6.3-P22</t>
  </si>
  <si>
    <t xml:space="preserve">X818-M4x14-H8-P17</t>
  </si>
  <si>
    <t xml:space="preserve">X818-M4x16-H6.3-P20</t>
  </si>
  <si>
    <t xml:space="preserve">X818-M4x16-H8-P16</t>
  </si>
  <si>
    <t xml:space="preserve">X818-M4x18-H8-P13</t>
  </si>
  <si>
    <t xml:space="preserve">X818-M4x20-H6.3-P17</t>
  </si>
  <si>
    <t xml:space="preserve">X818-M4x20-H8-P13</t>
  </si>
  <si>
    <t xml:space="preserve">X818-M4x22-H8-P12</t>
  </si>
  <si>
    <t xml:space="preserve">X818-M4x25-H6.3-P14</t>
  </si>
  <si>
    <t xml:space="preserve">X818-M4x25-H8-P11</t>
  </si>
  <si>
    <t xml:space="preserve">X818-M4x28-H8-P9</t>
  </si>
  <si>
    <t xml:space="preserve">X818-M4x30-H6.3-P13</t>
  </si>
  <si>
    <t xml:space="preserve">X818-M4x30-H8-P11</t>
  </si>
  <si>
    <t xml:space="preserve">X818-M4x35-H8-P8</t>
  </si>
  <si>
    <t xml:space="preserve">X818-M4x40-H8-P7</t>
  </si>
  <si>
    <t xml:space="preserve">X818-M4x45-H8-P7</t>
  </si>
  <si>
    <t xml:space="preserve">X818-M4x5-H8-P19</t>
  </si>
  <si>
    <t xml:space="preserve">X818-M4x50-H8-P6</t>
  </si>
  <si>
    <t xml:space="preserve">X818-M4x55-H8-P5</t>
  </si>
  <si>
    <t xml:space="preserve">X818-M4x6-H6.3-P37</t>
  </si>
  <si>
    <t xml:space="preserve">X818-M4x6-H8-P23</t>
  </si>
  <si>
    <t xml:space="preserve">X818-M4x60-H8-P5</t>
  </si>
  <si>
    <t xml:space="preserve">X818-M4x65-H8-P5</t>
  </si>
  <si>
    <t xml:space="preserve">X818-M4x70-H8-P4</t>
  </si>
  <si>
    <t xml:space="preserve">X818-M4x75-H8-P4</t>
  </si>
  <si>
    <t xml:space="preserve">X818-M4x8-H6.3-P32</t>
  </si>
  <si>
    <t xml:space="preserve">X818-M4x8-H8-P21</t>
  </si>
  <si>
    <t xml:space="preserve">X818-M4x80-H8-P4</t>
  </si>
  <si>
    <t xml:space="preserve">X818-M5x10-H7.7-P17</t>
  </si>
  <si>
    <t xml:space="preserve">head 7.7</t>
  </si>
  <si>
    <t xml:space="preserve">X818-M5x10-H9-P12</t>
  </si>
  <si>
    <t xml:space="preserve">head 9</t>
  </si>
  <si>
    <t xml:space="preserve">X818-M5x12-H7.7-P16</t>
  </si>
  <si>
    <t xml:space="preserve">X818-M5x12-H9-P11</t>
  </si>
  <si>
    <t xml:space="preserve">X818-M5x14-H7.7-P14</t>
  </si>
  <si>
    <t xml:space="preserve">X818-M5x14-H9-P11</t>
  </si>
  <si>
    <t xml:space="preserve">X818-M5x16-H7.7-P13</t>
  </si>
  <si>
    <t xml:space="preserve">X818-M5x16-H9-P10</t>
  </si>
  <si>
    <t xml:space="preserve">X818-M5x18-H9-P9</t>
  </si>
  <si>
    <t xml:space="preserve">X818-M5x20-H7.7-P11</t>
  </si>
  <si>
    <t xml:space="preserve">X818-M5x20-H9-P9</t>
  </si>
  <si>
    <t xml:space="preserve">X818-M5x22-H9-P7</t>
  </si>
  <si>
    <t xml:space="preserve">X818-M5x25-H7.7-P9</t>
  </si>
  <si>
    <t xml:space="preserve">X818-M5x25-H9-P8</t>
  </si>
  <si>
    <t xml:space="preserve">X818-M5x28-H9-P7</t>
  </si>
  <si>
    <t xml:space="preserve">X818-M5x30-H7.7-P8</t>
  </si>
  <si>
    <t xml:space="preserve">X818-M5x30-H9-P7</t>
  </si>
  <si>
    <t xml:space="preserve">X818-M5x32-H9-P6</t>
  </si>
  <si>
    <t xml:space="preserve">X818-M5x35-H9-P6</t>
  </si>
  <si>
    <t xml:space="preserve">X818-M5x40-H9-P6</t>
  </si>
  <si>
    <t xml:space="preserve">X818-M5x45-H9-P4</t>
  </si>
  <si>
    <t xml:space="preserve">X818-M5x50-H9-P4</t>
  </si>
  <si>
    <t xml:space="preserve">X818-M5x55-H9-P4</t>
  </si>
  <si>
    <t xml:space="preserve">X818-M5x6-H9-P12</t>
  </si>
  <si>
    <t xml:space="preserve">X818-M5x60-H9-P3</t>
  </si>
  <si>
    <t xml:space="preserve">X818-M5x65-H9-P3</t>
  </si>
  <si>
    <t xml:space="preserve">X818-M5x70-H9-P3</t>
  </si>
  <si>
    <t xml:space="preserve">X818-M5x75-H9-P3</t>
  </si>
  <si>
    <t xml:space="preserve">X818-M5x8-H7.7-P20</t>
  </si>
  <si>
    <t xml:space="preserve">X818-M5x8-H9-P13</t>
  </si>
  <si>
    <t xml:space="preserve">X818-M5x80-H9-P3</t>
  </si>
  <si>
    <t xml:space="preserve">X818-M5x85-H9-P3</t>
  </si>
  <si>
    <t xml:space="preserve">X818-M5x90-H9-P2</t>
  </si>
  <si>
    <t xml:space="preserve">X818-M5x95-H9-P2</t>
  </si>
  <si>
    <t xml:space="preserve">X967-M4x10-P14</t>
  </si>
  <si>
    <t xml:space="preserve">DIN967 with washer face</t>
  </si>
  <si>
    <t xml:space="preserve">X967-M4x12-P12</t>
  </si>
  <si>
    <t xml:space="preserve">X967-M4x14-P11</t>
  </si>
  <si>
    <t xml:space="preserve">X967-M4x16-P11</t>
  </si>
  <si>
    <t xml:space="preserve">X967-M4x20-P9</t>
  </si>
  <si>
    <t xml:space="preserve">X967-M4x25-P8</t>
  </si>
  <si>
    <t xml:space="preserve">X967-M4x30-P7</t>
  </si>
  <si>
    <t xml:space="preserve">X967-M4x5-P15</t>
  </si>
  <si>
    <t xml:space="preserve">X967-M4x6-P15</t>
  </si>
  <si>
    <t xml:space="preserve">X967-M4x8-P14</t>
  </si>
  <si>
    <t xml:space="preserve">X967-M5x10-P9</t>
  </si>
  <si>
    <t xml:space="preserve">X967-M5x12-P8</t>
  </si>
  <si>
    <t xml:space="preserve">X967-M5x16-P7</t>
  </si>
  <si>
    <t xml:space="preserve">X967-M5x20-P6</t>
  </si>
  <si>
    <t xml:space="preserve">X967-M5x25-P5</t>
  </si>
  <si>
    <t xml:space="preserve">X967-M5x30-P5</t>
  </si>
  <si>
    <t xml:space="preserve">X967-M5x6-P10</t>
  </si>
  <si>
    <t xml:space="preserve">X967-M5x8-P9</t>
  </si>
  <si>
    <t xml:space="preserve">304 Stainless Phillips Countersunk Screw GB819  [Phillips Screws]</t>
  </si>
  <si>
    <t xml:space="preserve">M3x10</t>
  </si>
  <si>
    <t xml:space="preserve">BN-010-M3x10-QY-P5</t>
  </si>
  <si>
    <t xml:space="preserve">BN-010-M3x45-QY-P10</t>
  </si>
  <si>
    <t xml:space="preserve">M3x45</t>
  </si>
  <si>
    <t xml:space="preserve">BN-010-M3x8-QY-P10</t>
  </si>
  <si>
    <t xml:space="preserve">M3x8</t>
  </si>
  <si>
    <t xml:space="preserve">BN-010-M4x16-P10</t>
  </si>
  <si>
    <t xml:space="preserve">M4x16</t>
  </si>
  <si>
    <t xml:space="preserve">BN-010-M4x40-QY-P5</t>
  </si>
  <si>
    <t xml:space="preserve">M4x40</t>
  </si>
  <si>
    <t xml:space="preserve">BN-010-M5x10-QY-P14</t>
  </si>
  <si>
    <t xml:space="preserve">304 Stainless Truss Head Self-Tapping Screw M5  [Phillips Screws]</t>
  </si>
  <si>
    <t xml:space="preserve">BN-017</t>
  </si>
  <si>
    <t xml:space="preserve">Nylon Phillips Countersunk Screw  [Phillips Screws]</t>
  </si>
  <si>
    <t xml:space="preserve">M6x10</t>
  </si>
  <si>
    <t xml:space="preserve">BN-012-M6x10-P2</t>
  </si>
  <si>
    <t xml:space="preserve">BN-012-M6x12-P2</t>
  </si>
  <si>
    <t xml:space="preserve">BN-012-M6x16-P10</t>
  </si>
  <si>
    <t xml:space="preserve">BN-012-M6x20-P5</t>
  </si>
  <si>
    <t xml:space="preserve">BN-012-M6x25-P2</t>
  </si>
  <si>
    <t xml:space="preserve">BN-012-M6x30-P10</t>
  </si>
  <si>
    <t xml:space="preserve">BN-012-M6x35-P10</t>
  </si>
  <si>
    <t xml:space="preserve">304 Stainless Flat Washer  [Washers &amp; Keys]</t>
  </si>
  <si>
    <t xml:space="preserve">2.5x5x0.5</t>
  </si>
  <si>
    <t xml:space="preserve">BN-022-2.5x5x0.5-BS-P5</t>
  </si>
  <si>
    <t xml:space="preserve">BN-022-2.5x6x0.5-BS-P5</t>
  </si>
  <si>
    <t xml:space="preserve">2.5x6x0.5</t>
  </si>
  <si>
    <t xml:space="preserve">BN-022-2.5x8x0.8-BS-P5</t>
  </si>
  <si>
    <t xml:space="preserve">2.5x8x0.8</t>
  </si>
  <si>
    <t xml:space="preserve">BN-022-2x5x0.5-BS-P26</t>
  </si>
  <si>
    <t xml:space="preserve">2x5x0.5</t>
  </si>
  <si>
    <t xml:space="preserve">BN-022-3x7x0.5-BS-P143</t>
  </si>
  <si>
    <t xml:space="preserve">143 pcs</t>
  </si>
  <si>
    <t xml:space="preserve">3x7x0.5</t>
  </si>
  <si>
    <t xml:space="preserve">BN-022-3x7x0.5-DHX-P77</t>
  </si>
  <si>
    <t xml:space="preserve">Black zinc</t>
  </si>
  <si>
    <t xml:space="preserve">BN-022-4x9x0.8-BS-P92</t>
  </si>
  <si>
    <t xml:space="preserve">92 pcs</t>
  </si>
  <si>
    <t xml:space="preserve">4x9x0.8</t>
  </si>
  <si>
    <t xml:space="preserve">BN-022-4x9x0.8-DHX-P77</t>
  </si>
  <si>
    <t xml:space="preserve">BN-022-5x10x0.5-DHX-P77</t>
  </si>
  <si>
    <t xml:space="preserve">5x10x0.5</t>
  </si>
  <si>
    <t xml:space="preserve">BN-022-5x10x1-BS-P70</t>
  </si>
  <si>
    <t xml:space="preserve">5x10x1</t>
  </si>
  <si>
    <t xml:space="preserve">BN-022-5x10x1-DHX-P39</t>
  </si>
  <si>
    <t xml:space="preserve">BN-022-5x12x1-BS-P43</t>
  </si>
  <si>
    <t xml:space="preserve">5x12x1</t>
  </si>
  <si>
    <t xml:space="preserve">BN-022-5x15x2-BS-P9</t>
  </si>
  <si>
    <t xml:space="preserve">5x15x2</t>
  </si>
  <si>
    <t xml:space="preserve">BN-022-5x8x1-BS-P10</t>
  </si>
  <si>
    <t xml:space="preserve">5x8x1</t>
  </si>
  <si>
    <t xml:space="preserve">BN-022-6x12x1-BS-P35</t>
  </si>
  <si>
    <t xml:space="preserve">6x12x1</t>
  </si>
  <si>
    <t xml:space="preserve">BN-022-6x12x1.5-DHX-P26</t>
  </si>
  <si>
    <t xml:space="preserve">6x12x1.5</t>
  </si>
  <si>
    <t xml:space="preserve">BN-022-6x12x1.6-BS-P35</t>
  </si>
  <si>
    <t xml:space="preserve">6x12x1.6</t>
  </si>
  <si>
    <t xml:space="preserve">BN-022-6x15x1-BS-P16</t>
  </si>
  <si>
    <t xml:space="preserve">6x15x1</t>
  </si>
  <si>
    <t xml:space="preserve">BN-022-6x15x1.5-BS-P14</t>
  </si>
  <si>
    <t xml:space="preserve">6x15x1.5</t>
  </si>
  <si>
    <t xml:space="preserve">BN-022-8x12x0.5-BS-P13</t>
  </si>
  <si>
    <t xml:space="preserve">8x12x0.5</t>
  </si>
  <si>
    <t xml:space="preserve">BN-022-8x14x1-BS-P7</t>
  </si>
  <si>
    <t xml:space="preserve">8x14x1</t>
  </si>
  <si>
    <t xml:space="preserve">BN-022-8x16x0.8-BS-P6</t>
  </si>
  <si>
    <t xml:space="preserve">8x16x0.8</t>
  </si>
  <si>
    <t xml:space="preserve">BN-022-8x16x1.5-BS-P13</t>
  </si>
  <si>
    <t xml:space="preserve">8x16x1.5</t>
  </si>
  <si>
    <t xml:space="preserve">BN-022-8x18x1.5-BS-P8</t>
  </si>
  <si>
    <t xml:space="preserve">8x18x1.5</t>
  </si>
  <si>
    <t xml:space="preserve">BN-022-8x20x3-BS-P7</t>
  </si>
  <si>
    <t xml:space="preserve">8x20x3</t>
  </si>
  <si>
    <t xml:space="preserve">304 Stainless Spring Lock Washer GB93  [Washers &amp; Keys]</t>
  </si>
  <si>
    <t xml:space="preserve">BN-011-M10-P50</t>
  </si>
  <si>
    <t xml:space="preserve">BN-011-M3-P100</t>
  </si>
  <si>
    <t xml:space="preserve">BN-011-M4-P100</t>
  </si>
  <si>
    <t xml:space="preserve">BN-011-M5-P50</t>
  </si>
  <si>
    <t xml:space="preserve">BN-011-M6-P100</t>
  </si>
  <si>
    <t xml:space="preserve">BN-011-M8-P10</t>
  </si>
  <si>
    <t xml:space="preserve">Hex Key (Nickel / Black)  [Washers &amp; Keys]</t>
  </si>
  <si>
    <t xml:space="preserve">1.5mm</t>
  </si>
  <si>
    <t xml:space="preserve">BN-013-YSBO-1.5-P100</t>
  </si>
  <si>
    <t xml:space="preserve">BN-013-YSBO-10</t>
  </si>
  <si>
    <t xml:space="preserve">BN-013-YSBO-2-P50</t>
  </si>
  <si>
    <t xml:space="preserve">BN-013-YSBO-2.5-P10</t>
  </si>
  <si>
    <t xml:space="preserve">BN-013-YSBO-3-P50</t>
  </si>
  <si>
    <t xml:space="preserve">BN-013-YSBO-4-P8</t>
  </si>
  <si>
    <t xml:space="preserve">BN-013-YSBO-5-P4</t>
  </si>
  <si>
    <t xml:space="preserve">BN-013-YSBO-6-P3</t>
  </si>
  <si>
    <t xml:space="preserve">BN-013-YSBO-8-P2</t>
  </si>
  <si>
    <t xml:space="preserve">BN-013-YSDX-2-P26</t>
  </si>
  <si>
    <t xml:space="preserve">BN-013-YSDX-2.5-P20</t>
  </si>
  <si>
    <t xml:space="preserve">BN-013-YSDX-3-P15</t>
  </si>
  <si>
    <t xml:space="preserve">BN-013-YSDX-4-P8</t>
  </si>
  <si>
    <t xml:space="preserve">BN-013-YSDX-5-P4</t>
  </si>
  <si>
    <t xml:space="preserve">BN-013-YSDX-6-P3</t>
  </si>
  <si>
    <t xml:space="preserve">BN-013-YSDX-8-P2</t>
  </si>
  <si>
    <t xml:space="preserve">BN-013-YSNI-1.5-P100</t>
  </si>
  <si>
    <t xml:space="preserve">Color: Nickel-plated</t>
  </si>
  <si>
    <t xml:space="preserve">BN-013-YSNI-10</t>
  </si>
  <si>
    <t xml:space="preserve">BN-013-YSNI-12</t>
  </si>
  <si>
    <t xml:space="preserve">BN-013-YSNI-2-P10</t>
  </si>
  <si>
    <t xml:space="preserve">BN-013-YSNI-2.5-P10</t>
  </si>
  <si>
    <t xml:space="preserve">BN-013-YSNI-3-P14</t>
  </si>
  <si>
    <t xml:space="preserve">BN-013-YSNI-4-P7</t>
  </si>
  <si>
    <t xml:space="preserve">BN-013-YSNI-5-P4</t>
  </si>
  <si>
    <t xml:space="preserve">BN-013-YSNI-6-P5</t>
  </si>
  <si>
    <t xml:space="preserve">BN-013-YSNI-8-P2</t>
  </si>
  <si>
    <t xml:space="preserve">Star Knob Thumb Screw (304 Stainless / Zinc Steel)  [Knob Screws]</t>
  </si>
  <si>
    <t xml:space="preserve">25mm handle</t>
  </si>
  <si>
    <t xml:space="preserve">STAR-SS-K25-M4x10-P5</t>
  </si>
  <si>
    <t xml:space="preserve">STAR-SS-K25-M4x12-P1</t>
  </si>
  <si>
    <t xml:space="preserve">STAR-SS-K25-M4x16-P1</t>
  </si>
  <si>
    <t xml:space="preserve">STAR-SS-K25-M4x20-P3</t>
  </si>
  <si>
    <t xml:space="preserve">STAR-SS-K25-M4x25-P3</t>
  </si>
  <si>
    <t xml:space="preserve">STAR-SS-K25-M4x30-P3</t>
  </si>
  <si>
    <t xml:space="preserve">STAR-SS-K25-M4x35-P2</t>
  </si>
  <si>
    <t xml:space="preserve">STAR-SS-K25-M4x40-P2</t>
  </si>
  <si>
    <t xml:space="preserve">STAR-SS-K25-M4x8-P1</t>
  </si>
  <si>
    <t xml:space="preserve">STAR-SS-K25-M5x10-P1</t>
  </si>
  <si>
    <t xml:space="preserve">STAR-SS-K25-M5x12-P1</t>
  </si>
  <si>
    <t xml:space="preserve">STAR-SS-K25-M5x16-P1</t>
  </si>
  <si>
    <t xml:space="preserve">STAR-SS-K25-M5x20-P1</t>
  </si>
  <si>
    <t xml:space="preserve">STAR-SS-K25-M5x25-P2</t>
  </si>
  <si>
    <t xml:space="preserve">STAR-SS-K25-M5x30-P2</t>
  </si>
  <si>
    <t xml:space="preserve">STAR-SS-K25-M5x35-P2</t>
  </si>
  <si>
    <t xml:space="preserve">STAR-SS-K25-M5x40-P2</t>
  </si>
  <si>
    <t xml:space="preserve">STAR-SS-K25-M5x45-P2</t>
  </si>
  <si>
    <t xml:space="preserve">STAR-SS-K25-M5x50-P2</t>
  </si>
  <si>
    <t xml:space="preserve">STAR-SS-K25-M5x8-P3</t>
  </si>
  <si>
    <t xml:space="preserve">STAR-SS-K25-M6x10-P2</t>
  </si>
  <si>
    <t xml:space="preserve">STAR-SS-K25-M6x12-P1</t>
  </si>
  <si>
    <t xml:space="preserve">STAR-SS-K25-M6x16-P5</t>
  </si>
  <si>
    <t xml:space="preserve">STAR-SS-K25-M6x20-P2</t>
  </si>
  <si>
    <t xml:space="preserve">STAR-SS-K25-M6x25-P2</t>
  </si>
  <si>
    <t xml:space="preserve">STAR-SS-K25-M6x30-P2</t>
  </si>
  <si>
    <t xml:space="preserve">STAR-SS-K25-M6x35-P2</t>
  </si>
  <si>
    <t xml:space="preserve">STAR-SS-K25-M6x40-P2</t>
  </si>
  <si>
    <t xml:space="preserve">STAR-SS-K25-M6x45-P2</t>
  </si>
  <si>
    <t xml:space="preserve">STAR-SS-K25-M6x50-P2</t>
  </si>
  <si>
    <t xml:space="preserve">STAR-SS-K25-M6x55-P2</t>
  </si>
  <si>
    <t xml:space="preserve">STAR-SS-K25-M6x60-P1</t>
  </si>
  <si>
    <t xml:space="preserve">STAR-SS-K25-M6x8-P3</t>
  </si>
  <si>
    <t xml:space="preserve">STAR-SS-K32-M5x10-P3</t>
  </si>
  <si>
    <t xml:space="preserve">32mm handle</t>
  </si>
  <si>
    <t xml:space="preserve">STAR-SS-K32-M5x12-P2</t>
  </si>
  <si>
    <t xml:space="preserve">STAR-SS-K32-M5x16-P2</t>
  </si>
  <si>
    <t xml:space="preserve">STAR-SS-K32-M5x20-P2</t>
  </si>
  <si>
    <t xml:space="preserve">STAR-SS-K32-M5x25-P2</t>
  </si>
  <si>
    <t xml:space="preserve">STAR-SS-K32-M5x30-P2</t>
  </si>
  <si>
    <t xml:space="preserve">STAR-SS-K32-M5x35-P2</t>
  </si>
  <si>
    <t xml:space="preserve">STAR-SS-K32-M5x40-P2</t>
  </si>
  <si>
    <t xml:space="preserve">STAR-SS-K32-M5x45-P2</t>
  </si>
  <si>
    <t xml:space="preserve">STAR-SS-K32-M5x50-P2</t>
  </si>
  <si>
    <t xml:space="preserve">STAR-SS-K32-M5x8-P3</t>
  </si>
  <si>
    <t xml:space="preserve">STAR-SS-K32-M6x10-P2</t>
  </si>
  <si>
    <t xml:space="preserve">STAR-SS-K32-M6x12-P2</t>
  </si>
  <si>
    <t xml:space="preserve">STAR-SS-K32-M6x16-P2</t>
  </si>
  <si>
    <t xml:space="preserve">STAR-SS-K32-M6x20-P2</t>
  </si>
  <si>
    <t xml:space="preserve">STAR-SS-K32-M6x25-P2</t>
  </si>
  <si>
    <t xml:space="preserve">STAR-SS-K32-M6x30-P2</t>
  </si>
  <si>
    <t xml:space="preserve">STAR-SS-K32-M6x35-P2</t>
  </si>
  <si>
    <t xml:space="preserve">STAR-SS-K32-M6x40-P2</t>
  </si>
  <si>
    <t xml:space="preserve">STAR-SS-K32-M6x45-P2</t>
  </si>
  <si>
    <t xml:space="preserve">STAR-SS-K32-M6x50-P2</t>
  </si>
  <si>
    <t xml:space="preserve">STAR-SS-K32-M6x55-P1</t>
  </si>
  <si>
    <t xml:space="preserve">STAR-SS-K32-M6x60-P1</t>
  </si>
  <si>
    <t xml:space="preserve">STAR-SS-K32-M6x70-P1</t>
  </si>
  <si>
    <t xml:space="preserve">STAR-SS-K32-M6x8-P2</t>
  </si>
  <si>
    <t xml:space="preserve">STAR-SS-K32-M8x10-P2</t>
  </si>
  <si>
    <t xml:space="preserve">STAR-SS-K32-M8x12-P2</t>
  </si>
  <si>
    <t xml:space="preserve">STAR-SS-K32-M8x16-P2</t>
  </si>
  <si>
    <t xml:space="preserve">STAR-SS-K32-M8x20-P2</t>
  </si>
  <si>
    <t xml:space="preserve">STAR-SS-K32-M8x25-P2</t>
  </si>
  <si>
    <t xml:space="preserve">STAR-SS-K32-M8x30-P2</t>
  </si>
  <si>
    <t xml:space="preserve">STAR-SS-K32-M8x35-P2</t>
  </si>
  <si>
    <t xml:space="preserve">STAR-SS-K32-M8x40-P2</t>
  </si>
  <si>
    <t xml:space="preserve">STAR-SS-K32-M8x45-P2</t>
  </si>
  <si>
    <t xml:space="preserve">STAR-SS-K32-M8x50-P2</t>
  </si>
  <si>
    <t xml:space="preserve">STAR-SS-K32-M8x55-P1</t>
  </si>
  <si>
    <t xml:space="preserve">STAR-SS-K32-M8x60-P1</t>
  </si>
  <si>
    <t xml:space="preserve">STAR-SS-K32-M8x70-P1</t>
  </si>
  <si>
    <t xml:space="preserve">STAR-SS-K38-M10x12-P1</t>
  </si>
  <si>
    <t xml:space="preserve">38mm handle</t>
  </si>
  <si>
    <t xml:space="preserve">STAR-SS-K38-M10x16-P1</t>
  </si>
  <si>
    <t xml:space="preserve">STAR-SS-K38-M10x20-P1</t>
  </si>
  <si>
    <t xml:space="preserve">STAR-SS-K38-M10x25-P1</t>
  </si>
  <si>
    <t xml:space="preserve">STAR-SS-K38-M10x30-P1</t>
  </si>
  <si>
    <t xml:space="preserve">STAR-SS-K38-M10x35-P1</t>
  </si>
  <si>
    <t xml:space="preserve">STAR-SS-K38-M10x40-P1</t>
  </si>
  <si>
    <t xml:space="preserve">STAR-SS-K38-M10x45-P1</t>
  </si>
  <si>
    <t xml:space="preserve">STAR-SS-K38-M10x50-P1</t>
  </si>
  <si>
    <t xml:space="preserve">STAR-SS-K38-M10x55-P1</t>
  </si>
  <si>
    <t xml:space="preserve">STAR-SS-K38-M10x60-P1</t>
  </si>
  <si>
    <t xml:space="preserve">STAR-SS-K38-M10x70-P1</t>
  </si>
  <si>
    <t xml:space="preserve">STAR-SS-K38-M10x80-P1</t>
  </si>
  <si>
    <t xml:space="preserve">STAR-SS-K38-M6x12-P2</t>
  </si>
  <si>
    <t xml:space="preserve">STAR-SS-K38-M6x16-P2</t>
  </si>
  <si>
    <t xml:space="preserve">STAR-SS-K38-M6x20-P2</t>
  </si>
  <si>
    <t xml:space="preserve">STAR-SS-K38-M6x25-P2</t>
  </si>
  <si>
    <t xml:space="preserve">STAR-SS-K38-M6x30-P2</t>
  </si>
  <si>
    <t xml:space="preserve">STAR-SS-K38-M6x35-P2</t>
  </si>
  <si>
    <t xml:space="preserve">STAR-SS-K38-M6x40-P2</t>
  </si>
  <si>
    <t xml:space="preserve">STAR-SS-K38-M6x45-P2</t>
  </si>
  <si>
    <t xml:space="preserve">STAR-SS-K38-M6x50-P1</t>
  </si>
  <si>
    <t xml:space="preserve">STAR-SS-K38-M6x60-P1</t>
  </si>
  <si>
    <t xml:space="preserve">STAR-SS-K38-M6x70-P1</t>
  </si>
  <si>
    <t xml:space="preserve">STAR-SS-K38-M8x10-P2</t>
  </si>
  <si>
    <t xml:space="preserve">STAR-SS-K38-M8x12-P2</t>
  </si>
  <si>
    <t xml:space="preserve">STAR-SS-K38-M8x16-P2</t>
  </si>
  <si>
    <t xml:space="preserve">STAR-SS-K38-M8x20-P2</t>
  </si>
  <si>
    <t xml:space="preserve">STAR-SS-K38-M8x25-P2</t>
  </si>
  <si>
    <t xml:space="preserve">STAR-SS-K38-M8x30-P2</t>
  </si>
  <si>
    <t xml:space="preserve">STAR-SS-K38-M8x35-P1</t>
  </si>
  <si>
    <t xml:space="preserve">STAR-SS-K38-M8x40-P1</t>
  </si>
  <si>
    <t xml:space="preserve">STAR-SS-K38-M8x45-P1</t>
  </si>
  <si>
    <t xml:space="preserve">STAR-SS-K38-M8x50-P1</t>
  </si>
  <si>
    <t xml:space="preserve">STAR-SS-K38-M8x55-P1</t>
  </si>
  <si>
    <t xml:space="preserve">STAR-SS-K38-M8x60-P1</t>
  </si>
  <si>
    <t xml:space="preserve">STAR-SS-K38-M8x70-P1</t>
  </si>
  <si>
    <t xml:space="preserve">STAR-SS-K38-M8x80-P1</t>
  </si>
  <si>
    <t xml:space="preserve">STAR-SS-K48-M10x20-P1</t>
  </si>
  <si>
    <t xml:space="preserve">48mm handle</t>
  </si>
  <si>
    <t xml:space="preserve">STAR-SS-K48-M10x25-P1</t>
  </si>
  <si>
    <t xml:space="preserve">STAR-SS-K48-M10x30-P1</t>
  </si>
  <si>
    <t xml:space="preserve">STAR-SS-K48-M10x35-P1</t>
  </si>
  <si>
    <t xml:space="preserve">STAR-SS-K48-M10x40-P1</t>
  </si>
  <si>
    <t xml:space="preserve">STAR-SS-K48-M10x45-P1</t>
  </si>
  <si>
    <t xml:space="preserve">STAR-SS-K48-M10x50-P1</t>
  </si>
  <si>
    <t xml:space="preserve">STAR-SS-K48-M10x60-P1</t>
  </si>
  <si>
    <t xml:space="preserve">STAR-SS-K48-M10x70-P1</t>
  </si>
  <si>
    <t xml:space="preserve">STAR-SS-K48-M10x80-P1</t>
  </si>
  <si>
    <t xml:space="preserve">STAR-SS-K48-M12x25-P1</t>
  </si>
  <si>
    <t xml:space="preserve">STAR-SS-K48-M12x30-P1</t>
  </si>
  <si>
    <t xml:space="preserve">STAR-SS-K48-M12x35-P1</t>
  </si>
  <si>
    <t xml:space="preserve">STAR-SS-K48-M12x40-P1</t>
  </si>
  <si>
    <t xml:space="preserve">STAR-SS-K48-M12x45-P1</t>
  </si>
  <si>
    <t xml:space="preserve">STAR-SS-K48-M12x50-P1</t>
  </si>
  <si>
    <t xml:space="preserve">STAR-SS-K48-M12x60-P1</t>
  </si>
  <si>
    <t xml:space="preserve">STAR-SS-K48-M12x70-P1</t>
  </si>
  <si>
    <t xml:space="preserve">STAR-SS-K48-M12x80-P1</t>
  </si>
  <si>
    <t xml:space="preserve">STAR-SS-K48-M8x16-P1</t>
  </si>
  <si>
    <t xml:space="preserve">STAR-SS-K48-M8x20-P1</t>
  </si>
  <si>
    <t xml:space="preserve">STAR-SS-K48-M8x25-P1</t>
  </si>
  <si>
    <t xml:space="preserve">STAR-SS-K48-M8x30-P1</t>
  </si>
  <si>
    <t xml:space="preserve">STAR-SS-K48-M8x35-P1</t>
  </si>
  <si>
    <t xml:space="preserve">STAR-SS-K48-M8x40-P1</t>
  </si>
  <si>
    <t xml:space="preserve">STAR-SS-K48-M8x45-P1</t>
  </si>
  <si>
    <t xml:space="preserve">STAR-SS-K48-M8x50-P1</t>
  </si>
  <si>
    <t xml:space="preserve">STAR-SS-K48-M8x60-P1</t>
  </si>
  <si>
    <t xml:space="preserve">STAR-SS-K48-M8x70-P1</t>
  </si>
  <si>
    <t xml:space="preserve">STAR-SS-K48-M8x80-P1</t>
  </si>
  <si>
    <t xml:space="preserve">STAR-ZN-K25-M4x10-P5</t>
  </si>
  <si>
    <t xml:space="preserve">STAR-ZN-K25-M4x12-P5</t>
  </si>
  <si>
    <t xml:space="preserve">STAR-ZN-K25-M4x16-P5</t>
  </si>
  <si>
    <t xml:space="preserve">STAR-ZN-K25-M4x20-P5</t>
  </si>
  <si>
    <t xml:space="preserve">STAR-ZN-K25-M4x25-P5</t>
  </si>
  <si>
    <t xml:space="preserve">STAR-ZN-K25-M4x30-P4</t>
  </si>
  <si>
    <t xml:space="preserve">STAR-ZN-K25-M4x35-P4</t>
  </si>
  <si>
    <t xml:space="preserve">STAR-ZN-K25-M4x40-P3</t>
  </si>
  <si>
    <t xml:space="preserve">STAR-ZN-K25-M4x8-P5</t>
  </si>
  <si>
    <t xml:space="preserve">STAR-ZN-K25-M5x10-P4</t>
  </si>
  <si>
    <t xml:space="preserve">STAR-ZN-K25-M5x12-P4</t>
  </si>
  <si>
    <t xml:space="preserve">STAR-ZN-K25-M5x16-P4</t>
  </si>
  <si>
    <t xml:space="preserve">STAR-ZN-K25-M5x20-P4</t>
  </si>
  <si>
    <t xml:space="preserve">STAR-ZN-K25-M5x25-P4</t>
  </si>
  <si>
    <t xml:space="preserve">STAR-ZN-K25-M5x30-P4</t>
  </si>
  <si>
    <t xml:space="preserve">STAR-ZN-K25-M5x35-P4</t>
  </si>
  <si>
    <t xml:space="preserve">STAR-ZN-K25-M5x40-P3</t>
  </si>
  <si>
    <t xml:space="preserve">STAR-ZN-K25-M5x45-P3</t>
  </si>
  <si>
    <t xml:space="preserve">STAR-ZN-K25-M5x50-P3</t>
  </si>
  <si>
    <t xml:space="preserve">STAR-ZN-K25-M5x8-P4</t>
  </si>
  <si>
    <t xml:space="preserve">STAR-ZN-K25-M6x10-P4</t>
  </si>
  <si>
    <t xml:space="preserve">STAR-ZN-K25-M6x12-P4</t>
  </si>
  <si>
    <t xml:space="preserve">STAR-ZN-K25-M6x16-P4</t>
  </si>
  <si>
    <t xml:space="preserve">STAR-ZN-K25-M6x18-P4</t>
  </si>
  <si>
    <t xml:space="preserve">STAR-ZN-K25-M6x20-P4</t>
  </si>
  <si>
    <t xml:space="preserve">STAR-ZN-K25-M6x25-P4</t>
  </si>
  <si>
    <t xml:space="preserve">STAR-ZN-K25-M6x30-P4</t>
  </si>
  <si>
    <t xml:space="preserve">STAR-ZN-K25-M6x35-P3</t>
  </si>
  <si>
    <t xml:space="preserve">STAR-ZN-K25-M6x40-P3</t>
  </si>
  <si>
    <t xml:space="preserve">STAR-ZN-K25-M6x45-P3</t>
  </si>
  <si>
    <t xml:space="preserve">STAR-ZN-K25-M6x50-P3</t>
  </si>
  <si>
    <t xml:space="preserve">STAR-ZN-K25-M6x55-P3</t>
  </si>
  <si>
    <t xml:space="preserve">STAR-ZN-K25-M6x60-P2</t>
  </si>
  <si>
    <t xml:space="preserve">STAR-ZN-K25-M6x8-P4</t>
  </si>
  <si>
    <t xml:space="preserve">STAR-ZN-K32-M5x10-P3</t>
  </si>
  <si>
    <t xml:space="preserve">STAR-ZN-K32-M5x12-P3</t>
  </si>
  <si>
    <t xml:space="preserve">STAR-ZN-K32-M5x16-P3</t>
  </si>
  <si>
    <t xml:space="preserve">STAR-ZN-K32-M5x20-P3</t>
  </si>
  <si>
    <t xml:space="preserve">STAR-ZN-K32-M5x25-P3</t>
  </si>
  <si>
    <t xml:space="preserve">STAR-ZN-K32-M5x30-P3</t>
  </si>
  <si>
    <t xml:space="preserve">STAR-ZN-K32-M5x35-P3</t>
  </si>
  <si>
    <t xml:space="preserve">STAR-ZN-K32-M5x40-P3</t>
  </si>
  <si>
    <t xml:space="preserve">STAR-ZN-K32-M5x45-P2</t>
  </si>
  <si>
    <t xml:space="preserve">STAR-ZN-K32-M5x50-P2</t>
  </si>
  <si>
    <t xml:space="preserve">STAR-ZN-K32-M5x8-P3</t>
  </si>
  <si>
    <t xml:space="preserve">STAR-ZN-K32-M6x10-P3</t>
  </si>
  <si>
    <t xml:space="preserve">STAR-ZN-K32-M6x12-P3</t>
  </si>
  <si>
    <t xml:space="preserve">STAR-ZN-K32-M6x16-P3</t>
  </si>
  <si>
    <t xml:space="preserve">STAR-ZN-K32-M6x20-P3</t>
  </si>
  <si>
    <t xml:space="preserve">STAR-ZN-K32-M6x25-P3</t>
  </si>
  <si>
    <t xml:space="preserve">STAR-ZN-K32-M6x30-P3</t>
  </si>
  <si>
    <t xml:space="preserve">STAR-ZN-K32-M6x35-P3</t>
  </si>
  <si>
    <t xml:space="preserve">STAR-ZN-K32-M6x40-P3</t>
  </si>
  <si>
    <t xml:space="preserve">STAR-ZN-K32-M6x8-P3</t>
  </si>
  <si>
    <t xml:space="preserve">304 Stainless Knob Handle Screw  [Threaded Rods / Hex Bolts]</t>
  </si>
  <si>
    <t xml:space="preserve">BN-024</t>
  </si>
  <si>
    <t xml:space="preserve">304 Stainless Threaded Rod DIN976  [Threaded Rods / Hex Bolts]</t>
  </si>
  <si>
    <t xml:space="preserve">x90</t>
  </si>
  <si>
    <t xml:space="preserve">BN-002-LH-x90</t>
  </si>
  <si>
    <t xml:space="preserve">BN-002-x80-P2</t>
  </si>
  <si>
    <t xml:space="preserve">x80</t>
  </si>
  <si>
    <t xml:space="preserve">BN-002-x90-P2</t>
  </si>
  <si>
    <t xml:space="preserve">BN-002-x97</t>
  </si>
  <si>
    <t xml:space="preserve">x97</t>
  </si>
  <si>
    <t xml:space="preserve">Stainless Wing Screw DIN316 M3  [Threaded Rods / Hex Bolts]</t>
  </si>
  <si>
    <t xml:space="preserve">BN-016</t>
  </si>
  <si>
    <t xml:space="preserve">Zinc Carbon Steel Hex Bolt M6  [Threaded Rods / Hex Bolts]</t>
  </si>
  <si>
    <t xml:space="preserve">BN-019</t>
  </si>
  <si>
    <t xml:space="preserve">304 Stainless Hex Nut DIN934  [Nuts]</t>
  </si>
  <si>
    <t xml:space="preserve">BN-005-M1.6-P10</t>
  </si>
  <si>
    <t xml:space="preserve">BN-005-M10-P10</t>
  </si>
  <si>
    <t xml:space="preserve">BN-005-M2-P10</t>
  </si>
  <si>
    <t xml:space="preserve">BN-005-M2.5-P10</t>
  </si>
  <si>
    <t xml:space="preserve">BN-005-M3-P50</t>
  </si>
  <si>
    <t xml:space="preserve">BN-005-M4-P5</t>
  </si>
  <si>
    <t xml:space="preserve">BN-005-M5-P10</t>
  </si>
  <si>
    <t xml:space="preserve">BN-005-M6-P20</t>
  </si>
  <si>
    <t xml:space="preserve">BN-005-M8-P10</t>
  </si>
  <si>
    <t xml:space="preserve">304 Stainless Heavy Hex Nut GB6175  [Nuts]</t>
  </si>
  <si>
    <t xml:space="preserve">BN-014</t>
  </si>
  <si>
    <t xml:space="preserve">304 Stainless Nylon Lock Nut DIN985  [Nuts]</t>
  </si>
  <si>
    <t xml:space="preserve">RH M5</t>
  </si>
  <si>
    <t xml:space="preserve">BN-004-BK-M5-P10</t>
  </si>
  <si>
    <t xml:space="preserve">BN-004-LH-M5-P20</t>
  </si>
  <si>
    <t xml:space="preserve">LH M5</t>
  </si>
  <si>
    <t xml:space="preserve">BN-004-M10x1-F-P3</t>
  </si>
  <si>
    <t xml:space="preserve">RH fine</t>
  </si>
  <si>
    <t xml:space="preserve">BN-004-M10x1.25-F-P3</t>
  </si>
  <si>
    <t xml:space="preserve">BN-004-M10x1.5-P3</t>
  </si>
  <si>
    <t xml:space="preserve">BN-004-M12-P10</t>
  </si>
  <si>
    <t xml:space="preserve">RH M12</t>
  </si>
  <si>
    <t xml:space="preserve">BN-004-M14</t>
  </si>
  <si>
    <t xml:space="preserve">RH M14</t>
  </si>
  <si>
    <t xml:space="preserve">BN-004-M16</t>
  </si>
  <si>
    <t xml:space="preserve">RH M16</t>
  </si>
  <si>
    <t xml:space="preserve">BN-004-M18</t>
  </si>
  <si>
    <t xml:space="preserve">RH M18</t>
  </si>
  <si>
    <t xml:space="preserve">BN-004-M2-P10</t>
  </si>
  <si>
    <t xml:space="preserve">RH M2</t>
  </si>
  <si>
    <t xml:space="preserve">BN-004-M2.5-P10</t>
  </si>
  <si>
    <t xml:space="preserve">RH M2.5</t>
  </si>
  <si>
    <t xml:space="preserve">BN-004-M20</t>
  </si>
  <si>
    <t xml:space="preserve">RH M20</t>
  </si>
  <si>
    <t xml:space="preserve">BN-004-M3-P100</t>
  </si>
  <si>
    <t xml:space="preserve">RH M3</t>
  </si>
  <si>
    <t xml:space="preserve">BN-004-M4-P10</t>
  </si>
  <si>
    <t xml:space="preserve">RH M4</t>
  </si>
  <si>
    <t xml:space="preserve">BN-004-M5-P10</t>
  </si>
  <si>
    <t xml:space="preserve">BN-004-M6-P10</t>
  </si>
  <si>
    <t xml:space="preserve">RH M6</t>
  </si>
  <si>
    <t xml:space="preserve">BN-004-M8-P10</t>
  </si>
  <si>
    <t xml:space="preserve">RH M8</t>
  </si>
  <si>
    <t xml:space="preserve">304 Stainless Thin Nut DIN439  [Nuts]</t>
  </si>
  <si>
    <t xml:space="preserve">Fine thread M10×1, AF 16, H 5 (5 pcs)</t>
  </si>
  <si>
    <t xml:space="preserve">BN-007-F-M10x1-B16-H5-P5</t>
  </si>
  <si>
    <t xml:space="preserve">BN-007-F-M10x1-B16-H8.2-P4</t>
  </si>
  <si>
    <t xml:space="preserve">Fine thread M10×1, AF 16, H 8.2 (4 pcs)</t>
  </si>
  <si>
    <t xml:space="preserve">BN-007-F-M10x1-B17-H5-P4</t>
  </si>
  <si>
    <t xml:space="preserve">Fine thread M10×1, AF 17, H 5 (4 pcs)</t>
  </si>
  <si>
    <t xml:space="preserve">BN-007-F-M10x1-B17-H8-P4</t>
  </si>
  <si>
    <t xml:space="preserve">Fine thread M10×1, AF 17, H 8 (4 pcs)</t>
  </si>
  <si>
    <t xml:space="preserve">BN-007-F-M10x1.25-B16-H5-P5</t>
  </si>
  <si>
    <t xml:space="preserve">Fine thread M10×1.25, AF 16, H 5 (5 pcs)</t>
  </si>
  <si>
    <t xml:space="preserve">BN-007-F-M10x1.25-B16-H8.2-P4</t>
  </si>
  <si>
    <t xml:space="preserve">Fine thread M10×1.25, AF 16, H 8.2 (4 pcs)</t>
  </si>
  <si>
    <t xml:space="preserve">BN-007-F-M10x1.25-B17-H5-P4</t>
  </si>
  <si>
    <t xml:space="preserve">Fine thread M10×1.25, AF 17, H 5 (4 pcs)</t>
  </si>
  <si>
    <t xml:space="preserve">BN-007-F-M10x1.25-B17-H8-P4</t>
  </si>
  <si>
    <t xml:space="preserve">Fine thread M10×1.25, AF 17, H 8 (4 pcs)</t>
  </si>
  <si>
    <t xml:space="preserve">BN-007-F-M6x0.75-B10-H5-P14</t>
  </si>
  <si>
    <t xml:space="preserve">Fine thread M6×0.75, AF 10, H 5 (14 pcs)</t>
  </si>
  <si>
    <t xml:space="preserve">BN-007-F-M8x0.75-B13-H4-P9</t>
  </si>
  <si>
    <t xml:space="preserve">Fine thread M8×0.75, AF 13, H 4 (9 pcs)</t>
  </si>
  <si>
    <t xml:space="preserve">BN-007-F-M8x1-B13-H4-P9</t>
  </si>
  <si>
    <t xml:space="preserve">Fine thread M8×1, AF 13, H 4 (9 pcs)</t>
  </si>
  <si>
    <t xml:space="preserve">BN-007-F-M8x1-B13-H6.2-P7</t>
  </si>
  <si>
    <t xml:space="preserve">Fine thread M8×1, AF 13, H 6.2 (7 pcs)</t>
  </si>
  <si>
    <t xml:space="preserve">BN-007-F-M8x1-B14-H6-P6</t>
  </si>
  <si>
    <t xml:space="preserve">Fine thread M8×1, AF 14, H 6 (6 pcs)</t>
  </si>
  <si>
    <t xml:space="preserve">BN-007-M10x1.5-B16-H5-P6</t>
  </si>
  <si>
    <t xml:space="preserve">M10×1.5, AF 16, H 5 (6 pcs)</t>
  </si>
  <si>
    <t xml:space="preserve">BN-007-M10x1.5-B17-H5-P5</t>
  </si>
  <si>
    <t xml:space="preserve">M10×1.5, AF 17, H 5 (5 pcs)</t>
  </si>
  <si>
    <t xml:space="preserve">BN-007-M12x1.75-B18-H6-P4</t>
  </si>
  <si>
    <t xml:space="preserve">M12×1.75, AF 18, H 6 (4 pcs)</t>
  </si>
  <si>
    <t xml:space="preserve">BN-007-M12x1.75-B19-H6-P4</t>
  </si>
  <si>
    <t xml:space="preserve">M12×1.75, AF 19, H 6 (4 pcs)</t>
  </si>
  <si>
    <t xml:space="preserve">BN-007-M14x2-B22-H7-P3</t>
  </si>
  <si>
    <t xml:space="preserve">M14×2, AF 22, H 7 (3 pcs)</t>
  </si>
  <si>
    <t xml:space="preserve">BN-007-M16x2-B24-H8-P2</t>
  </si>
  <si>
    <t xml:space="preserve">M16×2, AF 24, H 8 (2 pcs)</t>
  </si>
  <si>
    <t xml:space="preserve">BN-007-M18x2.5-B27-H9-P2</t>
  </si>
  <si>
    <t xml:space="preserve">M18×2.5, AF 27, H 9 (2 pcs)</t>
  </si>
  <si>
    <t xml:space="preserve">BN-007-M20x2.5-B30-H10-P1</t>
  </si>
  <si>
    <t xml:space="preserve">M20×2.5, AF 30, H 10 (1 pc)</t>
  </si>
  <si>
    <t xml:space="preserve">BN-007-M22x2.5-B32-H11-P1</t>
  </si>
  <si>
    <t xml:space="preserve">M22×2.5, AF 32, H 11 (1 pc)</t>
  </si>
  <si>
    <t xml:space="preserve">BN-007-M24x3-B36-H12-P1</t>
  </si>
  <si>
    <t xml:space="preserve">M24×3, AF 36, H 12 (1 pc)</t>
  </si>
  <si>
    <t xml:space="preserve">BN-007-M4x0.7-B7-H2.2-P30</t>
  </si>
  <si>
    <t xml:space="preserve">M4×0.7, AF 7, H 2.2 (30 pcs)</t>
  </si>
  <si>
    <t xml:space="preserve">BN-007-M5x0.8-B8-H2.7-P31</t>
  </si>
  <si>
    <t xml:space="preserve">M5×0.8, AF 8, H 2.7 (31 pcs)</t>
  </si>
  <si>
    <t xml:space="preserve">BN-007-M6x1-B10-H3.2-P10</t>
  </si>
  <si>
    <t xml:space="preserve">M6×1, AF 10, H 3.2 (10 pcs)</t>
  </si>
  <si>
    <t xml:space="preserve">BN-007-M8x1.25-B13-H4-P10</t>
  </si>
  <si>
    <t xml:space="preserve">M8×1.25, AF 13, H 4 (10 pcs)</t>
  </si>
  <si>
    <t xml:space="preserve">304 Stainless Wing Nut DIN315  [Nuts]</t>
  </si>
  <si>
    <t xml:space="preserve">BN-018-M10-P2</t>
  </si>
  <si>
    <t xml:space="preserve">BN-018-M12</t>
  </si>
  <si>
    <t xml:space="preserve">BN-018-M3-P5</t>
  </si>
  <si>
    <t xml:space="preserve">BN-018-M4-P7</t>
  </si>
  <si>
    <t xml:space="preserve">BN-018-M5-P6</t>
  </si>
  <si>
    <t xml:space="preserve">BN-018-M6-P4</t>
  </si>
  <si>
    <t xml:space="preserve">BN-018-M8-P3</t>
  </si>
  <si>
    <t xml:space="preserve">GB806 Knurled Step Thumb Nut  [Nuts]</t>
  </si>
  <si>
    <t xml:space="preserve">303 Stainless M3</t>
  </si>
  <si>
    <t xml:space="preserve">BN-003-303SSM3-P2</t>
  </si>
  <si>
    <t xml:space="preserve">BN-003-304SSM10</t>
  </si>
  <si>
    <t xml:space="preserve">304 Stainless M10</t>
  </si>
  <si>
    <t xml:space="preserve">BN-003-304SSM12</t>
  </si>
  <si>
    <t xml:space="preserve">304 Stainless M12</t>
  </si>
  <si>
    <t xml:space="preserve">BN-003-304SSM16</t>
  </si>
  <si>
    <t xml:space="preserve">304 Stainless M16</t>
  </si>
  <si>
    <t xml:space="preserve">BN-003-304SSM2</t>
  </si>
  <si>
    <t xml:space="preserve">304 Stainless M2</t>
  </si>
  <si>
    <t xml:space="preserve">BN-003-304SSM2.5-P2</t>
  </si>
  <si>
    <t xml:space="preserve">304 Stainless M2.5</t>
  </si>
  <si>
    <t xml:space="preserve">BN-003-304SSM4-P2</t>
  </si>
  <si>
    <t xml:space="preserve">304 Stainless M4</t>
  </si>
  <si>
    <t xml:space="preserve">BN-003-304SSM5</t>
  </si>
  <si>
    <t xml:space="preserve">304 Stainless M5</t>
  </si>
  <si>
    <t xml:space="preserve">BN-003-304SSM6</t>
  </si>
  <si>
    <t xml:space="preserve">304 Stainless M6</t>
  </si>
  <si>
    <t xml:space="preserve">BN-003-304SSM8</t>
  </si>
  <si>
    <t xml:space="preserve">304 Stainless M8</t>
  </si>
  <si>
    <t xml:space="preserve">BN-003-DHXM10-P2</t>
  </si>
  <si>
    <t xml:space="preserve">Black zinc M10</t>
  </si>
  <si>
    <t xml:space="preserve">BN-003-DHXM4-P5</t>
  </si>
  <si>
    <t xml:space="preserve">Black zinc M4</t>
  </si>
  <si>
    <t xml:space="preserve">BN-003-DHXM5-P4</t>
  </si>
  <si>
    <t xml:space="preserve">Black zinc M5</t>
  </si>
  <si>
    <t xml:space="preserve">BN-003-DHXM6-P2</t>
  </si>
  <si>
    <t xml:space="preserve">Black zinc M6</t>
  </si>
  <si>
    <t xml:space="preserve">BN-003-DHXM8-P2</t>
  </si>
  <si>
    <t xml:space="preserve">Black zinc M8</t>
  </si>
  <si>
    <t xml:space="preserve">BN-003-DLBXM10-P2</t>
  </si>
  <si>
    <t xml:space="preserve">Blue-white zinc M10</t>
  </si>
  <si>
    <t xml:space="preserve">BN-003-DLBXM3-P6</t>
  </si>
  <si>
    <t xml:space="preserve">Blue-white zinc M3</t>
  </si>
  <si>
    <t xml:space="preserve">BN-003-DLBXM4-P6</t>
  </si>
  <si>
    <t xml:space="preserve">Blue-white zinc M4</t>
  </si>
  <si>
    <t xml:space="preserve">BN-003-DLBXM5-P5</t>
  </si>
  <si>
    <t xml:space="preserve">Blue-white zinc M5</t>
  </si>
  <si>
    <t xml:space="preserve">BN-003-DLBXM6-P4</t>
  </si>
  <si>
    <t xml:space="preserve">Blue-white zinc M6</t>
  </si>
  <si>
    <t xml:space="preserve">BN-003-DLBXM8-P2</t>
  </si>
  <si>
    <t xml:space="preserve">Blue-white zinc M8 </t>
  </si>
  <si>
    <t xml:space="preserve">BN-003-LH-304SSM10</t>
  </si>
  <si>
    <t xml:space="preserve">LH 304 Stainless M10</t>
  </si>
  <si>
    <t xml:space="preserve">BN-003-LH-304SSM12</t>
  </si>
  <si>
    <t xml:space="preserve">LH 304 Stainless M12</t>
  </si>
  <si>
    <t xml:space="preserve">BN-003-LH-304SSM16</t>
  </si>
  <si>
    <t xml:space="preserve">LH 304 Stainless M16</t>
  </si>
  <si>
    <t xml:space="preserve">BN-003-LH-304SSM3</t>
  </si>
  <si>
    <t xml:space="preserve">LH 304 Stainless M3</t>
  </si>
  <si>
    <t xml:space="preserve">BN-003-LH-304SSM4</t>
  </si>
  <si>
    <t xml:space="preserve">LH 304 Stainless M4</t>
  </si>
  <si>
    <t xml:space="preserve">BN-003-LH-304SSM5</t>
  </si>
  <si>
    <t xml:space="preserve">LH 304 Stainless M5</t>
  </si>
  <si>
    <t xml:space="preserve">BN-003-LH-304SSM6</t>
  </si>
  <si>
    <t xml:space="preserve">LH 304 Stainless M6</t>
  </si>
  <si>
    <t xml:space="preserve">BN-003-LH-304SSM8</t>
  </si>
  <si>
    <t xml:space="preserve">LH 304 Stainless M8</t>
  </si>
  <si>
    <t xml:space="preserve">BN-003-M10x1-S304-F</t>
  </si>
  <si>
    <t xml:space="preserve">fine</t>
  </si>
  <si>
    <t xml:space="preserve">BN-003-M10x1.25-S304-F</t>
  </si>
  <si>
    <t xml:space="preserve">BN-003-M10x1.5-CS-NI</t>
  </si>
  <si>
    <t xml:space="preserve">Nickel-plated RH</t>
  </si>
  <si>
    <t xml:space="preserve">BN-003-M12x1-S304-F</t>
  </si>
  <si>
    <t xml:space="preserve">BN-003-M12x1.25-S304-F</t>
  </si>
  <si>
    <t xml:space="preserve">BN-003-M12x1.5-S304-F</t>
  </si>
  <si>
    <t xml:space="preserve">BN-003-M16x1.5-S304-F</t>
  </si>
  <si>
    <t xml:space="preserve">BN-003-M3x0.5-CS-DHX-P5</t>
  </si>
  <si>
    <t xml:space="preserve">Black zinc RH</t>
  </si>
  <si>
    <t xml:space="preserve">BN-003-M3x0.5-CS-NI-P5</t>
  </si>
  <si>
    <t xml:space="preserve">BN-003-M4x0.7-CS-NI-P5</t>
  </si>
  <si>
    <t xml:space="preserve">BN-003-M5x0.5-S304-F</t>
  </si>
  <si>
    <t xml:space="preserve">BN-003-M5x0.8-CS-NI-P10</t>
  </si>
  <si>
    <t xml:space="preserve">BN-003-M6x0.5-S304-F</t>
  </si>
  <si>
    <t xml:space="preserve">BN-003-M6x0.75-S304-F</t>
  </si>
  <si>
    <t xml:space="preserve">BN-003-M6x1-CS-NI-P5</t>
  </si>
  <si>
    <t xml:space="preserve">BN-003-M8x0.75-S304-F</t>
  </si>
  <si>
    <t xml:space="preserve">BN-003-M8x1-S304-F</t>
  </si>
  <si>
    <t xml:space="preserve">BN-003-M8x1.25-CS-NI</t>
  </si>
  <si>
    <t xml:space="preserve">GB807 Flat Knurled Thumb Nut  [Nuts]</t>
  </si>
  <si>
    <t xml:space="preserve">BN-023-M10x1.5-NI</t>
  </si>
  <si>
    <t xml:space="preserve">BN-023-M3x0.5-DHX-P8</t>
  </si>
  <si>
    <t xml:space="preserve">BN-023-M3x0.5-NI-P5</t>
  </si>
  <si>
    <t xml:space="preserve">BN-023-M4x0.7-NI-P5</t>
  </si>
  <si>
    <t xml:space="preserve">BN-023-M5x0.8-NI-P5</t>
  </si>
  <si>
    <t xml:space="preserve">BN-023-M6x1-NI-P5</t>
  </si>
  <si>
    <t xml:space="preserve">BN-023-M8x1.25-NI</t>
  </si>
  <si>
    <t xml:space="preserve">MakerBeam XL Rectangular Nut M3  [Nuts]</t>
  </si>
  <si>
    <t xml:space="preserve">BN-025</t>
  </si>
  <si>
    <t xml:space="preserve">Square Nut GB39 / DIN557  [Nuts]</t>
  </si>
  <si>
    <t xml:space="preserve">Blue-white zinc x3</t>
  </si>
  <si>
    <t xml:space="preserve">M4x10</t>
  </si>
  <si>
    <t xml:space="preserve">BN-015-M4x10-CS-DLBX-x3-P10</t>
  </si>
  <si>
    <t xml:space="preserve">BN-015-M5x10-CS-DLBX-x3-P10</t>
  </si>
  <si>
    <t xml:space="preserve">BN-015-M5x8-CS-DLBX-x4-P10</t>
  </si>
  <si>
    <t xml:space="preserve">Blue-white zinc x4</t>
  </si>
  <si>
    <t xml:space="preserve">M5x8</t>
  </si>
  <si>
    <t xml:space="preserve">BN-015-M6x10-CS-DLBX-x4-P10</t>
  </si>
  <si>
    <t xml:space="preserve">BN-015-M6x12-CS-DLBX-x5-P10</t>
  </si>
  <si>
    <t xml:space="preserve">Blue-white zinc x5</t>
  </si>
  <si>
    <t xml:space="preserve">BN-015-M6x13-CS-DLBX-x5-P10</t>
  </si>
  <si>
    <t xml:space="preserve">M6x13</t>
  </si>
  <si>
    <t xml:space="preserve">BN-015-M6x14-CS-DLBX-x6-P10</t>
  </si>
  <si>
    <t xml:space="preserve">Blue-white zinc x6</t>
  </si>
  <si>
    <t xml:space="preserve">M6x14</t>
  </si>
  <si>
    <t xml:space="preserve">BN-015-M8x13-S304-x6.2-P6</t>
  </si>
  <si>
    <t xml:space="preserve">x6.2</t>
  </si>
  <si>
    <t xml:space="preserve">M8x13</t>
  </si>
  <si>
    <t xml:space="preserve">BN-015-M8x14-CS-DLBX-x6-P10</t>
  </si>
  <si>
    <t xml:space="preserve">M8x14</t>
  </si>
  <si>
    <t xml:space="preserve">Flange Nut DIN6923  [Nuts]</t>
  </si>
  <si>
    <t xml:space="preserve">Blue-white zinc M8</t>
  </si>
  <si>
    <t xml:space="preserve">BN-020-CS-ZN-M8-P13</t>
  </si>
  <si>
    <t xml:space="preserve">BN-020-S304-M10-P3</t>
  </si>
  <si>
    <t xml:space="preserve">BN-020-S304-M12-P2</t>
  </si>
  <si>
    <t xml:space="preserve">BN-020-S304-M14</t>
  </si>
  <si>
    <t xml:space="preserve">BN-020-S304-M16</t>
  </si>
  <si>
    <t xml:space="preserve">BN-020-S304-M2.5-P10</t>
  </si>
  <si>
    <t xml:space="preserve">BN-020-S304-M20</t>
  </si>
  <si>
    <t xml:space="preserve">BN-020-S304-M3-P50</t>
  </si>
  <si>
    <t xml:space="preserve">BN-020-S304-M4-P50</t>
  </si>
  <si>
    <t xml:space="preserve">BN-020-S304-M5-P100</t>
  </si>
  <si>
    <t xml:space="preserve">BN-020-S304-M6-P50</t>
  </si>
  <si>
    <t xml:space="preserve">BN-020-S304-M8-P7</t>
  </si>
  <si>
    <t xml:space="preserve">Brass Heat-Set Insert, Knurled  [Nuts]</t>
  </si>
  <si>
    <t xml:space="preserve">M2.5×4×3.5 (50 pcs)</t>
  </si>
  <si>
    <t xml:space="preserve">BN-009-M2.5x4x3.5-P50</t>
  </si>
  <si>
    <t xml:space="preserve">BN-009-M2.5x4x4-P22</t>
  </si>
  <si>
    <t xml:space="preserve">M2.5×4×4 (22 pcs)</t>
  </si>
  <si>
    <t xml:space="preserve">BN-009-M2x3x3.5-P22</t>
  </si>
  <si>
    <t xml:space="preserve">M2×3×3.5 (22 pcs)</t>
  </si>
  <si>
    <t xml:space="preserve">BN-009-M3M4-BOX170</t>
  </si>
  <si>
    <t xml:space="preserve">M3/M4 assortment box, 170 pcs (1 box)</t>
  </si>
  <si>
    <t xml:space="preserve">BN-009-M3x3x4.6-P10</t>
  </si>
  <si>
    <t xml:space="preserve">M3×3×4.6 (10 pcs)</t>
  </si>
  <si>
    <t xml:space="preserve">BN-009-M3x5.7x4.6-P13</t>
  </si>
  <si>
    <t xml:space="preserve">M3×5.7×4.6 (13 pcs)</t>
  </si>
  <si>
    <t xml:space="preserve">BN-009-M3x5x5-P50</t>
  </si>
  <si>
    <t xml:space="preserve">M3×5×5 (50 pcs)</t>
  </si>
  <si>
    <t xml:space="preserve">BN-009-M3x6x4-P5</t>
  </si>
  <si>
    <t xml:space="preserve">M3×6×4 (5 pcs)</t>
  </si>
  <si>
    <t xml:space="preserve">BN-009-M4x4x6.3-P5</t>
  </si>
  <si>
    <t xml:space="preserve">M4×4×6.3 (5 pcs)</t>
  </si>
  <si>
    <t xml:space="preserve">BN-009-M4x5x6-P10</t>
  </si>
  <si>
    <t xml:space="preserve">M4×5×6 (10 pcs)</t>
  </si>
  <si>
    <t xml:space="preserve">BN-009-M4x6x5-P50</t>
  </si>
  <si>
    <t xml:space="preserve">M4×6×5 (50 pcs)</t>
  </si>
  <si>
    <t xml:space="preserve">BN-009-M4x6x6-P10</t>
  </si>
  <si>
    <t xml:space="preserve">M4×6×6 (10 pcs)</t>
  </si>
  <si>
    <t xml:space="preserve">BN-009-M4x8x6-P5</t>
  </si>
  <si>
    <t xml:space="preserve">M4×8×6 (5 pcs)</t>
  </si>
  <si>
    <t xml:space="preserve">BN-009-M5x10x7</t>
  </si>
  <si>
    <t xml:space="preserve">M5×10×7 (1 pc)</t>
  </si>
  <si>
    <t xml:space="preserve">BN-009-M5x5.8x7.1-P4</t>
  </si>
  <si>
    <t xml:space="preserve">M5×5.8×7.1 (4 pcs)</t>
  </si>
  <si>
    <t xml:space="preserve">BN-009-M5x6x7-P2</t>
  </si>
  <si>
    <t xml:space="preserve">M5×6×7 (2 pcs)</t>
  </si>
  <si>
    <t xml:space="preserve">BN-009-M5x8x7-P10</t>
  </si>
  <si>
    <t xml:space="preserve">M5×8×7 (10 pcs)</t>
  </si>
  <si>
    <t xml:space="preserve">BN-009-M5x9.5x7-P3</t>
  </si>
  <si>
    <t xml:space="preserve">M5×9.5×7 (3 pcs)</t>
  </si>
  <si>
    <t xml:space="preserve">BN-009-M6x6x8-P5</t>
  </si>
  <si>
    <t xml:space="preserve">M6×6×8 (5 pcs)</t>
  </si>
  <si>
    <t xml:space="preserve">BN-009-UNC14-20x12.7x8-P5</t>
  </si>
  <si>
    <t xml:space="preserve">1/4-20×12.7×8 (5 pcs)</t>
  </si>
  <si>
    <t xml:space="preserve">BN-009-UNC14-20x12.7x8.7</t>
  </si>
  <si>
    <t xml:space="preserve">1/4-20×12.7×8.7 (1 pc)</t>
  </si>
  <si>
    <t xml:space="preserve">Carbon Steel Hex Nut (4.8 / 8.8 / 12.9)  [Nuts]</t>
  </si>
  <si>
    <t xml:space="preserve">BN-008-M10</t>
  </si>
  <si>
    <t xml:space="preserve">BN-008-M6</t>
  </si>
  <si>
    <t xml:space="preserve">BN-008-M8</t>
  </si>
  <si>
    <t xml:space="preserve">Carbon Steel Clinch Nut  [Nuts]</t>
  </si>
  <si>
    <t xml:space="preserve">M10-1</t>
  </si>
  <si>
    <t xml:space="preserve">BN-001-M10-1-P50</t>
  </si>
  <si>
    <t xml:space="preserve">BN-001-M3-1-P100</t>
  </si>
  <si>
    <t xml:space="preserve">M3-1</t>
  </si>
  <si>
    <t xml:space="preserve">BN-001-M4-1-P100</t>
  </si>
  <si>
    <t xml:space="preserve">M4-1</t>
  </si>
  <si>
    <t xml:space="preserve">BN-001-M5-1-P100</t>
  </si>
  <si>
    <t xml:space="preserve">M5-1</t>
  </si>
  <si>
    <t xml:space="preserve">BN-001-M6-1-P100</t>
  </si>
  <si>
    <t xml:space="preserve">M6-1</t>
  </si>
  <si>
    <t xml:space="preserve">BN-001-M8-1-P50</t>
  </si>
  <si>
    <t xml:space="preserve">M8-1</t>
  </si>
  <si>
    <t xml:space="preserve">M2 Round Brass Standoff Assortment, 270 pcs  [Standoffs]</t>
  </si>
  <si>
    <t xml:space="preserve">BN-006</t>
  </si>
  <si>
    <t xml:space="preserve">Brass Standoff (Hex Male-Female / Round Knurled)  [Standoffs]</t>
  </si>
  <si>
    <t xml:space="preserve">Shape</t>
  </si>
  <si>
    <t xml:space="preserve">Standoff Length (mm)</t>
  </si>
  <si>
    <t xml:space="preserve">Hex</t>
  </si>
  <si>
    <t xml:space="preserve">CUP-HEX-M3x10+6-P1</t>
  </si>
  <si>
    <t xml:space="preserve">CUP-HEX-M3x20+6-P10</t>
  </si>
  <si>
    <t xml:space="preserve">CUP-HEX-M3x30+6-P10</t>
  </si>
  <si>
    <t xml:space="preserve">CUP-HEX-M3x40+6-P10</t>
  </si>
  <si>
    <t xml:space="preserve">CUP-RD-M2x10+3-P16</t>
  </si>
  <si>
    <t xml:space="preserve">Round knurled</t>
  </si>
  <si>
    <t xml:space="preserve">CUP-RD-M2x11+3-P10</t>
  </si>
  <si>
    <t xml:space="preserve">CUP-RD-M2x12+3-P13</t>
  </si>
  <si>
    <t xml:space="preserve">CUP-RD-M2x13+3-P10</t>
  </si>
  <si>
    <t xml:space="preserve">CUP-RD-M2x14+3-P10</t>
  </si>
  <si>
    <t xml:space="preserve">CUP-RD-M2x15+3-P10</t>
  </si>
  <si>
    <t xml:space="preserve">CUP-RD-M2x16+3-P10</t>
  </si>
  <si>
    <t xml:space="preserve">CUP-RD-M2x17+3-P10</t>
  </si>
  <si>
    <t xml:space="preserve">CUP-RD-M2x18+3-P9</t>
  </si>
  <si>
    <t xml:space="preserve">CUP-RD-M2x2+3-P10</t>
  </si>
  <si>
    <t xml:space="preserve">CUP-RD-M2x20+3-P9</t>
  </si>
  <si>
    <t xml:space="preserve">CUP-RD-M2x22+3-P10</t>
  </si>
  <si>
    <t xml:space="preserve">CUP-RD-M2x25+3-P7</t>
  </si>
  <si>
    <t xml:space="preserve">CUP-RD-M2x27+3-P10</t>
  </si>
  <si>
    <t xml:space="preserve">CUP-RD-M2x3+3-P21</t>
  </si>
  <si>
    <t xml:space="preserve">CUP-RD-M2x30+3-P10</t>
  </si>
  <si>
    <t xml:space="preserve">CUP-RD-M2x32+3-P10</t>
  </si>
  <si>
    <t xml:space="preserve">CUP-RD-M2x4+3-P21</t>
  </si>
  <si>
    <t xml:space="preserve">CUP-RD-M2x5+3-P21</t>
  </si>
  <si>
    <t xml:space="preserve">CUP-RD-M2x6+3-P20</t>
  </si>
  <si>
    <t xml:space="preserve">CUP-RD-M2x7+3-P10</t>
  </si>
  <si>
    <t xml:space="preserve">CUP-RD-M2x8+3-P18</t>
  </si>
  <si>
    <t xml:space="preserve">CUP-RD-M2x9+3-P10</t>
  </si>
  <si>
    <t xml:space="preserve">4080U Profile End Mounting Plate  [Openbuilds]</t>
  </si>
  <si>
    <t xml:space="preserve">A type CNC Brushed tight fit ID 15.97-16.00</t>
  </si>
  <si>
    <t xml:space="preserve">P3-029-AK-CNC-BRU-JPH-NJ15.97-16.00</t>
  </si>
  <si>
    <t xml:space="preserve">P3-029-AK-CNC-BRU-LF-NJ16.02-16.05</t>
  </si>
  <si>
    <t xml:space="preserve">A type CNC Brushed loose fit ID 16.02-16.05</t>
  </si>
  <si>
    <t xml:space="preserve">P3-029-BK-CNC-BRU</t>
  </si>
  <si>
    <t xml:space="preserve">B type CNC Brushed</t>
  </si>
  <si>
    <t xml:space="preserve">CNC Build Plate  [Openbuilds]</t>
  </si>
  <si>
    <t xml:space="preserve">P3-096</t>
  </si>
  <si>
    <t xml:space="preserve">CR-10S / Ender-3 Dual-Pulley Extruder Bracket  [Openbuilds]</t>
  </si>
  <si>
    <t xml:space="preserve">A kit</t>
  </si>
  <si>
    <t xml:space="preserve">P3-090-YSAK</t>
  </si>
  <si>
    <t xml:space="preserve">P3-090-YSBK</t>
  </si>
  <si>
    <t xml:space="preserve">B kit</t>
  </si>
  <si>
    <t xml:space="preserve">Openbuilds NEMA23 Motor Mount Plate V-Slot 96.5x60x3  [Openbuilds]</t>
  </si>
  <si>
    <t xml:space="preserve">P3-031</t>
  </si>
  <si>
    <t xml:space="preserve">Openbuilds C-Beam XLarge Gantry Plate  [Openbuilds]</t>
  </si>
  <si>
    <t xml:space="preserve">P3-086</t>
  </si>
  <si>
    <t xml:space="preserve">P3-086-KA-CNCLM-DC8</t>
  </si>
  <si>
    <t xml:space="preserve">kit A CNC nut lead 8</t>
  </si>
  <si>
    <t xml:space="preserve">P3-086-KB-CNCLM-DC8</t>
  </si>
  <si>
    <t xml:space="preserve">kit B CNC nut lead 8</t>
  </si>
  <si>
    <t xml:space="preserve">Openbuilds C-Beam Double-Width Plate 6x77.15x155  [Openbuilds]</t>
  </si>
  <si>
    <t xml:space="preserve">P3-037</t>
  </si>
  <si>
    <t xml:space="preserve">P3-037-AK-LJ1DC1-1E</t>
  </si>
  <si>
    <t xml:space="preserve">A type pitch 1mm lead 1mm 1 start</t>
  </si>
  <si>
    <t xml:space="preserve">P3-037-AK-LJ2DC10-5T</t>
  </si>
  <si>
    <t xml:space="preserve">A type pitch 2mm lead 10mm 5 start</t>
  </si>
  <si>
    <t xml:space="preserve">P3-037-AK-LJ2DC12-6T</t>
  </si>
  <si>
    <t xml:space="preserve">A type pitch 2mm lead 12mm 6 start</t>
  </si>
  <si>
    <t xml:space="preserve">P3-037-AK-LJ2DC14-7T</t>
  </si>
  <si>
    <t xml:space="preserve">A type pitch 2mm lead 14mm 7 start</t>
  </si>
  <si>
    <t xml:space="preserve">P3-037-AK-LJ2DC16-8T</t>
  </si>
  <si>
    <t xml:space="preserve">A type pitch 2mm lead 16mm 8 start</t>
  </si>
  <si>
    <t xml:space="preserve">P3-037-AK-LJ2DC2-1E</t>
  </si>
  <si>
    <t xml:space="preserve">A type pitch 2mm lead 2mm 1 start</t>
  </si>
  <si>
    <t xml:space="preserve">P3-037-AK-LJ2DC4-2T</t>
  </si>
  <si>
    <t xml:space="preserve">A type pitch 2mm lead 4mm 2 start</t>
  </si>
  <si>
    <t xml:space="preserve">P3-037-AK-LJ2DC8-4T</t>
  </si>
  <si>
    <t xml:space="preserve">A type pitch 2mm lead 8mm 4 start</t>
  </si>
  <si>
    <t xml:space="preserve">P3-037-BK-LJ1DC1-1E</t>
  </si>
  <si>
    <t xml:space="preserve">B type pitch 1mm lead 1mm 1 start</t>
  </si>
  <si>
    <t xml:space="preserve">P3-037-BK-LJ2DC10-5T</t>
  </si>
  <si>
    <t xml:space="preserve">B type pitch 2mm lead 10mm 5 start</t>
  </si>
  <si>
    <t xml:space="preserve">P3-037-BK-LJ2DC12-6T</t>
  </si>
  <si>
    <t xml:space="preserve">B type pitch 2mm lead 12mm 6 start</t>
  </si>
  <si>
    <t xml:space="preserve">P3-037-BK-LJ2DC14-7T</t>
  </si>
  <si>
    <t xml:space="preserve">B type pitch 2mm lead 14mm 7 start</t>
  </si>
  <si>
    <t xml:space="preserve">P3-037-BK-LJ2DC16-8T</t>
  </si>
  <si>
    <t xml:space="preserve">B type pitch 2mm lead 16mm 8 start</t>
  </si>
  <si>
    <t xml:space="preserve">P3-037-BK-LJ2DC2-1E</t>
  </si>
  <si>
    <t xml:space="preserve">B type pitch 2mm lead 2mm 1 start</t>
  </si>
  <si>
    <t xml:space="preserve">P3-037-BK-LJ2DC4-2T</t>
  </si>
  <si>
    <t xml:space="preserve">B type pitch 2mm lead 4mm 2 start</t>
  </si>
  <si>
    <t xml:space="preserve">P3-037-BK-LJ2DC8-4T</t>
  </si>
  <si>
    <t xml:space="preserve">B type pitch 2mm lead 8mm 4 start</t>
  </si>
  <si>
    <t xml:space="preserve">Openbuilds C-Beam End Mount Plate  [Openbuilds]</t>
  </si>
  <si>
    <t xml:space="preserve">P3-045</t>
  </si>
  <si>
    <t xml:space="preserve">P3-045-KA-CNCLM-DC1</t>
  </si>
  <si>
    <t xml:space="preserve">kit A CNC nut lead 1</t>
  </si>
  <si>
    <t xml:space="preserve">P3-045-KA-CNCLM-DC10</t>
  </si>
  <si>
    <t xml:space="preserve">kit A CNC nut lead 10</t>
  </si>
  <si>
    <t xml:space="preserve">P3-045-KA-CNCLM-DC2</t>
  </si>
  <si>
    <t xml:space="preserve">kit A CNC nut lead 2</t>
  </si>
  <si>
    <t xml:space="preserve">P3-045-KA-CNCLM-DC4</t>
  </si>
  <si>
    <t xml:space="preserve">kit A CNC nut lead 4</t>
  </si>
  <si>
    <t xml:space="preserve">P3-045-KA-CNCLM-DC8</t>
  </si>
  <si>
    <t xml:space="preserve">P3-045-KB</t>
  </si>
  <si>
    <t xml:space="preserve">kit B</t>
  </si>
  <si>
    <t xml:space="preserve">Openbuilds L-Bracket (1 / 2 / 3 holes)  [Openbuilds]</t>
  </si>
  <si>
    <t xml:space="preserve">1 hole</t>
  </si>
  <si>
    <t xml:space="preserve">P3-039-BK-1H</t>
  </si>
  <si>
    <t xml:space="preserve">P3-039-BK-2H</t>
  </si>
  <si>
    <t xml:space="preserve">2 holes </t>
  </si>
  <si>
    <t xml:space="preserve">P3-039-BK-3H</t>
  </si>
  <si>
    <t xml:space="preserve">3-hole</t>
  </si>
  <si>
    <t xml:space="preserve">P3-039-SV-1H</t>
  </si>
  <si>
    <t xml:space="preserve">P3-039-SV-2H</t>
  </si>
  <si>
    <t xml:space="preserve">P3-039-SV-3H</t>
  </si>
  <si>
    <t xml:space="preserve">Openbuilds NEMA17 Motor Mount Plate  [Openbuilds]</t>
  </si>
  <si>
    <t xml:space="preserve">P3-074</t>
  </si>
  <si>
    <t xml:space="preserve">Openbuilds NEMA17 Motor Bracket for 2040 V-Slot  [Openbuilds]</t>
  </si>
  <si>
    <t xml:space="preserve">P3-076-BK-AK</t>
  </si>
  <si>
    <t xml:space="preserve">P3-076-BK-BK</t>
  </si>
  <si>
    <t xml:space="preserve">P3-076-BK-CK</t>
  </si>
  <si>
    <t xml:space="preserve">P3-076-YZPZDJZJ</t>
  </si>
  <si>
    <t xml:space="preserve">Y -axis straight motor bracket</t>
  </si>
  <si>
    <t xml:space="preserve">P3-076-YZPZDJZJ-SET</t>
  </si>
  <si>
    <t xml:space="preserve">Y -axis straight motor bracket set</t>
  </si>
  <si>
    <t xml:space="preserve">Openbuilds NEMA17 Threaded Rod Plate 3mm  [Openbuilds]</t>
  </si>
  <si>
    <t xml:space="preserve">P3-053</t>
  </si>
  <si>
    <t xml:space="preserve">Openbuilds NEMA23 Threaded Rod Plate 3mm  [Openbuilds]</t>
  </si>
  <si>
    <t xml:space="preserve">P3-062</t>
  </si>
  <si>
    <t xml:space="preserve">Openbuilds POM Coated Mini Wheel  [Openbuilds]</t>
  </si>
  <si>
    <t xml:space="preserve">Large wheel with bearing 625-2RS</t>
  </si>
  <si>
    <t xml:space="preserve">P3-021-BK-DL-DZC-625-2RS</t>
  </si>
  <si>
    <t xml:space="preserve">P3-021-BK-DL-DZC-625ZZ</t>
  </si>
  <si>
    <t xml:space="preserve">Large wheel with bearing 625ZZ</t>
  </si>
  <si>
    <t xml:space="preserve">P3-021-BK-DLT-BDZC</t>
  </si>
  <si>
    <t xml:space="preserve">Large wheel kit no bearing</t>
  </si>
  <si>
    <t xml:space="preserve">P3-021-BK-GZL-DZCG12.7-625-2RS</t>
  </si>
  <si>
    <t xml:space="preserve">Spool wheel with bearing H 12.7 625-2RS</t>
  </si>
  <si>
    <t xml:space="preserve">P3-021-BK-GZL-DZCG12.7-625-2RS-R</t>
  </si>
  <si>
    <t xml:space="preserve">Spool wheel with bearing H 12.7 625-2RS Reinforced</t>
  </si>
  <si>
    <t xml:space="preserve">P3-021-BK-GZL-DZCG12.7-625ZZ</t>
  </si>
  <si>
    <t xml:space="preserve">Spool wheel with bearing H 12.7 625ZZ</t>
  </si>
  <si>
    <t xml:space="preserve">P3-021-BK-GZL-DZCG12.7-625ZZ-R</t>
  </si>
  <si>
    <t xml:space="preserve">Spool wheel with bearing H 12.7 625ZZ Reinforced</t>
  </si>
  <si>
    <t xml:space="preserve">P3-021-BK-GZL-DZCG14-625-2RS</t>
  </si>
  <si>
    <t xml:space="preserve">Spool wheel with bearing H 14 625-2RS</t>
  </si>
  <si>
    <t xml:space="preserve">P3-021-BK-GZL-DZCG14-625ZZ</t>
  </si>
  <si>
    <t xml:space="preserve">Spool wheel with bearing H 14 625ZZ</t>
  </si>
  <si>
    <t xml:space="preserve">P3-021-BK-GZLT-G12.7-BDZC</t>
  </si>
  <si>
    <t xml:space="preserve">Spool wheel kit H 12.7 no bearing</t>
  </si>
  <si>
    <t xml:space="preserve">P3-021-BK-GZLT-G12.7-BDZC-R</t>
  </si>
  <si>
    <t xml:space="preserve">Spool wheel kit H 12.7 no bearing Reinforced</t>
  </si>
  <si>
    <t xml:space="preserve">P3-021-BK-GZLT-G14-BDZC</t>
  </si>
  <si>
    <t xml:space="preserve">Spool wheel kit H 14 no bearing</t>
  </si>
  <si>
    <t xml:space="preserve">P3-021-BK-VL-DZC-625-2RS</t>
  </si>
  <si>
    <t xml:space="preserve">V wheel with bearing 625-2RS</t>
  </si>
  <si>
    <t xml:space="preserve">P3-021-BK-VL-DZC-625ZZ</t>
  </si>
  <si>
    <t xml:space="preserve">V wheel with bearing 625ZZ</t>
  </si>
  <si>
    <t xml:space="preserve">P3-021-BK-VLT-BDZC</t>
  </si>
  <si>
    <t xml:space="preserve">V wheel kit no bearing</t>
  </si>
  <si>
    <t xml:space="preserve">P3-021-BK-XL-DZC-MR105-2RS</t>
  </si>
  <si>
    <t xml:space="preserve">Small wheel with bearing MR105-2RS</t>
  </si>
  <si>
    <t xml:space="preserve">P3-021-BK-XLDZC-MR105ZZ</t>
  </si>
  <si>
    <t xml:space="preserve">Small wheel with bearing MR105ZZ </t>
  </si>
  <si>
    <t xml:space="preserve">P3-021-BK-XLT-BDZC</t>
  </si>
  <si>
    <t xml:space="preserve">Small wheel kit no bearing</t>
  </si>
  <si>
    <t xml:space="preserve">P3-021-BL-DL-DZC-625-2RS</t>
  </si>
  <si>
    <t xml:space="preserve">P3-021-BL-DL-DZC-625ZZ</t>
  </si>
  <si>
    <t xml:space="preserve">P3-021-BL-DLT-BDZC</t>
  </si>
  <si>
    <t xml:space="preserve">P3-021-BL-XL-DZC-MR105-2RS</t>
  </si>
  <si>
    <t xml:space="preserve">P3-021-BL-XL-DZC-MR105ZZ</t>
  </si>
  <si>
    <t xml:space="preserve">Small wheel with bearing MR105ZZ</t>
  </si>
  <si>
    <t xml:space="preserve">P3-021-BL-XLT-BDZC</t>
  </si>
  <si>
    <t xml:space="preserve">P3-021-LS-DL-DZC-625-2RS</t>
  </si>
  <si>
    <t xml:space="preserve">Green Large wheel with bearing 625-2RS</t>
  </si>
  <si>
    <t xml:space="preserve">P3-021-LS-DL-DZC-625ZZ</t>
  </si>
  <si>
    <t xml:space="preserve">Green Large wheel with bearing 625ZZ</t>
  </si>
  <si>
    <t xml:space="preserve">P3-021-LS-DLT-BDZC</t>
  </si>
  <si>
    <t xml:space="preserve">Green Large wheel kit no bearing</t>
  </si>
  <si>
    <t xml:space="preserve">P3-021-LS-XL-DZC-MR105-2RS</t>
  </si>
  <si>
    <t xml:space="preserve">Green Small wheel with bearing MR105-2RS</t>
  </si>
  <si>
    <t xml:space="preserve">P3-021-LS-XL-DZC-MR105ZZ</t>
  </si>
  <si>
    <t xml:space="preserve">Green Small wheel with bearing MR105ZZ</t>
  </si>
  <si>
    <t xml:space="preserve">P3-021-LS-XLT-BDZC</t>
  </si>
  <si>
    <t xml:space="preserve">Green Small wheel kit no bearing</t>
  </si>
  <si>
    <t xml:space="preserve">P3-021-RD-DL-DZC-625-2RS</t>
  </si>
  <si>
    <t xml:space="preserve">P3-021-RD-DL-DZC-625ZZ</t>
  </si>
  <si>
    <t xml:space="preserve">P3-021-RD-DLT-BDZC</t>
  </si>
  <si>
    <t xml:space="preserve">P3-021-RD-GZL-DZCG12.7-625-2RS</t>
  </si>
  <si>
    <t xml:space="preserve">P3-021-RD-GZL-DZCG12.7-625ZZ</t>
  </si>
  <si>
    <t xml:space="preserve">P3-021-RD-GZLT-G12.7-BDZC</t>
  </si>
  <si>
    <t xml:space="preserve">P3-021-RD-VL-DZC-625-2RS</t>
  </si>
  <si>
    <t xml:space="preserve">P3-021-RD-VL-DZC-625ZZ</t>
  </si>
  <si>
    <t xml:space="preserve">P3-021-RD-VLT-BDZC</t>
  </si>
  <si>
    <t xml:space="preserve">P3-021-SS-VL-DZC-625-2RS</t>
  </si>
  <si>
    <t xml:space="preserve">Stainless V wheel with bearing 625-2RS</t>
  </si>
  <si>
    <t xml:space="preserve">P3-021-SS-VL-DZC-625ZZ</t>
  </si>
  <si>
    <t xml:space="preserve">Stainless V wheel with bearing 625ZZ</t>
  </si>
  <si>
    <t xml:space="preserve">P3-021-SS-VLT-BDZC</t>
  </si>
  <si>
    <t xml:space="preserve">Stainless V wheel kit no bearing</t>
  </si>
  <si>
    <t xml:space="preserve">P3-021-TR-QLS-DL-DZC-625-2RS</t>
  </si>
  <si>
    <t xml:space="preserve">Light green Large wheel with bearing 625-2RS</t>
  </si>
  <si>
    <t xml:space="preserve">P3-021-TR-QLS-DL-DZC-625ZZ</t>
  </si>
  <si>
    <t xml:space="preserve">Light green Large wheel with bearing 625ZZ</t>
  </si>
  <si>
    <t xml:space="preserve">P3-021-TR-QLS-DLT-BDZC</t>
  </si>
  <si>
    <t xml:space="preserve">Light green Large wheel kit no bearing</t>
  </si>
  <si>
    <t xml:space="preserve">P3-021-TR-SLS-DL-DZC-625-2RS</t>
  </si>
  <si>
    <t xml:space="preserve">Dark green Large wheel with bearing 625-2RS</t>
  </si>
  <si>
    <t xml:space="preserve">P3-021-TR-SLS-DL-DZC-625ZZ</t>
  </si>
  <si>
    <t xml:space="preserve">Dark green Large wheel with bearing 625ZZ</t>
  </si>
  <si>
    <t xml:space="preserve">P3-021-TR-SLS-DLT-BDZC</t>
  </si>
  <si>
    <t xml:space="preserve">Dark green Large wheel kit no bearing</t>
  </si>
  <si>
    <t xml:space="preserve">P3-021-WH-DL-DZC-625-2RS</t>
  </si>
  <si>
    <t xml:space="preserve">P3-021-WH-DL-DZC-625ZZ</t>
  </si>
  <si>
    <t xml:space="preserve">P3-021-WH-DLT-BDZC</t>
  </si>
  <si>
    <t xml:space="preserve">P3-021-WH-TMXL-DZC-MR105ZZ</t>
  </si>
  <si>
    <t xml:space="preserve">Clear small wheel with bearing MR105ZZ</t>
  </si>
  <si>
    <t xml:space="preserve">P3-021-WH-TR-DL-DZC-625-2RS</t>
  </si>
  <si>
    <t xml:space="preserve">Clear Large wheel with bearing 625-2RS</t>
  </si>
  <si>
    <t xml:space="preserve">P3-021-WH-TR-DL-DZC-625ZZ</t>
  </si>
  <si>
    <t xml:space="preserve">Clear Large wheel with bearing 625ZZ</t>
  </si>
  <si>
    <t xml:space="preserve">P3-021-WH-TR-DLT-BDZC</t>
  </si>
  <si>
    <t xml:space="preserve">Clear Large wheel kit no bearing</t>
  </si>
  <si>
    <t xml:space="preserve">P3-021-WH-TR-GZL-DZCG12.7-625-2RS</t>
  </si>
  <si>
    <t xml:space="preserve">Clear Spool wheel with bearing H 12.7 625-2RS</t>
  </si>
  <si>
    <t xml:space="preserve">P3-021-WH-TR-GZL-DZCG12.7-625ZZ</t>
  </si>
  <si>
    <t xml:space="preserve">Clear Spool wheel with bearing H 12.7 625ZZ</t>
  </si>
  <si>
    <t xml:space="preserve">P3-021-WH-TR-GZLT-G12.7-BDZC</t>
  </si>
  <si>
    <t xml:space="preserve">Clear Spool wheel kit H 12.7 no bearing</t>
  </si>
  <si>
    <t xml:space="preserve">P3-021-WH-TR-VL-DZC-625-2RS</t>
  </si>
  <si>
    <t xml:space="preserve">Clear V wheel with bearing 625-2RS</t>
  </si>
  <si>
    <t xml:space="preserve">P3-021-WH-TR-VL-DZC-625ZZ</t>
  </si>
  <si>
    <t xml:space="preserve">Clear V wheel with bearing 625ZZ</t>
  </si>
  <si>
    <t xml:space="preserve">P3-021-WH-TR-VLT-BDZC</t>
  </si>
  <si>
    <t xml:space="preserve">Clear V wheel kit no bearing</t>
  </si>
  <si>
    <t xml:space="preserve">P3-021-WH-TR-XL-DZC-MR105-2RS</t>
  </si>
  <si>
    <t xml:space="preserve">Clear Small wheel with bearing MR105-2RS</t>
  </si>
  <si>
    <t xml:space="preserve">P3-021-WH-TR-XLT-BDZC</t>
  </si>
  <si>
    <t xml:space="preserve">Clear Small wheel kit no bearing</t>
  </si>
  <si>
    <t xml:space="preserve">P3-021-WH-XL-DZC-MR105-2RS</t>
  </si>
  <si>
    <t xml:space="preserve">P3-021-WH-XL-DZC-MR105ZZ</t>
  </si>
  <si>
    <t xml:space="preserve">P3-021-WH-XLT-BDZC</t>
  </si>
  <si>
    <t xml:space="preserve">P3-021-YL-DL-DZC-625-2RS</t>
  </si>
  <si>
    <t xml:space="preserve">P3-021-YL-DL-DZC-625ZZ</t>
  </si>
  <si>
    <t xml:space="preserve">P3-021-YL-DLT-BDZC</t>
  </si>
  <si>
    <t xml:space="preserve">P3-021-YL-XL-DZC-MR105-2RS</t>
  </si>
  <si>
    <t xml:space="preserve">P3-021-YL-XL-DZC-MR105ZZ</t>
  </si>
  <si>
    <t xml:space="preserve">P3-021-YL-XLT-BDZC</t>
  </si>
  <si>
    <t xml:space="preserve">Openbuilds T8 Lead Screw Nut Block  [Openbuilds]</t>
  </si>
  <si>
    <t xml:space="preserve">pitch 1mm</t>
  </si>
  <si>
    <t xml:space="preserve">lead 1mm</t>
  </si>
  <si>
    <t xml:space="preserve">P3-077-CNC-LJ1-DC1-1T</t>
  </si>
  <si>
    <t xml:space="preserve">P3-077-CNC-LJ2-DC10-5T</t>
  </si>
  <si>
    <t xml:space="preserve">pitch 2mm</t>
  </si>
  <si>
    <t xml:space="preserve">lead 10mm</t>
  </si>
  <si>
    <t xml:space="preserve">P3-077-CNC-LJ2-DC2-1T</t>
  </si>
  <si>
    <t xml:space="preserve">lead 2mm</t>
  </si>
  <si>
    <t xml:space="preserve">P3-077-CNC-LJ2-DC4-2T</t>
  </si>
  <si>
    <t xml:space="preserve">lead 4mm</t>
  </si>
  <si>
    <t xml:space="preserve">P3-077-CNC-LJ2-DC8-4T</t>
  </si>
  <si>
    <t xml:space="preserve">lead 8mm</t>
  </si>
  <si>
    <t xml:space="preserve">P3-077-ZS-LJ1-DC1-1T</t>
  </si>
  <si>
    <t xml:space="preserve">P3-077-ZS-LJ2-DC10-5T</t>
  </si>
  <si>
    <t xml:space="preserve">P3-077-ZS-LJ2-DC12-6T</t>
  </si>
  <si>
    <t xml:space="preserve">lead 12mm</t>
  </si>
  <si>
    <t xml:space="preserve">P3-077-ZS-LJ2-DC14-7T</t>
  </si>
  <si>
    <t xml:space="preserve">lead 14mm</t>
  </si>
  <si>
    <t xml:space="preserve">P3-077-ZS-LJ2-DC16-8T</t>
  </si>
  <si>
    <t xml:space="preserve">lead 16mm</t>
  </si>
  <si>
    <t xml:space="preserve">P3-077-ZS-LJ2-DC2-1T</t>
  </si>
  <si>
    <t xml:space="preserve">P3-077-ZS-LJ2-DC4-2T</t>
  </si>
  <si>
    <t xml:space="preserve">P3-077-ZS-LJ2-DC8-4T</t>
  </si>
  <si>
    <t xml:space="preserve">Openbuilds V-Slot Gantry Plate (2020 / 2040 / 3030 / 2060)  [Openbuilds]</t>
  </si>
  <si>
    <t xml:space="preserve">For Profile</t>
  </si>
  <si>
    <t xml:space="preserve">2020 3x80x80</t>
  </si>
  <si>
    <t xml:space="preserve">GP-2020-3x80x80</t>
  </si>
  <si>
    <t xml:space="preserve">GP-2020-BK-CLIP</t>
  </si>
  <si>
    <t xml:space="preserve">Clip only</t>
  </si>
  <si>
    <t xml:space="preserve">GP-2020-SV-CLIP</t>
  </si>
  <si>
    <t xml:space="preserve">GP-2020-T3-CNC-BK-BRU</t>
  </si>
  <si>
    <t xml:space="preserve">Brushed Plate only</t>
  </si>
  <si>
    <t xml:space="preserve">GP-2020-T3-CNC-BK-BRU-KA</t>
  </si>
  <si>
    <t xml:space="preserve">Brushed kit A</t>
  </si>
  <si>
    <t xml:space="preserve">GP-2020-T3-CNC-BK-BRU-KB</t>
  </si>
  <si>
    <t xml:space="preserve">Brushed kit B</t>
  </si>
  <si>
    <t xml:space="preserve">GP-2020-T3-CNC-BK-BRU-KE</t>
  </si>
  <si>
    <t xml:space="preserve">Brushed kit E</t>
  </si>
  <si>
    <t xml:space="preserve">GP-2020-T3-CNC-BK-BRU-KF</t>
  </si>
  <si>
    <t xml:space="preserve">Brushed kit F</t>
  </si>
  <si>
    <t xml:space="preserve">GP-2020-T3-CNC-BK-BRU-KG</t>
  </si>
  <si>
    <t xml:space="preserve">Brushed kit G</t>
  </si>
  <si>
    <t xml:space="preserve">GP-2020-T3-CNC-BK-BRU-KJ</t>
  </si>
  <si>
    <t xml:space="preserve">Brushed kit J</t>
  </si>
  <si>
    <t xml:space="preserve">GP-2020-T3-CNC-SV</t>
  </si>
  <si>
    <t xml:space="preserve">GP-2020-T3-CNC-SV-BRU-KK</t>
  </si>
  <si>
    <t xml:space="preserve">Brushed kit K</t>
  </si>
  <si>
    <t xml:space="preserve">GP-2020-T3-CNC-SV-KC</t>
  </si>
  <si>
    <t xml:space="preserve">kit C</t>
  </si>
  <si>
    <t xml:space="preserve">GP-2020-T3-CNC-SV-KD</t>
  </si>
  <si>
    <t xml:space="preserve">kit D</t>
  </si>
  <si>
    <t xml:space="preserve">GP-2020-T3-CNC-SV-KH</t>
  </si>
  <si>
    <t xml:space="preserve">kit H</t>
  </si>
  <si>
    <t xml:space="preserve">GP-2020-T3-CNC-SV-KI</t>
  </si>
  <si>
    <t xml:space="preserve">kit I</t>
  </si>
  <si>
    <t xml:space="preserve">GP-2020-T3-PR-BK-SB</t>
  </si>
  <si>
    <t xml:space="preserve">Sandblasted Plate only</t>
  </si>
  <si>
    <t xml:space="preserve">Stamped</t>
  </si>
  <si>
    <t xml:space="preserve">GP-2020-T3-PR-SV</t>
  </si>
  <si>
    <t xml:space="preserve">GP-2020-T5-CNC-BK-BRU</t>
  </si>
  <si>
    <t xml:space="preserve">GP-2040-3x100x120</t>
  </si>
  <si>
    <t xml:space="preserve">2040 3x100x120</t>
  </si>
  <si>
    <t xml:space="preserve">GP-2040-3x100x120-KA</t>
  </si>
  <si>
    <t xml:space="preserve">kit A</t>
  </si>
  <si>
    <t xml:space="preserve">GP-2040-3x100x120-KB</t>
  </si>
  <si>
    <t xml:space="preserve">GP-2040-CNC-BK-BRU</t>
  </si>
  <si>
    <t xml:space="preserve">GP-2040-CNC-BK-BRU-KA</t>
  </si>
  <si>
    <t xml:space="preserve">GP-2040-CNC-BK-BRU-KB</t>
  </si>
  <si>
    <t xml:space="preserve">GP-2040-CNC-BK-BRU-KC</t>
  </si>
  <si>
    <t xml:space="preserve">Brushed kit C</t>
  </si>
  <si>
    <t xml:space="preserve">GP-2040-CNC-BK-BRU-KD</t>
  </si>
  <si>
    <t xml:space="preserve">Brushed kit D</t>
  </si>
  <si>
    <t xml:space="preserve">GP-2040-MINI5</t>
  </si>
  <si>
    <t xml:space="preserve">Mini 5-wheel plate Plate only</t>
  </si>
  <si>
    <t xml:space="preserve">GP-2040-MINI5-WBK</t>
  </si>
  <si>
    <t xml:space="preserve">Mini 5-wheel plate with black wheels</t>
  </si>
  <si>
    <t xml:space="preserve">GP-2040-MINI5-WWH</t>
  </si>
  <si>
    <t xml:space="preserve">Mini 5-wheel plate with white wheels</t>
  </si>
  <si>
    <t xml:space="preserve">GP-2060-3x120x140</t>
  </si>
  <si>
    <t xml:space="preserve">2060 3x120x140</t>
  </si>
  <si>
    <t xml:space="preserve">GP-2060-BK</t>
  </si>
  <si>
    <t xml:space="preserve">GP-2060-KA</t>
  </si>
  <si>
    <t xml:space="preserve">GP-2060-KB</t>
  </si>
  <si>
    <t xml:space="preserve">GP-2060-KC</t>
  </si>
  <si>
    <t xml:space="preserve">GP-2060-KD</t>
  </si>
  <si>
    <t xml:space="preserve">GP-2060-KE</t>
  </si>
  <si>
    <t xml:space="preserve">kit E</t>
  </si>
  <si>
    <t xml:space="preserve">GP-2060-KF</t>
  </si>
  <si>
    <t xml:space="preserve">kit F</t>
  </si>
  <si>
    <t xml:space="preserve">GP-2060-KG</t>
  </si>
  <si>
    <t xml:space="preserve">kit G</t>
  </si>
  <si>
    <t xml:space="preserve">GP-2060-KH</t>
  </si>
  <si>
    <t xml:space="preserve">GP-2060-KI-N8</t>
  </si>
  <si>
    <t xml:space="preserve">kit I default lead 8 nut</t>
  </si>
  <si>
    <t xml:space="preserve">GP-2060-KJ-N8</t>
  </si>
  <si>
    <t xml:space="preserve">kit J default lead 8 nut</t>
  </si>
  <si>
    <t xml:space="preserve">GP-2060-KK-N8</t>
  </si>
  <si>
    <t xml:space="preserve">kit K default lead 8 nut</t>
  </si>
  <si>
    <t xml:space="preserve">GP-2060-KL-N8</t>
  </si>
  <si>
    <t xml:space="preserve">kit L default lead 8 nut</t>
  </si>
  <si>
    <t xml:space="preserve">GP-2060-KM</t>
  </si>
  <si>
    <t xml:space="preserve">kit M</t>
  </si>
  <si>
    <t xml:space="preserve">GP-2060-SV</t>
  </si>
  <si>
    <t xml:space="preserve">GP-2080-3x140x160</t>
  </si>
  <si>
    <t xml:space="preserve">2080 3x140x160</t>
  </si>
  <si>
    <t xml:space="preserve">GP-3030-CNC-BK-BRU</t>
  </si>
  <si>
    <t xml:space="preserve">GP-3030-CNC-BK-BRU-KB-BS</t>
  </si>
  <si>
    <t xml:space="preserve">Brushed kit B bearing-steel bearing</t>
  </si>
  <si>
    <t xml:space="preserve">GP-3030-CNC-BK-BRU-KB-S420</t>
  </si>
  <si>
    <t xml:space="preserve">Brushed kit B 420 stainless bearing</t>
  </si>
  <si>
    <t xml:space="preserve">GP-3030-CNC-SV</t>
  </si>
  <si>
    <t xml:space="preserve">GP-3030-CNC-SV-KA-BS</t>
  </si>
  <si>
    <t xml:space="preserve">kit A bearing-steel bearing</t>
  </si>
  <si>
    <t xml:space="preserve">GP-3030-CNC-SV-KA-S420</t>
  </si>
  <si>
    <t xml:space="preserve">kit A 420 stainless bearing</t>
  </si>
  <si>
    <t xml:space="preserve">Openbuilds Spindle Mount 52/65/71/80mm  [Openbuilds]</t>
  </si>
  <si>
    <t xml:space="preserve">Clamp only</t>
  </si>
  <si>
    <t xml:space="preserve">P3-098-52-DDJJ</t>
  </si>
  <si>
    <t xml:space="preserve">P3-098-52-KA</t>
  </si>
  <si>
    <t xml:space="preserve">P3-098-52-KB</t>
  </si>
  <si>
    <t xml:space="preserve">P3-098-65-DDJJ</t>
  </si>
  <si>
    <t xml:space="preserve">P3-098-65-KA</t>
  </si>
  <si>
    <t xml:space="preserve">P3-098-65-KB</t>
  </si>
  <si>
    <t xml:space="preserve">P3-098-71-DDJJ</t>
  </si>
  <si>
    <t xml:space="preserve">71</t>
  </si>
  <si>
    <t xml:space="preserve">P3-098-71-KA</t>
  </si>
  <si>
    <t xml:space="preserve">P3-098-71-KB</t>
  </si>
  <si>
    <t xml:space="preserve">P3-098-80-DDJJ</t>
  </si>
  <si>
    <t xml:space="preserve">P3-098-80-KA</t>
  </si>
  <si>
    <t xml:space="preserve">P3-098-80-KB</t>
  </si>
  <si>
    <t xml:space="preserve">P3-098-DDTJB</t>
  </si>
  <si>
    <t xml:space="preserve">Kit only B</t>
  </si>
  <si>
    <t xml:space="preserve">Openbuilds Low-Profile M5 Screw Set (with lock nuts)  [Openbuilds]</t>
  </si>
  <si>
    <t xml:space="preserve">Set with lock nuts</t>
  </si>
  <si>
    <t xml:space="preserve">P3-080-BK-TZHFSLM</t>
  </si>
  <si>
    <t xml:space="preserve">P3-080-WH-TZHGLZLQ</t>
  </si>
  <si>
    <t xml:space="preserve">Set with Al spacers</t>
  </si>
  <si>
    <t xml:space="preserve">Openbuilds Plastic Idler Pulley  [Openbuilds]</t>
  </si>
  <si>
    <t xml:space="preserve">no bearing</t>
  </si>
  <si>
    <t xml:space="preserve">P3-030-BK-BDZC</t>
  </si>
  <si>
    <t xml:space="preserve">P3-030-BK-DJGZC</t>
  </si>
  <si>
    <t xml:space="preserve">with rubber-sealed bearing</t>
  </si>
  <si>
    <t xml:space="preserve">P3-030-BK-DTGZC</t>
  </si>
  <si>
    <t xml:space="preserve">with shielded bearing</t>
  </si>
  <si>
    <t xml:space="preserve">P3-030-WH-BDZC</t>
  </si>
  <si>
    <t xml:space="preserve">P3-030-WH-DJGZC</t>
  </si>
  <si>
    <t xml:space="preserve">P3-030-WH-DTGZC</t>
  </si>
  <si>
    <t xml:space="preserve">Openbuilds Large Wheel Kit (Black / White)  [Openbuilds]</t>
  </si>
  <si>
    <t xml:space="preserve">CR10 kit</t>
  </si>
  <si>
    <t xml:space="preserve">P3-095-CR10K</t>
  </si>
  <si>
    <t xml:space="preserve">P3-095-DL-KA</t>
  </si>
  <si>
    <t xml:space="preserve">Large wheel kit A</t>
  </si>
  <si>
    <t xml:space="preserve">P3-095-DL-KB</t>
  </si>
  <si>
    <t xml:space="preserve">Large wheel kit B</t>
  </si>
  <si>
    <t xml:space="preserve">P3-095-DL-KC</t>
  </si>
  <si>
    <t xml:space="preserve">Large wheel kit C</t>
  </si>
  <si>
    <t xml:space="preserve">P3-095-DL-KD</t>
  </si>
  <si>
    <t xml:space="preserve">Large wheel kit D</t>
  </si>
  <si>
    <t xml:space="preserve">P3-095-DL-KE</t>
  </si>
  <si>
    <t xml:space="preserve">Large wheel kit E</t>
  </si>
  <si>
    <t xml:space="preserve">P3-095-DL-KF</t>
  </si>
  <si>
    <t xml:space="preserve">Large wheel kit F</t>
  </si>
  <si>
    <t xml:space="preserve">P3-095-DL-KG</t>
  </si>
  <si>
    <t xml:space="preserve">Large wheel kit G</t>
  </si>
  <si>
    <t xml:space="preserve">P3-095-DL-KH</t>
  </si>
  <si>
    <t xml:space="preserve">Large wheel kit H</t>
  </si>
  <si>
    <t xml:space="preserve">P3-095-VL-KA</t>
  </si>
  <si>
    <t xml:space="preserve">V wheel kit A</t>
  </si>
  <si>
    <t xml:space="preserve">P3-095-VL-KB</t>
  </si>
  <si>
    <t xml:space="preserve">V wheel kit B</t>
  </si>
  <si>
    <t xml:space="preserve">P3-095-VL-KC</t>
  </si>
  <si>
    <t xml:space="preserve">V wheel kit C</t>
  </si>
  <si>
    <t xml:space="preserve">P3-095-VL-KD</t>
  </si>
  <si>
    <t xml:space="preserve">V wheel kit D</t>
  </si>
  <si>
    <t xml:space="preserve">P3-095-VL-KE</t>
  </si>
  <si>
    <t xml:space="preserve">V wheel kit E</t>
  </si>
  <si>
    <t xml:space="preserve">P3-095-VL-KF</t>
  </si>
  <si>
    <t xml:space="preserve">V wheel kit F</t>
  </si>
  <si>
    <t xml:space="preserve">P3-095-VL-KG</t>
  </si>
  <si>
    <t xml:space="preserve">V wheel kit G</t>
  </si>
  <si>
    <t xml:space="preserve">P3-095-VL-KH</t>
  </si>
  <si>
    <t xml:space="preserve">V wheel kit H</t>
  </si>
  <si>
    <t xml:space="preserve">P3-095-XL-KA</t>
  </si>
  <si>
    <t xml:space="preserve">Small wheel kit A</t>
  </si>
  <si>
    <t xml:space="preserve">P3-095-XL-KB</t>
  </si>
  <si>
    <t xml:space="preserve">Small wheel kit B</t>
  </si>
  <si>
    <t xml:space="preserve">P3-095-XL-KC</t>
  </si>
  <si>
    <t xml:space="preserve">Small wheel kit C</t>
  </si>
  <si>
    <t xml:space="preserve">P3-095-XL-KD</t>
  </si>
  <si>
    <t xml:space="preserve">Small wheel kit D</t>
  </si>
  <si>
    <t xml:space="preserve">Openbuilds Idler Pulley Plate  [Openbuilds]</t>
  </si>
  <si>
    <t xml:space="preserve">P3-075</t>
  </si>
  <si>
    <t xml:space="preserve">Openbuilds Zinc Steel T-Nut  [Openbuilds]</t>
  </si>
  <si>
    <t xml:space="preserve">P3-019-NI-M5</t>
  </si>
  <si>
    <t xml:space="preserve">P3-019-ZN-M3</t>
  </si>
  <si>
    <t xml:space="preserve">P3-019-ZN-M4</t>
  </si>
  <si>
    <t xml:space="preserve">P3-019-ZN-M5</t>
  </si>
  <si>
    <t xml:space="preserve">Openbuilds Aluminum Fixing Plate 5mm  [Openbuilds]</t>
  </si>
  <si>
    <t xml:space="preserve">P3-089</t>
  </si>
  <si>
    <t xml:space="preserve">Openbuilds Profile End Cap Plate 20x20x3mm  [Openbuilds]</t>
  </si>
  <si>
    <t xml:space="preserve">P3-016-BK</t>
  </si>
  <si>
    <t xml:space="preserve">P3-016-SV</t>
  </si>
  <si>
    <t xml:space="preserve">Openbuilds Profile Connector (2-way / 3-way / Triangle / Square)  [Openbuilds]</t>
  </si>
  <si>
    <t xml:space="preserve">Square 2-way 1515 no screws</t>
  </si>
  <si>
    <t xml:space="preserve">P3-015-BK-SF-ET-1515-NS</t>
  </si>
  <si>
    <t xml:space="preserve">P3-015-BK-SF-ET-1515-SM4</t>
  </si>
  <si>
    <t xml:space="preserve">Square 2-way 1515 with screws M4</t>
  </si>
  <si>
    <t xml:space="preserve">P3-015-BK-SF-ET-2020-NS</t>
  </si>
  <si>
    <t xml:space="preserve">Square 2-way 2020 no screws</t>
  </si>
  <si>
    <t xml:space="preserve">P3-015-BK-SF-ET-2020-SM5</t>
  </si>
  <si>
    <t xml:space="preserve">Square 2-way 2020 with screws M5</t>
  </si>
  <si>
    <t xml:space="preserve">P3-015-BK-SF-ET-3030-NS</t>
  </si>
  <si>
    <t xml:space="preserve">Square 2-way 3030 no screws</t>
  </si>
  <si>
    <t xml:space="preserve">P3-015-BK-SF-ET-3030-SM8</t>
  </si>
  <si>
    <t xml:space="preserve">Square 2-way 3030 with screws M8</t>
  </si>
  <si>
    <t xml:space="preserve">P3-015-BK-SF-ST-1515-NS</t>
  </si>
  <si>
    <t xml:space="preserve">Square 3-way 1515 no screws</t>
  </si>
  <si>
    <t xml:space="preserve">P3-015-BK-SF-ST-1515-SM4</t>
  </si>
  <si>
    <t xml:space="preserve">Square 3-way 1515 with screws M4</t>
  </si>
  <si>
    <t xml:space="preserve">P3-015-BK-SF-ST-2020-NS</t>
  </si>
  <si>
    <t xml:space="preserve">Square 3-way 2020 no screws</t>
  </si>
  <si>
    <t xml:space="preserve">P3-015-BK-SF-ST-2020-SM5</t>
  </si>
  <si>
    <t xml:space="preserve">Square 3-way 2020 with screws M5</t>
  </si>
  <si>
    <t xml:space="preserve">P3-015-BK-SF-ST-3030-NS</t>
  </si>
  <si>
    <t xml:space="preserve">Square 3-way 3030 no screws</t>
  </si>
  <si>
    <t xml:space="preserve">P3-015-BK-SF-ST-3030-SM8</t>
  </si>
  <si>
    <t xml:space="preserve">Square 3-way 3030 with screws M8</t>
  </si>
  <si>
    <t xml:space="preserve">P3-015-BK-SJ-1515-NS</t>
  </si>
  <si>
    <t xml:space="preserve">Triangle 1515 no screws</t>
  </si>
  <si>
    <t xml:space="preserve">P3-015-BK-SJ-1515-SM4</t>
  </si>
  <si>
    <t xml:space="preserve">Triangle 1515 with screws M4</t>
  </si>
  <si>
    <t xml:space="preserve">P3-015-BK-SJ-2020-NS</t>
  </si>
  <si>
    <t xml:space="preserve">Triangle 2020 no screws</t>
  </si>
  <si>
    <t xml:space="preserve">P3-015-BK-SJ-2020-P5</t>
  </si>
  <si>
    <t xml:space="preserve">Triangle 2020</t>
  </si>
  <si>
    <t xml:space="preserve">P3-015-BK-SJ-2020-SM5</t>
  </si>
  <si>
    <t xml:space="preserve">Triangle 2020 with screws M5</t>
  </si>
  <si>
    <t xml:space="preserve">P3-015-BK-SJ-3030-NS</t>
  </si>
  <si>
    <t xml:space="preserve">Triangle 3030 no screws</t>
  </si>
  <si>
    <t xml:space="preserve">P3-015-BK-SJ-3030-SM8</t>
  </si>
  <si>
    <t xml:space="preserve">Triangle 3030 with screws M8</t>
  </si>
  <si>
    <t xml:space="preserve">P3-015-BL-SF-ST-Q-1515-NS</t>
  </si>
  <si>
    <t xml:space="preserve">Square 3-way Shallow 1515 no screws</t>
  </si>
  <si>
    <t xml:space="preserve">P3-015-BL-SF-ST-Q-1515-SM4</t>
  </si>
  <si>
    <t xml:space="preserve">Square 3-way Shallow 1515 with screws M4</t>
  </si>
  <si>
    <t xml:space="preserve">P3-015-BL-SF-ST-Q-2020-NS</t>
  </si>
  <si>
    <t xml:space="preserve">Square 3-way Shallow 2020 no screws</t>
  </si>
  <si>
    <t xml:space="preserve">P3-015-BL-SF-ST-S-1515-NS</t>
  </si>
  <si>
    <t xml:space="preserve">Square 3-way Deep 1515 no screws</t>
  </si>
  <si>
    <t xml:space="preserve">P3-015-BL-SF-ST-S-1515-SM4</t>
  </si>
  <si>
    <t xml:space="preserve">Square 3-way Deep 1515 with screws M4</t>
  </si>
  <si>
    <t xml:space="preserve">P3-015-BL-SF-ST-S-2020-NS</t>
  </si>
  <si>
    <t xml:space="preserve">Square 3-way Deep 2020 no screws</t>
  </si>
  <si>
    <t xml:space="preserve">P3-015-BL-SF-ST-S-2020-SM5</t>
  </si>
  <si>
    <t xml:space="preserve">Square 3-way Deep 2020 with screws M5</t>
  </si>
  <si>
    <t xml:space="preserve">P3-015-BL-SJ-S-2020-NS</t>
  </si>
  <si>
    <t xml:space="preserve">Triangle Deep 2020 no screws</t>
  </si>
  <si>
    <t xml:space="preserve">P3-015-BL-SJ-S-2020-SM5</t>
  </si>
  <si>
    <t xml:space="preserve">Triangle Deep 2020 with screws M5</t>
  </si>
  <si>
    <t xml:space="preserve">P3-015-GY-SJ-2020-NS</t>
  </si>
  <si>
    <t xml:space="preserve">P3-015-GY-SJ-2020-SM5</t>
  </si>
  <si>
    <t xml:space="preserve">P3-015-RD-SF-ST-1515-NS</t>
  </si>
  <si>
    <t xml:space="preserve">P3-015-RD-SF-ST-1515-SM4</t>
  </si>
  <si>
    <t xml:space="preserve">P3-015-RD-SF-ST-2020-NS</t>
  </si>
  <si>
    <t xml:space="preserve">P3-015-RD-SF-ST-2020-SM5</t>
  </si>
  <si>
    <t xml:space="preserve">P3-015-RD-SJ-2020-NS</t>
  </si>
  <si>
    <t xml:space="preserve">P3-015-RD-SJ-2020-SM5</t>
  </si>
  <si>
    <t xml:space="preserve">P3-015-SF-ST-JS-1515-NS</t>
  </si>
  <si>
    <t xml:space="preserve">Square 3-way Gold 1515 no screws</t>
  </si>
  <si>
    <t xml:space="preserve">P3-015-SF-ST-JS-1515-SM4</t>
  </si>
  <si>
    <t xml:space="preserve">Square 3-way Gold 1515 with screws M4</t>
  </si>
  <si>
    <t xml:space="preserve">P3-015-SF-ST-JS-2020-NS</t>
  </si>
  <si>
    <t xml:space="preserve">Square 3-way Gold 2020 no screws</t>
  </si>
  <si>
    <t xml:space="preserve">P3-015-SF-ST-JS-2020-SM5</t>
  </si>
  <si>
    <t xml:space="preserve">Square 3-way Gold 2020 with screws M5</t>
  </si>
  <si>
    <t xml:space="preserve">P3-015-SF-ST-LS-1515-NS</t>
  </si>
  <si>
    <t xml:space="preserve">Square 3-way Green 1515 no screws</t>
  </si>
  <si>
    <t xml:space="preserve">P3-015-SF-ST-LS-1515-SM4</t>
  </si>
  <si>
    <t xml:space="preserve">Square 3-way Green 1515 with screws M4</t>
  </si>
  <si>
    <t xml:space="preserve">P3-015-SF-ST-LS-2020-NS</t>
  </si>
  <si>
    <t xml:space="preserve">Square 3-way Green 2020 no screws</t>
  </si>
  <si>
    <t xml:space="preserve">P3-015-SF-ST-ZS-1515-NS</t>
  </si>
  <si>
    <t xml:space="preserve">Square 3-way Purple 1515 no screws</t>
  </si>
  <si>
    <t xml:space="preserve">P3-015-SF-ST-ZS-1515-SM4</t>
  </si>
  <si>
    <t xml:space="preserve">Square 3-way Purple 1515 with screws M4</t>
  </si>
  <si>
    <t xml:space="preserve">P3-015-SF-ST-ZS-2020-NS</t>
  </si>
  <si>
    <t xml:space="preserve">Square 3-way Purple 2020 no screws</t>
  </si>
  <si>
    <t xml:space="preserve">P3-015-SF-ST-ZS-2020-SM5</t>
  </si>
  <si>
    <t xml:space="preserve">Square 3-way Purple 2020 with screws M5</t>
  </si>
  <si>
    <t xml:space="preserve">P3-015-SJ-ZS-2020-NS</t>
  </si>
  <si>
    <t xml:space="preserve">Triangle Purple 2020 no screws</t>
  </si>
  <si>
    <t xml:space="preserve">P3-015-SJ-ZS-2020-SM5</t>
  </si>
  <si>
    <t xml:space="preserve">Triangle Purple 2020 with screws M5</t>
  </si>
  <si>
    <t xml:space="preserve">P3-015-SV-SF-ET-1515-NS</t>
  </si>
  <si>
    <t xml:space="preserve">P3-015-SV-SF-ET-1515-SM4</t>
  </si>
  <si>
    <t xml:space="preserve">P3-015-SV-SF-ET-2020-NS</t>
  </si>
  <si>
    <t xml:space="preserve">P3-015-SV-SF-ET-2020-SM5</t>
  </si>
  <si>
    <t xml:space="preserve">P3-015-SV-SF-ET-3030-NS</t>
  </si>
  <si>
    <t xml:space="preserve">P3-015-SV-SF-ET-3030-SM8</t>
  </si>
  <si>
    <t xml:space="preserve">P3-015-SV-SF-ST-1515-NS</t>
  </si>
  <si>
    <t xml:space="preserve">P3-015-SV-SF-ST-1515-SM4</t>
  </si>
  <si>
    <t xml:space="preserve">P3-015-SV-SF-ST-2020-NS</t>
  </si>
  <si>
    <t xml:space="preserve">P3-015-SV-SF-ST-2020-SM5</t>
  </si>
  <si>
    <t xml:space="preserve">P3-015-SV-SF-ST-3030-NS</t>
  </si>
  <si>
    <t xml:space="preserve">P3-015-SV-SF-ST-3030-SM8</t>
  </si>
  <si>
    <t xml:space="preserve">P3-015-SV-SJ-1515-NS</t>
  </si>
  <si>
    <t xml:space="preserve">P3-015-SV-SJ-1515-SM4</t>
  </si>
  <si>
    <t xml:space="preserve">P3-015-SV-SJ-2020-NS</t>
  </si>
  <si>
    <t xml:space="preserve">P3-015-SV-SJ-2020-SM5</t>
  </si>
  <si>
    <t xml:space="preserve">P3-015-SV-SJ-3030-NS</t>
  </si>
  <si>
    <t xml:space="preserve">P3-015-SV-SJ-3030-SM8</t>
  </si>
  <si>
    <t xml:space="preserve">Openbuilds Aluminum Spacer Block / Mounting Plate  [Openbuilds]</t>
  </si>
  <si>
    <t xml:space="preserve">P3-024-BK</t>
  </si>
  <si>
    <t xml:space="preserve">P3-024-WH</t>
  </si>
  <si>
    <t xml:space="preserve">Openbuilds CNC Fixed Plate  [Openbuilds]</t>
  </si>
  <si>
    <t xml:space="preserve">P3-036</t>
  </si>
  <si>
    <t xml:space="preserve">T8 Lead Screw Z-Axis Holder (2020 V-Slot)  [Openbuilds]</t>
  </si>
  <si>
    <t xml:space="preserve">One-piece</t>
  </si>
  <si>
    <t xml:space="preserve">P3-097-BK-YTB-AL</t>
  </si>
  <si>
    <t xml:space="preserve">P3-097-FTB-BJK</t>
  </si>
  <si>
    <t xml:space="preserve">Sheet metal</t>
  </si>
  <si>
    <t xml:space="preserve">Split</t>
  </si>
  <si>
    <t xml:space="preserve">P3-097-FTB-SLK</t>
  </si>
  <si>
    <t xml:space="preserve">Plastic</t>
  </si>
  <si>
    <t xml:space="preserve">V-Slot Eccentric Spacer, Hex, 5mm Bore  [Openbuilds]</t>
  </si>
  <si>
    <t xml:space="preserve">Nickel-plated OD 10 stepped</t>
  </si>
  <si>
    <t xml:space="preserve">P3-012-CS-NI-WJ10-DTJ</t>
  </si>
  <si>
    <t xml:space="preserve">P3-012-CS-NI-WJ10-DTJ-DD</t>
  </si>
  <si>
    <t xml:space="preserve">Nickel-plated OD 10 stepped dotted</t>
  </si>
  <si>
    <t xml:space="preserve">P3-012-CS-NI-WJ10-GD6-VC</t>
  </si>
  <si>
    <t xml:space="preserve">Nickel-plated OD 10 H 6mm V slot</t>
  </si>
  <si>
    <t xml:space="preserve">P3-012-CS-NI-WJ10-GD6-ZG8.5</t>
  </si>
  <si>
    <t xml:space="preserve">Nickel-plated OD 10 H 6mm total H 8.5</t>
  </si>
  <si>
    <t xml:space="preserve">P3-012-CS-NI-WJ10-GD6-ZG8.85</t>
  </si>
  <si>
    <t xml:space="preserve">Nickel-plated OD 10 H 6mm total H 8.85</t>
  </si>
  <si>
    <t xml:space="preserve">P3-012-CS-NI-WJ10-GD6.35</t>
  </si>
  <si>
    <t xml:space="preserve">Nickel-plated OD 10 H 6.35mm</t>
  </si>
  <si>
    <t xml:space="preserve">P3-012-CS-NI-WJ10-GD6.35-VC</t>
  </si>
  <si>
    <t xml:space="preserve">Nickel-plated OD 10 H 6.35mm V slot</t>
  </si>
  <si>
    <t xml:space="preserve">P3-012-CS-NI-WJ10-GD8</t>
  </si>
  <si>
    <t xml:space="preserve">Nickel-plated OD 10 H 8mm</t>
  </si>
  <si>
    <t xml:space="preserve">P3-012-CS-NI-WJ8-GD6</t>
  </si>
  <si>
    <t xml:space="preserve">Nickel-plated OD 8 H 6mm</t>
  </si>
  <si>
    <t xml:space="preserve">P3-012-SS-WJ10-DTJ</t>
  </si>
  <si>
    <t xml:space="preserve">Stainless OD 10 stepped</t>
  </si>
  <si>
    <t xml:space="preserve">P3-012-SS-WJ10-GD6</t>
  </si>
  <si>
    <t xml:space="preserve">Stainless OD 10 H 6mm</t>
  </si>
  <si>
    <t xml:space="preserve">P3-012-SS-WJ10-GD6-VC</t>
  </si>
  <si>
    <t xml:space="preserve">Stainless OD 10 H 6mm V slot</t>
  </si>
  <si>
    <t xml:space="preserve">P3-012-SS-WJ10-GD6.35</t>
  </si>
  <si>
    <t xml:space="preserve">Stainless OD 10 H 6.35mm</t>
  </si>
  <si>
    <t xml:space="preserve">P3-012-SS-WJ10-GD6.35-VC</t>
  </si>
  <si>
    <t xml:space="preserve">Stainless OD 10 H 6.35mm V slot</t>
  </si>
  <si>
    <t xml:space="preserve">P3-012-SS-WJ8-GD6-DTJ</t>
  </si>
  <si>
    <t xml:space="preserve">Stainless OD 8 H 6mm stepped</t>
  </si>
  <si>
    <t xml:space="preserve">P3-012-SS-WJ8-GD6.35-DTJ</t>
  </si>
  <si>
    <t xml:space="preserve">Stainless OD 8 H 6.35mm stepped</t>
  </si>
  <si>
    <t xml:space="preserve">Delta Carriage Arc Pulley  [Openbuilds]</t>
  </si>
  <si>
    <t xml:space="preserve">20mm</t>
  </si>
  <si>
    <t xml:space="preserve">M4 screw</t>
  </si>
  <si>
    <t xml:space="preserve">P3-017-20-M4LS</t>
  </si>
  <si>
    <t xml:space="preserve">P3-017-23-M6LS</t>
  </si>
  <si>
    <t xml:space="preserve">23mm</t>
  </si>
  <si>
    <t xml:space="preserve">M6 screw</t>
  </si>
  <si>
    <t xml:space="preserve">P3-017-25-M6LS</t>
  </si>
  <si>
    <t xml:space="preserve">25mm</t>
  </si>
  <si>
    <t xml:space="preserve">P3-017-27-M6LS</t>
  </si>
  <si>
    <t xml:space="preserve">27mm</t>
  </si>
  <si>
    <t xml:space="preserve">Titan Aero Direct Extruder V-Slot Carriage Motor Bracket  [Openbuilds]</t>
  </si>
  <si>
    <t xml:space="preserve">P3-093-BK-AK</t>
  </si>
  <si>
    <t xml:space="preserve">P3-093-BK-BK</t>
  </si>
  <si>
    <t xml:space="preserve">P3-093-SV-AK</t>
  </si>
  <si>
    <t xml:space="preserve">P3-093-SV-BK</t>
  </si>
  <si>
    <t xml:space="preserve">3DTouch Auto Bed Leveling Sensor Kit  [Sensors &amp; Cables]</t>
  </si>
  <si>
    <t xml:space="preserve">P3-011</t>
  </si>
  <si>
    <t xml:space="preserve">NEMA23 Stepper Extension Cable (23HD56001Y-21B)  [Sensors &amp; Cables]</t>
  </si>
  <si>
    <t xml:space="preserve">P3-091-2.5M</t>
  </si>
  <si>
    <t xml:space="preserve">P3-091-5M</t>
  </si>
  <si>
    <t xml:space="preserve">5m</t>
  </si>
  <si>
    <t xml:space="preserve">K-Type Thermocouple Sensor  [Sensors &amp; Cables]</t>
  </si>
  <si>
    <t xml:space="preserve">Plug</t>
  </si>
  <si>
    <t xml:space="preserve">3x15-1m</t>
  </si>
  <si>
    <t xml:space="preserve">K-type 3x15 probe</t>
  </si>
  <si>
    <t xml:space="preserve">with plug</t>
  </si>
  <si>
    <t xml:space="preserve">TC-P315-3x15-1M</t>
  </si>
  <si>
    <t xml:space="preserve">TC-PTFE-2x0.3</t>
  </si>
  <si>
    <t xml:space="preserve">2x0.3</t>
  </si>
  <si>
    <t xml:space="preserve">K-type PTFE thermocouple wire</t>
  </si>
  <si>
    <t xml:space="preserve">TC-PTFE-2x0.3-NP</t>
  </si>
  <si>
    <t xml:space="preserve">no plug</t>
  </si>
  <si>
    <t xml:space="preserve">TC-PTFE-2x0.4</t>
  </si>
  <si>
    <t xml:space="preserve">2x0.4</t>
  </si>
  <si>
    <t xml:space="preserve">TC-PTFE-2x0.4-NP</t>
  </si>
  <si>
    <t xml:space="preserve">TC-PTFE-2x0.5</t>
  </si>
  <si>
    <t xml:space="preserve">2x0.5</t>
  </si>
  <si>
    <t xml:space="preserve">TC-PTFE-2x0.5-NP</t>
  </si>
  <si>
    <t xml:space="preserve">TC-SCR-M3-1.5M</t>
  </si>
  <si>
    <t xml:space="preserve">M3-1.5m</t>
  </si>
  <si>
    <t xml:space="preserve">K-type screw probe</t>
  </si>
  <si>
    <t xml:space="preserve">TC-SCR-M4-1.5M</t>
  </si>
  <si>
    <t xml:space="preserve">M4-1.5m</t>
  </si>
  <si>
    <t xml:space="preserve">VORON 2.4 Stealthburner Quick-Release Adapter Board  [Sensors &amp; Cables]</t>
  </si>
  <si>
    <t xml:space="preserve">P3-002</t>
  </si>
  <si>
    <t xml:space="preserve">3-Pin Power Cord (C13) 220V  [Sensors &amp; Cables]</t>
  </si>
  <si>
    <t xml:space="preserve">P3-124</t>
  </si>
  <si>
    <t xml:space="preserve">410 Stainless Pan Flange Self-Drilling Screw M4.2 / M4.8  [Other Small Parts]</t>
  </si>
  <si>
    <t xml:space="preserve">M4.2x19</t>
  </si>
  <si>
    <t xml:space="preserve">P3-082-M4.2x19-BK</t>
  </si>
  <si>
    <t xml:space="preserve">P3-082-M4.8x19-BK</t>
  </si>
  <si>
    <t xml:space="preserve">M4.8x19</t>
  </si>
  <si>
    <t xml:space="preserve">P3-082-M4.8x19-SV</t>
  </si>
  <si>
    <t xml:space="preserve">K800 Round Magnet  [Other Small Parts]</t>
  </si>
  <si>
    <t xml:space="preserve">Hole Diameter (mm)</t>
  </si>
  <si>
    <t xml:space="preserve">P3-010-HD3-K3</t>
  </si>
  <si>
    <t xml:space="preserve">P3-010-HD4-K4</t>
  </si>
  <si>
    <t xml:space="preserve">VORON 2.4 Enclosure Round Magnet  [Other Small Parts]</t>
  </si>
  <si>
    <t xml:space="preserve">P3-117</t>
  </si>
  <si>
    <t xml:space="preserve">Double Open-End Wrench, Hex 8mm  [Other Small Parts]</t>
  </si>
  <si>
    <t xml:space="preserve">P3-114</t>
  </si>
  <si>
    <t xml:space="preserve">Carbon Steel Low-Head Flat Socket Screw M5  [Other Small Parts]</t>
  </si>
  <si>
    <t xml:space="preserve">P3-025-M5x10-P100</t>
  </si>
  <si>
    <t xml:space="preserve">P3-025-M5x12-P50</t>
  </si>
  <si>
    <t xml:space="preserve">P3-025-M5x15-P50</t>
  </si>
  <si>
    <t xml:space="preserve">M5x15</t>
  </si>
  <si>
    <t xml:space="preserve">P3-025-M5x20-P5</t>
  </si>
  <si>
    <t xml:space="preserve">P3-025-M5x22-P13</t>
  </si>
  <si>
    <t xml:space="preserve">P3-025-M5x25-P2</t>
  </si>
  <si>
    <t xml:space="preserve">P3-025-M5x28-P12</t>
  </si>
  <si>
    <t xml:space="preserve">M5x28</t>
  </si>
  <si>
    <t xml:space="preserve">P3-025-M5x30-P50</t>
  </si>
  <si>
    <t xml:space="preserve">P3-025-M5x32-P5</t>
  </si>
  <si>
    <t xml:space="preserve">M5x32</t>
  </si>
  <si>
    <t xml:space="preserve">P3-025-M5x35-P100</t>
  </si>
  <si>
    <t xml:space="preserve">M5x35</t>
  </si>
  <si>
    <t xml:space="preserve">P3-025-M5x40-P10</t>
  </si>
  <si>
    <t xml:space="preserve">M5x40</t>
  </si>
  <si>
    <t xml:space="preserve">P3-025-M5x45-P10</t>
  </si>
  <si>
    <t xml:space="preserve">M5x45</t>
  </si>
  <si>
    <t xml:space="preserve">P3-025-M5x50-P5</t>
  </si>
  <si>
    <t xml:space="preserve">M5x50</t>
  </si>
  <si>
    <t xml:space="preserve">P3-025-M5x55-P10</t>
  </si>
  <si>
    <t xml:space="preserve">M5x55</t>
  </si>
  <si>
    <t xml:space="preserve">P3-025-M5x6-P100</t>
  </si>
  <si>
    <t xml:space="preserve">M5x6</t>
  </si>
  <si>
    <t xml:space="preserve">P3-025-M5x60-P10</t>
  </si>
  <si>
    <t xml:space="preserve">M5x60</t>
  </si>
  <si>
    <t xml:space="preserve">P3-025-M5x65-P10</t>
  </si>
  <si>
    <t xml:space="preserve">M5x65</t>
  </si>
  <si>
    <t xml:space="preserve">P3-025-M5x8-P50</t>
  </si>
  <si>
    <t xml:space="preserve">Brass / 304 Stainless Precision Flat Shim  [Other Small Parts]</t>
  </si>
  <si>
    <t xml:space="preserve">11x15.7x1</t>
  </si>
  <si>
    <t xml:space="preserve">P3-020-11x15.7x1-BR-P5</t>
  </si>
  <si>
    <t xml:space="preserve">P3-020-5x10x1-BR</t>
  </si>
  <si>
    <t xml:space="preserve">P3-020-5x10x1-S304-P5</t>
  </si>
  <si>
    <t xml:space="preserve">P3-020-5x8x0.8-BR-P10</t>
  </si>
  <si>
    <t xml:space="preserve">5x8x0.8</t>
  </si>
  <si>
    <t xml:space="preserve">P3-020-5x8x1-BR</t>
  </si>
  <si>
    <t xml:space="preserve">P3-020-5x8x1-S304-P10</t>
  </si>
  <si>
    <t xml:space="preserve">P3-020-8x12x1-S304-P5</t>
  </si>
  <si>
    <t xml:space="preserve">8x12x1</t>
  </si>
  <si>
    <t xml:space="preserve">P3-020-8x12x3-S303-P4</t>
  </si>
  <si>
    <t xml:space="preserve">8x12x3</t>
  </si>
  <si>
    <t xml:space="preserve">3D Printer Nozzle (V6 / Volcano / MK8 / MK10 / CHT; Brass / Stainless / Hardened)  [Nozzles / Heater Blocks / Heat Breaks]</t>
  </si>
  <si>
    <t xml:space="preserve">Filament</t>
  </si>
  <si>
    <t xml:space="preserve">Hole Diameter</t>
  </si>
  <si>
    <t xml:space="preserve">Copper-plated</t>
  </si>
  <si>
    <t xml:space="preserve">CHT 3-hole</t>
  </si>
  <si>
    <t xml:space="preserve">NZ-CHT-CP-1.75-0.4</t>
  </si>
  <si>
    <t xml:space="preserve">NZ-CHT-CP-1.75-0.6</t>
  </si>
  <si>
    <t xml:space="preserve">NZ-CHT-CP-1.75-0.8</t>
  </si>
  <si>
    <t xml:space="preserve">NZ-CR10SP-BR-1.75-0.4</t>
  </si>
  <si>
    <t xml:space="preserve">CR-10SPro</t>
  </si>
  <si>
    <t xml:space="preserve">NZ-CR10SP-BR-1.75-0.6</t>
  </si>
  <si>
    <t xml:space="preserve">NZ-E7-BR-1.75-0.4</t>
  </si>
  <si>
    <t xml:space="preserve">Ender-7 high-flow</t>
  </si>
  <si>
    <t xml:space="preserve">NZ-LONG-BR-1.75-0.4</t>
  </si>
  <si>
    <t xml:space="preserve">NZ-LONG-BR-1.75-0.8</t>
  </si>
  <si>
    <t xml:space="preserve">NZ-MIX-BR-1.75-0.4</t>
  </si>
  <si>
    <t xml:space="preserve">E3D mixing</t>
  </si>
  <si>
    <t xml:space="preserve">NZ-MK10-BR-1.75-0.4</t>
  </si>
  <si>
    <t xml:space="preserve">MK10</t>
  </si>
  <si>
    <t xml:space="preserve">NZ-MK10-BR-1.75-0.4-K</t>
  </si>
  <si>
    <t xml:space="preserve">NZ-MK10-BR-KIT</t>
  </si>
  <si>
    <t xml:space="preserve">Extruder kit</t>
  </si>
  <si>
    <t xml:space="preserve">NZ-MK10-SS-1.75-0.3</t>
  </si>
  <si>
    <t xml:space="preserve">NZ-MK10-SS-1.75-0.4</t>
  </si>
  <si>
    <t xml:space="preserve">NZ-MK10-SS-1.75-0.5</t>
  </si>
  <si>
    <t xml:space="preserve">NZ-MK10-SS-1.75-0.6</t>
  </si>
  <si>
    <t xml:space="preserve">NZ-MK10-SS-1.75-0.8</t>
  </si>
  <si>
    <t xml:space="preserve">NZ-MK10-SS-1.75-1.0</t>
  </si>
  <si>
    <t xml:space="preserve">NZ-MK8-BR-1.75-0.2-OL</t>
  </si>
  <si>
    <t xml:space="preserve">Large OD</t>
  </si>
  <si>
    <t xml:space="preserve">MK8</t>
  </si>
  <si>
    <t xml:space="preserve">NZ-MK8-BR-1.75-0.2-OS</t>
  </si>
  <si>
    <t xml:space="preserve">Small OD</t>
  </si>
  <si>
    <t xml:space="preserve">NZ-MK8-BR-1.75-0.3-OS</t>
  </si>
  <si>
    <t xml:space="preserve">NZ-MK8-BR-1.75-0.4-OL</t>
  </si>
  <si>
    <t xml:space="preserve">NZ-MK8-BR-1.75-0.4-OS</t>
  </si>
  <si>
    <t xml:space="preserve">NZ-MK8-BR-1.75-0.5-OL</t>
  </si>
  <si>
    <t xml:space="preserve">NZ-MK8-BR-1.75-0.5-OS</t>
  </si>
  <si>
    <t xml:space="preserve">NZ-MK8-BR-1.75-0.6-OS</t>
  </si>
  <si>
    <t xml:space="preserve">NZ-MK8-BR-1.75-0.8-OS</t>
  </si>
  <si>
    <t xml:space="preserve">NZ-MK8-HS-1.75-0.6-OS</t>
  </si>
  <si>
    <t xml:space="preserve">Hardened steel</t>
  </si>
  <si>
    <t xml:space="preserve">NZ-MK8P-BR-1.75-0.1-P3</t>
  </si>
  <si>
    <t xml:space="preserve">MK8 pointed</t>
  </si>
  <si>
    <t xml:space="preserve">NZ-MK8P-BR-1.75-0.2-P3</t>
  </si>
  <si>
    <t xml:space="preserve">NZ-MK8P-BR-1.75-0.3-P3</t>
  </si>
  <si>
    <t xml:space="preserve">NZ-MK8P-BR-1.75-0.4-P3</t>
  </si>
  <si>
    <t xml:space="preserve">NZ-MK8P-BR-1.75-0.5-P3</t>
  </si>
  <si>
    <t xml:space="preserve">NZ-MK8P-BR-1.75-0.6-P3</t>
  </si>
  <si>
    <t xml:space="preserve">NZ-MK8P-BR-1.75-0.8-P3</t>
  </si>
  <si>
    <t xml:space="preserve">NZ-MK8P-BR-1.75-1.0-P3</t>
  </si>
  <si>
    <t xml:space="preserve">NZ-MK8P-BR-3.0-0.2</t>
  </si>
  <si>
    <t xml:space="preserve">NZ-MK8P-BR-3.0-0.3-P3</t>
  </si>
  <si>
    <t xml:space="preserve">NZ-MK8P-BR-3.0-0.4-P3</t>
  </si>
  <si>
    <t xml:space="preserve">NZ-MK8P-BR-3.0-0.5-P3</t>
  </si>
  <si>
    <t xml:space="preserve">NZ-MK8P-BR-3.0-0.6-P3</t>
  </si>
  <si>
    <t xml:space="preserve">NZ-MK8P-BR-3.0-1.0-P3</t>
  </si>
  <si>
    <t xml:space="preserve">NZ-MK8P-SS-1.75-0.2</t>
  </si>
  <si>
    <t xml:space="preserve">NZ-MK8P-SS-1.75-0.25</t>
  </si>
  <si>
    <t xml:space="preserve">0.25mm</t>
  </si>
  <si>
    <t xml:space="preserve">NZ-MK8P-SS-1.75-0.3</t>
  </si>
  <si>
    <t xml:space="preserve">NZ-MK8P-SS-1.75-0.4</t>
  </si>
  <si>
    <t xml:space="preserve">NZ-MK8P-SS-1.75-0.5</t>
  </si>
  <si>
    <t xml:space="preserve">NZ-MK8P-SS-1.75-0.6</t>
  </si>
  <si>
    <t xml:space="preserve">NZ-MK8P-SS-1.75-0.8</t>
  </si>
  <si>
    <t xml:space="preserve">NZ-MK8P-SS-1.75-1.0</t>
  </si>
  <si>
    <t xml:space="preserve">NZ-MK8P-SS-1.75-1.2</t>
  </si>
  <si>
    <t xml:space="preserve">1.2mm</t>
  </si>
  <si>
    <t xml:space="preserve">NZ-MK8P-SS-3.0-0.4</t>
  </si>
  <si>
    <t xml:space="preserve">NZ-MK8P-SS-3.0-1.0</t>
  </si>
  <si>
    <t xml:space="preserve">NZ-MK8SP-BR-1.75-0.2</t>
  </si>
  <si>
    <t xml:space="preserve">MK8 stainless tip</t>
  </si>
  <si>
    <t xml:space="preserve">NZ-MK8SP-BR-1.75-0.3</t>
  </si>
  <si>
    <t xml:space="preserve">NZ-MK8SP-BR-1.75-0.5</t>
  </si>
  <si>
    <t xml:space="preserve">NZ-MK8T-BR-1.75-0.4</t>
  </si>
  <si>
    <t xml:space="preserve">MK8 engraved PTFE</t>
  </si>
  <si>
    <t xml:space="preserve">NZ-MK8T-BR-1.75-0.6</t>
  </si>
  <si>
    <t xml:space="preserve">NZ-V6-BR-1.75-0.1-P3</t>
  </si>
  <si>
    <t xml:space="preserve">E3D-V6</t>
  </si>
  <si>
    <t xml:space="preserve">NZ-V6-BR-1.75-0.2-P3</t>
  </si>
  <si>
    <t xml:space="preserve">NZ-V6-BR-1.75-0.25-P3</t>
  </si>
  <si>
    <t xml:space="preserve">NZ-V6-BR-1.75-0.3-P3</t>
  </si>
  <si>
    <t xml:space="preserve">NZ-V6-BR-1.75-0.35-P3</t>
  </si>
  <si>
    <t xml:space="preserve">0.35mm</t>
  </si>
  <si>
    <t xml:space="preserve">NZ-V6-BR-1.75-0.4</t>
  </si>
  <si>
    <t xml:space="preserve">NZ-V6-BR-1.75-0.5-P3</t>
  </si>
  <si>
    <t xml:space="preserve">NZ-V6-BR-1.75-0.6-P3</t>
  </si>
  <si>
    <t xml:space="preserve">NZ-V6-BR-1.75-0.8-P3</t>
  </si>
  <si>
    <t xml:space="preserve">NZ-V6-BR-1.75-1.0-P3</t>
  </si>
  <si>
    <t xml:space="preserve">NZ-V6-BR-1.75-1.2-P3</t>
  </si>
  <si>
    <t xml:space="preserve">NZ-V6-BR-3.0-0.1-P3</t>
  </si>
  <si>
    <t xml:space="preserve">NZ-V6-BR-3.0-0.2-P3</t>
  </si>
  <si>
    <t xml:space="preserve">NZ-V6-BR-3.0-0.25-P3</t>
  </si>
  <si>
    <t xml:space="preserve">NZ-V6-BR-3.0-0.3-P3</t>
  </si>
  <si>
    <t xml:space="preserve">NZ-V6-BR-3.0-0.35-P3</t>
  </si>
  <si>
    <t xml:space="preserve">NZ-V6-BR-3.0-0.4-P3</t>
  </si>
  <si>
    <t xml:space="preserve">NZ-V6-BR-3.0-0.5-P3</t>
  </si>
  <si>
    <t xml:space="preserve">NZ-V6-BR-3.0-0.6-P3</t>
  </si>
  <si>
    <t xml:space="preserve">NZ-V6-BR-3.0-0.8-P3</t>
  </si>
  <si>
    <t xml:space="preserve">NZ-V6-BR-3.0-1.0</t>
  </si>
  <si>
    <t xml:space="preserve">NZ-V6-BR-3.0-1.2-P3</t>
  </si>
  <si>
    <t xml:space="preserve">NZ-V6-SS-1.75-0.2</t>
  </si>
  <si>
    <t xml:space="preserve">NZ-V6-SS-1.75-0.25</t>
  </si>
  <si>
    <t xml:space="preserve">NZ-V6-SS-1.75-0.3</t>
  </si>
  <si>
    <t xml:space="preserve">NZ-V6-SS-1.75-0.4</t>
  </si>
  <si>
    <t xml:space="preserve">NZ-V6-SS-1.75-0.5</t>
  </si>
  <si>
    <t xml:space="preserve">NZ-V6-SS-1.75-0.6</t>
  </si>
  <si>
    <t xml:space="preserve">NZ-V6-SS-1.75-0.8</t>
  </si>
  <si>
    <t xml:space="preserve">NZ-V6-SS-1.75-1.0</t>
  </si>
  <si>
    <t xml:space="preserve">NZ-V6-SS-1.75-1.2</t>
  </si>
  <si>
    <t xml:space="preserve">NZ-V6-SS-3.0-0.2</t>
  </si>
  <si>
    <t xml:space="preserve">NZ-V6-SS-3.0-0.25</t>
  </si>
  <si>
    <t xml:space="preserve">NZ-V6-SS-3.0-0.3</t>
  </si>
  <si>
    <t xml:space="preserve">NZ-V6-SS-3.0-0.4</t>
  </si>
  <si>
    <t xml:space="preserve">NZ-V6-SS-3.0-0.5</t>
  </si>
  <si>
    <t xml:space="preserve">NZ-V6-SS-3.0-0.6</t>
  </si>
  <si>
    <t xml:space="preserve">NZ-V6-SS-3.0-0.8</t>
  </si>
  <si>
    <t xml:space="preserve">NZ-V6-SS-3.0-1.0</t>
  </si>
  <si>
    <t xml:space="preserve">NZ-VOL-BR-1.75-0.2</t>
  </si>
  <si>
    <t xml:space="preserve">V6 Volcano large bore</t>
  </si>
  <si>
    <t xml:space="preserve">NZ-VOL-BR-1.75-0.3</t>
  </si>
  <si>
    <t xml:space="preserve">NZ-VOL-BR-1.75-0.4</t>
  </si>
  <si>
    <t xml:space="preserve">NZ-VOL-BR-1.75-0.5</t>
  </si>
  <si>
    <t xml:space="preserve">NZ-VOL-BR-1.75-0.6</t>
  </si>
  <si>
    <t xml:space="preserve">NZ-VOL-BR-1.75-0.8</t>
  </si>
  <si>
    <t xml:space="preserve">NZ-VOL-BR-1.75-1.0</t>
  </si>
  <si>
    <t xml:space="preserve">NZ-VOL-BR-1.75-1.2</t>
  </si>
  <si>
    <t xml:space="preserve">NZ-VOL-BR-3.0-0.4</t>
  </si>
  <si>
    <t xml:space="preserve">NZ-VOL-BR-3.0-0.6</t>
  </si>
  <si>
    <t xml:space="preserve">NZ-VOL-BR-3.0-0.8</t>
  </si>
  <si>
    <t xml:space="preserve">NZ-VOL-BR-3.0-1.0</t>
  </si>
  <si>
    <t xml:space="preserve">NZ-VOL-BR-3.0-1.2</t>
  </si>
  <si>
    <t xml:space="preserve">NZ-VOL-HS-1.75-0.2-BK</t>
  </si>
  <si>
    <t xml:space="preserve">NZ-VOL-HS-1.75-0.4-BK</t>
  </si>
  <si>
    <t xml:space="preserve">NZ-VOL-HS-1.75-0.6-BK</t>
  </si>
  <si>
    <t xml:space="preserve">NZ-VOL-HS-1.75-0.6-HEX-BK</t>
  </si>
  <si>
    <t xml:space="preserve">Hex Black</t>
  </si>
  <si>
    <t xml:space="preserve">NZ-VOL-HS-1.75-0.8-BK</t>
  </si>
  <si>
    <t xml:space="preserve">NZ-VOL-SS-1.75-0.2</t>
  </si>
  <si>
    <t xml:space="preserve">NZ-VOL-SS-1.75-0.3</t>
  </si>
  <si>
    <t xml:space="preserve">NZ-VOL-SS-1.75-0.4</t>
  </si>
  <si>
    <t xml:space="preserve">NZ-VOL-SS-1.75-0.5</t>
  </si>
  <si>
    <t xml:space="preserve">NZ-VOL-SS-1.75-0.6</t>
  </si>
  <si>
    <t xml:space="preserve">NZ-VOL-SS-1.75-0.8</t>
  </si>
  <si>
    <t xml:space="preserve">NZ-VOL-SS-1.75-1.0</t>
  </si>
  <si>
    <t xml:space="preserve">NZ-VOL-SS-1.75-1.2</t>
  </si>
  <si>
    <t xml:space="preserve">NZ-VOL-SS-3.0-0.2</t>
  </si>
  <si>
    <t xml:space="preserve">NZ-VOL-SS-3.0-0.3</t>
  </si>
  <si>
    <t xml:space="preserve">NZ-VOL-SS-3.0-0.4</t>
  </si>
  <si>
    <t xml:space="preserve">NZ-VOL-SS-3.0-0.5</t>
  </si>
  <si>
    <t xml:space="preserve">NZ-VOL-SS-3.0-0.6</t>
  </si>
  <si>
    <t xml:space="preserve">NZ-VOL-SS-3.0-0.8</t>
  </si>
  <si>
    <t xml:space="preserve">NZ-VOL-SS-3.0-1.0</t>
  </si>
  <si>
    <t xml:space="preserve">NZ-VOL-SS-3.0-1.2</t>
  </si>
  <si>
    <t xml:space="preserve">NZ-VOLT-BR-1.75-0.4</t>
  </si>
  <si>
    <t xml:space="preserve">V6 Volcano PTFE</t>
  </si>
  <si>
    <t xml:space="preserve">NZ-VOLT-BR-1.75-0.6</t>
  </si>
  <si>
    <t xml:space="preserve">Ender-3 Sprite Hotend Parts (Ti Heat Break / Block / Thermistor / Heater)  [Nozzles / Heater Blocks / Heat Breaks]</t>
  </si>
  <si>
    <t xml:space="preserve">Extruder adapter plate</t>
  </si>
  <si>
    <t xml:space="preserve">P3-005-JCJZJB</t>
  </si>
  <si>
    <t xml:space="preserve">P3-005-RD-24V-40W-JRGB</t>
  </si>
  <si>
    <t xml:space="preserve">Heater cartridge</t>
  </si>
  <si>
    <t xml:space="preserve">24V</t>
  </si>
  <si>
    <t xml:space="preserve">40W</t>
  </si>
  <si>
    <t xml:space="preserve">P3-005-RD-RMDYX</t>
  </si>
  <si>
    <t xml:space="preserve">Thermistor cable</t>
  </si>
  <si>
    <t xml:space="preserve">P3-005-SET</t>
  </si>
  <si>
    <t xml:space="preserve">P3-005-WH-24V-40W-JRGB</t>
  </si>
  <si>
    <t xml:space="preserve">P3-005-WH-RMDYX</t>
  </si>
  <si>
    <t xml:space="preserve">Ender-3 V3 Integrated Ceramic Hotend Kit  [Nozzles / Heater Blocks / Heat Breaks]</t>
  </si>
  <si>
    <t xml:space="preserve">no heatsink</t>
  </si>
  <si>
    <t xml:space="preserve">P3-048-BDSRQ</t>
  </si>
  <si>
    <t xml:space="preserve">P3-048-DSRQ</t>
  </si>
  <si>
    <t xml:space="preserve">with heatsink</t>
  </si>
  <si>
    <t xml:space="preserve">MK10 All-Metal Hotend Conversion Kit (Micro Swiss style)  [Nozzles / Heater Blocks / Heat Breaks]</t>
  </si>
  <si>
    <t xml:space="preserve">P3-001</t>
  </si>
  <si>
    <t xml:space="preserve">Makerbot MK8 Throat Mounting Block (Single / Dual)  [Nozzles / Heater Blocks / Heat Breaks]</t>
  </si>
  <si>
    <t xml:space="preserve">Single-nozzle block</t>
  </si>
  <si>
    <t xml:space="preserve">P3-073-DPTLK</t>
  </si>
  <si>
    <t xml:space="preserve">P3-073-SPTLK</t>
  </si>
  <si>
    <t xml:space="preserve">Dual-nozzle block</t>
  </si>
  <si>
    <t xml:space="preserve">NTC 100K 3950 Thermistor Sensor  [Nozzles / Heater Blocks / Heat Breaks]</t>
  </si>
  <si>
    <t xml:space="preserve">F type</t>
  </si>
  <si>
    <t xml:space="preserve">P3-061-3x15-WH-FK-SS</t>
  </si>
  <si>
    <t xml:space="preserve">P3-061-AK-1.5M</t>
  </si>
  <si>
    <t xml:space="preserve">P3-061-AK-1M</t>
  </si>
  <si>
    <t xml:space="preserve">P3-061-AK-2M</t>
  </si>
  <si>
    <t xml:space="preserve">P3-061-BK-0.1M</t>
  </si>
  <si>
    <t xml:space="preserve">P3-061-BK-0.21M</t>
  </si>
  <si>
    <t xml:space="preserve">0.21m</t>
  </si>
  <si>
    <t xml:space="preserve">P3-061-BK-0.7M</t>
  </si>
  <si>
    <t xml:space="preserve">P3-061-BK-1M</t>
  </si>
  <si>
    <t xml:space="preserve">P3-061-BK-BK-1M</t>
  </si>
  <si>
    <t xml:space="preserve">P3-061-BK-DK-1M</t>
  </si>
  <si>
    <t xml:space="preserve">D type</t>
  </si>
  <si>
    <t xml:space="preserve">P3-061-BK-EK-1M</t>
  </si>
  <si>
    <t xml:space="preserve">E type</t>
  </si>
  <si>
    <t xml:space="preserve">P3-061-CK-1.5M</t>
  </si>
  <si>
    <t xml:space="preserve">P3-061-CK-1M</t>
  </si>
  <si>
    <t xml:space="preserve">P3-061-CK-1MYB-P5</t>
  </si>
  <si>
    <t xml:space="preserve">1m (1 pack)</t>
  </si>
  <si>
    <t xml:space="preserve">P3-061-CK-2M</t>
  </si>
  <si>
    <t xml:space="preserve">P3-061-DK-1M</t>
  </si>
  <si>
    <t xml:space="preserve">P3-061-DK-1M-P5</t>
  </si>
  <si>
    <t xml:space="preserve">Ultimaker 2 Hotend Stainless Holder  [Nozzles / Heater Blocks / Heat Breaks]</t>
  </si>
  <si>
    <t xml:space="preserve">Holder</t>
  </si>
  <si>
    <t xml:space="preserve">P3-057-M6x0.75-SS-GDZ</t>
  </si>
  <si>
    <t xml:space="preserve">P3-057-SF-1.75HCY</t>
  </si>
  <si>
    <t xml:space="preserve">1.75mm filament</t>
  </si>
  <si>
    <t xml:space="preserve">PTFE</t>
  </si>
  <si>
    <t xml:space="preserve">P3-057-SF-3HCY</t>
  </si>
  <si>
    <t xml:space="preserve">3mm filament</t>
  </si>
  <si>
    <t xml:space="preserve">V5/V6 Hotend Groove Mount Plate  [Nozzles / Heater Blocks / Heat Breaks]</t>
  </si>
  <si>
    <t xml:space="preserve">Nylon V5</t>
  </si>
  <si>
    <t xml:space="preserve">P3-042-BK-NL-V5</t>
  </si>
  <si>
    <t xml:space="preserve">P3-042-BK-NL-V6</t>
  </si>
  <si>
    <t xml:space="preserve">Nylon V6</t>
  </si>
  <si>
    <t xml:space="preserve">P3-042-SV-AL-V5</t>
  </si>
  <si>
    <t xml:space="preserve">V5</t>
  </si>
  <si>
    <t xml:space="preserve">P3-042-SV-AL-V6</t>
  </si>
  <si>
    <t xml:space="preserve">V6</t>
  </si>
  <si>
    <t xml:space="preserve">V6 Volcano Hotend Mounting Bracket  [Nozzles / Heater Blocks / Heat Breaks]</t>
  </si>
  <si>
    <t xml:space="preserve">P3-107</t>
  </si>
  <si>
    <t xml:space="preserve">VORON High-Flow Ceramic Hotend Kit E3D V6 24V  [Nozzles / Heater Blocks / Heat Breaks]</t>
  </si>
  <si>
    <t xml:space="preserve">Aluminum heatsink gunmetal</t>
  </si>
  <si>
    <t xml:space="preserve">P3-008-GY-LSRQ-Q</t>
  </si>
  <si>
    <t xml:space="preserve">P3-008-JRJHJRKJRQRMYCXGJT</t>
  </si>
  <si>
    <t xml:space="preserve">Heater parts (incl. heater block/heater/thermistor/extension cable/silicone sock)</t>
  </si>
  <si>
    <t xml:space="preserve">P3-008-QTV6-VORONTCRDTJ</t>
  </si>
  <si>
    <t xml:space="preserve">Complete V6-VORON ceramic hotend kit</t>
  </si>
  <si>
    <t xml:space="preserve">P3-008-SV-VORON0LYV6QTSRG</t>
  </si>
  <si>
    <t xml:space="preserve">Voron0 Louis V6 cut heatsink </t>
  </si>
  <si>
    <t xml:space="preserve">i3 U-Shaped Aluminum Bracket  [Nozzles / Heater Blocks / Heat Breaks]</t>
  </si>
  <si>
    <t xml:space="preserve">Only U-shaped Al plate</t>
  </si>
  <si>
    <t xml:space="preserve">P3-052-SUXLP</t>
  </si>
  <si>
    <t xml:space="preserve">P3-052-UXLP-+HK</t>
  </si>
  <si>
    <t xml:space="preserve">U-shaped Al plate + carriage</t>
  </si>
  <si>
    <t xml:space="preserve">Heater Block Silicone Sock (MK8 / MK9 / MK10 / V6)  [Nozzles / Heater Blocks / Heat Breaks]</t>
  </si>
  <si>
    <t xml:space="preserve">P3-051-BK-MK10</t>
  </si>
  <si>
    <t xml:space="preserve">P3-051-BK-MK8</t>
  </si>
  <si>
    <t xml:space="preserve">P3-051-BK-MK9</t>
  </si>
  <si>
    <t xml:space="preserve">MK9</t>
  </si>
  <si>
    <t xml:space="preserve">P3-051-BK-TZGJT</t>
  </si>
  <si>
    <t xml:space="preserve">Bambu silicone sock</t>
  </si>
  <si>
    <t xml:space="preserve">P3-051-BK-V6-NON-OFFICAL</t>
  </si>
  <si>
    <t xml:space="preserve">V6 Non-Offical</t>
  </si>
  <si>
    <t xml:space="preserve">P3-051-BK-V6-OFFICAL</t>
  </si>
  <si>
    <t xml:space="preserve">V6 Offical</t>
  </si>
  <si>
    <t xml:space="preserve">P3-051-BK-VOLCANO</t>
  </si>
  <si>
    <t xml:space="preserve">Volcano</t>
  </si>
  <si>
    <t xml:space="preserve">P3-051-BK-XK-V6</t>
  </si>
  <si>
    <t xml:space="preserve">new V6</t>
  </si>
  <si>
    <t xml:space="preserve">P3-051-BK-XKV6-PT100</t>
  </si>
  <si>
    <t xml:space="preserve">new V6 PT100</t>
  </si>
  <si>
    <t xml:space="preserve">P3-051-BL-MK10</t>
  </si>
  <si>
    <t xml:space="preserve">P3-051-BL-MK8</t>
  </si>
  <si>
    <t xml:space="preserve">P3-051-BL-MK9</t>
  </si>
  <si>
    <t xml:space="preserve">P3-051-BL-V6-NON-OFFICAL</t>
  </si>
  <si>
    <t xml:space="preserve">P3-051-BL-V6-OFFICAL</t>
  </si>
  <si>
    <t xml:space="preserve">P3-051-BL-VOLCANO</t>
  </si>
  <si>
    <t xml:space="preserve">P3-051-BL-XK-V6</t>
  </si>
  <si>
    <t xml:space="preserve">P3-051-BL-XKV6-PT100</t>
  </si>
  <si>
    <t xml:space="preserve">P3-051-MK8SZS</t>
  </si>
  <si>
    <t xml:space="preserve">MK8 Dark brown</t>
  </si>
  <si>
    <t xml:space="preserve">P3-051-MK9FS</t>
  </si>
  <si>
    <t xml:space="preserve">MK9 Pink</t>
  </si>
  <si>
    <t xml:space="preserve">P3-051-MK9SZS</t>
  </si>
  <si>
    <t xml:space="preserve">MK9 Dark brown</t>
  </si>
  <si>
    <t xml:space="preserve">P3-051-V6-NON-OFFICALSZS</t>
  </si>
  <si>
    <t xml:space="preserve">V6 Non-Offical Dark brown</t>
  </si>
  <si>
    <t xml:space="preserve">P3-051-V6-OFFICALSZS</t>
  </si>
  <si>
    <t xml:space="preserve">V6 Offical Dark brown</t>
  </si>
  <si>
    <t xml:space="preserve">P3-051-YL-MK8</t>
  </si>
  <si>
    <t xml:space="preserve">P3-051-YL-MK9</t>
  </si>
  <si>
    <t xml:space="preserve">P3-051-YL-V6-NON-OFFICAL</t>
  </si>
  <si>
    <t xml:space="preserve">P3-051-YL-V6-OFFICAL</t>
  </si>
  <si>
    <t xml:space="preserve">P3-051-YL-XK-V6</t>
  </si>
  <si>
    <t xml:space="preserve">Heater Block Insulation Cotton 3mm  [Nozzles / Heater Blocks / Heat Breaks]</t>
  </si>
  <si>
    <t xml:space="preserve">P3-054</t>
  </si>
  <si>
    <t xml:space="preserve">Cartridge Heater (6x15 / 6x20, 12V / 24V)  [Nozzles / Heater Blocks / Heat Breaks]</t>
  </si>
  <si>
    <t xml:space="preserve">Standard 22 AWG</t>
  </si>
  <si>
    <t xml:space="preserve">12V</t>
  </si>
  <si>
    <t xml:space="preserve">30W</t>
  </si>
  <si>
    <t xml:space="preserve">HTR-6x15-12V-30W-1M-AWG22</t>
  </si>
  <si>
    <t xml:space="preserve">HTR-6x15-12V-40W-1.5M-AWG22</t>
  </si>
  <si>
    <t xml:space="preserve">HTR-6x15-12V-40W-1M-AWG22</t>
  </si>
  <si>
    <t xml:space="preserve">HTR-6x15-12V-50W-1M-AWG22</t>
  </si>
  <si>
    <t xml:space="preserve">50W</t>
  </si>
  <si>
    <t xml:space="preserve">HTR-6x15-24V-30W-1M-AWG22</t>
  </si>
  <si>
    <t xml:space="preserve">HTR-6x15-24V-30W-1M-AWG22-SM</t>
  </si>
  <si>
    <t xml:space="preserve">Standard 22 AWG belt Sm terminal</t>
  </si>
  <si>
    <t xml:space="preserve">HTR-6x15-24V-40W-1.5M-AWG22</t>
  </si>
  <si>
    <t xml:space="preserve">HTR-6x15-24V-40W-1M-AWG22</t>
  </si>
  <si>
    <t xml:space="preserve">HTR-6x15-24V-40W-1M-AWG22-SM</t>
  </si>
  <si>
    <t xml:space="preserve">HTR-6x15-24V-50W-0.15M-VRN</t>
  </si>
  <si>
    <t xml:space="preserve">VORON meadow green</t>
  </si>
  <si>
    <t xml:space="preserve">0.15m</t>
  </si>
  <si>
    <t xml:space="preserve">HTR-6x15-24V-50W-1M-AWG22</t>
  </si>
  <si>
    <t xml:space="preserve">HTR-6x15-24V-65W-0.15M-VRN</t>
  </si>
  <si>
    <t xml:space="preserve">65W</t>
  </si>
  <si>
    <t xml:space="preserve">HTR-6x20-12V-30W-1M-AWG22</t>
  </si>
  <si>
    <t xml:space="preserve">HTR-6x20-12V-40W-1M-AWG22</t>
  </si>
  <si>
    <t xml:space="preserve">HTR-6x20-12V-40W-1M-AWG22-SM</t>
  </si>
  <si>
    <t xml:space="preserve">HTR-6x20-12V-40W-1M-HQ-AWG20</t>
  </si>
  <si>
    <t xml:space="preserve">Premium 20 AWG</t>
  </si>
  <si>
    <t xml:space="preserve">HTR-6x20-12V-50W-1M</t>
  </si>
  <si>
    <t xml:space="preserve">HTR-6x20-12V-50W-1M-AWG22</t>
  </si>
  <si>
    <t xml:space="preserve">HTR-6x20-12V-50W-1M-AWG22-SM</t>
  </si>
  <si>
    <t xml:space="preserve">HTR-6x20-12V-60W-1M</t>
  </si>
  <si>
    <t xml:space="preserve">60W</t>
  </si>
  <si>
    <t xml:space="preserve">HTR-6x20-12V-70W-1M</t>
  </si>
  <si>
    <t xml:space="preserve">70W</t>
  </si>
  <si>
    <t xml:space="preserve">HTR-6x20-24V-30W-1M-AWG22</t>
  </si>
  <si>
    <t xml:space="preserve">HTR-6x20-24V-40W-0.2M-AWG22-T</t>
  </si>
  <si>
    <t xml:space="preserve">Standard 22 AWG with terminal</t>
  </si>
  <si>
    <t xml:space="preserve">HTR-6x20-24V-40W-1.2M-AWG22</t>
  </si>
  <si>
    <t xml:space="preserve">HTR-6x20-24V-40W-1.5M-AWG22</t>
  </si>
  <si>
    <t xml:space="preserve">HTR-6x20-24V-40W-1M-AWG22</t>
  </si>
  <si>
    <t xml:space="preserve">HTR-6x20-24V-40W-1M-AWG22-SM</t>
  </si>
  <si>
    <t xml:space="preserve">HTR-6x20-24V-50W-1M</t>
  </si>
  <si>
    <t xml:space="preserve">HTR-6x20-24V-50W-1M-AWG22</t>
  </si>
  <si>
    <t xml:space="preserve">HTR-6x20-24V-50W-2M-AWG22</t>
  </si>
  <si>
    <t xml:space="preserve">HTR-6x20-24V-60W-1M</t>
  </si>
  <si>
    <t xml:space="preserve">HTR-6x20-24V-60W-2M</t>
  </si>
  <si>
    <t xml:space="preserve">HTR-6x20-24V-70W-1M</t>
  </si>
  <si>
    <t xml:space="preserve">HTR-6x30-12V-40W-1M-AWG22</t>
  </si>
  <si>
    <t xml:space="preserve">6x30</t>
  </si>
  <si>
    <t xml:space="preserve">HTR-6x30-24V-40W-1M-AWG22</t>
  </si>
  <si>
    <t xml:space="preserve">Rattlesnake X1 / Genius Hotend Kit  [Nozzles / Heater Blocks / Heat Breaks]</t>
  </si>
  <si>
    <t xml:space="preserve">P3-007</t>
  </si>
  <si>
    <t xml:space="preserve">Heat Break Throat (MK8 / V6 Direct &amp; Bowden / Mixing / MK10)  [Nozzles / Heater Blocks / Heat Breaks]</t>
  </si>
  <si>
    <t xml:space="preserve">Filament / Bore</t>
  </si>
  <si>
    <t xml:space="preserve">PTFE Tube</t>
  </si>
  <si>
    <t xml:space="preserve">Mixing hotend</t>
  </si>
  <si>
    <t xml:space="preserve">no PTFE tube</t>
  </si>
  <si>
    <t xml:space="preserve">THR-MIX-1.75-NT</t>
  </si>
  <si>
    <t xml:space="preserve">THR-MIX-3-PT</t>
  </si>
  <si>
    <t xml:space="preserve">with PTFE tube</t>
  </si>
  <si>
    <t xml:space="preserve">THR-MIX-TH4.1</t>
  </si>
  <si>
    <t xml:space="preserve">Through 4.1</t>
  </si>
  <si>
    <t xml:space="preserve">THR-MK10-TH4.0</t>
  </si>
  <si>
    <t xml:space="preserve">Through 4.0</t>
  </si>
  <si>
    <t xml:space="preserve">THR-MK8-1.75-NT</t>
  </si>
  <si>
    <t xml:space="preserve">THR-MK8-1.75-PT</t>
  </si>
  <si>
    <t xml:space="preserve">THR-MK8-18-1.75-PT</t>
  </si>
  <si>
    <t xml:space="preserve">MK8-M6</t>
  </si>
  <si>
    <t xml:space="preserve">18mm</t>
  </si>
  <si>
    <t xml:space="preserve">THR-MK8-26-1.75-PT</t>
  </si>
  <si>
    <t xml:space="preserve">26mm</t>
  </si>
  <si>
    <t xml:space="preserve">THR-MK8-26.5-NT</t>
  </si>
  <si>
    <t xml:space="preserve">26.5mm</t>
  </si>
  <si>
    <t xml:space="preserve">THR-MK8-30-1.75-PT</t>
  </si>
  <si>
    <t xml:space="preserve">30mm</t>
  </si>
  <si>
    <t xml:space="preserve">THR-MK8-30-1.75-PT-P5</t>
  </si>
  <si>
    <t xml:space="preserve">THR-MK8-30-NT</t>
  </si>
  <si>
    <t xml:space="preserve">THR-MK8-30-SET</t>
  </si>
  <si>
    <t xml:space="preserve">with pointed nozzle 0.4+ drill bit 0.4</t>
  </si>
  <si>
    <t xml:space="preserve">THR-MK8-35-1.75-PT</t>
  </si>
  <si>
    <t xml:space="preserve">35mm</t>
  </si>
  <si>
    <t xml:space="preserve">THR-MK8-35-NT</t>
  </si>
  <si>
    <t xml:space="preserve">THR-MK8-38-1.75-PT</t>
  </si>
  <si>
    <t xml:space="preserve">38mm</t>
  </si>
  <si>
    <t xml:space="preserve">THR-MK8-40-1.75-PT</t>
  </si>
  <si>
    <t xml:space="preserve">40mm</t>
  </si>
  <si>
    <t xml:space="preserve">THR-MK8-45-1.75-PT</t>
  </si>
  <si>
    <t xml:space="preserve">45mm</t>
  </si>
  <si>
    <t xml:space="preserve">THR-MK8-50-1.75-PT</t>
  </si>
  <si>
    <t xml:space="preserve">50mm</t>
  </si>
  <si>
    <t xml:space="preserve">THR-V6CU-RT</t>
  </si>
  <si>
    <t xml:space="preserve">Bowden threaded</t>
  </si>
  <si>
    <t xml:space="preserve">V6 copper alloy M7</t>
  </si>
  <si>
    <t xml:space="preserve">THR-V6CU-SM</t>
  </si>
  <si>
    <t xml:space="preserve">Multi-nozzle smooth</t>
  </si>
  <si>
    <t xml:space="preserve">THR-V6N-1.75-NT</t>
  </si>
  <si>
    <t xml:space="preserve">V6 Direct</t>
  </si>
  <si>
    <t xml:space="preserve">THR-V6N-1.75-PT</t>
  </si>
  <si>
    <t xml:space="preserve">THR-V6N-3-NT</t>
  </si>
  <si>
    <t xml:space="preserve">THR-V6R-1.75-NT</t>
  </si>
  <si>
    <t xml:space="preserve">V6 Bowden</t>
  </si>
  <si>
    <t xml:space="preserve">THR-V6R-1.75-PT</t>
  </si>
  <si>
    <t xml:space="preserve">THR-V6R-3-NT</t>
  </si>
  <si>
    <t xml:space="preserve">THR-V6R-3-PT</t>
  </si>
  <si>
    <t xml:space="preserve">THR-V6R-TH4.1</t>
  </si>
  <si>
    <t xml:space="preserve">Nozzle &amp; Filament Cleaning Tool Kit  [Nozzles / Heater Blocks / Heat Breaks]</t>
  </si>
  <si>
    <t xml:space="preserve">P3-049</t>
  </si>
  <si>
    <t xml:space="preserve">Nozzle Cleaning Needles, Stainless  [Nozzles / Heater Blocks / Heat Breaks]</t>
  </si>
  <si>
    <t xml:space="preserve">10 pcs (1 tube)</t>
  </si>
  <si>
    <t xml:space="preserve">0.35* L 50mm</t>
  </si>
  <si>
    <t xml:space="preserve">P3-006-0.35xZ50-10Z1G</t>
  </si>
  <si>
    <t xml:space="preserve">P3-006-0.35xZ50-5Z1G</t>
  </si>
  <si>
    <t xml:space="preserve">5 pcs (1 tube)</t>
  </si>
  <si>
    <t xml:space="preserve">P3-006-0.4xZ50-10Z1G</t>
  </si>
  <si>
    <t xml:space="preserve">0.4* L 50mm</t>
  </si>
  <si>
    <t xml:space="preserve">Nozzle Cleaning Needle Kit  [Nozzles / Heater Blocks / Heat Breaks]</t>
  </si>
  <si>
    <t xml:space="preserve">P3-116</t>
  </si>
  <si>
    <t xml:space="preserve">Bambu P1P / X1 Ceramic Heater &amp; Thermistor Cable  [Nozzles / Heater Blocks / Heat Breaks]</t>
  </si>
  <si>
    <t xml:space="preserve">xh2.54 terminal 120mm 3-4 ohm</t>
  </si>
  <si>
    <t xml:space="preserve">P3-113-12V-xH2.54DZ120-3-4O</t>
  </si>
  <si>
    <t xml:space="preserve">P3-113-24V-80W-P1PP1SJRPCWXZJ-SJZG350C</t>
  </si>
  <si>
    <t xml:space="preserve">P1P/P1S heater &amp; thermistor assembly upgraded, max 350'C</t>
  </si>
  <si>
    <t xml:space="preserve">P3-113-24V-80W-VORONYTCJRP15CM-Mx3.0DZ</t>
  </si>
  <si>
    <t xml:space="preserve">voron ceramic heater 15cm MX3.0 terminal</t>
  </si>
  <si>
    <t xml:space="preserve">P3-113-JB103NGWDRGZ2G-NW300C-ZGZ</t>
  </si>
  <si>
    <t xml:space="preserve">JB103 high-temp thermal paste 2g rated 300°C syringe</t>
  </si>
  <si>
    <t xml:space="preserve">P3-113-x1CRMDZXGH1.25DZ</t>
  </si>
  <si>
    <t xml:space="preserve">X1C thermistor cable (gh1.25 terminal)</t>
  </si>
  <si>
    <t xml:space="preserve">CR-10 Bed Leveling Kit M4 (nut / screw / spring)  [Springs &amp; Leveling]</t>
  </si>
  <si>
    <t xml:space="preserve">White silicone column + screw nut each</t>
  </si>
  <si>
    <t xml:space="preserve">P3-099-BK-BSGJZ-+LS-LM-G-P4</t>
  </si>
  <si>
    <t xml:space="preserve">P3-099-BK-LS-+TH-LM-G-P10</t>
  </si>
  <si>
    <t xml:space="preserve">screw + Spring nut each</t>
  </si>
  <si>
    <t xml:space="preserve">P3-099-BK-LS-+TH-LM-G-P4</t>
  </si>
  <si>
    <t xml:space="preserve">P3-099-BK-SNLM-M4</t>
  </si>
  <si>
    <t xml:space="preserve">Thumb nut M4</t>
  </si>
  <si>
    <t xml:space="preserve">P3-099-BL-SNLM-M4</t>
  </si>
  <si>
    <t xml:space="preserve">P3-099-KA</t>
  </si>
  <si>
    <t xml:space="preserve">P3-099-KB</t>
  </si>
  <si>
    <t xml:space="preserve">P3-099-M4x40-LS</t>
  </si>
  <si>
    <t xml:space="preserve">P3-099-RD-LS-+TH-LM-G-P4</t>
  </si>
  <si>
    <t xml:space="preserve">P3-099-RD-SNLM-M4</t>
  </si>
  <si>
    <t xml:space="preserve">P3-099-SETC</t>
  </si>
  <si>
    <t xml:space="preserve">set C</t>
  </si>
  <si>
    <t xml:space="preserve">P3-099-YL-TH</t>
  </si>
  <si>
    <t xml:space="preserve">Spring</t>
  </si>
  <si>
    <t xml:space="preserve">Ultimaker 2 Belt Slider Torsion Spring  [Springs &amp; Leveling]</t>
  </si>
  <si>
    <t xml:space="preserve">P3-026</t>
  </si>
  <si>
    <t xml:space="preserve">VORON PEI Double-Sided Spring Steel Sheet (with magnetic base)  [Springs &amp; Leveling]</t>
  </si>
  <si>
    <t xml:space="preserve">Magnetic sheet only</t>
  </si>
  <si>
    <t xml:space="preserve">P3-009-DDCGP</t>
  </si>
  <si>
    <t xml:space="preserve">P3-009-HRCTH</t>
  </si>
  <si>
    <t xml:space="preserve">with magnetic sticker</t>
  </si>
  <si>
    <t xml:space="preserve">Stainless Conical Bed Leveling Spring 6x7x12  [Springs &amp; Leveling]</t>
  </si>
  <si>
    <t xml:space="preserve">P3-014</t>
  </si>
  <si>
    <t xml:space="preserve">Smooth PEI Spring Steel Sheet 257x257mm  [Springs &amp; Leveling]</t>
  </si>
  <si>
    <t xml:space="preserve">P3-121</t>
  </si>
  <si>
    <t xml:space="preserve">Timing Belt Tensioner Torsion Spring  [Springs &amp; Leveling]</t>
  </si>
  <si>
    <t xml:space="preserve">10mm wide timing belt</t>
  </si>
  <si>
    <t xml:space="preserve">P3-023-10KTBD</t>
  </si>
  <si>
    <t xml:space="preserve">P3-023-6KTBD</t>
  </si>
  <si>
    <t xml:space="preserve">6mm wide timing belt</t>
  </si>
  <si>
    <t xml:space="preserve">Bed Leveling Thumb Nut Knob M4  [Springs &amp; Leveling]</t>
  </si>
  <si>
    <t xml:space="preserve">nut M4</t>
  </si>
  <si>
    <t xml:space="preserve">P3-103-BL-LM-M4</t>
  </si>
  <si>
    <t xml:space="preserve">P3-103-LS-+TH-+LM</t>
  </si>
  <si>
    <t xml:space="preserve">screw + Spring + nut</t>
  </si>
  <si>
    <t xml:space="preserve">P3-103-RD-LM-M4</t>
  </si>
  <si>
    <t xml:space="preserve">Die Spring, Brown (OD 6-70mm)  [Springs &amp; Leveling]</t>
  </si>
  <si>
    <t xml:space="preserve">SPR-BN-10-5-100</t>
  </si>
  <si>
    <t xml:space="preserve">SPR-BN-10-5-110</t>
  </si>
  <si>
    <t xml:space="preserve">SPR-BN-10-5-120</t>
  </si>
  <si>
    <t xml:space="preserve">SPR-BN-10-5-125</t>
  </si>
  <si>
    <t xml:space="preserve">SPR-BN-10-5-20</t>
  </si>
  <si>
    <t xml:space="preserve">SPR-BN-10-5-25</t>
  </si>
  <si>
    <t xml:space="preserve">SPR-BN-10-5-30</t>
  </si>
  <si>
    <t xml:space="preserve">SPR-BN-10-5-300</t>
  </si>
  <si>
    <t xml:space="preserve">SPR-BN-10-5-35</t>
  </si>
  <si>
    <t xml:space="preserve">SPR-BN-10-5-40</t>
  </si>
  <si>
    <t xml:space="preserve">SPR-BN-10-5-45</t>
  </si>
  <si>
    <t xml:space="preserve">SPR-BN-10-5-50</t>
  </si>
  <si>
    <t xml:space="preserve">SPR-BN-10-5-55</t>
  </si>
  <si>
    <t xml:space="preserve">SPR-BN-10-5-60</t>
  </si>
  <si>
    <t xml:space="preserve">SPR-BN-10-5-65</t>
  </si>
  <si>
    <t xml:space="preserve">SPR-BN-10-5-70</t>
  </si>
  <si>
    <t xml:space="preserve">SPR-BN-10-5-75</t>
  </si>
  <si>
    <t xml:space="preserve">SPR-BN-10-5-80</t>
  </si>
  <si>
    <t xml:space="preserve">SPR-BN-10-5-85</t>
  </si>
  <si>
    <t xml:space="preserve">SPR-BN-10-5-90</t>
  </si>
  <si>
    <t xml:space="preserve">SPR-BN-10-5-95</t>
  </si>
  <si>
    <t xml:space="preserve">SPR-BN-12-6-100</t>
  </si>
  <si>
    <t xml:space="preserve">SPR-BN-12-6-125</t>
  </si>
  <si>
    <t xml:space="preserve">SPR-BN-12-6-20</t>
  </si>
  <si>
    <t xml:space="preserve">SPR-BN-12-6-25</t>
  </si>
  <si>
    <t xml:space="preserve">SPR-BN-12-6-30</t>
  </si>
  <si>
    <t xml:space="preserve">SPR-BN-12-6-300</t>
  </si>
  <si>
    <t xml:space="preserve">SPR-BN-12-6-35</t>
  </si>
  <si>
    <t xml:space="preserve">SPR-BN-12-6-40</t>
  </si>
  <si>
    <t xml:space="preserve">SPR-BN-12-6-45</t>
  </si>
  <si>
    <t xml:space="preserve">SPR-BN-12-6-50</t>
  </si>
  <si>
    <t xml:space="preserve">SPR-BN-12-6-55</t>
  </si>
  <si>
    <t xml:space="preserve">SPR-BN-12-6-60</t>
  </si>
  <si>
    <t xml:space="preserve">SPR-BN-12-6-65</t>
  </si>
  <si>
    <t xml:space="preserve">SPR-BN-12-6-70</t>
  </si>
  <si>
    <t xml:space="preserve">SPR-BN-12-6-75</t>
  </si>
  <si>
    <t xml:space="preserve">SPR-BN-12-6-80</t>
  </si>
  <si>
    <t xml:space="preserve">SPR-BN-12-6-90</t>
  </si>
  <si>
    <t xml:space="preserve">SPR-BN-14-7-100</t>
  </si>
  <si>
    <t xml:space="preserve">SPR-BN-14-7-125</t>
  </si>
  <si>
    <t xml:space="preserve">SPR-BN-14-7-150</t>
  </si>
  <si>
    <t xml:space="preserve">SPR-BN-14-7-20</t>
  </si>
  <si>
    <t xml:space="preserve">SPR-BN-14-7-25</t>
  </si>
  <si>
    <t xml:space="preserve">SPR-BN-14-7-30</t>
  </si>
  <si>
    <t xml:space="preserve">SPR-BN-14-7-300</t>
  </si>
  <si>
    <t xml:space="preserve">SPR-BN-14-7-35</t>
  </si>
  <si>
    <t xml:space="preserve">SPR-BN-14-7-40</t>
  </si>
  <si>
    <t xml:space="preserve">SPR-BN-14-7-45</t>
  </si>
  <si>
    <t xml:space="preserve">SPR-BN-14-7-50</t>
  </si>
  <si>
    <t xml:space="preserve">SPR-BN-14-7-55</t>
  </si>
  <si>
    <t xml:space="preserve">SPR-BN-14-7-60</t>
  </si>
  <si>
    <t xml:space="preserve">SPR-BN-14-7-65</t>
  </si>
  <si>
    <t xml:space="preserve">SPR-BN-14-7-70</t>
  </si>
  <si>
    <t xml:space="preserve">SPR-BN-14-7-75</t>
  </si>
  <si>
    <t xml:space="preserve">SPR-BN-14-7-80</t>
  </si>
  <si>
    <t xml:space="preserve">SPR-BN-14-7-85</t>
  </si>
  <si>
    <t xml:space="preserve">SPR-BN-14-7-90</t>
  </si>
  <si>
    <t xml:space="preserve">SPR-BN-16-8-100</t>
  </si>
  <si>
    <t xml:space="preserve">SPR-BN-16-8-110</t>
  </si>
  <si>
    <t xml:space="preserve">SPR-BN-16-8-120</t>
  </si>
  <si>
    <t xml:space="preserve">SPR-BN-16-8-125</t>
  </si>
  <si>
    <t xml:space="preserve">SPR-BN-16-8-150</t>
  </si>
  <si>
    <t xml:space="preserve">SPR-BN-16-8-20</t>
  </si>
  <si>
    <t xml:space="preserve">SPR-BN-16-8-25</t>
  </si>
  <si>
    <t xml:space="preserve">SPR-BN-16-8-30</t>
  </si>
  <si>
    <t xml:space="preserve">SPR-BN-16-8-300</t>
  </si>
  <si>
    <t xml:space="preserve">SPR-BN-16-8-35</t>
  </si>
  <si>
    <t xml:space="preserve">SPR-BN-16-8-40</t>
  </si>
  <si>
    <t xml:space="preserve">SPR-BN-16-8-45</t>
  </si>
  <si>
    <t xml:space="preserve">SPR-BN-16-8-50</t>
  </si>
  <si>
    <t xml:space="preserve">SPR-BN-16-8-55</t>
  </si>
  <si>
    <t xml:space="preserve">SPR-BN-16-8-60</t>
  </si>
  <si>
    <t xml:space="preserve">SPR-BN-16-8-65</t>
  </si>
  <si>
    <t xml:space="preserve">SPR-BN-16-8-70</t>
  </si>
  <si>
    <t xml:space="preserve">SPR-BN-16-8-75</t>
  </si>
  <si>
    <t xml:space="preserve">SPR-BN-16-8-80</t>
  </si>
  <si>
    <t xml:space="preserve">SPR-BN-16-8-85</t>
  </si>
  <si>
    <t xml:space="preserve">SPR-BN-16-8-90</t>
  </si>
  <si>
    <t xml:space="preserve">SPR-BN-18-9-100</t>
  </si>
  <si>
    <t xml:space="preserve">SPR-BN-18-9-110</t>
  </si>
  <si>
    <t xml:space="preserve">SPR-BN-18-9-125</t>
  </si>
  <si>
    <t xml:space="preserve">SPR-BN-18-9-150</t>
  </si>
  <si>
    <t xml:space="preserve">SPR-BN-18-9-20</t>
  </si>
  <si>
    <t xml:space="preserve">SPR-BN-18-9-25</t>
  </si>
  <si>
    <t xml:space="preserve">SPR-BN-18-9-30</t>
  </si>
  <si>
    <t xml:space="preserve">SPR-BN-18-9-300</t>
  </si>
  <si>
    <t xml:space="preserve">SPR-BN-18-9-35</t>
  </si>
  <si>
    <t xml:space="preserve">SPR-BN-18-9-40</t>
  </si>
  <si>
    <t xml:space="preserve">SPR-BN-18-9-45</t>
  </si>
  <si>
    <t xml:space="preserve">SPR-BN-18-9-50</t>
  </si>
  <si>
    <t xml:space="preserve">SPR-BN-18-9-55</t>
  </si>
  <si>
    <t xml:space="preserve">SPR-BN-18-9-60</t>
  </si>
  <si>
    <t xml:space="preserve">SPR-BN-18-9-65</t>
  </si>
  <si>
    <t xml:space="preserve">SPR-BN-18-9-70</t>
  </si>
  <si>
    <t xml:space="preserve">SPR-BN-18-9-75</t>
  </si>
  <si>
    <t xml:space="preserve">SPR-BN-18-9-80</t>
  </si>
  <si>
    <t xml:space="preserve">SPR-BN-18-9-85</t>
  </si>
  <si>
    <t xml:space="preserve">SPR-BN-18-9-90</t>
  </si>
  <si>
    <t xml:space="preserve">SPR-BN-20-10-100</t>
  </si>
  <si>
    <t xml:space="preserve">SPR-BN-20-10-110</t>
  </si>
  <si>
    <t xml:space="preserve">SPR-BN-20-10-120</t>
  </si>
  <si>
    <t xml:space="preserve">SPR-BN-20-10-125</t>
  </si>
  <si>
    <t xml:space="preserve">SPR-BN-20-10-150</t>
  </si>
  <si>
    <t xml:space="preserve">SPR-BN-20-10-175</t>
  </si>
  <si>
    <t xml:space="preserve">SPR-BN-20-10-20</t>
  </si>
  <si>
    <t xml:space="preserve">SPR-BN-20-10-200</t>
  </si>
  <si>
    <t xml:space="preserve">SPR-BN-20-10-25</t>
  </si>
  <si>
    <t xml:space="preserve">SPR-BN-20-10-30</t>
  </si>
  <si>
    <t xml:space="preserve">SPR-BN-20-10-300</t>
  </si>
  <si>
    <t xml:space="preserve">SPR-BN-20-10-35</t>
  </si>
  <si>
    <t xml:space="preserve">SPR-BN-20-10-40</t>
  </si>
  <si>
    <t xml:space="preserve">SPR-BN-20-10-45</t>
  </si>
  <si>
    <t xml:space="preserve">SPR-BN-20-10-50</t>
  </si>
  <si>
    <t xml:space="preserve">SPR-BN-20-10-55</t>
  </si>
  <si>
    <t xml:space="preserve">SPR-BN-20-10-60</t>
  </si>
  <si>
    <t xml:space="preserve">SPR-BN-20-10-65</t>
  </si>
  <si>
    <t xml:space="preserve">SPR-BN-20-10-70</t>
  </si>
  <si>
    <t xml:space="preserve">SPR-BN-20-10-75</t>
  </si>
  <si>
    <t xml:space="preserve">SPR-BN-20-10-80</t>
  </si>
  <si>
    <t xml:space="preserve">SPR-BN-20-10-85</t>
  </si>
  <si>
    <t xml:space="preserve">SPR-BN-20-10-90</t>
  </si>
  <si>
    <t xml:space="preserve">SPR-BN-20-10-95</t>
  </si>
  <si>
    <t xml:space="preserve">SPR-BN-22-11-100</t>
  </si>
  <si>
    <t xml:space="preserve">SPR-BN-22-11-110</t>
  </si>
  <si>
    <t xml:space="preserve">SPR-BN-22-11-120</t>
  </si>
  <si>
    <t xml:space="preserve">SPR-BN-22-11-125</t>
  </si>
  <si>
    <t xml:space="preserve">SPR-BN-22-11-130</t>
  </si>
  <si>
    <t xml:space="preserve">SPR-BN-22-11-150</t>
  </si>
  <si>
    <t xml:space="preserve">SPR-BN-22-11-175</t>
  </si>
  <si>
    <t xml:space="preserve">SPR-BN-22-11-25</t>
  </si>
  <si>
    <t xml:space="preserve">SPR-BN-22-11-30</t>
  </si>
  <si>
    <t xml:space="preserve">SPR-BN-22-11-300</t>
  </si>
  <si>
    <t xml:space="preserve">SPR-BN-22-11-35</t>
  </si>
  <si>
    <t xml:space="preserve">SPR-BN-22-11-40</t>
  </si>
  <si>
    <t xml:space="preserve">SPR-BN-22-11-45</t>
  </si>
  <si>
    <t xml:space="preserve">SPR-BN-22-11-50</t>
  </si>
  <si>
    <t xml:space="preserve">SPR-BN-22-11-55</t>
  </si>
  <si>
    <t xml:space="preserve">SPR-BN-22-11-60</t>
  </si>
  <si>
    <t xml:space="preserve">SPR-BN-22-11-65</t>
  </si>
  <si>
    <t xml:space="preserve">SPR-BN-22-11-70</t>
  </si>
  <si>
    <t xml:space="preserve">SPR-BN-22-11-75</t>
  </si>
  <si>
    <t xml:space="preserve">SPR-BN-22-11-80</t>
  </si>
  <si>
    <t xml:space="preserve">SPR-BN-22-11-85</t>
  </si>
  <si>
    <t xml:space="preserve">SPR-BN-22-11-90</t>
  </si>
  <si>
    <t xml:space="preserve">SPR-BN-22-11-95</t>
  </si>
  <si>
    <t xml:space="preserve">SPR-BN-25-12.5-100</t>
  </si>
  <si>
    <t xml:space="preserve">SPR-BN-25-12.5-110</t>
  </si>
  <si>
    <t xml:space="preserve">SPR-BN-25-12.5-125</t>
  </si>
  <si>
    <t xml:space="preserve">SPR-BN-25-12.5-150</t>
  </si>
  <si>
    <t xml:space="preserve">SPR-BN-25-12.5-175</t>
  </si>
  <si>
    <t xml:space="preserve">SPR-BN-25-12.5-200</t>
  </si>
  <si>
    <t xml:space="preserve">SPR-BN-25-12.5-25</t>
  </si>
  <si>
    <t xml:space="preserve">SPR-BN-25-12.5-30</t>
  </si>
  <si>
    <t xml:space="preserve">SPR-BN-25-12.5-300</t>
  </si>
  <si>
    <t xml:space="preserve">SPR-BN-25-12.5-35</t>
  </si>
  <si>
    <t xml:space="preserve">SPR-BN-25-12.5-40</t>
  </si>
  <si>
    <t xml:space="preserve">SPR-BN-25-12.5-45</t>
  </si>
  <si>
    <t xml:space="preserve">SPR-BN-25-12.5-50</t>
  </si>
  <si>
    <t xml:space="preserve">SPR-BN-25-12.5-55</t>
  </si>
  <si>
    <t xml:space="preserve">SPR-BN-25-12.5-60</t>
  </si>
  <si>
    <t xml:space="preserve">SPR-BN-25-12.5-65</t>
  </si>
  <si>
    <t xml:space="preserve">SPR-BN-25-12.5-70</t>
  </si>
  <si>
    <t xml:space="preserve">SPR-BN-25-12.5-75</t>
  </si>
  <si>
    <t xml:space="preserve">SPR-BN-25-12.5-80</t>
  </si>
  <si>
    <t xml:space="preserve">SPR-BN-25-12.5-85</t>
  </si>
  <si>
    <t xml:space="preserve">SPR-BN-25-12.5-90</t>
  </si>
  <si>
    <t xml:space="preserve">SPR-BN-25-12.5-95</t>
  </si>
  <si>
    <t xml:space="preserve">SPR-BN-27-13.5-100</t>
  </si>
  <si>
    <t xml:space="preserve">13.5</t>
  </si>
  <si>
    <t xml:space="preserve">SPR-BN-27-13.5-110</t>
  </si>
  <si>
    <t xml:space="preserve">SPR-BN-27-13.5-125</t>
  </si>
  <si>
    <t xml:space="preserve">SPR-BN-27-13.5-150</t>
  </si>
  <si>
    <t xml:space="preserve">SPR-BN-27-13.5-175</t>
  </si>
  <si>
    <t xml:space="preserve">SPR-BN-27-13.5-200</t>
  </si>
  <si>
    <t xml:space="preserve">SPR-BN-27-13.5-25</t>
  </si>
  <si>
    <t xml:space="preserve">SPR-BN-27-13.5-30</t>
  </si>
  <si>
    <t xml:space="preserve">SPR-BN-27-13.5-300</t>
  </si>
  <si>
    <t xml:space="preserve">SPR-BN-27-13.5-35</t>
  </si>
  <si>
    <t xml:space="preserve">SPR-BN-27-13.5-40</t>
  </si>
  <si>
    <t xml:space="preserve">SPR-BN-27-13.5-45</t>
  </si>
  <si>
    <t xml:space="preserve">SPR-BN-27-13.5-50</t>
  </si>
  <si>
    <t xml:space="preserve">SPR-BN-27-13.5-55</t>
  </si>
  <si>
    <t xml:space="preserve">SPR-BN-27-13.5-60</t>
  </si>
  <si>
    <t xml:space="preserve">SPR-BN-27-13.5-65</t>
  </si>
  <si>
    <t xml:space="preserve">SPR-BN-27-13.5-70</t>
  </si>
  <si>
    <t xml:space="preserve">SPR-BN-27-13.5-75</t>
  </si>
  <si>
    <t xml:space="preserve">SPR-BN-27-13.5-80</t>
  </si>
  <si>
    <t xml:space="preserve">SPR-BN-27-13.5-85</t>
  </si>
  <si>
    <t xml:space="preserve">SPR-BN-27-13.5-90</t>
  </si>
  <si>
    <t xml:space="preserve">SPR-BN-27-13.5-95</t>
  </si>
  <si>
    <t xml:space="preserve">SPR-BN-30-15-100</t>
  </si>
  <si>
    <t xml:space="preserve">SPR-BN-30-15-110</t>
  </si>
  <si>
    <t xml:space="preserve">SPR-BN-30-15-120</t>
  </si>
  <si>
    <t xml:space="preserve">SPR-BN-30-15-125</t>
  </si>
  <si>
    <t xml:space="preserve">SPR-BN-30-15-150</t>
  </si>
  <si>
    <t xml:space="preserve">SPR-BN-30-15-175</t>
  </si>
  <si>
    <t xml:space="preserve">SPR-BN-30-15-200</t>
  </si>
  <si>
    <t xml:space="preserve">SPR-BN-30-15-25</t>
  </si>
  <si>
    <t xml:space="preserve">SPR-BN-30-15-30</t>
  </si>
  <si>
    <t xml:space="preserve">SPR-BN-30-15-300</t>
  </si>
  <si>
    <t xml:space="preserve">SPR-BN-30-15-35</t>
  </si>
  <si>
    <t xml:space="preserve">SPR-BN-30-15-40</t>
  </si>
  <si>
    <t xml:space="preserve">SPR-BN-30-15-45</t>
  </si>
  <si>
    <t xml:space="preserve">SPR-BN-30-15-50</t>
  </si>
  <si>
    <t xml:space="preserve">SPR-BN-30-15-55</t>
  </si>
  <si>
    <t xml:space="preserve">SPR-BN-30-15-60</t>
  </si>
  <si>
    <t xml:space="preserve">SPR-BN-30-15-65</t>
  </si>
  <si>
    <t xml:space="preserve">SPR-BN-30-15-70</t>
  </si>
  <si>
    <t xml:space="preserve">SPR-BN-30-15-75</t>
  </si>
  <si>
    <t xml:space="preserve">SPR-BN-30-15-80</t>
  </si>
  <si>
    <t xml:space="preserve">SPR-BN-30-15-85</t>
  </si>
  <si>
    <t xml:space="preserve">SPR-BN-30-15-90</t>
  </si>
  <si>
    <t xml:space="preserve">SPR-BN-30-15-95</t>
  </si>
  <si>
    <t xml:space="preserve">SPR-BN-35-17.5-100</t>
  </si>
  <si>
    <t xml:space="preserve">17.5</t>
  </si>
  <si>
    <t xml:space="preserve">SPR-BN-35-17.5-110</t>
  </si>
  <si>
    <t xml:space="preserve">SPR-BN-35-17.5-120</t>
  </si>
  <si>
    <t xml:space="preserve">SPR-BN-35-17.5-125</t>
  </si>
  <si>
    <t xml:space="preserve">SPR-BN-35-17.5-150</t>
  </si>
  <si>
    <t xml:space="preserve">SPR-BN-35-17.5-175</t>
  </si>
  <si>
    <t xml:space="preserve">SPR-BN-35-17.5-200</t>
  </si>
  <si>
    <t xml:space="preserve">SPR-BN-35-17.5-250</t>
  </si>
  <si>
    <t xml:space="preserve">SPR-BN-35-17.5-300</t>
  </si>
  <si>
    <t xml:space="preserve">SPR-BN-35-17.5-35</t>
  </si>
  <si>
    <t xml:space="preserve">SPR-BN-35-17.5-40</t>
  </si>
  <si>
    <t xml:space="preserve">SPR-BN-35-17.5-45</t>
  </si>
  <si>
    <t xml:space="preserve">SPR-BN-35-17.5-50</t>
  </si>
  <si>
    <t xml:space="preserve">SPR-BN-35-17.5-55</t>
  </si>
  <si>
    <t xml:space="preserve">SPR-BN-35-17.5-60</t>
  </si>
  <si>
    <t xml:space="preserve">SPR-BN-35-17.5-65</t>
  </si>
  <si>
    <t xml:space="preserve">SPR-BN-35-17.5-70</t>
  </si>
  <si>
    <t xml:space="preserve">SPR-BN-35-17.5-75</t>
  </si>
  <si>
    <t xml:space="preserve">SPR-BN-35-17.5-80</t>
  </si>
  <si>
    <t xml:space="preserve">SPR-BN-35-17.5-85</t>
  </si>
  <si>
    <t xml:space="preserve">SPR-BN-35-17.5-90</t>
  </si>
  <si>
    <t xml:space="preserve">SPR-BN-35-17.5-95</t>
  </si>
  <si>
    <t xml:space="preserve">SPR-BN-40-20-100</t>
  </si>
  <si>
    <t xml:space="preserve">SPR-BN-40-20-110</t>
  </si>
  <si>
    <t xml:space="preserve">SPR-BN-40-20-120</t>
  </si>
  <si>
    <t xml:space="preserve">SPR-BN-40-20-125</t>
  </si>
  <si>
    <t xml:space="preserve">SPR-BN-40-20-130</t>
  </si>
  <si>
    <t xml:space="preserve">SPR-BN-40-20-140</t>
  </si>
  <si>
    <t xml:space="preserve">SPR-BN-40-20-150</t>
  </si>
  <si>
    <t xml:space="preserve">SPR-BN-40-20-175</t>
  </si>
  <si>
    <t xml:space="preserve">SPR-BN-40-20-200</t>
  </si>
  <si>
    <t xml:space="preserve">SPR-BN-40-20-225</t>
  </si>
  <si>
    <t xml:space="preserve">SPR-BN-40-20-250</t>
  </si>
  <si>
    <t xml:space="preserve">SPR-BN-40-20-275</t>
  </si>
  <si>
    <t xml:space="preserve">SPR-BN-40-20-300</t>
  </si>
  <si>
    <t xml:space="preserve">SPR-BN-40-20-40</t>
  </si>
  <si>
    <t xml:space="preserve">SPR-BN-40-20-45</t>
  </si>
  <si>
    <t xml:space="preserve">SPR-BN-40-20-50</t>
  </si>
  <si>
    <t xml:space="preserve">SPR-BN-40-20-55</t>
  </si>
  <si>
    <t xml:space="preserve">SPR-BN-40-20-60</t>
  </si>
  <si>
    <t xml:space="preserve">SPR-BN-40-20-65</t>
  </si>
  <si>
    <t xml:space="preserve">SPR-BN-40-20-70</t>
  </si>
  <si>
    <t xml:space="preserve">SPR-BN-40-20-75</t>
  </si>
  <si>
    <t xml:space="preserve">SPR-BN-40-20-80</t>
  </si>
  <si>
    <t xml:space="preserve">SPR-BN-40-20-85</t>
  </si>
  <si>
    <t xml:space="preserve">SPR-BN-40-20-90</t>
  </si>
  <si>
    <t xml:space="preserve">SPR-BN-40-20-95</t>
  </si>
  <si>
    <t xml:space="preserve">SPR-BN-50-25-100</t>
  </si>
  <si>
    <t xml:space="preserve">SPR-BN-50-25-115</t>
  </si>
  <si>
    <t xml:space="preserve">SPR-BN-50-25-120</t>
  </si>
  <si>
    <t xml:space="preserve">SPR-BN-50-25-125</t>
  </si>
  <si>
    <t xml:space="preserve">SPR-BN-50-25-130</t>
  </si>
  <si>
    <t xml:space="preserve">SPR-BN-50-25-140</t>
  </si>
  <si>
    <t xml:space="preserve">SPR-BN-50-25-150</t>
  </si>
  <si>
    <t xml:space="preserve">SPR-BN-50-25-175</t>
  </si>
  <si>
    <t xml:space="preserve">SPR-BN-50-25-200</t>
  </si>
  <si>
    <t xml:space="preserve">SPR-BN-50-25-225</t>
  </si>
  <si>
    <t xml:space="preserve">SPR-BN-50-25-250</t>
  </si>
  <si>
    <t xml:space="preserve">SPR-BN-50-25-275</t>
  </si>
  <si>
    <t xml:space="preserve">SPR-BN-50-25-300</t>
  </si>
  <si>
    <t xml:space="preserve">SPR-BN-50-25-50</t>
  </si>
  <si>
    <t xml:space="preserve">SPR-BN-50-25-55</t>
  </si>
  <si>
    <t xml:space="preserve">SPR-BN-50-25-60</t>
  </si>
  <si>
    <t xml:space="preserve">SPR-BN-50-25-65</t>
  </si>
  <si>
    <t xml:space="preserve">SPR-BN-50-25-70</t>
  </si>
  <si>
    <t xml:space="preserve">SPR-BN-50-25-75</t>
  </si>
  <si>
    <t xml:space="preserve">SPR-BN-50-25-80</t>
  </si>
  <si>
    <t xml:space="preserve">SPR-BN-50-25-85</t>
  </si>
  <si>
    <t xml:space="preserve">SPR-BN-50-25-90</t>
  </si>
  <si>
    <t xml:space="preserve">SPR-BN-50-25-95</t>
  </si>
  <si>
    <t xml:space="preserve">SPR-BN-6-3-20</t>
  </si>
  <si>
    <t xml:space="preserve">SPR-BN-6-3-25</t>
  </si>
  <si>
    <t xml:space="preserve">SPR-BN-6-3-30</t>
  </si>
  <si>
    <t xml:space="preserve">SPR-BN-6-3-300</t>
  </si>
  <si>
    <t xml:space="preserve">SPR-BN-6-3-35</t>
  </si>
  <si>
    <t xml:space="preserve">SPR-BN-6-3-40</t>
  </si>
  <si>
    <t xml:space="preserve">SPR-BN-6-3-45</t>
  </si>
  <si>
    <t xml:space="preserve">SPR-BN-6-3-50</t>
  </si>
  <si>
    <t xml:space="preserve">SPR-BN-6-3-55</t>
  </si>
  <si>
    <t xml:space="preserve">SPR-BN-6-3-60</t>
  </si>
  <si>
    <t xml:space="preserve">SPR-BN-6-3-65</t>
  </si>
  <si>
    <t xml:space="preserve">SPR-BN-6-3-70</t>
  </si>
  <si>
    <t xml:space="preserve">SPR-BN-60-30-100</t>
  </si>
  <si>
    <t xml:space="preserve">SPR-BN-60-30-110</t>
  </si>
  <si>
    <t xml:space="preserve">SPR-BN-60-30-120</t>
  </si>
  <si>
    <t xml:space="preserve">SPR-BN-60-30-125</t>
  </si>
  <si>
    <t xml:space="preserve">SPR-BN-60-30-130</t>
  </si>
  <si>
    <t xml:space="preserve">SPR-BN-60-30-140</t>
  </si>
  <si>
    <t xml:space="preserve">SPR-BN-60-30-150</t>
  </si>
  <si>
    <t xml:space="preserve">SPR-BN-60-30-200</t>
  </si>
  <si>
    <t xml:space="preserve">SPR-BN-60-30-225</t>
  </si>
  <si>
    <t xml:space="preserve">SPR-BN-60-30-250</t>
  </si>
  <si>
    <t xml:space="preserve">SPR-BN-60-30-275</t>
  </si>
  <si>
    <t xml:space="preserve">SPR-BN-60-30-300</t>
  </si>
  <si>
    <t xml:space="preserve">SPR-BN-60-30-60</t>
  </si>
  <si>
    <t xml:space="preserve">SPR-BN-60-30-65</t>
  </si>
  <si>
    <t xml:space="preserve">SPR-BN-60-30-70</t>
  </si>
  <si>
    <t xml:space="preserve">SPR-BN-60-30-75</t>
  </si>
  <si>
    <t xml:space="preserve">SPR-BN-60-30-80</t>
  </si>
  <si>
    <t xml:space="preserve">SPR-BN-60-30-85</t>
  </si>
  <si>
    <t xml:space="preserve">SPR-BN-60-30-90</t>
  </si>
  <si>
    <t xml:space="preserve">SPR-BN-60-30-95</t>
  </si>
  <si>
    <t xml:space="preserve">SPR-BN-70-40-100</t>
  </si>
  <si>
    <t xml:space="preserve">SPR-BN-70-40-125</t>
  </si>
  <si>
    <t xml:space="preserve">SPR-BN-70-40-150</t>
  </si>
  <si>
    <t xml:space="preserve">SPR-BN-70-40-175</t>
  </si>
  <si>
    <t xml:space="preserve">SPR-BN-70-40-200</t>
  </si>
  <si>
    <t xml:space="preserve">SPR-BN-70-40-250</t>
  </si>
  <si>
    <t xml:space="preserve">SPR-BN-70-40-300</t>
  </si>
  <si>
    <t xml:space="preserve">SPR-BN-70-40-70</t>
  </si>
  <si>
    <t xml:space="preserve">SPR-BN-70-40-80</t>
  </si>
  <si>
    <t xml:space="preserve">SPR-BN-70-40-90</t>
  </si>
  <si>
    <t xml:space="preserve">SPR-BN-8-4-100</t>
  </si>
  <si>
    <t xml:space="preserve">SPR-BN-8-4-20</t>
  </si>
  <si>
    <t xml:space="preserve">SPR-BN-8-4-25</t>
  </si>
  <si>
    <t xml:space="preserve">SPR-BN-8-4-30</t>
  </si>
  <si>
    <t xml:space="preserve">SPR-BN-8-4-300</t>
  </si>
  <si>
    <t xml:space="preserve">SPR-BN-8-4-35</t>
  </si>
  <si>
    <t xml:space="preserve">SPR-BN-8-4-40</t>
  </si>
  <si>
    <t xml:space="preserve">SPR-BN-8-4-45</t>
  </si>
  <si>
    <t xml:space="preserve">SPR-BN-8-4-50</t>
  </si>
  <si>
    <t xml:space="preserve">SPR-BN-8-4-55</t>
  </si>
  <si>
    <t xml:space="preserve">SPR-BN-8-4-60</t>
  </si>
  <si>
    <t xml:space="preserve">SPR-BN-8-4-65</t>
  </si>
  <si>
    <t xml:space="preserve">SPR-BN-8-4-70</t>
  </si>
  <si>
    <t xml:space="preserve">SPR-BN-8-4-75</t>
  </si>
  <si>
    <t xml:space="preserve">SPR-BN-8-4-80</t>
  </si>
  <si>
    <t xml:space="preserve">SPR-BN-8-4-85</t>
  </si>
  <si>
    <t xml:space="preserve">SPR-BN-8-4-90</t>
  </si>
  <si>
    <t xml:space="preserve">SPR-BN-8-4-95</t>
  </si>
  <si>
    <t xml:space="preserve">Die Spring, Light Green (OD 6-70mm)  [Springs &amp; Leveling]</t>
  </si>
  <si>
    <t xml:space="preserve">SPR-LG-11-7-100</t>
  </si>
  <si>
    <t xml:space="preserve">SPR-LG-11-7-20</t>
  </si>
  <si>
    <t xml:space="preserve">SPR-LG-11-7-25</t>
  </si>
  <si>
    <t xml:space="preserve">SPR-LG-11-7-30</t>
  </si>
  <si>
    <t xml:space="preserve">SPR-LG-11-7-35</t>
  </si>
  <si>
    <t xml:space="preserve">SPR-LG-11-7-40</t>
  </si>
  <si>
    <t xml:space="preserve">SPR-LG-11-7-45</t>
  </si>
  <si>
    <t xml:space="preserve">SPR-LG-11-7-50</t>
  </si>
  <si>
    <t xml:space="preserve">SPR-LG-11-7-55</t>
  </si>
  <si>
    <t xml:space="preserve">SPR-LG-11-7-60</t>
  </si>
  <si>
    <t xml:space="preserve">SPR-LG-11-7-65</t>
  </si>
  <si>
    <t xml:space="preserve">SPR-LG-11-7-70</t>
  </si>
  <si>
    <t xml:space="preserve">SPR-LG-11-7-75</t>
  </si>
  <si>
    <t xml:space="preserve">SPR-LG-11-7-80</t>
  </si>
  <si>
    <t xml:space="preserve">SPR-LG-11-7-90</t>
  </si>
  <si>
    <t xml:space="preserve">SPR-LG-12.5-8.5-100</t>
  </si>
  <si>
    <t xml:space="preserve">SPR-LG-12.5-8.5-110</t>
  </si>
  <si>
    <t xml:space="preserve">SPR-LG-12.5-8.5-120</t>
  </si>
  <si>
    <t xml:space="preserve">SPR-LG-12.5-8.5-125</t>
  </si>
  <si>
    <t xml:space="preserve">SPR-LG-12.5-8.5-20</t>
  </si>
  <si>
    <t xml:space="preserve">SPR-LG-12.5-8.5-25</t>
  </si>
  <si>
    <t xml:space="preserve">SPR-LG-12.5-8.5-30</t>
  </si>
  <si>
    <t xml:space="preserve">SPR-LG-12.5-8.5-35</t>
  </si>
  <si>
    <t xml:space="preserve">SPR-LG-12.5-8.5-40</t>
  </si>
  <si>
    <t xml:space="preserve">SPR-LG-12.5-8.5-45</t>
  </si>
  <si>
    <t xml:space="preserve">SPR-LG-12.5-8.5-50</t>
  </si>
  <si>
    <t xml:space="preserve">SPR-LG-12.5-8.5-55</t>
  </si>
  <si>
    <t xml:space="preserve">SPR-LG-12.5-8.5-60</t>
  </si>
  <si>
    <t xml:space="preserve">SPR-LG-12.5-8.5-65</t>
  </si>
  <si>
    <t xml:space="preserve">SPR-LG-12.5-8.5-70</t>
  </si>
  <si>
    <t xml:space="preserve">SPR-LG-12.5-8.5-75</t>
  </si>
  <si>
    <t xml:space="preserve">SPR-LG-12.5-8.5-80</t>
  </si>
  <si>
    <t xml:space="preserve">SPR-LG-12.5-8.5-90</t>
  </si>
  <si>
    <t xml:space="preserve">SPR-LG-16.5-10.5-100</t>
  </si>
  <si>
    <t xml:space="preserve">16.5</t>
  </si>
  <si>
    <t xml:space="preserve">SPR-LG-16.5-10.5-110</t>
  </si>
  <si>
    <t xml:space="preserve">SPR-LG-16.5-10.5-120</t>
  </si>
  <si>
    <t xml:space="preserve">SPR-LG-16.5-10.5-125</t>
  </si>
  <si>
    <t xml:space="preserve">SPR-LG-16.5-10.5-150</t>
  </si>
  <si>
    <t xml:space="preserve">SPR-LG-16.5-10.5-20</t>
  </si>
  <si>
    <t xml:space="preserve">SPR-LG-16.5-10.5-25</t>
  </si>
  <si>
    <t xml:space="preserve">SPR-LG-16.5-10.5-30</t>
  </si>
  <si>
    <t xml:space="preserve">SPR-LG-16.5-10.5-35</t>
  </si>
  <si>
    <t xml:space="preserve">SPR-LG-16.5-10.5-40</t>
  </si>
  <si>
    <t xml:space="preserve">SPR-LG-16.5-10.5-45</t>
  </si>
  <si>
    <t xml:space="preserve">SPR-LG-16.5-10.5-50</t>
  </si>
  <si>
    <t xml:space="preserve">SPR-LG-16.5-10.5-55</t>
  </si>
  <si>
    <t xml:space="preserve">SPR-LG-16.5-10.5-60</t>
  </si>
  <si>
    <t xml:space="preserve">SPR-LG-16.5-10.5-65</t>
  </si>
  <si>
    <t xml:space="preserve">SPR-LG-16.5-10.5-70</t>
  </si>
  <si>
    <t xml:space="preserve">SPR-LG-16.5-10.5-75</t>
  </si>
  <si>
    <t xml:space="preserve">SPR-LG-16.5-10.5-80</t>
  </si>
  <si>
    <t xml:space="preserve">SPR-LG-16.5-10.5-90</t>
  </si>
  <si>
    <t xml:space="preserve">SPR-LG-20.5-13.5-100</t>
  </si>
  <si>
    <t xml:space="preserve">20.5</t>
  </si>
  <si>
    <t xml:space="preserve">SPR-LG-20.5-13.5-110</t>
  </si>
  <si>
    <t xml:space="preserve">SPR-LG-20.5-13.5-120</t>
  </si>
  <si>
    <t xml:space="preserve">SPR-LG-20.5-13.5-125</t>
  </si>
  <si>
    <t xml:space="preserve">SPR-LG-20.5-13.5-130</t>
  </si>
  <si>
    <t xml:space="preserve">SPR-LG-20.5-13.5-140</t>
  </si>
  <si>
    <t xml:space="preserve">SPR-LG-20.5-13.5-150</t>
  </si>
  <si>
    <t xml:space="preserve">SPR-LG-20.5-13.5-25</t>
  </si>
  <si>
    <t xml:space="preserve">SPR-LG-20.5-13.5-30</t>
  </si>
  <si>
    <t xml:space="preserve">SPR-LG-20.5-13.5-35</t>
  </si>
  <si>
    <t xml:space="preserve">SPR-LG-20.5-13.5-40</t>
  </si>
  <si>
    <t xml:space="preserve">SPR-LG-20.5-13.5-45</t>
  </si>
  <si>
    <t xml:space="preserve">SPR-LG-20.5-13.5-50</t>
  </si>
  <si>
    <t xml:space="preserve">SPR-LG-20.5-13.5-55</t>
  </si>
  <si>
    <t xml:space="preserve">SPR-LG-20.5-13.5-60</t>
  </si>
  <si>
    <t xml:space="preserve">SPR-LG-20.5-13.5-65</t>
  </si>
  <si>
    <t xml:space="preserve">SPR-LG-20.5-13.5-70</t>
  </si>
  <si>
    <t xml:space="preserve">SPR-LG-20.5-13.5-75</t>
  </si>
  <si>
    <t xml:space="preserve">SPR-LG-20.5-13.5-80</t>
  </si>
  <si>
    <t xml:space="preserve">SPR-LG-20.5-13.5-90</t>
  </si>
  <si>
    <t xml:space="preserve">SPR-LG-24.5-16.5-100</t>
  </si>
  <si>
    <t xml:space="preserve">24.5</t>
  </si>
  <si>
    <t xml:space="preserve">SPR-LG-24.5-16.5-110</t>
  </si>
  <si>
    <t xml:space="preserve">SPR-LG-24.5-16.5-120</t>
  </si>
  <si>
    <t xml:space="preserve">SPR-LG-24.5-16.5-125</t>
  </si>
  <si>
    <t xml:space="preserve">SPR-LG-24.5-16.5-130</t>
  </si>
  <si>
    <t xml:space="preserve">SPR-LG-24.5-16.5-140</t>
  </si>
  <si>
    <t xml:space="preserve">SPR-LG-24.5-16.5-150</t>
  </si>
  <si>
    <t xml:space="preserve">SPR-LG-24.5-16.5-175</t>
  </si>
  <si>
    <t xml:space="preserve">SPR-LG-24.5-16.5-200</t>
  </si>
  <si>
    <t xml:space="preserve">SPR-LG-24.5-16.5-30</t>
  </si>
  <si>
    <t xml:space="preserve">SPR-LG-24.5-16.5-35</t>
  </si>
  <si>
    <t xml:space="preserve">SPR-LG-24.5-16.5-40</t>
  </si>
  <si>
    <t xml:space="preserve">SPR-LG-24.5-16.5-45</t>
  </si>
  <si>
    <t xml:space="preserve">SPR-LG-24.5-16.5-50</t>
  </si>
  <si>
    <t xml:space="preserve">SPR-LG-24.5-16.5-55</t>
  </si>
  <si>
    <t xml:space="preserve">SPR-LG-24.5-16.5-60</t>
  </si>
  <si>
    <t xml:space="preserve">SPR-LG-24.5-16.5-65</t>
  </si>
  <si>
    <t xml:space="preserve">SPR-LG-24.5-16.5-70</t>
  </si>
  <si>
    <t xml:space="preserve">SPR-LG-24.5-16.5-75</t>
  </si>
  <si>
    <t xml:space="preserve">SPR-LG-24.5-16.5-80</t>
  </si>
  <si>
    <t xml:space="preserve">SPR-LG-24.5-16.5-90</t>
  </si>
  <si>
    <t xml:space="preserve">SPR-LG-30-21-100</t>
  </si>
  <si>
    <t xml:space="preserve">SPR-LG-30-21-110</t>
  </si>
  <si>
    <t xml:space="preserve">SPR-LG-30-21-120</t>
  </si>
  <si>
    <t xml:space="preserve">SPR-LG-30-21-125</t>
  </si>
  <si>
    <t xml:space="preserve">SPR-LG-30-21-130</t>
  </si>
  <si>
    <t xml:space="preserve">SPR-LG-30-21-140</t>
  </si>
  <si>
    <t xml:space="preserve">SPR-LG-30-21-150</t>
  </si>
  <si>
    <t xml:space="preserve">SPR-LG-30-21-160</t>
  </si>
  <si>
    <t xml:space="preserve">SPR-LG-30-21-170</t>
  </si>
  <si>
    <t xml:space="preserve">SPR-LG-30-21-175</t>
  </si>
  <si>
    <t xml:space="preserve">SPR-LG-30-21-180</t>
  </si>
  <si>
    <t xml:space="preserve">SPR-LG-30-21-190</t>
  </si>
  <si>
    <t xml:space="preserve">SPR-LG-30-21-200</t>
  </si>
  <si>
    <t xml:space="preserve">SPR-LG-30-21-250</t>
  </si>
  <si>
    <t xml:space="preserve">SPR-LG-30-21-300</t>
  </si>
  <si>
    <t xml:space="preserve">SPR-LG-30-21-35</t>
  </si>
  <si>
    <t xml:space="preserve">SPR-LG-30-21-40</t>
  </si>
  <si>
    <t xml:space="preserve">SPR-LG-30-21-45</t>
  </si>
  <si>
    <t xml:space="preserve">SPR-LG-30-21-50</t>
  </si>
  <si>
    <t xml:space="preserve">SPR-LG-30-21-55</t>
  </si>
  <si>
    <t xml:space="preserve">SPR-LG-30-21-60</t>
  </si>
  <si>
    <t xml:space="preserve">SPR-LG-30-21-65</t>
  </si>
  <si>
    <t xml:space="preserve">SPR-LG-30-21-70</t>
  </si>
  <si>
    <t xml:space="preserve">SPR-LG-30-21-75</t>
  </si>
  <si>
    <t xml:space="preserve">SPR-LG-30-21-80</t>
  </si>
  <si>
    <t xml:space="preserve">SPR-LG-30-21-90</t>
  </si>
  <si>
    <t xml:space="preserve">SPR-LG-37-26-100</t>
  </si>
  <si>
    <t xml:space="preserve">SPR-LG-37-26-110</t>
  </si>
  <si>
    <t xml:space="preserve">SPR-LG-37-26-120</t>
  </si>
  <si>
    <t xml:space="preserve">SPR-LG-37-26-130</t>
  </si>
  <si>
    <t xml:space="preserve">SPR-LG-37-26-140</t>
  </si>
  <si>
    <t xml:space="preserve">SPR-LG-37-26-150</t>
  </si>
  <si>
    <t xml:space="preserve">SPR-LG-37-26-160</t>
  </si>
  <si>
    <t xml:space="preserve">SPR-LG-37-26-170</t>
  </si>
  <si>
    <t xml:space="preserve">SPR-LG-37-26-180</t>
  </si>
  <si>
    <t xml:space="preserve">SPR-LG-37-26-190</t>
  </si>
  <si>
    <t xml:space="preserve">SPR-LG-37-26-200</t>
  </si>
  <si>
    <t xml:space="preserve">SPR-LG-37-26-225</t>
  </si>
  <si>
    <t xml:space="preserve">SPR-LG-37-26-250</t>
  </si>
  <si>
    <t xml:space="preserve">SPR-LG-37-26-275</t>
  </si>
  <si>
    <t xml:space="preserve">SPR-LG-37-26-300</t>
  </si>
  <si>
    <t xml:space="preserve">SPR-LG-37-26-40</t>
  </si>
  <si>
    <t xml:space="preserve">SPR-LG-37-26-45</t>
  </si>
  <si>
    <t xml:space="preserve">SPR-LG-37-26-50</t>
  </si>
  <si>
    <t xml:space="preserve">SPR-LG-37-26-55</t>
  </si>
  <si>
    <t xml:space="preserve">SPR-LG-37-26-60</t>
  </si>
  <si>
    <t xml:space="preserve">SPR-LG-37-26-65</t>
  </si>
  <si>
    <t xml:space="preserve">SPR-LG-37-26-70</t>
  </si>
  <si>
    <t xml:space="preserve">SPR-LG-37-26-75</t>
  </si>
  <si>
    <t xml:space="preserve">SPR-LG-37-26-80</t>
  </si>
  <si>
    <t xml:space="preserve">SPR-LG-37-26-90</t>
  </si>
  <si>
    <t xml:space="preserve">SPR-LG-42-31-50</t>
  </si>
  <si>
    <t xml:space="preserve">SPR-LG-42-31-60</t>
  </si>
  <si>
    <t xml:space="preserve">Die Spring, Red (OD 6-70mm)  [Springs &amp; Leveling]</t>
  </si>
  <si>
    <t xml:space="preserve">SPR-RD-10-5-100</t>
  </si>
  <si>
    <t xml:space="preserve">SPR-RD-10-5-110</t>
  </si>
  <si>
    <t xml:space="preserve">SPR-RD-10-5-120</t>
  </si>
  <si>
    <t xml:space="preserve">SPR-RD-10-5-125</t>
  </si>
  <si>
    <t xml:space="preserve">SPR-RD-10-5-20</t>
  </si>
  <si>
    <t xml:space="preserve">SPR-RD-10-5-25</t>
  </si>
  <si>
    <t xml:space="preserve">SPR-RD-10-5-30</t>
  </si>
  <si>
    <t xml:space="preserve">SPR-RD-10-5-300</t>
  </si>
  <si>
    <t xml:space="preserve">SPR-RD-10-5-35</t>
  </si>
  <si>
    <t xml:space="preserve">SPR-RD-10-5-40</t>
  </si>
  <si>
    <t xml:space="preserve">SPR-RD-10-5-45</t>
  </si>
  <si>
    <t xml:space="preserve">SPR-RD-10-5-50</t>
  </si>
  <si>
    <t xml:space="preserve">SPR-RD-10-5-55</t>
  </si>
  <si>
    <t xml:space="preserve">SPR-RD-10-5-60</t>
  </si>
  <si>
    <t xml:space="preserve">SPR-RD-10-5-65</t>
  </si>
  <si>
    <t xml:space="preserve">SPR-RD-10-5-70</t>
  </si>
  <si>
    <t xml:space="preserve">SPR-RD-10-5-75</t>
  </si>
  <si>
    <t xml:space="preserve">SPR-RD-10-5-80</t>
  </si>
  <si>
    <t xml:space="preserve">SPR-RD-10-5-85</t>
  </si>
  <si>
    <t xml:space="preserve">SPR-RD-10-5-90</t>
  </si>
  <si>
    <t xml:space="preserve">SPR-RD-10-5-95</t>
  </si>
  <si>
    <t xml:space="preserve">SPR-RD-12-6-100</t>
  </si>
  <si>
    <t xml:space="preserve">SPR-RD-12-6-125</t>
  </si>
  <si>
    <t xml:space="preserve">SPR-RD-12-6-20</t>
  </si>
  <si>
    <t xml:space="preserve">SPR-RD-12-6-25</t>
  </si>
  <si>
    <t xml:space="preserve">SPR-RD-12-6-30</t>
  </si>
  <si>
    <t xml:space="preserve">SPR-RD-12-6-300</t>
  </si>
  <si>
    <t xml:space="preserve">SPR-RD-12-6-35</t>
  </si>
  <si>
    <t xml:space="preserve">SPR-RD-12-6-40</t>
  </si>
  <si>
    <t xml:space="preserve">SPR-RD-12-6-45</t>
  </si>
  <si>
    <t xml:space="preserve">SPR-RD-12-6-50</t>
  </si>
  <si>
    <t xml:space="preserve">SPR-RD-12-6-55</t>
  </si>
  <si>
    <t xml:space="preserve">SPR-RD-12-6-60</t>
  </si>
  <si>
    <t xml:space="preserve">SPR-RD-12-6-65</t>
  </si>
  <si>
    <t xml:space="preserve">SPR-RD-12-6-70</t>
  </si>
  <si>
    <t xml:space="preserve">SPR-RD-12-6-75</t>
  </si>
  <si>
    <t xml:space="preserve">SPR-RD-12-6-80</t>
  </si>
  <si>
    <t xml:space="preserve">SPR-RD-12-6-85</t>
  </si>
  <si>
    <t xml:space="preserve">SPR-RD-12-6-90</t>
  </si>
  <si>
    <t xml:space="preserve">SPR-RD-14-7-100</t>
  </si>
  <si>
    <t xml:space="preserve">SPR-RD-14-7-125</t>
  </si>
  <si>
    <t xml:space="preserve">SPR-RD-14-7-150</t>
  </si>
  <si>
    <t xml:space="preserve">SPR-RD-14-7-20</t>
  </si>
  <si>
    <t xml:space="preserve">SPR-RD-14-7-25</t>
  </si>
  <si>
    <t xml:space="preserve">SPR-RD-14-7-30</t>
  </si>
  <si>
    <t xml:space="preserve">SPR-RD-14-7-300</t>
  </si>
  <si>
    <t xml:space="preserve">SPR-RD-14-7-35</t>
  </si>
  <si>
    <t xml:space="preserve">SPR-RD-14-7-40</t>
  </si>
  <si>
    <t xml:space="preserve">SPR-RD-14-7-45</t>
  </si>
  <si>
    <t xml:space="preserve">SPR-RD-14-7-50</t>
  </si>
  <si>
    <t xml:space="preserve">SPR-RD-14-7-55</t>
  </si>
  <si>
    <t xml:space="preserve">SPR-RD-14-7-60</t>
  </si>
  <si>
    <t xml:space="preserve">SPR-RD-14-7-65</t>
  </si>
  <si>
    <t xml:space="preserve">SPR-RD-14-7-70</t>
  </si>
  <si>
    <t xml:space="preserve">SPR-RD-14-7-75</t>
  </si>
  <si>
    <t xml:space="preserve">SPR-RD-14-7-80</t>
  </si>
  <si>
    <t xml:space="preserve">SPR-RD-14-7-85</t>
  </si>
  <si>
    <t xml:space="preserve">SPR-RD-14-7-90</t>
  </si>
  <si>
    <t xml:space="preserve">SPR-RD-16-8-100</t>
  </si>
  <si>
    <t xml:space="preserve">SPR-RD-16-8-110</t>
  </si>
  <si>
    <t xml:space="preserve">SPR-RD-16-8-120</t>
  </si>
  <si>
    <t xml:space="preserve">SPR-RD-16-8-125</t>
  </si>
  <si>
    <t xml:space="preserve">SPR-RD-16-8-150</t>
  </si>
  <si>
    <t xml:space="preserve">SPR-RD-16-8-20</t>
  </si>
  <si>
    <t xml:space="preserve">SPR-RD-16-8-25</t>
  </si>
  <si>
    <t xml:space="preserve">SPR-RD-16-8-30</t>
  </si>
  <si>
    <t xml:space="preserve">SPR-RD-16-8-300</t>
  </si>
  <si>
    <t xml:space="preserve">SPR-RD-16-8-35</t>
  </si>
  <si>
    <t xml:space="preserve">SPR-RD-16-8-40</t>
  </si>
  <si>
    <t xml:space="preserve">SPR-RD-16-8-45</t>
  </si>
  <si>
    <t xml:space="preserve">SPR-RD-16-8-50</t>
  </si>
  <si>
    <t xml:space="preserve">SPR-RD-16-8-55</t>
  </si>
  <si>
    <t xml:space="preserve">SPR-RD-16-8-60</t>
  </si>
  <si>
    <t xml:space="preserve">SPR-RD-16-8-65</t>
  </si>
  <si>
    <t xml:space="preserve">SPR-RD-16-8-70</t>
  </si>
  <si>
    <t xml:space="preserve">SPR-RD-16-8-75</t>
  </si>
  <si>
    <t xml:space="preserve">SPR-RD-16-8-80</t>
  </si>
  <si>
    <t xml:space="preserve">SPR-RD-16-8-85</t>
  </si>
  <si>
    <t xml:space="preserve">SPR-RD-16-8-90</t>
  </si>
  <si>
    <t xml:space="preserve">SPR-RD-18-9-100</t>
  </si>
  <si>
    <t xml:space="preserve">SPR-RD-18-9-110</t>
  </si>
  <si>
    <t xml:space="preserve">SPR-RD-18-9-125</t>
  </si>
  <si>
    <t xml:space="preserve">SPR-RD-18-9-150</t>
  </si>
  <si>
    <t xml:space="preserve">SPR-RD-18-9-20</t>
  </si>
  <si>
    <t xml:space="preserve">SPR-RD-18-9-25</t>
  </si>
  <si>
    <t xml:space="preserve">SPR-RD-18-9-30</t>
  </si>
  <si>
    <t xml:space="preserve">SPR-RD-18-9-300</t>
  </si>
  <si>
    <t xml:space="preserve">SPR-RD-18-9-35</t>
  </si>
  <si>
    <t xml:space="preserve">SPR-RD-18-9-40</t>
  </si>
  <si>
    <t xml:space="preserve">SPR-RD-18-9-45</t>
  </si>
  <si>
    <t xml:space="preserve">SPR-RD-18-9-50</t>
  </si>
  <si>
    <t xml:space="preserve">SPR-RD-18-9-55</t>
  </si>
  <si>
    <t xml:space="preserve">SPR-RD-18-9-60</t>
  </si>
  <si>
    <t xml:space="preserve">SPR-RD-18-9-65</t>
  </si>
  <si>
    <t xml:space="preserve">SPR-RD-18-9-70</t>
  </si>
  <si>
    <t xml:space="preserve">SPR-RD-18-9-75</t>
  </si>
  <si>
    <t xml:space="preserve">SPR-RD-18-9-80</t>
  </si>
  <si>
    <t xml:space="preserve">SPR-RD-18-9-85</t>
  </si>
  <si>
    <t xml:space="preserve">SPR-RD-18-9-90</t>
  </si>
  <si>
    <t xml:space="preserve">SPR-RD-20-10-100</t>
  </si>
  <si>
    <t xml:space="preserve">SPR-RD-20-10-110</t>
  </si>
  <si>
    <t xml:space="preserve">SPR-RD-20-10-120</t>
  </si>
  <si>
    <t xml:space="preserve">SPR-RD-20-10-125</t>
  </si>
  <si>
    <t xml:space="preserve">SPR-RD-20-10-150</t>
  </si>
  <si>
    <t xml:space="preserve">SPR-RD-20-10-175</t>
  </si>
  <si>
    <t xml:space="preserve">SPR-RD-20-10-20</t>
  </si>
  <si>
    <t xml:space="preserve">SPR-RD-20-10-200</t>
  </si>
  <si>
    <t xml:space="preserve">SPR-RD-20-10-25</t>
  </si>
  <si>
    <t xml:space="preserve">SPR-RD-20-10-30</t>
  </si>
  <si>
    <t xml:space="preserve">SPR-RD-20-10-300</t>
  </si>
  <si>
    <t xml:space="preserve">SPR-RD-20-10-35</t>
  </si>
  <si>
    <t xml:space="preserve">SPR-RD-20-10-40</t>
  </si>
  <si>
    <t xml:space="preserve">SPR-RD-20-10-45</t>
  </si>
  <si>
    <t xml:space="preserve">SPR-RD-20-10-50</t>
  </si>
  <si>
    <t xml:space="preserve">SPR-RD-20-10-55</t>
  </si>
  <si>
    <t xml:space="preserve">SPR-RD-20-10-60</t>
  </si>
  <si>
    <t xml:space="preserve">SPR-RD-20-10-65</t>
  </si>
  <si>
    <t xml:space="preserve">SPR-RD-20-10-70</t>
  </si>
  <si>
    <t xml:space="preserve">SPR-RD-20-10-75</t>
  </si>
  <si>
    <t xml:space="preserve">SPR-RD-20-10-80</t>
  </si>
  <si>
    <t xml:space="preserve">SPR-RD-20-10-85</t>
  </si>
  <si>
    <t xml:space="preserve">SPR-RD-20-10-90</t>
  </si>
  <si>
    <t xml:space="preserve">SPR-RD-20-10-95</t>
  </si>
  <si>
    <t xml:space="preserve">SPR-RD-22-11-100</t>
  </si>
  <si>
    <t xml:space="preserve">SPR-RD-22-11-110</t>
  </si>
  <si>
    <t xml:space="preserve">SPR-RD-22-11-120</t>
  </si>
  <si>
    <t xml:space="preserve">SPR-RD-22-11-125</t>
  </si>
  <si>
    <t xml:space="preserve">SPR-RD-22-11-130</t>
  </si>
  <si>
    <t xml:space="preserve">SPR-RD-22-11-150</t>
  </si>
  <si>
    <t xml:space="preserve">SPR-RD-22-11-175</t>
  </si>
  <si>
    <t xml:space="preserve">SPR-RD-22-11-25</t>
  </si>
  <si>
    <t xml:space="preserve">SPR-RD-22-11-30</t>
  </si>
  <si>
    <t xml:space="preserve">SPR-RD-22-11-300</t>
  </si>
  <si>
    <t xml:space="preserve">SPR-RD-22-11-35</t>
  </si>
  <si>
    <t xml:space="preserve">SPR-RD-22-11-40</t>
  </si>
  <si>
    <t xml:space="preserve">SPR-RD-22-11-45</t>
  </si>
  <si>
    <t xml:space="preserve">SPR-RD-22-11-50</t>
  </si>
  <si>
    <t xml:space="preserve">SPR-RD-22-11-55</t>
  </si>
  <si>
    <t xml:space="preserve">SPR-RD-22-11-60</t>
  </si>
  <si>
    <t xml:space="preserve">SPR-RD-22-11-65</t>
  </si>
  <si>
    <t xml:space="preserve">SPR-RD-22-11-70</t>
  </si>
  <si>
    <t xml:space="preserve">SPR-RD-22-11-75</t>
  </si>
  <si>
    <t xml:space="preserve">SPR-RD-22-11-80</t>
  </si>
  <si>
    <t xml:space="preserve">SPR-RD-22-11-85</t>
  </si>
  <si>
    <t xml:space="preserve">SPR-RD-22-11-90</t>
  </si>
  <si>
    <t xml:space="preserve">SPR-RD-22-11-95</t>
  </si>
  <si>
    <t xml:space="preserve">SPR-RD-25-12.5-100</t>
  </si>
  <si>
    <t xml:space="preserve">SPR-RD-25-12.5-110</t>
  </si>
  <si>
    <t xml:space="preserve">SPR-RD-25-12.5-125</t>
  </si>
  <si>
    <t xml:space="preserve">SPR-RD-25-12.5-130</t>
  </si>
  <si>
    <t xml:space="preserve">SPR-RD-25-12.5-150</t>
  </si>
  <si>
    <t xml:space="preserve">SPR-RD-25-12.5-175</t>
  </si>
  <si>
    <t xml:space="preserve">SPR-RD-25-12.5-200</t>
  </si>
  <si>
    <t xml:space="preserve">SPR-RD-25-12.5-25</t>
  </si>
  <si>
    <t xml:space="preserve">SPR-RD-25-12.5-30</t>
  </si>
  <si>
    <t xml:space="preserve">SPR-RD-25-12.5-300</t>
  </si>
  <si>
    <t xml:space="preserve">SPR-RD-25-12.5-35</t>
  </si>
  <si>
    <t xml:space="preserve">SPR-RD-25-12.5-40</t>
  </si>
  <si>
    <t xml:space="preserve">SPR-RD-25-12.5-45</t>
  </si>
  <si>
    <t xml:space="preserve">SPR-RD-25-12.5-50</t>
  </si>
  <si>
    <t xml:space="preserve">SPR-RD-25-12.5-55</t>
  </si>
  <si>
    <t xml:space="preserve">SPR-RD-25-12.5-60</t>
  </si>
  <si>
    <t xml:space="preserve">SPR-RD-25-12.5-65</t>
  </si>
  <si>
    <t xml:space="preserve">SPR-RD-25-12.5-70</t>
  </si>
  <si>
    <t xml:space="preserve">SPR-RD-25-12.5-75</t>
  </si>
  <si>
    <t xml:space="preserve">SPR-RD-25-12.5-80</t>
  </si>
  <si>
    <t xml:space="preserve">SPR-RD-25-12.5-85</t>
  </si>
  <si>
    <t xml:space="preserve">SPR-RD-25-12.5-90</t>
  </si>
  <si>
    <t xml:space="preserve">SPR-RD-25-12.5-95</t>
  </si>
  <si>
    <t xml:space="preserve">SPR-RD-27-13.5-100</t>
  </si>
  <si>
    <t xml:space="preserve">SPR-RD-27-13.5-110</t>
  </si>
  <si>
    <t xml:space="preserve">SPR-RD-27-13.5-125</t>
  </si>
  <si>
    <t xml:space="preserve">SPR-RD-27-13.5-150</t>
  </si>
  <si>
    <t xml:space="preserve">SPR-RD-27-13.5-175</t>
  </si>
  <si>
    <t xml:space="preserve">SPR-RD-27-13.5-200</t>
  </si>
  <si>
    <t xml:space="preserve">SPR-RD-27-13.5-25</t>
  </si>
  <si>
    <t xml:space="preserve">SPR-RD-27-13.5-30</t>
  </si>
  <si>
    <t xml:space="preserve">SPR-RD-27-13.5-300</t>
  </si>
  <si>
    <t xml:space="preserve">SPR-RD-27-13.5-35</t>
  </si>
  <si>
    <t xml:space="preserve">SPR-RD-27-13.5-40</t>
  </si>
  <si>
    <t xml:space="preserve">SPR-RD-27-13.5-45</t>
  </si>
  <si>
    <t xml:space="preserve">SPR-RD-27-13.5-50</t>
  </si>
  <si>
    <t xml:space="preserve">SPR-RD-27-13.5-55</t>
  </si>
  <si>
    <t xml:space="preserve">SPR-RD-27-13.5-60</t>
  </si>
  <si>
    <t xml:space="preserve">SPR-RD-27-13.5-65</t>
  </si>
  <si>
    <t xml:space="preserve">SPR-RD-27-13.5-70</t>
  </si>
  <si>
    <t xml:space="preserve">SPR-RD-27-13.5-75</t>
  </si>
  <si>
    <t xml:space="preserve">SPR-RD-27-13.5-80</t>
  </si>
  <si>
    <t xml:space="preserve">SPR-RD-27-13.5-85</t>
  </si>
  <si>
    <t xml:space="preserve">SPR-RD-27-13.5-90</t>
  </si>
  <si>
    <t xml:space="preserve">SPR-RD-27-13.5-95</t>
  </si>
  <si>
    <t xml:space="preserve">SPR-RD-30-15-100</t>
  </si>
  <si>
    <t xml:space="preserve">SPR-RD-30-15-110</t>
  </si>
  <si>
    <t xml:space="preserve">SPR-RD-30-15-120</t>
  </si>
  <si>
    <t xml:space="preserve">SPR-RD-30-15-125</t>
  </si>
  <si>
    <t xml:space="preserve">SPR-RD-30-15-150</t>
  </si>
  <si>
    <t xml:space="preserve">SPR-RD-30-15-175</t>
  </si>
  <si>
    <t xml:space="preserve">SPR-RD-30-15-200</t>
  </si>
  <si>
    <t xml:space="preserve">SPR-RD-30-15-25</t>
  </si>
  <si>
    <t xml:space="preserve">SPR-RD-30-15-30</t>
  </si>
  <si>
    <t xml:space="preserve">SPR-RD-30-15-300</t>
  </si>
  <si>
    <t xml:space="preserve">SPR-RD-30-15-35</t>
  </si>
  <si>
    <t xml:space="preserve">SPR-RD-30-15-40</t>
  </si>
  <si>
    <t xml:space="preserve">SPR-RD-30-15-45</t>
  </si>
  <si>
    <t xml:space="preserve">SPR-RD-30-15-50</t>
  </si>
  <si>
    <t xml:space="preserve">SPR-RD-30-15-55</t>
  </si>
  <si>
    <t xml:space="preserve">SPR-RD-30-15-60</t>
  </si>
  <si>
    <t xml:space="preserve">SPR-RD-30-15-65</t>
  </si>
  <si>
    <t xml:space="preserve">SPR-RD-30-15-70</t>
  </si>
  <si>
    <t xml:space="preserve">SPR-RD-30-15-75</t>
  </si>
  <si>
    <t xml:space="preserve">SPR-RD-30-15-80</t>
  </si>
  <si>
    <t xml:space="preserve">SPR-RD-30-15-85</t>
  </si>
  <si>
    <t xml:space="preserve">SPR-RD-30-15-90</t>
  </si>
  <si>
    <t xml:space="preserve">SPR-RD-30-15-95</t>
  </si>
  <si>
    <t xml:space="preserve">SPR-RD-35-17.5-100</t>
  </si>
  <si>
    <t xml:space="preserve">SPR-RD-35-17.5-110</t>
  </si>
  <si>
    <t xml:space="preserve">SPR-RD-35-17.5-120</t>
  </si>
  <si>
    <t xml:space="preserve">SPR-RD-35-17.5-125</t>
  </si>
  <si>
    <t xml:space="preserve">SPR-RD-35-17.5-150</t>
  </si>
  <si>
    <t xml:space="preserve">SPR-RD-35-17.5-175</t>
  </si>
  <si>
    <t xml:space="preserve">SPR-RD-35-17.5-200</t>
  </si>
  <si>
    <t xml:space="preserve">SPR-RD-35-17.5-250</t>
  </si>
  <si>
    <t xml:space="preserve">SPR-RD-35-17.5-300</t>
  </si>
  <si>
    <t xml:space="preserve">SPR-RD-35-17.5-35</t>
  </si>
  <si>
    <t xml:space="preserve">SPR-RD-35-17.5-40</t>
  </si>
  <si>
    <t xml:space="preserve">SPR-RD-35-17.5-45</t>
  </si>
  <si>
    <t xml:space="preserve">SPR-RD-35-17.5-50</t>
  </si>
  <si>
    <t xml:space="preserve">SPR-RD-35-17.5-55</t>
  </si>
  <si>
    <t xml:space="preserve">SPR-RD-35-17.5-60</t>
  </si>
  <si>
    <t xml:space="preserve">SPR-RD-35-17.5-65</t>
  </si>
  <si>
    <t xml:space="preserve">SPR-RD-35-17.5-70</t>
  </si>
  <si>
    <t xml:space="preserve">SPR-RD-35-17.5-75</t>
  </si>
  <si>
    <t xml:space="preserve">SPR-RD-35-17.5-80</t>
  </si>
  <si>
    <t xml:space="preserve">SPR-RD-35-17.5-85</t>
  </si>
  <si>
    <t xml:space="preserve">SPR-RD-35-17.5-90</t>
  </si>
  <si>
    <t xml:space="preserve">SPR-RD-35-17.5-95</t>
  </si>
  <si>
    <t xml:space="preserve">SPR-RD-40-20-100</t>
  </si>
  <si>
    <t xml:space="preserve">SPR-RD-40-20-110</t>
  </si>
  <si>
    <t xml:space="preserve">SPR-RD-40-20-120</t>
  </si>
  <si>
    <t xml:space="preserve">SPR-RD-40-20-125</t>
  </si>
  <si>
    <t xml:space="preserve">SPR-RD-40-20-130</t>
  </si>
  <si>
    <t xml:space="preserve">SPR-RD-40-20-140</t>
  </si>
  <si>
    <t xml:space="preserve">SPR-RD-40-20-150</t>
  </si>
  <si>
    <t xml:space="preserve">SPR-RD-40-20-175</t>
  </si>
  <si>
    <t xml:space="preserve">SPR-RD-40-20-200</t>
  </si>
  <si>
    <t xml:space="preserve">SPR-RD-40-20-225</t>
  </si>
  <si>
    <t xml:space="preserve">SPR-RD-40-20-250</t>
  </si>
  <si>
    <t xml:space="preserve">SPR-RD-40-20-275</t>
  </si>
  <si>
    <t xml:space="preserve">SPR-RD-40-20-300</t>
  </si>
  <si>
    <t xml:space="preserve">SPR-RD-40-20-40</t>
  </si>
  <si>
    <t xml:space="preserve">SPR-RD-40-20-45</t>
  </si>
  <si>
    <t xml:space="preserve">SPR-RD-40-20-50</t>
  </si>
  <si>
    <t xml:space="preserve">SPR-RD-40-20-55</t>
  </si>
  <si>
    <t xml:space="preserve">SPR-RD-40-20-60</t>
  </si>
  <si>
    <t xml:space="preserve">SPR-RD-40-20-65</t>
  </si>
  <si>
    <t xml:space="preserve">SPR-RD-40-20-70</t>
  </si>
  <si>
    <t xml:space="preserve">SPR-RD-40-20-75</t>
  </si>
  <si>
    <t xml:space="preserve">SPR-RD-40-20-80</t>
  </si>
  <si>
    <t xml:space="preserve">SPR-RD-40-20-85</t>
  </si>
  <si>
    <t xml:space="preserve">SPR-RD-40-20-90</t>
  </si>
  <si>
    <t xml:space="preserve">SPR-RD-40-20-95</t>
  </si>
  <si>
    <t xml:space="preserve">SPR-RD-50-25-100</t>
  </si>
  <si>
    <t xml:space="preserve">SPR-RD-50-25-110</t>
  </si>
  <si>
    <t xml:space="preserve">SPR-RD-50-25-120</t>
  </si>
  <si>
    <t xml:space="preserve">SPR-RD-50-25-125</t>
  </si>
  <si>
    <t xml:space="preserve">SPR-RD-50-25-130</t>
  </si>
  <si>
    <t xml:space="preserve">SPR-RD-50-25-140</t>
  </si>
  <si>
    <t xml:space="preserve">SPR-RD-50-25-150</t>
  </si>
  <si>
    <t xml:space="preserve">SPR-RD-50-25-175</t>
  </si>
  <si>
    <t xml:space="preserve">SPR-RD-50-25-200</t>
  </si>
  <si>
    <t xml:space="preserve">SPR-RD-50-25-225</t>
  </si>
  <si>
    <t xml:space="preserve">SPR-RD-50-25-250</t>
  </si>
  <si>
    <t xml:space="preserve">SPR-RD-50-25-275</t>
  </si>
  <si>
    <t xml:space="preserve">SPR-RD-50-25-300</t>
  </si>
  <si>
    <t xml:space="preserve">SPR-RD-50-25-50</t>
  </si>
  <si>
    <t xml:space="preserve">SPR-RD-50-25-55</t>
  </si>
  <si>
    <t xml:space="preserve">SPR-RD-50-25-60</t>
  </si>
  <si>
    <t xml:space="preserve">SPR-RD-50-25-65</t>
  </si>
  <si>
    <t xml:space="preserve">SPR-RD-50-25-70</t>
  </si>
  <si>
    <t xml:space="preserve">SPR-RD-50-25-75</t>
  </si>
  <si>
    <t xml:space="preserve">SPR-RD-50-25-80</t>
  </si>
  <si>
    <t xml:space="preserve">SPR-RD-50-25-85</t>
  </si>
  <si>
    <t xml:space="preserve">SPR-RD-50-25-90</t>
  </si>
  <si>
    <t xml:space="preserve">SPR-RD-50-25-95</t>
  </si>
  <si>
    <t xml:space="preserve">SPR-RD-6-3-20</t>
  </si>
  <si>
    <t xml:space="preserve">SPR-RD-6-3-25</t>
  </si>
  <si>
    <t xml:space="preserve">SPR-RD-6-3-30</t>
  </si>
  <si>
    <t xml:space="preserve">SPR-RD-6-3-300</t>
  </si>
  <si>
    <t xml:space="preserve">SPR-RD-6-3-35</t>
  </si>
  <si>
    <t xml:space="preserve">SPR-RD-6-3-40</t>
  </si>
  <si>
    <t xml:space="preserve">SPR-RD-6-3-45</t>
  </si>
  <si>
    <t xml:space="preserve">SPR-RD-6-3-50</t>
  </si>
  <si>
    <t xml:space="preserve">SPR-RD-6-3-55</t>
  </si>
  <si>
    <t xml:space="preserve">SPR-RD-6-3-60</t>
  </si>
  <si>
    <t xml:space="preserve">SPR-RD-6-3-65</t>
  </si>
  <si>
    <t xml:space="preserve">SPR-RD-6-3-70</t>
  </si>
  <si>
    <t xml:space="preserve">SPR-RD-60-30-100</t>
  </si>
  <si>
    <t xml:space="preserve">SPR-RD-60-30-110</t>
  </si>
  <si>
    <t xml:space="preserve">SPR-RD-60-30-120</t>
  </si>
  <si>
    <t xml:space="preserve">SPR-RD-60-30-125</t>
  </si>
  <si>
    <t xml:space="preserve">SPR-RD-60-30-150</t>
  </si>
  <si>
    <t xml:space="preserve">SPR-RD-60-30-175</t>
  </si>
  <si>
    <t xml:space="preserve">SPR-RD-60-30-200</t>
  </si>
  <si>
    <t xml:space="preserve">SPR-RD-60-30-225</t>
  </si>
  <si>
    <t xml:space="preserve">SPR-RD-60-30-250</t>
  </si>
  <si>
    <t xml:space="preserve">SPR-RD-60-30-275</t>
  </si>
  <si>
    <t xml:space="preserve">SPR-RD-60-30-300</t>
  </si>
  <si>
    <t xml:space="preserve">SPR-RD-60-30-60</t>
  </si>
  <si>
    <t xml:space="preserve">SPR-RD-60-30-65</t>
  </si>
  <si>
    <t xml:space="preserve">SPR-RD-60-30-70</t>
  </si>
  <si>
    <t xml:space="preserve">SPR-RD-60-30-75</t>
  </si>
  <si>
    <t xml:space="preserve">SPR-RD-60-30-80</t>
  </si>
  <si>
    <t xml:space="preserve">SPR-RD-60-30-85</t>
  </si>
  <si>
    <t xml:space="preserve">SPR-RD-60-30-90</t>
  </si>
  <si>
    <t xml:space="preserve">SPR-RD-60-30-95</t>
  </si>
  <si>
    <t xml:space="preserve">SPR-RD-70-40-100</t>
  </si>
  <si>
    <t xml:space="preserve">SPR-RD-70-40-125</t>
  </si>
  <si>
    <t xml:space="preserve">SPR-RD-70-40-150</t>
  </si>
  <si>
    <t xml:space="preserve">SPR-RD-70-40-175</t>
  </si>
  <si>
    <t xml:space="preserve">SPR-RD-70-40-200</t>
  </si>
  <si>
    <t xml:space="preserve">SPR-RD-70-40-250</t>
  </si>
  <si>
    <t xml:space="preserve">SPR-RD-70-40-300</t>
  </si>
  <si>
    <t xml:space="preserve">SPR-RD-70-40-70</t>
  </si>
  <si>
    <t xml:space="preserve">SPR-RD-70-40-80</t>
  </si>
  <si>
    <t xml:space="preserve">SPR-RD-70-40-90</t>
  </si>
  <si>
    <t xml:space="preserve">SPR-RD-8-4-100</t>
  </si>
  <si>
    <t xml:space="preserve">SPR-RD-8-4-20</t>
  </si>
  <si>
    <t xml:space="preserve">SPR-RD-8-4-25</t>
  </si>
  <si>
    <t xml:space="preserve">SPR-RD-8-4-30</t>
  </si>
  <si>
    <t xml:space="preserve">SPR-RD-8-4-300</t>
  </si>
  <si>
    <t xml:space="preserve">SPR-RD-8-4-35</t>
  </si>
  <si>
    <t xml:space="preserve">SPR-RD-8-4-40</t>
  </si>
  <si>
    <t xml:space="preserve">SPR-RD-8-4-45</t>
  </si>
  <si>
    <t xml:space="preserve">SPR-RD-8-4-50</t>
  </si>
  <si>
    <t xml:space="preserve">SPR-RD-8-4-55</t>
  </si>
  <si>
    <t xml:space="preserve">SPR-RD-8-4-60</t>
  </si>
  <si>
    <t xml:space="preserve">SPR-RD-8-4-65</t>
  </si>
  <si>
    <t xml:space="preserve">SPR-RD-8-4-70</t>
  </si>
  <si>
    <t xml:space="preserve">SPR-RD-8-4-75</t>
  </si>
  <si>
    <t xml:space="preserve">SPR-RD-8-4-80</t>
  </si>
  <si>
    <t xml:space="preserve">SPR-RD-8-4-85</t>
  </si>
  <si>
    <t xml:space="preserve">SPR-RD-8-4-90</t>
  </si>
  <si>
    <t xml:space="preserve">SPR-RD-8-4-95</t>
  </si>
  <si>
    <t xml:space="preserve">Die Spring, Green (OD 6-70mm)  [Springs &amp; Leveling]</t>
  </si>
  <si>
    <t xml:space="preserve">SPR-GN-10-5-100</t>
  </si>
  <si>
    <t xml:space="preserve">SPR-GN-10-5-110</t>
  </si>
  <si>
    <t xml:space="preserve">SPR-GN-10-5-120</t>
  </si>
  <si>
    <t xml:space="preserve">SPR-GN-10-5-125</t>
  </si>
  <si>
    <t xml:space="preserve">SPR-GN-10-5-20</t>
  </si>
  <si>
    <t xml:space="preserve">SPR-GN-10-5-25</t>
  </si>
  <si>
    <t xml:space="preserve">SPR-GN-10-5-30</t>
  </si>
  <si>
    <t xml:space="preserve">SPR-GN-10-5-300</t>
  </si>
  <si>
    <t xml:space="preserve">SPR-GN-10-5-35</t>
  </si>
  <si>
    <t xml:space="preserve">SPR-GN-10-5-40</t>
  </si>
  <si>
    <t xml:space="preserve">SPR-GN-10-5-45</t>
  </si>
  <si>
    <t xml:space="preserve">SPR-GN-10-5-50</t>
  </si>
  <si>
    <t xml:space="preserve">SPR-GN-10-5-55</t>
  </si>
  <si>
    <t xml:space="preserve">SPR-GN-10-5-60</t>
  </si>
  <si>
    <t xml:space="preserve">SPR-GN-10-5-65</t>
  </si>
  <si>
    <t xml:space="preserve">SPR-GN-10-5-70</t>
  </si>
  <si>
    <t xml:space="preserve">SPR-GN-10-5-75</t>
  </si>
  <si>
    <t xml:space="preserve">SPR-GN-10-5-80</t>
  </si>
  <si>
    <t xml:space="preserve">SPR-GN-10-5-85</t>
  </si>
  <si>
    <t xml:space="preserve">SPR-GN-10-5-90</t>
  </si>
  <si>
    <t xml:space="preserve">SPR-GN-12-6-100</t>
  </si>
  <si>
    <t xml:space="preserve">SPR-GN-12-6-125</t>
  </si>
  <si>
    <t xml:space="preserve">SPR-GN-12-6-20</t>
  </si>
  <si>
    <t xml:space="preserve">SPR-GN-12-6-25</t>
  </si>
  <si>
    <t xml:space="preserve">SPR-GN-12-6-30</t>
  </si>
  <si>
    <t xml:space="preserve">SPR-GN-12-6-300</t>
  </si>
  <si>
    <t xml:space="preserve">SPR-GN-12-6-35</t>
  </si>
  <si>
    <t xml:space="preserve">SPR-GN-12-6-40</t>
  </si>
  <si>
    <t xml:space="preserve">SPR-GN-12-6-45</t>
  </si>
  <si>
    <t xml:space="preserve">SPR-GN-12-6-50</t>
  </si>
  <si>
    <t xml:space="preserve">SPR-GN-12-6-55</t>
  </si>
  <si>
    <t xml:space="preserve">SPR-GN-12-6-60</t>
  </si>
  <si>
    <t xml:space="preserve">SPR-GN-12-6-65</t>
  </si>
  <si>
    <t xml:space="preserve">SPR-GN-12-6-70</t>
  </si>
  <si>
    <t xml:space="preserve">SPR-GN-12-6-75</t>
  </si>
  <si>
    <t xml:space="preserve">SPR-GN-12-6-80</t>
  </si>
  <si>
    <t xml:space="preserve">SPR-GN-12-6-85</t>
  </si>
  <si>
    <t xml:space="preserve">SPR-GN-12-6-90</t>
  </si>
  <si>
    <t xml:space="preserve">SPR-GN-14-7-100</t>
  </si>
  <si>
    <t xml:space="preserve">SPR-GN-14-7-125</t>
  </si>
  <si>
    <t xml:space="preserve">SPR-GN-14-7-150</t>
  </si>
  <si>
    <t xml:space="preserve">SPR-GN-14-7-20</t>
  </si>
  <si>
    <t xml:space="preserve">SPR-GN-14-7-25</t>
  </si>
  <si>
    <t xml:space="preserve">SPR-GN-14-7-30</t>
  </si>
  <si>
    <t xml:space="preserve">SPR-GN-14-7-300</t>
  </si>
  <si>
    <t xml:space="preserve">SPR-GN-14-7-35</t>
  </si>
  <si>
    <t xml:space="preserve">SPR-GN-14-7-40</t>
  </si>
  <si>
    <t xml:space="preserve">SPR-GN-14-7-45</t>
  </si>
  <si>
    <t xml:space="preserve">SPR-GN-14-7-50</t>
  </si>
  <si>
    <t xml:space="preserve">SPR-GN-14-7-55</t>
  </si>
  <si>
    <t xml:space="preserve">SPR-GN-14-7-60</t>
  </si>
  <si>
    <t xml:space="preserve">SPR-GN-14-7-65</t>
  </si>
  <si>
    <t xml:space="preserve">SPR-GN-14-7-70</t>
  </si>
  <si>
    <t xml:space="preserve">SPR-GN-14-7-75</t>
  </si>
  <si>
    <t xml:space="preserve">SPR-GN-14-7-80</t>
  </si>
  <si>
    <t xml:space="preserve">SPR-GN-14-7-85</t>
  </si>
  <si>
    <t xml:space="preserve">SPR-GN-14-7-90</t>
  </si>
  <si>
    <t xml:space="preserve">SPR-GN-16-8-100</t>
  </si>
  <si>
    <t xml:space="preserve">SPR-GN-16-8-110</t>
  </si>
  <si>
    <t xml:space="preserve">SPR-GN-16-8-120</t>
  </si>
  <si>
    <t xml:space="preserve">SPR-GN-16-8-125</t>
  </si>
  <si>
    <t xml:space="preserve">SPR-GN-16-8-150</t>
  </si>
  <si>
    <t xml:space="preserve">SPR-GN-16-8-20</t>
  </si>
  <si>
    <t xml:space="preserve">SPR-GN-16-8-25</t>
  </si>
  <si>
    <t xml:space="preserve">SPR-GN-16-8-30</t>
  </si>
  <si>
    <t xml:space="preserve">SPR-GN-16-8-300</t>
  </si>
  <si>
    <t xml:space="preserve">SPR-GN-16-8-35</t>
  </si>
  <si>
    <t xml:space="preserve">SPR-GN-16-8-40</t>
  </si>
  <si>
    <t xml:space="preserve">SPR-GN-16-8-45</t>
  </si>
  <si>
    <t xml:space="preserve">SPR-GN-16-8-50</t>
  </si>
  <si>
    <t xml:space="preserve">SPR-GN-16-8-55</t>
  </si>
  <si>
    <t xml:space="preserve">SPR-GN-16-8-60</t>
  </si>
  <si>
    <t xml:space="preserve">SPR-GN-16-8-65</t>
  </si>
  <si>
    <t xml:space="preserve">SPR-GN-16-8-70</t>
  </si>
  <si>
    <t xml:space="preserve">SPR-GN-16-8-75</t>
  </si>
  <si>
    <t xml:space="preserve">SPR-GN-16-8-80</t>
  </si>
  <si>
    <t xml:space="preserve">SPR-GN-16-8-85</t>
  </si>
  <si>
    <t xml:space="preserve">SPR-GN-16-8-90</t>
  </si>
  <si>
    <t xml:space="preserve">SPR-GN-18-9-100</t>
  </si>
  <si>
    <t xml:space="preserve">SPR-GN-18-9-110</t>
  </si>
  <si>
    <t xml:space="preserve">SPR-GN-18-9-125</t>
  </si>
  <si>
    <t xml:space="preserve">SPR-GN-18-9-150</t>
  </si>
  <si>
    <t xml:space="preserve">SPR-GN-18-9-20</t>
  </si>
  <si>
    <t xml:space="preserve">SPR-GN-18-9-25</t>
  </si>
  <si>
    <t xml:space="preserve">SPR-GN-18-9-30</t>
  </si>
  <si>
    <t xml:space="preserve">SPR-GN-18-9-300</t>
  </si>
  <si>
    <t xml:space="preserve">SPR-GN-18-9-35</t>
  </si>
  <si>
    <t xml:space="preserve">SPR-GN-18-9-40</t>
  </si>
  <si>
    <t xml:space="preserve">SPR-GN-18-9-45</t>
  </si>
  <si>
    <t xml:space="preserve">SPR-GN-18-9-50</t>
  </si>
  <si>
    <t xml:space="preserve">SPR-GN-18-9-55</t>
  </si>
  <si>
    <t xml:space="preserve">SPR-GN-18-9-60</t>
  </si>
  <si>
    <t xml:space="preserve">SPR-GN-18-9-65</t>
  </si>
  <si>
    <t xml:space="preserve">SPR-GN-18-9-70</t>
  </si>
  <si>
    <t xml:space="preserve">SPR-GN-18-9-75</t>
  </si>
  <si>
    <t xml:space="preserve">SPR-GN-18-9-80</t>
  </si>
  <si>
    <t xml:space="preserve">SPR-GN-18-9-85</t>
  </si>
  <si>
    <t xml:space="preserve">SPR-GN-18-9-90</t>
  </si>
  <si>
    <t xml:space="preserve">SPR-GN-20-10-100</t>
  </si>
  <si>
    <t xml:space="preserve">SPR-GN-20-10-110</t>
  </si>
  <si>
    <t xml:space="preserve">SPR-GN-20-10-120</t>
  </si>
  <si>
    <t xml:space="preserve">SPR-GN-20-10-125</t>
  </si>
  <si>
    <t xml:space="preserve">SPR-GN-20-10-150</t>
  </si>
  <si>
    <t xml:space="preserve">SPR-GN-20-10-175</t>
  </si>
  <si>
    <t xml:space="preserve">SPR-GN-20-10-20</t>
  </si>
  <si>
    <t xml:space="preserve">SPR-GN-20-10-25</t>
  </si>
  <si>
    <t xml:space="preserve">SPR-GN-20-10-30</t>
  </si>
  <si>
    <t xml:space="preserve">SPR-GN-20-10-300</t>
  </si>
  <si>
    <t xml:space="preserve">SPR-GN-20-10-35</t>
  </si>
  <si>
    <t xml:space="preserve">SPR-GN-20-10-40</t>
  </si>
  <si>
    <t xml:space="preserve">SPR-GN-20-10-45</t>
  </si>
  <si>
    <t xml:space="preserve">SPR-GN-20-10-50</t>
  </si>
  <si>
    <t xml:space="preserve">SPR-GN-20-10-55</t>
  </si>
  <si>
    <t xml:space="preserve">SPR-GN-20-10-60</t>
  </si>
  <si>
    <t xml:space="preserve">SPR-GN-20-10-65</t>
  </si>
  <si>
    <t xml:space="preserve">SPR-GN-20-10-70</t>
  </si>
  <si>
    <t xml:space="preserve">SPR-GN-20-10-75</t>
  </si>
  <si>
    <t xml:space="preserve">SPR-GN-20-10-80</t>
  </si>
  <si>
    <t xml:space="preserve">SPR-GN-20-10-85</t>
  </si>
  <si>
    <t xml:space="preserve">SPR-GN-20-10-90</t>
  </si>
  <si>
    <t xml:space="preserve">SPR-GN-20-10-95</t>
  </si>
  <si>
    <t xml:space="preserve">SPR-GN-22-11-100</t>
  </si>
  <si>
    <t xml:space="preserve">SPR-GN-22-11-110</t>
  </si>
  <si>
    <t xml:space="preserve">SPR-GN-22-11-120</t>
  </si>
  <si>
    <t xml:space="preserve">SPR-GN-22-11-125</t>
  </si>
  <si>
    <t xml:space="preserve">SPR-GN-22-11-130</t>
  </si>
  <si>
    <t xml:space="preserve">SPR-GN-22-11-150</t>
  </si>
  <si>
    <t xml:space="preserve">SPR-GN-22-11-175</t>
  </si>
  <si>
    <t xml:space="preserve">SPR-GN-22-11-25</t>
  </si>
  <si>
    <t xml:space="preserve">SPR-GN-22-11-30</t>
  </si>
  <si>
    <t xml:space="preserve">SPR-GN-22-11-300</t>
  </si>
  <si>
    <t xml:space="preserve">SPR-GN-22-11-35</t>
  </si>
  <si>
    <t xml:space="preserve">SPR-GN-22-11-40</t>
  </si>
  <si>
    <t xml:space="preserve">SPR-GN-22-11-45</t>
  </si>
  <si>
    <t xml:space="preserve">SPR-GN-22-11-50</t>
  </si>
  <si>
    <t xml:space="preserve">SPR-GN-22-11-55</t>
  </si>
  <si>
    <t xml:space="preserve">SPR-GN-22-11-60</t>
  </si>
  <si>
    <t xml:space="preserve">SPR-GN-22-11-65</t>
  </si>
  <si>
    <t xml:space="preserve">SPR-GN-22-11-70</t>
  </si>
  <si>
    <t xml:space="preserve">SPR-GN-22-11-75</t>
  </si>
  <si>
    <t xml:space="preserve">SPR-GN-22-11-80</t>
  </si>
  <si>
    <t xml:space="preserve">SPR-GN-22-11-85</t>
  </si>
  <si>
    <t xml:space="preserve">SPR-GN-22-11-90</t>
  </si>
  <si>
    <t xml:space="preserve">SPR-GN-22-11-95</t>
  </si>
  <si>
    <t xml:space="preserve">SPR-GN-25-12.5-100</t>
  </si>
  <si>
    <t xml:space="preserve">SPR-GN-25-12.5-110</t>
  </si>
  <si>
    <t xml:space="preserve">SPR-GN-25-12.5-125</t>
  </si>
  <si>
    <t xml:space="preserve">SPR-GN-25-12.5-130</t>
  </si>
  <si>
    <t xml:space="preserve">SPR-GN-25-12.5-150</t>
  </si>
  <si>
    <t xml:space="preserve">SPR-GN-25-12.5-175</t>
  </si>
  <si>
    <t xml:space="preserve">SPR-GN-25-12.5-200</t>
  </si>
  <si>
    <t xml:space="preserve">SPR-GN-25-12.5-25</t>
  </si>
  <si>
    <t xml:space="preserve">SPR-GN-25-12.5-30</t>
  </si>
  <si>
    <t xml:space="preserve">SPR-GN-25-12.5-300</t>
  </si>
  <si>
    <t xml:space="preserve">SPR-GN-25-12.5-35</t>
  </si>
  <si>
    <t xml:space="preserve">SPR-GN-25-12.5-40</t>
  </si>
  <si>
    <t xml:space="preserve">SPR-GN-25-12.5-45</t>
  </si>
  <si>
    <t xml:space="preserve">SPR-GN-25-12.5-50</t>
  </si>
  <si>
    <t xml:space="preserve">SPR-GN-25-12.5-55</t>
  </si>
  <si>
    <t xml:space="preserve">SPR-GN-25-12.5-60</t>
  </si>
  <si>
    <t xml:space="preserve">SPR-GN-25-12.5-65</t>
  </si>
  <si>
    <t xml:space="preserve">SPR-GN-25-12.5-70</t>
  </si>
  <si>
    <t xml:space="preserve">SPR-GN-25-12.5-75</t>
  </si>
  <si>
    <t xml:space="preserve">SPR-GN-25-12.5-80</t>
  </si>
  <si>
    <t xml:space="preserve">SPR-GN-25-12.5-85</t>
  </si>
  <si>
    <t xml:space="preserve">SPR-GN-25-12.5-90</t>
  </si>
  <si>
    <t xml:space="preserve">SPR-GN-25-12.5-95</t>
  </si>
  <si>
    <t xml:space="preserve">SPR-GN-27-13.5-100</t>
  </si>
  <si>
    <t xml:space="preserve">SPR-GN-27-13.5-110</t>
  </si>
  <si>
    <t xml:space="preserve">SPR-GN-27-13.5-125</t>
  </si>
  <si>
    <t xml:space="preserve">SPR-GN-27-13.5-150</t>
  </si>
  <si>
    <t xml:space="preserve">SPR-GN-27-13.5-175</t>
  </si>
  <si>
    <t xml:space="preserve">SPR-GN-27-13.5-200</t>
  </si>
  <si>
    <t xml:space="preserve">SPR-GN-27-13.5-25</t>
  </si>
  <si>
    <t xml:space="preserve">SPR-GN-27-13.5-30</t>
  </si>
  <si>
    <t xml:space="preserve">SPR-GN-27-13.5-300</t>
  </si>
  <si>
    <t xml:space="preserve">SPR-GN-27-13.5-35</t>
  </si>
  <si>
    <t xml:space="preserve">SPR-GN-27-13.5-40</t>
  </si>
  <si>
    <t xml:space="preserve">SPR-GN-27-13.5-45</t>
  </si>
  <si>
    <t xml:space="preserve">SPR-GN-27-13.5-50</t>
  </si>
  <si>
    <t xml:space="preserve">SPR-GN-27-13.5-55</t>
  </si>
  <si>
    <t xml:space="preserve">SPR-GN-27-13.5-60</t>
  </si>
  <si>
    <t xml:space="preserve">SPR-GN-27-13.5-65</t>
  </si>
  <si>
    <t xml:space="preserve">SPR-GN-27-13.5-70</t>
  </si>
  <si>
    <t xml:space="preserve">SPR-GN-27-13.5-75</t>
  </si>
  <si>
    <t xml:space="preserve">SPR-GN-27-13.5-80</t>
  </si>
  <si>
    <t xml:space="preserve">SPR-GN-27-13.5-85</t>
  </si>
  <si>
    <t xml:space="preserve">SPR-GN-27-13.5-90</t>
  </si>
  <si>
    <t xml:space="preserve">SPR-GN-27-13.5-95</t>
  </si>
  <si>
    <t xml:space="preserve">SPR-GN-30-15-100</t>
  </si>
  <si>
    <t xml:space="preserve">SPR-GN-30-15-110</t>
  </si>
  <si>
    <t xml:space="preserve">SPR-GN-30-15-120</t>
  </si>
  <si>
    <t xml:space="preserve">SPR-GN-30-15-125</t>
  </si>
  <si>
    <t xml:space="preserve">SPR-GN-30-15-150</t>
  </si>
  <si>
    <t xml:space="preserve">SPR-GN-30-15-175</t>
  </si>
  <si>
    <t xml:space="preserve">SPR-GN-30-15-200</t>
  </si>
  <si>
    <t xml:space="preserve">SPR-GN-30-15-25</t>
  </si>
  <si>
    <t xml:space="preserve">SPR-GN-30-15-30</t>
  </si>
  <si>
    <t xml:space="preserve">SPR-GN-30-15-300</t>
  </si>
  <si>
    <t xml:space="preserve">SPR-GN-30-15-35</t>
  </si>
  <si>
    <t xml:space="preserve">SPR-GN-30-15-40</t>
  </si>
  <si>
    <t xml:space="preserve">SPR-GN-30-15-45</t>
  </si>
  <si>
    <t xml:space="preserve">SPR-GN-30-15-50</t>
  </si>
  <si>
    <t xml:space="preserve">SPR-GN-30-15-55</t>
  </si>
  <si>
    <t xml:space="preserve">SPR-GN-30-15-60</t>
  </si>
  <si>
    <t xml:space="preserve">SPR-GN-30-15-65</t>
  </si>
  <si>
    <t xml:space="preserve">SPR-GN-30-15-70</t>
  </si>
  <si>
    <t xml:space="preserve">SPR-GN-30-15-75</t>
  </si>
  <si>
    <t xml:space="preserve">SPR-GN-30-15-80</t>
  </si>
  <si>
    <t xml:space="preserve">SPR-GN-30-15-85</t>
  </si>
  <si>
    <t xml:space="preserve">SPR-GN-30-15-90</t>
  </si>
  <si>
    <t xml:space="preserve">SPR-GN-30-15-95</t>
  </si>
  <si>
    <t xml:space="preserve">SPR-GN-35-17.5-100</t>
  </si>
  <si>
    <t xml:space="preserve">SPR-GN-35-17.5-110</t>
  </si>
  <si>
    <t xml:space="preserve">SPR-GN-35-17.5-120</t>
  </si>
  <si>
    <t xml:space="preserve">SPR-GN-35-17.5-125</t>
  </si>
  <si>
    <t xml:space="preserve">SPR-GN-35-17.5-150</t>
  </si>
  <si>
    <t xml:space="preserve">SPR-GN-35-17.5-175</t>
  </si>
  <si>
    <t xml:space="preserve">SPR-GN-35-17.5-200</t>
  </si>
  <si>
    <t xml:space="preserve">SPR-GN-35-17.5-250</t>
  </si>
  <si>
    <t xml:space="preserve">SPR-GN-35-17.5-300</t>
  </si>
  <si>
    <t xml:space="preserve">SPR-GN-35-17.5-35</t>
  </si>
  <si>
    <t xml:space="preserve">SPR-GN-35-17.5-40</t>
  </si>
  <si>
    <t xml:space="preserve">SPR-GN-35-17.5-45</t>
  </si>
  <si>
    <t xml:space="preserve">SPR-GN-35-17.5-50</t>
  </si>
  <si>
    <t xml:space="preserve">SPR-GN-35-17.5-55</t>
  </si>
  <si>
    <t xml:space="preserve">SPR-GN-35-17.5-60</t>
  </si>
  <si>
    <t xml:space="preserve">SPR-GN-35-17.5-65</t>
  </si>
  <si>
    <t xml:space="preserve">SPR-GN-35-17.5-70</t>
  </si>
  <si>
    <t xml:space="preserve">SPR-GN-35-17.5-75</t>
  </si>
  <si>
    <t xml:space="preserve">SPR-GN-35-17.5-80</t>
  </si>
  <si>
    <t xml:space="preserve">SPR-GN-35-17.5-85</t>
  </si>
  <si>
    <t xml:space="preserve">SPR-GN-35-17.5-90</t>
  </si>
  <si>
    <t xml:space="preserve">SPR-GN-35-17.5-95</t>
  </si>
  <si>
    <t xml:space="preserve">SPR-GN-40-20-100</t>
  </si>
  <si>
    <t xml:space="preserve">SPR-GN-40-20-110</t>
  </si>
  <si>
    <t xml:space="preserve">SPR-GN-40-20-120</t>
  </si>
  <si>
    <t xml:space="preserve">SPR-GN-40-20-125</t>
  </si>
  <si>
    <t xml:space="preserve">SPR-GN-40-20-130</t>
  </si>
  <si>
    <t xml:space="preserve">SPR-GN-40-20-140</t>
  </si>
  <si>
    <t xml:space="preserve">SPR-GN-40-20-150</t>
  </si>
  <si>
    <t xml:space="preserve">SPR-GN-40-20-175</t>
  </si>
  <si>
    <t xml:space="preserve">SPR-GN-40-20-200</t>
  </si>
  <si>
    <t xml:space="preserve">SPR-GN-40-20-225</t>
  </si>
  <si>
    <t xml:space="preserve">SPR-GN-40-20-250</t>
  </si>
  <si>
    <t xml:space="preserve">SPR-GN-40-20-275</t>
  </si>
  <si>
    <t xml:space="preserve">SPR-GN-40-20-300</t>
  </si>
  <si>
    <t xml:space="preserve">SPR-GN-40-20-40</t>
  </si>
  <si>
    <t xml:space="preserve">SPR-GN-40-20-45</t>
  </si>
  <si>
    <t xml:space="preserve">SPR-GN-40-20-50</t>
  </si>
  <si>
    <t xml:space="preserve">SPR-GN-40-20-55</t>
  </si>
  <si>
    <t xml:space="preserve">SPR-GN-40-20-60</t>
  </si>
  <si>
    <t xml:space="preserve">SPR-GN-40-20-65</t>
  </si>
  <si>
    <t xml:space="preserve">SPR-GN-40-20-70</t>
  </si>
  <si>
    <t xml:space="preserve">SPR-GN-40-20-75</t>
  </si>
  <si>
    <t xml:space="preserve">SPR-GN-40-20-80</t>
  </si>
  <si>
    <t xml:space="preserve">SPR-GN-40-20-85</t>
  </si>
  <si>
    <t xml:space="preserve">SPR-GN-40-20-90</t>
  </si>
  <si>
    <t xml:space="preserve">SPR-GN-40-20-95</t>
  </si>
  <si>
    <t xml:space="preserve">SPR-GN-50-25-100</t>
  </si>
  <si>
    <t xml:space="preserve">SPR-GN-50-25-110</t>
  </si>
  <si>
    <t xml:space="preserve">SPR-GN-50-25-120</t>
  </si>
  <si>
    <t xml:space="preserve">SPR-GN-50-25-125</t>
  </si>
  <si>
    <t xml:space="preserve">SPR-GN-50-25-130</t>
  </si>
  <si>
    <t xml:space="preserve">SPR-GN-50-25-140</t>
  </si>
  <si>
    <t xml:space="preserve">SPR-GN-50-25-150</t>
  </si>
  <si>
    <t xml:space="preserve">SPR-GN-50-25-175</t>
  </si>
  <si>
    <t xml:space="preserve">SPR-GN-50-25-200</t>
  </si>
  <si>
    <t xml:space="preserve">SPR-GN-50-25-225</t>
  </si>
  <si>
    <t xml:space="preserve">SPR-GN-50-25-250</t>
  </si>
  <si>
    <t xml:space="preserve">SPR-GN-50-25-275</t>
  </si>
  <si>
    <t xml:space="preserve">SPR-GN-50-25-300</t>
  </si>
  <si>
    <t xml:space="preserve">SPR-GN-50-25-50</t>
  </si>
  <si>
    <t xml:space="preserve">SPR-GN-50-25-55</t>
  </si>
  <si>
    <t xml:space="preserve">SPR-GN-50-25-60</t>
  </si>
  <si>
    <t xml:space="preserve">SPR-GN-50-25-65</t>
  </si>
  <si>
    <t xml:space="preserve">SPR-GN-50-25-70</t>
  </si>
  <si>
    <t xml:space="preserve">SPR-GN-50-25-75</t>
  </si>
  <si>
    <t xml:space="preserve">SPR-GN-50-25-80</t>
  </si>
  <si>
    <t xml:space="preserve">SPR-GN-50-25-85</t>
  </si>
  <si>
    <t xml:space="preserve">SPR-GN-50-25-90</t>
  </si>
  <si>
    <t xml:space="preserve">SPR-GN-50-25-95</t>
  </si>
  <si>
    <t xml:space="preserve">SPR-GN-6-3-20</t>
  </si>
  <si>
    <t xml:space="preserve">SPR-GN-6-3-25</t>
  </si>
  <si>
    <t xml:space="preserve">SPR-GN-6-3-30</t>
  </si>
  <si>
    <t xml:space="preserve">SPR-GN-6-3-300</t>
  </si>
  <si>
    <t xml:space="preserve">SPR-GN-6-3-35</t>
  </si>
  <si>
    <t xml:space="preserve">SPR-GN-6-3-40</t>
  </si>
  <si>
    <t xml:space="preserve">SPR-GN-6-3-45</t>
  </si>
  <si>
    <t xml:space="preserve">SPR-GN-6-3-55</t>
  </si>
  <si>
    <t xml:space="preserve">SPR-GN-6-3-60</t>
  </si>
  <si>
    <t xml:space="preserve">SPR-GN-6-3-65</t>
  </si>
  <si>
    <t xml:space="preserve">SPR-GN-6-3-70</t>
  </si>
  <si>
    <t xml:space="preserve">SPR-GN-60-30-100</t>
  </si>
  <si>
    <t xml:space="preserve">SPR-GN-60-30-110</t>
  </si>
  <si>
    <t xml:space="preserve">SPR-GN-60-30-120</t>
  </si>
  <si>
    <t xml:space="preserve">SPR-GN-60-30-125</t>
  </si>
  <si>
    <t xml:space="preserve">SPR-GN-60-30-130</t>
  </si>
  <si>
    <t xml:space="preserve">SPR-GN-60-30-140</t>
  </si>
  <si>
    <t xml:space="preserve">SPR-GN-60-30-150</t>
  </si>
  <si>
    <t xml:space="preserve">SPR-GN-60-30-175</t>
  </si>
  <si>
    <t xml:space="preserve">SPR-GN-60-30-200</t>
  </si>
  <si>
    <t xml:space="preserve">SPR-GN-60-30-225</t>
  </si>
  <si>
    <t xml:space="preserve">SPR-GN-60-30-250</t>
  </si>
  <si>
    <t xml:space="preserve">SPR-GN-60-30-275</t>
  </si>
  <si>
    <t xml:space="preserve">SPR-GN-60-30-300</t>
  </si>
  <si>
    <t xml:space="preserve">SPR-GN-60-30-60</t>
  </si>
  <si>
    <t xml:space="preserve">SPR-GN-60-30-65</t>
  </si>
  <si>
    <t xml:space="preserve">SPR-GN-60-30-70</t>
  </si>
  <si>
    <t xml:space="preserve">SPR-GN-60-30-75</t>
  </si>
  <si>
    <t xml:space="preserve">SPR-GN-60-30-80</t>
  </si>
  <si>
    <t xml:space="preserve">SPR-GN-60-30-85</t>
  </si>
  <si>
    <t xml:space="preserve">SPR-GN-60-30-90</t>
  </si>
  <si>
    <t xml:space="preserve">SPR-GN-60-30-95</t>
  </si>
  <si>
    <t xml:space="preserve">SPR-GN-70-40-100</t>
  </si>
  <si>
    <t xml:space="preserve">SPR-GN-70-40-125</t>
  </si>
  <si>
    <t xml:space="preserve">SPR-GN-70-40-150</t>
  </si>
  <si>
    <t xml:space="preserve">SPR-GN-70-40-175</t>
  </si>
  <si>
    <t xml:space="preserve">SPR-GN-70-40-200</t>
  </si>
  <si>
    <t xml:space="preserve">SPR-GN-70-40-250</t>
  </si>
  <si>
    <t xml:space="preserve">SPR-GN-70-40-300</t>
  </si>
  <si>
    <t xml:space="preserve">SPR-GN-70-40-70</t>
  </si>
  <si>
    <t xml:space="preserve">SPR-GN-70-40-80</t>
  </si>
  <si>
    <t xml:space="preserve">SPR-GN-70-40-90</t>
  </si>
  <si>
    <t xml:space="preserve">SPR-GN-8-4-100</t>
  </si>
  <si>
    <t xml:space="preserve">SPR-GN-8-4-20</t>
  </si>
  <si>
    <t xml:space="preserve">SPR-GN-8-4-25</t>
  </si>
  <si>
    <t xml:space="preserve">SPR-GN-8-4-30</t>
  </si>
  <si>
    <t xml:space="preserve">SPR-GN-8-4-300</t>
  </si>
  <si>
    <t xml:space="preserve">SPR-GN-8-4-35</t>
  </si>
  <si>
    <t xml:space="preserve">SPR-GN-8-4-40</t>
  </si>
  <si>
    <t xml:space="preserve">SPR-GN-8-4-45</t>
  </si>
  <si>
    <t xml:space="preserve">SPR-GN-8-4-50</t>
  </si>
  <si>
    <t xml:space="preserve">SPR-GN-8-4-55</t>
  </si>
  <si>
    <t xml:space="preserve">SPR-GN-8-4-60</t>
  </si>
  <si>
    <t xml:space="preserve">SPR-GN-8-4-65</t>
  </si>
  <si>
    <t xml:space="preserve">SPR-GN-8-4-70</t>
  </si>
  <si>
    <t xml:space="preserve">SPR-GN-8-4-75</t>
  </si>
  <si>
    <t xml:space="preserve">SPR-GN-8-4-80</t>
  </si>
  <si>
    <t xml:space="preserve">SPR-GN-8-4-85</t>
  </si>
  <si>
    <t xml:space="preserve">SPR-GN-8-4-90</t>
  </si>
  <si>
    <t xml:space="preserve">SPR-GN-8-4-95</t>
  </si>
  <si>
    <t xml:space="preserve">Die Spring, Blue (OD 6-70mm)  [Springs &amp; Leveling]</t>
  </si>
  <si>
    <t xml:space="preserve">SPR-BL-10-5-100</t>
  </si>
  <si>
    <t xml:space="preserve">SPR-BL-10-5-110</t>
  </si>
  <si>
    <t xml:space="preserve">SPR-BL-10-5-120</t>
  </si>
  <si>
    <t xml:space="preserve">SPR-BL-10-5-125</t>
  </si>
  <si>
    <t xml:space="preserve">SPR-BL-10-5-20</t>
  </si>
  <si>
    <t xml:space="preserve">SPR-BL-10-5-25</t>
  </si>
  <si>
    <t xml:space="preserve">SPR-BL-10-5-30</t>
  </si>
  <si>
    <t xml:space="preserve">SPR-BL-10-5-300</t>
  </si>
  <si>
    <t xml:space="preserve">SPR-BL-10-5-35</t>
  </si>
  <si>
    <t xml:space="preserve">SPR-BL-10-5-40</t>
  </si>
  <si>
    <t xml:space="preserve">SPR-BL-10-5-45</t>
  </si>
  <si>
    <t xml:space="preserve">SPR-BL-10-5-50</t>
  </si>
  <si>
    <t xml:space="preserve">SPR-BL-10-5-55</t>
  </si>
  <si>
    <t xml:space="preserve">SPR-BL-10-5-60</t>
  </si>
  <si>
    <t xml:space="preserve">SPR-BL-10-5-65</t>
  </si>
  <si>
    <t xml:space="preserve">SPR-BL-10-5-70</t>
  </si>
  <si>
    <t xml:space="preserve">SPR-BL-10-5-75</t>
  </si>
  <si>
    <t xml:space="preserve">SPR-BL-10-5-80</t>
  </si>
  <si>
    <t xml:space="preserve">SPR-BL-10-5-90</t>
  </si>
  <si>
    <t xml:space="preserve">SPR-BL-10-5-95</t>
  </si>
  <si>
    <t xml:space="preserve">SPR-BL-12-6-100</t>
  </si>
  <si>
    <t xml:space="preserve">SPR-BL-12-6-125</t>
  </si>
  <si>
    <t xml:space="preserve">SPR-BL-12-6-20</t>
  </si>
  <si>
    <t xml:space="preserve">SPR-BL-12-6-25</t>
  </si>
  <si>
    <t xml:space="preserve">SPR-BL-12-6-30</t>
  </si>
  <si>
    <t xml:space="preserve">SPR-BL-12-6-300</t>
  </si>
  <si>
    <t xml:space="preserve">SPR-BL-12-6-35</t>
  </si>
  <si>
    <t xml:space="preserve">SPR-BL-12-6-40</t>
  </si>
  <si>
    <t xml:space="preserve">SPR-BL-12-6-45</t>
  </si>
  <si>
    <t xml:space="preserve">SPR-BL-12-6-50</t>
  </si>
  <si>
    <t xml:space="preserve">SPR-BL-12-6-55</t>
  </si>
  <si>
    <t xml:space="preserve">SPR-BL-12-6-60</t>
  </si>
  <si>
    <t xml:space="preserve">SPR-BL-12-6-65</t>
  </si>
  <si>
    <t xml:space="preserve">SPR-BL-12-6-70</t>
  </si>
  <si>
    <t xml:space="preserve">SPR-BL-12-6-75</t>
  </si>
  <si>
    <t xml:space="preserve">SPR-BL-12-6-80</t>
  </si>
  <si>
    <t xml:space="preserve">SPR-BL-12-6-85</t>
  </si>
  <si>
    <t xml:space="preserve">SPR-BL-12-6-90</t>
  </si>
  <si>
    <t xml:space="preserve">SPR-BL-14-7-100</t>
  </si>
  <si>
    <t xml:space="preserve">SPR-BL-14-7-20</t>
  </si>
  <si>
    <t xml:space="preserve">SPR-BL-14-7-25</t>
  </si>
  <si>
    <t xml:space="preserve">SPR-BL-14-7-30</t>
  </si>
  <si>
    <t xml:space="preserve">SPR-BL-14-7-300</t>
  </si>
  <si>
    <t xml:space="preserve">SPR-BL-14-7-35</t>
  </si>
  <si>
    <t xml:space="preserve">SPR-BL-14-7-40</t>
  </si>
  <si>
    <t xml:space="preserve">SPR-BL-14-7-45</t>
  </si>
  <si>
    <t xml:space="preserve">SPR-BL-14-7-50</t>
  </si>
  <si>
    <t xml:space="preserve">SPR-BL-14-7-55</t>
  </si>
  <si>
    <t xml:space="preserve">SPR-BL-14-7-60</t>
  </si>
  <si>
    <t xml:space="preserve">SPR-BL-14-7-65</t>
  </si>
  <si>
    <t xml:space="preserve">SPR-BL-14-7-70</t>
  </si>
  <si>
    <t xml:space="preserve">SPR-BL-14-7-75</t>
  </si>
  <si>
    <t xml:space="preserve">SPR-BL-14-7-80</t>
  </si>
  <si>
    <t xml:space="preserve">SPR-BL-14-7-90</t>
  </si>
  <si>
    <t xml:space="preserve">SPR-BL-16-8-100</t>
  </si>
  <si>
    <t xml:space="preserve">SPR-BL-16-8-110</t>
  </si>
  <si>
    <t xml:space="preserve">SPR-BL-16-8-120</t>
  </si>
  <si>
    <t xml:space="preserve">SPR-BL-16-8-125</t>
  </si>
  <si>
    <t xml:space="preserve">SPR-BL-16-8-150</t>
  </si>
  <si>
    <t xml:space="preserve">SPR-BL-16-8-20</t>
  </si>
  <si>
    <t xml:space="preserve">SPR-BL-16-8-25</t>
  </si>
  <si>
    <t xml:space="preserve">SPR-BL-16-8-30</t>
  </si>
  <si>
    <t xml:space="preserve">SPR-BL-16-8-300</t>
  </si>
  <si>
    <t xml:space="preserve">SPR-BL-16-8-35</t>
  </si>
  <si>
    <t xml:space="preserve">SPR-BL-16-8-40</t>
  </si>
  <si>
    <t xml:space="preserve">SPR-BL-16-8-45</t>
  </si>
  <si>
    <t xml:space="preserve">SPR-BL-16-8-50</t>
  </si>
  <si>
    <t xml:space="preserve">SPR-BL-16-8-55</t>
  </si>
  <si>
    <t xml:space="preserve">SPR-BL-16-8-60</t>
  </si>
  <si>
    <t xml:space="preserve">SPR-BL-16-8-65</t>
  </si>
  <si>
    <t xml:space="preserve">SPR-BL-16-8-70</t>
  </si>
  <si>
    <t xml:space="preserve">SPR-BL-16-8-75</t>
  </si>
  <si>
    <t xml:space="preserve">SPR-BL-16-8-80</t>
  </si>
  <si>
    <t xml:space="preserve">SPR-BL-16-8-85</t>
  </si>
  <si>
    <t xml:space="preserve">SPR-BL-16-8-90</t>
  </si>
  <si>
    <t xml:space="preserve">SPR-BL-18-9-100</t>
  </si>
  <si>
    <t xml:space="preserve">SPR-BL-18-9-110</t>
  </si>
  <si>
    <t xml:space="preserve">SPR-BL-18-9-125</t>
  </si>
  <si>
    <t xml:space="preserve">SPR-BL-18-9-150</t>
  </si>
  <si>
    <t xml:space="preserve">SPR-BL-18-9-20</t>
  </si>
  <si>
    <t xml:space="preserve">SPR-BL-18-9-25</t>
  </si>
  <si>
    <t xml:space="preserve">SPR-BL-18-9-30</t>
  </si>
  <si>
    <t xml:space="preserve">SPR-BL-18-9-300</t>
  </si>
  <si>
    <t xml:space="preserve">SPR-BL-18-9-35</t>
  </si>
  <si>
    <t xml:space="preserve">SPR-BL-18-9-40</t>
  </si>
  <si>
    <t xml:space="preserve">SPR-BL-18-9-45</t>
  </si>
  <si>
    <t xml:space="preserve">SPR-BL-18-9-50</t>
  </si>
  <si>
    <t xml:space="preserve">SPR-BL-18-9-55</t>
  </si>
  <si>
    <t xml:space="preserve">SPR-BL-18-9-60</t>
  </si>
  <si>
    <t xml:space="preserve">SPR-BL-18-9-65</t>
  </si>
  <si>
    <t xml:space="preserve">SPR-BL-18-9-70</t>
  </si>
  <si>
    <t xml:space="preserve">SPR-BL-18-9-75</t>
  </si>
  <si>
    <t xml:space="preserve">SPR-BL-18-9-80</t>
  </si>
  <si>
    <t xml:space="preserve">SPR-BL-18-9-85</t>
  </si>
  <si>
    <t xml:space="preserve">SPR-BL-18-9-90</t>
  </si>
  <si>
    <t xml:space="preserve">SPR-BL-20-10-100</t>
  </si>
  <si>
    <t xml:space="preserve">SPR-BL-20-10-110</t>
  </si>
  <si>
    <t xml:space="preserve">SPR-BL-20-10-120</t>
  </si>
  <si>
    <t xml:space="preserve">SPR-BL-20-10-125</t>
  </si>
  <si>
    <t xml:space="preserve">SPR-BL-20-10-150</t>
  </si>
  <si>
    <t xml:space="preserve">SPR-BL-20-10-175</t>
  </si>
  <si>
    <t xml:space="preserve">SPR-BL-20-10-20</t>
  </si>
  <si>
    <t xml:space="preserve">SPR-BL-20-10-200</t>
  </si>
  <si>
    <t xml:space="preserve">SPR-BL-20-10-25</t>
  </si>
  <si>
    <t xml:space="preserve">SPR-BL-20-10-30</t>
  </si>
  <si>
    <t xml:space="preserve">SPR-BL-20-10-300</t>
  </si>
  <si>
    <t xml:space="preserve">SPR-BL-20-10-35</t>
  </si>
  <si>
    <t xml:space="preserve">SPR-BL-20-10-40</t>
  </si>
  <si>
    <t xml:space="preserve">SPR-BL-20-10-45</t>
  </si>
  <si>
    <t xml:space="preserve">SPR-BL-20-10-50</t>
  </si>
  <si>
    <t xml:space="preserve">SPR-BL-20-10-55</t>
  </si>
  <si>
    <t xml:space="preserve">SPR-BL-20-10-60</t>
  </si>
  <si>
    <t xml:space="preserve">SPR-BL-20-10-65</t>
  </si>
  <si>
    <t xml:space="preserve">SPR-BL-20-10-70</t>
  </si>
  <si>
    <t xml:space="preserve">SPR-BL-20-10-75</t>
  </si>
  <si>
    <t xml:space="preserve">SPR-BL-20-10-80</t>
  </si>
  <si>
    <t xml:space="preserve">SPR-BL-20-10-85</t>
  </si>
  <si>
    <t xml:space="preserve">SPR-BL-20-10-90</t>
  </si>
  <si>
    <t xml:space="preserve">SPR-BL-20-10-95</t>
  </si>
  <si>
    <t xml:space="preserve">SPR-BL-22-11-100</t>
  </si>
  <si>
    <t xml:space="preserve">SPR-BL-22-11-110</t>
  </si>
  <si>
    <t xml:space="preserve">SPR-BL-22-11-125</t>
  </si>
  <si>
    <t xml:space="preserve">SPR-BL-22-11-150</t>
  </si>
  <si>
    <t xml:space="preserve">SPR-BL-22-11-175</t>
  </si>
  <si>
    <t xml:space="preserve">SPR-BL-22-11-25</t>
  </si>
  <si>
    <t xml:space="preserve">SPR-BL-22-11-30</t>
  </si>
  <si>
    <t xml:space="preserve">SPR-BL-22-11-300</t>
  </si>
  <si>
    <t xml:space="preserve">SPR-BL-22-11-35</t>
  </si>
  <si>
    <t xml:space="preserve">SPR-BL-22-11-40</t>
  </si>
  <si>
    <t xml:space="preserve">SPR-BL-22-11-45</t>
  </si>
  <si>
    <t xml:space="preserve">SPR-BL-22-11-50</t>
  </si>
  <si>
    <t xml:space="preserve">SPR-BL-22-11-55</t>
  </si>
  <si>
    <t xml:space="preserve">SPR-BL-22-11-60</t>
  </si>
  <si>
    <t xml:space="preserve">SPR-BL-22-11-65</t>
  </si>
  <si>
    <t xml:space="preserve">SPR-BL-22-11-70</t>
  </si>
  <si>
    <t xml:space="preserve">SPR-BL-22-11-75</t>
  </si>
  <si>
    <t xml:space="preserve">SPR-BL-22-11-80</t>
  </si>
  <si>
    <t xml:space="preserve">SPR-BL-22-11-85</t>
  </si>
  <si>
    <t xml:space="preserve">SPR-BL-22-11-90</t>
  </si>
  <si>
    <t xml:space="preserve">SPR-BL-22-11-95</t>
  </si>
  <si>
    <t xml:space="preserve">SPR-BL-25-12.5-100</t>
  </si>
  <si>
    <t xml:space="preserve">SPR-BL-25-12.5-110</t>
  </si>
  <si>
    <t xml:space="preserve">SPR-BL-25-12.5-125</t>
  </si>
  <si>
    <t xml:space="preserve">SPR-BL-25-12.5-130</t>
  </si>
  <si>
    <t xml:space="preserve">SPR-BL-25-12.5-150</t>
  </si>
  <si>
    <t xml:space="preserve">SPR-BL-25-12.5-175</t>
  </si>
  <si>
    <t xml:space="preserve">SPR-BL-25-12.5-200</t>
  </si>
  <si>
    <t xml:space="preserve">SPR-BL-25-12.5-25</t>
  </si>
  <si>
    <t xml:space="preserve">SPR-BL-25-12.5-30</t>
  </si>
  <si>
    <t xml:space="preserve">SPR-BL-25-12.5-300</t>
  </si>
  <si>
    <t xml:space="preserve">SPR-BL-25-12.5-35</t>
  </si>
  <si>
    <t xml:space="preserve">SPR-BL-25-12.5-40</t>
  </si>
  <si>
    <t xml:space="preserve">SPR-BL-25-12.5-45</t>
  </si>
  <si>
    <t xml:space="preserve">SPR-BL-25-12.5-50</t>
  </si>
  <si>
    <t xml:space="preserve">SPR-BL-25-12.5-55</t>
  </si>
  <si>
    <t xml:space="preserve">SPR-BL-25-12.5-60</t>
  </si>
  <si>
    <t xml:space="preserve">SPR-BL-25-12.5-65</t>
  </si>
  <si>
    <t xml:space="preserve">SPR-BL-25-12.5-70</t>
  </si>
  <si>
    <t xml:space="preserve">SPR-BL-25-12.5-75</t>
  </si>
  <si>
    <t xml:space="preserve">SPR-BL-25-12.5-80</t>
  </si>
  <si>
    <t xml:space="preserve">SPR-BL-25-12.5-85</t>
  </si>
  <si>
    <t xml:space="preserve">SPR-BL-25-12.5-90</t>
  </si>
  <si>
    <t xml:space="preserve">SPR-BL-25-12.5-95</t>
  </si>
  <si>
    <t xml:space="preserve">SPR-BL-27-13.5-100</t>
  </si>
  <si>
    <t xml:space="preserve">SPR-BL-27-13.5-110</t>
  </si>
  <si>
    <t xml:space="preserve">SPR-BL-27-13.5-125</t>
  </si>
  <si>
    <t xml:space="preserve">SPR-BL-27-13.5-150</t>
  </si>
  <si>
    <t xml:space="preserve">SPR-BL-27-13.5-175</t>
  </si>
  <si>
    <t xml:space="preserve">SPR-BL-27-13.5-200</t>
  </si>
  <si>
    <t xml:space="preserve">SPR-BL-27-13.5-25</t>
  </si>
  <si>
    <t xml:space="preserve">SPR-BL-27-13.5-30</t>
  </si>
  <si>
    <t xml:space="preserve">SPR-BL-27-13.5-300</t>
  </si>
  <si>
    <t xml:space="preserve">SPR-BL-27-13.5-35</t>
  </si>
  <si>
    <t xml:space="preserve">SPR-BL-27-13.5-40</t>
  </si>
  <si>
    <t xml:space="preserve">SPR-BL-27-13.5-45</t>
  </si>
  <si>
    <t xml:space="preserve">SPR-BL-27-13.5-50</t>
  </si>
  <si>
    <t xml:space="preserve">SPR-BL-27-13.5-55</t>
  </si>
  <si>
    <t xml:space="preserve">SPR-BL-27-13.5-60</t>
  </si>
  <si>
    <t xml:space="preserve">SPR-BL-27-13.5-65</t>
  </si>
  <si>
    <t xml:space="preserve">SPR-BL-27-13.5-70</t>
  </si>
  <si>
    <t xml:space="preserve">SPR-BL-27-13.5-75</t>
  </si>
  <si>
    <t xml:space="preserve">SPR-BL-27-13.5-80</t>
  </si>
  <si>
    <t xml:space="preserve">SPR-BL-27-13.5-85</t>
  </si>
  <si>
    <t xml:space="preserve">SPR-BL-27-13.5-90</t>
  </si>
  <si>
    <t xml:space="preserve">SPR-BL-27-13.5-95</t>
  </si>
  <si>
    <t xml:space="preserve">SPR-BL-30-15-100</t>
  </si>
  <si>
    <t xml:space="preserve">SPR-BL-30-15-110</t>
  </si>
  <si>
    <t xml:space="preserve">SPR-BL-30-15-125</t>
  </si>
  <si>
    <t xml:space="preserve">SPR-BL-30-15-150</t>
  </si>
  <si>
    <t xml:space="preserve">SPR-BL-30-15-175</t>
  </si>
  <si>
    <t xml:space="preserve">SPR-BL-30-15-200</t>
  </si>
  <si>
    <t xml:space="preserve">SPR-BL-30-15-25</t>
  </si>
  <si>
    <t xml:space="preserve">SPR-BL-30-15-30</t>
  </si>
  <si>
    <t xml:space="preserve">SPR-BL-30-15-300</t>
  </si>
  <si>
    <t xml:space="preserve">SPR-BL-30-15-35</t>
  </si>
  <si>
    <t xml:space="preserve">SPR-BL-30-15-40</t>
  </si>
  <si>
    <t xml:space="preserve">SPR-BL-30-15-45</t>
  </si>
  <si>
    <t xml:space="preserve">SPR-BL-30-15-50</t>
  </si>
  <si>
    <t xml:space="preserve">SPR-BL-30-15-55</t>
  </si>
  <si>
    <t xml:space="preserve">SPR-BL-30-15-60</t>
  </si>
  <si>
    <t xml:space="preserve">SPR-BL-30-15-65</t>
  </si>
  <si>
    <t xml:space="preserve">SPR-BL-30-15-70</t>
  </si>
  <si>
    <t xml:space="preserve">SPR-BL-30-15-75</t>
  </si>
  <si>
    <t xml:space="preserve">SPR-BL-30-15-80</t>
  </si>
  <si>
    <t xml:space="preserve">SPR-BL-30-15-85</t>
  </si>
  <si>
    <t xml:space="preserve">SPR-BL-30-15-90</t>
  </si>
  <si>
    <t xml:space="preserve">SPR-BL-30-15-95</t>
  </si>
  <si>
    <t xml:space="preserve">SPR-BL-35-17.5-100</t>
  </si>
  <si>
    <t xml:space="preserve">SPR-BL-35-17.5-110</t>
  </si>
  <si>
    <t xml:space="preserve">SPR-BL-35-17.5-120</t>
  </si>
  <si>
    <t xml:space="preserve">SPR-BL-35-17.5-125</t>
  </si>
  <si>
    <t xml:space="preserve">SPR-BL-35-17.5-150</t>
  </si>
  <si>
    <t xml:space="preserve">SPR-BL-35-17.5-175</t>
  </si>
  <si>
    <t xml:space="preserve">SPR-BL-35-17.5-200</t>
  </si>
  <si>
    <t xml:space="preserve">SPR-BL-35-17.5-300</t>
  </si>
  <si>
    <t xml:space="preserve">SPR-BL-35-17.5-35</t>
  </si>
  <si>
    <t xml:space="preserve">SPR-BL-35-17.5-40</t>
  </si>
  <si>
    <t xml:space="preserve">SPR-BL-35-17.5-45</t>
  </si>
  <si>
    <t xml:space="preserve">SPR-BL-35-17.5-50</t>
  </si>
  <si>
    <t xml:space="preserve">SPR-BL-35-17.5-55</t>
  </si>
  <si>
    <t xml:space="preserve">SPR-BL-35-17.5-60</t>
  </si>
  <si>
    <t xml:space="preserve">SPR-BL-35-17.5-65</t>
  </si>
  <si>
    <t xml:space="preserve">SPR-BL-35-17.5-70</t>
  </si>
  <si>
    <t xml:space="preserve">SPR-BL-35-17.5-75</t>
  </si>
  <si>
    <t xml:space="preserve">SPR-BL-35-17.5-80</t>
  </si>
  <si>
    <t xml:space="preserve">SPR-BL-35-17.5-85</t>
  </si>
  <si>
    <t xml:space="preserve">SPR-BL-35-17.5-90</t>
  </si>
  <si>
    <t xml:space="preserve">SPR-BL-35-17.5-95</t>
  </si>
  <si>
    <t xml:space="preserve">SPR-BL-40-20-100</t>
  </si>
  <si>
    <t xml:space="preserve">SPR-BL-40-20-110</t>
  </si>
  <si>
    <t xml:space="preserve">SPR-BL-40-20-120</t>
  </si>
  <si>
    <t xml:space="preserve">SPR-BL-40-20-125</t>
  </si>
  <si>
    <t xml:space="preserve">SPR-BL-40-20-130</t>
  </si>
  <si>
    <t xml:space="preserve">SPR-BL-40-20-140</t>
  </si>
  <si>
    <t xml:space="preserve">SPR-BL-40-20-150</t>
  </si>
  <si>
    <t xml:space="preserve">SPR-BL-40-20-175</t>
  </si>
  <si>
    <t xml:space="preserve">SPR-BL-40-20-200</t>
  </si>
  <si>
    <t xml:space="preserve">SPR-BL-40-20-225</t>
  </si>
  <si>
    <t xml:space="preserve">SPR-BL-40-20-250</t>
  </si>
  <si>
    <t xml:space="preserve">SPR-BL-40-20-275</t>
  </si>
  <si>
    <t xml:space="preserve">SPR-BL-40-20-300</t>
  </si>
  <si>
    <t xml:space="preserve">SPR-BL-40-20-40</t>
  </si>
  <si>
    <t xml:space="preserve">SPR-BL-40-20-45</t>
  </si>
  <si>
    <t xml:space="preserve">SPR-BL-40-20-50</t>
  </si>
  <si>
    <t xml:space="preserve">SPR-BL-40-20-55</t>
  </si>
  <si>
    <t xml:space="preserve">SPR-BL-40-20-60</t>
  </si>
  <si>
    <t xml:space="preserve">SPR-BL-40-20-65</t>
  </si>
  <si>
    <t xml:space="preserve">SPR-BL-40-20-70</t>
  </si>
  <si>
    <t xml:space="preserve">SPR-BL-40-20-75</t>
  </si>
  <si>
    <t xml:space="preserve">SPR-BL-40-20-80</t>
  </si>
  <si>
    <t xml:space="preserve">SPR-BL-40-20-85</t>
  </si>
  <si>
    <t xml:space="preserve">SPR-BL-40-20-90</t>
  </si>
  <si>
    <t xml:space="preserve">SPR-BL-40-20-95</t>
  </si>
  <si>
    <t xml:space="preserve">SPR-BL-45-25-100</t>
  </si>
  <si>
    <t xml:space="preserve">SPR-BL-45-25-110</t>
  </si>
  <si>
    <t xml:space="preserve">SPR-BL-45-25-120</t>
  </si>
  <si>
    <t xml:space="preserve">SPR-BL-45-25-125</t>
  </si>
  <si>
    <t xml:space="preserve">SPR-BL-45-25-150</t>
  </si>
  <si>
    <t xml:space="preserve">SPR-BL-45-25-300</t>
  </si>
  <si>
    <t xml:space="preserve">SPR-BL-45-25-50</t>
  </si>
  <si>
    <t xml:space="preserve">SPR-BL-45-25-55</t>
  </si>
  <si>
    <t xml:space="preserve">SPR-BL-45-25-60</t>
  </si>
  <si>
    <t xml:space="preserve">SPR-BL-45-25-65</t>
  </si>
  <si>
    <t xml:space="preserve">SPR-BL-45-25-70</t>
  </si>
  <si>
    <t xml:space="preserve">SPR-BL-45-25-75</t>
  </si>
  <si>
    <t xml:space="preserve">SPR-BL-45-25-80</t>
  </si>
  <si>
    <t xml:space="preserve">SPR-BL-45-25-85</t>
  </si>
  <si>
    <t xml:space="preserve">SPR-BL-45-25-90</t>
  </si>
  <si>
    <t xml:space="preserve">SPR-BL-45-25-95</t>
  </si>
  <si>
    <t xml:space="preserve">SPR-BL-50-25-100</t>
  </si>
  <si>
    <t xml:space="preserve">SPR-BL-50-25-110</t>
  </si>
  <si>
    <t xml:space="preserve">SPR-BL-50-25-125</t>
  </si>
  <si>
    <t xml:space="preserve">SPR-BL-50-25-150</t>
  </si>
  <si>
    <t xml:space="preserve">SPR-BL-50-25-175</t>
  </si>
  <si>
    <t xml:space="preserve">SPR-BL-50-25-200</t>
  </si>
  <si>
    <t xml:space="preserve">SPR-BL-50-25-225</t>
  </si>
  <si>
    <t xml:space="preserve">SPR-BL-50-25-250</t>
  </si>
  <si>
    <t xml:space="preserve">SPR-BL-50-25-275</t>
  </si>
  <si>
    <t xml:space="preserve">SPR-BL-50-25-300</t>
  </si>
  <si>
    <t xml:space="preserve">SPR-BL-50-25-50</t>
  </si>
  <si>
    <t xml:space="preserve">SPR-BL-50-25-55</t>
  </si>
  <si>
    <t xml:space="preserve">SPR-BL-50-25-60</t>
  </si>
  <si>
    <t xml:space="preserve">SPR-BL-50-25-65</t>
  </si>
  <si>
    <t xml:space="preserve">SPR-BL-50-25-70</t>
  </si>
  <si>
    <t xml:space="preserve">SPR-BL-50-25-75</t>
  </si>
  <si>
    <t xml:space="preserve">SPR-BL-50-25-80</t>
  </si>
  <si>
    <t xml:space="preserve">SPR-BL-50-25-85</t>
  </si>
  <si>
    <t xml:space="preserve">SPR-BL-50-25-90</t>
  </si>
  <si>
    <t xml:space="preserve">SPR-BL-50-25-95</t>
  </si>
  <si>
    <t xml:space="preserve">SPR-BL-6-3-15</t>
  </si>
  <si>
    <t xml:space="preserve">SPR-BL-6-3-20</t>
  </si>
  <si>
    <t xml:space="preserve">SPR-BL-6-3-25</t>
  </si>
  <si>
    <t xml:space="preserve">SPR-BL-6-3-30</t>
  </si>
  <si>
    <t xml:space="preserve">SPR-BL-6-3-300</t>
  </si>
  <si>
    <t xml:space="preserve">SPR-BL-6-3-35</t>
  </si>
  <si>
    <t xml:space="preserve">SPR-BL-6-3-40</t>
  </si>
  <si>
    <t xml:space="preserve">SPR-BL-6-3-45</t>
  </si>
  <si>
    <t xml:space="preserve">SPR-BL-6-3-50</t>
  </si>
  <si>
    <t xml:space="preserve">SPR-BL-6-3-55</t>
  </si>
  <si>
    <t xml:space="preserve">SPR-BL-6-3-60</t>
  </si>
  <si>
    <t xml:space="preserve">SPR-BL-6-3-65</t>
  </si>
  <si>
    <t xml:space="preserve">SPR-BL-6-3-70</t>
  </si>
  <si>
    <t xml:space="preserve">SPR-BL-60-30-100</t>
  </si>
  <si>
    <t xml:space="preserve">SPR-BL-60-30-110</t>
  </si>
  <si>
    <t xml:space="preserve">SPR-BL-60-30-125</t>
  </si>
  <si>
    <t xml:space="preserve">SPR-BL-60-30-150</t>
  </si>
  <si>
    <t xml:space="preserve">SPR-BL-60-30-175</t>
  </si>
  <si>
    <t xml:space="preserve">SPR-BL-60-30-200</t>
  </si>
  <si>
    <t xml:space="preserve">SPR-BL-60-30-225</t>
  </si>
  <si>
    <t xml:space="preserve">SPR-BL-60-30-300</t>
  </si>
  <si>
    <t xml:space="preserve">SPR-BL-60-30-60</t>
  </si>
  <si>
    <t xml:space="preserve">SPR-BL-60-30-65</t>
  </si>
  <si>
    <t xml:space="preserve">SPR-BL-60-30-70</t>
  </si>
  <si>
    <t xml:space="preserve">SPR-BL-60-30-75</t>
  </si>
  <si>
    <t xml:space="preserve">SPR-BL-60-30-80</t>
  </si>
  <si>
    <t xml:space="preserve">SPR-BL-60-30-85</t>
  </si>
  <si>
    <t xml:space="preserve">SPR-BL-60-30-90</t>
  </si>
  <si>
    <t xml:space="preserve">SPR-BL-60-30-95</t>
  </si>
  <si>
    <t xml:space="preserve">SPR-BL-70-40-100</t>
  </si>
  <si>
    <t xml:space="preserve">SPR-BL-70-40-200</t>
  </si>
  <si>
    <t xml:space="preserve">SPR-BL-70-40-70</t>
  </si>
  <si>
    <t xml:space="preserve">SPR-BL-70-40-80</t>
  </si>
  <si>
    <t xml:space="preserve">SPR-BL-70-40-90</t>
  </si>
  <si>
    <t xml:space="preserve">SPR-BL-8-4-100</t>
  </si>
  <si>
    <t xml:space="preserve">SPR-BL-8-4-20</t>
  </si>
  <si>
    <t xml:space="preserve">SPR-BL-8-4-25</t>
  </si>
  <si>
    <t xml:space="preserve">SPR-BL-8-4-30</t>
  </si>
  <si>
    <t xml:space="preserve">SPR-BL-8-4-300</t>
  </si>
  <si>
    <t xml:space="preserve">SPR-BL-8-4-35</t>
  </si>
  <si>
    <t xml:space="preserve">SPR-BL-8-4-40</t>
  </si>
  <si>
    <t xml:space="preserve">SPR-BL-8-4-45</t>
  </si>
  <si>
    <t xml:space="preserve">SPR-BL-8-4-50</t>
  </si>
  <si>
    <t xml:space="preserve">SPR-BL-8-4-55</t>
  </si>
  <si>
    <t xml:space="preserve">SPR-BL-8-4-60</t>
  </si>
  <si>
    <t xml:space="preserve">SPR-BL-8-4-65</t>
  </si>
  <si>
    <t xml:space="preserve">SPR-BL-8-4-70</t>
  </si>
  <si>
    <t xml:space="preserve">SPR-BL-8-4-75</t>
  </si>
  <si>
    <t xml:space="preserve">SPR-BL-8-4-80</t>
  </si>
  <si>
    <t xml:space="preserve">SPR-BL-8-4-85</t>
  </si>
  <si>
    <t xml:space="preserve">SPR-BL-8-4-90</t>
  </si>
  <si>
    <t xml:space="preserve">SPR-BL-8-4-95</t>
  </si>
  <si>
    <t xml:space="preserve">Die Spring, Yellow (OD 6-70mm)  [Springs &amp; Leveling]</t>
  </si>
  <si>
    <t xml:space="preserve">SPR-YL-10-5-100</t>
  </si>
  <si>
    <t xml:space="preserve">SPR-YL-10-5-125</t>
  </si>
  <si>
    <t xml:space="preserve">SPR-YL-10-5-20</t>
  </si>
  <si>
    <t xml:space="preserve">SPR-YL-10-5-25</t>
  </si>
  <si>
    <t xml:space="preserve">SPR-YL-10-5-30</t>
  </si>
  <si>
    <t xml:space="preserve">SPR-YL-10-5-300</t>
  </si>
  <si>
    <t xml:space="preserve">SPR-YL-10-5-35</t>
  </si>
  <si>
    <t xml:space="preserve">SPR-YL-10-5-40</t>
  </si>
  <si>
    <t xml:space="preserve">SPR-YL-10-5-45</t>
  </si>
  <si>
    <t xml:space="preserve">SPR-YL-10-5-50</t>
  </si>
  <si>
    <t xml:space="preserve">SPR-YL-10-5-55</t>
  </si>
  <si>
    <t xml:space="preserve">SPR-YL-10-5-60</t>
  </si>
  <si>
    <t xml:space="preserve">SPR-YL-10-5-65</t>
  </si>
  <si>
    <t xml:space="preserve">SPR-YL-10-5-70</t>
  </si>
  <si>
    <t xml:space="preserve">SPR-YL-10-5-75</t>
  </si>
  <si>
    <t xml:space="preserve">SPR-YL-10-5-80</t>
  </si>
  <si>
    <t xml:space="preserve">SPR-YL-10-5-85</t>
  </si>
  <si>
    <t xml:space="preserve">SPR-YL-10-5-90</t>
  </si>
  <si>
    <t xml:space="preserve">SPR-YL-10-5-95</t>
  </si>
  <si>
    <t xml:space="preserve">SPR-YL-12-6-100</t>
  </si>
  <si>
    <t xml:space="preserve">SPR-YL-12-6-125</t>
  </si>
  <si>
    <t xml:space="preserve">SPR-YL-12-6-20</t>
  </si>
  <si>
    <t xml:space="preserve">SPR-YL-12-6-25</t>
  </si>
  <si>
    <t xml:space="preserve">SPR-YL-12-6-30</t>
  </si>
  <si>
    <t xml:space="preserve">SPR-YL-12-6-300</t>
  </si>
  <si>
    <t xml:space="preserve">SPR-YL-12-6-35</t>
  </si>
  <si>
    <t xml:space="preserve">SPR-YL-12-6-40</t>
  </si>
  <si>
    <t xml:space="preserve">SPR-YL-12-6-45</t>
  </si>
  <si>
    <t xml:space="preserve">SPR-YL-12-6-50</t>
  </si>
  <si>
    <t xml:space="preserve">SPR-YL-12-6-55</t>
  </si>
  <si>
    <t xml:space="preserve">SPR-YL-12-6-60</t>
  </si>
  <si>
    <t xml:space="preserve">SPR-YL-12-6-65</t>
  </si>
  <si>
    <t xml:space="preserve">SPR-YL-12-6-70</t>
  </si>
  <si>
    <t xml:space="preserve">SPR-YL-12-6-75</t>
  </si>
  <si>
    <t xml:space="preserve">SPR-YL-12-6-80</t>
  </si>
  <si>
    <t xml:space="preserve">SPR-YL-12-6-85</t>
  </si>
  <si>
    <t xml:space="preserve">SPR-YL-12-6-90</t>
  </si>
  <si>
    <t xml:space="preserve">SPR-YL-14-7-100</t>
  </si>
  <si>
    <t xml:space="preserve">SPR-YL-14-7-125</t>
  </si>
  <si>
    <t xml:space="preserve">SPR-YL-14-7-150</t>
  </si>
  <si>
    <t xml:space="preserve">SPR-YL-14-7-20</t>
  </si>
  <si>
    <t xml:space="preserve">SPR-YL-14-7-25</t>
  </si>
  <si>
    <t xml:space="preserve">SPR-YL-14-7-30</t>
  </si>
  <si>
    <t xml:space="preserve">SPR-YL-14-7-300</t>
  </si>
  <si>
    <t xml:space="preserve">SPR-YL-14-7-35</t>
  </si>
  <si>
    <t xml:space="preserve">SPR-YL-14-7-40</t>
  </si>
  <si>
    <t xml:space="preserve">SPR-YL-14-7-45</t>
  </si>
  <si>
    <t xml:space="preserve">SPR-YL-14-7-50</t>
  </si>
  <si>
    <t xml:space="preserve">SPR-YL-14-7-55</t>
  </si>
  <si>
    <t xml:space="preserve">SPR-YL-14-7-60</t>
  </si>
  <si>
    <t xml:space="preserve">SPR-YL-14-7-65</t>
  </si>
  <si>
    <t xml:space="preserve">SPR-YL-14-7-70</t>
  </si>
  <si>
    <t xml:space="preserve">SPR-YL-14-7-75</t>
  </si>
  <si>
    <t xml:space="preserve">SPR-YL-14-7-80</t>
  </si>
  <si>
    <t xml:space="preserve">SPR-YL-14-7-85</t>
  </si>
  <si>
    <t xml:space="preserve">SPR-YL-14-7-90</t>
  </si>
  <si>
    <t xml:space="preserve">SPR-YL-16-8-100</t>
  </si>
  <si>
    <t xml:space="preserve">SPR-YL-16-8-125</t>
  </si>
  <si>
    <t xml:space="preserve">SPR-YL-16-8-150</t>
  </si>
  <si>
    <t xml:space="preserve">SPR-YL-16-8-20</t>
  </si>
  <si>
    <t xml:space="preserve">SPR-YL-16-8-25</t>
  </si>
  <si>
    <t xml:space="preserve">SPR-YL-16-8-30</t>
  </si>
  <si>
    <t xml:space="preserve">SPR-YL-16-8-300</t>
  </si>
  <si>
    <t xml:space="preserve">SPR-YL-16-8-35</t>
  </si>
  <si>
    <t xml:space="preserve">SPR-YL-16-8-40</t>
  </si>
  <si>
    <t xml:space="preserve">SPR-YL-16-8-45</t>
  </si>
  <si>
    <t xml:space="preserve">SPR-YL-16-8-50</t>
  </si>
  <si>
    <t xml:space="preserve">SPR-YL-16-8-55</t>
  </si>
  <si>
    <t xml:space="preserve">SPR-YL-16-8-60</t>
  </si>
  <si>
    <t xml:space="preserve">SPR-YL-16-8-65</t>
  </si>
  <si>
    <t xml:space="preserve">SPR-YL-16-8-70</t>
  </si>
  <si>
    <t xml:space="preserve">SPR-YL-16-8-75</t>
  </si>
  <si>
    <t xml:space="preserve">SPR-YL-16-8-80</t>
  </si>
  <si>
    <t xml:space="preserve">SPR-YL-16-8-85</t>
  </si>
  <si>
    <t xml:space="preserve">SPR-YL-16-8-90</t>
  </si>
  <si>
    <t xml:space="preserve">SPR-YL-18-9-100</t>
  </si>
  <si>
    <t xml:space="preserve">SPR-YL-18-9-125</t>
  </si>
  <si>
    <t xml:space="preserve">SPR-YL-18-9-150</t>
  </si>
  <si>
    <t xml:space="preserve">SPR-YL-18-9-20</t>
  </si>
  <si>
    <t xml:space="preserve">SPR-YL-18-9-25</t>
  </si>
  <si>
    <t xml:space="preserve">SPR-YL-18-9-30</t>
  </si>
  <si>
    <t xml:space="preserve">SPR-YL-18-9-300</t>
  </si>
  <si>
    <t xml:space="preserve">SPR-YL-18-9-35</t>
  </si>
  <si>
    <t xml:space="preserve">SPR-YL-18-9-40</t>
  </si>
  <si>
    <t xml:space="preserve">SPR-YL-18-9-45</t>
  </si>
  <si>
    <t xml:space="preserve">SPR-YL-18-9-50</t>
  </si>
  <si>
    <t xml:space="preserve">SPR-YL-18-9-55</t>
  </si>
  <si>
    <t xml:space="preserve">SPR-YL-18-9-60</t>
  </si>
  <si>
    <t xml:space="preserve">SPR-YL-18-9-65</t>
  </si>
  <si>
    <t xml:space="preserve">SPR-YL-18-9-70</t>
  </si>
  <si>
    <t xml:space="preserve">SPR-YL-18-9-75</t>
  </si>
  <si>
    <t xml:space="preserve">SPR-YL-18-9-80</t>
  </si>
  <si>
    <t xml:space="preserve">SPR-YL-18-9-85</t>
  </si>
  <si>
    <t xml:space="preserve">SPR-YL-18-9-90</t>
  </si>
  <si>
    <t xml:space="preserve">SPR-YL-20-10-100</t>
  </si>
  <si>
    <t xml:space="preserve">SPR-YL-20-10-110</t>
  </si>
  <si>
    <t xml:space="preserve">SPR-YL-20-10-125</t>
  </si>
  <si>
    <t xml:space="preserve">SPR-YL-20-10-150</t>
  </si>
  <si>
    <t xml:space="preserve">SPR-YL-20-10-175</t>
  </si>
  <si>
    <t xml:space="preserve">SPR-YL-20-10-20</t>
  </si>
  <si>
    <t xml:space="preserve">SPR-YL-20-10-200</t>
  </si>
  <si>
    <t xml:space="preserve">SPR-YL-20-10-25</t>
  </si>
  <si>
    <t xml:space="preserve">SPR-YL-20-10-30</t>
  </si>
  <si>
    <t xml:space="preserve">SPR-YL-20-10-300</t>
  </si>
  <si>
    <t xml:space="preserve">SPR-YL-20-10-35</t>
  </si>
  <si>
    <t xml:space="preserve">SPR-YL-20-10-40</t>
  </si>
  <si>
    <t xml:space="preserve">SPR-YL-20-10-45</t>
  </si>
  <si>
    <t xml:space="preserve">SPR-YL-20-10-50</t>
  </si>
  <si>
    <t xml:space="preserve">SPR-YL-20-10-55</t>
  </si>
  <si>
    <t xml:space="preserve">SPR-YL-20-10-60</t>
  </si>
  <si>
    <t xml:space="preserve">SPR-YL-20-10-65</t>
  </si>
  <si>
    <t xml:space="preserve">SPR-YL-20-10-70</t>
  </si>
  <si>
    <t xml:space="preserve">SPR-YL-20-10-75</t>
  </si>
  <si>
    <t xml:space="preserve">SPR-YL-20-10-80</t>
  </si>
  <si>
    <t xml:space="preserve">SPR-YL-20-10-85</t>
  </si>
  <si>
    <t xml:space="preserve">SPR-YL-20-10-90</t>
  </si>
  <si>
    <t xml:space="preserve">SPR-YL-20-10-95</t>
  </si>
  <si>
    <t xml:space="preserve">SPR-YL-22-11-100</t>
  </si>
  <si>
    <t xml:space="preserve">SPR-YL-22-11-110</t>
  </si>
  <si>
    <t xml:space="preserve">SPR-YL-22-11-120</t>
  </si>
  <si>
    <t xml:space="preserve">SPR-YL-22-11-125</t>
  </si>
  <si>
    <t xml:space="preserve">SPR-YL-22-11-150</t>
  </si>
  <si>
    <t xml:space="preserve">SPR-YL-22-11-175</t>
  </si>
  <si>
    <t xml:space="preserve">SPR-YL-22-11-25</t>
  </si>
  <si>
    <t xml:space="preserve">SPR-YL-22-11-30</t>
  </si>
  <si>
    <t xml:space="preserve">SPR-YL-22-11-300</t>
  </si>
  <si>
    <t xml:space="preserve">SPR-YL-22-11-35</t>
  </si>
  <si>
    <t xml:space="preserve">SPR-YL-22-11-40</t>
  </si>
  <si>
    <t xml:space="preserve">SPR-YL-22-11-45</t>
  </si>
  <si>
    <t xml:space="preserve">SPR-YL-22-11-50</t>
  </si>
  <si>
    <t xml:space="preserve">SPR-YL-22-11-55</t>
  </si>
  <si>
    <t xml:space="preserve">SPR-YL-22-11-60</t>
  </si>
  <si>
    <t xml:space="preserve">SPR-YL-22-11-65</t>
  </si>
  <si>
    <t xml:space="preserve">SPR-YL-22-11-70</t>
  </si>
  <si>
    <t xml:space="preserve">SPR-YL-22-11-75</t>
  </si>
  <si>
    <t xml:space="preserve">SPR-YL-22-11-80</t>
  </si>
  <si>
    <t xml:space="preserve">SPR-YL-22-11-85</t>
  </si>
  <si>
    <t xml:space="preserve">SPR-YL-22-11-90</t>
  </si>
  <si>
    <t xml:space="preserve">SPR-YL-22-11-95</t>
  </si>
  <si>
    <t xml:space="preserve">SPR-YL-25-12.5-100</t>
  </si>
  <si>
    <t xml:space="preserve">SPR-YL-25-12.5-110</t>
  </si>
  <si>
    <t xml:space="preserve">SPR-YL-25-12.5-125</t>
  </si>
  <si>
    <t xml:space="preserve">SPR-YL-25-12.5-130</t>
  </si>
  <si>
    <t xml:space="preserve">SPR-YL-25-12.5-150</t>
  </si>
  <si>
    <t xml:space="preserve">SPR-YL-25-12.5-175</t>
  </si>
  <si>
    <t xml:space="preserve">SPR-YL-25-12.5-200</t>
  </si>
  <si>
    <t xml:space="preserve">SPR-YL-25-12.5-25</t>
  </si>
  <si>
    <t xml:space="preserve">SPR-YL-25-12.5-30</t>
  </si>
  <si>
    <t xml:space="preserve">SPR-YL-25-12.5-300</t>
  </si>
  <si>
    <t xml:space="preserve">SPR-YL-25-12.5-35</t>
  </si>
  <si>
    <t xml:space="preserve">SPR-YL-25-12.5-40</t>
  </si>
  <si>
    <t xml:space="preserve">SPR-YL-25-12.5-45</t>
  </si>
  <si>
    <t xml:space="preserve">SPR-YL-25-12.5-50</t>
  </si>
  <si>
    <t xml:space="preserve">SPR-YL-25-12.5-55</t>
  </si>
  <si>
    <t xml:space="preserve">SPR-YL-25-12.5-60</t>
  </si>
  <si>
    <t xml:space="preserve">SPR-YL-25-12.5-65</t>
  </si>
  <si>
    <t xml:space="preserve">SPR-YL-25-12.5-70</t>
  </si>
  <si>
    <t xml:space="preserve">SPR-YL-25-12.5-75</t>
  </si>
  <si>
    <t xml:space="preserve">SPR-YL-25-12.5-80</t>
  </si>
  <si>
    <t xml:space="preserve">SPR-YL-25-12.5-85</t>
  </si>
  <si>
    <t xml:space="preserve">SPR-YL-25-12.5-90</t>
  </si>
  <si>
    <t xml:space="preserve">SPR-YL-25-12.5-95</t>
  </si>
  <si>
    <t xml:space="preserve">SPR-YL-27-13.5-100</t>
  </si>
  <si>
    <t xml:space="preserve">SPR-YL-27-13.5-110</t>
  </si>
  <si>
    <t xml:space="preserve">SPR-YL-27-13.5-125</t>
  </si>
  <si>
    <t xml:space="preserve">SPR-YL-27-13.5-150</t>
  </si>
  <si>
    <t xml:space="preserve">SPR-YL-27-13.5-175</t>
  </si>
  <si>
    <t xml:space="preserve">SPR-YL-27-13.5-200</t>
  </si>
  <si>
    <t xml:space="preserve">SPR-YL-27-13.5-25</t>
  </si>
  <si>
    <t xml:space="preserve">SPR-YL-27-13.5-30</t>
  </si>
  <si>
    <t xml:space="preserve">SPR-YL-27-13.5-300</t>
  </si>
  <si>
    <t xml:space="preserve">SPR-YL-27-13.5-35</t>
  </si>
  <si>
    <t xml:space="preserve">SPR-YL-27-13.5-40</t>
  </si>
  <si>
    <t xml:space="preserve">SPR-YL-27-13.5-45</t>
  </si>
  <si>
    <t xml:space="preserve">SPR-YL-27-13.5-50</t>
  </si>
  <si>
    <t xml:space="preserve">SPR-YL-27-13.5-55</t>
  </si>
  <si>
    <t xml:space="preserve">SPR-YL-27-13.5-60</t>
  </si>
  <si>
    <t xml:space="preserve">SPR-YL-27-13.5-65</t>
  </si>
  <si>
    <t xml:space="preserve">SPR-YL-27-13.5-70</t>
  </si>
  <si>
    <t xml:space="preserve">SPR-YL-27-13.5-75</t>
  </si>
  <si>
    <t xml:space="preserve">SPR-YL-27-13.5-80</t>
  </si>
  <si>
    <t xml:space="preserve">SPR-YL-27-13.5-85</t>
  </si>
  <si>
    <t xml:space="preserve">SPR-YL-27-13.5-90</t>
  </si>
  <si>
    <t xml:space="preserve">SPR-YL-27-13.5-95</t>
  </si>
  <si>
    <t xml:space="preserve">SPR-YL-30-15-100</t>
  </si>
  <si>
    <t xml:space="preserve">SPR-YL-30-15-110</t>
  </si>
  <si>
    <t xml:space="preserve">SPR-YL-30-15-125</t>
  </si>
  <si>
    <t xml:space="preserve">SPR-YL-30-15-150</t>
  </si>
  <si>
    <t xml:space="preserve">SPR-YL-30-15-175</t>
  </si>
  <si>
    <t xml:space="preserve">SPR-YL-30-15-200</t>
  </si>
  <si>
    <t xml:space="preserve">SPR-YL-30-15-25</t>
  </si>
  <si>
    <t xml:space="preserve">SPR-YL-30-15-30</t>
  </si>
  <si>
    <t xml:space="preserve">SPR-YL-30-15-300</t>
  </si>
  <si>
    <t xml:space="preserve">SPR-YL-30-15-35</t>
  </si>
  <si>
    <t xml:space="preserve">SPR-YL-30-15-40</t>
  </si>
  <si>
    <t xml:space="preserve">SPR-YL-30-15-45</t>
  </si>
  <si>
    <t xml:space="preserve">SPR-YL-30-15-50</t>
  </si>
  <si>
    <t xml:space="preserve">SPR-YL-30-15-55</t>
  </si>
  <si>
    <t xml:space="preserve">SPR-YL-30-15-60</t>
  </si>
  <si>
    <t xml:space="preserve">SPR-YL-30-15-65</t>
  </si>
  <si>
    <t xml:space="preserve">SPR-YL-30-15-70</t>
  </si>
  <si>
    <t xml:space="preserve">SPR-YL-30-15-75</t>
  </si>
  <si>
    <t xml:space="preserve">SPR-YL-30-15-80</t>
  </si>
  <si>
    <t xml:space="preserve">SPR-YL-30-15-85</t>
  </si>
  <si>
    <t xml:space="preserve">SPR-YL-30-15-90</t>
  </si>
  <si>
    <t xml:space="preserve">SPR-YL-30-15-95</t>
  </si>
  <si>
    <t xml:space="preserve">SPR-YL-35-17.5-100</t>
  </si>
  <si>
    <t xml:space="preserve">SPR-YL-35-17.5-110</t>
  </si>
  <si>
    <t xml:space="preserve">SPR-YL-35-17.5-125</t>
  </si>
  <si>
    <t xml:space="preserve">SPR-YL-35-17.5-150</t>
  </si>
  <si>
    <t xml:space="preserve">SPR-YL-35-17.5-175</t>
  </si>
  <si>
    <t xml:space="preserve">SPR-YL-35-17.5-200</t>
  </si>
  <si>
    <t xml:space="preserve">SPR-YL-35-17.5-250</t>
  </si>
  <si>
    <t xml:space="preserve">SPR-YL-35-17.5-300</t>
  </si>
  <si>
    <t xml:space="preserve">SPR-YL-35-17.5-35</t>
  </si>
  <si>
    <t xml:space="preserve">SPR-YL-35-17.5-40</t>
  </si>
  <si>
    <t xml:space="preserve">SPR-YL-35-17.5-45</t>
  </si>
  <si>
    <t xml:space="preserve">SPR-YL-35-17.5-50</t>
  </si>
  <si>
    <t xml:space="preserve">SPR-YL-35-17.5-55</t>
  </si>
  <si>
    <t xml:space="preserve">SPR-YL-35-17.5-60</t>
  </si>
  <si>
    <t xml:space="preserve">SPR-YL-35-17.5-65</t>
  </si>
  <si>
    <t xml:space="preserve">SPR-YL-35-17.5-70</t>
  </si>
  <si>
    <t xml:space="preserve">SPR-YL-35-17.5-75</t>
  </si>
  <si>
    <t xml:space="preserve">SPR-YL-35-17.5-80</t>
  </si>
  <si>
    <t xml:space="preserve">SPR-YL-35-17.5-85</t>
  </si>
  <si>
    <t xml:space="preserve">SPR-YL-35-17.5-90</t>
  </si>
  <si>
    <t xml:space="preserve">SPR-YL-35-17.5-95</t>
  </si>
  <si>
    <t xml:space="preserve">SPR-YL-40-20-100</t>
  </si>
  <si>
    <t xml:space="preserve">SPR-YL-40-20-110</t>
  </si>
  <si>
    <t xml:space="preserve">SPR-YL-40-20-125</t>
  </si>
  <si>
    <t xml:space="preserve">SPR-YL-40-20-150</t>
  </si>
  <si>
    <t xml:space="preserve">SPR-YL-40-20-175</t>
  </si>
  <si>
    <t xml:space="preserve">SPR-YL-40-20-200</t>
  </si>
  <si>
    <t xml:space="preserve">SPR-YL-40-20-225</t>
  </si>
  <si>
    <t xml:space="preserve">SPR-YL-40-20-250</t>
  </si>
  <si>
    <t xml:space="preserve">SPR-YL-40-20-275</t>
  </si>
  <si>
    <t xml:space="preserve">SPR-YL-40-20-300</t>
  </si>
  <si>
    <t xml:space="preserve">SPR-YL-40-20-40</t>
  </si>
  <si>
    <t xml:space="preserve">SPR-YL-40-20-45</t>
  </si>
  <si>
    <t xml:space="preserve">SPR-YL-40-20-50</t>
  </si>
  <si>
    <t xml:space="preserve">SPR-YL-40-20-55</t>
  </si>
  <si>
    <t xml:space="preserve">SPR-YL-40-20-60</t>
  </si>
  <si>
    <t xml:space="preserve">SPR-YL-40-20-65</t>
  </si>
  <si>
    <t xml:space="preserve">SPR-YL-40-20-70</t>
  </si>
  <si>
    <t xml:space="preserve">SPR-YL-40-20-75</t>
  </si>
  <si>
    <t xml:space="preserve">SPR-YL-40-20-80</t>
  </si>
  <si>
    <t xml:space="preserve">SPR-YL-40-20-85</t>
  </si>
  <si>
    <t xml:space="preserve">SPR-YL-40-20-90</t>
  </si>
  <si>
    <t xml:space="preserve">SPR-YL-40-20-95</t>
  </si>
  <si>
    <t xml:space="preserve">SPR-YL-45-25-100</t>
  </si>
  <si>
    <t xml:space="preserve">SPR-YL-45-25-125</t>
  </si>
  <si>
    <t xml:space="preserve">SPR-YL-45-25-150</t>
  </si>
  <si>
    <t xml:space="preserve">SPR-YL-45-25-300</t>
  </si>
  <si>
    <t xml:space="preserve">SPR-YL-45-25-50</t>
  </si>
  <si>
    <t xml:space="preserve">SPR-YL-45-25-55</t>
  </si>
  <si>
    <t xml:space="preserve">SPR-YL-45-25-60</t>
  </si>
  <si>
    <t xml:space="preserve">SPR-YL-45-25-65</t>
  </si>
  <si>
    <t xml:space="preserve">SPR-YL-45-25-70</t>
  </si>
  <si>
    <t xml:space="preserve">SPR-YL-45-25-75</t>
  </si>
  <si>
    <t xml:space="preserve">SPR-YL-45-25-80</t>
  </si>
  <si>
    <t xml:space="preserve">SPR-YL-45-25-85</t>
  </si>
  <si>
    <t xml:space="preserve">SPR-YL-45-25-90</t>
  </si>
  <si>
    <t xml:space="preserve">SPR-YL-45-25-95</t>
  </si>
  <si>
    <t xml:space="preserve">SPR-YL-50-25-100</t>
  </si>
  <si>
    <t xml:space="preserve">SPR-YL-50-25-110</t>
  </si>
  <si>
    <t xml:space="preserve">SPR-YL-50-25-125</t>
  </si>
  <si>
    <t xml:space="preserve">SPR-YL-50-25-150</t>
  </si>
  <si>
    <t xml:space="preserve">SPR-YL-50-25-175</t>
  </si>
  <si>
    <t xml:space="preserve">SPR-YL-50-25-200</t>
  </si>
  <si>
    <t xml:space="preserve">SPR-YL-50-25-225</t>
  </si>
  <si>
    <t xml:space="preserve">SPR-YL-50-25-250</t>
  </si>
  <si>
    <t xml:space="preserve">SPR-YL-50-25-275</t>
  </si>
  <si>
    <t xml:space="preserve">SPR-YL-50-25-300</t>
  </si>
  <si>
    <t xml:space="preserve">SPR-YL-50-25-50</t>
  </si>
  <si>
    <t xml:space="preserve">SPR-YL-50-25-55</t>
  </si>
  <si>
    <t xml:space="preserve">SPR-YL-50-25-60</t>
  </si>
  <si>
    <t xml:space="preserve">SPR-YL-50-25-65</t>
  </si>
  <si>
    <t xml:space="preserve">SPR-YL-50-25-70</t>
  </si>
  <si>
    <t xml:space="preserve">SPR-YL-50-25-75</t>
  </si>
  <si>
    <t xml:space="preserve">SPR-YL-50-25-80</t>
  </si>
  <si>
    <t xml:space="preserve">SPR-YL-50-25-85</t>
  </si>
  <si>
    <t xml:space="preserve">SPR-YL-50-25-90</t>
  </si>
  <si>
    <t xml:space="preserve">SPR-YL-50-25-95</t>
  </si>
  <si>
    <t xml:space="preserve">SPR-YL-6-3-15</t>
  </si>
  <si>
    <t xml:space="preserve">SPR-YL-6-3-20</t>
  </si>
  <si>
    <t xml:space="preserve">SPR-YL-6-3-25</t>
  </si>
  <si>
    <t xml:space="preserve">SPR-YL-6-3-30</t>
  </si>
  <si>
    <t xml:space="preserve">SPR-YL-6-3-300</t>
  </si>
  <si>
    <t xml:space="preserve">SPR-YL-6-3-35</t>
  </si>
  <si>
    <t xml:space="preserve">SPR-YL-6-3-40</t>
  </si>
  <si>
    <t xml:space="preserve">SPR-YL-6-3-45</t>
  </si>
  <si>
    <t xml:space="preserve">SPR-YL-6-3-50</t>
  </si>
  <si>
    <t xml:space="preserve">SPR-YL-6-3-55</t>
  </si>
  <si>
    <t xml:space="preserve">SPR-YL-6-3-60</t>
  </si>
  <si>
    <t xml:space="preserve">SPR-YL-6-3-65</t>
  </si>
  <si>
    <t xml:space="preserve">SPR-YL-6-3-70</t>
  </si>
  <si>
    <t xml:space="preserve">SPR-YL-60-30-100</t>
  </si>
  <si>
    <t xml:space="preserve">SPR-YL-60-30-110</t>
  </si>
  <si>
    <t xml:space="preserve">SPR-YL-60-30-120</t>
  </si>
  <si>
    <t xml:space="preserve">SPR-YL-60-30-125</t>
  </si>
  <si>
    <t xml:space="preserve">SPR-YL-60-30-150</t>
  </si>
  <si>
    <t xml:space="preserve">SPR-YL-60-30-175</t>
  </si>
  <si>
    <t xml:space="preserve">SPR-YL-60-30-200</t>
  </si>
  <si>
    <t xml:space="preserve">SPR-YL-60-30-225</t>
  </si>
  <si>
    <t xml:space="preserve">SPR-YL-60-30-250</t>
  </si>
  <si>
    <t xml:space="preserve">SPR-YL-60-30-275</t>
  </si>
  <si>
    <t xml:space="preserve">SPR-YL-60-30-300</t>
  </si>
  <si>
    <t xml:space="preserve">SPR-YL-60-30-60</t>
  </si>
  <si>
    <t xml:space="preserve">SPR-YL-60-30-65</t>
  </si>
  <si>
    <t xml:space="preserve">SPR-YL-60-30-70</t>
  </si>
  <si>
    <t xml:space="preserve">SPR-YL-60-30-75</t>
  </si>
  <si>
    <t xml:space="preserve">SPR-YL-60-30-80</t>
  </si>
  <si>
    <t xml:space="preserve">SPR-YL-60-30-85</t>
  </si>
  <si>
    <t xml:space="preserve">SPR-YL-60-30-90</t>
  </si>
  <si>
    <t xml:space="preserve">SPR-YL-60-30-95</t>
  </si>
  <si>
    <t xml:space="preserve">SPR-YL-70-40-100</t>
  </si>
  <si>
    <t xml:space="preserve">SPR-YL-70-40-125</t>
  </si>
  <si>
    <t xml:space="preserve">SPR-YL-70-40-150</t>
  </si>
  <si>
    <t xml:space="preserve">SPR-YL-70-40-175</t>
  </si>
  <si>
    <t xml:space="preserve">SPR-YL-70-40-200</t>
  </si>
  <si>
    <t xml:space="preserve">SPR-YL-70-40-250</t>
  </si>
  <si>
    <t xml:space="preserve">SPR-YL-70-40-300</t>
  </si>
  <si>
    <t xml:space="preserve">SPR-YL-70-40-70</t>
  </si>
  <si>
    <t xml:space="preserve">SPR-YL-70-40-80</t>
  </si>
  <si>
    <t xml:space="preserve">SPR-YL-70-40-90</t>
  </si>
  <si>
    <t xml:space="preserve">SPR-YL-8-4-100</t>
  </si>
  <si>
    <t xml:space="preserve">SPR-YL-8-4-20</t>
  </si>
  <si>
    <t xml:space="preserve">SPR-YL-8-4-25</t>
  </si>
  <si>
    <t xml:space="preserve">SPR-YL-8-4-30</t>
  </si>
  <si>
    <t xml:space="preserve">SPR-YL-8-4-300</t>
  </si>
  <si>
    <t xml:space="preserve">SPR-YL-8-4-35</t>
  </si>
  <si>
    <t xml:space="preserve">SPR-YL-8-4-40</t>
  </si>
  <si>
    <t xml:space="preserve">SPR-YL-8-4-45</t>
  </si>
  <si>
    <t xml:space="preserve">SPR-YL-8-4-50</t>
  </si>
  <si>
    <t xml:space="preserve">SPR-YL-8-4-55</t>
  </si>
  <si>
    <t xml:space="preserve">SPR-YL-8-4-60</t>
  </si>
  <si>
    <t xml:space="preserve">SPR-YL-8-4-65</t>
  </si>
  <si>
    <t xml:space="preserve">SPR-YL-8-4-70</t>
  </si>
  <si>
    <t xml:space="preserve">SPR-YL-8-4-75</t>
  </si>
  <si>
    <t xml:space="preserve">SPR-YL-8-4-80</t>
  </si>
  <si>
    <t xml:space="preserve">SPR-YL-8-4-85</t>
  </si>
  <si>
    <t xml:space="preserve">SPR-YL-8-4-90</t>
  </si>
  <si>
    <t xml:space="preserve">SPR-YL-8-4-95</t>
  </si>
  <si>
    <t xml:space="preserve">Die Spring Assortment, Yellow  [Springs &amp; Leveling]</t>
  </si>
  <si>
    <t xml:space="preserve">P3-106</t>
  </si>
  <si>
    <t xml:space="preserve">Heated Bed Leveling Compression Spring (MK2A / MK2B / MK3)  [Springs &amp; Leveling]</t>
  </si>
  <si>
    <t xml:space="preserve">0.6x5.7x10x6</t>
  </si>
  <si>
    <t xml:space="preserve">P3-022-0.6x5.7x10x6-P10</t>
  </si>
  <si>
    <t xml:space="preserve">P3-022-0.8x12x35x9-P10</t>
  </si>
  <si>
    <t xml:space="preserve">0.8x12x35x9</t>
  </si>
  <si>
    <t xml:space="preserve">P3-022-0.8x5x8x5.5-BK-CS-P100</t>
  </si>
  <si>
    <t xml:space="preserve">0.8x5x8x5.5</t>
  </si>
  <si>
    <t xml:space="preserve">P3-022-1.0x12x19x7-P10</t>
  </si>
  <si>
    <t xml:space="preserve">1.0x12x19x7</t>
  </si>
  <si>
    <t xml:space="preserve">P3-022-1.0x16.4x20x6-P16</t>
  </si>
  <si>
    <t xml:space="preserve">1.0x16.4x20x6</t>
  </si>
  <si>
    <t xml:space="preserve">P3-022-1.0x16.4x29x6-P16</t>
  </si>
  <si>
    <t xml:space="preserve">1.0x16.4x29x6</t>
  </si>
  <si>
    <t xml:space="preserve">P3-022-1.0x9x22x6-S304-P10</t>
  </si>
  <si>
    <t xml:space="preserve">1.0x9x22x6</t>
  </si>
  <si>
    <t xml:space="preserve">P3-022-1.2x7.5x20x9-S304-P5</t>
  </si>
  <si>
    <t xml:space="preserve">1.2x7.5x20x9</t>
  </si>
  <si>
    <t xml:space="preserve">P3-022-1.2x9x15x6-P10</t>
  </si>
  <si>
    <t xml:space="preserve">1.2x9x15x6</t>
  </si>
  <si>
    <t xml:space="preserve">Bed Leveling Kit M3 (screw + spring + knob)  [Springs &amp; Leveling]</t>
  </si>
  <si>
    <t xml:space="preserve">P3-028</t>
  </si>
  <si>
    <t xml:space="preserve">2-in-1 Dual-Color Hotend, 2-in 1-out 1.75mm  [Extruders &amp; Hotends]</t>
  </si>
  <si>
    <t xml:space="preserve">P3-094-12V-AK</t>
  </si>
  <si>
    <t xml:space="preserve">P3-094-12V-BK</t>
  </si>
  <si>
    <t xml:space="preserve">P3-094-24V-AK</t>
  </si>
  <si>
    <t xml:space="preserve">P3-094-24V-BK</t>
  </si>
  <si>
    <t xml:space="preserve">NEMA14 36mm Pancake Stepper, High-Temp (Voron extruder)  [Extruders &amp; Hotends]</t>
  </si>
  <si>
    <t xml:space="preserve">Kelid high-temp 36 round motor</t>
  </si>
  <si>
    <t xml:space="preserve">P3-115-KLEGW36YXDJ</t>
  </si>
  <si>
    <t xml:space="preserve">P3-115-MZGW36YXDJ</t>
  </si>
  <si>
    <t xml:space="preserve">MOONS high-temp 36 round motor</t>
  </si>
  <si>
    <t xml:space="preserve">NEMA17 All-Metal Bowden Extruder  [Extruders &amp; Hotends]</t>
  </si>
  <si>
    <t xml:space="preserve">Drive gear bore 5mm</t>
  </si>
  <si>
    <t xml:space="preserve">P3-070-JCLNK5</t>
  </si>
  <si>
    <t xml:space="preserve">P3-070-JCLNK8</t>
  </si>
  <si>
    <t xml:space="preserve">Drive gear bore 8mm</t>
  </si>
  <si>
    <t xml:space="preserve">BMG Extruder Aluminum Bracket  [Extruders &amp; Hotends]</t>
  </si>
  <si>
    <t xml:space="preserve">P3-108-BK</t>
  </si>
  <si>
    <t xml:space="preserve">P3-108-SV</t>
  </si>
  <si>
    <t xml:space="preserve">CR-10 Hotend  [Extruders &amp; Hotends]</t>
  </si>
  <si>
    <t xml:space="preserve">P3-092-12V-40W-K</t>
  </si>
  <si>
    <t xml:space="preserve">P3-092-24V-40W-K</t>
  </si>
  <si>
    <t xml:space="preserve">P3-092-DDJCT</t>
  </si>
  <si>
    <t xml:space="preserve">Extruder head only</t>
  </si>
  <si>
    <t xml:space="preserve">CR-10S Pro Round Bowden Hotend Kit 24V  [Extruders &amp; Hotends]</t>
  </si>
  <si>
    <t xml:space="preserve">P3-101-12V-40W-K</t>
  </si>
  <si>
    <t xml:space="preserve">P3-101-24V-40W-K</t>
  </si>
  <si>
    <t xml:space="preserve">P3-101-DDJCT</t>
  </si>
  <si>
    <t xml:space="preserve">CR-10S 2-in-1-out Hotend 1.75mm  [Extruders &amp; Hotends]</t>
  </si>
  <si>
    <t xml:space="preserve">P3-100-12V</t>
  </si>
  <si>
    <t xml:space="preserve">P3-100-24V</t>
  </si>
  <si>
    <t xml:space="preserve">CR-6 SE Hotend Assembly 1.75mm  [Extruders &amp; Hotends]</t>
  </si>
  <si>
    <t xml:space="preserve">P3-119-DDJCT</t>
  </si>
  <si>
    <t xml:space="preserve">P3-119-JCT-DJRBHRM</t>
  </si>
  <si>
    <t xml:space="preserve">Extruder head with heater &amp; thermistor</t>
  </si>
  <si>
    <t xml:space="preserve">CR8 Bowden Extruder Hotend E3D (12V / 24V)  [Extruders &amp; Hotends]</t>
  </si>
  <si>
    <t xml:space="preserve">P3-050-BL-12V-DB</t>
  </si>
  <si>
    <t xml:space="preserve">P3-050-BL-12V-xH254</t>
  </si>
  <si>
    <t xml:space="preserve">P3-050-BL-24V-DB</t>
  </si>
  <si>
    <t xml:space="preserve">P3-050-BL-24V-xH254</t>
  </si>
  <si>
    <t xml:space="preserve">P3-050-RD-12V-DB</t>
  </si>
  <si>
    <t xml:space="preserve">P3-050-RD-12V-xH254</t>
  </si>
  <si>
    <t xml:space="preserve">P3-050-RD-24V-DB</t>
  </si>
  <si>
    <t xml:space="preserve">P3-050-RD-24V-xH254</t>
  </si>
  <si>
    <t xml:space="preserve">P3-050-SV-12V-DB</t>
  </si>
  <si>
    <t xml:space="preserve">P3-050-SV-12V-xH254</t>
  </si>
  <si>
    <t xml:space="preserve">P3-050-SV-24V-DB</t>
  </si>
  <si>
    <t xml:space="preserve">P3-050-SV-24V-xH254</t>
  </si>
  <si>
    <t xml:space="preserve">HGT Dual-Gear Reduction Extruder  [Extruders &amp; Hotends]</t>
  </si>
  <si>
    <t xml:space="preserve">P3-047</t>
  </si>
  <si>
    <t xml:space="preserve">J-head E3D-V5 Metal Hotend (Direct / Bowden)  [Extruders &amp; Hotends]</t>
  </si>
  <si>
    <t xml:space="preserve">Direct 1.75mm 0.2mm</t>
  </si>
  <si>
    <t xml:space="preserve">P3-071-PJLXJC-1.75-0.2</t>
  </si>
  <si>
    <t xml:space="preserve">P3-071-PJLXJC-1.75-0.3</t>
  </si>
  <si>
    <t xml:space="preserve">Direct 1.75mm 0.3mm</t>
  </si>
  <si>
    <t xml:space="preserve">P3-071-PJLXJC-1.75-0.4</t>
  </si>
  <si>
    <t xml:space="preserve">Direct 1.75mm 0.4mm</t>
  </si>
  <si>
    <t xml:space="preserve">P3-071-PJLXJC-1.75-0.5</t>
  </si>
  <si>
    <t xml:space="preserve">Direct 1.75mm 0.5mm</t>
  </si>
  <si>
    <t xml:space="preserve">P3-071-PJLXJC-3.0-0.3</t>
  </si>
  <si>
    <t xml:space="preserve">Direct 3.0mm 0.3mm</t>
  </si>
  <si>
    <t xml:space="preserve">P3-071-PJLXJC-3.0-0.4</t>
  </si>
  <si>
    <t xml:space="preserve">Direct 3.0mm 0.4mm</t>
  </si>
  <si>
    <t xml:space="preserve">P3-071-PJLXJC-3.0-0.5</t>
  </si>
  <si>
    <t xml:space="preserve">Direct 3.0mm 0.5mm</t>
  </si>
  <si>
    <t xml:space="preserve">P3-071-PJLXJC-3.00.2</t>
  </si>
  <si>
    <t xml:space="preserve">Type: Direct 3.0mm/0.2mm</t>
  </si>
  <si>
    <t xml:space="preserve">P3-071-PJLXYC-1.75-0.2</t>
  </si>
  <si>
    <t xml:space="preserve">Bowden 1.75mm 0.2mm</t>
  </si>
  <si>
    <t xml:space="preserve">P3-071-PJLXYC-1.75-0.3</t>
  </si>
  <si>
    <t xml:space="preserve">Bowden 1.75mm 0.3mm</t>
  </si>
  <si>
    <t xml:space="preserve">P3-071-PJLXYC-1.75-0.4</t>
  </si>
  <si>
    <t xml:space="preserve">Bowden 1.75mm 0.4mm</t>
  </si>
  <si>
    <t xml:space="preserve">P3-071-PJLXYC-1.75-0.5</t>
  </si>
  <si>
    <t xml:space="preserve">Bowden 1.75mm 0.5mm</t>
  </si>
  <si>
    <t xml:space="preserve">P3-071-PJLXYC-3.0-0.2</t>
  </si>
  <si>
    <t xml:space="preserve">Bowden 3.0mm 0.2mm</t>
  </si>
  <si>
    <t xml:space="preserve">P3-071-PJLXYC-3.0-0.3</t>
  </si>
  <si>
    <t xml:space="preserve">Bowden 3.0mm 0.3mm</t>
  </si>
  <si>
    <t xml:space="preserve">P3-071-PJLXYC-3.0-0.4</t>
  </si>
  <si>
    <t xml:space="preserve">Bowden 3.0mm 0.4mm</t>
  </si>
  <si>
    <t xml:space="preserve">P3-071-PJLXYC-3.0-0.5</t>
  </si>
  <si>
    <t xml:space="preserve">Bowden 3.0mm 0.5mm</t>
  </si>
  <si>
    <t xml:space="preserve">MK10 Bowden / Direct Extruder Kit, Molded  [Extruders &amp; Hotends]</t>
  </si>
  <si>
    <t xml:space="preserve">Right 1.75 filament</t>
  </si>
  <si>
    <t xml:space="preserve">P3-059-YS1.75HC</t>
  </si>
  <si>
    <t xml:space="preserve">P3-059-YS3.0HC</t>
  </si>
  <si>
    <t xml:space="preserve">Right 3.0 filament</t>
  </si>
  <si>
    <t xml:space="preserve">P3-059-ZS1.75HC</t>
  </si>
  <si>
    <t xml:space="preserve">Left 1.75 filament</t>
  </si>
  <si>
    <t xml:space="preserve">P3-059-ZS3.0HC</t>
  </si>
  <si>
    <t xml:space="preserve">Left 3.0 filament</t>
  </si>
  <si>
    <t xml:space="preserve">MK7 / MK8 Extruder Drive Gear  [Extruders &amp; Hotends]</t>
  </si>
  <si>
    <t xml:space="preserve">Brass drive gear</t>
  </si>
  <si>
    <t xml:space="preserve">26T</t>
  </si>
  <si>
    <t xml:space="preserve">FG-BR-26T</t>
  </si>
  <si>
    <t xml:space="preserve">FG-BR-40T</t>
  </si>
  <si>
    <t xml:space="preserve">FG-EG-MK7-B5</t>
  </si>
  <si>
    <t xml:space="preserve">MK7</t>
  </si>
  <si>
    <t xml:space="preserve">Extruder gear</t>
  </si>
  <si>
    <t xml:space="preserve">FG-EG-MK8-B5</t>
  </si>
  <si>
    <t xml:space="preserve">FG-PG-36T-B5</t>
  </si>
  <si>
    <t xml:space="preserve">Planetary drive gear</t>
  </si>
  <si>
    <t xml:space="preserve">36T</t>
  </si>
  <si>
    <t xml:space="preserve">FG-PG-38T-B5</t>
  </si>
  <si>
    <t xml:space="preserve">38T</t>
  </si>
  <si>
    <t xml:space="preserve">FG-PG-40T-B5</t>
  </si>
  <si>
    <t xml:space="preserve">FG-PG-40T-B6.35</t>
  </si>
  <si>
    <t xml:space="preserve">FG-PG-40T-B8</t>
  </si>
  <si>
    <t xml:space="preserve">FG-PG-50T-B5</t>
  </si>
  <si>
    <t xml:space="preserve">50T</t>
  </si>
  <si>
    <t xml:space="preserve">MK8 All-Metal Extruder Hotend Kit (Prusa i3)  [Extruders &amp; Hotends]</t>
  </si>
  <si>
    <t xml:space="preserve">Direction</t>
  </si>
  <si>
    <t xml:space="preserve">Nozzle (mm)</t>
  </si>
  <si>
    <t xml:space="preserve">0.2</t>
  </si>
  <si>
    <t xml:space="preserve">P3-044-12V-L-PZ0.2-+DBX</t>
  </si>
  <si>
    <t xml:space="preserve">P3-044-12V-L-PZ0.2-+xH254X</t>
  </si>
  <si>
    <t xml:space="preserve">P3-044-12V-L-PZ0.3-+DBX</t>
  </si>
  <si>
    <t xml:space="preserve">0.3</t>
  </si>
  <si>
    <t xml:space="preserve">P3-044-12V-L-PZ0.3-+xH254X</t>
  </si>
  <si>
    <t xml:space="preserve">P3-044-12V-L-PZ0.4-+DBX</t>
  </si>
  <si>
    <t xml:space="preserve">0.4</t>
  </si>
  <si>
    <t xml:space="preserve">P3-044-12V-L-PZ0.4-+xH254X</t>
  </si>
  <si>
    <t xml:space="preserve">P3-044-12V-L-PZ0.5-+DBX</t>
  </si>
  <si>
    <t xml:space="preserve">0.5</t>
  </si>
  <si>
    <t xml:space="preserve">P3-044-12V-L-PZ0.5-+xH254X</t>
  </si>
  <si>
    <t xml:space="preserve">P3-044-12V-R-PZ0.2-+DBX</t>
  </si>
  <si>
    <t xml:space="preserve">P3-044-12V-R-PZ0.2-+xH254X</t>
  </si>
  <si>
    <t xml:space="preserve">P3-044-12V-R-PZ0.3-+DBX</t>
  </si>
  <si>
    <t xml:space="preserve">P3-044-12V-R-PZ0.3-+xH254X</t>
  </si>
  <si>
    <t xml:space="preserve">P3-044-12V-R-PZ0.4-+DBX</t>
  </si>
  <si>
    <t xml:space="preserve">P3-044-12V-R-PZ0.4-+xH254X</t>
  </si>
  <si>
    <t xml:space="preserve">P3-044-12V-R-PZ0.5-+DBX</t>
  </si>
  <si>
    <t xml:space="preserve">P3-044-12V-R-PZ0.5-+xH254X</t>
  </si>
  <si>
    <t xml:space="preserve">P3-044-24V-L-PZ0.2-+DBX</t>
  </si>
  <si>
    <t xml:space="preserve">P3-044-24V-L-PZ0.2-+xH254X</t>
  </si>
  <si>
    <t xml:space="preserve">P3-044-24V-L-PZ0.3-+DBX</t>
  </si>
  <si>
    <t xml:space="preserve">P3-044-24V-L-PZ0.3-+xH254X</t>
  </si>
  <si>
    <t xml:space="preserve">P3-044-24V-L-PZ0.4-+DBX</t>
  </si>
  <si>
    <t xml:space="preserve">P3-044-24V-L-PZ0.4-+xH254X</t>
  </si>
  <si>
    <t xml:space="preserve">P3-044-24V-L-PZ0.5-+DBX</t>
  </si>
  <si>
    <t xml:space="preserve">P3-044-24V-L-PZ0.5-+xH254X</t>
  </si>
  <si>
    <t xml:space="preserve">P3-044-24V-R-PZ0.2-+DBX</t>
  </si>
  <si>
    <t xml:space="preserve">P3-044-24V-R-PZ0.2-+xH254X</t>
  </si>
  <si>
    <t xml:space="preserve">P3-044-24V-R-PZ0.3-+DBX</t>
  </si>
  <si>
    <t xml:space="preserve">P3-044-24V-R-PZ0.3-+xH254X</t>
  </si>
  <si>
    <t xml:space="preserve">P3-044-24V-R-PZ0.4-+DBX</t>
  </si>
  <si>
    <t xml:space="preserve">P3-044-24V-R-PZ0.4-+xH254X</t>
  </si>
  <si>
    <t xml:space="preserve">P3-044-24V-R-PZ0.5-+DBX</t>
  </si>
  <si>
    <t xml:space="preserve">P3-044-24V-R-PZ0.5-+xH254X</t>
  </si>
  <si>
    <t xml:space="preserve">MK8 All-Metal Bowden Extruder (Left / Right)  [Extruders &amp; Hotends]</t>
  </si>
  <si>
    <t xml:space="preserve">no bracket</t>
  </si>
  <si>
    <t xml:space="preserve">P3-058-L-BDZJ</t>
  </si>
  <si>
    <t xml:space="preserve">P3-058-L-DZJ</t>
  </si>
  <si>
    <t xml:space="preserve">with bracket</t>
  </si>
  <si>
    <t xml:space="preserve">P3-058-R-BDZJ</t>
  </si>
  <si>
    <t xml:space="preserve">P3-058-R-DZJ</t>
  </si>
  <si>
    <t xml:space="preserve">P3-058-YXQT-HDJ</t>
  </si>
  <si>
    <t xml:space="preserve">with motor</t>
  </si>
  <si>
    <t xml:space="preserve">Right-hand full set</t>
  </si>
  <si>
    <t xml:space="preserve">P3-058-ZXQT-HDJ</t>
  </si>
  <si>
    <t xml:space="preserve">Left-hand full set</t>
  </si>
  <si>
    <t xml:space="preserve">MK8 Extruder Single-Nozzle Mount Block  [Extruders &amp; Hotends]</t>
  </si>
  <si>
    <t xml:space="preserve">Short lever 1.75 filament</t>
  </si>
  <si>
    <t xml:space="preserve">P3-060-DB1.75HC</t>
  </si>
  <si>
    <t xml:space="preserve">P3-060-YS1.75HC</t>
  </si>
  <si>
    <t xml:space="preserve">P3-060-ZS1.75HC</t>
  </si>
  <si>
    <t xml:space="preserve">MK8 Bowden Extruder CR8 / CR10 1.75mm  [Extruders &amp; Hotends]</t>
  </si>
  <si>
    <t xml:space="preserve">P3-083-BK-L</t>
  </si>
  <si>
    <t xml:space="preserve">P3-083-BK-R</t>
  </si>
  <si>
    <t xml:space="preserve">P3-083-JSYX</t>
  </si>
  <si>
    <t xml:space="preserve">Gold right-hand</t>
  </si>
  <si>
    <t xml:space="preserve">P3-083-JSZX</t>
  </si>
  <si>
    <t xml:space="preserve">Gold left-hand</t>
  </si>
  <si>
    <t xml:space="preserve">P3-083-RD-L</t>
  </si>
  <si>
    <t xml:space="preserve">P3-083-RD-R</t>
  </si>
  <si>
    <t xml:space="preserve">P3-083-XBSYX</t>
  </si>
  <si>
    <t xml:space="preserve">Champagne right-hand</t>
  </si>
  <si>
    <t xml:space="preserve">P3-083-XBSZSX</t>
  </si>
  <si>
    <t xml:space="preserve">Champagne left-hand</t>
  </si>
  <si>
    <t xml:space="preserve">Makerbot MK8 Dual-Nozzle Throat Block  [Extruders &amp; Hotends]</t>
  </si>
  <si>
    <t xml:space="preserve">P3-027-BK</t>
  </si>
  <si>
    <t xml:space="preserve">P3-027-WH</t>
  </si>
  <si>
    <t xml:space="preserve">Ultimaker 2 Stainless Knurled Drive Wheel  [Extruders &amp; Hotends]</t>
  </si>
  <si>
    <t xml:space="preserve">P3-013</t>
  </si>
  <si>
    <t xml:space="preserve">V5/V6 Heater Block (CR-10 Hotend)  [Extruders &amp; Hotends]</t>
  </si>
  <si>
    <t xml:space="preserve">Gold CR10 classic</t>
  </si>
  <si>
    <t xml:space="preserve">P3-068-AL-JS-CR10-JDK</t>
  </si>
  <si>
    <t xml:space="preserve">P3-068-BK-V6</t>
  </si>
  <si>
    <t xml:space="preserve">P3-068-BR-CR10-SJK</t>
  </si>
  <si>
    <t xml:space="preserve">Brass CR10 upgraded</t>
  </si>
  <si>
    <t xml:space="preserve">P3-068-CMSDS-DTT</t>
  </si>
  <si>
    <t xml:space="preserve">Side double set screw with brass bushing</t>
  </si>
  <si>
    <t xml:space="preserve">P3-068-E3D1E-EJYC-SRLK</t>
  </si>
  <si>
    <t xml:space="preserve">E3D 1 start 2-in-1-out heatsink block</t>
  </si>
  <si>
    <t xml:space="preserve">P3-068-E3DDP-SRLK</t>
  </si>
  <si>
    <t xml:space="preserve">E3D single heatsink block</t>
  </si>
  <si>
    <t xml:space="preserve">P3-068-JS-V6</t>
  </si>
  <si>
    <t xml:space="preserve">Gold V6</t>
  </si>
  <si>
    <t xml:space="preserve">P3-068-LJS-CR10-SJK</t>
  </si>
  <si>
    <t xml:space="preserve">Gold aluminum CR10 upgraded</t>
  </si>
  <si>
    <t xml:space="preserve">P3-068-LK-MK8-G-P5</t>
  </si>
  <si>
    <t xml:space="preserve">Aluminum block MK8 each</t>
  </si>
  <si>
    <t xml:space="preserve">P3-068-SV-AL-CR10-JDK</t>
  </si>
  <si>
    <t xml:space="preserve">CR10 classic</t>
  </si>
  <si>
    <t xml:space="preserve">P3-068-SV-AL-CR10-SJK</t>
  </si>
  <si>
    <t xml:space="preserve">CR10 upgraded</t>
  </si>
  <si>
    <t xml:space="preserve">P3-068-SV-CMDS-MK8</t>
  </si>
  <si>
    <t xml:space="preserve">Side set screw MK8</t>
  </si>
  <si>
    <t xml:space="preserve">P3-068-SV-HS</t>
  </si>
  <si>
    <t xml:space="preserve">Volcano </t>
  </si>
  <si>
    <t xml:space="preserve">P3-068-SV-MK10</t>
  </si>
  <si>
    <t xml:space="preserve">P3-068-SV-V5</t>
  </si>
  <si>
    <t xml:space="preserve">P3-068-SV-V6</t>
  </si>
  <si>
    <t xml:space="preserve">P3-068-SV-V6-PT100</t>
  </si>
  <si>
    <t xml:space="preserve">V6 PT100</t>
  </si>
  <si>
    <t xml:space="preserve">P3-068-SV-ZMDS-MK8</t>
  </si>
  <si>
    <t xml:space="preserve">Front set screw MK8</t>
  </si>
  <si>
    <t xml:space="preserve">P3-068-ZT-CR10-SJK</t>
  </si>
  <si>
    <t xml:space="preserve">Copper CR10 upgraded</t>
  </si>
  <si>
    <t xml:space="preserve">V5 / V6 / CR8 Hotend Heatsink  [Extruders &amp; Hotends]</t>
  </si>
  <si>
    <t xml:space="preserve">CR8 M6 thread</t>
  </si>
  <si>
    <t xml:space="preserve">P3-085-BL-CR8-M6LW</t>
  </si>
  <si>
    <t xml:space="preserve">P3-085-RD-CR8-M6LW</t>
  </si>
  <si>
    <t xml:space="preserve">P3-085-RD-MK10</t>
  </si>
  <si>
    <t xml:space="preserve">P3-085-RD-V6-XK-YC-M6LW</t>
  </si>
  <si>
    <t xml:space="preserve">V6 new Bowden M6 thread</t>
  </si>
  <si>
    <t xml:space="preserve">P3-085-SV-CR8-M6LW</t>
  </si>
  <si>
    <t xml:space="preserve">P3-085-SV-MNL-WJ18-G11-M6LW</t>
  </si>
  <si>
    <t xml:space="preserve">Mini aluminum OD 18 H 11mm M6 thread</t>
  </si>
  <si>
    <t xml:space="preserve">P3-085-SV-V5-JC-1.75-M6LW</t>
  </si>
  <si>
    <t xml:space="preserve">V5 Direct 1.75mm M6 thread</t>
  </si>
  <si>
    <t xml:space="preserve">P3-085-SV-V5-JC-3-M6LW</t>
  </si>
  <si>
    <t xml:space="preserve">V5 Direct 3mm M6 thread</t>
  </si>
  <si>
    <t xml:space="preserve">P3-085-SV-V5-YC-1.75-M6LW</t>
  </si>
  <si>
    <t xml:space="preserve">V5 Bowden 1.75mm M6 thread</t>
  </si>
  <si>
    <t xml:space="preserve">P3-085-SV-V5-YC-3-M6LW</t>
  </si>
  <si>
    <t xml:space="preserve">V5 Bowden 3mm M6 thread</t>
  </si>
  <si>
    <t xml:space="preserve">P3-085-SV-V6-JC-1.75-M6LW</t>
  </si>
  <si>
    <t xml:space="preserve">V6 Direct 1.75mm M6 thread</t>
  </si>
  <si>
    <t xml:space="preserve">P3-085-SV-V6-VORON2.4MK3SDQJ-M7LW</t>
  </si>
  <si>
    <t xml:space="preserve">V6 Voron2.4/mk3s with air fitting M7 thread</t>
  </si>
  <si>
    <t xml:space="preserve">P3-085-SV-V6-YC-1.75H3TY-M6LW</t>
  </si>
  <si>
    <t xml:space="preserve">V6 Bowden 1.75 &amp; 3MM universal M6 thread</t>
  </si>
  <si>
    <t xml:space="preserve">P3-085-SV-VORON0LYV6-QTSRG</t>
  </si>
  <si>
    <t xml:space="preserve">Voron0 Louis V6 cut heatsink</t>
  </si>
  <si>
    <t xml:space="preserve">V6 Bowden Hotend Kit  [Extruders &amp; Hotends]</t>
  </si>
  <si>
    <t xml:space="preserve">Direct 1.75mm/0.2mm</t>
  </si>
  <si>
    <t xml:space="preserve">P3-104-12V-JC-1.750.2</t>
  </si>
  <si>
    <t xml:space="preserve">P3-104-12V-JC-1.750.3</t>
  </si>
  <si>
    <t xml:space="preserve">Direct 1.75mm/0.3mm</t>
  </si>
  <si>
    <t xml:space="preserve">P3-104-12V-JC-1.750.4</t>
  </si>
  <si>
    <t xml:space="preserve">Direct 1.75mm/0.4mm</t>
  </si>
  <si>
    <t xml:space="preserve">P3-104-12V-JC-1.750.5</t>
  </si>
  <si>
    <t xml:space="preserve">Direct 1.75mm/0.5mm</t>
  </si>
  <si>
    <t xml:space="preserve">P3-104-12V-JC-3.00.2</t>
  </si>
  <si>
    <t xml:space="preserve">Direct 3.0mm/0.2mm</t>
  </si>
  <si>
    <t xml:space="preserve">P3-104-12V-JC-3.00.3</t>
  </si>
  <si>
    <t xml:space="preserve">Direct 3.0mm/0.3mm</t>
  </si>
  <si>
    <t xml:space="preserve">P3-104-12V-JC-3.00.4</t>
  </si>
  <si>
    <t xml:space="preserve">Direct 3.0mm/0.4mm</t>
  </si>
  <si>
    <t xml:space="preserve">P3-104-12V-JC-3.00.5</t>
  </si>
  <si>
    <t xml:space="preserve">Direct 3.0mm/0.5mm</t>
  </si>
  <si>
    <t xml:space="preserve">P3-104-12V-YC-0.1-1.75HC</t>
  </si>
  <si>
    <t xml:space="preserve">Bowden 0.1mm 1.75mm filament</t>
  </si>
  <si>
    <t xml:space="preserve">P3-104-12V-YC-0.1-3.0HC</t>
  </si>
  <si>
    <t xml:space="preserve">Bowden 0.1mm 3.0mm filament</t>
  </si>
  <si>
    <t xml:space="preserve">P3-104-12V-YC-0.2-1.75HC</t>
  </si>
  <si>
    <t xml:space="preserve">Bowden 0.2mm 1.75mm filament</t>
  </si>
  <si>
    <t xml:space="preserve">P3-104-12V-YC-0.2-3.0HC</t>
  </si>
  <si>
    <t xml:space="preserve">Bowden 0.2mm 3.0mm filament</t>
  </si>
  <si>
    <t xml:space="preserve">P3-104-12V-YC-0.25-1.75HC</t>
  </si>
  <si>
    <t xml:space="preserve">Bowden 0.25mm 1.75mm filament</t>
  </si>
  <si>
    <t xml:space="preserve">P3-104-12V-YC-0.25-3.0HC</t>
  </si>
  <si>
    <t xml:space="preserve">Bowden 0.25mm 3.0mm filament</t>
  </si>
  <si>
    <t xml:space="preserve">P3-104-12V-YC-0.3-1.75HC</t>
  </si>
  <si>
    <t xml:space="preserve">Bowden 0.3mm 1.75mm filament</t>
  </si>
  <si>
    <t xml:space="preserve">P3-104-12V-YC-0.3-3.0HC</t>
  </si>
  <si>
    <t xml:space="preserve">Bowden 0.3mm 3.0mm filament</t>
  </si>
  <si>
    <t xml:space="preserve">P3-104-12V-YC-0.35-1.75HC</t>
  </si>
  <si>
    <t xml:space="preserve">Bowden 0.35mm 1.75mm filament</t>
  </si>
  <si>
    <t xml:space="preserve">P3-104-12V-YC-0.35-3.0HC</t>
  </si>
  <si>
    <t xml:space="preserve">Bowden 0.35mm 3.0mm filament</t>
  </si>
  <si>
    <t xml:space="preserve">P3-104-12V-YC-0.4-1.75HC</t>
  </si>
  <si>
    <t xml:space="preserve">Bowden 0.4mm 1.75mm filament</t>
  </si>
  <si>
    <t xml:space="preserve">P3-104-12V-YC-0.4-3.0HC</t>
  </si>
  <si>
    <t xml:space="preserve">Bowden 0.4mm 3.0mm filament</t>
  </si>
  <si>
    <t xml:space="preserve">P3-104-12V-YC-0.5-1.75HC</t>
  </si>
  <si>
    <t xml:space="preserve">Bowden 0.5mm 1.75mm filament</t>
  </si>
  <si>
    <t xml:space="preserve">P3-104-12V-YC-0.5-3.0HC</t>
  </si>
  <si>
    <t xml:space="preserve">Bowden 0.5mm 3.0mm filament</t>
  </si>
  <si>
    <t xml:space="preserve">P3-104-12V-YC-0.6-1.75HC</t>
  </si>
  <si>
    <t xml:space="preserve">Bowden 0.6mm 1.75mm filament</t>
  </si>
  <si>
    <t xml:space="preserve">P3-104-12V-YC-0.6-3.0HC</t>
  </si>
  <si>
    <t xml:space="preserve">Bowden 0.6mm 3.0mm filament</t>
  </si>
  <si>
    <t xml:space="preserve">P3-104-12V-YC-0.8-1.75HC</t>
  </si>
  <si>
    <t xml:space="preserve">Bowden 0.8mm 1.75mm filament</t>
  </si>
  <si>
    <t xml:space="preserve">P3-104-12V-YC-0.8-3.0HC</t>
  </si>
  <si>
    <t xml:space="preserve">Bowden 0.8mm 3.0mm filament</t>
  </si>
  <si>
    <t xml:space="preserve">P3-104-12V-YC-1.0-1.75HC</t>
  </si>
  <si>
    <t xml:space="preserve">Bowden 1.0mm 1.75mm filament</t>
  </si>
  <si>
    <t xml:space="preserve">P3-104-12V-YC-1.0-3.0HC</t>
  </si>
  <si>
    <t xml:space="preserve">Bowden 1.0mm 3.0mm filament</t>
  </si>
  <si>
    <t xml:space="preserve">P3-104-12V-YC-1.2-1.75HC</t>
  </si>
  <si>
    <t xml:space="preserve">Bowden 1.2mm 1.75mm filament</t>
  </si>
  <si>
    <t xml:space="preserve">P3-104-12V-YC-1.2-3.0HC</t>
  </si>
  <si>
    <t xml:space="preserve">Bowden 1.2mm 3.0mm filament</t>
  </si>
  <si>
    <t xml:space="preserve">P3-104-24V-YC-0.1-1.75HC</t>
  </si>
  <si>
    <t xml:space="preserve">P3-104-24V-YC-0.1-3.0HC</t>
  </si>
  <si>
    <t xml:space="preserve">P3-104-24V-YC-0.2-1.75HC</t>
  </si>
  <si>
    <t xml:space="preserve">P3-104-24V-YC-0.2-3.0HC</t>
  </si>
  <si>
    <t xml:space="preserve">P3-104-24V-YC-0.25-1.75HC</t>
  </si>
  <si>
    <t xml:space="preserve">P3-104-24V-YC-0.25-3.0HC</t>
  </si>
  <si>
    <t xml:space="preserve">P3-104-24V-YC-0.3-1.75HC</t>
  </si>
  <si>
    <t xml:space="preserve">P3-104-24V-YC-0.3-3.0HC</t>
  </si>
  <si>
    <t xml:space="preserve">P3-104-24V-YC-0.35-1.75HC</t>
  </si>
  <si>
    <t xml:space="preserve">P3-104-24V-YC-0.35-3.0HC</t>
  </si>
  <si>
    <t xml:space="preserve">P3-104-24V-YC-0.4-1.75HC</t>
  </si>
  <si>
    <t xml:space="preserve">P3-104-24V-YC-0.4-3.0HC</t>
  </si>
  <si>
    <t xml:space="preserve">P3-104-24V-YC-0.5-1.75HC</t>
  </si>
  <si>
    <t xml:space="preserve">P3-104-24V-YC-0.5-3.0HC</t>
  </si>
  <si>
    <t xml:space="preserve">P3-104-24V-YC-0.6-1.75HC</t>
  </si>
  <si>
    <t xml:space="preserve">P3-104-24V-YC-0.6-3.0HC</t>
  </si>
  <si>
    <t xml:space="preserve">P3-104-24V-YC-0.8-1.75HC</t>
  </si>
  <si>
    <t xml:space="preserve">P3-104-24V-YC-0.8-3.0HC</t>
  </si>
  <si>
    <t xml:space="preserve">P3-104-24V-YC-1.0-1.75HC</t>
  </si>
  <si>
    <t xml:space="preserve">P3-104-24V-YC-1.0-3.0HC</t>
  </si>
  <si>
    <t xml:space="preserve">P3-104-24V-YC-1.2-1.75HC</t>
  </si>
  <si>
    <t xml:space="preserve">P3-104-24V-YC-1.2-3.0HC</t>
  </si>
  <si>
    <t xml:space="preserve">Wade Extruder Hobbed Bolt  [Extruders &amp; Hotends]</t>
  </si>
  <si>
    <t xml:space="preserve">Hobbed shaft only 23mm</t>
  </si>
  <si>
    <t xml:space="preserve">P3-018-DDJZ23</t>
  </si>
  <si>
    <t xml:space="preserve">P3-018-DDJZ26</t>
  </si>
  <si>
    <t xml:space="preserve">Hobbed shaft only 26mm</t>
  </si>
  <si>
    <t xml:space="preserve">P3-018-DDJZ30</t>
  </si>
  <si>
    <t xml:space="preserve">Hobbed shaft only 30mm</t>
  </si>
  <si>
    <t xml:space="preserve">P3-018-PDPLM-23</t>
  </si>
  <si>
    <t xml:space="preserve">with washer &amp; nut 23mm</t>
  </si>
  <si>
    <t xml:space="preserve">P3-018-PDPLM-26</t>
  </si>
  <si>
    <t xml:space="preserve">with washer &amp; nut 26mm</t>
  </si>
  <si>
    <t xml:space="preserve">P3-018-PDPLM-30</t>
  </si>
  <si>
    <t xml:space="preserve">with washer &amp; nut 30mm</t>
  </si>
  <si>
    <t xml:space="preserve">Bambu A1 / A1 mini Hardened Steel DLC Extruder Gear Kit  [Extruders &amp; Hotends]</t>
  </si>
  <si>
    <t xml:space="preserve">Upgrade A1/A1mini hardened steel extruder gear kit -DLC</t>
  </si>
  <si>
    <t xml:space="preserve">P3-088-BK-SJA1A1MINIYHGJCJCLTJ-DLC</t>
  </si>
  <si>
    <t xml:space="preserve">P3-088-SJA1A1MINIYHGJCJCLTJ-DLCJS</t>
  </si>
  <si>
    <t xml:space="preserve">Upgrade A1/A1mini hardened steel extruder gear kit -DLC Gold</t>
  </si>
  <si>
    <t xml:space="preserve">P3-088-SV-SJA1A1MINIYHGJCJCLTJ-NI</t>
  </si>
  <si>
    <t xml:space="preserve">Upgrade A1/A1mini hardened steel extruder gear kit - Nickel-plated</t>
  </si>
  <si>
    <t xml:space="preserve">Bambu X1 / P1P Hardened Steel Hotend V2.0  [Extruders &amp; Hotends]</t>
  </si>
  <si>
    <t xml:space="preserve">CHT 3-hole copper-plated nozzle</t>
  </si>
  <si>
    <t xml:space="preserve">X1/P1P</t>
  </si>
  <si>
    <t xml:space="preserve">1.75/0.2</t>
  </si>
  <si>
    <t xml:space="preserve">P3-067-1.750.2-x1P1P-CHTSYDTPZ</t>
  </si>
  <si>
    <t xml:space="preserve">P3-067-1.750.4-YHGPZ-MM</t>
  </si>
  <si>
    <t xml:space="preserve">Hardened steel nozzle</t>
  </si>
  <si>
    <t xml:space="preserve">1.75/0.4</t>
  </si>
  <si>
    <t xml:space="preserve">Titan Aero Extruder Aluminum Idler Arm  [Extruders &amp; Hotends]</t>
  </si>
  <si>
    <t xml:space="preserve">new</t>
  </si>
  <si>
    <t xml:space="preserve">with gear</t>
  </si>
  <si>
    <t xml:space="preserve">P3-123-BK-DCL-XK</t>
  </si>
  <si>
    <t xml:space="preserve">P3-123-BK-DZC-LK</t>
  </si>
  <si>
    <t xml:space="preserve">old</t>
  </si>
  <si>
    <t xml:space="preserve">with bearing</t>
  </si>
  <si>
    <t xml:space="preserve">P3-123-SV-DCL-XK</t>
  </si>
  <si>
    <t xml:space="preserve">P3-123-SV-DZC-LK</t>
  </si>
  <si>
    <t xml:space="preserve">Dual-Gear Reduction Extruder for Flexible Filament  [Extruders &amp; Hotends]</t>
  </si>
  <si>
    <t xml:space="preserve">P3-087</t>
  </si>
  <si>
    <t xml:space="preserve">Filament Drive Gear (Brass / Stainless)  [Extruders &amp; Hotends]</t>
  </si>
  <si>
    <t xml:space="preserve">P3-046-BR-1.75</t>
  </si>
  <si>
    <t xml:space="preserve">P3-046-BR-3</t>
  </si>
  <si>
    <t xml:space="preserve">P3-046-SS-1.75</t>
  </si>
  <si>
    <t xml:space="preserve">P3-046-SS-3</t>
  </si>
  <si>
    <t xml:space="preserve">E3D V5/V6 Molded Fan Duct (3010)  [Fans &amp; Guards]</t>
  </si>
  <si>
    <t xml:space="preserve">P3-041-BK-V5</t>
  </si>
  <si>
    <t xml:space="preserve">P3-041-BK-V6</t>
  </si>
  <si>
    <t xml:space="preserve">P3-041-BL-V5</t>
  </si>
  <si>
    <t xml:space="preserve">P3-041-BL-V6</t>
  </si>
  <si>
    <t xml:space="preserve">P3-041-RD-V5</t>
  </si>
  <si>
    <t xml:space="preserve">P3-041-RD-V6</t>
  </si>
  <si>
    <t xml:space="preserve">P3-041-YL-V5</t>
  </si>
  <si>
    <t xml:space="preserve">P3-041-YL-V6</t>
  </si>
  <si>
    <t xml:space="preserve">KB Countersunk Self-Tapping Screw M4 / M5  [Fans &amp; Guards]</t>
  </si>
  <si>
    <t xml:space="preserve">P3-079-M5x10-H</t>
  </si>
  <si>
    <t xml:space="preserve">P3-079-M5x10-N</t>
  </si>
  <si>
    <t xml:space="preserve">Nickel</t>
  </si>
  <si>
    <t xml:space="preserve">P3-079-M5x12-H</t>
  </si>
  <si>
    <t xml:space="preserve">P3-079-M5x12-N</t>
  </si>
  <si>
    <t xml:space="preserve">P3-079-M5x8-H</t>
  </si>
  <si>
    <t xml:space="preserve">P3-079-M5x8-N</t>
  </si>
  <si>
    <t xml:space="preserve">MK7/MK8 Heatsink 40x40x11  [Fans &amp; Guards]</t>
  </si>
  <si>
    <t xml:space="preserve">A-type - Gold</t>
  </si>
  <si>
    <t xml:space="preserve">P3-055-AX-JS</t>
  </si>
  <si>
    <t xml:space="preserve">P3-055-BK-AX</t>
  </si>
  <si>
    <t xml:space="preserve">A-type</t>
  </si>
  <si>
    <t xml:space="preserve">P3-055-BK-BX</t>
  </si>
  <si>
    <t xml:space="preserve">B-type</t>
  </si>
  <si>
    <t xml:space="preserve">P3-055-BK-CX</t>
  </si>
  <si>
    <t xml:space="preserve">C-type</t>
  </si>
  <si>
    <t xml:space="preserve">P3-055-BK-DX</t>
  </si>
  <si>
    <t xml:space="preserve">D-type</t>
  </si>
  <si>
    <t xml:space="preserve">P3-055-BK-EX</t>
  </si>
  <si>
    <t xml:space="preserve">E-type</t>
  </si>
  <si>
    <t xml:space="preserve">P3-055-BX-JS</t>
  </si>
  <si>
    <t xml:space="preserve">B-type - Gold</t>
  </si>
  <si>
    <t xml:space="preserve">P3-055-CX-JS</t>
  </si>
  <si>
    <t xml:space="preserve">C-type - Gold</t>
  </si>
  <si>
    <t xml:space="preserve">P3-055-DX-JS</t>
  </si>
  <si>
    <t xml:space="preserve">D-type - Gold</t>
  </si>
  <si>
    <t xml:space="preserve">P3-055-JS-EX</t>
  </si>
  <si>
    <t xml:space="preserve">Gold -E-type</t>
  </si>
  <si>
    <t xml:space="preserve">P3-055-LBS-EX-WYH</t>
  </si>
  <si>
    <t xml:space="preserve">Natural aluminum E-type Unanodized</t>
  </si>
  <si>
    <t xml:space="preserve">V5/V6 All-Metal Hotend Fan Bracket  [Fans &amp; Guards]</t>
  </si>
  <si>
    <t xml:space="preserve">P3-069-V5</t>
  </si>
  <si>
    <t xml:space="preserve">P3-069-V6</t>
  </si>
  <si>
    <t xml:space="preserve">DC Cooling Fan 5V/12V/24V (2510-12038, Blower 4020/5015)  [Fans &amp; Guards]</t>
  </si>
  <si>
    <t xml:space="preserve">12025</t>
  </si>
  <si>
    <t xml:space="preserve">Sleeve bearing</t>
  </si>
  <si>
    <t xml:space="preserve">FAN-12025-SL-12V</t>
  </si>
  <si>
    <t xml:space="preserve">FAN-12025-SL-24V</t>
  </si>
  <si>
    <t xml:space="preserve">FAN-12025-SL-5V</t>
  </si>
  <si>
    <t xml:space="preserve">5V</t>
  </si>
  <si>
    <t xml:space="preserve">FAN-12038-SL-12V</t>
  </si>
  <si>
    <t xml:space="preserve">12038</t>
  </si>
  <si>
    <t xml:space="preserve">FAN-12038-SL-12V-Q</t>
  </si>
  <si>
    <t xml:space="preserve">Quiet</t>
  </si>
  <si>
    <t xml:space="preserve">FAN-2510-BB-12V</t>
  </si>
  <si>
    <t xml:space="preserve">2510</t>
  </si>
  <si>
    <t xml:space="preserve">Dual ball bearing</t>
  </si>
  <si>
    <t xml:space="preserve">FAN-2510-BB-24V</t>
  </si>
  <si>
    <t xml:space="preserve">FAN-2510-BB-5V</t>
  </si>
  <si>
    <t xml:space="preserve">FAN-2510-HY-12V</t>
  </si>
  <si>
    <t xml:space="preserve">Hydraulic bearing</t>
  </si>
  <si>
    <t xml:space="preserve">FAN-2510-HY-24V</t>
  </si>
  <si>
    <t xml:space="preserve">FAN-2510-HY-5V</t>
  </si>
  <si>
    <t xml:space="preserve">FAN-3010-BB-12V</t>
  </si>
  <si>
    <t xml:space="preserve">3010</t>
  </si>
  <si>
    <t xml:space="preserve">FAN-3010-BB-24V</t>
  </si>
  <si>
    <t xml:space="preserve">FAN-3010-BB-5V</t>
  </si>
  <si>
    <t xml:space="preserve">FAN-3010-HY-12V</t>
  </si>
  <si>
    <t xml:space="preserve">FAN-3010-HY-24V</t>
  </si>
  <si>
    <t xml:space="preserve">FAN-3010-HY-5V</t>
  </si>
  <si>
    <t xml:space="preserve">FAN-3510-BB-12V</t>
  </si>
  <si>
    <t xml:space="preserve">3510</t>
  </si>
  <si>
    <t xml:space="preserve">FAN-3510-BB-24V</t>
  </si>
  <si>
    <t xml:space="preserve">FAN-3510-BB-5V</t>
  </si>
  <si>
    <t xml:space="preserve">FAN-3510-HY-12V</t>
  </si>
  <si>
    <t xml:space="preserve">FAN-3510-HY-24V</t>
  </si>
  <si>
    <t xml:space="preserve">FAN-3510-HY-5V</t>
  </si>
  <si>
    <t xml:space="preserve">FAN-4010-BB-12V-W0.3</t>
  </si>
  <si>
    <t xml:space="preserve">cable 0.3m</t>
  </si>
  <si>
    <t xml:space="preserve">FAN-4010-BB-24V-W0.3</t>
  </si>
  <si>
    <t xml:space="preserve">FAN-4010-BB-5V-W0.3</t>
  </si>
  <si>
    <t xml:space="preserve">FAN-4010-HY-12V-W0.3</t>
  </si>
  <si>
    <t xml:space="preserve">FAN-4010-HY-24V-W0.3</t>
  </si>
  <si>
    <t xml:space="preserve">FAN-4010-HY-5V-W0.3</t>
  </si>
  <si>
    <t xml:space="preserve">FAN-4010-SL-12V-W0.3</t>
  </si>
  <si>
    <t xml:space="preserve">FAN-4010-SL-24V-W0.3</t>
  </si>
  <si>
    <t xml:space="preserve">FAN-4010-SL-24V-W1</t>
  </si>
  <si>
    <t xml:space="preserve">cable 1m</t>
  </si>
  <si>
    <t xml:space="preserve">FAN-4010-SL-5V-W0.3</t>
  </si>
  <si>
    <t xml:space="preserve">FAN-4020-BB-12V</t>
  </si>
  <si>
    <t xml:space="preserve">4020</t>
  </si>
  <si>
    <t xml:space="preserve">FAN-4020-BB-24V</t>
  </si>
  <si>
    <t xml:space="preserve">FAN-4020-BB-5V</t>
  </si>
  <si>
    <t xml:space="preserve">FAN-4020-HY-12V</t>
  </si>
  <si>
    <t xml:space="preserve">FAN-4020-HY-24V</t>
  </si>
  <si>
    <t xml:space="preserve">FAN-4020-HY-5V</t>
  </si>
  <si>
    <t xml:space="preserve">FAN-4020-SL-12V</t>
  </si>
  <si>
    <t xml:space="preserve">FAN-4020-SL-24V</t>
  </si>
  <si>
    <t xml:space="preserve">FAN-4020-SL-5V</t>
  </si>
  <si>
    <t xml:space="preserve">FAN-4020B-BB-12V</t>
  </si>
  <si>
    <t xml:space="preserve">4020 blower</t>
  </si>
  <si>
    <t xml:space="preserve">FAN-4020B-BB-24V</t>
  </si>
  <si>
    <t xml:space="preserve">FAN-4020B-BB-5V</t>
  </si>
  <si>
    <t xml:space="preserve">FAN-4020B-HY-12V</t>
  </si>
  <si>
    <t xml:space="preserve">FAN-4020B-HY-24V</t>
  </si>
  <si>
    <t xml:space="preserve">FAN-4020B-HY-5V</t>
  </si>
  <si>
    <t xml:space="preserve">FAN-4020B-SL-12V</t>
  </si>
  <si>
    <t xml:space="preserve">FAN-4020B-SL-24V</t>
  </si>
  <si>
    <t xml:space="preserve">FAN-4020B-SL-5V</t>
  </si>
  <si>
    <t xml:space="preserve">FAN-5010-BB-12V</t>
  </si>
  <si>
    <t xml:space="preserve">FAN-5010-BB-24V</t>
  </si>
  <si>
    <t xml:space="preserve">FAN-5010-BB-5V</t>
  </si>
  <si>
    <t xml:space="preserve">FAN-5010-HY-12V</t>
  </si>
  <si>
    <t xml:space="preserve">FAN-5010-HY-24V</t>
  </si>
  <si>
    <t xml:space="preserve">FAN-5010-HY-5V</t>
  </si>
  <si>
    <t xml:space="preserve">FAN-5010-SL-12V</t>
  </si>
  <si>
    <t xml:space="preserve">FAN-5010-SL-24V</t>
  </si>
  <si>
    <t xml:space="preserve">FAN-5010-SL-5V</t>
  </si>
  <si>
    <t xml:space="preserve">FAN-5015B-BL-12V</t>
  </si>
  <si>
    <t xml:space="preserve">5015 blower</t>
  </si>
  <si>
    <t xml:space="preserve">Ball bearing</t>
  </si>
  <si>
    <t xml:space="preserve">FAN-5015B-BL-24V</t>
  </si>
  <si>
    <t xml:space="preserve">FAN-5015B-BL-5V</t>
  </si>
  <si>
    <t xml:space="preserve">FAN-5015B-SL-12V</t>
  </si>
  <si>
    <t xml:space="preserve">FAN-5015B-SL-24V</t>
  </si>
  <si>
    <t xml:space="preserve">FAN-5015B-SL-5V</t>
  </si>
  <si>
    <t xml:space="preserve">FAN-6010-BB-12V</t>
  </si>
  <si>
    <t xml:space="preserve">6010</t>
  </si>
  <si>
    <t xml:space="preserve">FAN-6010-BB-24V</t>
  </si>
  <si>
    <t xml:space="preserve">FAN-6010-BB-5V</t>
  </si>
  <si>
    <t xml:space="preserve">FAN-6010-HY-12V</t>
  </si>
  <si>
    <t xml:space="preserve">FAN-6010-HY-24V</t>
  </si>
  <si>
    <t xml:space="preserve">FAN-6010-HY-5V</t>
  </si>
  <si>
    <t xml:space="preserve">FAN-6010-SL-12V</t>
  </si>
  <si>
    <t xml:space="preserve">FAN-6010-SL-24V</t>
  </si>
  <si>
    <t xml:space="preserve">FAN-6010-SL-5V</t>
  </si>
  <si>
    <t xml:space="preserve">FAN-6015-BB-12V</t>
  </si>
  <si>
    <t xml:space="preserve">6015</t>
  </si>
  <si>
    <t xml:space="preserve">FAN-6015-BB-24V</t>
  </si>
  <si>
    <t xml:space="preserve">FAN-6015-BB-5V</t>
  </si>
  <si>
    <t xml:space="preserve">FAN-6015-HY-12V</t>
  </si>
  <si>
    <t xml:space="preserve">FAN-6015-HY-24V</t>
  </si>
  <si>
    <t xml:space="preserve">FAN-6015-HY-5V</t>
  </si>
  <si>
    <t xml:space="preserve">FAN-6015-SL-12V</t>
  </si>
  <si>
    <t xml:space="preserve">FAN-6015-SL-24V</t>
  </si>
  <si>
    <t xml:space="preserve">FAN-6015-SL-5V</t>
  </si>
  <si>
    <t xml:space="preserve">FAN-6025-SL-12V-Q-W0.3</t>
  </si>
  <si>
    <t xml:space="preserve">6025</t>
  </si>
  <si>
    <t xml:space="preserve">Quiet cable 0.3m</t>
  </si>
  <si>
    <t xml:space="preserve">FAN-8010-BB-12V</t>
  </si>
  <si>
    <t xml:space="preserve">8010</t>
  </si>
  <si>
    <t xml:space="preserve">FAN-8010-BB-12V-4P</t>
  </si>
  <si>
    <t xml:space="preserve">Large 4P connector</t>
  </si>
  <si>
    <t xml:space="preserve">FAN-8010-BB-24V</t>
  </si>
  <si>
    <t xml:space="preserve">FAN-8010-BB-5V</t>
  </si>
  <si>
    <t xml:space="preserve">FAN-8010-HY-12V</t>
  </si>
  <si>
    <t xml:space="preserve">FAN-8010-HY-12V-4P</t>
  </si>
  <si>
    <t xml:space="preserve">FAN-8010-HY-24V</t>
  </si>
  <si>
    <t xml:space="preserve">FAN-8010-HY-5V</t>
  </si>
  <si>
    <t xml:space="preserve">FAN-8010-SL-12V</t>
  </si>
  <si>
    <t xml:space="preserve">FAN-8010-SL-12V-4P</t>
  </si>
  <si>
    <t xml:space="preserve">FAN-8010-SL-12V-P2</t>
  </si>
  <si>
    <t xml:space="preserve">FAN-8010-SL-24V</t>
  </si>
  <si>
    <t xml:space="preserve">FAN-8010-SL-5V</t>
  </si>
  <si>
    <t xml:space="preserve">FAN-8015-12V</t>
  </si>
  <si>
    <t xml:space="preserve">8015</t>
  </si>
  <si>
    <t xml:space="preserve">FAN-8015-24V</t>
  </si>
  <si>
    <t xml:space="preserve">FAN-8015-5V</t>
  </si>
  <si>
    <t xml:space="preserve">FAN-8020-SL-12V</t>
  </si>
  <si>
    <t xml:space="preserve">8020</t>
  </si>
  <si>
    <t xml:space="preserve">FAN-8020-SL-24V</t>
  </si>
  <si>
    <t xml:space="preserve">FAN-8020-SL-5V</t>
  </si>
  <si>
    <t xml:space="preserve">FAN-8025-SL-12V</t>
  </si>
  <si>
    <t xml:space="preserve">8025</t>
  </si>
  <si>
    <t xml:space="preserve">FAN-8025-SL-24V</t>
  </si>
  <si>
    <t xml:space="preserve">FAN-8025-SL-5V</t>
  </si>
  <si>
    <t xml:space="preserve">FAN-9225-BB-12V-W0.3-T254</t>
  </si>
  <si>
    <t xml:space="preserve">9225</t>
  </si>
  <si>
    <t xml:space="preserve">cable 0.3m 2.54 male terminal</t>
  </si>
  <si>
    <t xml:space="preserve">FAN-9225-BB-24V-W0.3-SM</t>
  </si>
  <si>
    <t xml:space="preserve">cable 0.3m SM pin terminal</t>
  </si>
  <si>
    <t xml:space="preserve">FAN-9225-BB-24V-W0.3-T254</t>
  </si>
  <si>
    <t xml:space="preserve">FAN-9225-BB-5V-W0.3-T254</t>
  </si>
  <si>
    <t xml:space="preserve">FAN-9225-SL-12V-W0.3-T254</t>
  </si>
  <si>
    <t xml:space="preserve">FAN-9225-SL-24V-W0.3-SM</t>
  </si>
  <si>
    <t xml:space="preserve">FAN-9225-SL-24V-W0.3-T254</t>
  </si>
  <si>
    <t xml:space="preserve">FAN-9225-SL-5V-W0.3-T254</t>
  </si>
  <si>
    <t xml:space="preserve">Stepper Driver Heatsink (TMC2100 / LV8729)  [Fans &amp; Guards]</t>
  </si>
  <si>
    <t xml:space="preserve">no adhesive</t>
  </si>
  <si>
    <t xml:space="preserve">9x9x12</t>
  </si>
  <si>
    <t xml:space="preserve">P3-004-9x9x12-BK-BDJ</t>
  </si>
  <si>
    <t xml:space="preserve">P3-004-9x9x12-BK-DDRJ</t>
  </si>
  <si>
    <t xml:space="preserve">with thermal adhesive</t>
  </si>
  <si>
    <t xml:space="preserve">P3-004-9x9x12-BL-BDJ</t>
  </si>
  <si>
    <t xml:space="preserve">P3-004-9x9x12-BL-DDRJ</t>
  </si>
  <si>
    <t xml:space="preserve">P3-004-9x9x12-SV-BDJ</t>
  </si>
  <si>
    <t xml:space="preserve">P3-004-9x9x12-SV-D3MJ</t>
  </si>
  <si>
    <t xml:space="preserve">belt 3M adhesive</t>
  </si>
  <si>
    <t xml:space="preserve">P3-004-9x9x12-SV-DDRJ</t>
  </si>
  <si>
    <t xml:space="preserve">P3-004-BL-QDSRPD</t>
  </si>
  <si>
    <t xml:space="preserve">Driver heatsink (Large)</t>
  </si>
  <si>
    <t xml:space="preserve">P3-004-SV-QDSRPD</t>
  </si>
  <si>
    <t xml:space="preserve">Fan Guard / Dust Filter (3-12cm)  [Fans &amp; Guards]</t>
  </si>
  <si>
    <t xml:space="preserve">Aluminum mesh</t>
  </si>
  <si>
    <t xml:space="preserve">Dust filter guard</t>
  </si>
  <si>
    <t xml:space="preserve">12cm</t>
  </si>
  <si>
    <t xml:space="preserve">FG2-DG-12cm-BK-AL-S</t>
  </si>
  <si>
    <t xml:space="preserve">FG2-DG-12cm-WH-AL-S</t>
  </si>
  <si>
    <t xml:space="preserve">FG2-DG-6cm-BK-AL-S</t>
  </si>
  <si>
    <t xml:space="preserve">6cm</t>
  </si>
  <si>
    <t xml:space="preserve">FG2-DG-6cm-WH-AL-S</t>
  </si>
  <si>
    <t xml:space="preserve">FG2-DG-8cm-BK-AL-S</t>
  </si>
  <si>
    <t xml:space="preserve">8cm</t>
  </si>
  <si>
    <t xml:space="preserve">FG2-DG-8cm-WH-AL-S</t>
  </si>
  <si>
    <t xml:space="preserve">FG2-DG-9cm-BK-AL-S</t>
  </si>
  <si>
    <t xml:space="preserve">9cm</t>
  </si>
  <si>
    <t xml:space="preserve">FG2-DG-9cm-WH-AL-S</t>
  </si>
  <si>
    <t xml:space="preserve">FG2-PG-12cm-FE</t>
  </si>
  <si>
    <t xml:space="preserve">Iron</t>
  </si>
  <si>
    <t xml:space="preserve">Protective guard</t>
  </si>
  <si>
    <t xml:space="preserve">FG2-PG-15cm-FE</t>
  </si>
  <si>
    <t xml:space="preserve">15cm</t>
  </si>
  <si>
    <t xml:space="preserve">FG2-PG-15cm-SS</t>
  </si>
  <si>
    <t xml:space="preserve">FG2-PG-3cm-FE</t>
  </si>
  <si>
    <t xml:space="preserve">3cm</t>
  </si>
  <si>
    <t xml:space="preserve">FG2-PG-4cm-FE</t>
  </si>
  <si>
    <t xml:space="preserve">4cm</t>
  </si>
  <si>
    <t xml:space="preserve">FG2-PG-4cm-SS</t>
  </si>
  <si>
    <t xml:space="preserve">FG2-PG-5cm-FE</t>
  </si>
  <si>
    <t xml:space="preserve">5cm</t>
  </si>
  <si>
    <t xml:space="preserve">FG2-PG-8cm-FE</t>
  </si>
  <si>
    <t xml:space="preserve">KJH Male Thread Straight Push-in Fitting  [Fittings &amp; PTFE Tube]</t>
  </si>
  <si>
    <t xml:space="preserve">P3-065</t>
  </si>
  <si>
    <t xml:space="preserve">PC4 Pneumatic Push-in Fitting, Straight  [Fittings &amp; PTFE Tube]</t>
  </si>
  <si>
    <t xml:space="preserve">Blind PC4-01</t>
  </si>
  <si>
    <t xml:space="preserve">P3-032-BK-BTK-PC4-01</t>
  </si>
  <si>
    <t xml:space="preserve">P3-032-BK-BTK-PC4-02</t>
  </si>
  <si>
    <t xml:space="preserve">Blind PC4-02</t>
  </si>
  <si>
    <t xml:space="preserve">P3-032-BK-BTK-PC4-03</t>
  </si>
  <si>
    <t xml:space="preserve">Blind PC4-03</t>
  </si>
  <si>
    <t xml:space="preserve">P3-032-BK-BTK-PC4-M5</t>
  </si>
  <si>
    <t xml:space="preserve">Blind PC4-M5</t>
  </si>
  <si>
    <t xml:space="preserve">P3-032-BK-BTK-PC4-M6</t>
  </si>
  <si>
    <t xml:space="preserve">Blind PC4-M6</t>
  </si>
  <si>
    <t xml:space="preserve">P3-032-BK-TK-PC4-01</t>
  </si>
  <si>
    <t xml:space="preserve">Through PC4-01</t>
  </si>
  <si>
    <t xml:space="preserve">P3-032-BK-TK-PC4-M6</t>
  </si>
  <si>
    <t xml:space="preserve">Through PC4-M6</t>
  </si>
  <si>
    <t xml:space="preserve">P3-032-BL-BTK-PC4-01</t>
  </si>
  <si>
    <t xml:space="preserve">P3-032-BL-BTK-PC4-02</t>
  </si>
  <si>
    <t xml:space="preserve">P3-032-BL-BTK-PC4-03</t>
  </si>
  <si>
    <t xml:space="preserve">P3-032-BL-BTK-PC4-M5</t>
  </si>
  <si>
    <t xml:space="preserve">P3-032-BL-BTK-PC4-M6</t>
  </si>
  <si>
    <t xml:space="preserve">P3-032-BL-BTK-PC6-01</t>
  </si>
  <si>
    <t xml:space="preserve">Blind PC6-01</t>
  </si>
  <si>
    <t xml:space="preserve">P3-032-BL-BTK-PC6-M5</t>
  </si>
  <si>
    <t xml:space="preserve">Blind PC6-M5</t>
  </si>
  <si>
    <t xml:space="preserve">P3-032-BTK-KMH04-01S</t>
  </si>
  <si>
    <t xml:space="preserve">Blind KMH04-01S</t>
  </si>
  <si>
    <t xml:space="preserve">P3-032-BTK-KMH06-M6</t>
  </si>
  <si>
    <t xml:space="preserve">Blind KMH06-M6</t>
  </si>
  <si>
    <t xml:space="preserve">P3-032-M10x1-BK-BTK-PC4</t>
  </si>
  <si>
    <t xml:space="preserve">Blind PC4</t>
  </si>
  <si>
    <t xml:space="preserve">P3-032-M6x1-BK-BTK-PC6</t>
  </si>
  <si>
    <t xml:space="preserve">Blind PC6</t>
  </si>
  <si>
    <t xml:space="preserve">P3-032-M6x1-BL-BTK-PC6</t>
  </si>
  <si>
    <t xml:space="preserve">P3-032-WH-TK-PC4-01</t>
  </si>
  <si>
    <t xml:space="preserve">P3-032-WH-TK-PC4-01-DKK</t>
  </si>
  <si>
    <t xml:space="preserve">Through PC4-01 with clip</t>
  </si>
  <si>
    <t xml:space="preserve">P3-032-WH-TK-PC4-M6</t>
  </si>
  <si>
    <t xml:space="preserve">PTFE Tube F46, 1m  [Fittings &amp; PTFE Tube]</t>
  </si>
  <si>
    <t xml:space="preserve">2mm*4mm 100m </t>
  </si>
  <si>
    <t xml:space="preserve">P3-056-BL-2x4-100M</t>
  </si>
  <si>
    <t xml:space="preserve">P3-056-BL-2x41M</t>
  </si>
  <si>
    <t xml:space="preserve">2mm*4mm (1m)</t>
  </si>
  <si>
    <t xml:space="preserve">P3-056-TR-2.5x41M</t>
  </si>
  <si>
    <t xml:space="preserve">2.5mm*4mm (1m)</t>
  </si>
  <si>
    <t xml:space="preserve">P3-056-TR-2x4-100M</t>
  </si>
  <si>
    <t xml:space="preserve">P3-056-TR-2x4-10M</t>
  </si>
  <si>
    <t xml:space="preserve">2mm*4mm 10m</t>
  </si>
  <si>
    <t xml:space="preserve">P3-056-TR-2x4-200M</t>
  </si>
  <si>
    <t xml:space="preserve">2mm*4mm 200m</t>
  </si>
  <si>
    <t xml:space="preserve">P3-056-TR-2x4-50M</t>
  </si>
  <si>
    <t xml:space="preserve">2mm*4mm 50m</t>
  </si>
  <si>
    <t xml:space="preserve">P3-056-TR-2x4-5M</t>
  </si>
  <si>
    <t xml:space="preserve">2mm*4mm 5m</t>
  </si>
  <si>
    <t xml:space="preserve">P3-056-TR-2x41M</t>
  </si>
  <si>
    <t xml:space="preserve">P3-056-WH-2.5x41M</t>
  </si>
  <si>
    <t xml:space="preserve">P3-056-WH-2x31M</t>
  </si>
  <si>
    <t xml:space="preserve">2mm*3mm (1m)</t>
  </si>
  <si>
    <t xml:space="preserve">P3-056-WH-2x4-100M</t>
  </si>
  <si>
    <t xml:space="preserve">2mm*4mm 100m</t>
  </si>
  <si>
    <t xml:space="preserve">P3-056-WH-2x4-200M</t>
  </si>
  <si>
    <t xml:space="preserve">P3-056-WH-2x41M</t>
  </si>
  <si>
    <t xml:space="preserve">P3-056-WH-3x41M</t>
  </si>
  <si>
    <t xml:space="preserve">3mm*4mm (1m)</t>
  </si>
  <si>
    <t xml:space="preserve">P3-056-WH-4x61M</t>
  </si>
  <si>
    <t xml:space="preserve">4mm*6mm (1m)</t>
  </si>
  <si>
    <t xml:space="preserve">UV Flatbed Printer 8-Line Ink Tube 3x2mm  [Fittings &amp; PTFE Tube]</t>
  </si>
  <si>
    <t xml:space="preserve">P3-081</t>
  </si>
  <si>
    <t xml:space="preserve">Push-in Fitting Collet Clip  [Fittings &amp; PTFE Tube]</t>
  </si>
  <si>
    <t xml:space="preserve">P3-072-14-SET</t>
  </si>
  <si>
    <t xml:space="preserve">P3-072-3.5x2.5-BK-OXQ-P20</t>
  </si>
  <si>
    <t xml:space="preserve">O-ring</t>
  </si>
  <si>
    <t xml:space="preserve">3.5x2.5</t>
  </si>
  <si>
    <t xml:space="preserve">P3-072-38-GY-DG-MM-P5</t>
  </si>
  <si>
    <t xml:space="preserve">End cap</t>
  </si>
  <si>
    <t xml:space="preserve">P3-072-38-GY-KZ-S-MM</t>
  </si>
  <si>
    <t xml:space="preserve">Collet</t>
  </si>
  <si>
    <t xml:space="preserve">P3-072-38-SET</t>
  </si>
  <si>
    <t xml:space="preserve">P3-072-5.7x2.7-BK-OXQ-P16</t>
  </si>
  <si>
    <t xml:space="preserve">5.7x2.7</t>
  </si>
  <si>
    <t xml:space="preserve">P3-072-5.8x2.65-BK-OXQ-P16</t>
  </si>
  <si>
    <t xml:space="preserve">5.8x2.65</t>
  </si>
  <si>
    <t xml:space="preserve">P3-072-7.4x2.55-BK-OXQ-P50</t>
  </si>
  <si>
    <t xml:space="preserve">7.4x2.55</t>
  </si>
  <si>
    <t xml:space="preserve">P3-072-8.76x2.8-BK-OXQ-P100</t>
  </si>
  <si>
    <t xml:space="preserve">8.76x2.8</t>
  </si>
  <si>
    <t xml:space="preserve">P3-072-9.19x2.62-BK-OXQ-P100</t>
  </si>
  <si>
    <t xml:space="preserve">9.19x2.62</t>
  </si>
  <si>
    <t xml:space="preserve">P3-072-BK-CXK-4-P10</t>
  </si>
  <si>
    <t xml:space="preserve">C-clip 4mm</t>
  </si>
  <si>
    <t xml:space="preserve">P3-072-BK-DG-10-P5</t>
  </si>
  <si>
    <t xml:space="preserve">End cap 10mm</t>
  </si>
  <si>
    <t xml:space="preserve">P3-072-BK-DG-4-P4</t>
  </si>
  <si>
    <t xml:space="preserve">End cap 4mm</t>
  </si>
  <si>
    <t xml:space="preserve">P3-072-BK-DG-6-P5</t>
  </si>
  <si>
    <t xml:space="preserve">End cap 6mm</t>
  </si>
  <si>
    <t xml:space="preserve">P3-072-BK-DG-8-P5</t>
  </si>
  <si>
    <t xml:space="preserve">End cap 8mm</t>
  </si>
  <si>
    <t xml:space="preserve">P3-072-BK-KZ-10-P5</t>
  </si>
  <si>
    <t xml:space="preserve">Collet 10mm</t>
  </si>
  <si>
    <t xml:space="preserve">P3-072-BK-KZ-4</t>
  </si>
  <si>
    <t xml:space="preserve">Collet 4mm</t>
  </si>
  <si>
    <t xml:space="preserve">P3-072-BK-KZ-6-P5</t>
  </si>
  <si>
    <t xml:space="preserve">Collet 6mm</t>
  </si>
  <si>
    <t xml:space="preserve">P3-072-BK-KZ-6.35-P5</t>
  </si>
  <si>
    <t xml:space="preserve">Collet 6.35mm</t>
  </si>
  <si>
    <t xml:space="preserve">P3-072-BK-KZ-8</t>
  </si>
  <si>
    <t xml:space="preserve">Collet 8mm</t>
  </si>
  <si>
    <t xml:space="preserve">P3-072-BL-CXK-4-P10</t>
  </si>
  <si>
    <t xml:space="preserve">P3-072-BL-CXK-66.35-P10</t>
  </si>
  <si>
    <t xml:space="preserve">C-clip 6mm/6.35mm</t>
  </si>
  <si>
    <t xml:space="preserve">P3-072-GY-DG-6.35-P10</t>
  </si>
  <si>
    <t xml:space="preserve">End cap 6.35mm</t>
  </si>
  <si>
    <t xml:space="preserve">P3-072-GY-KZ-6.35-P5</t>
  </si>
  <si>
    <t xml:space="preserve">P3-072-LBKKGD-6SET</t>
  </si>
  <si>
    <t xml:space="preserve">Blue-white clip mount 6mm (set)</t>
  </si>
  <si>
    <t xml:space="preserve">P3-072-WH-DG-4-P4</t>
  </si>
  <si>
    <t xml:space="preserve">P3-072-WH-DG-6-P10</t>
  </si>
  <si>
    <t xml:space="preserve">P3-072-WH-DG-6.35-P10</t>
  </si>
  <si>
    <t xml:space="preserve">P3-072-WH-KZ-4-P4</t>
  </si>
  <si>
    <t xml:space="preserve">P3-072-WH-KZ-6-P10</t>
  </si>
  <si>
    <t xml:space="preserve">P3-072-WH-KZ-6.35-P5</t>
  </si>
  <si>
    <t xml:space="preserve">Low-Temp Double-Sided Matte PEI Plate (Bambu / Creality / Flashforge)  [Bed Surfaces &amp; Tapes]</t>
  </si>
  <si>
    <t xml:space="preserve">AD5M/PRO/AD5X low-temp double-sided plate PEI coated</t>
  </si>
  <si>
    <t xml:space="preserve">P3-064-AD5MPROAD5xDWLDBSMPEIPT-MM</t>
  </si>
  <si>
    <t xml:space="preserve">P3-064-CXK1S1V3-SE-SMYGMLDB-MM</t>
  </si>
  <si>
    <t xml:space="preserve">Creality K1/S1/V3 SE double-sided matte low-temp plate</t>
  </si>
  <si>
    <t xml:space="preserve">P3-064-GMLDQNB-TYB-MM</t>
  </si>
  <si>
    <t xml:space="preserve">Smooth low-temp universal plate universal</t>
  </si>
  <si>
    <t xml:space="preserve">Build Plate Adhesive Spray (washable)  [Bed Surfaces &amp; Tapes]</t>
  </si>
  <si>
    <t xml:space="preserve">150ML</t>
  </si>
  <si>
    <t xml:space="preserve">P3-122-150ML</t>
  </si>
  <si>
    <t xml:space="preserve">P3-122-300ML</t>
  </si>
  <si>
    <t xml:space="preserve">300ML</t>
  </si>
  <si>
    <t xml:space="preserve">P3-122-400ML</t>
  </si>
  <si>
    <t xml:space="preserve">400ML</t>
  </si>
  <si>
    <t xml:space="preserve">Heated Bed Silicone Leveling Column  [Bed Surfaces &amp; Tapes]</t>
  </si>
  <si>
    <t xml:space="preserve">OD 16mm H 16mm</t>
  </si>
  <si>
    <t xml:space="preserve">P3-066-BK-WJ16-GD16</t>
  </si>
  <si>
    <t xml:space="preserve">P3-066-BK-WJ16-GD18</t>
  </si>
  <si>
    <t xml:space="preserve">OD 16mm H 18mm</t>
  </si>
  <si>
    <t xml:space="preserve">P3-066-BL-WJ16-GD16</t>
  </si>
  <si>
    <t xml:space="preserve">P3-066-BL-WJ16-GD18</t>
  </si>
  <si>
    <t xml:space="preserve">P3-066-RD-WJ16-GD16</t>
  </si>
  <si>
    <t xml:space="preserve">P3-066-RD-WJ16-GD18</t>
  </si>
  <si>
    <t xml:space="preserve">P3-066-WH-WJ16-GD16</t>
  </si>
  <si>
    <t xml:space="preserve">P3-066-WH-WJ16-GD18</t>
  </si>
  <si>
    <t xml:space="preserve">P3-066-ZS-WJ16-GD16</t>
  </si>
  <si>
    <t xml:space="preserve">Brown OD 16mm H 16mm</t>
  </si>
  <si>
    <t xml:space="preserve">P3-066-ZS-WJ16-GD18</t>
  </si>
  <si>
    <t xml:space="preserve">Brown OD 16mm H 18mm</t>
  </si>
  <si>
    <t xml:space="preserve">P3-066-ZS-WJ16-GD23</t>
  </si>
  <si>
    <t xml:space="preserve">Brown OD 16mm H 23mm</t>
  </si>
  <si>
    <t xml:space="preserve">Blue High-Temp Masking Tape (roll)  [Bed Surfaces &amp; Tapes]</t>
  </si>
  <si>
    <t xml:space="preserve">160mm*30m</t>
  </si>
  <si>
    <t xml:space="preserve">P3-003-160x30M</t>
  </si>
  <si>
    <t xml:space="preserve">P3-003-24x54.8M</t>
  </si>
  <si>
    <t xml:space="preserve">24mm*54.8m</t>
  </si>
  <si>
    <t xml:space="preserve">P3-003-48x54.8M</t>
  </si>
  <si>
    <t xml:space="preserve">48mm*54.8m</t>
  </si>
  <si>
    <t xml:space="preserve">Blue High-Temp Masking Sheet  [Bed Surfaces &amp; Tapes]</t>
  </si>
  <si>
    <t xml:space="preserve">200mmx210mm</t>
  </si>
  <si>
    <t xml:space="preserve">P3-033-200x210</t>
  </si>
  <si>
    <t xml:space="preserve">P3-033-214x214</t>
  </si>
  <si>
    <t xml:space="preserve">214mmx214mm</t>
  </si>
  <si>
    <t xml:space="preserve">P3-033-300x300</t>
  </si>
  <si>
    <t xml:space="preserve">300mmx300mm</t>
  </si>
  <si>
    <t xml:space="preserve">Kapton Polyimide Tape (33m x 0.05mm, width 2-500mm)  [Bed Surfaces &amp; Tapes]</t>
  </si>
  <si>
    <t xml:space="preserve">KAP-10</t>
  </si>
  <si>
    <t xml:space="preserve">KAP-100</t>
  </si>
  <si>
    <t xml:space="preserve">KAP-105</t>
  </si>
  <si>
    <t xml:space="preserve">KAP-108</t>
  </si>
  <si>
    <t xml:space="preserve">KAP-11</t>
  </si>
  <si>
    <t xml:space="preserve">KAP-110</t>
  </si>
  <si>
    <t xml:space="preserve">KAP-115</t>
  </si>
  <si>
    <t xml:space="preserve">KAP-12</t>
  </si>
  <si>
    <t xml:space="preserve">KAP-120</t>
  </si>
  <si>
    <t xml:space="preserve">KAP-125</t>
  </si>
  <si>
    <t xml:space="preserve">KAP-13</t>
  </si>
  <si>
    <t xml:space="preserve">KAP-130</t>
  </si>
  <si>
    <t xml:space="preserve">KAP-135</t>
  </si>
  <si>
    <t xml:space="preserve">KAP-14</t>
  </si>
  <si>
    <t xml:space="preserve">KAP-140</t>
  </si>
  <si>
    <t xml:space="preserve">KAP-145</t>
  </si>
  <si>
    <t xml:space="preserve">KAP-15</t>
  </si>
  <si>
    <t xml:space="preserve">KAP-150</t>
  </si>
  <si>
    <t xml:space="preserve">KAP-155</t>
  </si>
  <si>
    <t xml:space="preserve">KAP-16</t>
  </si>
  <si>
    <t xml:space="preserve">KAP-160</t>
  </si>
  <si>
    <t xml:space="preserve">KAP-165</t>
  </si>
  <si>
    <t xml:space="preserve">KAP-17</t>
  </si>
  <si>
    <t xml:space="preserve">KAP-170</t>
  </si>
  <si>
    <t xml:space="preserve">KAP-175</t>
  </si>
  <si>
    <t xml:space="preserve">KAP-18</t>
  </si>
  <si>
    <t xml:space="preserve">KAP-180</t>
  </si>
  <si>
    <t xml:space="preserve">KAP-185</t>
  </si>
  <si>
    <t xml:space="preserve">KAP-19</t>
  </si>
  <si>
    <t xml:space="preserve">KAP-190</t>
  </si>
  <si>
    <t xml:space="preserve">KAP-195</t>
  </si>
  <si>
    <t xml:space="preserve">KAP-2</t>
  </si>
  <si>
    <t xml:space="preserve">KAP-20</t>
  </si>
  <si>
    <t xml:space="preserve">KAP-200</t>
  </si>
  <si>
    <t xml:space="preserve">KAP-205</t>
  </si>
  <si>
    <t xml:space="preserve">KAP-21</t>
  </si>
  <si>
    <t xml:space="preserve">KAP-210</t>
  </si>
  <si>
    <t xml:space="preserve">KAP-215</t>
  </si>
  <si>
    <t xml:space="preserve">KAP-22</t>
  </si>
  <si>
    <t xml:space="preserve">KAP-220</t>
  </si>
  <si>
    <t xml:space="preserve">KAP-225</t>
  </si>
  <si>
    <t xml:space="preserve">KAP-23</t>
  </si>
  <si>
    <t xml:space="preserve">KAP-230</t>
  </si>
  <si>
    <t xml:space="preserve">KAP-235</t>
  </si>
  <si>
    <t xml:space="preserve">KAP-24</t>
  </si>
  <si>
    <t xml:space="preserve">KAP-240</t>
  </si>
  <si>
    <t xml:space="preserve">KAP-245</t>
  </si>
  <si>
    <t xml:space="preserve">KAP-25</t>
  </si>
  <si>
    <t xml:space="preserve">KAP-250</t>
  </si>
  <si>
    <t xml:space="preserve">KAP-26</t>
  </si>
  <si>
    <t xml:space="preserve">KAP-27</t>
  </si>
  <si>
    <t xml:space="preserve">KAP-28</t>
  </si>
  <si>
    <t xml:space="preserve">KAP-29</t>
  </si>
  <si>
    <t xml:space="preserve">KAP-3</t>
  </si>
  <si>
    <t xml:space="preserve">KAP-30</t>
  </si>
  <si>
    <t xml:space="preserve">KAP-300</t>
  </si>
  <si>
    <t xml:space="preserve">KAP-31</t>
  </si>
  <si>
    <t xml:space="preserve">KAP-32</t>
  </si>
  <si>
    <t xml:space="preserve">KAP-33</t>
  </si>
  <si>
    <t xml:space="preserve">KAP-34</t>
  </si>
  <si>
    <t xml:space="preserve">KAP-35</t>
  </si>
  <si>
    <t xml:space="preserve">KAP-36</t>
  </si>
  <si>
    <t xml:space="preserve">KAP-37</t>
  </si>
  <si>
    <t xml:space="preserve">KAP-38</t>
  </si>
  <si>
    <t xml:space="preserve">KAP-39</t>
  </si>
  <si>
    <t xml:space="preserve">KAP-4</t>
  </si>
  <si>
    <t xml:space="preserve">KAP-40</t>
  </si>
  <si>
    <t xml:space="preserve">KAP-41</t>
  </si>
  <si>
    <t xml:space="preserve">KAP-42</t>
  </si>
  <si>
    <t xml:space="preserve">KAP-43</t>
  </si>
  <si>
    <t xml:space="preserve">KAP-44</t>
  </si>
  <si>
    <t xml:space="preserve">KAP-45</t>
  </si>
  <si>
    <t xml:space="preserve">KAP-46</t>
  </si>
  <si>
    <t xml:space="preserve">KAP-47</t>
  </si>
  <si>
    <t xml:space="preserve">KAP-48</t>
  </si>
  <si>
    <t xml:space="preserve">KAP-49</t>
  </si>
  <si>
    <t xml:space="preserve">49</t>
  </si>
  <si>
    <t xml:space="preserve">KAP-5</t>
  </si>
  <si>
    <t xml:space="preserve">KAP-50</t>
  </si>
  <si>
    <t xml:space="preserve">KAP-500</t>
  </si>
  <si>
    <t xml:space="preserve">KAP-55</t>
  </si>
  <si>
    <t xml:space="preserve">KAP-58</t>
  </si>
  <si>
    <t xml:space="preserve">KAP-6</t>
  </si>
  <si>
    <t xml:space="preserve">KAP-60</t>
  </si>
  <si>
    <t xml:space="preserve">KAP-65</t>
  </si>
  <si>
    <t xml:space="preserve">KAP-68</t>
  </si>
  <si>
    <t xml:space="preserve">KAP-7</t>
  </si>
  <si>
    <t xml:space="preserve">KAP-70</t>
  </si>
  <si>
    <t xml:space="preserve">KAP-75</t>
  </si>
  <si>
    <t xml:space="preserve">KAP-78</t>
  </si>
  <si>
    <t xml:space="preserve">KAP-8</t>
  </si>
  <si>
    <t xml:space="preserve">KAP-80</t>
  </si>
  <si>
    <t xml:space="preserve">KAP-85</t>
  </si>
  <si>
    <t xml:space="preserve">KAP-88</t>
  </si>
  <si>
    <t xml:space="preserve">KAP-9</t>
  </si>
  <si>
    <t xml:space="preserve">KAP-90</t>
  </si>
  <si>
    <t xml:space="preserve">KAP-95</t>
  </si>
  <si>
    <t xml:space="preserve">KAP-98</t>
  </si>
  <si>
    <t xml:space="preserve">PTFE High-Temp Tape 0.13mm  [Bed Surfaces &amp; Tapes]</t>
  </si>
  <si>
    <t xml:space="preserve">P3-118</t>
  </si>
  <si>
    <t xml:space="preserve">2020 / 2040 Timing Belt Tensioner  [Brackets &amp; Structural]</t>
  </si>
  <si>
    <t xml:space="preserve">2020 short arm 2GT 20T untoothed</t>
  </si>
  <si>
    <t xml:space="preserve">P3-102-K10-BK-2020-DB-2GT-20C-BDC-D-MM</t>
  </si>
  <si>
    <t xml:space="preserve">P3-102-K10-BK-2020-DB-2GT-20C-DC-D-MM</t>
  </si>
  <si>
    <t xml:space="preserve">2020 short arm 2GT 20T toothed</t>
  </si>
  <si>
    <t xml:space="preserve">P3-102-K10-BK-2040-SB-2GT-20C-DC-D-MM</t>
  </si>
  <si>
    <t xml:space="preserve">2040 Vertical plate 2GT 20T toothed</t>
  </si>
  <si>
    <t xml:space="preserve">P3-102-K10-SV-2020-DB-2GT-20C-BDC-D-MM</t>
  </si>
  <si>
    <t xml:space="preserve">P3-102-K10-SV-2020-DB-2GT-20C-DC-D-MM</t>
  </si>
  <si>
    <t xml:space="preserve">P3-102-K10-SV-2020-DB-3M-15C-DC-D-MM</t>
  </si>
  <si>
    <t xml:space="preserve">2020 short arm 3M 15T toothed</t>
  </si>
  <si>
    <t xml:space="preserve">P3-102-K6-BK-2020-2GT-20C-DC-D-MM</t>
  </si>
  <si>
    <t xml:space="preserve">2020 2GT 20T toothed</t>
  </si>
  <si>
    <t xml:space="preserve">P3-102-K6-BK-2020-DB-2GT-20C-BDC-D-MM</t>
  </si>
  <si>
    <t xml:space="preserve">P3-102-K6-BK-2020-DB-2GT-20C-DC-D-MM</t>
  </si>
  <si>
    <t xml:space="preserve">P3-102-K6-BK-2040-HB-2GT-20C-DC-D-MM-AK</t>
  </si>
  <si>
    <t xml:space="preserve">2040 Horizontal plate 2GT 20T toothed belt mm A type</t>
  </si>
  <si>
    <t xml:space="preserve">P3-102-K6-BK-2040-HB-2GT-20C-DC-D-MM-BK</t>
  </si>
  <si>
    <t xml:space="preserve">2040 Horizontal plate 2GT 20T toothed belt mm B type</t>
  </si>
  <si>
    <t xml:space="preserve">P3-102-K6-BK-2040-SB-2GT-20C-DC-D-MM</t>
  </si>
  <si>
    <t xml:space="preserve">P3-102-K6-BL-2020-DB-2GT-20C-DC-D-MM</t>
  </si>
  <si>
    <t xml:space="preserve">P3-102-K6-SV-2020-2GT-20C-DC-D-MM</t>
  </si>
  <si>
    <t xml:space="preserve">P3-102-K6-SV-2020-DB-2GT-20C-BDC-D-MM</t>
  </si>
  <si>
    <t xml:space="preserve">P3-102-K6-SV-2020-DB-2GT-20C-DC-D-MM</t>
  </si>
  <si>
    <t xml:space="preserve">P3-102-K6-SV-2020-DB-3M-15C-DC-D-MM</t>
  </si>
  <si>
    <t xml:space="preserve">P3-102-K6-SV-2040-HB-2GT-20C-DC-D-MM-AK</t>
  </si>
  <si>
    <t xml:space="preserve">P3-102-K9-BK-2020-DB-2GT-20C-DC-D-MM</t>
  </si>
  <si>
    <t xml:space="preserve">W 9</t>
  </si>
  <si>
    <t xml:space="preserve">P3-102-K9-BK-2040-SB-2GT-20C-DC-D-MM</t>
  </si>
  <si>
    <t xml:space="preserve">P3-102-K9-SV-2020-DB-2GT-20C-DC-D-MM</t>
  </si>
  <si>
    <t xml:space="preserve">2020 Profile L / T Flat Joining Plate  [Brackets &amp; Structural]</t>
  </si>
  <si>
    <t xml:space="preserve">Anodized brushed</t>
  </si>
  <si>
    <t xml:space="preserve">P3-084-BK-YHLS-L</t>
  </si>
  <si>
    <t xml:space="preserve">P3-084-BK-YHLS-T</t>
  </si>
  <si>
    <t xml:space="preserve">P3-084-SV-YH-L</t>
  </si>
  <si>
    <t xml:space="preserve">Anodized</t>
  </si>
  <si>
    <t xml:space="preserve">P3-084-SV-YH-T</t>
  </si>
  <si>
    <t xml:space="preserve">NEMA17 Motor Mount Plate (2020 profile)  [Brackets &amp; Structural]</t>
  </si>
  <si>
    <t xml:space="preserve">round hole</t>
  </si>
  <si>
    <t xml:space="preserve">P3-038-BK-CNC-YK-HD4</t>
  </si>
  <si>
    <t xml:space="preserve">P3-038-BK-CNC-ZK-HD4</t>
  </si>
  <si>
    <t xml:space="preserve">slotted hole</t>
  </si>
  <si>
    <t xml:space="preserve">P3-038-BK-PR-YK-HD3</t>
  </si>
  <si>
    <t xml:space="preserve">P3-038-BK-PR-YK-HD4</t>
  </si>
  <si>
    <t xml:space="preserve">P3-038-SV-CNC-ZK-HD4</t>
  </si>
  <si>
    <t xml:space="preserve">P3-038-SV-PR-YK-HD3</t>
  </si>
  <si>
    <t xml:space="preserve">P3-038-SV-PR-YK-HD4</t>
  </si>
  <si>
    <t xml:space="preserve">CR-10 Rear Sheet Metal Plate  [Brackets &amp; Structural]</t>
  </si>
  <si>
    <t xml:space="preserve">P3-109</t>
  </si>
  <si>
    <t xml:space="preserve">P3-109-B-+3LTJ</t>
  </si>
  <si>
    <t xml:space="preserve">Plate +3 -wheel kit</t>
  </si>
  <si>
    <t xml:space="preserve">D-Cut Pulley Shaft 5mm  [Brackets &amp; Structural]</t>
  </si>
  <si>
    <t xml:space="preserve">P3-111-30</t>
  </si>
  <si>
    <t xml:space="preserve">P3-111-35</t>
  </si>
  <si>
    <t xml:space="preserve">LCD / SLA / DLP Z-Lift Mount  [Brackets &amp; Structural]</t>
  </si>
  <si>
    <t xml:space="preserve">P3-063</t>
  </si>
  <si>
    <t xml:space="preserve">MGN12 Rail Mount (2020 / 2040, BLV Ender-3)  [Brackets &amp; Structural]</t>
  </si>
  <si>
    <t xml:space="preserve">For MGN12 &amp; 2020 Al profile</t>
  </si>
  <si>
    <t xml:space="preserve">P3-110-BK-SYMGN12H2020LXC</t>
  </si>
  <si>
    <t xml:space="preserve">P3-110-BK-SYMGN12H2040LXC</t>
  </si>
  <si>
    <t xml:space="preserve">For MGN12 &amp; 2040 Al profile</t>
  </si>
  <si>
    <t xml:space="preserve">P3-110-BK-SYMGN9H2020LXC</t>
  </si>
  <si>
    <t xml:space="preserve">For MGN9 &amp; 2020 Al profile</t>
  </si>
  <si>
    <t xml:space="preserve">P3-110-BK-SYMGN9H2040LXC</t>
  </si>
  <si>
    <t xml:space="preserve">For MGN9 &amp; 2040 Al profile</t>
  </si>
  <si>
    <t xml:space="preserve">P3-110-SV-SYMGN12H2020LXC</t>
  </si>
  <si>
    <t xml:space="preserve">P3-110-SV-SYMGN12H2040LXC</t>
  </si>
  <si>
    <t xml:space="preserve">P3-110-SV-SYMGN9H2020LXC</t>
  </si>
  <si>
    <t xml:space="preserve">P3-110-SV-SYMGN9H2040LXC</t>
  </si>
  <si>
    <t xml:space="preserve">NEMA23 Gear Motor Bracket Plate 125x80x6mm  [Brackets &amp; Structural]</t>
  </si>
  <si>
    <t xml:space="preserve">P3-126</t>
  </si>
  <si>
    <t xml:space="preserve">T8 Lead Screw Z-Axis Handwheel, 8mm Bore  [Brackets &amp; Structural]</t>
  </si>
  <si>
    <t xml:space="preserve">P3-035-BK</t>
  </si>
  <si>
    <t xml:space="preserve">P3-035-BK-PSB</t>
  </si>
  <si>
    <t xml:space="preserve">with handle</t>
  </si>
  <si>
    <t xml:space="preserve">P3-035-SV</t>
  </si>
  <si>
    <t xml:space="preserve">Ultimaker 2 Original Molded Slider Block  [Brackets &amp; Structural]</t>
  </si>
  <si>
    <t xml:space="preserve">Plastic parts only</t>
  </si>
  <si>
    <t xml:space="preserve">P3-034-BK-DDSLJ</t>
  </si>
  <si>
    <t xml:space="preserve">P3-034-BK-SLJ-+SMTT-+NH</t>
  </si>
  <si>
    <t xml:space="preserve">Plastic parts + graphite bushing + torsion spring</t>
  </si>
  <si>
    <t xml:space="preserve">P3-034-BK-SLJ-+SMTT-+NH-+TBD-22J</t>
  </si>
  <si>
    <t xml:space="preserve">Plastic parts + graphite bushing + torsion spring + timing belt 22 pcs</t>
  </si>
  <si>
    <t xml:space="preserve">P3-034-BK-SLJ-+TT-+NH</t>
  </si>
  <si>
    <t xml:space="preserve">Plastic parts + brass bushing + torsion spring</t>
  </si>
  <si>
    <t xml:space="preserve">P3-034-WH-DDSLJ</t>
  </si>
  <si>
    <t xml:space="preserve">P3-034-WH-SLJ-+SMTT-+NH</t>
  </si>
  <si>
    <t xml:space="preserve">P3-034-WH-SLJ-+TT-+NH</t>
  </si>
  <si>
    <t xml:space="preserve">Ultimaker 2 Belt Aluminum Slider, 8mm Shaft  [Brackets &amp; Structural]</t>
  </si>
  <si>
    <t xml:space="preserve">P3-043</t>
  </si>
  <si>
    <t xml:space="preserve">Delta Effector Rod-End Connector  [Brackets &amp; Structural]</t>
  </si>
  <si>
    <t xml:space="preserve">M3 total L 50mm</t>
  </si>
  <si>
    <t xml:space="preserve">P3-040-BK-AL-M3ZZ50</t>
  </si>
  <si>
    <t xml:space="preserve">P3-040-M3ZZ40-NL</t>
  </si>
  <si>
    <t xml:space="preserve">M3 total L 40mm Nylon</t>
  </si>
  <si>
    <t xml:space="preserve">P3-040-SV-AL-M3ZZ40</t>
  </si>
  <si>
    <t xml:space="preserve">M3 total L 40mm</t>
  </si>
  <si>
    <t xml:space="preserve">P3-040-SV-AL-M3ZZ50</t>
  </si>
  <si>
    <t xml:space="preserve">Square 3-Way Shaft Clamp Block  [Brackets &amp; Structural]</t>
  </si>
  <si>
    <t xml:space="preserve">all 3 holes 10</t>
  </si>
  <si>
    <t xml:space="preserve">P3-078-SKDS10</t>
  </si>
  <si>
    <t xml:space="preserve">P3-078-SKDS8</t>
  </si>
  <si>
    <t xml:space="preserve">all 3 holes 8</t>
  </si>
  <si>
    <t xml:space="preserve">Aluminum 6-Sided Nut Cube Connector  [Brackets &amp; Structural]</t>
  </si>
  <si>
    <t xml:space="preserve">10x10x10</t>
  </si>
  <si>
    <t xml:space="preserve">P3-105-10x10x10-BK-M3</t>
  </si>
  <si>
    <t xml:space="preserve">P3-105-10x10x10-SV-M3</t>
  </si>
  <si>
    <t xml:space="preserve">P3-105-12x12x12-BK-M4</t>
  </si>
  <si>
    <t xml:space="preserve">12x12x12</t>
  </si>
  <si>
    <t xml:space="preserve">P3-105-12x12x12-SV-M4</t>
  </si>
  <si>
    <t xml:space="preserve">P3-105-15x15x15-BK-M5</t>
  </si>
  <si>
    <t xml:space="preserve">15x15x15</t>
  </si>
  <si>
    <t xml:space="preserve">P3-105-15x15x15-SV-M5</t>
  </si>
  <si>
    <t xml:space="preserve">P3-105-20x20x20-BK-M6</t>
  </si>
  <si>
    <t xml:space="preserve">20x20x20</t>
  </si>
  <si>
    <t xml:space="preserve">P3-105-20x20x20-BL-Q-M6</t>
  </si>
  <si>
    <t xml:space="preserve">Shallow M6</t>
  </si>
  <si>
    <t xml:space="preserve">P3-105-20x20x20-BL-S-M6</t>
  </si>
  <si>
    <t xml:space="preserve">Deep M6</t>
  </si>
  <si>
    <t xml:space="preserve">P3-105-20x20x20-JS-M6</t>
  </si>
  <si>
    <t xml:space="preserve">Gold M6</t>
  </si>
  <si>
    <t xml:space="preserve">P3-105-20x20x20-LS-M6</t>
  </si>
  <si>
    <t xml:space="preserve">Green M6</t>
  </si>
  <si>
    <t xml:space="preserve">P3-105-20x20x20-RD-F-M6</t>
  </si>
  <si>
    <t xml:space="preserve">Pink M6</t>
  </si>
  <si>
    <t xml:space="preserve">P3-105-20x20x20-RD-M6</t>
  </si>
  <si>
    <t xml:space="preserve">P3-105-20x20x20-SV-M6</t>
  </si>
  <si>
    <t xml:space="preserve">P3-105-20x20x20-ZS-M6</t>
  </si>
  <si>
    <t xml:space="preserve">Purple M6</t>
  </si>
  <si>
    <t xml:space="preserve">P3-105-25x25x25-BK-M8</t>
  </si>
  <si>
    <t xml:space="preserve">25x25x25</t>
  </si>
  <si>
    <t xml:space="preserve">P3-105-25x25x25-SV-M8</t>
  </si>
  <si>
    <t xml:space="preserve">P3-105-30x30x30-BK-M10</t>
  </si>
  <si>
    <t xml:space="preserve">30x30x30</t>
  </si>
  <si>
    <t xml:space="preserve">P3-105-30x30x30-SV-M10</t>
  </si>
  <si>
    <t xml:space="preserve">Aluminum Profile Joining Plate (L / T / Cross, 4-12 holes)  [Brackets &amp; Structural]</t>
  </si>
  <si>
    <t xml:space="preserve">Anodized white</t>
  </si>
  <si>
    <t xml:space="preserve">5 holes</t>
  </si>
  <si>
    <t xml:space="preserve">PLT-L-1515-5H-PR-WH</t>
  </si>
  <si>
    <t xml:space="preserve">PLT-L-2020-4H-PR-WH</t>
  </si>
  <si>
    <t xml:space="preserve">PLT-L-2020-5H-BK-CS</t>
  </si>
  <si>
    <t xml:space="preserve">Countersunk</t>
  </si>
  <si>
    <t xml:space="preserve">PLT-L-2020-5H-CNC-BBK</t>
  </si>
  <si>
    <t xml:space="preserve">Anodized brushed black</t>
  </si>
  <si>
    <t xml:space="preserve">PLT-L-2020-5H-CNC-SV</t>
  </si>
  <si>
    <t xml:space="preserve">PLT-L-2020-5H-PR-BBK</t>
  </si>
  <si>
    <t xml:space="preserve">PLT-L-2020-5H-PR-BBK-P10</t>
  </si>
  <si>
    <t xml:space="preserve">PLT-L-2020-5H-PR-BK-KA</t>
  </si>
  <si>
    <t xml:space="preserve">PLT-L-2020-5H-PR-BL</t>
  </si>
  <si>
    <t xml:space="preserve">Anodized blue</t>
  </si>
  <si>
    <t xml:space="preserve">PLT-L-2020-5H-PR-GBK</t>
  </si>
  <si>
    <t xml:space="preserve">PLT-L-2020-5H-PR-GN</t>
  </si>
  <si>
    <t xml:space="preserve">Anodized green</t>
  </si>
  <si>
    <t xml:space="preserve">PLT-L-2020-5H-PR-RD</t>
  </si>
  <si>
    <t xml:space="preserve">Anodized red</t>
  </si>
  <si>
    <t xml:space="preserve">PLT-L-2020-5H-PR-SV</t>
  </si>
  <si>
    <t xml:space="preserve">PLT-L-2020-5H-PR-SV-EU-KA</t>
  </si>
  <si>
    <t xml:space="preserve">EU set A</t>
  </si>
  <si>
    <t xml:space="preserve">PLT-L-2020-5H-PR-SV-EU-KB</t>
  </si>
  <si>
    <t xml:space="preserve">EU set B</t>
  </si>
  <si>
    <t xml:space="preserve">PLT-L-2020-5H-PR-YL</t>
  </si>
  <si>
    <t xml:space="preserve">Anodized yellow</t>
  </si>
  <si>
    <t xml:space="preserve">PLT-L-2020-5H-SV-CS</t>
  </si>
  <si>
    <t xml:space="preserve">PLT-L-2040-12H-BK-K</t>
  </si>
  <si>
    <t xml:space="preserve">12 holes</t>
  </si>
  <si>
    <t xml:space="preserve">PLT-L-2040-7H-PR-WH</t>
  </si>
  <si>
    <t xml:space="preserve">7 holes</t>
  </si>
  <si>
    <t xml:space="preserve">PLT-L-204040-12H-PR-BK</t>
  </si>
  <si>
    <t xml:space="preserve">2040/40</t>
  </si>
  <si>
    <t xml:space="preserve">PLT-L-204040-12H-PR-WH</t>
  </si>
  <si>
    <t xml:space="preserve">PLT-L-3030-4H-PR-WH</t>
  </si>
  <si>
    <t xml:space="preserve">PLT-L-3030-5H-CNC-BK</t>
  </si>
  <si>
    <t xml:space="preserve">PLT-L-3030-5H-CNC-WH</t>
  </si>
  <si>
    <t xml:space="preserve">PLT-L-3030-5H-PR-BK-D6.5</t>
  </si>
  <si>
    <t xml:space="preserve">hole Dia 6.5</t>
  </si>
  <si>
    <t xml:space="preserve">PLT-L-3030-5H-PR-BK-D8.5</t>
  </si>
  <si>
    <t xml:space="preserve">hole Dia 8.5</t>
  </si>
  <si>
    <t xml:space="preserve">PLT-L-3030-5H-PR-WH</t>
  </si>
  <si>
    <t xml:space="preserve">PLT-L-3030-5H-PR-WH-EU-K</t>
  </si>
  <si>
    <t xml:space="preserve">EU kit</t>
  </si>
  <si>
    <t xml:space="preserve">PLT-L-3030-7H-PR-WH</t>
  </si>
  <si>
    <t xml:space="preserve">PLT-L-3060-6H-PR-WH</t>
  </si>
  <si>
    <t xml:space="preserve">6 holes</t>
  </si>
  <si>
    <t xml:space="preserve">PLT-L-3060-7H-PR-WH</t>
  </si>
  <si>
    <t xml:space="preserve">PLT-L-306060-12H-PR-WH</t>
  </si>
  <si>
    <t xml:space="preserve">3060/60</t>
  </si>
  <si>
    <t xml:space="preserve">PLT-L-4040-4H-PR-WH</t>
  </si>
  <si>
    <t xml:space="preserve">PLT-L-4040-5H-PR-BK</t>
  </si>
  <si>
    <t xml:space="preserve">PLT-L-4040-5H-PR-WH</t>
  </si>
  <si>
    <t xml:space="preserve">PLT-L-4040-5H-PR-WH-EU-KA</t>
  </si>
  <si>
    <t xml:space="preserve">EU A kit</t>
  </si>
  <si>
    <t xml:space="preserve">PLT-L-4040-5H-PR-WH-EU-KB</t>
  </si>
  <si>
    <t xml:space="preserve">EU B kit</t>
  </si>
  <si>
    <t xml:space="preserve">PLT-L-4040-7H-PR-WH</t>
  </si>
  <si>
    <t xml:space="preserve">PLT-L-404080-6H-PR-WH</t>
  </si>
  <si>
    <t xml:space="preserve">4040/80</t>
  </si>
  <si>
    <t xml:space="preserve">PLT-L-4080-7H-PR-WH</t>
  </si>
  <si>
    <t xml:space="preserve">4080</t>
  </si>
  <si>
    <t xml:space="preserve">PLT-L-408080-12H-PR-BK</t>
  </si>
  <si>
    <t xml:space="preserve">4080/80</t>
  </si>
  <si>
    <t xml:space="preserve">PLT-L-408080-12H-PR-WH</t>
  </si>
  <si>
    <t xml:space="preserve">PLT-L-4545-5H-PR-WH</t>
  </si>
  <si>
    <t xml:space="preserve">PLT-L-4590-7H-PR-WH</t>
  </si>
  <si>
    <t xml:space="preserve">4590</t>
  </si>
  <si>
    <t xml:space="preserve">PLT-L-459090-12H-PR-WH</t>
  </si>
  <si>
    <t xml:space="preserve">4590/90</t>
  </si>
  <si>
    <t xml:space="preserve">PLT-T-1515-5H-PR-WH</t>
  </si>
  <si>
    <t xml:space="preserve">PLT-T-2020-5H-CNC-BBK</t>
  </si>
  <si>
    <t xml:space="preserve">PLT-T-2020-5H-CNC-SV</t>
  </si>
  <si>
    <t xml:space="preserve">PLT-T-2020-5H-PR-BBK</t>
  </si>
  <si>
    <t xml:space="preserve">PLT-T-2020-5H-PR-BL</t>
  </si>
  <si>
    <t xml:space="preserve">PLT-T-2020-5H-PR-GBK</t>
  </si>
  <si>
    <t xml:space="preserve">PLT-T-2020-5H-PR-GN</t>
  </si>
  <si>
    <t xml:space="preserve">PLT-T-2020-5H-PR-RD</t>
  </si>
  <si>
    <t xml:space="preserve">PLT-T-2020-5H-PR-SV</t>
  </si>
  <si>
    <t xml:space="preserve">PLT-T-2020-5H-PR-WH</t>
  </si>
  <si>
    <t xml:space="preserve">PLT-T-2020-5H-PR-YL</t>
  </si>
  <si>
    <t xml:space="preserve">PLT-T-2040-8H-PR-WH</t>
  </si>
  <si>
    <t xml:space="preserve">8 holes</t>
  </si>
  <si>
    <t xml:space="preserve">PLT-T-204040-12H-PR-WH</t>
  </si>
  <si>
    <t xml:space="preserve">PLT-T-3030-4H-PR-WH</t>
  </si>
  <si>
    <t xml:space="preserve">PLT-T-3030-5H-PR-BK-D6.5</t>
  </si>
  <si>
    <t xml:space="preserve">PLT-T-3030-5H-PR-BK-D8.5</t>
  </si>
  <si>
    <t xml:space="preserve">PLT-T-3030-5H-PR-WH-D6.5</t>
  </si>
  <si>
    <t xml:space="preserve">PLT-T-3030-5H-PR-WH-D8.5</t>
  </si>
  <si>
    <t xml:space="preserve">PLT-T-3030-6H-PR-WH</t>
  </si>
  <si>
    <t xml:space="preserve">PLT-T-3060-7H-PR-WH</t>
  </si>
  <si>
    <t xml:space="preserve">PLT-T-3060-8H-PR-WH</t>
  </si>
  <si>
    <t xml:space="preserve">PLT-T-306060-12H-PR-WH</t>
  </si>
  <si>
    <t xml:space="preserve">PLT-T-4040-4H-PR-WH</t>
  </si>
  <si>
    <t xml:space="preserve">PLT-T-4040-5H-PR-BK</t>
  </si>
  <si>
    <t xml:space="preserve">PLT-T-4040-5H-PR-BK-EU-K</t>
  </si>
  <si>
    <t xml:space="preserve">PLT-T-4040-5H-PR-WH</t>
  </si>
  <si>
    <t xml:space="preserve">PLT-T-4040-6H-PR-WH</t>
  </si>
  <si>
    <t xml:space="preserve">PLT-T-4040-7H-PR-WH</t>
  </si>
  <si>
    <t xml:space="preserve">PLT-T-4080-8H-PR-WH</t>
  </si>
  <si>
    <t xml:space="preserve">PLT-T-408080-12H-PR-BK</t>
  </si>
  <si>
    <t xml:space="preserve">PLT-T-408080-12H-PR-WH</t>
  </si>
  <si>
    <t xml:space="preserve">PLT-T-4545-5H-PR-WH</t>
  </si>
  <si>
    <t xml:space="preserve">PLT-T-4590-8H-PR-WH</t>
  </si>
  <si>
    <t xml:space="preserve">PLT-T-459090-12H-PR-WH</t>
  </si>
  <si>
    <t xml:space="preserve">PLT-X-1515-7H-PR-WH</t>
  </si>
  <si>
    <t xml:space="preserve">cross</t>
  </si>
  <si>
    <t xml:space="preserve">PLT-X-2020-7H-PR-WH</t>
  </si>
  <si>
    <t xml:space="preserve">PLT-X-2040-12H-PR-WH</t>
  </si>
  <si>
    <t xml:space="preserve">PLT-X-2040-16H-PR-WH</t>
  </si>
  <si>
    <t xml:space="preserve">16 holes</t>
  </si>
  <si>
    <t xml:space="preserve">PLT-X-3030-7H-PR-WH</t>
  </si>
  <si>
    <t xml:space="preserve">PLT-X-3060-12H-PR-WH</t>
  </si>
  <si>
    <t xml:space="preserve">PLT-X-4040-7H-PR-WH</t>
  </si>
  <si>
    <t xml:space="preserve">PLT-X-4080-12H-PR-WH</t>
  </si>
  <si>
    <t xml:space="preserve">PLT-X-4545-7H-PR-WH</t>
  </si>
  <si>
    <t xml:space="preserve">PLT-X-4590-12H-PR-WH</t>
  </si>
  <si>
    <t xml:space="preserve">PLT-X-6060-16H-PR-WH</t>
  </si>
  <si>
    <t xml:space="preserve">PLT-X-8080-16H-PR-WH</t>
  </si>
  <si>
    <t xml:space="preserve">PLT-X-9090-16H-PR-WH</t>
  </si>
  <si>
    <t xml:space="preserve">9090</t>
  </si>
  <si>
    <t xml:space="preserve">PLA Filament 1.75mm 1kg  [Filament &amp; Tools]</t>
  </si>
  <si>
    <t xml:space="preserve">P3-120-BK</t>
  </si>
  <si>
    <t xml:space="preserve">P3-120-BL</t>
  </si>
  <si>
    <t xml:space="preserve">P3-120-RD-PLA</t>
  </si>
  <si>
    <t xml:space="preserve">PLA</t>
  </si>
  <si>
    <t xml:space="preserve">P3-120-SLS</t>
  </si>
  <si>
    <t xml:space="preserve">Dark green</t>
  </si>
  <si>
    <t xml:space="preserve">P3-120-YGCS</t>
  </si>
  <si>
    <t xml:space="preserve">Fluorescent orange</t>
  </si>
  <si>
    <t xml:space="preserve">P3-120-YGLS</t>
  </si>
  <si>
    <t xml:space="preserve">Glow green</t>
  </si>
  <si>
    <t xml:space="preserve">Filament Cleaner 1.75 / 3mm  [Filament &amp; Tools]</t>
  </si>
  <si>
    <t xml:space="preserve">P3-112</t>
  </si>
  <si>
    <t xml:space="preserve">Filament Connector 1.75mm  [Filament &amp; Tools]</t>
  </si>
  <si>
    <t xml:space="preserve">P3-125-BK</t>
  </si>
  <si>
    <t xml:space="preserve">P3-125-RD</t>
  </si>
  <si>
    <t xml:space="preserve">P3-125-SV</t>
  </si>
  <si>
    <t xml:space="preserve">Silicone Heater Pad, Round  [Round]</t>
  </si>
  <si>
    <t xml:space="preserve">Size (mm)</t>
  </si>
  <si>
    <t xml:space="preserve">110V</t>
  </si>
  <si>
    <t xml:space="preserve">100W</t>
  </si>
  <si>
    <t xml:space="preserve">HPR-D100-BK-110V-100W</t>
  </si>
  <si>
    <t xml:space="preserve">HPR-D100-RD-110V-100W</t>
  </si>
  <si>
    <t xml:space="preserve">HPR-D120-BK-110V-50W</t>
  </si>
  <si>
    <t xml:space="preserve">D120</t>
  </si>
  <si>
    <t xml:space="preserve">HPR-D120-BK-220V-50W</t>
  </si>
  <si>
    <t xml:space="preserve">HPR-D120-RD-110V-50W</t>
  </si>
  <si>
    <t xml:space="preserve">HPR-D120-RD-220V-50W</t>
  </si>
  <si>
    <t xml:space="preserve">HPR-D150-BK-12V-200W</t>
  </si>
  <si>
    <t xml:space="preserve">D150</t>
  </si>
  <si>
    <t xml:space="preserve">HPR-D150-BK-220V-100W</t>
  </si>
  <si>
    <t xml:space="preserve">HPR-D150-BK-230V-350W</t>
  </si>
  <si>
    <t xml:space="preserve">230V</t>
  </si>
  <si>
    <t xml:space="preserve">350W</t>
  </si>
  <si>
    <t xml:space="preserve">HPR-D150-RD-12V-200W</t>
  </si>
  <si>
    <t xml:space="preserve">HPR-D150-RD-220V-100W</t>
  </si>
  <si>
    <t xml:space="preserve">HPR-D150-RD-230V-350W</t>
  </si>
  <si>
    <t xml:space="preserve">HPR-D160-BK-110V-100W</t>
  </si>
  <si>
    <t xml:space="preserve">D160</t>
  </si>
  <si>
    <t xml:space="preserve">HPR-D160-BK-220V-100W</t>
  </si>
  <si>
    <t xml:space="preserve">HPR-D160-BK-24V-100W</t>
  </si>
  <si>
    <t xml:space="preserve">HPR-D160-RD-220V-100W</t>
  </si>
  <si>
    <t xml:space="preserve">HPR-D160-RD-24V-100W</t>
  </si>
  <si>
    <t xml:space="preserve">HPR-D180-BK-12V-200W</t>
  </si>
  <si>
    <t xml:space="preserve">D180</t>
  </si>
  <si>
    <t xml:space="preserve">HPR-D180-BK-220V-200W</t>
  </si>
  <si>
    <t xml:space="preserve">HPR-D180-RD-12V-200W</t>
  </si>
  <si>
    <t xml:space="preserve">HPR-D180-RD-220V-100W</t>
  </si>
  <si>
    <t xml:space="preserve">HPR-D180-RD-220V-200W</t>
  </si>
  <si>
    <t xml:space="preserve">HPR-D200-BK-110V-140W</t>
  </si>
  <si>
    <t xml:space="preserve">D200</t>
  </si>
  <si>
    <t xml:space="preserve">140W</t>
  </si>
  <si>
    <t xml:space="preserve">HPR-D200-BK-12V-100W</t>
  </si>
  <si>
    <t xml:space="preserve">HPR-D200-BK-12V-200W</t>
  </si>
  <si>
    <t xml:space="preserve">HPR-D200-BK-220V-150W</t>
  </si>
  <si>
    <t xml:space="preserve">HPR-D200-BK-230V-350W</t>
  </si>
  <si>
    <t xml:space="preserve">HPR-D200-BK-24V-100W</t>
  </si>
  <si>
    <t xml:space="preserve">HPR-D200-RD-110V-140W</t>
  </si>
  <si>
    <t xml:space="preserve">HPR-D200-RD-12V-100W</t>
  </si>
  <si>
    <t xml:space="preserve">HPR-D200-RD-12V-200W</t>
  </si>
  <si>
    <t xml:space="preserve">HPR-D200-RD-220V-100W</t>
  </si>
  <si>
    <t xml:space="preserve">HPR-D200-RD-220V-125W</t>
  </si>
  <si>
    <t xml:space="preserve">125W</t>
  </si>
  <si>
    <t xml:space="preserve">HPR-D200-RD-220V-150W</t>
  </si>
  <si>
    <t xml:space="preserve">HPR-D200-RD-230V-350W</t>
  </si>
  <si>
    <t xml:space="preserve">HPR-D240-BK-12V-200W</t>
  </si>
  <si>
    <t xml:space="preserve">D240</t>
  </si>
  <si>
    <t xml:space="preserve">HPR-D240-BK-220V-200W</t>
  </si>
  <si>
    <t xml:space="preserve">HPR-D240-BK-230V-200W</t>
  </si>
  <si>
    <t xml:space="preserve">HPR-D240-RD-12V-200W</t>
  </si>
  <si>
    <t xml:space="preserve">HPR-D240-RD-220V-200W</t>
  </si>
  <si>
    <t xml:space="preserve">HPR-D240-RD-230V-200W</t>
  </si>
  <si>
    <t xml:space="preserve">HPR-D250-BK-220V-400W</t>
  </si>
  <si>
    <t xml:space="preserve">D250</t>
  </si>
  <si>
    <t xml:space="preserve">HPR-D250-RD-12V-200W</t>
  </si>
  <si>
    <t xml:space="preserve">HPR-D250-RD-220V-200W</t>
  </si>
  <si>
    <t xml:space="preserve">HPR-D250-RD-220V-400W</t>
  </si>
  <si>
    <t xml:space="preserve">HPR-D265-BK-230V-400W</t>
  </si>
  <si>
    <t xml:space="preserve">D265</t>
  </si>
  <si>
    <t xml:space="preserve">HPR-D265-RD-230V-400W</t>
  </si>
  <si>
    <t xml:space="preserve">HPR-D285-RD-220V-400W</t>
  </si>
  <si>
    <t xml:space="preserve">D285</t>
  </si>
  <si>
    <t xml:space="preserve">HPR-D300-BK-220V-300W</t>
  </si>
  <si>
    <t xml:space="preserve">D300</t>
  </si>
  <si>
    <t xml:space="preserve">HPR-D300-RD-220V-300W</t>
  </si>
  <si>
    <t xml:space="preserve">HPR-D320-RD-220V-300W</t>
  </si>
  <si>
    <t xml:space="preserve">D320</t>
  </si>
  <si>
    <t xml:space="preserve">HPR-D350-RD-110V-300W</t>
  </si>
  <si>
    <t xml:space="preserve">D350</t>
  </si>
  <si>
    <t xml:space="preserve">HPR-D350-RD-220V-300W</t>
  </si>
  <si>
    <t xml:space="preserve">HPR-D350-RD-220V-350W</t>
  </si>
  <si>
    <t xml:space="preserve">HPR-D380-BK-220V-500W</t>
  </si>
  <si>
    <t xml:space="preserve">D380</t>
  </si>
  <si>
    <t xml:space="preserve">HPR-D380-RD-220V-350W</t>
  </si>
  <si>
    <t xml:space="preserve">HPR-D380-RD-220V-500W</t>
  </si>
  <si>
    <t xml:space="preserve">HPR-D400-BK-230V-600W</t>
  </si>
  <si>
    <t xml:space="preserve">D400</t>
  </si>
  <si>
    <t xml:space="preserve">600W</t>
  </si>
  <si>
    <t xml:space="preserve">HPR-D400-RD-230V-600W</t>
  </si>
  <si>
    <t xml:space="preserve">HPR-D500-RD-110V-880W</t>
  </si>
  <si>
    <t xml:space="preserve">D500</t>
  </si>
  <si>
    <t xml:space="preserve">880W</t>
  </si>
  <si>
    <t xml:space="preserve">MK3 Aluminum Heated Bed Plate  [Square / Rectangular]</t>
  </si>
  <si>
    <t xml:space="preserve">100x100x2mm</t>
  </si>
  <si>
    <t xml:space="preserve">MK3-AL-100x100x2</t>
  </si>
  <si>
    <t xml:space="preserve">MK3-AL-214x214x2</t>
  </si>
  <si>
    <t xml:space="preserve">214x214x2mm</t>
  </si>
  <si>
    <t xml:space="preserve">MK3-AL-214x214x3</t>
  </si>
  <si>
    <t xml:space="preserve">214x214x3mm</t>
  </si>
  <si>
    <t xml:space="preserve">Silicone Heater Pad, Square / Rectangular  [Square / Rectangular]</t>
  </si>
  <si>
    <t xml:space="preserve">100x200</t>
  </si>
  <si>
    <t xml:space="preserve">HP-100x200-BK-12V-50W</t>
  </si>
  <si>
    <t xml:space="preserve">HP-100x200-RD-12V-50W</t>
  </si>
  <si>
    <t xml:space="preserve">HP-100x200-RD-220V-50W</t>
  </si>
  <si>
    <t xml:space="preserve">HP-100x300-BK-220V-30W</t>
  </si>
  <si>
    <t xml:space="preserve">100x300</t>
  </si>
  <si>
    <t xml:space="preserve">HP-100x300-RD-220V-30W</t>
  </si>
  <si>
    <t xml:space="preserve">HP-150x370-RD-24V-150W</t>
  </si>
  <si>
    <t xml:space="preserve">150x370</t>
  </si>
  <si>
    <t xml:space="preserve">HP-155x230-BK-12V-150W</t>
  </si>
  <si>
    <t xml:space="preserve">155x230</t>
  </si>
  <si>
    <t xml:space="preserve">HP-155x230-RD-12V-150W</t>
  </si>
  <si>
    <t xml:space="preserve">HP-200x200-BK-110V-100W</t>
  </si>
  <si>
    <t xml:space="preserve">200x200</t>
  </si>
  <si>
    <t xml:space="preserve">HP-200x200-BK-110V-200W</t>
  </si>
  <si>
    <t xml:space="preserve">HP-200x200-BK-120V-200W</t>
  </si>
  <si>
    <t xml:space="preserve">120V</t>
  </si>
  <si>
    <t xml:space="preserve">HP-200x200-BK-12V-100W</t>
  </si>
  <si>
    <t xml:space="preserve">HP-200x200-BK-12V-200W</t>
  </si>
  <si>
    <t xml:space="preserve">HP-200x200-BK-220V-100W</t>
  </si>
  <si>
    <t xml:space="preserve">HP-200x200-BK-220V-150W</t>
  </si>
  <si>
    <t xml:space="preserve">HP-200x200-BK-220V-200W</t>
  </si>
  <si>
    <t xml:space="preserve">HP-200x200-BK-220V-250W</t>
  </si>
  <si>
    <t xml:space="preserve">250W</t>
  </si>
  <si>
    <t xml:space="preserve">HP-200x200-BK-240V-250W</t>
  </si>
  <si>
    <t xml:space="preserve">240V</t>
  </si>
  <si>
    <t xml:space="preserve">HP-200x200-BK-24V-100W</t>
  </si>
  <si>
    <t xml:space="preserve">HP-200x200-BK-24V-200W</t>
  </si>
  <si>
    <t xml:space="preserve">HP-200x200-RD-110V-100W</t>
  </si>
  <si>
    <t xml:space="preserve">HP-200x200-RD-110V-200W</t>
  </si>
  <si>
    <t xml:space="preserve">HP-200x200-RD-120V-200W</t>
  </si>
  <si>
    <t xml:space="preserve">HP-200x200-RD-12V-100W</t>
  </si>
  <si>
    <t xml:space="preserve">HP-200x200-RD-12V-200W</t>
  </si>
  <si>
    <t xml:space="preserve">HP-200x200-RD-220V-100W</t>
  </si>
  <si>
    <t xml:space="preserve">HP-200x200-RD-220V-150W</t>
  </si>
  <si>
    <t xml:space="preserve">HP-200x200-RD-220V-200W</t>
  </si>
  <si>
    <t xml:space="preserve">HP-200x200-RD-220V-250W</t>
  </si>
  <si>
    <t xml:space="preserve">HP-200x200-RD-240V-250W</t>
  </si>
  <si>
    <t xml:space="preserve">HP-200x200-RD-24V-100W</t>
  </si>
  <si>
    <t xml:space="preserve">HP-200x200-RD-24V-200W</t>
  </si>
  <si>
    <t xml:space="preserve">HP-200x230-RD-220V-150W</t>
  </si>
  <si>
    <t xml:space="preserve">200x230</t>
  </si>
  <si>
    <t xml:space="preserve">HP-200x250-BK-12V-300W</t>
  </si>
  <si>
    <t xml:space="preserve">200x250</t>
  </si>
  <si>
    <t xml:space="preserve">HP-200x250-BK-220V-250W</t>
  </si>
  <si>
    <t xml:space="preserve">HP-200x250-BK-220V-400W</t>
  </si>
  <si>
    <t xml:space="preserve">HP-200x250-BK-220V-500W</t>
  </si>
  <si>
    <t xml:space="preserve">HP-200x250-RD-12V-300W</t>
  </si>
  <si>
    <t xml:space="preserve">HP-200x250-RD-220V-250W</t>
  </si>
  <si>
    <t xml:space="preserve">HP-200x250-RD-220V-400W</t>
  </si>
  <si>
    <t xml:space="preserve">HP-200x250-RD-220V-500W</t>
  </si>
  <si>
    <t xml:space="preserve">HP-200x270-BK-220V-500W</t>
  </si>
  <si>
    <t xml:space="preserve">200x270</t>
  </si>
  <si>
    <t xml:space="preserve">HP-200x270-RD-220V-500W</t>
  </si>
  <si>
    <t xml:space="preserve">HP-200x300-BK-110V-200W</t>
  </si>
  <si>
    <t xml:space="preserve">200x300</t>
  </si>
  <si>
    <t xml:space="preserve">HP-200x300-BK-110V-600W</t>
  </si>
  <si>
    <t xml:space="preserve">HP-200x300-BK-12V-200W</t>
  </si>
  <si>
    <t xml:space="preserve">HP-200x300-BK-12V-300W</t>
  </si>
  <si>
    <t xml:space="preserve">HP-200x300-BK-220V-200W</t>
  </si>
  <si>
    <t xml:space="preserve">HP-200x300-BK-220V-300W</t>
  </si>
  <si>
    <t xml:space="preserve">HP-200x300-BK-220V-600W</t>
  </si>
  <si>
    <t xml:space="preserve">HP-200x300-BK-220V-750W</t>
  </si>
  <si>
    <t xml:space="preserve">750W</t>
  </si>
  <si>
    <t xml:space="preserve">HP-200x300-BK-24V-200W</t>
  </si>
  <si>
    <t xml:space="preserve">HP-200x300-BK-24V-300W</t>
  </si>
  <si>
    <t xml:space="preserve">HP-200x300-BK-24V-350W</t>
  </si>
  <si>
    <t xml:space="preserve">HP-200x300-RD-110V-200W</t>
  </si>
  <si>
    <t xml:space="preserve">HP-200x300-RD-110V-600W</t>
  </si>
  <si>
    <t xml:space="preserve">HP-200x300-RD-12V-200W</t>
  </si>
  <si>
    <t xml:space="preserve">HP-200x300-RD-12V-300W</t>
  </si>
  <si>
    <t xml:space="preserve">HP-200x300-RD-220V-200W</t>
  </si>
  <si>
    <t xml:space="preserve">HP-200x300-RD-220V-200W-H5</t>
  </si>
  <si>
    <t xml:space="preserve">holes 5mm</t>
  </si>
  <si>
    <t xml:space="preserve">HP-200x300-RD-220V-300W</t>
  </si>
  <si>
    <t xml:space="preserve">HP-200x300-RD-220V-600W</t>
  </si>
  <si>
    <t xml:space="preserve">HP-200x300-RD-220V-750W</t>
  </si>
  <si>
    <t xml:space="preserve">HP-200x300-RD-24V-200W</t>
  </si>
  <si>
    <t xml:space="preserve">HP-200x300-RD-24V-300W</t>
  </si>
  <si>
    <t xml:space="preserve">HP-200x300-RD-24V-350W</t>
  </si>
  <si>
    <t xml:space="preserve">HP-210x250-RD-24V-200W</t>
  </si>
  <si>
    <t xml:space="preserve">210x250</t>
  </si>
  <si>
    <t xml:space="preserve">HP-210x270-RD-220V-300W</t>
  </si>
  <si>
    <t xml:space="preserve">210x270</t>
  </si>
  <si>
    <t xml:space="preserve">HP-220x220-BK-220V-250W</t>
  </si>
  <si>
    <t xml:space="preserve">220x220</t>
  </si>
  <si>
    <t xml:space="preserve">HP-220x220-RD-220V-250W</t>
  </si>
  <si>
    <t xml:space="preserve">HP-220x250-RD-220V-300W</t>
  </si>
  <si>
    <t xml:space="preserve">220x250</t>
  </si>
  <si>
    <t xml:space="preserve">HP-220x270-BK-220V-415W</t>
  </si>
  <si>
    <t xml:space="preserve">220x270</t>
  </si>
  <si>
    <t xml:space="preserve">415W</t>
  </si>
  <si>
    <t xml:space="preserve">HP-220x270-RD-12V-300W</t>
  </si>
  <si>
    <t xml:space="preserve">HP-220x270-RD-220V-415W</t>
  </si>
  <si>
    <t xml:space="preserve">HP-230x380-BK-220V-500W</t>
  </si>
  <si>
    <t xml:space="preserve">230x380</t>
  </si>
  <si>
    <t xml:space="preserve">HP-230x380-RD-220V-500W</t>
  </si>
  <si>
    <t xml:space="preserve">HP-240x240-BK-220V-500W</t>
  </si>
  <si>
    <t xml:space="preserve">HP-240x240-RD-220V-500W</t>
  </si>
  <si>
    <t xml:space="preserve">HP-240x300-RD-24V-200W</t>
  </si>
  <si>
    <t xml:space="preserve">240x300</t>
  </si>
  <si>
    <t xml:space="preserve">HP-250x250-BK-110V-400W</t>
  </si>
  <si>
    <t xml:space="preserve">250x250</t>
  </si>
  <si>
    <t xml:space="preserve">HP-250x250-BK-110V-400W-H6</t>
  </si>
  <si>
    <t xml:space="preserve">holes 6mm</t>
  </si>
  <si>
    <t xml:space="preserve">HP-250x250-BK-120V-200W</t>
  </si>
  <si>
    <t xml:space="preserve">HP-250x250-BK-120V-250W</t>
  </si>
  <si>
    <t xml:space="preserve">HP-250x250-BK-120V-250W-H6</t>
  </si>
  <si>
    <t xml:space="preserve">HP-250x250-BK-120V-500W</t>
  </si>
  <si>
    <t xml:space="preserve">HP-250x250-BK-120V-500W-H6</t>
  </si>
  <si>
    <t xml:space="preserve">HP-250x250-BK-12V-200W</t>
  </si>
  <si>
    <t xml:space="preserve">HP-250x250-BK-12V-300W</t>
  </si>
  <si>
    <t xml:space="preserve">HP-250x250-BK-12V-300W-H6</t>
  </si>
  <si>
    <t xml:space="preserve">HP-250x250-BK-220V-200W</t>
  </si>
  <si>
    <t xml:space="preserve">HP-250x250-BK-220V-200W-H6</t>
  </si>
  <si>
    <t xml:space="preserve">HP-250x250-BK-220V-300W</t>
  </si>
  <si>
    <t xml:space="preserve">HP-250x250-BK-220V-300W-H6</t>
  </si>
  <si>
    <t xml:space="preserve">HP-250x250-BK-220V-500W</t>
  </si>
  <si>
    <t xml:space="preserve">HP-250x250-BK-220V-500W-H6</t>
  </si>
  <si>
    <t xml:space="preserve">HP-250x250-BK-220V-600W</t>
  </si>
  <si>
    <t xml:space="preserve">HP-250x250-BK-220V-600W-H6</t>
  </si>
  <si>
    <t xml:space="preserve">HP-250x250-BK-24V-100W</t>
  </si>
  <si>
    <t xml:space="preserve">HP-250x250-BK-24V-100W-H6</t>
  </si>
  <si>
    <t xml:space="preserve">HP-250x250-BK-24V-300W</t>
  </si>
  <si>
    <t xml:space="preserve">HP-250x250-BK-24V-300W-H6</t>
  </si>
  <si>
    <t xml:space="preserve">HP-250x250-RD-110V-400W</t>
  </si>
  <si>
    <t xml:space="preserve">HP-250x250-RD-110V-400W-H6</t>
  </si>
  <si>
    <t xml:space="preserve">HP-250x250-RD-120V-200W</t>
  </si>
  <si>
    <t xml:space="preserve">HP-250x250-RD-120V-250W</t>
  </si>
  <si>
    <t xml:space="preserve">HP-250x250-RD-120V-250W-H6</t>
  </si>
  <si>
    <t xml:space="preserve">HP-250x250-RD-120V-500W</t>
  </si>
  <si>
    <t xml:space="preserve">HP-250x250-RD-120V-500W-H6</t>
  </si>
  <si>
    <t xml:space="preserve">HP-250x250-RD-12V-200W</t>
  </si>
  <si>
    <t xml:space="preserve">HP-250x250-RD-12V-300W</t>
  </si>
  <si>
    <t xml:space="preserve">HP-250x250-RD-12V-300W-H6</t>
  </si>
  <si>
    <t xml:space="preserve">HP-250x250-RD-220V-200W</t>
  </si>
  <si>
    <t xml:space="preserve">HP-250x250-RD-220V-200W-H6</t>
  </si>
  <si>
    <t xml:space="preserve">HP-250x250-RD-220V-300W</t>
  </si>
  <si>
    <t xml:space="preserve">HP-250x250-RD-220V-300W-H6</t>
  </si>
  <si>
    <t xml:space="preserve">HP-250x250-RD-220V-500W</t>
  </si>
  <si>
    <t xml:space="preserve">HP-250x250-RD-220V-500W-H6</t>
  </si>
  <si>
    <t xml:space="preserve">HP-250x250-RD-220V-600W</t>
  </si>
  <si>
    <t xml:space="preserve">HP-250x250-RD-220V-600W-H6</t>
  </si>
  <si>
    <t xml:space="preserve">HP-250x250-RD-24V-100W</t>
  </si>
  <si>
    <t xml:space="preserve">HP-250x250-RD-24V-100W-H6</t>
  </si>
  <si>
    <t xml:space="preserve">HP-250x250-RD-24V-300W</t>
  </si>
  <si>
    <t xml:space="preserve">HP-250x250-RD-24V-300W-H6</t>
  </si>
  <si>
    <t xml:space="preserve">HP-270x270-BK-12V-300W</t>
  </si>
  <si>
    <t xml:space="preserve">270x270</t>
  </si>
  <si>
    <t xml:space="preserve">HP-270x270-BK-220V-600W</t>
  </si>
  <si>
    <t xml:space="preserve">HP-270x270-RD-220V-600W</t>
  </si>
  <si>
    <t xml:space="preserve">HP-280x280-BK-120V-200W</t>
  </si>
  <si>
    <t xml:space="preserve">280x280</t>
  </si>
  <si>
    <t xml:space="preserve">HP-280x280-BK-120V-600W</t>
  </si>
  <si>
    <t xml:space="preserve">HP-280x280-BK-220V-300W</t>
  </si>
  <si>
    <t xml:space="preserve">HP-280x280-BK-220V-700W</t>
  </si>
  <si>
    <t xml:space="preserve">700W</t>
  </si>
  <si>
    <t xml:space="preserve">HP-280x280-BK-220V-750W</t>
  </si>
  <si>
    <t xml:space="preserve">HP-280x280-BK-240V-250W</t>
  </si>
  <si>
    <t xml:space="preserve">HP-280x280-BK-240V-300W</t>
  </si>
  <si>
    <t xml:space="preserve">HP-280x280-BK-240V-500W</t>
  </si>
  <si>
    <t xml:space="preserve">HP-280x280-RD-120V-200W</t>
  </si>
  <si>
    <t xml:space="preserve">HP-280x280-RD-120V-600W</t>
  </si>
  <si>
    <t xml:space="preserve">HP-280x280-RD-220V-300W</t>
  </si>
  <si>
    <t xml:space="preserve">HP-280x280-RD-220V-700W</t>
  </si>
  <si>
    <t xml:space="preserve">HP-280x280-RD-220V-750W</t>
  </si>
  <si>
    <t xml:space="preserve">HP-280x280-RD-240V-250W</t>
  </si>
  <si>
    <t xml:space="preserve">HP-280x280-RD-240V-300W</t>
  </si>
  <si>
    <t xml:space="preserve">HP-280x280-RD-240V-500W</t>
  </si>
  <si>
    <t xml:space="preserve">HP-300x300-BK-110V-300W</t>
  </si>
  <si>
    <t xml:space="preserve">300x300</t>
  </si>
  <si>
    <t xml:space="preserve">HP-300x300-BK-110V-600W</t>
  </si>
  <si>
    <t xml:space="preserve">HP-300x300-BK-120V-500W</t>
  </si>
  <si>
    <t xml:space="preserve">HP-300x300-BK-12V-300W</t>
  </si>
  <si>
    <t xml:space="preserve">HP-300x300-BK-12V-500W</t>
  </si>
  <si>
    <t xml:space="preserve">HP-300x300-BK-220V-300W</t>
  </si>
  <si>
    <t xml:space="preserve">HP-300x300-BK-220V-350W</t>
  </si>
  <si>
    <t xml:space="preserve">HP-300x300-BK-220V-500W</t>
  </si>
  <si>
    <t xml:space="preserve">HP-300x300-BK-220V-600W</t>
  </si>
  <si>
    <t xml:space="preserve">HP-300x300-BK-240V-250W</t>
  </si>
  <si>
    <t xml:space="preserve">HP-300x300-BK-240V-500W</t>
  </si>
  <si>
    <t xml:space="preserve">HP-300x300-BK-24V-200W</t>
  </si>
  <si>
    <t xml:space="preserve">HP-300x300-BK-24V-350W</t>
  </si>
  <si>
    <t xml:space="preserve">HP-300x300-BK-24V-500W</t>
  </si>
  <si>
    <t xml:space="preserve">HP-300x300-RD-110V-300W</t>
  </si>
  <si>
    <t xml:space="preserve">HP-300x300-RD-110V-600W</t>
  </si>
  <si>
    <t xml:space="preserve">HP-300x300-RD-120V-500W</t>
  </si>
  <si>
    <t xml:space="preserve">HP-300x300-RD-12V-300W</t>
  </si>
  <si>
    <t xml:space="preserve">HP-300x300-RD-12V-500W</t>
  </si>
  <si>
    <t xml:space="preserve">HP-300x300-RD-220V-300W</t>
  </si>
  <si>
    <t xml:space="preserve">HP-300x300-RD-220V-350W</t>
  </si>
  <si>
    <t xml:space="preserve">HP-300x300-RD-220V-500W</t>
  </si>
  <si>
    <t xml:space="preserve">HP-300x300-RD-220V-600W</t>
  </si>
  <si>
    <t xml:space="preserve">HP-300x300-RD-240V-250W</t>
  </si>
  <si>
    <t xml:space="preserve">HP-300x300-RD-240V-500W</t>
  </si>
  <si>
    <t xml:space="preserve">HP-300x300-RD-24V-200W</t>
  </si>
  <si>
    <t xml:space="preserve">HP-300x300-RD-24V-350W</t>
  </si>
  <si>
    <t xml:space="preserve">HP-300x300-RD-24V-500W</t>
  </si>
  <si>
    <t xml:space="preserve">HP-320x320-BK-220V-500W</t>
  </si>
  <si>
    <t xml:space="preserve">320x320</t>
  </si>
  <si>
    <t xml:space="preserve">HP-320x320-RD-220V-500W</t>
  </si>
  <si>
    <t xml:space="preserve">HP-350x400-BK-110V-1000W</t>
  </si>
  <si>
    <t xml:space="preserve">350x400</t>
  </si>
  <si>
    <t xml:space="preserve">1000W</t>
  </si>
  <si>
    <t xml:space="preserve">HP-350x400-BK-220V-1000W</t>
  </si>
  <si>
    <t xml:space="preserve">HP-350x400-RD-110V-1000W</t>
  </si>
  <si>
    <t xml:space="preserve">HP-350x400-RD-220V-1000W</t>
  </si>
  <si>
    <t xml:space="preserve">HP-370x370-BK-12V-300W</t>
  </si>
  <si>
    <t xml:space="preserve">370x370</t>
  </si>
  <si>
    <t xml:space="preserve">HP-370x370-BK-220V-600W</t>
  </si>
  <si>
    <t xml:space="preserve">HP-370x370-RD-220V-600W</t>
  </si>
  <si>
    <t xml:space="preserve">HP-500x500-BK-110V-1400W</t>
  </si>
  <si>
    <t xml:space="preserve">500x500</t>
  </si>
  <si>
    <t xml:space="preserve">1400W</t>
  </si>
  <si>
    <t xml:space="preserve">HP-500x500-BK-220V-1000W</t>
  </si>
  <si>
    <t xml:space="preserve">HP-500x500-BK-220V-1200W</t>
  </si>
  <si>
    <t xml:space="preserve">1200W</t>
  </si>
  <si>
    <t xml:space="preserve">HP-500x500-BK-220V-1400W</t>
  </si>
  <si>
    <t xml:space="preserve">HP-500x500-BK-220V-1500W</t>
  </si>
  <si>
    <t xml:space="preserve">1500W</t>
  </si>
  <si>
    <t xml:space="preserve">HP-500x500-BK-220V-2000W</t>
  </si>
  <si>
    <t xml:space="preserve">2000W</t>
  </si>
  <si>
    <t xml:space="preserve">HP-500x500-BK-220V-600W</t>
  </si>
  <si>
    <t xml:space="preserve">HP-500x500-BK-240V-1000W</t>
  </si>
  <si>
    <t xml:space="preserve">HP-500x500-BK-240V-2000W</t>
  </si>
  <si>
    <t xml:space="preserve">HP-500x500-RD-110V-1400W</t>
  </si>
  <si>
    <t xml:space="preserve">HP-500x500-RD-220V-1000W</t>
  </si>
  <si>
    <t xml:space="preserve">HP-500x500-RD-220V-1200W</t>
  </si>
  <si>
    <t xml:space="preserve">HP-500x500-RD-220V-1400W</t>
  </si>
  <si>
    <t xml:space="preserve">HP-500x500-RD-220V-1500W</t>
  </si>
  <si>
    <t xml:space="preserve">HP-500x500-RD-220V-2000W</t>
  </si>
  <si>
    <t xml:space="preserve">HP-500x500-RD-220V-600W</t>
  </si>
  <si>
    <t xml:space="preserve">HP-500x500-RD-240V-1000W</t>
  </si>
  <si>
    <t xml:space="preserve">HP-500x500-RD-240V-2000W</t>
  </si>
  <si>
    <t xml:space="preserve">HP-650x650-BK-220V-1500W</t>
  </si>
  <si>
    <t xml:space="preserve">650x650</t>
  </si>
  <si>
    <t xml:space="preserve">HP-650x650-RD-220V-1500W</t>
  </si>
  <si>
    <t xml:space="preserve">Adhesive Silicone Heater Pad, Square / Rectangular  [Square / Rectangular]</t>
  </si>
  <si>
    <t xml:space="preserve">100x100</t>
  </si>
  <si>
    <t xml:space="preserve">HPA-100x100-BK-110V-100W</t>
  </si>
  <si>
    <t xml:space="preserve">HPA-100x100-BK-12V-50W</t>
  </si>
  <si>
    <t xml:space="preserve">HPA-100x100-BK-220V-100W</t>
  </si>
  <si>
    <t xml:space="preserve">HPA-100x100-BK-220V-50W</t>
  </si>
  <si>
    <t xml:space="preserve">HPA-100x100-BK-24V-50W</t>
  </si>
  <si>
    <t xml:space="preserve">HPA-100x100-RD-110V-100W</t>
  </si>
  <si>
    <t xml:space="preserve">HPA-100x100-RD-12V-50W</t>
  </si>
  <si>
    <t xml:space="preserve">HPA-100x100-RD-220V-100W</t>
  </si>
  <si>
    <t xml:space="preserve">HPA-100x100-RD-220V-50W</t>
  </si>
  <si>
    <t xml:space="preserve">HPA-100x100-RD-24V-50W</t>
  </si>
  <si>
    <t xml:space="preserve">HPA-120x120-BK-12V-50W-L1M</t>
  </si>
  <si>
    <t xml:space="preserve">120x120</t>
  </si>
  <si>
    <t xml:space="preserve">HPA-120x120-BK-220V-100W-L1M</t>
  </si>
  <si>
    <t xml:space="preserve">HPA-120x120-BK-220V-150W-L1M</t>
  </si>
  <si>
    <t xml:space="preserve">HPA-120x120-BK-220V-200W-L2M</t>
  </si>
  <si>
    <t xml:space="preserve">cable 2m</t>
  </si>
  <si>
    <t xml:space="preserve">HPA-120x120-BK-220V-50W-L1M</t>
  </si>
  <si>
    <t xml:space="preserve">HPA-120x120-BK-24V-100W-L1M</t>
  </si>
  <si>
    <t xml:space="preserve">HPA-120x120-BK-24V-50W-L1M</t>
  </si>
  <si>
    <t xml:space="preserve">HPA-120x120-RD-12V-50W-L1M</t>
  </si>
  <si>
    <t xml:space="preserve">HPA-120x120-RD-220V-100W-L1M</t>
  </si>
  <si>
    <t xml:space="preserve">HPA-120x120-RD-220V-150W-L1M</t>
  </si>
  <si>
    <t xml:space="preserve">HPA-120x120-RD-220V-200W-L1M</t>
  </si>
  <si>
    <t xml:space="preserve">HPA-120x120-RD-220V-200W-L2M</t>
  </si>
  <si>
    <t xml:space="preserve">HPA-120x120-RD-220V-50W-L1M</t>
  </si>
  <si>
    <t xml:space="preserve">HPA-120x120-RD-24V-100W-L1M</t>
  </si>
  <si>
    <t xml:space="preserve">HPA-120x120-RD-24V-50W-L1M</t>
  </si>
  <si>
    <t xml:space="preserve">HPA-145x145-RD-12V-100W-H</t>
  </si>
  <si>
    <t xml:space="preserve">145x145</t>
  </si>
  <si>
    <t xml:space="preserve">HPA-150x150-BK-12V-100W</t>
  </si>
  <si>
    <t xml:space="preserve">150x150</t>
  </si>
  <si>
    <t xml:space="preserve">HPA-150x150-BK-12V-200W</t>
  </si>
  <si>
    <t xml:space="preserve">HPA-150x150-BK-220V-100W</t>
  </si>
  <si>
    <t xml:space="preserve">HPA-150x150-RD-12V-100W</t>
  </si>
  <si>
    <t xml:space="preserve">HPA-150x150-RD-12V-200W</t>
  </si>
  <si>
    <t xml:space="preserve">HPA-150x150-RD-220V-100W</t>
  </si>
  <si>
    <t xml:space="preserve">HPA-150x200-BK-220V-100W</t>
  </si>
  <si>
    <t xml:space="preserve">150x200</t>
  </si>
  <si>
    <t xml:space="preserve">HPA-150x200-RD-220V-100W</t>
  </si>
  <si>
    <t xml:space="preserve">HPA-150x340-BK-220V-400W</t>
  </si>
  <si>
    <t xml:space="preserve">150x340</t>
  </si>
  <si>
    <t xml:space="preserve">HPA-150x340-RD-220V-400W</t>
  </si>
  <si>
    <t xml:space="preserve">HPA-168x168-BK-12V-200W</t>
  </si>
  <si>
    <t xml:space="preserve">168x168</t>
  </si>
  <si>
    <t xml:space="preserve">HPA-168x168-BK-220V-200W</t>
  </si>
  <si>
    <t xml:space="preserve">HPA-168x168-RD-12V-200W</t>
  </si>
  <si>
    <t xml:space="preserve">HPA-168x168-RD-220V-200W</t>
  </si>
  <si>
    <t xml:space="preserve">HPA-210x280-RD-220V-300W</t>
  </si>
  <si>
    <t xml:space="preserve">210x280</t>
  </si>
  <si>
    <t xml:space="preserve">HPA-250x300-BK-12V-250W</t>
  </si>
  <si>
    <t xml:space="preserve">250x300</t>
  </si>
  <si>
    <t xml:space="preserve">HPA-250x300-BK-220V-300W</t>
  </si>
  <si>
    <t xml:space="preserve">HPA-250x300-BK-220V-600W</t>
  </si>
  <si>
    <t xml:space="preserve">HPA-250x300-BK-230V-600W</t>
  </si>
  <si>
    <t xml:space="preserve">HPA-250x300-RD-12V-250W</t>
  </si>
  <si>
    <t xml:space="preserve">HPA-250x300-RD-220V-300W</t>
  </si>
  <si>
    <t xml:space="preserve">HPA-250x300-RD-220V-600W</t>
  </si>
  <si>
    <t xml:space="preserve">HPA-250x300-RD-230V-600W</t>
  </si>
  <si>
    <t xml:space="preserve">HPA-300x400-BK-110V-600W</t>
  </si>
  <si>
    <t xml:space="preserve">300x400</t>
  </si>
  <si>
    <t xml:space="preserve">HPA-300x400-BK-220V-1000W</t>
  </si>
  <si>
    <t xml:space="preserve">HPA-300x400-BK-220V-600W</t>
  </si>
  <si>
    <t xml:space="preserve">HPA-300x400-BK-220V-750W</t>
  </si>
  <si>
    <t xml:space="preserve">HPA-300x400-BK-24V-400W</t>
  </si>
  <si>
    <t xml:space="preserve">HPA-300x400-RD-110V-600W</t>
  </si>
  <si>
    <t xml:space="preserve">HPA-300x400-RD-220V-1000W</t>
  </si>
  <si>
    <t xml:space="preserve">HPA-300x400-RD-220V-600W</t>
  </si>
  <si>
    <t xml:space="preserve">HPA-300x400-RD-220V-750W</t>
  </si>
  <si>
    <t xml:space="preserve">HPA-300x400-RD-24V-400W</t>
  </si>
  <si>
    <t xml:space="preserve">HPA-300x400-RD-24V-600W</t>
  </si>
  <si>
    <t xml:space="preserve">HPA-300x400-RD-24V-700W</t>
  </si>
  <si>
    <t xml:space="preserve">HPA-310x310-RD-220V-600W</t>
  </si>
  <si>
    <t xml:space="preserve">310x310</t>
  </si>
  <si>
    <t xml:space="preserve">HPA-320x320-BK-220V-500W</t>
  </si>
  <si>
    <t xml:space="preserve">HPA-320x320-RD-220V-500W</t>
  </si>
  <si>
    <t xml:space="preserve">HPA-350x350-BK-220V-800W</t>
  </si>
  <si>
    <t xml:space="preserve">350x350</t>
  </si>
  <si>
    <t xml:space="preserve">800W</t>
  </si>
  <si>
    <t xml:space="preserve">HPA-350x350-RD-220V-500W</t>
  </si>
  <si>
    <t xml:space="preserve">HPA-350x350-RD-220V-800W</t>
  </si>
  <si>
    <t xml:space="preserve">HPA-380x380-BK-220V-1300W</t>
  </si>
  <si>
    <t xml:space="preserve">380x380</t>
  </si>
  <si>
    <t xml:space="preserve">1300W</t>
  </si>
  <si>
    <t xml:space="preserve">HPA-380x380-RD-220V-1300W</t>
  </si>
  <si>
    <t xml:space="preserve">HPA-380x380-RD-220V-800W</t>
  </si>
  <si>
    <t xml:space="preserve">HPA-400x400-BK-110V-700W</t>
  </si>
  <si>
    <t xml:space="preserve">400x400</t>
  </si>
  <si>
    <t xml:space="preserve">HPA-400x400-BK-120V-600W</t>
  </si>
  <si>
    <t xml:space="preserve">HPA-400x400-BK-12V-300W</t>
  </si>
  <si>
    <t xml:space="preserve">HPA-400x400-BK-220V-1000W</t>
  </si>
  <si>
    <t xml:space="preserve">HPA-400x400-BK-220V-1500W</t>
  </si>
  <si>
    <t xml:space="preserve">HPA-400x400-BK-220V-600W</t>
  </si>
  <si>
    <t xml:space="preserve">HPA-400x400-BK-220V-750W</t>
  </si>
  <si>
    <t xml:space="preserve">HPA-400x400-BK-230V-600W</t>
  </si>
  <si>
    <t xml:space="preserve">HPA-400x400-BK-240V-1400W</t>
  </si>
  <si>
    <t xml:space="preserve">HPA-400x400-RD-110V-500W</t>
  </si>
  <si>
    <t xml:space="preserve">HPA-400x400-RD-110V-700W</t>
  </si>
  <si>
    <t xml:space="preserve">HPA-400x400-RD-12V-300W</t>
  </si>
  <si>
    <t xml:space="preserve">HPA-400x400-RD-220V-1000W</t>
  </si>
  <si>
    <t xml:space="preserve">HPA-400x400-RD-220V-1500W</t>
  </si>
  <si>
    <t xml:space="preserve">HPA-400x400-RD-220V-600W</t>
  </si>
  <si>
    <t xml:space="preserve">HPA-400x400-RD-220V-750W</t>
  </si>
  <si>
    <t xml:space="preserve">HPA-400x400-RD-230V-600W</t>
  </si>
  <si>
    <t xml:space="preserve">HPA-400x400-RD-240V-1400W</t>
  </si>
  <si>
    <t xml:space="preserve">HPA-410x410-RD-48V-1000W</t>
  </si>
  <si>
    <t xml:space="preserve">410x410</t>
  </si>
  <si>
    <t xml:space="preserve">48V</t>
  </si>
  <si>
    <t xml:space="preserve">HPA-450x450-BK-110V-800W</t>
  </si>
  <si>
    <t xml:space="preserve">450x450</t>
  </si>
  <si>
    <t xml:space="preserve">HPA-450x450-BK-220V-800W</t>
  </si>
  <si>
    <t xml:space="preserve">HPA-450x450-RD-220V-800W</t>
  </si>
  <si>
    <t xml:space="preserve">HPA-50x450-RD-220V-100W</t>
  </si>
  <si>
    <t xml:space="preserve">50x450</t>
  </si>
  <si>
    <t xml:space="preserve">12.9-912-02</t>
  </si>
  <si>
    <t xml:space="preserve">12.9-912-07</t>
  </si>
  <si>
    <t xml:space="preserve">12.9-912-08</t>
  </si>
  <si>
    <t xml:space="preserve">12.9-912-09</t>
  </si>
  <si>
    <t xml:space="preserve">304-ISO7380-01</t>
  </si>
  <si>
    <t xml:space="preserve">A2-912-01</t>
  </si>
  <si>
    <t xml:space="preserve">A2-912-02</t>
  </si>
  <si>
    <t xml:space="preserve">A2-912-03</t>
  </si>
  <si>
    <t xml:space="preserve">A2-912-07</t>
  </si>
  <si>
    <t xml:space="preserve">A2-912-08</t>
  </si>
  <si>
    <t xml:space="preserve">A2-912-09</t>
  </si>
  <si>
    <t xml:space="preserve">304-DIN934-1</t>
  </si>
  <si>
    <t xml:space="preserve">WRAP-W50</t>
  </si>
  <si>
    <t xml:space="preserve">WRAP-W60</t>
  </si>
  <si>
    <t xml:space="preserve">TUBE-10x100</t>
  </si>
  <si>
    <t xml:space="preserve">TUBE-10x110</t>
  </si>
  <si>
    <t xml:space="preserve">TUBE-10x155</t>
  </si>
  <si>
    <t xml:space="preserve">TUBE-10x80</t>
  </si>
  <si>
    <t xml:space="preserve">TUBE-12x100</t>
  </si>
  <si>
    <t xml:space="preserve">TUBE-12x110</t>
  </si>
  <si>
    <t xml:space="preserve">TUBE-12x155</t>
  </si>
  <si>
    <t xml:space="preserve">TUBE-12x80</t>
  </si>
  <si>
    <t xml:space="preserve">TUBE-14x105</t>
  </si>
  <si>
    <t xml:space="preserve">TUBE-14x135</t>
  </si>
  <si>
    <t xml:space="preserve">TUBE-14x155</t>
  </si>
  <si>
    <t xml:space="preserve">TUBE-14x165</t>
  </si>
  <si>
    <t xml:space="preserve">TUBE-14x205</t>
  </si>
  <si>
    <t xml:space="preserve">TUBE-14x85</t>
  </si>
  <si>
    <t xml:space="preserve">TUBE-16x105</t>
  </si>
  <si>
    <t xml:space="preserve">TUBE-16x135</t>
  </si>
  <si>
    <t xml:space="preserve">TUBE-16x155</t>
  </si>
  <si>
    <t xml:space="preserve">TUBE-16x165</t>
  </si>
  <si>
    <t xml:space="preserve">TUBE-16x205</t>
  </si>
  <si>
    <t xml:space="preserve">TUBE-16x85</t>
  </si>
  <si>
    <t xml:space="preserve">TUBE-18x105</t>
  </si>
  <si>
    <t xml:space="preserve">TUBE-18x135</t>
  </si>
  <si>
    <t xml:space="preserve">TUBE-18x155</t>
  </si>
  <si>
    <t xml:space="preserve">TUBE-18x165</t>
  </si>
  <si>
    <t xml:space="preserve">TUBE-18x205</t>
  </si>
  <si>
    <t xml:space="preserve">TUBE-18x85</t>
  </si>
  <si>
    <t xml:space="preserve">TUBE-20x105</t>
  </si>
  <si>
    <t xml:space="preserve">TUBE-20x135</t>
  </si>
  <si>
    <t xml:space="preserve">TUBE-20x155</t>
  </si>
  <si>
    <t xml:space="preserve">TUBE-20x165</t>
  </si>
  <si>
    <t xml:space="preserve">TUBE-20x205</t>
  </si>
  <si>
    <t xml:space="preserve">TUBE-20x85</t>
  </si>
  <si>
    <t xml:space="preserve">TUBE-3x105</t>
  </si>
  <si>
    <t xml:space="preserve">TUBE-3x65</t>
  </si>
  <si>
    <t xml:space="preserve">TUBE-3x70</t>
  </si>
  <si>
    <t xml:space="preserve">TUBE-3x85</t>
  </si>
  <si>
    <t xml:space="preserve">TUBE-4x105</t>
  </si>
  <si>
    <t xml:space="preserve">TUBE-4x70</t>
  </si>
  <si>
    <t xml:space="preserve">TUBE-4x85</t>
  </si>
  <si>
    <t xml:space="preserve">TUBE-5x105</t>
  </si>
  <si>
    <t xml:space="preserve">TUBE-5x70</t>
  </si>
  <si>
    <t xml:space="preserve">TUBE-5x85</t>
  </si>
  <si>
    <t xml:space="preserve">TUBE-6x105</t>
  </si>
  <si>
    <t xml:space="preserve">TUBE-6x155-P2</t>
  </si>
  <si>
    <t xml:space="preserve">TUBE-6x70</t>
  </si>
  <si>
    <t xml:space="preserve">TUBE-8x100</t>
  </si>
  <si>
    <t xml:space="preserve">TUBE-8x105</t>
  </si>
  <si>
    <t xml:space="preserve">TUBE-8x155</t>
  </si>
  <si>
    <t xml:space="preserve">TUBE-8x70</t>
  </si>
  <si>
    <t xml:space="preserve">TUBE-8x80</t>
  </si>
  <si>
    <t xml:space="preserve">TUBE-8x85</t>
  </si>
  <si>
    <t xml:space="preserve">Compartments</t>
  </si>
  <si>
    <t xml:space="preserve">Clear Blue blue clip</t>
  </si>
  <si>
    <t xml:space="preserve">10 compartments</t>
  </si>
  <si>
    <t xml:space="preserve">BOX10-BL-BB</t>
  </si>
  <si>
    <t xml:space="preserve">BOX10-OR-BB</t>
  </si>
  <si>
    <t xml:space="preserve">Clear orange blue clip</t>
  </si>
  <si>
    <t xml:space="preserve">BOX10-PK-BB</t>
  </si>
  <si>
    <t xml:space="preserve">Clear Pink blue clip</t>
  </si>
  <si>
    <t xml:space="preserve">BOX10-PU-BB</t>
  </si>
  <si>
    <t xml:space="preserve">Clear Purple blue clip</t>
  </si>
  <si>
    <t xml:space="preserve">BOX10-T-BB</t>
  </si>
  <si>
    <t xml:space="preserve">Clear blue clip</t>
  </si>
  <si>
    <t xml:space="preserve">BOX10-T-RB</t>
  </si>
  <si>
    <t xml:space="preserve">Clear red clip</t>
  </si>
  <si>
    <t xml:space="preserve">BOX15-T-BB</t>
  </si>
  <si>
    <t xml:space="preserve">15 compartments</t>
  </si>
  <si>
    <t xml:space="preserve">BOX24-T-20x13x3.6</t>
  </si>
  <si>
    <t xml:space="preserve">Clear 20*13*3.6CM</t>
  </si>
  <si>
    <t xml:space="preserve">24 compartments</t>
  </si>
  <si>
    <t xml:space="preserve">BOXS18-T-21x11x3.3</t>
  </si>
  <si>
    <t xml:space="preserve">Clear 21*11*3.3CM</t>
  </si>
  <si>
    <t xml:space="preserve">Small 18 compartments</t>
  </si>
  <si>
    <t xml:space="preserve">LK536</t>
  </si>
  <si>
    <t xml:space="preserve">CNY 0.1 per pack</t>
  </si>
  <si>
    <t xml:space="preserve">PACK-FEE</t>
  </si>
  <si>
    <t xml:space="preserve">Standard delivery  [Deliveries]</t>
  </si>
  <si>
    <t xml:space="preserve">Delivery_007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</si>
</sst>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General"/>
    <numFmt numFmtId="167" formatCode="#,##0.0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3A4D"/>
      <name val="Cambria"/>
      <family val="0"/>
      <charset val="1"/>
    </font>
    <font>
      <sz val="13"/>
      <color rgb="FF5A6A72"/>
      <name val="Cambria"/>
      <family val="0"/>
      <charset val="1"/>
    </font>
    <font>
      <sz val="11"/>
      <color rgb="FF5A6A72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1F3A4D"/>
      <name val="Cambria"/>
      <family val="0"/>
      <charset val="1"/>
    </font>
    <font>
      <b val="true"/>
      <sz val="12"/>
      <color rgb="FFB4541E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u val="single"/>
      <sz val="11"/>
      <color rgb="FF0E6A87"/>
      <name val="Cambria"/>
      <family val="0"/>
      <charset val="1"/>
    </font>
    <font>
      <b val="true"/>
      <sz val="12"/>
      <color rgb="FF1F3A4D"/>
      <name val="Cambria"/>
      <family val="0"/>
      <charset val="1"/>
    </font>
    <font>
      <i val="true"/>
      <sz val="9"/>
      <color rgb="FF5A6A72"/>
      <name val="Cambria"/>
      <family val="0"/>
      <charset val="1"/>
    </font>
    <font>
      <b val="true"/>
      <sz val="11"/>
      <color rgb="FFB4541E"/>
      <name val="Cambria"/>
      <family val="0"/>
      <charset val="1"/>
    </font>
    <font>
      <b val="true"/>
      <sz val="9"/>
      <color rgb="FFB4541E"/>
      <name val="Cambria"/>
      <family val="0"/>
      <charset val="1"/>
    </font>
    <font>
      <sz val="8"/>
      <color rgb="FF5A6A72"/>
      <name val="Cambria"/>
      <family val="0"/>
      <charset val="1"/>
    </font>
    <font>
      <b val="true"/>
      <sz val="10"/>
      <color rgb="FF1F3A4D"/>
      <name val="Consolas"/>
      <family val="0"/>
      <charset val="1"/>
    </font>
    <font>
      <b val="true"/>
      <sz val="9"/>
      <color rgb="FFFFFFFF"/>
      <name val="Cambria"/>
      <family val="0"/>
      <charset val="1"/>
    </font>
    <font>
      <sz val="10"/>
      <name val="Consolas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6D6"/>
        <bgColor rgb="FFFDEBDD"/>
      </patternFill>
    </fill>
    <fill>
      <patternFill patternType="solid">
        <fgColor rgb="FF1F3A4D"/>
        <bgColor rgb="FF003366"/>
      </patternFill>
    </fill>
    <fill>
      <patternFill patternType="solid">
        <fgColor rgb="FFE8EEF1"/>
        <bgColor rgb="FFFDEBDD"/>
      </patternFill>
    </fill>
    <fill>
      <patternFill patternType="solid">
        <fgColor rgb="FFFDEBDD"/>
        <bgColor rgb="FFFFF6D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A441"/>
      </left>
      <right style="thin">
        <color rgb="FFD9A441"/>
      </right>
      <top style="thin">
        <color rgb="FFD9A441"/>
      </top>
      <bottom style="thin">
        <color rgb="FFD9A441"/>
      </bottom>
      <diagonal/>
    </border>
    <border diagonalUp="false" diagonalDown="false">
      <left/>
      <right/>
      <top/>
      <bottom style="thin">
        <color rgb="FFC9D3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A87"/>
      <rgbColor rgb="FFC0C0C0"/>
      <rgbColor rgb="FF808080"/>
      <rgbColor rgb="FF9999FF"/>
      <rgbColor rgb="FF993366"/>
      <rgbColor rgb="FFFFF6D6"/>
      <rgbColor rgb="FFE8EEF1"/>
      <rgbColor rgb="FF660066"/>
      <rgbColor rgb="FFFF8080"/>
      <rgbColor rgb="FF0066CC"/>
      <rgbColor rgb="FFC9D3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BD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9A441"/>
      <rgbColor rgb="FFFF6600"/>
      <rgbColor rgb="FF5A6A72"/>
      <rgbColor rgb="FF969696"/>
      <rgbColor rgb="FF003366"/>
      <rgbColor rgb="FF339966"/>
      <rgbColor rgb="FF003300"/>
      <rgbColor rgb="FF333300"/>
      <rgbColor rgb="FFB4541E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3.jpeg"/><Relationship Id="rId3" Type="http://schemas.openxmlformats.org/officeDocument/2006/relationships/image" Target="../media/image4.jpeg"/><Relationship Id="rId4" Type="http://schemas.openxmlformats.org/officeDocument/2006/relationships/image" Target="../media/image5.jpeg"/><Relationship Id="rId5" Type="http://schemas.openxmlformats.org/officeDocument/2006/relationships/image" Target="../media/image6.jpeg"/><Relationship Id="rId6" Type="http://schemas.openxmlformats.org/officeDocument/2006/relationships/image" Target="../media/image7.jpeg"/><Relationship Id="rId7" Type="http://schemas.openxmlformats.org/officeDocument/2006/relationships/image" Target="../media/image8.jpeg"/><Relationship Id="rId8" Type="http://schemas.openxmlformats.org/officeDocument/2006/relationships/image" Target="../media/image9.jpeg"/><Relationship Id="rId9" Type="http://schemas.openxmlformats.org/officeDocument/2006/relationships/image" Target="../media/image10.jpeg"/><Relationship Id="rId10" Type="http://schemas.openxmlformats.org/officeDocument/2006/relationships/image" Target="../media/image11.jpeg"/><Relationship Id="rId11" Type="http://schemas.openxmlformats.org/officeDocument/2006/relationships/image" Target="../media/image12.jpeg"/><Relationship Id="rId12" Type="http://schemas.openxmlformats.org/officeDocument/2006/relationships/image" Target="../media/image13.jpeg"/><Relationship Id="rId13" Type="http://schemas.openxmlformats.org/officeDocument/2006/relationships/image" Target="../media/image14.jpeg"/><Relationship Id="rId14" Type="http://schemas.openxmlformats.org/officeDocument/2006/relationships/image" Target="../media/image15.jpeg"/><Relationship Id="rId15" Type="http://schemas.openxmlformats.org/officeDocument/2006/relationships/image" Target="../media/image16.jpeg"/><Relationship Id="rId16" Type="http://schemas.openxmlformats.org/officeDocument/2006/relationships/image" Target="../media/image17.jpeg"/><Relationship Id="rId17" Type="http://schemas.openxmlformats.org/officeDocument/2006/relationships/image" Target="../media/image18.jpeg"/><Relationship Id="rId18" Type="http://schemas.openxmlformats.org/officeDocument/2006/relationships/image" Target="../media/image19.jpeg"/><Relationship Id="rId19" Type="http://schemas.openxmlformats.org/officeDocument/2006/relationships/image" Target="../media/image20.jpeg"/><Relationship Id="rId20" Type="http://schemas.openxmlformats.org/officeDocument/2006/relationships/image" Target="../media/image21.jpeg"/><Relationship Id="rId21" Type="http://schemas.openxmlformats.org/officeDocument/2006/relationships/image" Target="../media/image22.jpeg"/><Relationship Id="rId22" Type="http://schemas.openxmlformats.org/officeDocument/2006/relationships/image" Target="../media/image23.jpeg"/><Relationship Id="rId23" Type="http://schemas.openxmlformats.org/officeDocument/2006/relationships/image" Target="../media/image24.jpeg"/><Relationship Id="rId24" Type="http://schemas.openxmlformats.org/officeDocument/2006/relationships/image" Target="../media/image25.jpeg"/><Relationship Id="rId25" Type="http://schemas.openxmlformats.org/officeDocument/2006/relationships/image" Target="../media/image26.jpeg"/><Relationship Id="rId26" Type="http://schemas.openxmlformats.org/officeDocument/2006/relationships/image" Target="../media/image27.jpeg"/><Relationship Id="rId27" Type="http://schemas.openxmlformats.org/officeDocument/2006/relationships/image" Target="../media/image28.jpeg"/><Relationship Id="rId28" Type="http://schemas.openxmlformats.org/officeDocument/2006/relationships/image" Target="../media/image29.jpeg"/><Relationship Id="rId29" Type="http://schemas.openxmlformats.org/officeDocument/2006/relationships/image" Target="../media/image30.jpeg"/><Relationship Id="rId30" Type="http://schemas.openxmlformats.org/officeDocument/2006/relationships/image" Target="../media/image31.jpeg"/><Relationship Id="rId31" Type="http://schemas.openxmlformats.org/officeDocument/2006/relationships/image" Target="../media/image32.jpeg"/><Relationship Id="rId32" Type="http://schemas.openxmlformats.org/officeDocument/2006/relationships/image" Target="../media/image33.jpeg"/><Relationship Id="rId33" Type="http://schemas.openxmlformats.org/officeDocument/2006/relationships/image" Target="../media/image34.jpeg"/><Relationship Id="rId34" Type="http://schemas.openxmlformats.org/officeDocument/2006/relationships/image" Target="../media/image35.jpeg"/><Relationship Id="rId35" Type="http://schemas.openxmlformats.org/officeDocument/2006/relationships/image" Target="../media/image36.jpeg"/><Relationship Id="rId36" Type="http://schemas.openxmlformats.org/officeDocument/2006/relationships/image" Target="../media/image37.jpeg"/><Relationship Id="rId37" Type="http://schemas.openxmlformats.org/officeDocument/2006/relationships/image" Target="../media/image38.jpeg"/><Relationship Id="rId38" Type="http://schemas.openxmlformats.org/officeDocument/2006/relationships/image" Target="../media/image39.jpeg"/><Relationship Id="rId39" Type="http://schemas.openxmlformats.org/officeDocument/2006/relationships/image" Target="../media/image40.jpeg"/><Relationship Id="rId40" Type="http://schemas.openxmlformats.org/officeDocument/2006/relationships/image" Target="../media/image41.jpeg"/><Relationship Id="rId41" Type="http://schemas.openxmlformats.org/officeDocument/2006/relationships/image" Target="../media/image42.jpeg"/><Relationship Id="rId42" Type="http://schemas.openxmlformats.org/officeDocument/2006/relationships/image" Target="../media/image43.jpeg"/><Relationship Id="rId43" Type="http://schemas.openxmlformats.org/officeDocument/2006/relationships/image" Target="../media/image44.jpeg"/><Relationship Id="rId44" Type="http://schemas.openxmlformats.org/officeDocument/2006/relationships/image" Target="../media/image45.jpeg"/><Relationship Id="rId45" Type="http://schemas.openxmlformats.org/officeDocument/2006/relationships/image" Target="../media/image46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47.jpeg"/><Relationship Id="rId2" Type="http://schemas.openxmlformats.org/officeDocument/2006/relationships/image" Target="../media/image48.jpeg"/><Relationship Id="rId3" Type="http://schemas.openxmlformats.org/officeDocument/2006/relationships/image" Target="../media/image49.jpeg"/><Relationship Id="rId4" Type="http://schemas.openxmlformats.org/officeDocument/2006/relationships/image" Target="../media/image50.jpeg"/><Relationship Id="rId5" Type="http://schemas.openxmlformats.org/officeDocument/2006/relationships/image" Target="../media/image51.jpeg"/><Relationship Id="rId6" Type="http://schemas.openxmlformats.org/officeDocument/2006/relationships/image" Target="../media/image52.jpeg"/><Relationship Id="rId7" Type="http://schemas.openxmlformats.org/officeDocument/2006/relationships/image" Target="../media/image53.jpeg"/><Relationship Id="rId8" Type="http://schemas.openxmlformats.org/officeDocument/2006/relationships/image" Target="../media/image54.jpeg"/><Relationship Id="rId9" Type="http://schemas.openxmlformats.org/officeDocument/2006/relationships/image" Target="../media/image55.jpeg"/><Relationship Id="rId10" Type="http://schemas.openxmlformats.org/officeDocument/2006/relationships/image" Target="../media/image56.jpeg"/><Relationship Id="rId11" Type="http://schemas.openxmlformats.org/officeDocument/2006/relationships/image" Target="../media/image57.jpeg"/><Relationship Id="rId12" Type="http://schemas.openxmlformats.org/officeDocument/2006/relationships/image" Target="../media/image58.jpeg"/><Relationship Id="rId13" Type="http://schemas.openxmlformats.org/officeDocument/2006/relationships/image" Target="../media/image59.jpeg"/><Relationship Id="rId14" Type="http://schemas.openxmlformats.org/officeDocument/2006/relationships/image" Target="../media/image60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61.jpeg"/><Relationship Id="rId2" Type="http://schemas.openxmlformats.org/officeDocument/2006/relationships/image" Target="../media/image62.jpeg"/><Relationship Id="rId3" Type="http://schemas.openxmlformats.org/officeDocument/2006/relationships/image" Target="../media/image63.jpeg"/><Relationship Id="rId4" Type="http://schemas.openxmlformats.org/officeDocument/2006/relationships/image" Target="../media/image64.jpeg"/><Relationship Id="rId5" Type="http://schemas.openxmlformats.org/officeDocument/2006/relationships/image" Target="../media/image65.jpeg"/><Relationship Id="rId6" Type="http://schemas.openxmlformats.org/officeDocument/2006/relationships/image" Target="../media/image66.jpeg"/><Relationship Id="rId7" Type="http://schemas.openxmlformats.org/officeDocument/2006/relationships/image" Target="../media/image67.jpeg"/><Relationship Id="rId8" Type="http://schemas.openxmlformats.org/officeDocument/2006/relationships/image" Target="../media/image68.jpeg"/><Relationship Id="rId9" Type="http://schemas.openxmlformats.org/officeDocument/2006/relationships/image" Target="../media/image69.jpeg"/><Relationship Id="rId10" Type="http://schemas.openxmlformats.org/officeDocument/2006/relationships/image" Target="../media/image70.jpeg"/><Relationship Id="rId11" Type="http://schemas.openxmlformats.org/officeDocument/2006/relationships/image" Target="../media/image71.jpeg"/><Relationship Id="rId12" Type="http://schemas.openxmlformats.org/officeDocument/2006/relationships/image" Target="../media/image72.jpeg"/><Relationship Id="rId13" Type="http://schemas.openxmlformats.org/officeDocument/2006/relationships/image" Target="../media/image73.jpeg"/><Relationship Id="rId14" Type="http://schemas.openxmlformats.org/officeDocument/2006/relationships/image" Target="../media/image74.jpeg"/><Relationship Id="rId15" Type="http://schemas.openxmlformats.org/officeDocument/2006/relationships/image" Target="../media/image75.jpeg"/><Relationship Id="rId16" Type="http://schemas.openxmlformats.org/officeDocument/2006/relationships/image" Target="../media/image76.jpeg"/><Relationship Id="rId17" Type="http://schemas.openxmlformats.org/officeDocument/2006/relationships/image" Target="../media/image77.jpeg"/><Relationship Id="rId18" Type="http://schemas.openxmlformats.org/officeDocument/2006/relationships/image" Target="../media/image78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79.jpeg"/><Relationship Id="rId2" Type="http://schemas.openxmlformats.org/officeDocument/2006/relationships/image" Target="../media/image80.jpeg"/><Relationship Id="rId3" Type="http://schemas.openxmlformats.org/officeDocument/2006/relationships/image" Target="../media/image81.jpeg"/><Relationship Id="rId4" Type="http://schemas.openxmlformats.org/officeDocument/2006/relationships/image" Target="../media/image82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83.jpeg"/><Relationship Id="rId2" Type="http://schemas.openxmlformats.org/officeDocument/2006/relationships/image" Target="../media/image84.jpeg"/><Relationship Id="rId3" Type="http://schemas.openxmlformats.org/officeDocument/2006/relationships/image" Target="../media/image85.jpeg"/><Relationship Id="rId4" Type="http://schemas.openxmlformats.org/officeDocument/2006/relationships/image" Target="../media/image86.jpeg"/><Relationship Id="rId5" Type="http://schemas.openxmlformats.org/officeDocument/2006/relationships/image" Target="../media/image87.jpeg"/><Relationship Id="rId6" Type="http://schemas.openxmlformats.org/officeDocument/2006/relationships/image" Target="../media/image88.jpeg"/><Relationship Id="rId7" Type="http://schemas.openxmlformats.org/officeDocument/2006/relationships/image" Target="../media/image89.jpeg"/><Relationship Id="rId8" Type="http://schemas.openxmlformats.org/officeDocument/2006/relationships/image" Target="../media/image90.jpeg"/><Relationship Id="rId9" Type="http://schemas.openxmlformats.org/officeDocument/2006/relationships/image" Target="../media/image91.jpeg"/><Relationship Id="rId10" Type="http://schemas.openxmlformats.org/officeDocument/2006/relationships/image" Target="../media/image92.jpeg"/><Relationship Id="rId11" Type="http://schemas.openxmlformats.org/officeDocument/2006/relationships/image" Target="../media/image93.jpeg"/><Relationship Id="rId12" Type="http://schemas.openxmlformats.org/officeDocument/2006/relationships/image" Target="../media/image94.jpeg"/><Relationship Id="rId13" Type="http://schemas.openxmlformats.org/officeDocument/2006/relationships/image" Target="../media/image95.jpeg"/><Relationship Id="rId14" Type="http://schemas.openxmlformats.org/officeDocument/2006/relationships/image" Target="../media/image96.jpeg"/><Relationship Id="rId15" Type="http://schemas.openxmlformats.org/officeDocument/2006/relationships/image" Target="../media/image97.jpeg"/><Relationship Id="rId16" Type="http://schemas.openxmlformats.org/officeDocument/2006/relationships/image" Target="../media/image98.jpeg"/><Relationship Id="rId17" Type="http://schemas.openxmlformats.org/officeDocument/2006/relationships/image" Target="../media/image99.jpeg"/><Relationship Id="rId18" Type="http://schemas.openxmlformats.org/officeDocument/2006/relationships/image" Target="../media/image100.jpeg"/><Relationship Id="rId19" Type="http://schemas.openxmlformats.org/officeDocument/2006/relationships/image" Target="../media/image101.jpeg"/><Relationship Id="rId20" Type="http://schemas.openxmlformats.org/officeDocument/2006/relationships/image" Target="../media/image102.jpeg"/><Relationship Id="rId21" Type="http://schemas.openxmlformats.org/officeDocument/2006/relationships/image" Target="../media/image103.jpeg"/><Relationship Id="rId22" Type="http://schemas.openxmlformats.org/officeDocument/2006/relationships/image" Target="../media/image104.jpeg"/><Relationship Id="rId23" Type="http://schemas.openxmlformats.org/officeDocument/2006/relationships/image" Target="../media/image105.jpeg"/><Relationship Id="rId24" Type="http://schemas.openxmlformats.org/officeDocument/2006/relationships/image" Target="../media/image106.jpeg"/><Relationship Id="rId25" Type="http://schemas.openxmlformats.org/officeDocument/2006/relationships/image" Target="../media/image107.jpeg"/><Relationship Id="rId26" Type="http://schemas.openxmlformats.org/officeDocument/2006/relationships/image" Target="../media/image108.jpeg"/><Relationship Id="rId27" Type="http://schemas.openxmlformats.org/officeDocument/2006/relationships/image" Target="../media/image109.jpeg"/><Relationship Id="rId28" Type="http://schemas.openxmlformats.org/officeDocument/2006/relationships/image" Target="../media/image110.jpeg"/><Relationship Id="rId29" Type="http://schemas.openxmlformats.org/officeDocument/2006/relationships/image" Target="../media/image111.jpeg"/><Relationship Id="rId30" Type="http://schemas.openxmlformats.org/officeDocument/2006/relationships/image" Target="../media/image112.jpeg"/><Relationship Id="rId31" Type="http://schemas.openxmlformats.org/officeDocument/2006/relationships/image" Target="../media/image113.jpeg"/><Relationship Id="rId32" Type="http://schemas.openxmlformats.org/officeDocument/2006/relationships/image" Target="../media/image114.jpeg"/><Relationship Id="rId33" Type="http://schemas.openxmlformats.org/officeDocument/2006/relationships/image" Target="../media/image115.jpeg"/><Relationship Id="rId34" Type="http://schemas.openxmlformats.org/officeDocument/2006/relationships/image" Target="../media/image116.jpeg"/><Relationship Id="rId35" Type="http://schemas.openxmlformats.org/officeDocument/2006/relationships/image" Target="../media/image117.jpeg"/><Relationship Id="rId36" Type="http://schemas.openxmlformats.org/officeDocument/2006/relationships/image" Target="../media/image118.jpeg"/><Relationship Id="rId37" Type="http://schemas.openxmlformats.org/officeDocument/2006/relationships/image" Target="../media/image119.jpeg"/><Relationship Id="rId38" Type="http://schemas.openxmlformats.org/officeDocument/2006/relationships/image" Target="../media/image120.jpeg"/><Relationship Id="rId39" Type="http://schemas.openxmlformats.org/officeDocument/2006/relationships/image" Target="../media/image121.jpeg"/><Relationship Id="rId40" Type="http://schemas.openxmlformats.org/officeDocument/2006/relationships/image" Target="../media/image122.jpeg"/><Relationship Id="rId41" Type="http://schemas.openxmlformats.org/officeDocument/2006/relationships/image" Target="../media/image123.jpeg"/><Relationship Id="rId42" Type="http://schemas.openxmlformats.org/officeDocument/2006/relationships/image" Target="../media/image124.jpeg"/><Relationship Id="rId43" Type="http://schemas.openxmlformats.org/officeDocument/2006/relationships/image" Target="../media/image125.jpeg"/><Relationship Id="rId44" Type="http://schemas.openxmlformats.org/officeDocument/2006/relationships/image" Target="../media/image126.jpeg"/><Relationship Id="rId45" Type="http://schemas.openxmlformats.org/officeDocument/2006/relationships/image" Target="../media/image127.jpeg"/><Relationship Id="rId46" Type="http://schemas.openxmlformats.org/officeDocument/2006/relationships/image" Target="../media/image128.jpeg"/><Relationship Id="rId47" Type="http://schemas.openxmlformats.org/officeDocument/2006/relationships/image" Target="../media/image129.jpeg"/><Relationship Id="rId48" Type="http://schemas.openxmlformats.org/officeDocument/2006/relationships/image" Target="../media/image130.jpeg"/><Relationship Id="rId49" Type="http://schemas.openxmlformats.org/officeDocument/2006/relationships/image" Target="../media/image131.jpeg"/><Relationship Id="rId50" Type="http://schemas.openxmlformats.org/officeDocument/2006/relationships/image" Target="../media/image132.jpeg"/><Relationship Id="rId51" Type="http://schemas.openxmlformats.org/officeDocument/2006/relationships/image" Target="../media/image133.jpeg"/><Relationship Id="rId52" Type="http://schemas.openxmlformats.org/officeDocument/2006/relationships/image" Target="../media/image134.jpeg"/><Relationship Id="rId53" Type="http://schemas.openxmlformats.org/officeDocument/2006/relationships/image" Target="../media/image135.jpeg"/><Relationship Id="rId54" Type="http://schemas.openxmlformats.org/officeDocument/2006/relationships/image" Target="../media/image136.jpeg"/><Relationship Id="rId55" Type="http://schemas.openxmlformats.org/officeDocument/2006/relationships/image" Target="../media/image137.jpeg"/><Relationship Id="rId56" Type="http://schemas.openxmlformats.org/officeDocument/2006/relationships/image" Target="../media/image138.jpeg"/><Relationship Id="rId57" Type="http://schemas.openxmlformats.org/officeDocument/2006/relationships/image" Target="../media/image139.jpeg"/><Relationship Id="rId58" Type="http://schemas.openxmlformats.org/officeDocument/2006/relationships/image" Target="../media/image140.jpeg"/><Relationship Id="rId59" Type="http://schemas.openxmlformats.org/officeDocument/2006/relationships/image" Target="../media/image141.jpeg"/><Relationship Id="rId60" Type="http://schemas.openxmlformats.org/officeDocument/2006/relationships/image" Target="../media/image142.jpeg"/><Relationship Id="rId61" Type="http://schemas.openxmlformats.org/officeDocument/2006/relationships/image" Target="../media/image143.jpeg"/><Relationship Id="rId62" Type="http://schemas.openxmlformats.org/officeDocument/2006/relationships/image" Target="../media/image144.jpeg"/><Relationship Id="rId63" Type="http://schemas.openxmlformats.org/officeDocument/2006/relationships/image" Target="../media/image145.jpeg"/><Relationship Id="rId64" Type="http://schemas.openxmlformats.org/officeDocument/2006/relationships/image" Target="../media/image146.jpeg"/><Relationship Id="rId65" Type="http://schemas.openxmlformats.org/officeDocument/2006/relationships/image" Target="../media/image147.jpeg"/><Relationship Id="rId66" Type="http://schemas.openxmlformats.org/officeDocument/2006/relationships/image" Target="../media/image148.jpeg"/><Relationship Id="rId67" Type="http://schemas.openxmlformats.org/officeDocument/2006/relationships/image" Target="../media/image149.jpeg"/><Relationship Id="rId68" Type="http://schemas.openxmlformats.org/officeDocument/2006/relationships/image" Target="../media/image150.jpeg"/><Relationship Id="rId69" Type="http://schemas.openxmlformats.org/officeDocument/2006/relationships/image" Target="../media/image151.jpeg"/><Relationship Id="rId70" Type="http://schemas.openxmlformats.org/officeDocument/2006/relationships/image" Target="../media/image152.jpeg"/><Relationship Id="rId71" Type="http://schemas.openxmlformats.org/officeDocument/2006/relationships/image" Target="../media/image153.jpeg"/><Relationship Id="rId72" Type="http://schemas.openxmlformats.org/officeDocument/2006/relationships/image" Target="../media/image154.jpeg"/><Relationship Id="rId73" Type="http://schemas.openxmlformats.org/officeDocument/2006/relationships/image" Target="../media/image155.jpeg"/><Relationship Id="rId74" Type="http://schemas.openxmlformats.org/officeDocument/2006/relationships/image" Target="../media/image156.jpeg"/><Relationship Id="rId75" Type="http://schemas.openxmlformats.org/officeDocument/2006/relationships/image" Target="../media/image157.jpeg"/><Relationship Id="rId76" Type="http://schemas.openxmlformats.org/officeDocument/2006/relationships/image" Target="../media/image158.jpeg"/><Relationship Id="rId77" Type="http://schemas.openxmlformats.org/officeDocument/2006/relationships/image" Target="../media/image159.jpeg"/><Relationship Id="rId78" Type="http://schemas.openxmlformats.org/officeDocument/2006/relationships/image" Target="../media/image160.jpeg"/><Relationship Id="rId79" Type="http://schemas.openxmlformats.org/officeDocument/2006/relationships/image" Target="../media/image161.jpeg"/><Relationship Id="rId80" Type="http://schemas.openxmlformats.org/officeDocument/2006/relationships/image" Target="../media/image162.jpe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63.jpeg"/><Relationship Id="rId2" Type="http://schemas.openxmlformats.org/officeDocument/2006/relationships/image" Target="../media/image164.jpeg"/><Relationship Id="rId3" Type="http://schemas.openxmlformats.org/officeDocument/2006/relationships/image" Target="../media/image165.jpeg"/><Relationship Id="rId4" Type="http://schemas.openxmlformats.org/officeDocument/2006/relationships/image" Target="../media/image166.jpeg"/><Relationship Id="rId5" Type="http://schemas.openxmlformats.org/officeDocument/2006/relationships/image" Target="../media/image167.jpeg"/><Relationship Id="rId6" Type="http://schemas.openxmlformats.org/officeDocument/2006/relationships/image" Target="../media/image168.jpeg"/><Relationship Id="rId7" Type="http://schemas.openxmlformats.org/officeDocument/2006/relationships/image" Target="../media/image169.jpeg"/><Relationship Id="rId8" Type="http://schemas.openxmlformats.org/officeDocument/2006/relationships/image" Target="../media/image170.jpeg"/><Relationship Id="rId9" Type="http://schemas.openxmlformats.org/officeDocument/2006/relationships/image" Target="../media/image171.jpeg"/><Relationship Id="rId10" Type="http://schemas.openxmlformats.org/officeDocument/2006/relationships/image" Target="../media/image172.jpeg"/><Relationship Id="rId11" Type="http://schemas.openxmlformats.org/officeDocument/2006/relationships/image" Target="../media/image173.jpeg"/><Relationship Id="rId12" Type="http://schemas.openxmlformats.org/officeDocument/2006/relationships/image" Target="../media/image174.jpeg"/><Relationship Id="rId13" Type="http://schemas.openxmlformats.org/officeDocument/2006/relationships/image" Target="../media/image175.jpeg"/><Relationship Id="rId14" Type="http://schemas.openxmlformats.org/officeDocument/2006/relationships/image" Target="../media/image176.jpeg"/><Relationship Id="rId15" Type="http://schemas.openxmlformats.org/officeDocument/2006/relationships/image" Target="../media/image177.jpeg"/><Relationship Id="rId16" Type="http://schemas.openxmlformats.org/officeDocument/2006/relationships/image" Target="../media/image178.jpeg"/><Relationship Id="rId17" Type="http://schemas.openxmlformats.org/officeDocument/2006/relationships/image" Target="../media/image179.jpeg"/><Relationship Id="rId18" Type="http://schemas.openxmlformats.org/officeDocument/2006/relationships/image" Target="../media/image180.jpeg"/><Relationship Id="rId19" Type="http://schemas.openxmlformats.org/officeDocument/2006/relationships/image" Target="../media/image181.jpeg"/><Relationship Id="rId20" Type="http://schemas.openxmlformats.org/officeDocument/2006/relationships/image" Target="../media/image182.jpeg"/><Relationship Id="rId21" Type="http://schemas.openxmlformats.org/officeDocument/2006/relationships/image" Target="../media/image183.jpeg"/><Relationship Id="rId22" Type="http://schemas.openxmlformats.org/officeDocument/2006/relationships/image" Target="../media/image184.jpeg"/><Relationship Id="rId23" Type="http://schemas.openxmlformats.org/officeDocument/2006/relationships/image" Target="../media/image185.jpeg"/><Relationship Id="rId24" Type="http://schemas.openxmlformats.org/officeDocument/2006/relationships/image" Target="../media/image186.jpeg"/><Relationship Id="rId25" Type="http://schemas.openxmlformats.org/officeDocument/2006/relationships/image" Target="../media/image187.jpeg"/><Relationship Id="rId26" Type="http://schemas.openxmlformats.org/officeDocument/2006/relationships/image" Target="../media/image188.jpeg"/><Relationship Id="rId27" Type="http://schemas.openxmlformats.org/officeDocument/2006/relationships/image" Target="../media/image189.jpeg"/><Relationship Id="rId28" Type="http://schemas.openxmlformats.org/officeDocument/2006/relationships/image" Target="../media/image190.jpeg"/><Relationship Id="rId29" Type="http://schemas.openxmlformats.org/officeDocument/2006/relationships/image" Target="../media/image191.jpeg"/><Relationship Id="rId30" Type="http://schemas.openxmlformats.org/officeDocument/2006/relationships/image" Target="../media/image192.jpeg"/><Relationship Id="rId31" Type="http://schemas.openxmlformats.org/officeDocument/2006/relationships/image" Target="../media/image193.jpeg"/><Relationship Id="rId32" Type="http://schemas.openxmlformats.org/officeDocument/2006/relationships/image" Target="../media/image194.jpeg"/><Relationship Id="rId33" Type="http://schemas.openxmlformats.org/officeDocument/2006/relationships/image" Target="../media/image195.jpeg"/><Relationship Id="rId34" Type="http://schemas.openxmlformats.org/officeDocument/2006/relationships/image" Target="../media/image196.jpeg"/><Relationship Id="rId35" Type="http://schemas.openxmlformats.org/officeDocument/2006/relationships/image" Target="../media/image197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98.jpeg"/><Relationship Id="rId2" Type="http://schemas.openxmlformats.org/officeDocument/2006/relationships/image" Target="../media/image199.jpeg"/><Relationship Id="rId3" Type="http://schemas.openxmlformats.org/officeDocument/2006/relationships/image" Target="../media/image200.jpeg"/><Relationship Id="rId4" Type="http://schemas.openxmlformats.org/officeDocument/2006/relationships/image" Target="../media/image201.jpeg"/><Relationship Id="rId5" Type="http://schemas.openxmlformats.org/officeDocument/2006/relationships/image" Target="../media/image202.jpeg"/><Relationship Id="rId6" Type="http://schemas.openxmlformats.org/officeDocument/2006/relationships/image" Target="../media/image203.jpeg"/><Relationship Id="rId7" Type="http://schemas.openxmlformats.org/officeDocument/2006/relationships/image" Target="../media/image204.jpeg"/><Relationship Id="rId8" Type="http://schemas.openxmlformats.org/officeDocument/2006/relationships/image" Target="../media/image205.jpeg"/><Relationship Id="rId9" Type="http://schemas.openxmlformats.org/officeDocument/2006/relationships/image" Target="../media/image206.jpeg"/><Relationship Id="rId10" Type="http://schemas.openxmlformats.org/officeDocument/2006/relationships/image" Target="../media/image207.jpeg"/><Relationship Id="rId11" Type="http://schemas.openxmlformats.org/officeDocument/2006/relationships/image" Target="../media/image208.jpeg"/><Relationship Id="rId12" Type="http://schemas.openxmlformats.org/officeDocument/2006/relationships/image" Target="../media/image209.jpeg"/><Relationship Id="rId13" Type="http://schemas.openxmlformats.org/officeDocument/2006/relationships/image" Target="../media/image210.jpe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211.jpeg"/><Relationship Id="rId2" Type="http://schemas.openxmlformats.org/officeDocument/2006/relationships/image" Target="../media/image212.jpeg"/><Relationship Id="rId3" Type="http://schemas.openxmlformats.org/officeDocument/2006/relationships/image" Target="../media/image213.jpeg"/><Relationship Id="rId4" Type="http://schemas.openxmlformats.org/officeDocument/2006/relationships/image" Target="../media/image214.jpeg"/><Relationship Id="rId5" Type="http://schemas.openxmlformats.org/officeDocument/2006/relationships/image" Target="../media/image215.jpeg"/><Relationship Id="rId6" Type="http://schemas.openxmlformats.org/officeDocument/2006/relationships/image" Target="../media/image216.jpeg"/><Relationship Id="rId7" Type="http://schemas.openxmlformats.org/officeDocument/2006/relationships/image" Target="../media/image217.jpeg"/><Relationship Id="rId8" Type="http://schemas.openxmlformats.org/officeDocument/2006/relationships/image" Target="../media/image218.jpeg"/><Relationship Id="rId9" Type="http://schemas.openxmlformats.org/officeDocument/2006/relationships/image" Target="../media/image219.jpeg"/><Relationship Id="rId10" Type="http://schemas.openxmlformats.org/officeDocument/2006/relationships/image" Target="../media/image220.jpeg"/><Relationship Id="rId11" Type="http://schemas.openxmlformats.org/officeDocument/2006/relationships/image" Target="../media/image221.jpeg"/><Relationship Id="rId12" Type="http://schemas.openxmlformats.org/officeDocument/2006/relationships/image" Target="../media/image222.jpeg"/><Relationship Id="rId13" Type="http://schemas.openxmlformats.org/officeDocument/2006/relationships/image" Target="../media/image223.jpeg"/><Relationship Id="rId14" Type="http://schemas.openxmlformats.org/officeDocument/2006/relationships/image" Target="../media/image224.jpeg"/><Relationship Id="rId15" Type="http://schemas.openxmlformats.org/officeDocument/2006/relationships/image" Target="../media/image225.jpeg"/><Relationship Id="rId16" Type="http://schemas.openxmlformats.org/officeDocument/2006/relationships/image" Target="../media/image226.jpeg"/><Relationship Id="rId17" Type="http://schemas.openxmlformats.org/officeDocument/2006/relationships/image" Target="../media/image227.jpeg"/><Relationship Id="rId18" Type="http://schemas.openxmlformats.org/officeDocument/2006/relationships/image" Target="../media/image228.jpeg"/><Relationship Id="rId19" Type="http://schemas.openxmlformats.org/officeDocument/2006/relationships/image" Target="../media/image229.jpeg"/><Relationship Id="rId20" Type="http://schemas.openxmlformats.org/officeDocument/2006/relationships/image" Target="../media/image230.jpeg"/><Relationship Id="rId21" Type="http://schemas.openxmlformats.org/officeDocument/2006/relationships/image" Target="../media/image231.jpeg"/><Relationship Id="rId22" Type="http://schemas.openxmlformats.org/officeDocument/2006/relationships/image" Target="../media/image232.jpeg"/><Relationship Id="rId23" Type="http://schemas.openxmlformats.org/officeDocument/2006/relationships/image" Target="../media/image233.jpeg"/><Relationship Id="rId24" Type="http://schemas.openxmlformats.org/officeDocument/2006/relationships/image" Target="../media/image234.jpeg"/><Relationship Id="rId25" Type="http://schemas.openxmlformats.org/officeDocument/2006/relationships/image" Target="../media/image235.jpeg"/><Relationship Id="rId26" Type="http://schemas.openxmlformats.org/officeDocument/2006/relationships/image" Target="../media/image236.jpeg"/><Relationship Id="rId27" Type="http://schemas.openxmlformats.org/officeDocument/2006/relationships/image" Target="../media/image237.jpeg"/><Relationship Id="rId28" Type="http://schemas.openxmlformats.org/officeDocument/2006/relationships/image" Target="../media/image238.jpeg"/><Relationship Id="rId29" Type="http://schemas.openxmlformats.org/officeDocument/2006/relationships/image" Target="../media/image239.jpeg"/><Relationship Id="rId30" Type="http://schemas.openxmlformats.org/officeDocument/2006/relationships/image" Target="../media/image240.jpeg"/><Relationship Id="rId31" Type="http://schemas.openxmlformats.org/officeDocument/2006/relationships/image" Target="../media/image241.jpeg"/><Relationship Id="rId32" Type="http://schemas.openxmlformats.org/officeDocument/2006/relationships/image" Target="../media/image242.jpeg"/><Relationship Id="rId33" Type="http://schemas.openxmlformats.org/officeDocument/2006/relationships/image" Target="../media/image243.jpeg"/><Relationship Id="rId34" Type="http://schemas.openxmlformats.org/officeDocument/2006/relationships/image" Target="../media/image244.jpeg"/><Relationship Id="rId35" Type="http://schemas.openxmlformats.org/officeDocument/2006/relationships/image" Target="../media/image245.jpeg"/><Relationship Id="rId36" Type="http://schemas.openxmlformats.org/officeDocument/2006/relationships/image" Target="../media/image246.jpeg"/><Relationship Id="rId37" Type="http://schemas.openxmlformats.org/officeDocument/2006/relationships/image" Target="../media/image247.jpeg"/><Relationship Id="rId38" Type="http://schemas.openxmlformats.org/officeDocument/2006/relationships/image" Target="../media/image248.jpeg"/><Relationship Id="rId39" Type="http://schemas.openxmlformats.org/officeDocument/2006/relationships/image" Target="../media/image249.jpeg"/><Relationship Id="rId40" Type="http://schemas.openxmlformats.org/officeDocument/2006/relationships/image" Target="../media/image250.jpeg"/><Relationship Id="rId41" Type="http://schemas.openxmlformats.org/officeDocument/2006/relationships/image" Target="../media/image251.jpeg"/><Relationship Id="rId42" Type="http://schemas.openxmlformats.org/officeDocument/2006/relationships/image" Target="../media/image252.jpeg"/><Relationship Id="rId43" Type="http://schemas.openxmlformats.org/officeDocument/2006/relationships/image" Target="../media/image253.jpeg"/><Relationship Id="rId44" Type="http://schemas.openxmlformats.org/officeDocument/2006/relationships/image" Target="../media/image254.jpeg"/><Relationship Id="rId45" Type="http://schemas.openxmlformats.org/officeDocument/2006/relationships/image" Target="../media/image255.jpeg"/><Relationship Id="rId46" Type="http://schemas.openxmlformats.org/officeDocument/2006/relationships/image" Target="../media/image256.jpeg"/><Relationship Id="rId47" Type="http://schemas.openxmlformats.org/officeDocument/2006/relationships/image" Target="../media/image257.jpeg"/><Relationship Id="rId48" Type="http://schemas.openxmlformats.org/officeDocument/2006/relationships/image" Target="../media/image258.jpeg"/><Relationship Id="rId49" Type="http://schemas.openxmlformats.org/officeDocument/2006/relationships/image" Target="../media/image259.jpeg"/><Relationship Id="rId50" Type="http://schemas.openxmlformats.org/officeDocument/2006/relationships/image" Target="../media/image260.jpeg"/><Relationship Id="rId51" Type="http://schemas.openxmlformats.org/officeDocument/2006/relationships/image" Target="../media/image261.jpeg"/><Relationship Id="rId52" Type="http://schemas.openxmlformats.org/officeDocument/2006/relationships/image" Target="../media/image262.jpeg"/><Relationship Id="rId53" Type="http://schemas.openxmlformats.org/officeDocument/2006/relationships/image" Target="../media/image263.jpeg"/><Relationship Id="rId54" Type="http://schemas.openxmlformats.org/officeDocument/2006/relationships/image" Target="../media/image264.jpeg"/><Relationship Id="rId55" Type="http://schemas.openxmlformats.org/officeDocument/2006/relationships/image" Target="../media/image265.jpeg"/><Relationship Id="rId56" Type="http://schemas.openxmlformats.org/officeDocument/2006/relationships/image" Target="../media/image266.jpeg"/><Relationship Id="rId57" Type="http://schemas.openxmlformats.org/officeDocument/2006/relationships/image" Target="../media/image267.jpeg"/><Relationship Id="rId58" Type="http://schemas.openxmlformats.org/officeDocument/2006/relationships/image" Target="../media/image268.jpeg"/><Relationship Id="rId59" Type="http://schemas.openxmlformats.org/officeDocument/2006/relationships/image" Target="../media/image269.jpeg"/><Relationship Id="rId60" Type="http://schemas.openxmlformats.org/officeDocument/2006/relationships/image" Target="../media/image270.jpeg"/><Relationship Id="rId61" Type="http://schemas.openxmlformats.org/officeDocument/2006/relationships/image" Target="../media/image271.jpeg"/><Relationship Id="rId62" Type="http://schemas.openxmlformats.org/officeDocument/2006/relationships/image" Target="../media/image272.jpeg"/><Relationship Id="rId63" Type="http://schemas.openxmlformats.org/officeDocument/2006/relationships/image" Target="../media/image273.jpeg"/><Relationship Id="rId64" Type="http://schemas.openxmlformats.org/officeDocument/2006/relationships/image" Target="../media/image274.jpeg"/><Relationship Id="rId65" Type="http://schemas.openxmlformats.org/officeDocument/2006/relationships/image" Target="../media/image275.jpeg"/><Relationship Id="rId66" Type="http://schemas.openxmlformats.org/officeDocument/2006/relationships/image" Target="../media/image276.jpeg"/><Relationship Id="rId67" Type="http://schemas.openxmlformats.org/officeDocument/2006/relationships/image" Target="../media/image277.jpeg"/><Relationship Id="rId68" Type="http://schemas.openxmlformats.org/officeDocument/2006/relationships/image" Target="../media/image278.jpeg"/><Relationship Id="rId69" Type="http://schemas.openxmlformats.org/officeDocument/2006/relationships/image" Target="../media/image279.jpeg"/><Relationship Id="rId70" Type="http://schemas.openxmlformats.org/officeDocument/2006/relationships/image" Target="../media/image280.jpeg"/><Relationship Id="rId71" Type="http://schemas.openxmlformats.org/officeDocument/2006/relationships/image" Target="../media/image281.jpeg"/><Relationship Id="rId72" Type="http://schemas.openxmlformats.org/officeDocument/2006/relationships/image" Target="../media/image282.jpeg"/><Relationship Id="rId73" Type="http://schemas.openxmlformats.org/officeDocument/2006/relationships/image" Target="../media/image283.jpeg"/><Relationship Id="rId74" Type="http://schemas.openxmlformats.org/officeDocument/2006/relationships/image" Target="../media/image284.jpeg"/><Relationship Id="rId75" Type="http://schemas.openxmlformats.org/officeDocument/2006/relationships/image" Target="../media/image285.jpeg"/><Relationship Id="rId76" Type="http://schemas.openxmlformats.org/officeDocument/2006/relationships/image" Target="../media/image286.jpeg"/><Relationship Id="rId77" Type="http://schemas.openxmlformats.org/officeDocument/2006/relationships/image" Target="../media/image287.jpeg"/><Relationship Id="rId78" Type="http://schemas.openxmlformats.org/officeDocument/2006/relationships/image" Target="../media/image288.jpeg"/><Relationship Id="rId79" Type="http://schemas.openxmlformats.org/officeDocument/2006/relationships/image" Target="../media/image289.jpeg"/><Relationship Id="rId80" Type="http://schemas.openxmlformats.org/officeDocument/2006/relationships/image" Target="../media/image290.jpeg"/><Relationship Id="rId81" Type="http://schemas.openxmlformats.org/officeDocument/2006/relationships/image" Target="../media/image291.jpeg"/><Relationship Id="rId82" Type="http://schemas.openxmlformats.org/officeDocument/2006/relationships/image" Target="../media/image292.jpeg"/><Relationship Id="rId83" Type="http://schemas.openxmlformats.org/officeDocument/2006/relationships/image" Target="../media/image293.jpeg"/><Relationship Id="rId84" Type="http://schemas.openxmlformats.org/officeDocument/2006/relationships/image" Target="../media/image294.jpeg"/><Relationship Id="rId85" Type="http://schemas.openxmlformats.org/officeDocument/2006/relationships/image" Target="../media/image295.jpeg"/><Relationship Id="rId86" Type="http://schemas.openxmlformats.org/officeDocument/2006/relationships/image" Target="../media/image296.jpeg"/><Relationship Id="rId87" Type="http://schemas.openxmlformats.org/officeDocument/2006/relationships/image" Target="../media/image297.jpeg"/><Relationship Id="rId88" Type="http://schemas.openxmlformats.org/officeDocument/2006/relationships/image" Target="../media/image298.jpeg"/><Relationship Id="rId89" Type="http://schemas.openxmlformats.org/officeDocument/2006/relationships/image" Target="../media/image299.jpeg"/><Relationship Id="rId90" Type="http://schemas.openxmlformats.org/officeDocument/2006/relationships/image" Target="../media/image300.jpeg"/><Relationship Id="rId91" Type="http://schemas.openxmlformats.org/officeDocument/2006/relationships/image" Target="../media/image301.jpeg"/><Relationship Id="rId92" Type="http://schemas.openxmlformats.org/officeDocument/2006/relationships/image" Target="../media/image302.jpeg"/><Relationship Id="rId93" Type="http://schemas.openxmlformats.org/officeDocument/2006/relationships/image" Target="../media/image303.jpeg"/><Relationship Id="rId94" Type="http://schemas.openxmlformats.org/officeDocument/2006/relationships/image" Target="../media/image304.jpeg"/><Relationship Id="rId95" Type="http://schemas.openxmlformats.org/officeDocument/2006/relationships/image" Target="../media/image305.jpeg"/><Relationship Id="rId96" Type="http://schemas.openxmlformats.org/officeDocument/2006/relationships/image" Target="../media/image306.jpeg"/><Relationship Id="rId97" Type="http://schemas.openxmlformats.org/officeDocument/2006/relationships/image" Target="../media/image307.jpeg"/><Relationship Id="rId98" Type="http://schemas.openxmlformats.org/officeDocument/2006/relationships/image" Target="../media/image308.jpeg"/><Relationship Id="rId99" Type="http://schemas.openxmlformats.org/officeDocument/2006/relationships/image" Target="../media/image309.jpe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310.jpeg"/><Relationship Id="rId2" Type="http://schemas.openxmlformats.org/officeDocument/2006/relationships/image" Target="../media/image311.jpeg"/><Relationship Id="rId3" Type="http://schemas.openxmlformats.org/officeDocument/2006/relationships/image" Target="../media/image312.jpeg"/><Relationship Id="rId4" Type="http://schemas.openxmlformats.org/officeDocument/2006/relationships/image" Target="../media/image313.jpeg"/><Relationship Id="rId5" Type="http://schemas.openxmlformats.org/officeDocument/2006/relationships/image" Target="../media/image314.jpeg"/><Relationship Id="rId6" Type="http://schemas.openxmlformats.org/officeDocument/2006/relationships/image" Target="../media/image315.jpeg"/><Relationship Id="rId7" Type="http://schemas.openxmlformats.org/officeDocument/2006/relationships/image" Target="../media/image316.jpeg"/><Relationship Id="rId8" Type="http://schemas.openxmlformats.org/officeDocument/2006/relationships/image" Target="../media/image317.jpeg"/><Relationship Id="rId9" Type="http://schemas.openxmlformats.org/officeDocument/2006/relationships/image" Target="../media/image318.jpeg"/><Relationship Id="rId10" Type="http://schemas.openxmlformats.org/officeDocument/2006/relationships/image" Target="../media/image319.jpeg"/><Relationship Id="rId11" Type="http://schemas.openxmlformats.org/officeDocument/2006/relationships/image" Target="../media/image320.jpeg"/><Relationship Id="rId12" Type="http://schemas.openxmlformats.org/officeDocument/2006/relationships/image" Target="../media/image321.jpeg"/><Relationship Id="rId13" Type="http://schemas.openxmlformats.org/officeDocument/2006/relationships/image" Target="../media/image322.jpeg"/><Relationship Id="rId14" Type="http://schemas.openxmlformats.org/officeDocument/2006/relationships/image" Target="../media/image323.jpeg"/><Relationship Id="rId15" Type="http://schemas.openxmlformats.org/officeDocument/2006/relationships/image" Target="../media/image324.jpeg"/><Relationship Id="rId16" Type="http://schemas.openxmlformats.org/officeDocument/2006/relationships/image" Target="../media/image325.jpeg"/><Relationship Id="rId17" Type="http://schemas.openxmlformats.org/officeDocument/2006/relationships/image" Target="../media/image326.jpeg"/><Relationship Id="rId18" Type="http://schemas.openxmlformats.org/officeDocument/2006/relationships/image" Target="../media/image327.jpeg"/><Relationship Id="rId19" Type="http://schemas.openxmlformats.org/officeDocument/2006/relationships/image" Target="../media/image328.jpeg"/><Relationship Id="rId20" Type="http://schemas.openxmlformats.org/officeDocument/2006/relationships/image" Target="../media/image329.jpeg"/><Relationship Id="rId21" Type="http://schemas.openxmlformats.org/officeDocument/2006/relationships/image" Target="../media/image330.jpeg"/><Relationship Id="rId22" Type="http://schemas.openxmlformats.org/officeDocument/2006/relationships/image" Target="../media/image331.jpeg"/><Relationship Id="rId23" Type="http://schemas.openxmlformats.org/officeDocument/2006/relationships/image" Target="../media/image332.jpeg"/><Relationship Id="rId24" Type="http://schemas.openxmlformats.org/officeDocument/2006/relationships/image" Target="../media/image333.jpeg"/><Relationship Id="rId25" Type="http://schemas.openxmlformats.org/officeDocument/2006/relationships/image" Target="../media/image334.jpeg"/><Relationship Id="rId26" Type="http://schemas.openxmlformats.org/officeDocument/2006/relationships/image" Target="../media/image335.jpeg"/><Relationship Id="rId27" Type="http://schemas.openxmlformats.org/officeDocument/2006/relationships/image" Target="../media/image336.jpeg"/><Relationship Id="rId28" Type="http://schemas.openxmlformats.org/officeDocument/2006/relationships/image" Target="../media/image337.jpeg"/><Relationship Id="rId29" Type="http://schemas.openxmlformats.org/officeDocument/2006/relationships/image" Target="../media/image338.jpeg"/><Relationship Id="rId30" Type="http://schemas.openxmlformats.org/officeDocument/2006/relationships/image" Target="../media/image339.jpeg"/><Relationship Id="rId31" Type="http://schemas.openxmlformats.org/officeDocument/2006/relationships/image" Target="../media/image340.jpeg"/><Relationship Id="rId32" Type="http://schemas.openxmlformats.org/officeDocument/2006/relationships/image" Target="../media/image341.jpeg"/><Relationship Id="rId33" Type="http://schemas.openxmlformats.org/officeDocument/2006/relationships/image" Target="../media/image342.jpeg"/><Relationship Id="rId34" Type="http://schemas.openxmlformats.org/officeDocument/2006/relationships/image" Target="../media/image343.jpeg"/><Relationship Id="rId35" Type="http://schemas.openxmlformats.org/officeDocument/2006/relationships/image" Target="../media/image344.jpeg"/><Relationship Id="rId36" Type="http://schemas.openxmlformats.org/officeDocument/2006/relationships/image" Target="../media/image345.jpeg"/><Relationship Id="rId37" Type="http://schemas.openxmlformats.org/officeDocument/2006/relationships/image" Target="../media/image346.jpeg"/><Relationship Id="rId38" Type="http://schemas.openxmlformats.org/officeDocument/2006/relationships/image" Target="../media/image347.jpeg"/><Relationship Id="rId39" Type="http://schemas.openxmlformats.org/officeDocument/2006/relationships/image" Target="../media/image348.jpeg"/><Relationship Id="rId40" Type="http://schemas.openxmlformats.org/officeDocument/2006/relationships/image" Target="../media/image349.jpeg"/><Relationship Id="rId41" Type="http://schemas.openxmlformats.org/officeDocument/2006/relationships/image" Target="../media/image350.jpeg"/><Relationship Id="rId42" Type="http://schemas.openxmlformats.org/officeDocument/2006/relationships/image" Target="../media/image351.jpeg"/><Relationship Id="rId43" Type="http://schemas.openxmlformats.org/officeDocument/2006/relationships/image" Target="../media/image352.jpeg"/><Relationship Id="rId44" Type="http://schemas.openxmlformats.org/officeDocument/2006/relationships/image" Target="../media/image353.jpeg"/><Relationship Id="rId45" Type="http://schemas.openxmlformats.org/officeDocument/2006/relationships/image" Target="../media/image354.jpeg"/><Relationship Id="rId46" Type="http://schemas.openxmlformats.org/officeDocument/2006/relationships/image" Target="../media/image355.jpeg"/><Relationship Id="rId47" Type="http://schemas.openxmlformats.org/officeDocument/2006/relationships/image" Target="../media/image356.jpeg"/><Relationship Id="rId48" Type="http://schemas.openxmlformats.org/officeDocument/2006/relationships/image" Target="../media/image357.jpeg"/><Relationship Id="rId49" Type="http://schemas.openxmlformats.org/officeDocument/2006/relationships/image" Target="../media/image358.jpeg"/><Relationship Id="rId50" Type="http://schemas.openxmlformats.org/officeDocument/2006/relationships/image" Target="../media/image359.jpeg"/><Relationship Id="rId51" Type="http://schemas.openxmlformats.org/officeDocument/2006/relationships/image" Target="../media/image360.jpeg"/><Relationship Id="rId52" Type="http://schemas.openxmlformats.org/officeDocument/2006/relationships/image" Target="../media/image361.jpeg"/><Relationship Id="rId53" Type="http://schemas.openxmlformats.org/officeDocument/2006/relationships/image" Target="../media/image362.jpeg"/><Relationship Id="rId54" Type="http://schemas.openxmlformats.org/officeDocument/2006/relationships/image" Target="../media/image363.jpeg"/><Relationship Id="rId55" Type="http://schemas.openxmlformats.org/officeDocument/2006/relationships/image" Target="../media/image364.jpeg"/><Relationship Id="rId56" Type="http://schemas.openxmlformats.org/officeDocument/2006/relationships/image" Target="../media/image365.jpeg"/><Relationship Id="rId57" Type="http://schemas.openxmlformats.org/officeDocument/2006/relationships/image" Target="../media/image366.jpeg"/><Relationship Id="rId58" Type="http://schemas.openxmlformats.org/officeDocument/2006/relationships/image" Target="../media/image367.jpeg"/><Relationship Id="rId59" Type="http://schemas.openxmlformats.org/officeDocument/2006/relationships/image" Target="../media/image368.jpeg"/><Relationship Id="rId60" Type="http://schemas.openxmlformats.org/officeDocument/2006/relationships/image" Target="../media/image369.jpeg"/><Relationship Id="rId61" Type="http://schemas.openxmlformats.org/officeDocument/2006/relationships/image" Target="../media/image370.jpeg"/><Relationship Id="rId62" Type="http://schemas.openxmlformats.org/officeDocument/2006/relationships/image" Target="../media/image371.jpeg"/><Relationship Id="rId63" Type="http://schemas.openxmlformats.org/officeDocument/2006/relationships/image" Target="../media/image372.jpeg"/><Relationship Id="rId64" Type="http://schemas.openxmlformats.org/officeDocument/2006/relationships/image" Target="../media/image373.jpeg"/><Relationship Id="rId65" Type="http://schemas.openxmlformats.org/officeDocument/2006/relationships/image" Target="../media/image374.jpeg"/><Relationship Id="rId66" Type="http://schemas.openxmlformats.org/officeDocument/2006/relationships/image" Target="../media/image375.jpeg"/><Relationship Id="rId67" Type="http://schemas.openxmlformats.org/officeDocument/2006/relationships/image" Target="../media/image376.jpeg"/><Relationship Id="rId68" Type="http://schemas.openxmlformats.org/officeDocument/2006/relationships/image" Target="../media/image377.jpeg"/><Relationship Id="rId69" Type="http://schemas.openxmlformats.org/officeDocument/2006/relationships/image" Target="../media/image378.jpeg"/><Relationship Id="rId70" Type="http://schemas.openxmlformats.org/officeDocument/2006/relationships/image" Target="../media/image379.jpeg"/><Relationship Id="rId71" Type="http://schemas.openxmlformats.org/officeDocument/2006/relationships/image" Target="../media/image380.jpeg"/><Relationship Id="rId72" Type="http://schemas.openxmlformats.org/officeDocument/2006/relationships/image" Target="../media/image381.jpeg"/><Relationship Id="rId73" Type="http://schemas.openxmlformats.org/officeDocument/2006/relationships/image" Target="../media/image382.jpeg"/><Relationship Id="rId74" Type="http://schemas.openxmlformats.org/officeDocument/2006/relationships/image" Target="../media/image383.jpeg"/><Relationship Id="rId75" Type="http://schemas.openxmlformats.org/officeDocument/2006/relationships/image" Target="../media/image384.jpeg"/><Relationship Id="rId76" Type="http://schemas.openxmlformats.org/officeDocument/2006/relationships/image" Target="../media/image385.jpeg"/><Relationship Id="rId77" Type="http://schemas.openxmlformats.org/officeDocument/2006/relationships/image" Target="../media/image386.jpeg"/><Relationship Id="rId78" Type="http://schemas.openxmlformats.org/officeDocument/2006/relationships/image" Target="../media/image387.jpeg"/><Relationship Id="rId79" Type="http://schemas.openxmlformats.org/officeDocument/2006/relationships/image" Target="../media/image388.jpeg"/><Relationship Id="rId80" Type="http://schemas.openxmlformats.org/officeDocument/2006/relationships/image" Target="../media/image389.jpeg"/><Relationship Id="rId81" Type="http://schemas.openxmlformats.org/officeDocument/2006/relationships/image" Target="../media/image390.jpeg"/><Relationship Id="rId82" Type="http://schemas.openxmlformats.org/officeDocument/2006/relationships/image" Target="../media/image391.jpe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392.jpeg"/><Relationship Id="rId2" Type="http://schemas.openxmlformats.org/officeDocument/2006/relationships/image" Target="../media/image393.jpeg"/><Relationship Id="rId3" Type="http://schemas.openxmlformats.org/officeDocument/2006/relationships/image" Target="../media/image394.jpeg"/><Relationship Id="rId4" Type="http://schemas.openxmlformats.org/officeDocument/2006/relationships/image" Target="../media/image395.jpeg"/><Relationship Id="rId5" Type="http://schemas.openxmlformats.org/officeDocument/2006/relationships/image" Target="../media/image396.jpeg"/><Relationship Id="rId6" Type="http://schemas.openxmlformats.org/officeDocument/2006/relationships/image" Target="../media/image397.jpeg"/><Relationship Id="rId7" Type="http://schemas.openxmlformats.org/officeDocument/2006/relationships/image" Target="../media/image398.jpeg"/><Relationship Id="rId8" Type="http://schemas.openxmlformats.org/officeDocument/2006/relationships/image" Target="../media/image399.jpeg"/><Relationship Id="rId9" Type="http://schemas.openxmlformats.org/officeDocument/2006/relationships/image" Target="../media/image400.jpeg"/><Relationship Id="rId10" Type="http://schemas.openxmlformats.org/officeDocument/2006/relationships/image" Target="../media/image401.jpeg"/><Relationship Id="rId11" Type="http://schemas.openxmlformats.org/officeDocument/2006/relationships/image" Target="../media/image402.jpeg"/><Relationship Id="rId12" Type="http://schemas.openxmlformats.org/officeDocument/2006/relationships/image" Target="../media/image403.jpeg"/><Relationship Id="rId13" Type="http://schemas.openxmlformats.org/officeDocument/2006/relationships/image" Target="../media/image404.jpeg"/><Relationship Id="rId14" Type="http://schemas.openxmlformats.org/officeDocument/2006/relationships/image" Target="../media/image405.jpeg"/><Relationship Id="rId15" Type="http://schemas.openxmlformats.org/officeDocument/2006/relationships/image" Target="../media/image406.jpeg"/><Relationship Id="rId16" Type="http://schemas.openxmlformats.org/officeDocument/2006/relationships/image" Target="../media/image407.jpeg"/><Relationship Id="rId17" Type="http://schemas.openxmlformats.org/officeDocument/2006/relationships/image" Target="../media/image408.jpeg"/><Relationship Id="rId18" Type="http://schemas.openxmlformats.org/officeDocument/2006/relationships/image" Target="../media/image409.jpeg"/><Relationship Id="rId19" Type="http://schemas.openxmlformats.org/officeDocument/2006/relationships/image" Target="../media/image410.jpeg"/><Relationship Id="rId20" Type="http://schemas.openxmlformats.org/officeDocument/2006/relationships/image" Target="../media/image411.jpeg"/><Relationship Id="rId21" Type="http://schemas.openxmlformats.org/officeDocument/2006/relationships/image" Target="../media/image412.jpeg"/><Relationship Id="rId22" Type="http://schemas.openxmlformats.org/officeDocument/2006/relationships/image" Target="../media/image413.jpeg"/><Relationship Id="rId23" Type="http://schemas.openxmlformats.org/officeDocument/2006/relationships/image" Target="../media/image414.jpeg"/><Relationship Id="rId24" Type="http://schemas.openxmlformats.org/officeDocument/2006/relationships/image" Target="../media/image415.jpeg"/><Relationship Id="rId25" Type="http://schemas.openxmlformats.org/officeDocument/2006/relationships/image" Target="../media/image416.jpeg"/><Relationship Id="rId26" Type="http://schemas.openxmlformats.org/officeDocument/2006/relationships/image" Target="../media/image417.jpeg"/><Relationship Id="rId27" Type="http://schemas.openxmlformats.org/officeDocument/2006/relationships/image" Target="../media/image418.jpeg"/><Relationship Id="rId28" Type="http://schemas.openxmlformats.org/officeDocument/2006/relationships/image" Target="../media/image419.jpeg"/><Relationship Id="rId29" Type="http://schemas.openxmlformats.org/officeDocument/2006/relationships/image" Target="../media/image420.jpeg"/><Relationship Id="rId30" Type="http://schemas.openxmlformats.org/officeDocument/2006/relationships/image" Target="../media/image421.jpeg"/><Relationship Id="rId31" Type="http://schemas.openxmlformats.org/officeDocument/2006/relationships/image" Target="../media/image422.jpeg"/><Relationship Id="rId32" Type="http://schemas.openxmlformats.org/officeDocument/2006/relationships/image" Target="../media/image423.jpeg"/><Relationship Id="rId33" Type="http://schemas.openxmlformats.org/officeDocument/2006/relationships/image" Target="../media/image424.jpeg"/><Relationship Id="rId34" Type="http://schemas.openxmlformats.org/officeDocument/2006/relationships/image" Target="../media/image425.jpeg"/><Relationship Id="rId35" Type="http://schemas.openxmlformats.org/officeDocument/2006/relationships/image" Target="../media/image426.jpeg"/><Relationship Id="rId36" Type="http://schemas.openxmlformats.org/officeDocument/2006/relationships/image" Target="../media/image427.jpeg"/><Relationship Id="rId37" Type="http://schemas.openxmlformats.org/officeDocument/2006/relationships/image" Target="../media/image428.jpeg"/><Relationship Id="rId38" Type="http://schemas.openxmlformats.org/officeDocument/2006/relationships/image" Target="../media/image429.jpeg"/><Relationship Id="rId39" Type="http://schemas.openxmlformats.org/officeDocument/2006/relationships/image" Target="../media/image430.jpeg"/><Relationship Id="rId40" Type="http://schemas.openxmlformats.org/officeDocument/2006/relationships/image" Target="../media/image431.jpeg"/><Relationship Id="rId41" Type="http://schemas.openxmlformats.org/officeDocument/2006/relationships/image" Target="../media/image432.jpeg"/><Relationship Id="rId42" Type="http://schemas.openxmlformats.org/officeDocument/2006/relationships/image" Target="../media/image433.jpeg"/><Relationship Id="rId43" Type="http://schemas.openxmlformats.org/officeDocument/2006/relationships/image" Target="../media/image434.jpe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435.jpeg"/><Relationship Id="rId2" Type="http://schemas.openxmlformats.org/officeDocument/2006/relationships/image" Target="../media/image436.jpeg"/><Relationship Id="rId3" Type="http://schemas.openxmlformats.org/officeDocument/2006/relationships/image" Target="../media/image437.jpeg"/><Relationship Id="rId4" Type="http://schemas.openxmlformats.org/officeDocument/2006/relationships/image" Target="../media/image438.jpeg"/><Relationship Id="rId5" Type="http://schemas.openxmlformats.org/officeDocument/2006/relationships/image" Target="../media/image439.jpeg"/><Relationship Id="rId6" Type="http://schemas.openxmlformats.org/officeDocument/2006/relationships/image" Target="../media/image440.jpeg"/><Relationship Id="rId7" Type="http://schemas.openxmlformats.org/officeDocument/2006/relationships/image" Target="../media/image441.jpeg"/><Relationship Id="rId8" Type="http://schemas.openxmlformats.org/officeDocument/2006/relationships/image" Target="../media/image442.jpeg"/><Relationship Id="rId9" Type="http://schemas.openxmlformats.org/officeDocument/2006/relationships/image" Target="../media/image443.jpeg"/><Relationship Id="rId10" Type="http://schemas.openxmlformats.org/officeDocument/2006/relationships/image" Target="../media/image444.jpeg"/><Relationship Id="rId11" Type="http://schemas.openxmlformats.org/officeDocument/2006/relationships/image" Target="../media/image445.jpeg"/><Relationship Id="rId12" Type="http://schemas.openxmlformats.org/officeDocument/2006/relationships/image" Target="../media/image446.jpeg"/><Relationship Id="rId13" Type="http://schemas.openxmlformats.org/officeDocument/2006/relationships/image" Target="../media/image447.jpeg"/><Relationship Id="rId14" Type="http://schemas.openxmlformats.org/officeDocument/2006/relationships/image" Target="../media/image448.jpeg"/><Relationship Id="rId15" Type="http://schemas.openxmlformats.org/officeDocument/2006/relationships/image" Target="../media/image449.jpeg"/><Relationship Id="rId16" Type="http://schemas.openxmlformats.org/officeDocument/2006/relationships/image" Target="../media/image450.jpeg"/><Relationship Id="rId17" Type="http://schemas.openxmlformats.org/officeDocument/2006/relationships/image" Target="../media/image451.jpeg"/><Relationship Id="rId18" Type="http://schemas.openxmlformats.org/officeDocument/2006/relationships/image" Target="../media/image452.jpeg"/><Relationship Id="rId19" Type="http://schemas.openxmlformats.org/officeDocument/2006/relationships/image" Target="../media/image453.jpeg"/><Relationship Id="rId20" Type="http://schemas.openxmlformats.org/officeDocument/2006/relationships/image" Target="../media/image454.jpeg"/><Relationship Id="rId21" Type="http://schemas.openxmlformats.org/officeDocument/2006/relationships/image" Target="../media/image455.jpeg"/><Relationship Id="rId22" Type="http://schemas.openxmlformats.org/officeDocument/2006/relationships/image" Target="../media/image456.jpeg"/><Relationship Id="rId23" Type="http://schemas.openxmlformats.org/officeDocument/2006/relationships/image" Target="../media/image457.jpeg"/><Relationship Id="rId24" Type="http://schemas.openxmlformats.org/officeDocument/2006/relationships/image" Target="../media/image458.jpeg"/><Relationship Id="rId25" Type="http://schemas.openxmlformats.org/officeDocument/2006/relationships/image" Target="../media/image459.jpeg"/><Relationship Id="rId26" Type="http://schemas.openxmlformats.org/officeDocument/2006/relationships/image" Target="../media/image460.jpeg"/><Relationship Id="rId27" Type="http://schemas.openxmlformats.org/officeDocument/2006/relationships/image" Target="../media/image461.jpeg"/><Relationship Id="rId28" Type="http://schemas.openxmlformats.org/officeDocument/2006/relationships/image" Target="../media/image462.jpeg"/><Relationship Id="rId29" Type="http://schemas.openxmlformats.org/officeDocument/2006/relationships/image" Target="../media/image463.jpeg"/><Relationship Id="rId30" Type="http://schemas.openxmlformats.org/officeDocument/2006/relationships/image" Target="../media/image464.jpeg"/><Relationship Id="rId31" Type="http://schemas.openxmlformats.org/officeDocument/2006/relationships/image" Target="../media/image465.jpeg"/><Relationship Id="rId32" Type="http://schemas.openxmlformats.org/officeDocument/2006/relationships/image" Target="../media/image466.jpeg"/><Relationship Id="rId33" Type="http://schemas.openxmlformats.org/officeDocument/2006/relationships/image" Target="../media/image467.jpeg"/><Relationship Id="rId34" Type="http://schemas.openxmlformats.org/officeDocument/2006/relationships/image" Target="../media/image468.jpeg"/><Relationship Id="rId35" Type="http://schemas.openxmlformats.org/officeDocument/2006/relationships/image" Target="../media/image469.jpeg"/><Relationship Id="rId36" Type="http://schemas.openxmlformats.org/officeDocument/2006/relationships/image" Target="../media/image470.jpeg"/><Relationship Id="rId37" Type="http://schemas.openxmlformats.org/officeDocument/2006/relationships/image" Target="../media/image471.jpeg"/><Relationship Id="rId38" Type="http://schemas.openxmlformats.org/officeDocument/2006/relationships/image" Target="../media/image472.jpeg"/><Relationship Id="rId39" Type="http://schemas.openxmlformats.org/officeDocument/2006/relationships/image" Target="../media/image473.jpeg"/><Relationship Id="rId40" Type="http://schemas.openxmlformats.org/officeDocument/2006/relationships/image" Target="../media/image474.jpeg"/><Relationship Id="rId41" Type="http://schemas.openxmlformats.org/officeDocument/2006/relationships/image" Target="../media/image475.jpeg"/><Relationship Id="rId42" Type="http://schemas.openxmlformats.org/officeDocument/2006/relationships/image" Target="../media/image476.jpeg"/><Relationship Id="rId43" Type="http://schemas.openxmlformats.org/officeDocument/2006/relationships/image" Target="../media/image477.jpeg"/><Relationship Id="rId44" Type="http://schemas.openxmlformats.org/officeDocument/2006/relationships/image" Target="../media/image478.jpeg"/><Relationship Id="rId45" Type="http://schemas.openxmlformats.org/officeDocument/2006/relationships/image" Target="../media/image479.jpeg"/><Relationship Id="rId46" Type="http://schemas.openxmlformats.org/officeDocument/2006/relationships/image" Target="../media/image480.jpeg"/><Relationship Id="rId47" Type="http://schemas.openxmlformats.org/officeDocument/2006/relationships/image" Target="../media/image481.jpeg"/><Relationship Id="rId48" Type="http://schemas.openxmlformats.org/officeDocument/2006/relationships/image" Target="../media/image482.jpeg"/><Relationship Id="rId49" Type="http://schemas.openxmlformats.org/officeDocument/2006/relationships/image" Target="../media/image483.jpeg"/><Relationship Id="rId50" Type="http://schemas.openxmlformats.org/officeDocument/2006/relationships/image" Target="../media/image484.jpeg"/><Relationship Id="rId51" Type="http://schemas.openxmlformats.org/officeDocument/2006/relationships/image" Target="../media/image485.jpeg"/><Relationship Id="rId52" Type="http://schemas.openxmlformats.org/officeDocument/2006/relationships/image" Target="../media/image486.jpeg"/><Relationship Id="rId53" Type="http://schemas.openxmlformats.org/officeDocument/2006/relationships/image" Target="../media/image487.jpeg"/><Relationship Id="rId54" Type="http://schemas.openxmlformats.org/officeDocument/2006/relationships/image" Target="../media/image488.jpeg"/><Relationship Id="rId55" Type="http://schemas.openxmlformats.org/officeDocument/2006/relationships/image" Target="../media/image489.jpeg"/><Relationship Id="rId56" Type="http://schemas.openxmlformats.org/officeDocument/2006/relationships/image" Target="../media/image490.jpeg"/><Relationship Id="rId57" Type="http://schemas.openxmlformats.org/officeDocument/2006/relationships/image" Target="../media/image491.jpeg"/><Relationship Id="rId58" Type="http://schemas.openxmlformats.org/officeDocument/2006/relationships/image" Target="../media/image492.jpeg"/><Relationship Id="rId59" Type="http://schemas.openxmlformats.org/officeDocument/2006/relationships/image" Target="../media/image493.jpeg"/><Relationship Id="rId60" Type="http://schemas.openxmlformats.org/officeDocument/2006/relationships/image" Target="../media/image494.jpeg"/><Relationship Id="rId61" Type="http://schemas.openxmlformats.org/officeDocument/2006/relationships/image" Target="../media/image495.jpeg"/><Relationship Id="rId62" Type="http://schemas.openxmlformats.org/officeDocument/2006/relationships/image" Target="../media/image496.jpeg"/><Relationship Id="rId63" Type="http://schemas.openxmlformats.org/officeDocument/2006/relationships/image" Target="../media/image497.jpeg"/><Relationship Id="rId64" Type="http://schemas.openxmlformats.org/officeDocument/2006/relationships/image" Target="../media/image498.jpeg"/><Relationship Id="rId65" Type="http://schemas.openxmlformats.org/officeDocument/2006/relationships/image" Target="../media/image499.jpeg"/><Relationship Id="rId66" Type="http://schemas.openxmlformats.org/officeDocument/2006/relationships/image" Target="../media/image500.jpeg"/><Relationship Id="rId67" Type="http://schemas.openxmlformats.org/officeDocument/2006/relationships/image" Target="../media/image501.jpeg"/><Relationship Id="rId68" Type="http://schemas.openxmlformats.org/officeDocument/2006/relationships/image" Target="../media/image502.jpeg"/><Relationship Id="rId69" Type="http://schemas.openxmlformats.org/officeDocument/2006/relationships/image" Target="../media/image503.jpeg"/><Relationship Id="rId70" Type="http://schemas.openxmlformats.org/officeDocument/2006/relationships/image" Target="../media/image504.jpeg"/><Relationship Id="rId71" Type="http://schemas.openxmlformats.org/officeDocument/2006/relationships/image" Target="../media/image505.jpeg"/><Relationship Id="rId72" Type="http://schemas.openxmlformats.org/officeDocument/2006/relationships/image" Target="../media/image506.jpeg"/><Relationship Id="rId73" Type="http://schemas.openxmlformats.org/officeDocument/2006/relationships/image" Target="../media/image507.jpeg"/><Relationship Id="rId74" Type="http://schemas.openxmlformats.org/officeDocument/2006/relationships/image" Target="../media/image508.jpeg"/><Relationship Id="rId75" Type="http://schemas.openxmlformats.org/officeDocument/2006/relationships/image" Target="../media/image509.jpeg"/><Relationship Id="rId76" Type="http://schemas.openxmlformats.org/officeDocument/2006/relationships/image" Target="../media/image510.jpeg"/><Relationship Id="rId77" Type="http://schemas.openxmlformats.org/officeDocument/2006/relationships/image" Target="../media/image511.jpeg"/><Relationship Id="rId78" Type="http://schemas.openxmlformats.org/officeDocument/2006/relationships/image" Target="../media/image512.jpeg"/><Relationship Id="rId79" Type="http://schemas.openxmlformats.org/officeDocument/2006/relationships/image" Target="../media/image513.jpeg"/><Relationship Id="rId80" Type="http://schemas.openxmlformats.org/officeDocument/2006/relationships/image" Target="../media/image514.jpeg"/><Relationship Id="rId81" Type="http://schemas.openxmlformats.org/officeDocument/2006/relationships/image" Target="../media/image515.jpeg"/><Relationship Id="rId82" Type="http://schemas.openxmlformats.org/officeDocument/2006/relationships/image" Target="../media/image516.jpeg"/><Relationship Id="rId83" Type="http://schemas.openxmlformats.org/officeDocument/2006/relationships/image" Target="../media/image517.jpeg"/><Relationship Id="rId84" Type="http://schemas.openxmlformats.org/officeDocument/2006/relationships/image" Target="../media/image518.jpeg"/><Relationship Id="rId85" Type="http://schemas.openxmlformats.org/officeDocument/2006/relationships/image" Target="../media/image519.jpeg"/><Relationship Id="rId86" Type="http://schemas.openxmlformats.org/officeDocument/2006/relationships/image" Target="../media/image520.jpeg"/><Relationship Id="rId87" Type="http://schemas.openxmlformats.org/officeDocument/2006/relationships/image" Target="../media/image521.jpeg"/><Relationship Id="rId88" Type="http://schemas.openxmlformats.org/officeDocument/2006/relationships/image" Target="../media/image522.jpeg"/><Relationship Id="rId89" Type="http://schemas.openxmlformats.org/officeDocument/2006/relationships/image" Target="../media/image523.jpeg"/><Relationship Id="rId90" Type="http://schemas.openxmlformats.org/officeDocument/2006/relationships/image" Target="../media/image524.jpeg"/><Relationship Id="rId91" Type="http://schemas.openxmlformats.org/officeDocument/2006/relationships/image" Target="../media/image525.jpeg"/><Relationship Id="rId92" Type="http://schemas.openxmlformats.org/officeDocument/2006/relationships/image" Target="../media/image526.jpeg"/><Relationship Id="rId93" Type="http://schemas.openxmlformats.org/officeDocument/2006/relationships/image" Target="../media/image527.jpeg"/><Relationship Id="rId94" Type="http://schemas.openxmlformats.org/officeDocument/2006/relationships/image" Target="../media/image528.jpeg"/><Relationship Id="rId95" Type="http://schemas.openxmlformats.org/officeDocument/2006/relationships/image" Target="../media/image529.jpeg"/><Relationship Id="rId96" Type="http://schemas.openxmlformats.org/officeDocument/2006/relationships/image" Target="../media/image530.jpeg"/><Relationship Id="rId97" Type="http://schemas.openxmlformats.org/officeDocument/2006/relationships/image" Target="../media/image531.jpeg"/><Relationship Id="rId98" Type="http://schemas.openxmlformats.org/officeDocument/2006/relationships/image" Target="../media/image532.jpeg"/><Relationship Id="rId99" Type="http://schemas.openxmlformats.org/officeDocument/2006/relationships/image" Target="../media/image533.jpeg"/><Relationship Id="rId100" Type="http://schemas.openxmlformats.org/officeDocument/2006/relationships/image" Target="../media/image534.jpeg"/><Relationship Id="rId101" Type="http://schemas.openxmlformats.org/officeDocument/2006/relationships/image" Target="../media/image535.jpeg"/><Relationship Id="rId102" Type="http://schemas.openxmlformats.org/officeDocument/2006/relationships/image" Target="../media/image536.jpeg"/><Relationship Id="rId103" Type="http://schemas.openxmlformats.org/officeDocument/2006/relationships/image" Target="../media/image537.jpeg"/><Relationship Id="rId104" Type="http://schemas.openxmlformats.org/officeDocument/2006/relationships/image" Target="../media/image538.jpeg"/><Relationship Id="rId105" Type="http://schemas.openxmlformats.org/officeDocument/2006/relationships/image" Target="../media/image539.jpeg"/><Relationship Id="rId106" Type="http://schemas.openxmlformats.org/officeDocument/2006/relationships/image" Target="../media/image540.jpeg"/><Relationship Id="rId107" Type="http://schemas.openxmlformats.org/officeDocument/2006/relationships/image" Target="../media/image541.jpeg"/><Relationship Id="rId108" Type="http://schemas.openxmlformats.org/officeDocument/2006/relationships/image" Target="../media/image542.jpeg"/><Relationship Id="rId109" Type="http://schemas.openxmlformats.org/officeDocument/2006/relationships/image" Target="../media/image543.jpeg"/><Relationship Id="rId110" Type="http://schemas.openxmlformats.org/officeDocument/2006/relationships/image" Target="../media/image544.jpeg"/><Relationship Id="rId111" Type="http://schemas.openxmlformats.org/officeDocument/2006/relationships/image" Target="../media/image545.jpeg"/><Relationship Id="rId112" Type="http://schemas.openxmlformats.org/officeDocument/2006/relationships/image" Target="../media/image546.jpeg"/><Relationship Id="rId113" Type="http://schemas.openxmlformats.org/officeDocument/2006/relationships/image" Target="../media/image547.jpeg"/><Relationship Id="rId114" Type="http://schemas.openxmlformats.org/officeDocument/2006/relationships/image" Target="../media/image548.jpeg"/><Relationship Id="rId115" Type="http://schemas.openxmlformats.org/officeDocument/2006/relationships/image" Target="../media/image549.jpeg"/><Relationship Id="rId116" Type="http://schemas.openxmlformats.org/officeDocument/2006/relationships/image" Target="../media/image550.jpeg"/><Relationship Id="rId117" Type="http://schemas.openxmlformats.org/officeDocument/2006/relationships/image" Target="../media/image551.jpeg"/><Relationship Id="rId118" Type="http://schemas.openxmlformats.org/officeDocument/2006/relationships/image" Target="../media/image552.jpeg"/><Relationship Id="rId119" Type="http://schemas.openxmlformats.org/officeDocument/2006/relationships/image" Target="../media/image553.jpeg"/><Relationship Id="rId120" Type="http://schemas.openxmlformats.org/officeDocument/2006/relationships/image" Target="../media/image554.jpeg"/><Relationship Id="rId121" Type="http://schemas.openxmlformats.org/officeDocument/2006/relationships/image" Target="../media/image555.jpeg"/><Relationship Id="rId122" Type="http://schemas.openxmlformats.org/officeDocument/2006/relationships/image" Target="../media/image556.jpeg"/><Relationship Id="rId123" Type="http://schemas.openxmlformats.org/officeDocument/2006/relationships/image" Target="../media/image557.jpeg"/><Relationship Id="rId124" Type="http://schemas.openxmlformats.org/officeDocument/2006/relationships/image" Target="../media/image558.jpeg"/><Relationship Id="rId125" Type="http://schemas.openxmlformats.org/officeDocument/2006/relationships/image" Target="../media/image559.jpeg"/><Relationship Id="rId126" Type="http://schemas.openxmlformats.org/officeDocument/2006/relationships/image" Target="../media/image560.jpeg"/><Relationship Id="rId127" Type="http://schemas.openxmlformats.org/officeDocument/2006/relationships/image" Target="../media/image561.jpeg"/><Relationship Id="rId128" Type="http://schemas.openxmlformats.org/officeDocument/2006/relationships/image" Target="../media/image562.jpeg"/><Relationship Id="rId129" Type="http://schemas.openxmlformats.org/officeDocument/2006/relationships/image" Target="../media/image563.jpeg"/><Relationship Id="rId130" Type="http://schemas.openxmlformats.org/officeDocument/2006/relationships/image" Target="../media/image564.jpeg"/><Relationship Id="rId131" Type="http://schemas.openxmlformats.org/officeDocument/2006/relationships/image" Target="../media/image565.jpeg"/><Relationship Id="rId132" Type="http://schemas.openxmlformats.org/officeDocument/2006/relationships/image" Target="../media/image566.jpeg"/><Relationship Id="rId133" Type="http://schemas.openxmlformats.org/officeDocument/2006/relationships/image" Target="../media/image567.jpeg"/><Relationship Id="rId134" Type="http://schemas.openxmlformats.org/officeDocument/2006/relationships/image" Target="../media/image568.jpeg"/><Relationship Id="rId135" Type="http://schemas.openxmlformats.org/officeDocument/2006/relationships/image" Target="../media/image569.jpeg"/><Relationship Id="rId136" Type="http://schemas.openxmlformats.org/officeDocument/2006/relationships/image" Target="../media/image570.jpeg"/><Relationship Id="rId137" Type="http://schemas.openxmlformats.org/officeDocument/2006/relationships/image" Target="../media/image571.jpeg"/><Relationship Id="rId138" Type="http://schemas.openxmlformats.org/officeDocument/2006/relationships/image" Target="../media/image572.jpeg"/><Relationship Id="rId139" Type="http://schemas.openxmlformats.org/officeDocument/2006/relationships/image" Target="../media/image573.jpeg"/><Relationship Id="rId140" Type="http://schemas.openxmlformats.org/officeDocument/2006/relationships/image" Target="../media/image574.jpeg"/><Relationship Id="rId141" Type="http://schemas.openxmlformats.org/officeDocument/2006/relationships/image" Target="../media/image575.jpeg"/><Relationship Id="rId142" Type="http://schemas.openxmlformats.org/officeDocument/2006/relationships/image" Target="../media/image576.jpe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577.jpeg"/><Relationship Id="rId2" Type="http://schemas.openxmlformats.org/officeDocument/2006/relationships/image" Target="../media/image578.jpeg"/><Relationship Id="rId3" Type="http://schemas.openxmlformats.org/officeDocument/2006/relationships/image" Target="../media/image579.jpeg"/><Relationship Id="rId4" Type="http://schemas.openxmlformats.org/officeDocument/2006/relationships/image" Target="../media/image580.jpeg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581.jpeg"/><Relationship Id="rId2" Type="http://schemas.openxmlformats.org/officeDocument/2006/relationships/image" Target="../media/image582.jpeg"/><Relationship Id="rId3" Type="http://schemas.openxmlformats.org/officeDocument/2006/relationships/image" Target="../media/image583.jpeg"/>
</Relationships>
</file>

<file path=xl/drawings/_rels/drawing15.xml.rels><?xml version="1.0" encoding="UTF-8"?>
<Relationships xmlns="http://schemas.openxmlformats.org/package/2006/relationships"><Relationship Id="rId1" Type="http://schemas.openxmlformats.org/officeDocument/2006/relationships/image" Target="../media/image584.jpeg"/><Relationship Id="rId2" Type="http://schemas.openxmlformats.org/officeDocument/2006/relationships/image" Target="../media/image585.jpeg"/><Relationship Id="rId3" Type="http://schemas.openxmlformats.org/officeDocument/2006/relationships/image" Target="../media/image586.jpeg"/><Relationship Id="rId4" Type="http://schemas.openxmlformats.org/officeDocument/2006/relationships/image" Target="../media/image587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1247400</xdr:colOff>
      <xdr:row>1</xdr:row>
      <xdr:rowOff>856800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355680" y="190440"/>
          <a:ext cx="1247400" cy="856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723600</xdr:colOff>
      <xdr:row>0</xdr:row>
      <xdr:rowOff>723600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</xdr:row>
      <xdr:rowOff>97200</xdr:rowOff>
    </xdr:from>
    <xdr:to>
      <xdr:col>0</xdr:col>
      <xdr:colOff>723600</xdr:colOff>
      <xdr:row>15</xdr:row>
      <xdr:rowOff>630360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0" y="3638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102</xdr:row>
      <xdr:rowOff>87480</xdr:rowOff>
    </xdr:from>
    <xdr:to>
      <xdr:col>0</xdr:col>
      <xdr:colOff>723600</xdr:colOff>
      <xdr:row>106</xdr:row>
      <xdr:rowOff>49320</xdr:rowOff>
    </xdr:to>
    <xdr:pic>
      <xdr:nvPicPr>
        <xdr:cNvPr id="3" name="Image 3" descr="Picture"/>
        <xdr:cNvPicPr/>
      </xdr:nvPicPr>
      <xdr:blipFill>
        <a:blip r:embed="rId3"/>
        <a:stretch/>
      </xdr:blipFill>
      <xdr:spPr>
        <a:xfrm>
          <a:off x="0" y="21945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897</xdr:row>
      <xdr:rowOff>87480</xdr:rowOff>
    </xdr:from>
    <xdr:to>
      <xdr:col>0</xdr:col>
      <xdr:colOff>723600</xdr:colOff>
      <xdr:row>901</xdr:row>
      <xdr:rowOff>49320</xdr:rowOff>
    </xdr:to>
    <xdr:pic>
      <xdr:nvPicPr>
        <xdr:cNvPr id="4" name="Image 4" descr="Picture"/>
        <xdr:cNvPicPr/>
      </xdr:nvPicPr>
      <xdr:blipFill>
        <a:blip r:embed="rId4"/>
        <a:stretch/>
      </xdr:blipFill>
      <xdr:spPr>
        <a:xfrm>
          <a:off x="0" y="174174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1606</xdr:row>
      <xdr:rowOff>87840</xdr:rowOff>
    </xdr:from>
    <xdr:to>
      <xdr:col>0</xdr:col>
      <xdr:colOff>723600</xdr:colOff>
      <xdr:row>1610</xdr:row>
      <xdr:rowOff>49320</xdr:rowOff>
    </xdr:to>
    <xdr:pic>
      <xdr:nvPicPr>
        <xdr:cNvPr id="5" name="Image 5" descr="Picture"/>
        <xdr:cNvPicPr/>
      </xdr:nvPicPr>
      <xdr:blipFill>
        <a:blip r:embed="rId5"/>
        <a:stretch/>
      </xdr:blipFill>
      <xdr:spPr>
        <a:xfrm>
          <a:off x="0" y="310019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2149</xdr:row>
      <xdr:rowOff>87480</xdr:rowOff>
    </xdr:from>
    <xdr:to>
      <xdr:col>0</xdr:col>
      <xdr:colOff>723600</xdr:colOff>
      <xdr:row>2153</xdr:row>
      <xdr:rowOff>49320</xdr:rowOff>
    </xdr:to>
    <xdr:pic>
      <xdr:nvPicPr>
        <xdr:cNvPr id="6" name="Image 6" descr="Picture"/>
        <xdr:cNvPicPr/>
      </xdr:nvPicPr>
      <xdr:blipFill>
        <a:blip r:embed="rId6"/>
        <a:stretch/>
      </xdr:blipFill>
      <xdr:spPr>
        <a:xfrm>
          <a:off x="0" y="414242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2168</xdr:row>
      <xdr:rowOff>87840</xdr:rowOff>
    </xdr:from>
    <xdr:to>
      <xdr:col>0</xdr:col>
      <xdr:colOff>723600</xdr:colOff>
      <xdr:row>2172</xdr:row>
      <xdr:rowOff>49320</xdr:rowOff>
    </xdr:to>
    <xdr:pic>
      <xdr:nvPicPr>
        <xdr:cNvPr id="7" name="Image 7" descr="Picture"/>
        <xdr:cNvPicPr/>
      </xdr:nvPicPr>
      <xdr:blipFill>
        <a:blip r:embed="rId7"/>
        <a:stretch/>
      </xdr:blipFill>
      <xdr:spPr>
        <a:xfrm>
          <a:off x="0" y="4186429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2180</xdr:row>
      <xdr:rowOff>184680</xdr:rowOff>
    </xdr:from>
    <xdr:to>
      <xdr:col>0</xdr:col>
      <xdr:colOff>723600</xdr:colOff>
      <xdr:row>2184</xdr:row>
      <xdr:rowOff>146160</xdr:rowOff>
    </xdr:to>
    <xdr:pic>
      <xdr:nvPicPr>
        <xdr:cNvPr id="8" name="Image 8" descr="Picture"/>
        <xdr:cNvPicPr/>
      </xdr:nvPicPr>
      <xdr:blipFill>
        <a:blip r:embed="rId8"/>
        <a:stretch/>
      </xdr:blipFill>
      <xdr:spPr>
        <a:xfrm>
          <a:off x="0" y="421900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2210</xdr:row>
      <xdr:rowOff>184680</xdr:rowOff>
    </xdr:from>
    <xdr:to>
      <xdr:col>0</xdr:col>
      <xdr:colOff>723600</xdr:colOff>
      <xdr:row>2214</xdr:row>
      <xdr:rowOff>146520</xdr:rowOff>
    </xdr:to>
    <xdr:pic>
      <xdr:nvPicPr>
        <xdr:cNvPr id="9" name="Image 9" descr="Picture"/>
        <xdr:cNvPicPr/>
      </xdr:nvPicPr>
      <xdr:blipFill>
        <a:blip r:embed="rId9"/>
        <a:stretch/>
      </xdr:blipFill>
      <xdr:spPr>
        <a:xfrm>
          <a:off x="0" y="428396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2222</xdr:row>
      <xdr:rowOff>91440</xdr:rowOff>
    </xdr:from>
    <xdr:to>
      <xdr:col>0</xdr:col>
      <xdr:colOff>723600</xdr:colOff>
      <xdr:row>2225</xdr:row>
      <xdr:rowOff>74160</xdr:rowOff>
    </xdr:to>
    <xdr:pic>
      <xdr:nvPicPr>
        <xdr:cNvPr id="10" name="Image 10" descr="Picture"/>
        <xdr:cNvPicPr/>
      </xdr:nvPicPr>
      <xdr:blipFill>
        <a:blip r:embed="rId10"/>
        <a:stretch/>
      </xdr:blipFill>
      <xdr:spPr>
        <a:xfrm>
          <a:off x="0" y="431463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2239</xdr:row>
      <xdr:rowOff>112320</xdr:rowOff>
    </xdr:from>
    <xdr:to>
      <xdr:col>0</xdr:col>
      <xdr:colOff>723600</xdr:colOff>
      <xdr:row>2243</xdr:row>
      <xdr:rowOff>73800</xdr:rowOff>
    </xdr:to>
    <xdr:pic>
      <xdr:nvPicPr>
        <xdr:cNvPr id="11" name="Image 11" descr="Picture"/>
        <xdr:cNvPicPr/>
      </xdr:nvPicPr>
      <xdr:blipFill>
        <a:blip r:embed="rId11"/>
        <a:stretch/>
      </xdr:blipFill>
      <xdr:spPr>
        <a:xfrm>
          <a:off x="0" y="435673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2307</xdr:row>
      <xdr:rowOff>59040</xdr:rowOff>
    </xdr:from>
    <xdr:to>
      <xdr:col>0</xdr:col>
      <xdr:colOff>723600</xdr:colOff>
      <xdr:row>2310</xdr:row>
      <xdr:rowOff>41760</xdr:rowOff>
    </xdr:to>
    <xdr:pic>
      <xdr:nvPicPr>
        <xdr:cNvPr id="12" name="Image 12" descr="Picture"/>
        <xdr:cNvPicPr/>
      </xdr:nvPicPr>
      <xdr:blipFill>
        <a:blip r:embed="rId12"/>
        <a:stretch/>
      </xdr:blipFill>
      <xdr:spPr>
        <a:xfrm>
          <a:off x="0" y="451313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2747</xdr:row>
      <xdr:rowOff>121680</xdr:rowOff>
    </xdr:from>
    <xdr:to>
      <xdr:col>0</xdr:col>
      <xdr:colOff>723600</xdr:colOff>
      <xdr:row>2751</xdr:row>
      <xdr:rowOff>83520</xdr:rowOff>
    </xdr:to>
    <xdr:pic>
      <xdr:nvPicPr>
        <xdr:cNvPr id="13" name="Image 13" descr="Picture"/>
        <xdr:cNvPicPr/>
      </xdr:nvPicPr>
      <xdr:blipFill>
        <a:blip r:embed="rId13"/>
        <a:stretch/>
      </xdr:blipFill>
      <xdr:spPr>
        <a:xfrm>
          <a:off x="0" y="536486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3439</xdr:row>
      <xdr:rowOff>122040</xdr:rowOff>
    </xdr:from>
    <xdr:to>
      <xdr:col>0</xdr:col>
      <xdr:colOff>723600</xdr:colOff>
      <xdr:row>3443</xdr:row>
      <xdr:rowOff>83520</xdr:rowOff>
    </xdr:to>
    <xdr:pic>
      <xdr:nvPicPr>
        <xdr:cNvPr id="14" name="Image 14" descr="Picture"/>
        <xdr:cNvPicPr/>
      </xdr:nvPicPr>
      <xdr:blipFill>
        <a:blip r:embed="rId14"/>
        <a:stretch/>
      </xdr:blipFill>
      <xdr:spPr>
        <a:xfrm>
          <a:off x="0" y="669093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3570</xdr:row>
      <xdr:rowOff>122040</xdr:rowOff>
    </xdr:from>
    <xdr:to>
      <xdr:col>0</xdr:col>
      <xdr:colOff>723600</xdr:colOff>
      <xdr:row>3574</xdr:row>
      <xdr:rowOff>83520</xdr:rowOff>
    </xdr:to>
    <xdr:pic>
      <xdr:nvPicPr>
        <xdr:cNvPr id="15" name="Image 15" descr="Picture"/>
        <xdr:cNvPicPr/>
      </xdr:nvPicPr>
      <xdr:blipFill>
        <a:blip r:embed="rId15"/>
        <a:stretch/>
      </xdr:blipFill>
      <xdr:spPr>
        <a:xfrm>
          <a:off x="0" y="694829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3621</xdr:row>
      <xdr:rowOff>91440</xdr:rowOff>
    </xdr:from>
    <xdr:to>
      <xdr:col>0</xdr:col>
      <xdr:colOff>723600</xdr:colOff>
      <xdr:row>3624</xdr:row>
      <xdr:rowOff>73800</xdr:rowOff>
    </xdr:to>
    <xdr:pic>
      <xdr:nvPicPr>
        <xdr:cNvPr id="16" name="Image 16" descr="Picture"/>
        <xdr:cNvPicPr/>
      </xdr:nvPicPr>
      <xdr:blipFill>
        <a:blip r:embed="rId16"/>
        <a:stretch/>
      </xdr:blipFill>
      <xdr:spPr>
        <a:xfrm>
          <a:off x="0" y="705897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3940</xdr:row>
      <xdr:rowOff>5760</xdr:rowOff>
    </xdr:from>
    <xdr:to>
      <xdr:col>0</xdr:col>
      <xdr:colOff>723600</xdr:colOff>
      <xdr:row>3943</xdr:row>
      <xdr:rowOff>158040</xdr:rowOff>
    </xdr:to>
    <xdr:pic>
      <xdr:nvPicPr>
        <xdr:cNvPr id="17" name="Image 17" descr="Picture"/>
        <xdr:cNvPicPr/>
      </xdr:nvPicPr>
      <xdr:blipFill>
        <a:blip r:embed="rId17"/>
        <a:stretch/>
      </xdr:blipFill>
      <xdr:spPr>
        <a:xfrm>
          <a:off x="0" y="768210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4331</xdr:row>
      <xdr:rowOff>89640</xdr:rowOff>
    </xdr:from>
    <xdr:to>
      <xdr:col>0</xdr:col>
      <xdr:colOff>723600</xdr:colOff>
      <xdr:row>4335</xdr:row>
      <xdr:rowOff>51120</xdr:rowOff>
    </xdr:to>
    <xdr:pic>
      <xdr:nvPicPr>
        <xdr:cNvPr id="18" name="Image 18" descr="Picture"/>
        <xdr:cNvPicPr/>
      </xdr:nvPicPr>
      <xdr:blipFill>
        <a:blip r:embed="rId18"/>
        <a:stretch/>
      </xdr:blipFill>
      <xdr:spPr>
        <a:xfrm>
          <a:off x="0" y="844238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4438</xdr:row>
      <xdr:rowOff>173520</xdr:rowOff>
    </xdr:from>
    <xdr:to>
      <xdr:col>0</xdr:col>
      <xdr:colOff>723600</xdr:colOff>
      <xdr:row>4442</xdr:row>
      <xdr:rowOff>135000</xdr:rowOff>
    </xdr:to>
    <xdr:pic>
      <xdr:nvPicPr>
        <xdr:cNvPr id="19" name="Image 19" descr="Picture"/>
        <xdr:cNvPicPr/>
      </xdr:nvPicPr>
      <xdr:blipFill>
        <a:blip r:embed="rId19"/>
        <a:stretch/>
      </xdr:blipFill>
      <xdr:spPr>
        <a:xfrm>
          <a:off x="0" y="866165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4447</xdr:row>
      <xdr:rowOff>1800</xdr:rowOff>
    </xdr:from>
    <xdr:to>
      <xdr:col>0</xdr:col>
      <xdr:colOff>723600</xdr:colOff>
      <xdr:row>4450</xdr:row>
      <xdr:rowOff>154080</xdr:rowOff>
    </xdr:to>
    <xdr:pic>
      <xdr:nvPicPr>
        <xdr:cNvPr id="20" name="Image 20" descr="Picture"/>
        <xdr:cNvPicPr/>
      </xdr:nvPicPr>
      <xdr:blipFill>
        <a:blip r:embed="rId20"/>
        <a:stretch/>
      </xdr:blipFill>
      <xdr:spPr>
        <a:xfrm>
          <a:off x="0" y="8677083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4474</xdr:row>
      <xdr:rowOff>1800</xdr:rowOff>
    </xdr:from>
    <xdr:to>
      <xdr:col>0</xdr:col>
      <xdr:colOff>723600</xdr:colOff>
      <xdr:row>4477</xdr:row>
      <xdr:rowOff>154080</xdr:rowOff>
    </xdr:to>
    <xdr:pic>
      <xdr:nvPicPr>
        <xdr:cNvPr id="21" name="Image 21" descr="Picture"/>
        <xdr:cNvPicPr/>
      </xdr:nvPicPr>
      <xdr:blipFill>
        <a:blip r:embed="rId21"/>
        <a:stretch/>
      </xdr:blipFill>
      <xdr:spPr>
        <a:xfrm>
          <a:off x="0" y="873442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4493</xdr:row>
      <xdr:rowOff>1800</xdr:rowOff>
    </xdr:from>
    <xdr:to>
      <xdr:col>0</xdr:col>
      <xdr:colOff>723600</xdr:colOff>
      <xdr:row>4496</xdr:row>
      <xdr:rowOff>154080</xdr:rowOff>
    </xdr:to>
    <xdr:pic>
      <xdr:nvPicPr>
        <xdr:cNvPr id="22" name="Image 22" descr="Picture"/>
        <xdr:cNvPicPr/>
      </xdr:nvPicPr>
      <xdr:blipFill>
        <a:blip r:embed="rId22"/>
        <a:stretch/>
      </xdr:blipFill>
      <xdr:spPr>
        <a:xfrm>
          <a:off x="0" y="877843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4507</xdr:row>
      <xdr:rowOff>289440</xdr:rowOff>
    </xdr:from>
    <xdr:to>
      <xdr:col>0</xdr:col>
      <xdr:colOff>723600</xdr:colOff>
      <xdr:row>4511</xdr:row>
      <xdr:rowOff>60480</xdr:rowOff>
    </xdr:to>
    <xdr:pic>
      <xdr:nvPicPr>
        <xdr:cNvPr id="23" name="Image 23" descr="Picture"/>
        <xdr:cNvPicPr/>
      </xdr:nvPicPr>
      <xdr:blipFill>
        <a:blip r:embed="rId23"/>
        <a:stretch/>
      </xdr:blipFill>
      <xdr:spPr>
        <a:xfrm>
          <a:off x="0" y="881481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4936</xdr:row>
      <xdr:rowOff>177120</xdr:rowOff>
    </xdr:from>
    <xdr:to>
      <xdr:col>0</xdr:col>
      <xdr:colOff>723600</xdr:colOff>
      <xdr:row>4940</xdr:row>
      <xdr:rowOff>138960</xdr:rowOff>
    </xdr:to>
    <xdr:pic>
      <xdr:nvPicPr>
        <xdr:cNvPr id="24" name="Image 24" descr="Picture"/>
        <xdr:cNvPicPr/>
      </xdr:nvPicPr>
      <xdr:blipFill>
        <a:blip r:embed="rId24"/>
        <a:stretch/>
      </xdr:blipFill>
      <xdr:spPr>
        <a:xfrm>
          <a:off x="0" y="964939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4945</xdr:row>
      <xdr:rowOff>5760</xdr:rowOff>
    </xdr:from>
    <xdr:to>
      <xdr:col>0</xdr:col>
      <xdr:colOff>723600</xdr:colOff>
      <xdr:row>4948</xdr:row>
      <xdr:rowOff>157680</xdr:rowOff>
    </xdr:to>
    <xdr:pic>
      <xdr:nvPicPr>
        <xdr:cNvPr id="25" name="Image 25" descr="Picture"/>
        <xdr:cNvPicPr/>
      </xdr:nvPicPr>
      <xdr:blipFill>
        <a:blip r:embed="rId25"/>
        <a:stretch/>
      </xdr:blipFill>
      <xdr:spPr>
        <a:xfrm>
          <a:off x="0" y="966482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4953</xdr:row>
      <xdr:rowOff>24480</xdr:rowOff>
    </xdr:from>
    <xdr:to>
      <xdr:col>0</xdr:col>
      <xdr:colOff>723600</xdr:colOff>
      <xdr:row>4956</xdr:row>
      <xdr:rowOff>176760</xdr:rowOff>
    </xdr:to>
    <xdr:pic>
      <xdr:nvPicPr>
        <xdr:cNvPr id="26" name="Image 26" descr="Picture"/>
        <xdr:cNvPicPr/>
      </xdr:nvPicPr>
      <xdr:blipFill>
        <a:blip r:embed="rId26"/>
        <a:stretch/>
      </xdr:blipFill>
      <xdr:spPr>
        <a:xfrm>
          <a:off x="0" y="968025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5011</xdr:row>
      <xdr:rowOff>177120</xdr:rowOff>
    </xdr:from>
    <xdr:to>
      <xdr:col>0</xdr:col>
      <xdr:colOff>723600</xdr:colOff>
      <xdr:row>5015</xdr:row>
      <xdr:rowOff>138960</xdr:rowOff>
    </xdr:to>
    <xdr:pic>
      <xdr:nvPicPr>
        <xdr:cNvPr id="27" name="Image 27" descr="Picture"/>
        <xdr:cNvPicPr/>
      </xdr:nvPicPr>
      <xdr:blipFill>
        <a:blip r:embed="rId27"/>
        <a:stretch/>
      </xdr:blipFill>
      <xdr:spPr>
        <a:xfrm>
          <a:off x="0" y="9811893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5028</xdr:row>
      <xdr:rowOff>5400</xdr:rowOff>
    </xdr:from>
    <xdr:to>
      <xdr:col>0</xdr:col>
      <xdr:colOff>723600</xdr:colOff>
      <xdr:row>5031</xdr:row>
      <xdr:rowOff>157680</xdr:rowOff>
    </xdr:to>
    <xdr:pic>
      <xdr:nvPicPr>
        <xdr:cNvPr id="28" name="Image 28" descr="Picture"/>
        <xdr:cNvPicPr/>
      </xdr:nvPicPr>
      <xdr:blipFill>
        <a:blip r:embed="rId28"/>
        <a:stretch/>
      </xdr:blipFill>
      <xdr:spPr>
        <a:xfrm>
          <a:off x="0" y="984256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5096</xdr:row>
      <xdr:rowOff>83880</xdr:rowOff>
    </xdr:from>
    <xdr:to>
      <xdr:col>0</xdr:col>
      <xdr:colOff>723600</xdr:colOff>
      <xdr:row>5100</xdr:row>
      <xdr:rowOff>45360</xdr:rowOff>
    </xdr:to>
    <xdr:pic>
      <xdr:nvPicPr>
        <xdr:cNvPr id="29" name="Image 29" descr="Picture"/>
        <xdr:cNvPicPr/>
      </xdr:nvPicPr>
      <xdr:blipFill>
        <a:blip r:embed="rId29"/>
        <a:stretch/>
      </xdr:blipFill>
      <xdr:spPr>
        <a:xfrm>
          <a:off x="0" y="998943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5120</xdr:row>
      <xdr:rowOff>102960</xdr:rowOff>
    </xdr:from>
    <xdr:to>
      <xdr:col>0</xdr:col>
      <xdr:colOff>723600</xdr:colOff>
      <xdr:row>5124</xdr:row>
      <xdr:rowOff>64440</xdr:rowOff>
    </xdr:to>
    <xdr:pic>
      <xdr:nvPicPr>
        <xdr:cNvPr id="30" name="Image 30" descr="Picture"/>
        <xdr:cNvPicPr/>
      </xdr:nvPicPr>
      <xdr:blipFill>
        <a:blip r:embed="rId30"/>
        <a:stretch/>
      </xdr:blipFill>
      <xdr:spPr>
        <a:xfrm>
          <a:off x="0" y="10035349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5128</xdr:row>
      <xdr:rowOff>121680</xdr:rowOff>
    </xdr:from>
    <xdr:to>
      <xdr:col>0</xdr:col>
      <xdr:colOff>723600</xdr:colOff>
      <xdr:row>5132</xdr:row>
      <xdr:rowOff>83520</xdr:rowOff>
    </xdr:to>
    <xdr:pic>
      <xdr:nvPicPr>
        <xdr:cNvPr id="31" name="Image 31" descr="Picture"/>
        <xdr:cNvPicPr/>
      </xdr:nvPicPr>
      <xdr:blipFill>
        <a:blip r:embed="rId31"/>
        <a:stretch/>
      </xdr:blipFill>
      <xdr:spPr>
        <a:xfrm>
          <a:off x="0" y="1005077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5139</xdr:row>
      <xdr:rowOff>28800</xdr:rowOff>
    </xdr:from>
    <xdr:to>
      <xdr:col>0</xdr:col>
      <xdr:colOff>723600</xdr:colOff>
      <xdr:row>5142</xdr:row>
      <xdr:rowOff>180720</xdr:rowOff>
    </xdr:to>
    <xdr:pic>
      <xdr:nvPicPr>
        <xdr:cNvPr id="32" name="Image 32" descr="Picture"/>
        <xdr:cNvPicPr/>
      </xdr:nvPicPr>
      <xdr:blipFill>
        <a:blip r:embed="rId32"/>
        <a:stretch/>
      </xdr:blipFill>
      <xdr:spPr>
        <a:xfrm>
          <a:off x="0" y="1007954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5152</xdr:row>
      <xdr:rowOff>47520</xdr:rowOff>
    </xdr:from>
    <xdr:to>
      <xdr:col>0</xdr:col>
      <xdr:colOff>723600</xdr:colOff>
      <xdr:row>5152</xdr:row>
      <xdr:rowOff>771120</xdr:rowOff>
    </xdr:to>
    <xdr:pic>
      <xdr:nvPicPr>
        <xdr:cNvPr id="33" name="Image 33" descr="Picture"/>
        <xdr:cNvPicPr/>
      </xdr:nvPicPr>
      <xdr:blipFill>
        <a:blip r:embed="rId33"/>
        <a:stretch/>
      </xdr:blipFill>
      <xdr:spPr>
        <a:xfrm>
          <a:off x="0" y="1010450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5157</xdr:row>
      <xdr:rowOff>47520</xdr:rowOff>
    </xdr:from>
    <xdr:to>
      <xdr:col>0</xdr:col>
      <xdr:colOff>723600</xdr:colOff>
      <xdr:row>5157</xdr:row>
      <xdr:rowOff>771120</xdr:rowOff>
    </xdr:to>
    <xdr:pic>
      <xdr:nvPicPr>
        <xdr:cNvPr id="34" name="Image 34" descr="Picture"/>
        <xdr:cNvPicPr/>
      </xdr:nvPicPr>
      <xdr:blipFill>
        <a:blip r:embed="rId34"/>
        <a:stretch/>
      </xdr:blipFill>
      <xdr:spPr>
        <a:xfrm>
          <a:off x="0" y="1011993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5166</xdr:row>
      <xdr:rowOff>47520</xdr:rowOff>
    </xdr:from>
    <xdr:to>
      <xdr:col>0</xdr:col>
      <xdr:colOff>723600</xdr:colOff>
      <xdr:row>5168</xdr:row>
      <xdr:rowOff>390240</xdr:rowOff>
    </xdr:to>
    <xdr:pic>
      <xdr:nvPicPr>
        <xdr:cNvPr id="35" name="Image 35" descr="Picture"/>
        <xdr:cNvPicPr/>
      </xdr:nvPicPr>
      <xdr:blipFill>
        <a:blip r:embed="rId35"/>
        <a:stretch/>
      </xdr:blipFill>
      <xdr:spPr>
        <a:xfrm>
          <a:off x="0" y="1014488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5227</xdr:row>
      <xdr:rowOff>181080</xdr:rowOff>
    </xdr:from>
    <xdr:to>
      <xdr:col>0</xdr:col>
      <xdr:colOff>723600</xdr:colOff>
      <xdr:row>5231</xdr:row>
      <xdr:rowOff>142560</xdr:rowOff>
    </xdr:to>
    <xdr:pic>
      <xdr:nvPicPr>
        <xdr:cNvPr id="36" name="Image 36" descr="Picture"/>
        <xdr:cNvPicPr/>
      </xdr:nvPicPr>
      <xdr:blipFill>
        <a:blip r:embed="rId36"/>
        <a:stretch/>
      </xdr:blipFill>
      <xdr:spPr>
        <a:xfrm>
          <a:off x="0" y="1029176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5308</xdr:row>
      <xdr:rowOff>181080</xdr:rowOff>
    </xdr:from>
    <xdr:to>
      <xdr:col>0</xdr:col>
      <xdr:colOff>723600</xdr:colOff>
      <xdr:row>5312</xdr:row>
      <xdr:rowOff>142560</xdr:rowOff>
    </xdr:to>
    <xdr:pic>
      <xdr:nvPicPr>
        <xdr:cNvPr id="37" name="Image 37" descr="Picture"/>
        <xdr:cNvPicPr/>
      </xdr:nvPicPr>
      <xdr:blipFill>
        <a:blip r:embed="rId37"/>
        <a:stretch/>
      </xdr:blipFill>
      <xdr:spPr>
        <a:xfrm>
          <a:off x="0" y="1045387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5325</xdr:row>
      <xdr:rowOff>9720</xdr:rowOff>
    </xdr:from>
    <xdr:to>
      <xdr:col>0</xdr:col>
      <xdr:colOff>723600</xdr:colOff>
      <xdr:row>5328</xdr:row>
      <xdr:rowOff>161640</xdr:rowOff>
    </xdr:to>
    <xdr:pic>
      <xdr:nvPicPr>
        <xdr:cNvPr id="38" name="Image 38" descr="Picture"/>
        <xdr:cNvPicPr/>
      </xdr:nvPicPr>
      <xdr:blipFill>
        <a:blip r:embed="rId38"/>
        <a:stretch/>
      </xdr:blipFill>
      <xdr:spPr>
        <a:xfrm>
          <a:off x="0" y="1048455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5339</xdr:row>
      <xdr:rowOff>28800</xdr:rowOff>
    </xdr:from>
    <xdr:to>
      <xdr:col>0</xdr:col>
      <xdr:colOff>723600</xdr:colOff>
      <xdr:row>5342</xdr:row>
      <xdr:rowOff>180720</xdr:rowOff>
    </xdr:to>
    <xdr:pic>
      <xdr:nvPicPr>
        <xdr:cNvPr id="39" name="Image 39" descr="Picture"/>
        <xdr:cNvPicPr/>
      </xdr:nvPicPr>
      <xdr:blipFill>
        <a:blip r:embed="rId39"/>
        <a:stretch/>
      </xdr:blipFill>
      <xdr:spPr>
        <a:xfrm>
          <a:off x="0" y="1051140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5351</xdr:row>
      <xdr:rowOff>219240</xdr:rowOff>
    </xdr:from>
    <xdr:to>
      <xdr:col>0</xdr:col>
      <xdr:colOff>723600</xdr:colOff>
      <xdr:row>5354</xdr:row>
      <xdr:rowOff>32400</xdr:rowOff>
    </xdr:to>
    <xdr:pic>
      <xdr:nvPicPr>
        <xdr:cNvPr id="40" name="Image 40" descr="Picture"/>
        <xdr:cNvPicPr/>
      </xdr:nvPicPr>
      <xdr:blipFill>
        <a:blip r:embed="rId40"/>
        <a:stretch/>
      </xdr:blipFill>
      <xdr:spPr>
        <a:xfrm>
          <a:off x="0" y="1054398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5362</xdr:row>
      <xdr:rowOff>70560</xdr:rowOff>
    </xdr:from>
    <xdr:to>
      <xdr:col>0</xdr:col>
      <xdr:colOff>723600</xdr:colOff>
      <xdr:row>5365</xdr:row>
      <xdr:rowOff>52920</xdr:rowOff>
    </xdr:to>
    <xdr:pic>
      <xdr:nvPicPr>
        <xdr:cNvPr id="41" name="Image 41" descr="Picture"/>
        <xdr:cNvPicPr/>
      </xdr:nvPicPr>
      <xdr:blipFill>
        <a:blip r:embed="rId41"/>
        <a:stretch/>
      </xdr:blipFill>
      <xdr:spPr>
        <a:xfrm>
          <a:off x="0" y="1057465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5407</xdr:row>
      <xdr:rowOff>41400</xdr:rowOff>
    </xdr:from>
    <xdr:to>
      <xdr:col>0</xdr:col>
      <xdr:colOff>723600</xdr:colOff>
      <xdr:row>5408</xdr:row>
      <xdr:rowOff>234720</xdr:rowOff>
    </xdr:to>
    <xdr:pic>
      <xdr:nvPicPr>
        <xdr:cNvPr id="42" name="Image 42" descr="Picture"/>
        <xdr:cNvPicPr/>
      </xdr:nvPicPr>
      <xdr:blipFill>
        <a:blip r:embed="rId42"/>
        <a:stretch/>
      </xdr:blipFill>
      <xdr:spPr>
        <a:xfrm>
          <a:off x="0" y="1073105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5409</xdr:row>
      <xdr:rowOff>523800</xdr:rowOff>
    </xdr:from>
    <xdr:to>
      <xdr:col>0</xdr:col>
      <xdr:colOff>723600</xdr:colOff>
      <xdr:row>5411</xdr:row>
      <xdr:rowOff>16200</xdr:rowOff>
    </xdr:to>
    <xdr:pic>
      <xdr:nvPicPr>
        <xdr:cNvPr id="43" name="Image 43" descr="Picture"/>
        <xdr:cNvPicPr/>
      </xdr:nvPicPr>
      <xdr:blipFill>
        <a:blip r:embed="rId43"/>
        <a:stretch/>
      </xdr:blipFill>
      <xdr:spPr>
        <a:xfrm>
          <a:off x="0" y="1074648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5415</xdr:row>
      <xdr:rowOff>429480</xdr:rowOff>
    </xdr:from>
    <xdr:to>
      <xdr:col>0</xdr:col>
      <xdr:colOff>723600</xdr:colOff>
      <xdr:row>5417</xdr:row>
      <xdr:rowOff>92520</xdr:rowOff>
    </xdr:to>
    <xdr:pic>
      <xdr:nvPicPr>
        <xdr:cNvPr id="44" name="Image 44" descr="Picture"/>
        <xdr:cNvPicPr/>
      </xdr:nvPicPr>
      <xdr:blipFill>
        <a:blip r:embed="rId44"/>
        <a:stretch/>
      </xdr:blipFill>
      <xdr:spPr>
        <a:xfrm>
          <a:off x="0" y="1077906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5420</xdr:row>
      <xdr:rowOff>273600</xdr:rowOff>
    </xdr:from>
    <xdr:to>
      <xdr:col>0</xdr:col>
      <xdr:colOff>723600</xdr:colOff>
      <xdr:row>5421</xdr:row>
      <xdr:rowOff>467280</xdr:rowOff>
    </xdr:to>
    <xdr:pic>
      <xdr:nvPicPr>
        <xdr:cNvPr id="45" name="Image 45" descr="Picture"/>
        <xdr:cNvPicPr/>
      </xdr:nvPicPr>
      <xdr:blipFill>
        <a:blip r:embed="rId45"/>
        <a:stretch/>
      </xdr:blipFill>
      <xdr:spPr>
        <a:xfrm>
          <a:off x="0" y="1080401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723600</xdr:colOff>
      <xdr:row>0</xdr:row>
      <xdr:rowOff>723600</xdr:rowOff>
    </xdr:to>
    <xdr:pic>
      <xdr:nvPicPr>
        <xdr:cNvPr id="46" name="Image 1" descr="Picture"/>
        <xdr:cNvPicPr/>
      </xdr:nvPicPr>
      <xdr:blipFill>
        <a:blip r:embed="rId1"/>
        <a:stretch/>
      </xdr:blipFill>
      <xdr:spPr>
        <a:xfrm>
          <a:off x="0" y="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0</xdr:col>
      <xdr:colOff>723600</xdr:colOff>
      <xdr:row>442</xdr:row>
      <xdr:rowOff>723600</xdr:rowOff>
    </xdr:to>
    <xdr:pic>
      <xdr:nvPicPr>
        <xdr:cNvPr id="47" name="Image 2" descr="Picture"/>
        <xdr:cNvPicPr/>
      </xdr:nvPicPr>
      <xdr:blipFill>
        <a:blip r:embed="rId2"/>
        <a:stretch/>
      </xdr:blipFill>
      <xdr:spPr>
        <a:xfrm>
          <a:off x="0" y="84981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723600</xdr:colOff>
      <xdr:row>485</xdr:row>
      <xdr:rowOff>723600</xdr:rowOff>
    </xdr:to>
    <xdr:pic>
      <xdr:nvPicPr>
        <xdr:cNvPr id="48" name="Image 3" descr="Picture"/>
        <xdr:cNvPicPr/>
      </xdr:nvPicPr>
      <xdr:blipFill>
        <a:blip r:embed="rId3"/>
        <a:stretch/>
      </xdr:blipFill>
      <xdr:spPr>
        <a:xfrm>
          <a:off x="0" y="93954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800</xdr:row>
      <xdr:rowOff>0</xdr:rowOff>
    </xdr:from>
    <xdr:to>
      <xdr:col>0</xdr:col>
      <xdr:colOff>723600</xdr:colOff>
      <xdr:row>800</xdr:row>
      <xdr:rowOff>723600</xdr:rowOff>
    </xdr:to>
    <xdr:pic>
      <xdr:nvPicPr>
        <xdr:cNvPr id="49" name="Image 4" descr="Picture"/>
        <xdr:cNvPicPr/>
      </xdr:nvPicPr>
      <xdr:blipFill>
        <a:blip r:embed="rId4"/>
        <a:stretch/>
      </xdr:blipFill>
      <xdr:spPr>
        <a:xfrm>
          <a:off x="0" y="154743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921</xdr:row>
      <xdr:rowOff>0</xdr:rowOff>
    </xdr:from>
    <xdr:to>
      <xdr:col>0</xdr:col>
      <xdr:colOff>723600</xdr:colOff>
      <xdr:row>921</xdr:row>
      <xdr:rowOff>723600</xdr:rowOff>
    </xdr:to>
    <xdr:pic>
      <xdr:nvPicPr>
        <xdr:cNvPr id="50" name="Image 5" descr="Picture"/>
        <xdr:cNvPicPr/>
      </xdr:nvPicPr>
      <xdr:blipFill>
        <a:blip r:embed="rId5"/>
        <a:stretch/>
      </xdr:blipFill>
      <xdr:spPr>
        <a:xfrm>
          <a:off x="0" y="178574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960</xdr:row>
      <xdr:rowOff>0</xdr:rowOff>
    </xdr:from>
    <xdr:to>
      <xdr:col>0</xdr:col>
      <xdr:colOff>723600</xdr:colOff>
      <xdr:row>960</xdr:row>
      <xdr:rowOff>723600</xdr:rowOff>
    </xdr:to>
    <xdr:pic>
      <xdr:nvPicPr>
        <xdr:cNvPr id="51" name="Image 6" descr="Picture"/>
        <xdr:cNvPicPr/>
      </xdr:nvPicPr>
      <xdr:blipFill>
        <a:blip r:embed="rId6"/>
        <a:stretch/>
      </xdr:blipFill>
      <xdr:spPr>
        <a:xfrm>
          <a:off x="0" y="186785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978</xdr:row>
      <xdr:rowOff>0</xdr:rowOff>
    </xdr:from>
    <xdr:to>
      <xdr:col>0</xdr:col>
      <xdr:colOff>723600</xdr:colOff>
      <xdr:row>978</xdr:row>
      <xdr:rowOff>723600</xdr:rowOff>
    </xdr:to>
    <xdr:pic>
      <xdr:nvPicPr>
        <xdr:cNvPr id="52" name="Image 7" descr="Picture"/>
        <xdr:cNvPicPr/>
      </xdr:nvPicPr>
      <xdr:blipFill>
        <a:blip r:embed="rId7"/>
        <a:stretch/>
      </xdr:blipFill>
      <xdr:spPr>
        <a:xfrm>
          <a:off x="0" y="190995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991</xdr:row>
      <xdr:rowOff>0</xdr:rowOff>
    </xdr:from>
    <xdr:to>
      <xdr:col>0</xdr:col>
      <xdr:colOff>723600</xdr:colOff>
      <xdr:row>991</xdr:row>
      <xdr:rowOff>723600</xdr:rowOff>
    </xdr:to>
    <xdr:pic>
      <xdr:nvPicPr>
        <xdr:cNvPr id="53" name="Image 8" descr="Picture"/>
        <xdr:cNvPicPr/>
      </xdr:nvPicPr>
      <xdr:blipFill>
        <a:blip r:embed="rId8"/>
        <a:stretch/>
      </xdr:blipFill>
      <xdr:spPr>
        <a:xfrm>
          <a:off x="0" y="194252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1015</xdr:row>
      <xdr:rowOff>0</xdr:rowOff>
    </xdr:from>
    <xdr:to>
      <xdr:col>0</xdr:col>
      <xdr:colOff>723600</xdr:colOff>
      <xdr:row>1015</xdr:row>
      <xdr:rowOff>723600</xdr:rowOff>
    </xdr:to>
    <xdr:pic>
      <xdr:nvPicPr>
        <xdr:cNvPr id="54" name="Image 9" descr="Picture"/>
        <xdr:cNvPicPr/>
      </xdr:nvPicPr>
      <xdr:blipFill>
        <a:blip r:embed="rId9"/>
        <a:stretch/>
      </xdr:blipFill>
      <xdr:spPr>
        <a:xfrm>
          <a:off x="0" y="199605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1025</xdr:row>
      <xdr:rowOff>295200</xdr:rowOff>
    </xdr:from>
    <xdr:to>
      <xdr:col>0</xdr:col>
      <xdr:colOff>723600</xdr:colOff>
      <xdr:row>1027</xdr:row>
      <xdr:rowOff>298800</xdr:rowOff>
    </xdr:to>
    <xdr:pic>
      <xdr:nvPicPr>
        <xdr:cNvPr id="55" name="Image 10" descr="Picture"/>
        <xdr:cNvPicPr/>
      </xdr:nvPicPr>
      <xdr:blipFill>
        <a:blip r:embed="rId10"/>
        <a:stretch/>
      </xdr:blipFill>
      <xdr:spPr>
        <a:xfrm>
          <a:off x="0" y="2034349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1034</xdr:row>
      <xdr:rowOff>188640</xdr:rowOff>
    </xdr:from>
    <xdr:to>
      <xdr:col>0</xdr:col>
      <xdr:colOff>723600</xdr:colOff>
      <xdr:row>1037</xdr:row>
      <xdr:rowOff>340920</xdr:rowOff>
    </xdr:to>
    <xdr:pic>
      <xdr:nvPicPr>
        <xdr:cNvPr id="56" name="Image 11" descr="Picture"/>
        <xdr:cNvPicPr/>
      </xdr:nvPicPr>
      <xdr:blipFill>
        <a:blip r:embed="rId11"/>
        <a:stretch/>
      </xdr:blipFill>
      <xdr:spPr>
        <a:xfrm>
          <a:off x="0" y="206502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1049</xdr:row>
      <xdr:rowOff>122760</xdr:rowOff>
    </xdr:from>
    <xdr:to>
      <xdr:col>0</xdr:col>
      <xdr:colOff>723600</xdr:colOff>
      <xdr:row>1053</xdr:row>
      <xdr:rowOff>84240</xdr:rowOff>
    </xdr:to>
    <xdr:pic>
      <xdr:nvPicPr>
        <xdr:cNvPr id="57" name="Image 12" descr="Picture"/>
        <xdr:cNvPicPr/>
      </xdr:nvPicPr>
      <xdr:blipFill>
        <a:blip r:embed="rId12"/>
        <a:stretch/>
      </xdr:blipFill>
      <xdr:spPr>
        <a:xfrm>
          <a:off x="0" y="211093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1079</xdr:row>
      <xdr:rowOff>122400</xdr:rowOff>
    </xdr:from>
    <xdr:to>
      <xdr:col>0</xdr:col>
      <xdr:colOff>723600</xdr:colOff>
      <xdr:row>1083</xdr:row>
      <xdr:rowOff>84240</xdr:rowOff>
    </xdr:to>
    <xdr:pic>
      <xdr:nvPicPr>
        <xdr:cNvPr id="58" name="Image 13" descr="Picture"/>
        <xdr:cNvPicPr/>
      </xdr:nvPicPr>
      <xdr:blipFill>
        <a:blip r:embed="rId13"/>
        <a:stretch/>
      </xdr:blipFill>
      <xdr:spPr>
        <a:xfrm>
          <a:off x="0" y="217589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1092</xdr:row>
      <xdr:rowOff>141480</xdr:rowOff>
    </xdr:from>
    <xdr:to>
      <xdr:col>0</xdr:col>
      <xdr:colOff>723600</xdr:colOff>
      <xdr:row>1093</xdr:row>
      <xdr:rowOff>674640</xdr:rowOff>
    </xdr:to>
    <xdr:pic>
      <xdr:nvPicPr>
        <xdr:cNvPr id="59" name="Image 14" descr="Picture"/>
        <xdr:cNvPicPr/>
      </xdr:nvPicPr>
      <xdr:blipFill>
        <a:blip r:embed="rId14"/>
        <a:stretch/>
      </xdr:blipFill>
      <xdr:spPr>
        <a:xfrm>
          <a:off x="0" y="220084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723600</xdr:colOff>
      <xdr:row>0</xdr:row>
      <xdr:rowOff>723600</xdr:rowOff>
    </xdr:to>
    <xdr:pic>
      <xdr:nvPicPr>
        <xdr:cNvPr id="60" name="Image 1" descr="Picture"/>
        <xdr:cNvPicPr/>
      </xdr:nvPicPr>
      <xdr:blipFill>
        <a:blip r:embed="rId1"/>
        <a:stretch/>
      </xdr:blipFill>
      <xdr:spPr>
        <a:xfrm>
          <a:off x="0" y="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723600</xdr:colOff>
      <xdr:row>229</xdr:row>
      <xdr:rowOff>723600</xdr:rowOff>
    </xdr:to>
    <xdr:pic>
      <xdr:nvPicPr>
        <xdr:cNvPr id="61" name="Image 2" descr="Picture"/>
        <xdr:cNvPicPr/>
      </xdr:nvPicPr>
      <xdr:blipFill>
        <a:blip r:embed="rId2"/>
        <a:stretch/>
      </xdr:blipFill>
      <xdr:spPr>
        <a:xfrm>
          <a:off x="0" y="44405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1101</xdr:row>
      <xdr:rowOff>20880</xdr:rowOff>
    </xdr:from>
    <xdr:to>
      <xdr:col>0</xdr:col>
      <xdr:colOff>723600</xdr:colOff>
      <xdr:row>1102</xdr:row>
      <xdr:rowOff>554040</xdr:rowOff>
    </xdr:to>
    <xdr:pic>
      <xdr:nvPicPr>
        <xdr:cNvPr id="62" name="Image 3" descr="Picture"/>
        <xdr:cNvPicPr/>
      </xdr:nvPicPr>
      <xdr:blipFill>
        <a:blip r:embed="rId3"/>
        <a:stretch/>
      </xdr:blipFill>
      <xdr:spPr>
        <a:xfrm>
          <a:off x="0" y="211493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1714</xdr:row>
      <xdr:rowOff>21240</xdr:rowOff>
    </xdr:from>
    <xdr:to>
      <xdr:col>0</xdr:col>
      <xdr:colOff>723600</xdr:colOff>
      <xdr:row>1715</xdr:row>
      <xdr:rowOff>554040</xdr:rowOff>
    </xdr:to>
    <xdr:pic>
      <xdr:nvPicPr>
        <xdr:cNvPr id="63" name="Image 4" descr="Picture"/>
        <xdr:cNvPicPr/>
      </xdr:nvPicPr>
      <xdr:blipFill>
        <a:blip r:embed="rId4"/>
        <a:stretch/>
      </xdr:blipFill>
      <xdr:spPr>
        <a:xfrm>
          <a:off x="0" y="329050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1963</xdr:row>
      <xdr:rowOff>63000</xdr:rowOff>
    </xdr:from>
    <xdr:to>
      <xdr:col>0</xdr:col>
      <xdr:colOff>723600</xdr:colOff>
      <xdr:row>1966</xdr:row>
      <xdr:rowOff>214920</xdr:rowOff>
    </xdr:to>
    <xdr:pic>
      <xdr:nvPicPr>
        <xdr:cNvPr id="64" name="Image 5" descr="Picture"/>
        <xdr:cNvPicPr/>
      </xdr:nvPicPr>
      <xdr:blipFill>
        <a:blip r:embed="rId5"/>
        <a:stretch/>
      </xdr:blipFill>
      <xdr:spPr>
        <a:xfrm>
          <a:off x="0" y="377647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1977</xdr:row>
      <xdr:rowOff>63000</xdr:rowOff>
    </xdr:from>
    <xdr:to>
      <xdr:col>0</xdr:col>
      <xdr:colOff>723600</xdr:colOff>
      <xdr:row>1980</xdr:row>
      <xdr:rowOff>214920</xdr:rowOff>
    </xdr:to>
    <xdr:pic>
      <xdr:nvPicPr>
        <xdr:cNvPr id="65" name="Image 6" descr="Picture"/>
        <xdr:cNvPicPr/>
      </xdr:nvPicPr>
      <xdr:blipFill>
        <a:blip r:embed="rId6"/>
        <a:stretch/>
      </xdr:blipFill>
      <xdr:spPr>
        <a:xfrm>
          <a:off x="0" y="381095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2001</xdr:row>
      <xdr:rowOff>207720</xdr:rowOff>
    </xdr:from>
    <xdr:to>
      <xdr:col>0</xdr:col>
      <xdr:colOff>723600</xdr:colOff>
      <xdr:row>2003</xdr:row>
      <xdr:rowOff>211320</xdr:rowOff>
    </xdr:to>
    <xdr:pic>
      <xdr:nvPicPr>
        <xdr:cNvPr id="66" name="Image 7" descr="Picture"/>
        <xdr:cNvPicPr/>
      </xdr:nvPicPr>
      <xdr:blipFill>
        <a:blip r:embed="rId7"/>
        <a:stretch/>
      </xdr:blipFill>
      <xdr:spPr>
        <a:xfrm>
          <a:off x="0" y="389305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2031</xdr:row>
      <xdr:rowOff>11880</xdr:rowOff>
    </xdr:from>
    <xdr:to>
      <xdr:col>0</xdr:col>
      <xdr:colOff>723600</xdr:colOff>
      <xdr:row>2034</xdr:row>
      <xdr:rowOff>164160</xdr:rowOff>
    </xdr:to>
    <xdr:pic>
      <xdr:nvPicPr>
        <xdr:cNvPr id="67" name="Image 8" descr="Picture"/>
        <xdr:cNvPicPr/>
      </xdr:nvPicPr>
      <xdr:blipFill>
        <a:blip r:embed="rId8"/>
        <a:stretch/>
      </xdr:blipFill>
      <xdr:spPr>
        <a:xfrm>
          <a:off x="0" y="398659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2442</xdr:row>
      <xdr:rowOff>122760</xdr:rowOff>
    </xdr:from>
    <xdr:to>
      <xdr:col>0</xdr:col>
      <xdr:colOff>723600</xdr:colOff>
      <xdr:row>2446</xdr:row>
      <xdr:rowOff>84240</xdr:rowOff>
    </xdr:to>
    <xdr:pic>
      <xdr:nvPicPr>
        <xdr:cNvPr id="68" name="Image 9" descr="Picture"/>
        <xdr:cNvPicPr/>
      </xdr:nvPicPr>
      <xdr:blipFill>
        <a:blip r:embed="rId9"/>
        <a:stretch/>
      </xdr:blipFill>
      <xdr:spPr>
        <a:xfrm>
          <a:off x="0" y="508025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2455</xdr:row>
      <xdr:rowOff>141840</xdr:rowOff>
    </xdr:from>
    <xdr:to>
      <xdr:col>0</xdr:col>
      <xdr:colOff>723600</xdr:colOff>
      <xdr:row>2459</xdr:row>
      <xdr:rowOff>103320</xdr:rowOff>
    </xdr:to>
    <xdr:pic>
      <xdr:nvPicPr>
        <xdr:cNvPr id="69" name="Image 10" descr="Picture"/>
        <xdr:cNvPicPr/>
      </xdr:nvPicPr>
      <xdr:blipFill>
        <a:blip r:embed="rId10"/>
        <a:stretch/>
      </xdr:blipFill>
      <xdr:spPr>
        <a:xfrm>
          <a:off x="0" y="510521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2469</xdr:row>
      <xdr:rowOff>160560</xdr:rowOff>
    </xdr:from>
    <xdr:to>
      <xdr:col>0</xdr:col>
      <xdr:colOff>723600</xdr:colOff>
      <xdr:row>2473</xdr:row>
      <xdr:rowOff>122400</xdr:rowOff>
    </xdr:to>
    <xdr:pic>
      <xdr:nvPicPr>
        <xdr:cNvPr id="70" name="Image 11" descr="Picture"/>
        <xdr:cNvPicPr/>
      </xdr:nvPicPr>
      <xdr:blipFill>
        <a:blip r:embed="rId11"/>
        <a:stretch/>
      </xdr:blipFill>
      <xdr:spPr>
        <a:xfrm>
          <a:off x="0" y="513207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2645</xdr:row>
      <xdr:rowOff>332280</xdr:rowOff>
    </xdr:from>
    <xdr:to>
      <xdr:col>0</xdr:col>
      <xdr:colOff>723600</xdr:colOff>
      <xdr:row>2649</xdr:row>
      <xdr:rowOff>103320</xdr:rowOff>
    </xdr:to>
    <xdr:pic>
      <xdr:nvPicPr>
        <xdr:cNvPr id="71" name="Image 12" descr="Picture"/>
        <xdr:cNvPicPr/>
      </xdr:nvPicPr>
      <xdr:blipFill>
        <a:blip r:embed="rId12"/>
        <a:stretch/>
      </xdr:blipFill>
      <xdr:spPr>
        <a:xfrm>
          <a:off x="0" y="548278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2976</xdr:row>
      <xdr:rowOff>122400</xdr:rowOff>
    </xdr:from>
    <xdr:to>
      <xdr:col>0</xdr:col>
      <xdr:colOff>723600</xdr:colOff>
      <xdr:row>2980</xdr:row>
      <xdr:rowOff>84240</xdr:rowOff>
    </xdr:to>
    <xdr:pic>
      <xdr:nvPicPr>
        <xdr:cNvPr id="72" name="Image 13" descr="Picture"/>
        <xdr:cNvPicPr/>
      </xdr:nvPicPr>
      <xdr:blipFill>
        <a:blip r:embed="rId13"/>
        <a:stretch/>
      </xdr:blipFill>
      <xdr:spPr>
        <a:xfrm>
          <a:off x="0" y="612876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2984</xdr:row>
      <xdr:rowOff>141480</xdr:rowOff>
    </xdr:from>
    <xdr:to>
      <xdr:col>0</xdr:col>
      <xdr:colOff>723600</xdr:colOff>
      <xdr:row>2988</xdr:row>
      <xdr:rowOff>102960</xdr:rowOff>
    </xdr:to>
    <xdr:pic>
      <xdr:nvPicPr>
        <xdr:cNvPr id="73" name="Image 14" descr="Picture"/>
        <xdr:cNvPicPr/>
      </xdr:nvPicPr>
      <xdr:blipFill>
        <a:blip r:embed="rId14"/>
        <a:stretch/>
      </xdr:blipFill>
      <xdr:spPr>
        <a:xfrm>
          <a:off x="0" y="614419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3028</xdr:row>
      <xdr:rowOff>160920</xdr:rowOff>
    </xdr:from>
    <xdr:to>
      <xdr:col>0</xdr:col>
      <xdr:colOff>723600</xdr:colOff>
      <xdr:row>3032</xdr:row>
      <xdr:rowOff>122400</xdr:rowOff>
    </xdr:to>
    <xdr:pic>
      <xdr:nvPicPr>
        <xdr:cNvPr id="74" name="Image 15" descr="Picture"/>
        <xdr:cNvPicPr/>
      </xdr:nvPicPr>
      <xdr:blipFill>
        <a:blip r:embed="rId15"/>
        <a:stretch/>
      </xdr:blipFill>
      <xdr:spPr>
        <a:xfrm>
          <a:off x="0" y="622820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3110</xdr:row>
      <xdr:rowOff>179640</xdr:rowOff>
    </xdr:from>
    <xdr:to>
      <xdr:col>0</xdr:col>
      <xdr:colOff>723600</xdr:colOff>
      <xdr:row>3114</xdr:row>
      <xdr:rowOff>141120</xdr:rowOff>
    </xdr:to>
    <xdr:pic>
      <xdr:nvPicPr>
        <xdr:cNvPr id="75" name="Image 16" descr="Picture"/>
        <xdr:cNvPicPr/>
      </xdr:nvPicPr>
      <xdr:blipFill>
        <a:blip r:embed="rId16"/>
        <a:stretch/>
      </xdr:blipFill>
      <xdr:spPr>
        <a:xfrm>
          <a:off x="0" y="638460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3154</xdr:row>
      <xdr:rowOff>8280</xdr:rowOff>
    </xdr:from>
    <xdr:to>
      <xdr:col>0</xdr:col>
      <xdr:colOff>723600</xdr:colOff>
      <xdr:row>3157</xdr:row>
      <xdr:rowOff>160200</xdr:rowOff>
    </xdr:to>
    <xdr:pic>
      <xdr:nvPicPr>
        <xdr:cNvPr id="76" name="Image 17" descr="Picture"/>
        <xdr:cNvPicPr/>
      </xdr:nvPicPr>
      <xdr:blipFill>
        <a:blip r:embed="rId17"/>
        <a:stretch/>
      </xdr:blipFill>
      <xdr:spPr>
        <a:xfrm>
          <a:off x="0" y="646671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3180</xdr:row>
      <xdr:rowOff>179640</xdr:rowOff>
    </xdr:from>
    <xdr:to>
      <xdr:col>0</xdr:col>
      <xdr:colOff>723600</xdr:colOff>
      <xdr:row>3184</xdr:row>
      <xdr:rowOff>141480</xdr:rowOff>
    </xdr:to>
    <xdr:pic>
      <xdr:nvPicPr>
        <xdr:cNvPr id="77" name="Image 18" descr="Picture"/>
        <xdr:cNvPicPr/>
      </xdr:nvPicPr>
      <xdr:blipFill>
        <a:blip r:embed="rId18"/>
        <a:stretch/>
      </xdr:blipFill>
      <xdr:spPr>
        <a:xfrm>
          <a:off x="0" y="653167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723600</xdr:colOff>
      <xdr:row>0</xdr:row>
      <xdr:rowOff>723600</xdr:rowOff>
    </xdr:to>
    <xdr:pic>
      <xdr:nvPicPr>
        <xdr:cNvPr id="78" name="Image 1" descr="Picture"/>
        <xdr:cNvPicPr/>
      </xdr:nvPicPr>
      <xdr:blipFill>
        <a:blip r:embed="rId1"/>
        <a:stretch/>
      </xdr:blipFill>
      <xdr:spPr>
        <a:xfrm>
          <a:off x="0" y="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747</xdr:row>
      <xdr:rowOff>0</xdr:rowOff>
    </xdr:from>
    <xdr:to>
      <xdr:col>0</xdr:col>
      <xdr:colOff>723600</xdr:colOff>
      <xdr:row>747</xdr:row>
      <xdr:rowOff>723600</xdr:rowOff>
    </xdr:to>
    <xdr:pic>
      <xdr:nvPicPr>
        <xdr:cNvPr id="79" name="Image 2" descr="Picture"/>
        <xdr:cNvPicPr/>
      </xdr:nvPicPr>
      <xdr:blipFill>
        <a:blip r:embed="rId2"/>
        <a:stretch/>
      </xdr:blipFill>
      <xdr:spPr>
        <a:xfrm>
          <a:off x="0" y="143084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1009</xdr:row>
      <xdr:rowOff>188640</xdr:rowOff>
    </xdr:from>
    <xdr:to>
      <xdr:col>0</xdr:col>
      <xdr:colOff>723600</xdr:colOff>
      <xdr:row>1013</xdr:row>
      <xdr:rowOff>150120</xdr:rowOff>
    </xdr:to>
    <xdr:pic>
      <xdr:nvPicPr>
        <xdr:cNvPr id="80" name="Image 3" descr="Picture"/>
        <xdr:cNvPicPr/>
      </xdr:nvPicPr>
      <xdr:blipFill>
        <a:blip r:embed="rId3"/>
        <a:stretch/>
      </xdr:blipFill>
      <xdr:spPr>
        <a:xfrm>
          <a:off x="0" y="195491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1100</xdr:row>
      <xdr:rowOff>306720</xdr:rowOff>
    </xdr:from>
    <xdr:to>
      <xdr:col>0</xdr:col>
      <xdr:colOff>723600</xdr:colOff>
      <xdr:row>1102</xdr:row>
      <xdr:rowOff>310320</xdr:rowOff>
    </xdr:to>
    <xdr:pic>
      <xdr:nvPicPr>
        <xdr:cNvPr id="81" name="Image 4" descr="Picture"/>
        <xdr:cNvPicPr/>
      </xdr:nvPicPr>
      <xdr:blipFill>
        <a:blip r:embed="rId4"/>
        <a:stretch/>
      </xdr:blipFill>
      <xdr:spPr>
        <a:xfrm>
          <a:off x="0" y="220846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723600</xdr:colOff>
      <xdr:row>0</xdr:row>
      <xdr:rowOff>723600</xdr:rowOff>
    </xdr:to>
    <xdr:pic>
      <xdr:nvPicPr>
        <xdr:cNvPr id="82" name="Image 1" descr="Picture"/>
        <xdr:cNvPicPr/>
      </xdr:nvPicPr>
      <xdr:blipFill>
        <a:blip r:embed="rId1"/>
        <a:stretch/>
      </xdr:blipFill>
      <xdr:spPr>
        <a:xfrm>
          <a:off x="0" y="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723600</xdr:colOff>
      <xdr:row>10</xdr:row>
      <xdr:rowOff>723600</xdr:rowOff>
    </xdr:to>
    <xdr:pic>
      <xdr:nvPicPr>
        <xdr:cNvPr id="83" name="Image 2" descr="Picture"/>
        <xdr:cNvPicPr/>
      </xdr:nvPicPr>
      <xdr:blipFill>
        <a:blip r:embed="rId2"/>
        <a:stretch/>
      </xdr:blipFill>
      <xdr:spPr>
        <a:xfrm>
          <a:off x="0" y="2685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723600</xdr:colOff>
      <xdr:row>73</xdr:row>
      <xdr:rowOff>723600</xdr:rowOff>
    </xdr:to>
    <xdr:pic>
      <xdr:nvPicPr>
        <xdr:cNvPr id="84" name="Image 3" descr="Picture"/>
        <xdr:cNvPicPr/>
      </xdr:nvPicPr>
      <xdr:blipFill>
        <a:blip r:embed="rId3"/>
        <a:stretch/>
      </xdr:blipFill>
      <xdr:spPr>
        <a:xfrm>
          <a:off x="0" y="15468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723600</xdr:colOff>
      <xdr:row>78</xdr:row>
      <xdr:rowOff>723600</xdr:rowOff>
    </xdr:to>
    <xdr:pic>
      <xdr:nvPicPr>
        <xdr:cNvPr id="85" name="Image 4" descr="Picture"/>
        <xdr:cNvPicPr/>
      </xdr:nvPicPr>
      <xdr:blipFill>
        <a:blip r:embed="rId4"/>
        <a:stretch/>
      </xdr:blipFill>
      <xdr:spPr>
        <a:xfrm>
          <a:off x="0" y="17011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723600</xdr:colOff>
      <xdr:row>93</xdr:row>
      <xdr:rowOff>723600</xdr:rowOff>
    </xdr:to>
    <xdr:pic>
      <xdr:nvPicPr>
        <xdr:cNvPr id="86" name="Image 5" descr="Picture"/>
        <xdr:cNvPicPr/>
      </xdr:nvPicPr>
      <xdr:blipFill>
        <a:blip r:embed="rId5"/>
        <a:stretch/>
      </xdr:blipFill>
      <xdr:spPr>
        <a:xfrm>
          <a:off x="0" y="20650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107</xdr:row>
      <xdr:rowOff>480600</xdr:rowOff>
    </xdr:from>
    <xdr:to>
      <xdr:col>0</xdr:col>
      <xdr:colOff>723600</xdr:colOff>
      <xdr:row>109</xdr:row>
      <xdr:rowOff>143640</xdr:rowOff>
    </xdr:to>
    <xdr:pic>
      <xdr:nvPicPr>
        <xdr:cNvPr id="87" name="Image 6" descr="Picture"/>
        <xdr:cNvPicPr/>
      </xdr:nvPicPr>
      <xdr:blipFill>
        <a:blip r:embed="rId6"/>
        <a:stretch/>
      </xdr:blipFill>
      <xdr:spPr>
        <a:xfrm>
          <a:off x="0" y="26955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460</xdr:row>
      <xdr:rowOff>154080</xdr:rowOff>
    </xdr:from>
    <xdr:to>
      <xdr:col>0</xdr:col>
      <xdr:colOff>723600</xdr:colOff>
      <xdr:row>464</xdr:row>
      <xdr:rowOff>115920</xdr:rowOff>
    </xdr:to>
    <xdr:pic>
      <xdr:nvPicPr>
        <xdr:cNvPr id="88" name="Image 7" descr="Picture"/>
        <xdr:cNvPicPr/>
      </xdr:nvPicPr>
      <xdr:blipFill>
        <a:blip r:embed="rId7"/>
        <a:stretch/>
      </xdr:blipFill>
      <xdr:spPr>
        <a:xfrm>
          <a:off x="0" y="98221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483</xdr:row>
      <xdr:rowOff>173160</xdr:rowOff>
    </xdr:from>
    <xdr:to>
      <xdr:col>0</xdr:col>
      <xdr:colOff>723600</xdr:colOff>
      <xdr:row>487</xdr:row>
      <xdr:rowOff>135000</xdr:rowOff>
    </xdr:to>
    <xdr:pic>
      <xdr:nvPicPr>
        <xdr:cNvPr id="89" name="Image 8" descr="Picture"/>
        <xdr:cNvPicPr/>
      </xdr:nvPicPr>
      <xdr:blipFill>
        <a:blip r:embed="rId8"/>
        <a:stretch/>
      </xdr:blipFill>
      <xdr:spPr>
        <a:xfrm>
          <a:off x="0" y="102622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494</xdr:row>
      <xdr:rowOff>173160</xdr:rowOff>
    </xdr:from>
    <xdr:to>
      <xdr:col>0</xdr:col>
      <xdr:colOff>723600</xdr:colOff>
      <xdr:row>497</xdr:row>
      <xdr:rowOff>135000</xdr:rowOff>
    </xdr:to>
    <xdr:pic>
      <xdr:nvPicPr>
        <xdr:cNvPr id="90" name="Image 9" descr="Picture"/>
        <xdr:cNvPicPr/>
      </xdr:nvPicPr>
      <xdr:blipFill>
        <a:blip r:embed="rId9"/>
        <a:stretch/>
      </xdr:blipFill>
      <xdr:spPr>
        <a:xfrm>
          <a:off x="0" y="105308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971</xdr:row>
      <xdr:rowOff>46440</xdr:rowOff>
    </xdr:from>
    <xdr:to>
      <xdr:col>0</xdr:col>
      <xdr:colOff>723600</xdr:colOff>
      <xdr:row>975</xdr:row>
      <xdr:rowOff>7920</xdr:rowOff>
    </xdr:to>
    <xdr:pic>
      <xdr:nvPicPr>
        <xdr:cNvPr id="91" name="Image 10" descr="Picture"/>
        <xdr:cNvPicPr/>
      </xdr:nvPicPr>
      <xdr:blipFill>
        <a:blip r:embed="rId10"/>
        <a:stretch/>
      </xdr:blipFill>
      <xdr:spPr>
        <a:xfrm>
          <a:off x="0" y="198482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984</xdr:row>
      <xdr:rowOff>65520</xdr:rowOff>
    </xdr:from>
    <xdr:to>
      <xdr:col>0</xdr:col>
      <xdr:colOff>723600</xdr:colOff>
      <xdr:row>988</xdr:row>
      <xdr:rowOff>27000</xdr:rowOff>
    </xdr:to>
    <xdr:pic>
      <xdr:nvPicPr>
        <xdr:cNvPr id="92" name="Image 11" descr="Picture"/>
        <xdr:cNvPicPr/>
      </xdr:nvPicPr>
      <xdr:blipFill>
        <a:blip r:embed="rId11"/>
        <a:stretch/>
      </xdr:blipFill>
      <xdr:spPr>
        <a:xfrm>
          <a:off x="0" y="200977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1019</xdr:row>
      <xdr:rowOff>46440</xdr:rowOff>
    </xdr:from>
    <xdr:to>
      <xdr:col>0</xdr:col>
      <xdr:colOff>723600</xdr:colOff>
      <xdr:row>1021</xdr:row>
      <xdr:rowOff>219600</xdr:rowOff>
    </xdr:to>
    <xdr:pic>
      <xdr:nvPicPr>
        <xdr:cNvPr id="93" name="Image 12" descr="Picture"/>
        <xdr:cNvPicPr/>
      </xdr:nvPicPr>
      <xdr:blipFill>
        <a:blip r:embed="rId12"/>
        <a:stretch/>
      </xdr:blipFill>
      <xdr:spPr>
        <a:xfrm>
          <a:off x="0" y="209188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1037</xdr:row>
      <xdr:rowOff>40680</xdr:rowOff>
    </xdr:from>
    <xdr:to>
      <xdr:col>0</xdr:col>
      <xdr:colOff>723600</xdr:colOff>
      <xdr:row>1039</xdr:row>
      <xdr:rowOff>43920</xdr:rowOff>
    </xdr:to>
    <xdr:pic>
      <xdr:nvPicPr>
        <xdr:cNvPr id="94" name="Image 13" descr="Picture"/>
        <xdr:cNvPicPr/>
      </xdr:nvPicPr>
      <xdr:blipFill>
        <a:blip r:embed="rId13"/>
        <a:stretch/>
      </xdr:blipFill>
      <xdr:spPr>
        <a:xfrm>
          <a:off x="0" y="215493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1047</xdr:row>
      <xdr:rowOff>289800</xdr:rowOff>
    </xdr:from>
    <xdr:to>
      <xdr:col>0</xdr:col>
      <xdr:colOff>723600</xdr:colOff>
      <xdr:row>1049</xdr:row>
      <xdr:rowOff>123120</xdr:rowOff>
    </xdr:to>
    <xdr:pic>
      <xdr:nvPicPr>
        <xdr:cNvPr id="95" name="Image 14" descr="Picture"/>
        <xdr:cNvPicPr/>
      </xdr:nvPicPr>
      <xdr:blipFill>
        <a:blip r:embed="rId14"/>
        <a:stretch/>
      </xdr:blipFill>
      <xdr:spPr>
        <a:xfrm>
          <a:off x="0" y="219513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1055</xdr:row>
      <xdr:rowOff>33480</xdr:rowOff>
    </xdr:from>
    <xdr:to>
      <xdr:col>0</xdr:col>
      <xdr:colOff>723600</xdr:colOff>
      <xdr:row>1057</xdr:row>
      <xdr:rowOff>185760</xdr:rowOff>
    </xdr:to>
    <xdr:pic>
      <xdr:nvPicPr>
        <xdr:cNvPr id="96" name="Image 15" descr="Picture"/>
        <xdr:cNvPicPr/>
      </xdr:nvPicPr>
      <xdr:blipFill>
        <a:blip r:embed="rId15"/>
        <a:stretch/>
      </xdr:blipFill>
      <xdr:spPr>
        <a:xfrm>
          <a:off x="0" y="222389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1062</xdr:row>
      <xdr:rowOff>52560</xdr:rowOff>
    </xdr:from>
    <xdr:to>
      <xdr:col>0</xdr:col>
      <xdr:colOff>723600</xdr:colOff>
      <xdr:row>1066</xdr:row>
      <xdr:rowOff>14040</xdr:rowOff>
    </xdr:to>
    <xdr:pic>
      <xdr:nvPicPr>
        <xdr:cNvPr id="97" name="Image 16" descr="Picture"/>
        <xdr:cNvPicPr/>
      </xdr:nvPicPr>
      <xdr:blipFill>
        <a:blip r:embed="rId16"/>
        <a:stretch/>
      </xdr:blipFill>
      <xdr:spPr>
        <a:xfrm>
          <a:off x="0" y="223932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1212</xdr:row>
      <xdr:rowOff>186120</xdr:rowOff>
    </xdr:from>
    <xdr:to>
      <xdr:col>0</xdr:col>
      <xdr:colOff>723600</xdr:colOff>
      <xdr:row>1216</xdr:row>
      <xdr:rowOff>147600</xdr:rowOff>
    </xdr:to>
    <xdr:pic>
      <xdr:nvPicPr>
        <xdr:cNvPr id="98" name="Image 17" descr="Picture"/>
        <xdr:cNvPicPr/>
      </xdr:nvPicPr>
      <xdr:blipFill>
        <a:blip r:embed="rId17"/>
        <a:stretch/>
      </xdr:blipFill>
      <xdr:spPr>
        <a:xfrm>
          <a:off x="0" y="255574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1226</xdr:row>
      <xdr:rowOff>14400</xdr:rowOff>
    </xdr:from>
    <xdr:to>
      <xdr:col>0</xdr:col>
      <xdr:colOff>723600</xdr:colOff>
      <xdr:row>1229</xdr:row>
      <xdr:rowOff>166680</xdr:rowOff>
    </xdr:to>
    <xdr:pic>
      <xdr:nvPicPr>
        <xdr:cNvPr id="99" name="Image 18" descr="Picture"/>
        <xdr:cNvPicPr/>
      </xdr:nvPicPr>
      <xdr:blipFill>
        <a:blip r:embed="rId18"/>
        <a:stretch/>
      </xdr:blipFill>
      <xdr:spPr>
        <a:xfrm>
          <a:off x="0" y="258070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1314</xdr:row>
      <xdr:rowOff>16560</xdr:rowOff>
    </xdr:from>
    <xdr:to>
      <xdr:col>0</xdr:col>
      <xdr:colOff>723600</xdr:colOff>
      <xdr:row>1317</xdr:row>
      <xdr:rowOff>168480</xdr:rowOff>
    </xdr:to>
    <xdr:pic>
      <xdr:nvPicPr>
        <xdr:cNvPr id="100" name="Image 19" descr="Picture"/>
        <xdr:cNvPicPr/>
      </xdr:nvPicPr>
      <xdr:blipFill>
        <a:blip r:embed="rId19"/>
        <a:stretch/>
      </xdr:blipFill>
      <xdr:spPr>
        <a:xfrm>
          <a:off x="0" y="276567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1370</xdr:row>
      <xdr:rowOff>35280</xdr:rowOff>
    </xdr:from>
    <xdr:to>
      <xdr:col>0</xdr:col>
      <xdr:colOff>723600</xdr:colOff>
      <xdr:row>1373</xdr:row>
      <xdr:rowOff>187560</xdr:rowOff>
    </xdr:to>
    <xdr:pic>
      <xdr:nvPicPr>
        <xdr:cNvPr id="101" name="Image 20" descr="Picture"/>
        <xdr:cNvPicPr/>
      </xdr:nvPicPr>
      <xdr:blipFill>
        <a:blip r:embed="rId20"/>
        <a:stretch/>
      </xdr:blipFill>
      <xdr:spPr>
        <a:xfrm>
          <a:off x="0" y="287254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1405</xdr:row>
      <xdr:rowOff>35640</xdr:rowOff>
    </xdr:from>
    <xdr:to>
      <xdr:col>0</xdr:col>
      <xdr:colOff>723600</xdr:colOff>
      <xdr:row>1408</xdr:row>
      <xdr:rowOff>187560</xdr:rowOff>
    </xdr:to>
    <xdr:pic>
      <xdr:nvPicPr>
        <xdr:cNvPr id="102" name="Image 21" descr="Picture"/>
        <xdr:cNvPicPr/>
      </xdr:nvPicPr>
      <xdr:blipFill>
        <a:blip r:embed="rId21"/>
        <a:stretch/>
      </xdr:blipFill>
      <xdr:spPr>
        <a:xfrm>
          <a:off x="0" y="294703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1418</xdr:row>
      <xdr:rowOff>54720</xdr:rowOff>
    </xdr:from>
    <xdr:to>
      <xdr:col>0</xdr:col>
      <xdr:colOff>723600</xdr:colOff>
      <xdr:row>1422</xdr:row>
      <xdr:rowOff>16200</xdr:rowOff>
    </xdr:to>
    <xdr:pic>
      <xdr:nvPicPr>
        <xdr:cNvPr id="103" name="Image 22" descr="Picture"/>
        <xdr:cNvPicPr/>
      </xdr:nvPicPr>
      <xdr:blipFill>
        <a:blip r:embed="rId22"/>
        <a:stretch/>
      </xdr:blipFill>
      <xdr:spPr>
        <a:xfrm>
          <a:off x="0" y="297199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1432</xdr:row>
      <xdr:rowOff>263880</xdr:rowOff>
    </xdr:from>
    <xdr:to>
      <xdr:col>0</xdr:col>
      <xdr:colOff>723600</xdr:colOff>
      <xdr:row>1434</xdr:row>
      <xdr:rowOff>16200</xdr:rowOff>
    </xdr:to>
    <xdr:pic>
      <xdr:nvPicPr>
        <xdr:cNvPr id="104" name="Image 23" descr="Picture"/>
        <xdr:cNvPicPr/>
      </xdr:nvPicPr>
      <xdr:blipFill>
        <a:blip r:embed="rId23"/>
        <a:stretch/>
      </xdr:blipFill>
      <xdr:spPr>
        <a:xfrm>
          <a:off x="0" y="300075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1639</xdr:row>
      <xdr:rowOff>119160</xdr:rowOff>
    </xdr:from>
    <xdr:to>
      <xdr:col>0</xdr:col>
      <xdr:colOff>723600</xdr:colOff>
      <xdr:row>1642</xdr:row>
      <xdr:rowOff>101880</xdr:rowOff>
    </xdr:to>
    <xdr:pic>
      <xdr:nvPicPr>
        <xdr:cNvPr id="105" name="Image 24" descr="Picture"/>
        <xdr:cNvPicPr/>
      </xdr:nvPicPr>
      <xdr:blipFill>
        <a:blip r:embed="rId24"/>
        <a:stretch/>
      </xdr:blipFill>
      <xdr:spPr>
        <a:xfrm>
          <a:off x="0" y="344862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1726</xdr:row>
      <xdr:rowOff>114120</xdr:rowOff>
    </xdr:from>
    <xdr:to>
      <xdr:col>0</xdr:col>
      <xdr:colOff>723600</xdr:colOff>
      <xdr:row>1730</xdr:row>
      <xdr:rowOff>75960</xdr:rowOff>
    </xdr:to>
    <xdr:pic>
      <xdr:nvPicPr>
        <xdr:cNvPr id="106" name="Image 25" descr="Picture"/>
        <xdr:cNvPicPr/>
      </xdr:nvPicPr>
      <xdr:blipFill>
        <a:blip r:embed="rId25"/>
        <a:stretch/>
      </xdr:blipFill>
      <xdr:spPr>
        <a:xfrm>
          <a:off x="0" y="365264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1739</xdr:row>
      <xdr:rowOff>133200</xdr:rowOff>
    </xdr:from>
    <xdr:to>
      <xdr:col>0</xdr:col>
      <xdr:colOff>723600</xdr:colOff>
      <xdr:row>1743</xdr:row>
      <xdr:rowOff>94680</xdr:rowOff>
    </xdr:to>
    <xdr:pic>
      <xdr:nvPicPr>
        <xdr:cNvPr id="107" name="Image 26" descr="Picture"/>
        <xdr:cNvPicPr/>
      </xdr:nvPicPr>
      <xdr:blipFill>
        <a:blip r:embed="rId26"/>
        <a:stretch/>
      </xdr:blipFill>
      <xdr:spPr>
        <a:xfrm>
          <a:off x="0" y="367760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1799</xdr:row>
      <xdr:rowOff>152280</xdr:rowOff>
    </xdr:from>
    <xdr:to>
      <xdr:col>0</xdr:col>
      <xdr:colOff>723600</xdr:colOff>
      <xdr:row>1803</xdr:row>
      <xdr:rowOff>113760</xdr:rowOff>
    </xdr:to>
    <xdr:pic>
      <xdr:nvPicPr>
        <xdr:cNvPr id="108" name="Image 27" descr="Picture"/>
        <xdr:cNvPicPr/>
      </xdr:nvPicPr>
      <xdr:blipFill>
        <a:blip r:embed="rId27"/>
        <a:stretch/>
      </xdr:blipFill>
      <xdr:spPr>
        <a:xfrm>
          <a:off x="0" y="379209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1807</xdr:row>
      <xdr:rowOff>171360</xdr:rowOff>
    </xdr:from>
    <xdr:to>
      <xdr:col>0</xdr:col>
      <xdr:colOff>723600</xdr:colOff>
      <xdr:row>1811</xdr:row>
      <xdr:rowOff>132840</xdr:rowOff>
    </xdr:to>
    <xdr:pic>
      <xdr:nvPicPr>
        <xdr:cNvPr id="109" name="Image 28" descr="Picture"/>
        <xdr:cNvPicPr/>
      </xdr:nvPicPr>
      <xdr:blipFill>
        <a:blip r:embed="rId28"/>
        <a:stretch/>
      </xdr:blipFill>
      <xdr:spPr>
        <a:xfrm>
          <a:off x="0" y="380752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1816</xdr:row>
      <xdr:rowOff>0</xdr:rowOff>
    </xdr:from>
    <xdr:to>
      <xdr:col>0</xdr:col>
      <xdr:colOff>9000</xdr:colOff>
      <xdr:row>1816</xdr:row>
      <xdr:rowOff>9000</xdr:rowOff>
    </xdr:to>
    <xdr:pic>
      <xdr:nvPicPr>
        <xdr:cNvPr id="110" name="Image 29" descr="Picture"/>
        <xdr:cNvPicPr/>
      </xdr:nvPicPr>
      <xdr:blipFill>
        <a:blip r:embed="rId29"/>
        <a:stretch/>
      </xdr:blipFill>
      <xdr:spPr>
        <a:xfrm>
          <a:off x="0" y="382295520"/>
          <a:ext cx="9000" cy="9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1821</xdr:row>
      <xdr:rowOff>590400</xdr:rowOff>
    </xdr:from>
    <xdr:to>
      <xdr:col>0</xdr:col>
      <xdr:colOff>723600</xdr:colOff>
      <xdr:row>1823</xdr:row>
      <xdr:rowOff>342720</xdr:rowOff>
    </xdr:to>
    <xdr:pic>
      <xdr:nvPicPr>
        <xdr:cNvPr id="111" name="Image 30" descr="Picture"/>
        <xdr:cNvPicPr/>
      </xdr:nvPicPr>
      <xdr:blipFill>
        <a:blip r:embed="rId30"/>
        <a:stretch/>
      </xdr:blipFill>
      <xdr:spPr>
        <a:xfrm>
          <a:off x="0" y="383838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1830</xdr:row>
      <xdr:rowOff>590400</xdr:rowOff>
    </xdr:from>
    <xdr:to>
      <xdr:col>0</xdr:col>
      <xdr:colOff>723600</xdr:colOff>
      <xdr:row>1832</xdr:row>
      <xdr:rowOff>342720</xdr:rowOff>
    </xdr:to>
    <xdr:pic>
      <xdr:nvPicPr>
        <xdr:cNvPr id="112" name="Image 31" descr="Picture"/>
        <xdr:cNvPicPr/>
      </xdr:nvPicPr>
      <xdr:blipFill>
        <a:blip r:embed="rId31"/>
        <a:stretch/>
      </xdr:blipFill>
      <xdr:spPr>
        <a:xfrm>
          <a:off x="0" y="386334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1856</xdr:row>
      <xdr:rowOff>18720</xdr:rowOff>
    </xdr:from>
    <xdr:to>
      <xdr:col>0</xdr:col>
      <xdr:colOff>723600</xdr:colOff>
      <xdr:row>1859</xdr:row>
      <xdr:rowOff>1440</xdr:rowOff>
    </xdr:to>
    <xdr:pic>
      <xdr:nvPicPr>
        <xdr:cNvPr id="113" name="Image 32" descr="Picture"/>
        <xdr:cNvPicPr/>
      </xdr:nvPicPr>
      <xdr:blipFill>
        <a:blip r:embed="rId32"/>
        <a:stretch/>
      </xdr:blipFill>
      <xdr:spPr>
        <a:xfrm>
          <a:off x="0" y="391496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1881</xdr:row>
      <xdr:rowOff>79920</xdr:rowOff>
    </xdr:from>
    <xdr:to>
      <xdr:col>0</xdr:col>
      <xdr:colOff>723600</xdr:colOff>
      <xdr:row>1885</xdr:row>
      <xdr:rowOff>41760</xdr:rowOff>
    </xdr:to>
    <xdr:pic>
      <xdr:nvPicPr>
        <xdr:cNvPr id="114" name="Image 33" descr="Picture"/>
        <xdr:cNvPicPr/>
      </xdr:nvPicPr>
      <xdr:blipFill>
        <a:blip r:embed="rId33"/>
        <a:stretch/>
      </xdr:blipFill>
      <xdr:spPr>
        <a:xfrm>
          <a:off x="0" y="396659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1913</xdr:row>
      <xdr:rowOff>3960</xdr:rowOff>
    </xdr:from>
    <xdr:to>
      <xdr:col>0</xdr:col>
      <xdr:colOff>723600</xdr:colOff>
      <xdr:row>1916</xdr:row>
      <xdr:rowOff>155880</xdr:rowOff>
    </xdr:to>
    <xdr:pic>
      <xdr:nvPicPr>
        <xdr:cNvPr id="115" name="Image 34" descr="Picture"/>
        <xdr:cNvPicPr/>
      </xdr:nvPicPr>
      <xdr:blipFill>
        <a:blip r:embed="rId34"/>
        <a:stretch/>
      </xdr:blipFill>
      <xdr:spPr>
        <a:xfrm>
          <a:off x="0" y="406012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1938</xdr:row>
      <xdr:rowOff>3960</xdr:rowOff>
    </xdr:from>
    <xdr:to>
      <xdr:col>0</xdr:col>
      <xdr:colOff>723600</xdr:colOff>
      <xdr:row>1940</xdr:row>
      <xdr:rowOff>108360</xdr:rowOff>
    </xdr:to>
    <xdr:pic>
      <xdr:nvPicPr>
        <xdr:cNvPr id="116" name="Image 35" descr="Picture"/>
        <xdr:cNvPicPr/>
      </xdr:nvPicPr>
      <xdr:blipFill>
        <a:blip r:embed="rId35"/>
        <a:stretch/>
      </xdr:blipFill>
      <xdr:spPr>
        <a:xfrm>
          <a:off x="0" y="411556320"/>
          <a:ext cx="723600" cy="485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1952</xdr:row>
      <xdr:rowOff>23040</xdr:rowOff>
    </xdr:from>
    <xdr:to>
      <xdr:col>0</xdr:col>
      <xdr:colOff>723600</xdr:colOff>
      <xdr:row>1955</xdr:row>
      <xdr:rowOff>174960</xdr:rowOff>
    </xdr:to>
    <xdr:pic>
      <xdr:nvPicPr>
        <xdr:cNvPr id="117" name="Image 36" descr="Picture"/>
        <xdr:cNvPicPr/>
      </xdr:nvPicPr>
      <xdr:blipFill>
        <a:blip r:embed="rId36"/>
        <a:stretch/>
      </xdr:blipFill>
      <xdr:spPr>
        <a:xfrm>
          <a:off x="0" y="414242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1966</xdr:row>
      <xdr:rowOff>127800</xdr:rowOff>
    </xdr:from>
    <xdr:to>
      <xdr:col>0</xdr:col>
      <xdr:colOff>723600</xdr:colOff>
      <xdr:row>1968</xdr:row>
      <xdr:rowOff>131400</xdr:rowOff>
    </xdr:to>
    <xdr:pic>
      <xdr:nvPicPr>
        <xdr:cNvPr id="118" name="Image 37" descr="Picture"/>
        <xdr:cNvPicPr/>
      </xdr:nvPicPr>
      <xdr:blipFill>
        <a:blip r:embed="rId37"/>
        <a:stretch/>
      </xdr:blipFill>
      <xdr:spPr>
        <a:xfrm>
          <a:off x="0" y="4186429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1989</xdr:row>
      <xdr:rowOff>57240</xdr:rowOff>
    </xdr:from>
    <xdr:to>
      <xdr:col>0</xdr:col>
      <xdr:colOff>723600</xdr:colOff>
      <xdr:row>1991</xdr:row>
      <xdr:rowOff>60840</xdr:rowOff>
    </xdr:to>
    <xdr:pic>
      <xdr:nvPicPr>
        <xdr:cNvPr id="119" name="Image 38" descr="Picture"/>
        <xdr:cNvPicPr/>
      </xdr:nvPicPr>
      <xdr:blipFill>
        <a:blip r:embed="rId38"/>
        <a:stretch/>
      </xdr:blipFill>
      <xdr:spPr>
        <a:xfrm>
          <a:off x="0" y="426853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1996</xdr:row>
      <xdr:rowOff>222840</xdr:rowOff>
    </xdr:from>
    <xdr:to>
      <xdr:col>0</xdr:col>
      <xdr:colOff>723600</xdr:colOff>
      <xdr:row>1998</xdr:row>
      <xdr:rowOff>226440</xdr:rowOff>
    </xdr:to>
    <xdr:pic>
      <xdr:nvPicPr>
        <xdr:cNvPr id="120" name="Image 39" descr="Picture"/>
        <xdr:cNvPicPr/>
      </xdr:nvPicPr>
      <xdr:blipFill>
        <a:blip r:embed="rId39"/>
        <a:stretch/>
      </xdr:blipFill>
      <xdr:spPr>
        <a:xfrm>
          <a:off x="0" y="429539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2001</xdr:row>
      <xdr:rowOff>304560</xdr:rowOff>
    </xdr:from>
    <xdr:to>
      <xdr:col>0</xdr:col>
      <xdr:colOff>723600</xdr:colOff>
      <xdr:row>2003</xdr:row>
      <xdr:rowOff>56880</xdr:rowOff>
    </xdr:to>
    <xdr:pic>
      <xdr:nvPicPr>
        <xdr:cNvPr id="121" name="Image 40" descr="Picture"/>
        <xdr:cNvPicPr/>
      </xdr:nvPicPr>
      <xdr:blipFill>
        <a:blip r:embed="rId40"/>
        <a:stretch/>
      </xdr:blipFill>
      <xdr:spPr>
        <a:xfrm>
          <a:off x="0" y="4310823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2010</xdr:row>
      <xdr:rowOff>198000</xdr:rowOff>
    </xdr:from>
    <xdr:to>
      <xdr:col>0</xdr:col>
      <xdr:colOff>723600</xdr:colOff>
      <xdr:row>2013</xdr:row>
      <xdr:rowOff>11160</xdr:rowOff>
    </xdr:to>
    <xdr:pic>
      <xdr:nvPicPr>
        <xdr:cNvPr id="122" name="Image 41" descr="Picture"/>
        <xdr:cNvPicPr/>
      </xdr:nvPicPr>
      <xdr:blipFill>
        <a:blip r:embed="rId41"/>
        <a:stretch/>
      </xdr:blipFill>
      <xdr:spPr>
        <a:xfrm>
          <a:off x="0" y="434149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2104</xdr:row>
      <xdr:rowOff>306720</xdr:rowOff>
    </xdr:from>
    <xdr:to>
      <xdr:col>0</xdr:col>
      <xdr:colOff>723600</xdr:colOff>
      <xdr:row>2106</xdr:row>
      <xdr:rowOff>58680</xdr:rowOff>
    </xdr:to>
    <xdr:pic>
      <xdr:nvPicPr>
        <xdr:cNvPr id="123" name="Image 42" descr="Picture"/>
        <xdr:cNvPicPr/>
      </xdr:nvPicPr>
      <xdr:blipFill>
        <a:blip r:embed="rId42"/>
        <a:stretch/>
      </xdr:blipFill>
      <xdr:spPr>
        <a:xfrm>
          <a:off x="0" y="458171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2140</xdr:row>
      <xdr:rowOff>78120</xdr:rowOff>
    </xdr:from>
    <xdr:to>
      <xdr:col>0</xdr:col>
      <xdr:colOff>723600</xdr:colOff>
      <xdr:row>2144</xdr:row>
      <xdr:rowOff>39600</xdr:rowOff>
    </xdr:to>
    <xdr:pic>
      <xdr:nvPicPr>
        <xdr:cNvPr id="124" name="Image 43" descr="Picture"/>
        <xdr:cNvPicPr/>
      </xdr:nvPicPr>
      <xdr:blipFill>
        <a:blip r:embed="rId43"/>
        <a:stretch/>
      </xdr:blipFill>
      <xdr:spPr>
        <a:xfrm>
          <a:off x="0" y="466953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2148</xdr:row>
      <xdr:rowOff>97200</xdr:rowOff>
    </xdr:from>
    <xdr:to>
      <xdr:col>0</xdr:col>
      <xdr:colOff>723600</xdr:colOff>
      <xdr:row>2152</xdr:row>
      <xdr:rowOff>59040</xdr:rowOff>
    </xdr:to>
    <xdr:pic>
      <xdr:nvPicPr>
        <xdr:cNvPr id="125" name="Image 44" descr="Picture"/>
        <xdr:cNvPicPr/>
      </xdr:nvPicPr>
      <xdr:blipFill>
        <a:blip r:embed="rId44"/>
        <a:stretch/>
      </xdr:blipFill>
      <xdr:spPr>
        <a:xfrm>
          <a:off x="0" y="468496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2212</xdr:row>
      <xdr:rowOff>116280</xdr:rowOff>
    </xdr:from>
    <xdr:to>
      <xdr:col>0</xdr:col>
      <xdr:colOff>723600</xdr:colOff>
      <xdr:row>2216</xdr:row>
      <xdr:rowOff>77760</xdr:rowOff>
    </xdr:to>
    <xdr:pic>
      <xdr:nvPicPr>
        <xdr:cNvPr id="126" name="Image 45" descr="Picture"/>
        <xdr:cNvPicPr/>
      </xdr:nvPicPr>
      <xdr:blipFill>
        <a:blip r:embed="rId45"/>
        <a:stretch/>
      </xdr:blipFill>
      <xdr:spPr>
        <a:xfrm>
          <a:off x="0" y="480707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2369</xdr:row>
      <xdr:rowOff>74160</xdr:rowOff>
    </xdr:from>
    <xdr:to>
      <xdr:col>0</xdr:col>
      <xdr:colOff>723600</xdr:colOff>
      <xdr:row>2373</xdr:row>
      <xdr:rowOff>36000</xdr:rowOff>
    </xdr:to>
    <xdr:pic>
      <xdr:nvPicPr>
        <xdr:cNvPr id="127" name="Image 46" descr="Picture"/>
        <xdr:cNvPicPr/>
      </xdr:nvPicPr>
      <xdr:blipFill>
        <a:blip r:embed="rId46"/>
        <a:stretch/>
      </xdr:blipFill>
      <xdr:spPr>
        <a:xfrm>
          <a:off x="0" y="518255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2403</xdr:row>
      <xdr:rowOff>93600</xdr:rowOff>
    </xdr:from>
    <xdr:to>
      <xdr:col>0</xdr:col>
      <xdr:colOff>723600</xdr:colOff>
      <xdr:row>2407</xdr:row>
      <xdr:rowOff>55080</xdr:rowOff>
    </xdr:to>
    <xdr:pic>
      <xdr:nvPicPr>
        <xdr:cNvPr id="128" name="Image 47" descr="Picture"/>
        <xdr:cNvPicPr/>
      </xdr:nvPicPr>
      <xdr:blipFill>
        <a:blip r:embed="rId47"/>
        <a:stretch/>
      </xdr:blipFill>
      <xdr:spPr>
        <a:xfrm>
          <a:off x="0" y="524751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2487</xdr:row>
      <xdr:rowOff>129600</xdr:rowOff>
    </xdr:from>
    <xdr:to>
      <xdr:col>0</xdr:col>
      <xdr:colOff>723600</xdr:colOff>
      <xdr:row>2489</xdr:row>
      <xdr:rowOff>132840</xdr:rowOff>
    </xdr:to>
    <xdr:pic>
      <xdr:nvPicPr>
        <xdr:cNvPr id="129" name="Image 48" descr="Picture"/>
        <xdr:cNvPicPr/>
      </xdr:nvPicPr>
      <xdr:blipFill>
        <a:blip r:embed="rId48"/>
        <a:stretch/>
      </xdr:blipFill>
      <xdr:spPr>
        <a:xfrm>
          <a:off x="0" y="544010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2551</xdr:row>
      <xdr:rowOff>142920</xdr:rowOff>
    </xdr:from>
    <xdr:to>
      <xdr:col>0</xdr:col>
      <xdr:colOff>723600</xdr:colOff>
      <xdr:row>2555</xdr:row>
      <xdr:rowOff>104400</xdr:rowOff>
    </xdr:to>
    <xdr:pic>
      <xdr:nvPicPr>
        <xdr:cNvPr id="130" name="Image 49" descr="Picture"/>
        <xdr:cNvPicPr/>
      </xdr:nvPicPr>
      <xdr:blipFill>
        <a:blip r:embed="rId49"/>
        <a:stretch/>
      </xdr:blipFill>
      <xdr:spPr>
        <a:xfrm>
          <a:off x="0" y="563270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2564</xdr:row>
      <xdr:rowOff>162000</xdr:rowOff>
    </xdr:from>
    <xdr:to>
      <xdr:col>0</xdr:col>
      <xdr:colOff>723600</xdr:colOff>
      <xdr:row>2568</xdr:row>
      <xdr:rowOff>123480</xdr:rowOff>
    </xdr:to>
    <xdr:pic>
      <xdr:nvPicPr>
        <xdr:cNvPr id="131" name="Image 50" descr="Picture"/>
        <xdr:cNvPicPr/>
      </xdr:nvPicPr>
      <xdr:blipFill>
        <a:blip r:embed="rId50"/>
        <a:stretch/>
      </xdr:blipFill>
      <xdr:spPr>
        <a:xfrm>
          <a:off x="0" y="5657659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2608</xdr:row>
      <xdr:rowOff>40680</xdr:rowOff>
    </xdr:from>
    <xdr:to>
      <xdr:col>0</xdr:col>
      <xdr:colOff>723600</xdr:colOff>
      <xdr:row>2610</xdr:row>
      <xdr:rowOff>44280</xdr:rowOff>
    </xdr:to>
    <xdr:pic>
      <xdr:nvPicPr>
        <xdr:cNvPr id="132" name="Image 51" descr="Picture"/>
        <xdr:cNvPicPr/>
      </xdr:nvPicPr>
      <xdr:blipFill>
        <a:blip r:embed="rId51"/>
        <a:stretch/>
      </xdr:blipFill>
      <xdr:spPr>
        <a:xfrm>
          <a:off x="0" y="581596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2647</xdr:row>
      <xdr:rowOff>286920</xdr:rowOff>
    </xdr:from>
    <xdr:to>
      <xdr:col>0</xdr:col>
      <xdr:colOff>723600</xdr:colOff>
      <xdr:row>2648</xdr:row>
      <xdr:rowOff>480240</xdr:rowOff>
    </xdr:to>
    <xdr:pic>
      <xdr:nvPicPr>
        <xdr:cNvPr id="133" name="Image 52" descr="Picture"/>
        <xdr:cNvPicPr/>
      </xdr:nvPicPr>
      <xdr:blipFill>
        <a:blip r:embed="rId52"/>
        <a:stretch/>
      </xdr:blipFill>
      <xdr:spPr>
        <a:xfrm>
          <a:off x="0" y="592664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2755</xdr:row>
      <xdr:rowOff>332280</xdr:rowOff>
    </xdr:from>
    <xdr:to>
      <xdr:col>0</xdr:col>
      <xdr:colOff>723600</xdr:colOff>
      <xdr:row>2758</xdr:row>
      <xdr:rowOff>145440</xdr:rowOff>
    </xdr:to>
    <xdr:pic>
      <xdr:nvPicPr>
        <xdr:cNvPr id="134" name="Image 53" descr="Picture"/>
        <xdr:cNvPicPr/>
      </xdr:nvPicPr>
      <xdr:blipFill>
        <a:blip r:embed="rId53"/>
        <a:stretch/>
      </xdr:blipFill>
      <xdr:spPr>
        <a:xfrm>
          <a:off x="0" y="623735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2962</xdr:row>
      <xdr:rowOff>36720</xdr:rowOff>
    </xdr:from>
    <xdr:to>
      <xdr:col>0</xdr:col>
      <xdr:colOff>723600</xdr:colOff>
      <xdr:row>2965</xdr:row>
      <xdr:rowOff>189000</xdr:rowOff>
    </xdr:to>
    <xdr:pic>
      <xdr:nvPicPr>
        <xdr:cNvPr id="135" name="Image 54" descr="Picture"/>
        <xdr:cNvPicPr/>
      </xdr:nvPicPr>
      <xdr:blipFill>
        <a:blip r:embed="rId54"/>
        <a:stretch/>
      </xdr:blipFill>
      <xdr:spPr>
        <a:xfrm>
          <a:off x="0" y="670236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3012</xdr:row>
      <xdr:rowOff>10440</xdr:rowOff>
    </xdr:from>
    <xdr:to>
      <xdr:col>0</xdr:col>
      <xdr:colOff>723600</xdr:colOff>
      <xdr:row>3015</xdr:row>
      <xdr:rowOff>162360</xdr:rowOff>
    </xdr:to>
    <xdr:pic>
      <xdr:nvPicPr>
        <xdr:cNvPr id="136" name="Image 55" descr="Picture"/>
        <xdr:cNvPicPr/>
      </xdr:nvPicPr>
      <xdr:blipFill>
        <a:blip r:embed="rId55"/>
        <a:stretch/>
      </xdr:blipFill>
      <xdr:spPr>
        <a:xfrm>
          <a:off x="0" y="682447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3068</xdr:row>
      <xdr:rowOff>301680</xdr:rowOff>
    </xdr:from>
    <xdr:to>
      <xdr:col>0</xdr:col>
      <xdr:colOff>723600</xdr:colOff>
      <xdr:row>3070</xdr:row>
      <xdr:rowOff>53640</xdr:rowOff>
    </xdr:to>
    <xdr:pic>
      <xdr:nvPicPr>
        <xdr:cNvPr id="137" name="Image 56" descr="Picture"/>
        <xdr:cNvPicPr/>
      </xdr:nvPicPr>
      <xdr:blipFill>
        <a:blip r:embed="rId56"/>
        <a:stretch/>
      </xdr:blipFill>
      <xdr:spPr>
        <a:xfrm>
          <a:off x="0" y="695610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3088</xdr:row>
      <xdr:rowOff>111240</xdr:rowOff>
    </xdr:from>
    <xdr:to>
      <xdr:col>0</xdr:col>
      <xdr:colOff>723600</xdr:colOff>
      <xdr:row>3092</xdr:row>
      <xdr:rowOff>72720</xdr:rowOff>
    </xdr:to>
    <xdr:pic>
      <xdr:nvPicPr>
        <xdr:cNvPr id="138" name="Image 57" descr="Picture"/>
        <xdr:cNvPicPr/>
      </xdr:nvPicPr>
      <xdr:blipFill>
        <a:blip r:embed="rId57"/>
        <a:stretch/>
      </xdr:blipFill>
      <xdr:spPr>
        <a:xfrm>
          <a:off x="0" y="7000113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3133</xdr:row>
      <xdr:rowOff>129960</xdr:rowOff>
    </xdr:from>
    <xdr:to>
      <xdr:col>0</xdr:col>
      <xdr:colOff>723600</xdr:colOff>
      <xdr:row>3137</xdr:row>
      <xdr:rowOff>91800</xdr:rowOff>
    </xdr:to>
    <xdr:pic>
      <xdr:nvPicPr>
        <xdr:cNvPr id="139" name="Image 58" descr="Picture"/>
        <xdr:cNvPicPr/>
      </xdr:nvPicPr>
      <xdr:blipFill>
        <a:blip r:embed="rId58"/>
        <a:stretch/>
      </xdr:blipFill>
      <xdr:spPr>
        <a:xfrm>
          <a:off x="0" y="708602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3141</xdr:row>
      <xdr:rowOff>149400</xdr:rowOff>
    </xdr:from>
    <xdr:to>
      <xdr:col>0</xdr:col>
      <xdr:colOff>723600</xdr:colOff>
      <xdr:row>3145</xdr:row>
      <xdr:rowOff>110880</xdr:rowOff>
    </xdr:to>
    <xdr:pic>
      <xdr:nvPicPr>
        <xdr:cNvPr id="140" name="Image 59" descr="Picture"/>
        <xdr:cNvPicPr/>
      </xdr:nvPicPr>
      <xdr:blipFill>
        <a:blip r:embed="rId59"/>
        <a:stretch/>
      </xdr:blipFill>
      <xdr:spPr>
        <a:xfrm>
          <a:off x="0" y="710146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3171</xdr:row>
      <xdr:rowOff>168120</xdr:rowOff>
    </xdr:from>
    <xdr:to>
      <xdr:col>0</xdr:col>
      <xdr:colOff>723600</xdr:colOff>
      <xdr:row>3175</xdr:row>
      <xdr:rowOff>129600</xdr:rowOff>
    </xdr:to>
    <xdr:pic>
      <xdr:nvPicPr>
        <xdr:cNvPr id="141" name="Image 60" descr="Picture"/>
        <xdr:cNvPicPr/>
      </xdr:nvPicPr>
      <xdr:blipFill>
        <a:blip r:embed="rId60"/>
        <a:stretch/>
      </xdr:blipFill>
      <xdr:spPr>
        <a:xfrm>
          <a:off x="0" y="715879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3191</xdr:row>
      <xdr:rowOff>187560</xdr:rowOff>
    </xdr:from>
    <xdr:to>
      <xdr:col>0</xdr:col>
      <xdr:colOff>723600</xdr:colOff>
      <xdr:row>3195</xdr:row>
      <xdr:rowOff>149040</xdr:rowOff>
    </xdr:to>
    <xdr:pic>
      <xdr:nvPicPr>
        <xdr:cNvPr id="142" name="Image 61" descr="Picture"/>
        <xdr:cNvPicPr/>
      </xdr:nvPicPr>
      <xdr:blipFill>
        <a:blip r:embed="rId61"/>
        <a:stretch/>
      </xdr:blipFill>
      <xdr:spPr>
        <a:xfrm>
          <a:off x="0" y="719709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3200</xdr:row>
      <xdr:rowOff>15840</xdr:rowOff>
    </xdr:from>
    <xdr:to>
      <xdr:col>0</xdr:col>
      <xdr:colOff>723600</xdr:colOff>
      <xdr:row>3203</xdr:row>
      <xdr:rowOff>168120</xdr:rowOff>
    </xdr:to>
    <xdr:pic>
      <xdr:nvPicPr>
        <xdr:cNvPr id="143" name="Image 62" descr="Picture"/>
        <xdr:cNvPicPr/>
      </xdr:nvPicPr>
      <xdr:blipFill>
        <a:blip r:embed="rId62"/>
        <a:stretch/>
      </xdr:blipFill>
      <xdr:spPr>
        <a:xfrm>
          <a:off x="0" y="721252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3275</xdr:row>
      <xdr:rowOff>34920</xdr:rowOff>
    </xdr:from>
    <xdr:to>
      <xdr:col>0</xdr:col>
      <xdr:colOff>723600</xdr:colOff>
      <xdr:row>3278</xdr:row>
      <xdr:rowOff>186840</xdr:rowOff>
    </xdr:to>
    <xdr:pic>
      <xdr:nvPicPr>
        <xdr:cNvPr id="144" name="Image 63" descr="Picture"/>
        <xdr:cNvPicPr/>
      </xdr:nvPicPr>
      <xdr:blipFill>
        <a:blip r:embed="rId63"/>
        <a:stretch/>
      </xdr:blipFill>
      <xdr:spPr>
        <a:xfrm>
          <a:off x="0" y="735558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3297</xdr:row>
      <xdr:rowOff>54000</xdr:rowOff>
    </xdr:from>
    <xdr:to>
      <xdr:col>0</xdr:col>
      <xdr:colOff>723600</xdr:colOff>
      <xdr:row>3301</xdr:row>
      <xdr:rowOff>15480</xdr:rowOff>
    </xdr:to>
    <xdr:pic>
      <xdr:nvPicPr>
        <xdr:cNvPr id="145" name="Image 64" descr="Picture"/>
        <xdr:cNvPicPr/>
      </xdr:nvPicPr>
      <xdr:blipFill>
        <a:blip r:embed="rId64"/>
        <a:stretch/>
      </xdr:blipFill>
      <xdr:spPr>
        <a:xfrm>
          <a:off x="0" y="739768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3308</xdr:row>
      <xdr:rowOff>453960</xdr:rowOff>
    </xdr:from>
    <xdr:to>
      <xdr:col>0</xdr:col>
      <xdr:colOff>723600</xdr:colOff>
      <xdr:row>3310</xdr:row>
      <xdr:rowOff>205920</xdr:rowOff>
    </xdr:to>
    <xdr:pic>
      <xdr:nvPicPr>
        <xdr:cNvPr id="146" name="Image 65" descr="Picture"/>
        <xdr:cNvPicPr/>
      </xdr:nvPicPr>
      <xdr:blipFill>
        <a:blip r:embed="rId65"/>
        <a:stretch/>
      </xdr:blipFill>
      <xdr:spPr>
        <a:xfrm>
          <a:off x="0" y="742264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3335</xdr:row>
      <xdr:rowOff>153720</xdr:rowOff>
    </xdr:from>
    <xdr:to>
      <xdr:col>0</xdr:col>
      <xdr:colOff>723600</xdr:colOff>
      <xdr:row>3337</xdr:row>
      <xdr:rowOff>157320</xdr:rowOff>
    </xdr:to>
    <xdr:pic>
      <xdr:nvPicPr>
        <xdr:cNvPr id="147" name="Image 66" descr="Picture"/>
        <xdr:cNvPicPr/>
      </xdr:nvPicPr>
      <xdr:blipFill>
        <a:blip r:embed="rId66"/>
        <a:stretch/>
      </xdr:blipFill>
      <xdr:spPr>
        <a:xfrm>
          <a:off x="0" y="750093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3351</xdr:row>
      <xdr:rowOff>21600</xdr:rowOff>
    </xdr:from>
    <xdr:to>
      <xdr:col>0</xdr:col>
      <xdr:colOff>723600</xdr:colOff>
      <xdr:row>3353</xdr:row>
      <xdr:rowOff>194760</xdr:rowOff>
    </xdr:to>
    <xdr:pic>
      <xdr:nvPicPr>
        <xdr:cNvPr id="148" name="Image 67" descr="Picture"/>
        <xdr:cNvPicPr/>
      </xdr:nvPicPr>
      <xdr:blipFill>
        <a:blip r:embed="rId67"/>
        <a:stretch/>
      </xdr:blipFill>
      <xdr:spPr>
        <a:xfrm>
          <a:off x="0" y="7548753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3498</xdr:row>
      <xdr:rowOff>654120</xdr:rowOff>
    </xdr:from>
    <xdr:to>
      <xdr:col>0</xdr:col>
      <xdr:colOff>723600</xdr:colOff>
      <xdr:row>3501</xdr:row>
      <xdr:rowOff>25200</xdr:rowOff>
    </xdr:to>
    <xdr:pic>
      <xdr:nvPicPr>
        <xdr:cNvPr id="149" name="Image 68" descr="Picture"/>
        <xdr:cNvPicPr/>
      </xdr:nvPicPr>
      <xdr:blipFill>
        <a:blip r:embed="rId68"/>
        <a:stretch/>
      </xdr:blipFill>
      <xdr:spPr>
        <a:xfrm>
          <a:off x="0" y="793566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3518</xdr:row>
      <xdr:rowOff>82440</xdr:rowOff>
    </xdr:from>
    <xdr:to>
      <xdr:col>0</xdr:col>
      <xdr:colOff>723600</xdr:colOff>
      <xdr:row>3522</xdr:row>
      <xdr:rowOff>44280</xdr:rowOff>
    </xdr:to>
    <xdr:pic>
      <xdr:nvPicPr>
        <xdr:cNvPr id="150" name="Image 69" descr="Picture"/>
        <xdr:cNvPicPr/>
      </xdr:nvPicPr>
      <xdr:blipFill>
        <a:blip r:embed="rId69"/>
        <a:stretch/>
      </xdr:blipFill>
      <xdr:spPr>
        <a:xfrm>
          <a:off x="0" y="797585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3591</xdr:row>
      <xdr:rowOff>44640</xdr:rowOff>
    </xdr:from>
    <xdr:to>
      <xdr:col>0</xdr:col>
      <xdr:colOff>723600</xdr:colOff>
      <xdr:row>3595</xdr:row>
      <xdr:rowOff>6120</xdr:rowOff>
    </xdr:to>
    <xdr:pic>
      <xdr:nvPicPr>
        <xdr:cNvPr id="151" name="Image 70" descr="Picture"/>
        <xdr:cNvPicPr/>
      </xdr:nvPicPr>
      <xdr:blipFill>
        <a:blip r:embed="rId70"/>
        <a:stretch/>
      </xdr:blipFill>
      <xdr:spPr>
        <a:xfrm>
          <a:off x="0" y="813606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3608</xdr:row>
      <xdr:rowOff>63720</xdr:rowOff>
    </xdr:from>
    <xdr:to>
      <xdr:col>0</xdr:col>
      <xdr:colOff>723600</xdr:colOff>
      <xdr:row>3612</xdr:row>
      <xdr:rowOff>25200</xdr:rowOff>
    </xdr:to>
    <xdr:pic>
      <xdr:nvPicPr>
        <xdr:cNvPr id="152" name="Image 71" descr="Picture"/>
        <xdr:cNvPicPr/>
      </xdr:nvPicPr>
      <xdr:blipFill>
        <a:blip r:embed="rId71"/>
        <a:stretch/>
      </xdr:blipFill>
      <xdr:spPr>
        <a:xfrm>
          <a:off x="0" y="816864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3638</xdr:row>
      <xdr:rowOff>44640</xdr:rowOff>
    </xdr:from>
    <xdr:to>
      <xdr:col>0</xdr:col>
      <xdr:colOff>723600</xdr:colOff>
      <xdr:row>3642</xdr:row>
      <xdr:rowOff>6120</xdr:rowOff>
    </xdr:to>
    <xdr:pic>
      <xdr:nvPicPr>
        <xdr:cNvPr id="153" name="Image 72" descr="Picture"/>
        <xdr:cNvPicPr/>
      </xdr:nvPicPr>
      <xdr:blipFill>
        <a:blip r:embed="rId72"/>
        <a:stretch/>
      </xdr:blipFill>
      <xdr:spPr>
        <a:xfrm>
          <a:off x="0" y="824122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3660</xdr:row>
      <xdr:rowOff>44280</xdr:rowOff>
    </xdr:from>
    <xdr:to>
      <xdr:col>0</xdr:col>
      <xdr:colOff>723600</xdr:colOff>
      <xdr:row>3664</xdr:row>
      <xdr:rowOff>6120</xdr:rowOff>
    </xdr:to>
    <xdr:pic>
      <xdr:nvPicPr>
        <xdr:cNvPr id="154" name="Image 73" descr="Picture"/>
        <xdr:cNvPicPr/>
      </xdr:nvPicPr>
      <xdr:blipFill>
        <a:blip r:embed="rId73"/>
        <a:stretch/>
      </xdr:blipFill>
      <xdr:spPr>
        <a:xfrm>
          <a:off x="0" y="829094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3701</xdr:row>
      <xdr:rowOff>63360</xdr:rowOff>
    </xdr:from>
    <xdr:to>
      <xdr:col>0</xdr:col>
      <xdr:colOff>723600</xdr:colOff>
      <xdr:row>3702</xdr:row>
      <xdr:rowOff>6120</xdr:rowOff>
    </xdr:to>
    <xdr:pic>
      <xdr:nvPicPr>
        <xdr:cNvPr id="155" name="Image 74" descr="Picture"/>
        <xdr:cNvPicPr/>
      </xdr:nvPicPr>
      <xdr:blipFill>
        <a:blip r:embed="rId74"/>
        <a:stretch/>
      </xdr:blipFill>
      <xdr:spPr>
        <a:xfrm>
          <a:off x="0" y="839400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3714</xdr:row>
      <xdr:rowOff>338040</xdr:rowOff>
    </xdr:from>
    <xdr:to>
      <xdr:col>0</xdr:col>
      <xdr:colOff>723600</xdr:colOff>
      <xdr:row>3717</xdr:row>
      <xdr:rowOff>150840</xdr:rowOff>
    </xdr:to>
    <xdr:pic>
      <xdr:nvPicPr>
        <xdr:cNvPr id="156" name="Image 75" descr="Picture"/>
        <xdr:cNvPicPr/>
      </xdr:nvPicPr>
      <xdr:blipFill>
        <a:blip r:embed="rId75"/>
        <a:stretch/>
      </xdr:blipFill>
      <xdr:spPr>
        <a:xfrm>
          <a:off x="0" y="843610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3889</xdr:row>
      <xdr:rowOff>74880</xdr:rowOff>
    </xdr:from>
    <xdr:to>
      <xdr:col>0</xdr:col>
      <xdr:colOff>723600</xdr:colOff>
      <xdr:row>3893</xdr:row>
      <xdr:rowOff>36360</xdr:rowOff>
    </xdr:to>
    <xdr:pic>
      <xdr:nvPicPr>
        <xdr:cNvPr id="157" name="Image 76" descr="Picture"/>
        <xdr:cNvPicPr/>
      </xdr:nvPicPr>
      <xdr:blipFill>
        <a:blip r:embed="rId76"/>
        <a:stretch/>
      </xdr:blipFill>
      <xdr:spPr>
        <a:xfrm>
          <a:off x="0" y="882110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3897</xdr:row>
      <xdr:rowOff>94320</xdr:rowOff>
    </xdr:from>
    <xdr:to>
      <xdr:col>0</xdr:col>
      <xdr:colOff>723600</xdr:colOff>
      <xdr:row>3900</xdr:row>
      <xdr:rowOff>246240</xdr:rowOff>
    </xdr:to>
    <xdr:pic>
      <xdr:nvPicPr>
        <xdr:cNvPr id="158" name="Image 77" descr="Picture"/>
        <xdr:cNvPicPr/>
      </xdr:nvPicPr>
      <xdr:blipFill>
        <a:blip r:embed="rId77"/>
        <a:stretch/>
      </xdr:blipFill>
      <xdr:spPr>
        <a:xfrm>
          <a:off x="0" y="883653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3958</xdr:row>
      <xdr:rowOff>257760</xdr:rowOff>
    </xdr:from>
    <xdr:to>
      <xdr:col>0</xdr:col>
      <xdr:colOff>723600</xdr:colOff>
      <xdr:row>3960</xdr:row>
      <xdr:rowOff>261000</xdr:rowOff>
    </xdr:to>
    <xdr:pic>
      <xdr:nvPicPr>
        <xdr:cNvPr id="159" name="Image 78" descr="Picture"/>
        <xdr:cNvPicPr/>
      </xdr:nvPicPr>
      <xdr:blipFill>
        <a:blip r:embed="rId78"/>
        <a:stretch/>
      </xdr:blipFill>
      <xdr:spPr>
        <a:xfrm>
          <a:off x="0" y="903103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3965</xdr:row>
      <xdr:rowOff>233280</xdr:rowOff>
    </xdr:from>
    <xdr:to>
      <xdr:col>0</xdr:col>
      <xdr:colOff>723600</xdr:colOff>
      <xdr:row>3967</xdr:row>
      <xdr:rowOff>236880</xdr:rowOff>
    </xdr:to>
    <xdr:pic>
      <xdr:nvPicPr>
        <xdr:cNvPr id="160" name="Image 79" descr="Picture"/>
        <xdr:cNvPicPr/>
      </xdr:nvPicPr>
      <xdr:blipFill>
        <a:blip r:embed="rId79"/>
        <a:stretch/>
      </xdr:blipFill>
      <xdr:spPr>
        <a:xfrm>
          <a:off x="0" y="905599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3972</xdr:row>
      <xdr:rowOff>208440</xdr:rowOff>
    </xdr:from>
    <xdr:to>
      <xdr:col>0</xdr:col>
      <xdr:colOff>723600</xdr:colOff>
      <xdr:row>3974</xdr:row>
      <xdr:rowOff>212040</xdr:rowOff>
    </xdr:to>
    <xdr:pic>
      <xdr:nvPicPr>
        <xdr:cNvPr id="161" name="Image 80" descr="Picture"/>
        <xdr:cNvPicPr/>
      </xdr:nvPicPr>
      <xdr:blipFill>
        <a:blip r:embed="rId80"/>
        <a:stretch/>
      </xdr:blipFill>
      <xdr:spPr>
        <a:xfrm>
          <a:off x="0" y="908094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723600</xdr:colOff>
      <xdr:row>0</xdr:row>
      <xdr:rowOff>723600</xdr:rowOff>
    </xdr:to>
    <xdr:pic>
      <xdr:nvPicPr>
        <xdr:cNvPr id="162" name="Image 1" descr="Picture"/>
        <xdr:cNvPicPr/>
      </xdr:nvPicPr>
      <xdr:blipFill>
        <a:blip r:embed="rId1"/>
        <a:stretch/>
      </xdr:blipFill>
      <xdr:spPr>
        <a:xfrm>
          <a:off x="0" y="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723600</xdr:colOff>
      <xdr:row>9</xdr:row>
      <xdr:rowOff>723600</xdr:rowOff>
    </xdr:to>
    <xdr:pic>
      <xdr:nvPicPr>
        <xdr:cNvPr id="163" name="Image 2" descr="Picture"/>
        <xdr:cNvPicPr/>
      </xdr:nvPicPr>
      <xdr:blipFill>
        <a:blip r:embed="rId2"/>
        <a:stretch/>
      </xdr:blipFill>
      <xdr:spPr>
        <a:xfrm>
          <a:off x="0" y="2495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</xdr:row>
      <xdr:rowOff>139680</xdr:rowOff>
    </xdr:from>
    <xdr:to>
      <xdr:col>0</xdr:col>
      <xdr:colOff>723600</xdr:colOff>
      <xdr:row>23</xdr:row>
      <xdr:rowOff>333000</xdr:rowOff>
    </xdr:to>
    <xdr:pic>
      <xdr:nvPicPr>
        <xdr:cNvPr id="164" name="Image 3" descr="Picture"/>
        <xdr:cNvPicPr/>
      </xdr:nvPicPr>
      <xdr:blipFill>
        <a:blip r:embed="rId3"/>
        <a:stretch/>
      </xdr:blipFill>
      <xdr:spPr>
        <a:xfrm>
          <a:off x="0" y="8610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</xdr:row>
      <xdr:rowOff>515160</xdr:rowOff>
    </xdr:from>
    <xdr:to>
      <xdr:col>0</xdr:col>
      <xdr:colOff>723600</xdr:colOff>
      <xdr:row>29</xdr:row>
      <xdr:rowOff>178200</xdr:rowOff>
    </xdr:to>
    <xdr:pic>
      <xdr:nvPicPr>
        <xdr:cNvPr id="165" name="Image 4" descr="Picture"/>
        <xdr:cNvPicPr/>
      </xdr:nvPicPr>
      <xdr:blipFill>
        <a:blip r:embed="rId4"/>
        <a:stretch/>
      </xdr:blipFill>
      <xdr:spPr>
        <a:xfrm>
          <a:off x="0" y="11296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</xdr:row>
      <xdr:rowOff>170640</xdr:rowOff>
    </xdr:from>
    <xdr:to>
      <xdr:col>0</xdr:col>
      <xdr:colOff>723600</xdr:colOff>
      <xdr:row>37</xdr:row>
      <xdr:rowOff>513360</xdr:rowOff>
    </xdr:to>
    <xdr:pic>
      <xdr:nvPicPr>
        <xdr:cNvPr id="166" name="Image 5" descr="Picture"/>
        <xdr:cNvPicPr/>
      </xdr:nvPicPr>
      <xdr:blipFill>
        <a:blip r:embed="rId5"/>
        <a:stretch/>
      </xdr:blipFill>
      <xdr:spPr>
        <a:xfrm>
          <a:off x="0" y="14173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</xdr:row>
      <xdr:rowOff>170640</xdr:rowOff>
    </xdr:from>
    <xdr:to>
      <xdr:col>0</xdr:col>
      <xdr:colOff>723600</xdr:colOff>
      <xdr:row>47</xdr:row>
      <xdr:rowOff>513360</xdr:rowOff>
    </xdr:to>
    <xdr:pic>
      <xdr:nvPicPr>
        <xdr:cNvPr id="167" name="Image 6" descr="Picture"/>
        <xdr:cNvPicPr/>
      </xdr:nvPicPr>
      <xdr:blipFill>
        <a:blip r:embed="rId6"/>
        <a:stretch/>
      </xdr:blipFill>
      <xdr:spPr>
        <a:xfrm>
          <a:off x="0" y="16859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</xdr:row>
      <xdr:rowOff>361440</xdr:rowOff>
    </xdr:from>
    <xdr:to>
      <xdr:col>0</xdr:col>
      <xdr:colOff>723600</xdr:colOff>
      <xdr:row>53</xdr:row>
      <xdr:rowOff>132480</xdr:rowOff>
    </xdr:to>
    <xdr:pic>
      <xdr:nvPicPr>
        <xdr:cNvPr id="168" name="Image 7" descr="Picture"/>
        <xdr:cNvPicPr/>
      </xdr:nvPicPr>
      <xdr:blipFill>
        <a:blip r:embed="rId7"/>
        <a:stretch/>
      </xdr:blipFill>
      <xdr:spPr>
        <a:xfrm>
          <a:off x="0" y="18402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</xdr:row>
      <xdr:rowOff>234720</xdr:rowOff>
    </xdr:from>
    <xdr:to>
      <xdr:col>0</xdr:col>
      <xdr:colOff>723600</xdr:colOff>
      <xdr:row>74</xdr:row>
      <xdr:rowOff>177480</xdr:rowOff>
    </xdr:to>
    <xdr:pic>
      <xdr:nvPicPr>
        <xdr:cNvPr id="169" name="Image 8" descr="Picture"/>
        <xdr:cNvPicPr/>
      </xdr:nvPicPr>
      <xdr:blipFill>
        <a:blip r:embed="rId8"/>
        <a:stretch/>
      </xdr:blipFill>
      <xdr:spPr>
        <a:xfrm>
          <a:off x="0" y="25088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</xdr:row>
      <xdr:rowOff>106560</xdr:rowOff>
    </xdr:from>
    <xdr:to>
      <xdr:col>0</xdr:col>
      <xdr:colOff>723600</xdr:colOff>
      <xdr:row>81</xdr:row>
      <xdr:rowOff>299880</xdr:rowOff>
    </xdr:to>
    <xdr:pic>
      <xdr:nvPicPr>
        <xdr:cNvPr id="170" name="Image 9" descr="Picture"/>
        <xdr:cNvPicPr/>
      </xdr:nvPicPr>
      <xdr:blipFill>
        <a:blip r:embed="rId9"/>
        <a:stretch/>
      </xdr:blipFill>
      <xdr:spPr>
        <a:xfrm>
          <a:off x="0" y="27584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</xdr:row>
      <xdr:rowOff>291240</xdr:rowOff>
    </xdr:from>
    <xdr:to>
      <xdr:col>0</xdr:col>
      <xdr:colOff>723600</xdr:colOff>
      <xdr:row>86</xdr:row>
      <xdr:rowOff>484560</xdr:rowOff>
    </xdr:to>
    <xdr:pic>
      <xdr:nvPicPr>
        <xdr:cNvPr id="171" name="Image 10" descr="Picture"/>
        <xdr:cNvPicPr/>
      </xdr:nvPicPr>
      <xdr:blipFill>
        <a:blip r:embed="rId10"/>
        <a:stretch/>
      </xdr:blipFill>
      <xdr:spPr>
        <a:xfrm>
          <a:off x="0" y="30079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88</xdr:row>
      <xdr:rowOff>244080</xdr:rowOff>
    </xdr:from>
    <xdr:to>
      <xdr:col>0</xdr:col>
      <xdr:colOff>723600</xdr:colOff>
      <xdr:row>89</xdr:row>
      <xdr:rowOff>437400</xdr:rowOff>
    </xdr:to>
    <xdr:pic>
      <xdr:nvPicPr>
        <xdr:cNvPr id="172" name="Image 11" descr="Picture"/>
        <xdr:cNvPicPr/>
      </xdr:nvPicPr>
      <xdr:blipFill>
        <a:blip r:embed="rId11"/>
        <a:stretch/>
      </xdr:blipFill>
      <xdr:spPr>
        <a:xfrm>
          <a:off x="0" y="31623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101</xdr:row>
      <xdr:rowOff>167040</xdr:rowOff>
    </xdr:from>
    <xdr:to>
      <xdr:col>0</xdr:col>
      <xdr:colOff>723600</xdr:colOff>
      <xdr:row>103</xdr:row>
      <xdr:rowOff>169920</xdr:rowOff>
    </xdr:to>
    <xdr:pic>
      <xdr:nvPicPr>
        <xdr:cNvPr id="173" name="Image 12" descr="Picture"/>
        <xdr:cNvPicPr/>
      </xdr:nvPicPr>
      <xdr:blipFill>
        <a:blip r:embed="rId12"/>
        <a:stretch/>
      </xdr:blipFill>
      <xdr:spPr>
        <a:xfrm>
          <a:off x="0" y="37928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114</xdr:row>
      <xdr:rowOff>189360</xdr:rowOff>
    </xdr:from>
    <xdr:to>
      <xdr:col>0</xdr:col>
      <xdr:colOff>723600</xdr:colOff>
      <xdr:row>117</xdr:row>
      <xdr:rowOff>150840</xdr:rowOff>
    </xdr:to>
    <xdr:pic>
      <xdr:nvPicPr>
        <xdr:cNvPr id="174" name="Image 13" descr="Picture"/>
        <xdr:cNvPicPr/>
      </xdr:nvPicPr>
      <xdr:blipFill>
        <a:blip r:embed="rId13"/>
        <a:stretch/>
      </xdr:blipFill>
      <xdr:spPr>
        <a:xfrm>
          <a:off x="0" y="42138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123</xdr:row>
      <xdr:rowOff>189360</xdr:rowOff>
    </xdr:from>
    <xdr:to>
      <xdr:col>0</xdr:col>
      <xdr:colOff>723600</xdr:colOff>
      <xdr:row>127</xdr:row>
      <xdr:rowOff>150840</xdr:rowOff>
    </xdr:to>
    <xdr:pic>
      <xdr:nvPicPr>
        <xdr:cNvPr id="175" name="Image 14" descr="Picture"/>
        <xdr:cNvPicPr/>
      </xdr:nvPicPr>
      <xdr:blipFill>
        <a:blip r:embed="rId14"/>
        <a:stretch/>
      </xdr:blipFill>
      <xdr:spPr>
        <a:xfrm>
          <a:off x="0" y="44634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132</xdr:row>
      <xdr:rowOff>189360</xdr:rowOff>
    </xdr:from>
    <xdr:to>
      <xdr:col>0</xdr:col>
      <xdr:colOff>723600</xdr:colOff>
      <xdr:row>134</xdr:row>
      <xdr:rowOff>22680</xdr:rowOff>
    </xdr:to>
    <xdr:pic>
      <xdr:nvPicPr>
        <xdr:cNvPr id="176" name="Image 15" descr="Picture"/>
        <xdr:cNvPicPr/>
      </xdr:nvPicPr>
      <xdr:blipFill>
        <a:blip r:embed="rId15"/>
        <a:stretch/>
      </xdr:blipFill>
      <xdr:spPr>
        <a:xfrm>
          <a:off x="0" y="47129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138</xdr:row>
      <xdr:rowOff>184320</xdr:rowOff>
    </xdr:from>
    <xdr:to>
      <xdr:col>0</xdr:col>
      <xdr:colOff>723600</xdr:colOff>
      <xdr:row>140</xdr:row>
      <xdr:rowOff>187560</xdr:rowOff>
    </xdr:to>
    <xdr:pic>
      <xdr:nvPicPr>
        <xdr:cNvPr id="177" name="Image 16" descr="Picture"/>
        <xdr:cNvPicPr/>
      </xdr:nvPicPr>
      <xdr:blipFill>
        <a:blip r:embed="rId16"/>
        <a:stretch/>
      </xdr:blipFill>
      <xdr:spPr>
        <a:xfrm>
          <a:off x="0" y="49625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145</xdr:row>
      <xdr:rowOff>159480</xdr:rowOff>
    </xdr:from>
    <xdr:to>
      <xdr:col>0</xdr:col>
      <xdr:colOff>723600</xdr:colOff>
      <xdr:row>147</xdr:row>
      <xdr:rowOff>162720</xdr:rowOff>
    </xdr:to>
    <xdr:pic>
      <xdr:nvPicPr>
        <xdr:cNvPr id="178" name="Image 17" descr="Picture"/>
        <xdr:cNvPicPr/>
      </xdr:nvPicPr>
      <xdr:blipFill>
        <a:blip r:embed="rId17"/>
        <a:stretch/>
      </xdr:blipFill>
      <xdr:spPr>
        <a:xfrm>
          <a:off x="0" y="52120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149</xdr:row>
      <xdr:rowOff>262080</xdr:rowOff>
    </xdr:from>
    <xdr:to>
      <xdr:col>0</xdr:col>
      <xdr:colOff>723600</xdr:colOff>
      <xdr:row>151</xdr:row>
      <xdr:rowOff>265680</xdr:rowOff>
    </xdr:to>
    <xdr:pic>
      <xdr:nvPicPr>
        <xdr:cNvPr id="179" name="Image 18" descr="Picture"/>
        <xdr:cNvPicPr/>
      </xdr:nvPicPr>
      <xdr:blipFill>
        <a:blip r:embed="rId18"/>
        <a:stretch/>
      </xdr:blipFill>
      <xdr:spPr>
        <a:xfrm>
          <a:off x="0" y="53663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156</xdr:row>
      <xdr:rowOff>576360</xdr:rowOff>
    </xdr:from>
    <xdr:to>
      <xdr:col>0</xdr:col>
      <xdr:colOff>723600</xdr:colOff>
      <xdr:row>158</xdr:row>
      <xdr:rowOff>328680</xdr:rowOff>
    </xdr:to>
    <xdr:pic>
      <xdr:nvPicPr>
        <xdr:cNvPr id="180" name="Image 19" descr="Picture"/>
        <xdr:cNvPicPr/>
      </xdr:nvPicPr>
      <xdr:blipFill>
        <a:blip r:embed="rId19"/>
        <a:stretch/>
      </xdr:blipFill>
      <xdr:spPr>
        <a:xfrm>
          <a:off x="0" y="56159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163</xdr:row>
      <xdr:rowOff>5400</xdr:rowOff>
    </xdr:from>
    <xdr:to>
      <xdr:col>0</xdr:col>
      <xdr:colOff>723600</xdr:colOff>
      <xdr:row>165</xdr:row>
      <xdr:rowOff>8640</xdr:rowOff>
    </xdr:to>
    <xdr:pic>
      <xdr:nvPicPr>
        <xdr:cNvPr id="181" name="Image 20" descr="Picture"/>
        <xdr:cNvPicPr/>
      </xdr:nvPicPr>
      <xdr:blipFill>
        <a:blip r:embed="rId20"/>
        <a:stretch/>
      </xdr:blipFill>
      <xdr:spPr>
        <a:xfrm>
          <a:off x="0" y="57702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174</xdr:row>
      <xdr:rowOff>277560</xdr:rowOff>
    </xdr:from>
    <xdr:to>
      <xdr:col>0</xdr:col>
      <xdr:colOff>723600</xdr:colOff>
      <xdr:row>176</xdr:row>
      <xdr:rowOff>29520</xdr:rowOff>
    </xdr:to>
    <xdr:pic>
      <xdr:nvPicPr>
        <xdr:cNvPr id="182" name="Image 21" descr="Picture"/>
        <xdr:cNvPicPr/>
      </xdr:nvPicPr>
      <xdr:blipFill>
        <a:blip r:embed="rId21"/>
        <a:stretch/>
      </xdr:blipFill>
      <xdr:spPr>
        <a:xfrm>
          <a:off x="0" y="60579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191</xdr:row>
      <xdr:rowOff>68040</xdr:rowOff>
    </xdr:from>
    <xdr:to>
      <xdr:col>0</xdr:col>
      <xdr:colOff>723600</xdr:colOff>
      <xdr:row>192</xdr:row>
      <xdr:rowOff>601200</xdr:rowOff>
    </xdr:to>
    <xdr:pic>
      <xdr:nvPicPr>
        <xdr:cNvPr id="183" name="Image 22" descr="Picture"/>
        <xdr:cNvPicPr/>
      </xdr:nvPicPr>
      <xdr:blipFill>
        <a:blip r:embed="rId22"/>
        <a:stretch/>
      </xdr:blipFill>
      <xdr:spPr>
        <a:xfrm>
          <a:off x="0" y="65170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195</xdr:row>
      <xdr:rowOff>68040</xdr:rowOff>
    </xdr:from>
    <xdr:to>
      <xdr:col>0</xdr:col>
      <xdr:colOff>723600</xdr:colOff>
      <xdr:row>198</xdr:row>
      <xdr:rowOff>50400</xdr:rowOff>
    </xdr:to>
    <xdr:pic>
      <xdr:nvPicPr>
        <xdr:cNvPr id="184" name="Image 23" descr="Picture"/>
        <xdr:cNvPicPr/>
      </xdr:nvPicPr>
      <xdr:blipFill>
        <a:blip r:embed="rId23"/>
        <a:stretch/>
      </xdr:blipFill>
      <xdr:spPr>
        <a:xfrm>
          <a:off x="0" y="66713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203</xdr:row>
      <xdr:rowOff>109800</xdr:rowOff>
    </xdr:from>
    <xdr:to>
      <xdr:col>0</xdr:col>
      <xdr:colOff>723600</xdr:colOff>
      <xdr:row>206</xdr:row>
      <xdr:rowOff>71280</xdr:rowOff>
    </xdr:to>
    <xdr:pic>
      <xdr:nvPicPr>
        <xdr:cNvPr id="185" name="Image 24" descr="Picture"/>
        <xdr:cNvPicPr/>
      </xdr:nvPicPr>
      <xdr:blipFill>
        <a:blip r:embed="rId24"/>
        <a:stretch/>
      </xdr:blipFill>
      <xdr:spPr>
        <a:xfrm>
          <a:off x="0" y="69208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210</xdr:row>
      <xdr:rowOff>129240</xdr:rowOff>
    </xdr:from>
    <xdr:to>
      <xdr:col>0</xdr:col>
      <xdr:colOff>723600</xdr:colOff>
      <xdr:row>211</xdr:row>
      <xdr:rowOff>71640</xdr:rowOff>
    </xdr:to>
    <xdr:pic>
      <xdr:nvPicPr>
        <xdr:cNvPr id="186" name="Image 25" descr="Picture"/>
        <xdr:cNvPicPr/>
      </xdr:nvPicPr>
      <xdr:blipFill>
        <a:blip r:embed="rId25"/>
        <a:stretch/>
      </xdr:blipFill>
      <xdr:spPr>
        <a:xfrm>
          <a:off x="0" y="70751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215</xdr:row>
      <xdr:rowOff>128880</xdr:rowOff>
    </xdr:from>
    <xdr:to>
      <xdr:col>0</xdr:col>
      <xdr:colOff>723600</xdr:colOff>
      <xdr:row>216</xdr:row>
      <xdr:rowOff>71640</xdr:rowOff>
    </xdr:to>
    <xdr:pic>
      <xdr:nvPicPr>
        <xdr:cNvPr id="187" name="Image 26" descr="Picture"/>
        <xdr:cNvPicPr/>
      </xdr:nvPicPr>
      <xdr:blipFill>
        <a:blip r:embed="rId26"/>
        <a:stretch/>
      </xdr:blipFill>
      <xdr:spPr>
        <a:xfrm>
          <a:off x="0" y="72294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219</xdr:row>
      <xdr:rowOff>128880</xdr:rowOff>
    </xdr:from>
    <xdr:to>
      <xdr:col>0</xdr:col>
      <xdr:colOff>723600</xdr:colOff>
      <xdr:row>222</xdr:row>
      <xdr:rowOff>111600</xdr:rowOff>
    </xdr:to>
    <xdr:pic>
      <xdr:nvPicPr>
        <xdr:cNvPr id="188" name="Image 27" descr="Picture"/>
        <xdr:cNvPicPr/>
      </xdr:nvPicPr>
      <xdr:blipFill>
        <a:blip r:embed="rId27"/>
        <a:stretch/>
      </xdr:blipFill>
      <xdr:spPr>
        <a:xfrm>
          <a:off x="0" y="73837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224</xdr:row>
      <xdr:rowOff>549720</xdr:rowOff>
    </xdr:from>
    <xdr:to>
      <xdr:col>0</xdr:col>
      <xdr:colOff>723600</xdr:colOff>
      <xdr:row>227</xdr:row>
      <xdr:rowOff>111240</xdr:rowOff>
    </xdr:to>
    <xdr:pic>
      <xdr:nvPicPr>
        <xdr:cNvPr id="189" name="Image 28" descr="Picture"/>
        <xdr:cNvPicPr/>
      </xdr:nvPicPr>
      <xdr:blipFill>
        <a:blip r:embed="rId28"/>
        <a:stretch/>
      </xdr:blipFill>
      <xdr:spPr>
        <a:xfrm>
          <a:off x="0" y="75380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229</xdr:row>
      <xdr:rowOff>550080</xdr:rowOff>
    </xdr:from>
    <xdr:to>
      <xdr:col>0</xdr:col>
      <xdr:colOff>723600</xdr:colOff>
      <xdr:row>231</xdr:row>
      <xdr:rowOff>302040</xdr:rowOff>
    </xdr:to>
    <xdr:pic>
      <xdr:nvPicPr>
        <xdr:cNvPr id="190" name="Image 29" descr="Picture"/>
        <xdr:cNvPicPr/>
      </xdr:nvPicPr>
      <xdr:blipFill>
        <a:blip r:embed="rId29"/>
        <a:stretch/>
      </xdr:blipFill>
      <xdr:spPr>
        <a:xfrm>
          <a:off x="0" y="76924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235</xdr:row>
      <xdr:rowOff>168840</xdr:rowOff>
    </xdr:from>
    <xdr:to>
      <xdr:col>0</xdr:col>
      <xdr:colOff>723600</xdr:colOff>
      <xdr:row>239</xdr:row>
      <xdr:rowOff>130680</xdr:rowOff>
    </xdr:to>
    <xdr:pic>
      <xdr:nvPicPr>
        <xdr:cNvPr id="191" name="Image 30" descr="Picture"/>
        <xdr:cNvPicPr/>
      </xdr:nvPicPr>
      <xdr:blipFill>
        <a:blip r:embed="rId30"/>
        <a:stretch/>
      </xdr:blipFill>
      <xdr:spPr>
        <a:xfrm>
          <a:off x="0" y="78467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240</xdr:row>
      <xdr:rowOff>759600</xdr:rowOff>
    </xdr:from>
    <xdr:to>
      <xdr:col>0</xdr:col>
      <xdr:colOff>723600</xdr:colOff>
      <xdr:row>243</xdr:row>
      <xdr:rowOff>130680</xdr:rowOff>
    </xdr:to>
    <xdr:pic>
      <xdr:nvPicPr>
        <xdr:cNvPr id="192" name="Image 31" descr="Picture"/>
        <xdr:cNvPicPr/>
      </xdr:nvPicPr>
      <xdr:blipFill>
        <a:blip r:embed="rId31"/>
        <a:stretch/>
      </xdr:blipFill>
      <xdr:spPr>
        <a:xfrm>
          <a:off x="0" y="80010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254</xdr:row>
      <xdr:rowOff>187920</xdr:rowOff>
    </xdr:from>
    <xdr:to>
      <xdr:col>0</xdr:col>
      <xdr:colOff>723600</xdr:colOff>
      <xdr:row>258</xdr:row>
      <xdr:rowOff>149400</xdr:rowOff>
    </xdr:to>
    <xdr:pic>
      <xdr:nvPicPr>
        <xdr:cNvPr id="193" name="Image 32" descr="Picture"/>
        <xdr:cNvPicPr/>
      </xdr:nvPicPr>
      <xdr:blipFill>
        <a:blip r:embed="rId32"/>
        <a:stretch/>
      </xdr:blipFill>
      <xdr:spPr>
        <a:xfrm>
          <a:off x="0" y="82886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260</xdr:row>
      <xdr:rowOff>588240</xdr:rowOff>
    </xdr:from>
    <xdr:to>
      <xdr:col>0</xdr:col>
      <xdr:colOff>723600</xdr:colOff>
      <xdr:row>263</xdr:row>
      <xdr:rowOff>149760</xdr:rowOff>
    </xdr:to>
    <xdr:pic>
      <xdr:nvPicPr>
        <xdr:cNvPr id="194" name="Image 33" descr="Picture"/>
        <xdr:cNvPicPr/>
      </xdr:nvPicPr>
      <xdr:blipFill>
        <a:blip r:embed="rId33"/>
        <a:stretch/>
      </xdr:blipFill>
      <xdr:spPr>
        <a:xfrm>
          <a:off x="0" y="84429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280</xdr:row>
      <xdr:rowOff>1440</xdr:rowOff>
    </xdr:from>
    <xdr:to>
      <xdr:col>0</xdr:col>
      <xdr:colOff>723600</xdr:colOff>
      <xdr:row>283</xdr:row>
      <xdr:rowOff>153360</xdr:rowOff>
    </xdr:to>
    <xdr:pic>
      <xdr:nvPicPr>
        <xdr:cNvPr id="195" name="Image 34" descr="Picture"/>
        <xdr:cNvPicPr/>
      </xdr:nvPicPr>
      <xdr:blipFill>
        <a:blip r:embed="rId34"/>
        <a:stretch/>
      </xdr:blipFill>
      <xdr:spPr>
        <a:xfrm>
          <a:off x="0" y="90544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285</xdr:row>
      <xdr:rowOff>1080</xdr:rowOff>
    </xdr:from>
    <xdr:to>
      <xdr:col>0</xdr:col>
      <xdr:colOff>723600</xdr:colOff>
      <xdr:row>288</xdr:row>
      <xdr:rowOff>153360</xdr:rowOff>
    </xdr:to>
    <xdr:pic>
      <xdr:nvPicPr>
        <xdr:cNvPr id="196" name="Image 35" descr="Picture"/>
        <xdr:cNvPicPr/>
      </xdr:nvPicPr>
      <xdr:blipFill>
        <a:blip r:embed="rId35"/>
        <a:stretch/>
      </xdr:blipFill>
      <xdr:spPr>
        <a:xfrm>
          <a:off x="0" y="92087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723600</xdr:colOff>
      <xdr:row>0</xdr:row>
      <xdr:rowOff>723600</xdr:rowOff>
    </xdr:to>
    <xdr:pic>
      <xdr:nvPicPr>
        <xdr:cNvPr id="197" name="Image 1" descr="Picture"/>
        <xdr:cNvPicPr/>
      </xdr:nvPicPr>
      <xdr:blipFill>
        <a:blip r:embed="rId1"/>
        <a:stretch/>
      </xdr:blipFill>
      <xdr:spPr>
        <a:xfrm>
          <a:off x="0" y="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723600</xdr:colOff>
      <xdr:row>19</xdr:row>
      <xdr:rowOff>723600</xdr:rowOff>
    </xdr:to>
    <xdr:pic>
      <xdr:nvPicPr>
        <xdr:cNvPr id="198" name="Image 2" descr="Picture"/>
        <xdr:cNvPicPr/>
      </xdr:nvPicPr>
      <xdr:blipFill>
        <a:blip r:embed="rId2"/>
        <a:stretch/>
      </xdr:blipFill>
      <xdr:spPr>
        <a:xfrm>
          <a:off x="0" y="4400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</xdr:row>
      <xdr:rowOff>231840</xdr:rowOff>
    </xdr:from>
    <xdr:to>
      <xdr:col>0</xdr:col>
      <xdr:colOff>723600</xdr:colOff>
      <xdr:row>28</xdr:row>
      <xdr:rowOff>44280</xdr:rowOff>
    </xdr:to>
    <xdr:pic>
      <xdr:nvPicPr>
        <xdr:cNvPr id="199" name="Image 3" descr="Picture"/>
        <xdr:cNvPicPr/>
      </xdr:nvPicPr>
      <xdr:blipFill>
        <a:blip r:embed="rId3"/>
        <a:stretch/>
      </xdr:blipFill>
      <xdr:spPr>
        <a:xfrm>
          <a:off x="0" y="6896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</xdr:row>
      <xdr:rowOff>82440</xdr:rowOff>
    </xdr:from>
    <xdr:to>
      <xdr:col>0</xdr:col>
      <xdr:colOff>723600</xdr:colOff>
      <xdr:row>37</xdr:row>
      <xdr:rowOff>44280</xdr:rowOff>
    </xdr:to>
    <xdr:pic>
      <xdr:nvPicPr>
        <xdr:cNvPr id="200" name="Image 4" descr="Picture"/>
        <xdr:cNvPicPr/>
      </xdr:nvPicPr>
      <xdr:blipFill>
        <a:blip r:embed="rId4"/>
        <a:stretch/>
      </xdr:blipFill>
      <xdr:spPr>
        <a:xfrm>
          <a:off x="0" y="9391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</xdr:row>
      <xdr:rowOff>82440</xdr:rowOff>
    </xdr:from>
    <xdr:to>
      <xdr:col>0</xdr:col>
      <xdr:colOff>723600</xdr:colOff>
      <xdr:row>58</xdr:row>
      <xdr:rowOff>44280</xdr:rowOff>
    </xdr:to>
    <xdr:pic>
      <xdr:nvPicPr>
        <xdr:cNvPr id="201" name="Image 5" descr="Picture"/>
        <xdr:cNvPicPr/>
      </xdr:nvPicPr>
      <xdr:blipFill>
        <a:blip r:embed="rId5"/>
        <a:stretch/>
      </xdr:blipFill>
      <xdr:spPr>
        <a:xfrm>
          <a:off x="0" y="14173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115</xdr:row>
      <xdr:rowOff>82800</xdr:rowOff>
    </xdr:from>
    <xdr:to>
      <xdr:col>0</xdr:col>
      <xdr:colOff>723600</xdr:colOff>
      <xdr:row>119</xdr:row>
      <xdr:rowOff>44280</xdr:rowOff>
    </xdr:to>
    <xdr:pic>
      <xdr:nvPicPr>
        <xdr:cNvPr id="202" name="Image 6" descr="Picture"/>
        <xdr:cNvPicPr/>
      </xdr:nvPicPr>
      <xdr:blipFill>
        <a:blip r:embed="rId6"/>
        <a:stretch/>
      </xdr:blipFill>
      <xdr:spPr>
        <a:xfrm>
          <a:off x="0" y="26574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124</xdr:row>
      <xdr:rowOff>82440</xdr:rowOff>
    </xdr:from>
    <xdr:to>
      <xdr:col>0</xdr:col>
      <xdr:colOff>723600</xdr:colOff>
      <xdr:row>126</xdr:row>
      <xdr:rowOff>86040</xdr:rowOff>
    </xdr:to>
    <xdr:pic>
      <xdr:nvPicPr>
        <xdr:cNvPr id="203" name="Image 7" descr="Picture"/>
        <xdr:cNvPicPr/>
      </xdr:nvPicPr>
      <xdr:blipFill>
        <a:blip r:embed="rId7"/>
        <a:stretch/>
      </xdr:blipFill>
      <xdr:spPr>
        <a:xfrm>
          <a:off x="0" y="290703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133</xdr:row>
      <xdr:rowOff>124200</xdr:rowOff>
    </xdr:from>
    <xdr:to>
      <xdr:col>0</xdr:col>
      <xdr:colOff>723600</xdr:colOff>
      <xdr:row>137</xdr:row>
      <xdr:rowOff>86040</xdr:rowOff>
    </xdr:to>
    <xdr:pic>
      <xdr:nvPicPr>
        <xdr:cNvPr id="204" name="Image 8" descr="Picture"/>
        <xdr:cNvPicPr/>
      </xdr:nvPicPr>
      <xdr:blipFill>
        <a:blip r:embed="rId8"/>
        <a:stretch/>
      </xdr:blipFill>
      <xdr:spPr>
        <a:xfrm>
          <a:off x="0" y="31946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143</xdr:row>
      <xdr:rowOff>124560</xdr:rowOff>
    </xdr:from>
    <xdr:to>
      <xdr:col>0</xdr:col>
      <xdr:colOff>723600</xdr:colOff>
      <xdr:row>147</xdr:row>
      <xdr:rowOff>86400</xdr:rowOff>
    </xdr:to>
    <xdr:pic>
      <xdr:nvPicPr>
        <xdr:cNvPr id="205" name="Image 9" descr="Picture"/>
        <xdr:cNvPicPr/>
      </xdr:nvPicPr>
      <xdr:blipFill>
        <a:blip r:embed="rId9"/>
        <a:stretch/>
      </xdr:blipFill>
      <xdr:spPr>
        <a:xfrm>
          <a:off x="0" y="34633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156</xdr:row>
      <xdr:rowOff>124200</xdr:rowOff>
    </xdr:from>
    <xdr:to>
      <xdr:col>0</xdr:col>
      <xdr:colOff>723600</xdr:colOff>
      <xdr:row>160</xdr:row>
      <xdr:rowOff>86040</xdr:rowOff>
    </xdr:to>
    <xdr:pic>
      <xdr:nvPicPr>
        <xdr:cNvPr id="206" name="Image 10" descr="Picture"/>
        <xdr:cNvPicPr/>
      </xdr:nvPicPr>
      <xdr:blipFill>
        <a:blip r:embed="rId10"/>
        <a:stretch/>
      </xdr:blipFill>
      <xdr:spPr>
        <a:xfrm>
          <a:off x="0" y="378903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192</xdr:row>
      <xdr:rowOff>31320</xdr:rowOff>
    </xdr:from>
    <xdr:to>
      <xdr:col>0</xdr:col>
      <xdr:colOff>723600</xdr:colOff>
      <xdr:row>195</xdr:row>
      <xdr:rowOff>183240</xdr:rowOff>
    </xdr:to>
    <xdr:pic>
      <xdr:nvPicPr>
        <xdr:cNvPr id="207" name="Image 11" descr="Picture"/>
        <xdr:cNvPicPr/>
      </xdr:nvPicPr>
      <xdr:blipFill>
        <a:blip r:embed="rId11"/>
        <a:stretch/>
      </xdr:blipFill>
      <xdr:spPr>
        <a:xfrm>
          <a:off x="0" y="45529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203</xdr:row>
      <xdr:rowOff>30960</xdr:rowOff>
    </xdr:from>
    <xdr:to>
      <xdr:col>0</xdr:col>
      <xdr:colOff>723600</xdr:colOff>
      <xdr:row>206</xdr:row>
      <xdr:rowOff>183240</xdr:rowOff>
    </xdr:to>
    <xdr:pic>
      <xdr:nvPicPr>
        <xdr:cNvPr id="208" name="Image 12" descr="Picture"/>
        <xdr:cNvPicPr/>
      </xdr:nvPicPr>
      <xdr:blipFill>
        <a:blip r:embed="rId12"/>
        <a:stretch/>
      </xdr:blipFill>
      <xdr:spPr>
        <a:xfrm>
          <a:off x="0" y="48405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221</xdr:row>
      <xdr:rowOff>31320</xdr:rowOff>
    </xdr:from>
    <xdr:to>
      <xdr:col>0</xdr:col>
      <xdr:colOff>723600</xdr:colOff>
      <xdr:row>224</xdr:row>
      <xdr:rowOff>183240</xdr:rowOff>
    </xdr:to>
    <xdr:pic>
      <xdr:nvPicPr>
        <xdr:cNvPr id="209" name="Image 13" descr="Picture"/>
        <xdr:cNvPicPr/>
      </xdr:nvPicPr>
      <xdr:blipFill>
        <a:blip r:embed="rId13"/>
        <a:stretch/>
      </xdr:blipFill>
      <xdr:spPr>
        <a:xfrm>
          <a:off x="0" y="52616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723600</xdr:colOff>
      <xdr:row>0</xdr:row>
      <xdr:rowOff>723600</xdr:rowOff>
    </xdr:to>
    <xdr:pic>
      <xdr:nvPicPr>
        <xdr:cNvPr id="210" name="Image 1" descr="Picture"/>
        <xdr:cNvPicPr/>
      </xdr:nvPicPr>
      <xdr:blipFill>
        <a:blip r:embed="rId1"/>
        <a:stretch/>
      </xdr:blipFill>
      <xdr:spPr>
        <a:xfrm>
          <a:off x="0" y="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723600</xdr:colOff>
      <xdr:row>5</xdr:row>
      <xdr:rowOff>723600</xdr:rowOff>
    </xdr:to>
    <xdr:pic>
      <xdr:nvPicPr>
        <xdr:cNvPr id="211" name="Image 2" descr="Picture"/>
        <xdr:cNvPicPr/>
      </xdr:nvPicPr>
      <xdr:blipFill>
        <a:blip r:embed="rId2"/>
        <a:stretch/>
      </xdr:blipFill>
      <xdr:spPr>
        <a:xfrm>
          <a:off x="0" y="1542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723600</xdr:colOff>
      <xdr:row>14</xdr:row>
      <xdr:rowOff>723600</xdr:rowOff>
    </xdr:to>
    <xdr:pic>
      <xdr:nvPicPr>
        <xdr:cNvPr id="212" name="Image 3" descr="Picture"/>
        <xdr:cNvPicPr/>
      </xdr:nvPicPr>
      <xdr:blipFill>
        <a:blip r:embed="rId3"/>
        <a:stretch/>
      </xdr:blipFill>
      <xdr:spPr>
        <a:xfrm>
          <a:off x="0" y="4038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723600</xdr:colOff>
      <xdr:row>19</xdr:row>
      <xdr:rowOff>723600</xdr:rowOff>
    </xdr:to>
    <xdr:pic>
      <xdr:nvPicPr>
        <xdr:cNvPr id="213" name="Image 4" descr="Picture"/>
        <xdr:cNvPicPr/>
      </xdr:nvPicPr>
      <xdr:blipFill>
        <a:blip r:embed="rId4"/>
        <a:stretch/>
      </xdr:blipFill>
      <xdr:spPr>
        <a:xfrm>
          <a:off x="0" y="5581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104400</xdr:rowOff>
    </xdr:from>
    <xdr:to>
      <xdr:col>0</xdr:col>
      <xdr:colOff>723600</xdr:colOff>
      <xdr:row>30</xdr:row>
      <xdr:rowOff>108000</xdr:rowOff>
    </xdr:to>
    <xdr:pic>
      <xdr:nvPicPr>
        <xdr:cNvPr id="214" name="Image 5" descr="Picture"/>
        <xdr:cNvPicPr/>
      </xdr:nvPicPr>
      <xdr:blipFill>
        <a:blip r:embed="rId5"/>
        <a:stretch/>
      </xdr:blipFill>
      <xdr:spPr>
        <a:xfrm>
          <a:off x="0" y="9029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</xdr:row>
      <xdr:rowOff>145800</xdr:rowOff>
    </xdr:from>
    <xdr:to>
      <xdr:col>0</xdr:col>
      <xdr:colOff>723600</xdr:colOff>
      <xdr:row>44</xdr:row>
      <xdr:rowOff>107640</xdr:rowOff>
    </xdr:to>
    <xdr:pic>
      <xdr:nvPicPr>
        <xdr:cNvPr id="215" name="Image 6" descr="Picture"/>
        <xdr:cNvPicPr/>
      </xdr:nvPicPr>
      <xdr:blipFill>
        <a:blip r:embed="rId6"/>
        <a:stretch/>
      </xdr:blipFill>
      <xdr:spPr>
        <a:xfrm>
          <a:off x="0" y="12477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</xdr:row>
      <xdr:rowOff>146160</xdr:rowOff>
    </xdr:from>
    <xdr:to>
      <xdr:col>0</xdr:col>
      <xdr:colOff>723600</xdr:colOff>
      <xdr:row>60</xdr:row>
      <xdr:rowOff>107640</xdr:rowOff>
    </xdr:to>
    <xdr:pic>
      <xdr:nvPicPr>
        <xdr:cNvPr id="216" name="Image 7" descr="Picture"/>
        <xdr:cNvPicPr/>
      </xdr:nvPicPr>
      <xdr:blipFill>
        <a:blip r:embed="rId7"/>
        <a:stretch/>
      </xdr:blipFill>
      <xdr:spPr>
        <a:xfrm>
          <a:off x="0" y="163069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</xdr:row>
      <xdr:rowOff>146160</xdr:rowOff>
    </xdr:from>
    <xdr:to>
      <xdr:col>0</xdr:col>
      <xdr:colOff>723600</xdr:colOff>
      <xdr:row>71</xdr:row>
      <xdr:rowOff>107640</xdr:rowOff>
    </xdr:to>
    <xdr:pic>
      <xdr:nvPicPr>
        <xdr:cNvPr id="217" name="Image 8" descr="Picture"/>
        <xdr:cNvPicPr/>
      </xdr:nvPicPr>
      <xdr:blipFill>
        <a:blip r:embed="rId8"/>
        <a:stretch/>
      </xdr:blipFill>
      <xdr:spPr>
        <a:xfrm>
          <a:off x="0" y="19183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91</xdr:row>
      <xdr:rowOff>16560</xdr:rowOff>
    </xdr:from>
    <xdr:to>
      <xdr:col>0</xdr:col>
      <xdr:colOff>723600</xdr:colOff>
      <xdr:row>93</xdr:row>
      <xdr:rowOff>19800</xdr:rowOff>
    </xdr:to>
    <xdr:pic>
      <xdr:nvPicPr>
        <xdr:cNvPr id="218" name="Image 9" descr="Picture"/>
        <xdr:cNvPicPr/>
      </xdr:nvPicPr>
      <xdr:blipFill>
        <a:blip r:embed="rId9"/>
        <a:stretch/>
      </xdr:blipFill>
      <xdr:spPr>
        <a:xfrm>
          <a:off x="0" y="26441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108</xdr:row>
      <xdr:rowOff>730800</xdr:rowOff>
    </xdr:from>
    <xdr:to>
      <xdr:col>0</xdr:col>
      <xdr:colOff>723600</xdr:colOff>
      <xdr:row>111</xdr:row>
      <xdr:rowOff>101880</xdr:rowOff>
    </xdr:to>
    <xdr:pic>
      <xdr:nvPicPr>
        <xdr:cNvPr id="219" name="Image 10" descr="Picture"/>
        <xdr:cNvPicPr/>
      </xdr:nvPicPr>
      <xdr:blipFill>
        <a:blip r:embed="rId10"/>
        <a:stretch/>
      </xdr:blipFill>
      <xdr:spPr>
        <a:xfrm>
          <a:off x="0" y="32937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126</xdr:row>
      <xdr:rowOff>159480</xdr:rowOff>
    </xdr:from>
    <xdr:to>
      <xdr:col>0</xdr:col>
      <xdr:colOff>723600</xdr:colOff>
      <xdr:row>130</xdr:row>
      <xdr:rowOff>120960</xdr:rowOff>
    </xdr:to>
    <xdr:pic>
      <xdr:nvPicPr>
        <xdr:cNvPr id="220" name="Image 11" descr="Picture"/>
        <xdr:cNvPicPr/>
      </xdr:nvPicPr>
      <xdr:blipFill>
        <a:blip r:embed="rId11"/>
        <a:stretch/>
      </xdr:blipFill>
      <xdr:spPr>
        <a:xfrm>
          <a:off x="0" y="36576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134</xdr:row>
      <xdr:rowOff>178200</xdr:rowOff>
    </xdr:from>
    <xdr:to>
      <xdr:col>0</xdr:col>
      <xdr:colOff>723600</xdr:colOff>
      <xdr:row>138</xdr:row>
      <xdr:rowOff>140040</xdr:rowOff>
    </xdr:to>
    <xdr:pic>
      <xdr:nvPicPr>
        <xdr:cNvPr id="221" name="Image 12" descr="Picture"/>
        <xdr:cNvPicPr/>
      </xdr:nvPicPr>
      <xdr:blipFill>
        <a:blip r:embed="rId12"/>
        <a:stretch/>
      </xdr:blipFill>
      <xdr:spPr>
        <a:xfrm>
          <a:off x="0" y="38118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308</xdr:row>
      <xdr:rowOff>73440</xdr:rowOff>
    </xdr:from>
    <xdr:to>
      <xdr:col>0</xdr:col>
      <xdr:colOff>723600</xdr:colOff>
      <xdr:row>312</xdr:row>
      <xdr:rowOff>35280</xdr:rowOff>
    </xdr:to>
    <xdr:pic>
      <xdr:nvPicPr>
        <xdr:cNvPr id="222" name="Image 13" descr="Picture"/>
        <xdr:cNvPicPr/>
      </xdr:nvPicPr>
      <xdr:blipFill>
        <a:blip r:embed="rId13"/>
        <a:stretch/>
      </xdr:blipFill>
      <xdr:spPr>
        <a:xfrm>
          <a:off x="0" y="75857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321</xdr:row>
      <xdr:rowOff>92520</xdr:rowOff>
    </xdr:from>
    <xdr:to>
      <xdr:col>0</xdr:col>
      <xdr:colOff>723600</xdr:colOff>
      <xdr:row>325</xdr:row>
      <xdr:rowOff>54360</xdr:rowOff>
    </xdr:to>
    <xdr:pic>
      <xdr:nvPicPr>
        <xdr:cNvPr id="223" name="Image 14" descr="Picture"/>
        <xdr:cNvPicPr/>
      </xdr:nvPicPr>
      <xdr:blipFill>
        <a:blip r:embed="rId14"/>
        <a:stretch/>
      </xdr:blipFill>
      <xdr:spPr>
        <a:xfrm>
          <a:off x="0" y="78352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329</xdr:row>
      <xdr:rowOff>111960</xdr:rowOff>
    </xdr:from>
    <xdr:to>
      <xdr:col>0</xdr:col>
      <xdr:colOff>723600</xdr:colOff>
      <xdr:row>333</xdr:row>
      <xdr:rowOff>73440</xdr:rowOff>
    </xdr:to>
    <xdr:pic>
      <xdr:nvPicPr>
        <xdr:cNvPr id="224" name="Image 15" descr="Picture"/>
        <xdr:cNvPicPr/>
      </xdr:nvPicPr>
      <xdr:blipFill>
        <a:blip r:embed="rId15"/>
        <a:stretch/>
      </xdr:blipFill>
      <xdr:spPr>
        <a:xfrm>
          <a:off x="0" y="79895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382</xdr:row>
      <xdr:rowOff>73800</xdr:rowOff>
    </xdr:from>
    <xdr:to>
      <xdr:col>0</xdr:col>
      <xdr:colOff>723600</xdr:colOff>
      <xdr:row>386</xdr:row>
      <xdr:rowOff>35280</xdr:rowOff>
    </xdr:to>
    <xdr:pic>
      <xdr:nvPicPr>
        <xdr:cNvPr id="225" name="Image 16" descr="Picture"/>
        <xdr:cNvPicPr/>
      </xdr:nvPicPr>
      <xdr:blipFill>
        <a:blip r:embed="rId16"/>
        <a:stretch/>
      </xdr:blipFill>
      <xdr:spPr>
        <a:xfrm>
          <a:off x="0" y="92106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397</xdr:row>
      <xdr:rowOff>92880</xdr:rowOff>
    </xdr:from>
    <xdr:to>
      <xdr:col>0</xdr:col>
      <xdr:colOff>723600</xdr:colOff>
      <xdr:row>401</xdr:row>
      <xdr:rowOff>54360</xdr:rowOff>
    </xdr:to>
    <xdr:pic>
      <xdr:nvPicPr>
        <xdr:cNvPr id="226" name="Image 17" descr="Picture"/>
        <xdr:cNvPicPr/>
      </xdr:nvPicPr>
      <xdr:blipFill>
        <a:blip r:embed="rId17"/>
        <a:stretch/>
      </xdr:blipFill>
      <xdr:spPr>
        <a:xfrm>
          <a:off x="0" y="94983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431</xdr:row>
      <xdr:rowOff>175680</xdr:rowOff>
    </xdr:from>
    <xdr:to>
      <xdr:col>0</xdr:col>
      <xdr:colOff>723600</xdr:colOff>
      <xdr:row>433</xdr:row>
      <xdr:rowOff>348840</xdr:rowOff>
    </xdr:to>
    <xdr:pic>
      <xdr:nvPicPr>
        <xdr:cNvPr id="227" name="Image 18" descr="Picture"/>
        <xdr:cNvPicPr/>
      </xdr:nvPicPr>
      <xdr:blipFill>
        <a:blip r:embed="rId18"/>
        <a:stretch/>
      </xdr:blipFill>
      <xdr:spPr>
        <a:xfrm>
          <a:off x="0" y="103003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437</xdr:row>
      <xdr:rowOff>236880</xdr:rowOff>
    </xdr:from>
    <xdr:to>
      <xdr:col>0</xdr:col>
      <xdr:colOff>723600</xdr:colOff>
      <xdr:row>438</xdr:row>
      <xdr:rowOff>179640</xdr:rowOff>
    </xdr:to>
    <xdr:pic>
      <xdr:nvPicPr>
        <xdr:cNvPr id="228" name="Image 19" descr="Picture"/>
        <xdr:cNvPicPr/>
      </xdr:nvPicPr>
      <xdr:blipFill>
        <a:blip r:embed="rId19"/>
        <a:stretch/>
      </xdr:blipFill>
      <xdr:spPr>
        <a:xfrm>
          <a:off x="0" y="104546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448</xdr:row>
      <xdr:rowOff>46440</xdr:rowOff>
    </xdr:from>
    <xdr:to>
      <xdr:col>0</xdr:col>
      <xdr:colOff>723600</xdr:colOff>
      <xdr:row>452</xdr:row>
      <xdr:rowOff>7920</xdr:rowOff>
    </xdr:to>
    <xdr:pic>
      <xdr:nvPicPr>
        <xdr:cNvPr id="229" name="Image 20" descr="Picture"/>
        <xdr:cNvPicPr/>
      </xdr:nvPicPr>
      <xdr:blipFill>
        <a:blip r:embed="rId20"/>
        <a:stretch/>
      </xdr:blipFill>
      <xdr:spPr>
        <a:xfrm>
          <a:off x="0" y="107232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469</xdr:row>
      <xdr:rowOff>65160</xdr:rowOff>
    </xdr:from>
    <xdr:to>
      <xdr:col>0</xdr:col>
      <xdr:colOff>723600</xdr:colOff>
      <xdr:row>473</xdr:row>
      <xdr:rowOff>27000</xdr:rowOff>
    </xdr:to>
    <xdr:pic>
      <xdr:nvPicPr>
        <xdr:cNvPr id="230" name="Image 21" descr="Picture"/>
        <xdr:cNvPicPr/>
      </xdr:nvPicPr>
      <xdr:blipFill>
        <a:blip r:embed="rId21"/>
        <a:stretch/>
      </xdr:blipFill>
      <xdr:spPr>
        <a:xfrm>
          <a:off x="0" y="111251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482</xdr:row>
      <xdr:rowOff>46080</xdr:rowOff>
    </xdr:from>
    <xdr:to>
      <xdr:col>0</xdr:col>
      <xdr:colOff>723600</xdr:colOff>
      <xdr:row>485</xdr:row>
      <xdr:rowOff>7920</xdr:rowOff>
    </xdr:to>
    <xdr:pic>
      <xdr:nvPicPr>
        <xdr:cNvPr id="231" name="Image 22" descr="Picture"/>
        <xdr:cNvPicPr/>
      </xdr:nvPicPr>
      <xdr:blipFill>
        <a:blip r:embed="rId22"/>
        <a:stretch/>
      </xdr:blipFill>
      <xdr:spPr>
        <a:xfrm>
          <a:off x="0" y="114890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489</xdr:row>
      <xdr:rowOff>65520</xdr:rowOff>
    </xdr:from>
    <xdr:to>
      <xdr:col>0</xdr:col>
      <xdr:colOff>723600</xdr:colOff>
      <xdr:row>490</xdr:row>
      <xdr:rowOff>598680</xdr:rowOff>
    </xdr:to>
    <xdr:pic>
      <xdr:nvPicPr>
        <xdr:cNvPr id="232" name="Image 23" descr="Picture"/>
        <xdr:cNvPicPr/>
      </xdr:nvPicPr>
      <xdr:blipFill>
        <a:blip r:embed="rId23"/>
        <a:stretch/>
      </xdr:blipFill>
      <xdr:spPr>
        <a:xfrm>
          <a:off x="0" y="116433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501</xdr:row>
      <xdr:rowOff>65160</xdr:rowOff>
    </xdr:from>
    <xdr:to>
      <xdr:col>0</xdr:col>
      <xdr:colOff>723600</xdr:colOff>
      <xdr:row>505</xdr:row>
      <xdr:rowOff>27000</xdr:rowOff>
    </xdr:to>
    <xdr:pic>
      <xdr:nvPicPr>
        <xdr:cNvPr id="233" name="Image 24" descr="Picture"/>
        <xdr:cNvPicPr/>
      </xdr:nvPicPr>
      <xdr:blipFill>
        <a:blip r:embed="rId24"/>
        <a:stretch/>
      </xdr:blipFill>
      <xdr:spPr>
        <a:xfrm>
          <a:off x="0" y="119500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512</xdr:row>
      <xdr:rowOff>65520</xdr:rowOff>
    </xdr:from>
    <xdr:to>
      <xdr:col>0</xdr:col>
      <xdr:colOff>723600</xdr:colOff>
      <xdr:row>516</xdr:row>
      <xdr:rowOff>27000</xdr:rowOff>
    </xdr:to>
    <xdr:pic>
      <xdr:nvPicPr>
        <xdr:cNvPr id="234" name="Image 25" descr="Picture"/>
        <xdr:cNvPicPr/>
      </xdr:nvPicPr>
      <xdr:blipFill>
        <a:blip r:embed="rId25"/>
        <a:stretch/>
      </xdr:blipFill>
      <xdr:spPr>
        <a:xfrm>
          <a:off x="0" y="122377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520</xdr:row>
      <xdr:rowOff>84600</xdr:rowOff>
    </xdr:from>
    <xdr:to>
      <xdr:col>0</xdr:col>
      <xdr:colOff>723600</xdr:colOff>
      <xdr:row>522</xdr:row>
      <xdr:rowOff>426960</xdr:rowOff>
    </xdr:to>
    <xdr:pic>
      <xdr:nvPicPr>
        <xdr:cNvPr id="235" name="Image 26" descr="Picture"/>
        <xdr:cNvPicPr/>
      </xdr:nvPicPr>
      <xdr:blipFill>
        <a:blip r:embed="rId26"/>
        <a:stretch/>
      </xdr:blipFill>
      <xdr:spPr>
        <a:xfrm>
          <a:off x="0" y="123920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527</xdr:row>
      <xdr:rowOff>655920</xdr:rowOff>
    </xdr:from>
    <xdr:to>
      <xdr:col>0</xdr:col>
      <xdr:colOff>723600</xdr:colOff>
      <xdr:row>530</xdr:row>
      <xdr:rowOff>27000</xdr:rowOff>
    </xdr:to>
    <xdr:pic>
      <xdr:nvPicPr>
        <xdr:cNvPr id="236" name="Image 27" descr="Picture"/>
        <xdr:cNvPicPr/>
      </xdr:nvPicPr>
      <xdr:blipFill>
        <a:blip r:embed="rId27"/>
        <a:stretch/>
      </xdr:blipFill>
      <xdr:spPr>
        <a:xfrm>
          <a:off x="0" y="126415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532</xdr:row>
      <xdr:rowOff>465480</xdr:rowOff>
    </xdr:from>
    <xdr:to>
      <xdr:col>0</xdr:col>
      <xdr:colOff>723600</xdr:colOff>
      <xdr:row>534</xdr:row>
      <xdr:rowOff>128520</xdr:rowOff>
    </xdr:to>
    <xdr:pic>
      <xdr:nvPicPr>
        <xdr:cNvPr id="237" name="Image 28" descr="Picture"/>
        <xdr:cNvPicPr/>
      </xdr:nvPicPr>
      <xdr:blipFill>
        <a:blip r:embed="rId28"/>
        <a:stretch/>
      </xdr:blipFill>
      <xdr:spPr>
        <a:xfrm>
          <a:off x="0" y="127958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550</xdr:row>
      <xdr:rowOff>229320</xdr:rowOff>
    </xdr:from>
    <xdr:to>
      <xdr:col>0</xdr:col>
      <xdr:colOff>723600</xdr:colOff>
      <xdr:row>551</xdr:row>
      <xdr:rowOff>172080</xdr:rowOff>
    </xdr:to>
    <xdr:pic>
      <xdr:nvPicPr>
        <xdr:cNvPr id="238" name="Image 29" descr="Picture"/>
        <xdr:cNvPicPr/>
      </xdr:nvPicPr>
      <xdr:blipFill>
        <a:blip r:embed="rId29"/>
        <a:stretch/>
      </xdr:blipFill>
      <xdr:spPr>
        <a:xfrm>
          <a:off x="0" y="133121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635</xdr:row>
      <xdr:rowOff>42480</xdr:rowOff>
    </xdr:from>
    <xdr:to>
      <xdr:col>0</xdr:col>
      <xdr:colOff>723600</xdr:colOff>
      <xdr:row>637</xdr:row>
      <xdr:rowOff>215640</xdr:rowOff>
    </xdr:to>
    <xdr:pic>
      <xdr:nvPicPr>
        <xdr:cNvPr id="239" name="Image 30" descr="Picture"/>
        <xdr:cNvPicPr/>
      </xdr:nvPicPr>
      <xdr:blipFill>
        <a:blip r:embed="rId30"/>
        <a:stretch/>
      </xdr:blipFill>
      <xdr:spPr>
        <a:xfrm>
          <a:off x="0" y="156381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643</xdr:row>
      <xdr:rowOff>166320</xdr:rowOff>
    </xdr:from>
    <xdr:to>
      <xdr:col>0</xdr:col>
      <xdr:colOff>723600</xdr:colOff>
      <xdr:row>645</xdr:row>
      <xdr:rowOff>339480</xdr:rowOff>
    </xdr:to>
    <xdr:pic>
      <xdr:nvPicPr>
        <xdr:cNvPr id="240" name="Image 31" descr="Picture"/>
        <xdr:cNvPicPr/>
      </xdr:nvPicPr>
      <xdr:blipFill>
        <a:blip r:embed="rId31"/>
        <a:stretch/>
      </xdr:blipFill>
      <xdr:spPr>
        <a:xfrm>
          <a:off x="0" y="158877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707</xdr:row>
      <xdr:rowOff>133920</xdr:rowOff>
    </xdr:from>
    <xdr:to>
      <xdr:col>0</xdr:col>
      <xdr:colOff>723600</xdr:colOff>
      <xdr:row>710</xdr:row>
      <xdr:rowOff>116640</xdr:rowOff>
    </xdr:to>
    <xdr:pic>
      <xdr:nvPicPr>
        <xdr:cNvPr id="241" name="Image 32" descr="Picture"/>
        <xdr:cNvPicPr/>
      </xdr:nvPicPr>
      <xdr:blipFill>
        <a:blip r:embed="rId32"/>
        <a:stretch/>
      </xdr:blipFill>
      <xdr:spPr>
        <a:xfrm>
          <a:off x="0" y="178327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715</xdr:row>
      <xdr:rowOff>154800</xdr:rowOff>
    </xdr:from>
    <xdr:to>
      <xdr:col>0</xdr:col>
      <xdr:colOff>723600</xdr:colOff>
      <xdr:row>719</xdr:row>
      <xdr:rowOff>116640</xdr:rowOff>
    </xdr:to>
    <xdr:pic>
      <xdr:nvPicPr>
        <xdr:cNvPr id="242" name="Image 33" descr="Picture"/>
        <xdr:cNvPicPr/>
      </xdr:nvPicPr>
      <xdr:blipFill>
        <a:blip r:embed="rId33"/>
        <a:stretch/>
      </xdr:blipFill>
      <xdr:spPr>
        <a:xfrm>
          <a:off x="0" y="180822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727</xdr:row>
      <xdr:rowOff>155160</xdr:rowOff>
    </xdr:from>
    <xdr:to>
      <xdr:col>0</xdr:col>
      <xdr:colOff>723600</xdr:colOff>
      <xdr:row>731</xdr:row>
      <xdr:rowOff>116640</xdr:rowOff>
    </xdr:to>
    <xdr:pic>
      <xdr:nvPicPr>
        <xdr:cNvPr id="243" name="Image 34" descr="Picture"/>
        <xdr:cNvPicPr/>
      </xdr:nvPicPr>
      <xdr:blipFill>
        <a:blip r:embed="rId34"/>
        <a:stretch/>
      </xdr:blipFill>
      <xdr:spPr>
        <a:xfrm>
          <a:off x="0" y="183889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742</xdr:row>
      <xdr:rowOff>173880</xdr:rowOff>
    </xdr:from>
    <xdr:to>
      <xdr:col>0</xdr:col>
      <xdr:colOff>723600</xdr:colOff>
      <xdr:row>746</xdr:row>
      <xdr:rowOff>135720</xdr:rowOff>
    </xdr:to>
    <xdr:pic>
      <xdr:nvPicPr>
        <xdr:cNvPr id="244" name="Image 35" descr="Picture"/>
        <xdr:cNvPicPr/>
      </xdr:nvPicPr>
      <xdr:blipFill>
        <a:blip r:embed="rId35"/>
        <a:stretch/>
      </xdr:blipFill>
      <xdr:spPr>
        <a:xfrm>
          <a:off x="0" y="186766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757</xdr:row>
      <xdr:rowOff>2520</xdr:rowOff>
    </xdr:from>
    <xdr:to>
      <xdr:col>0</xdr:col>
      <xdr:colOff>723600</xdr:colOff>
      <xdr:row>760</xdr:row>
      <xdr:rowOff>154440</xdr:rowOff>
    </xdr:to>
    <xdr:pic>
      <xdr:nvPicPr>
        <xdr:cNvPr id="245" name="Image 36" descr="Picture"/>
        <xdr:cNvPicPr/>
      </xdr:nvPicPr>
      <xdr:blipFill>
        <a:blip r:embed="rId36"/>
        <a:stretch/>
      </xdr:blipFill>
      <xdr:spPr>
        <a:xfrm>
          <a:off x="0" y="189452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765</xdr:row>
      <xdr:rowOff>21600</xdr:rowOff>
    </xdr:from>
    <xdr:to>
      <xdr:col>0</xdr:col>
      <xdr:colOff>723600</xdr:colOff>
      <xdr:row>768</xdr:row>
      <xdr:rowOff>173880</xdr:rowOff>
    </xdr:to>
    <xdr:pic>
      <xdr:nvPicPr>
        <xdr:cNvPr id="246" name="Image 37" descr="Picture"/>
        <xdr:cNvPicPr/>
      </xdr:nvPicPr>
      <xdr:blipFill>
        <a:blip r:embed="rId37"/>
        <a:stretch/>
      </xdr:blipFill>
      <xdr:spPr>
        <a:xfrm>
          <a:off x="0" y="190995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773</xdr:row>
      <xdr:rowOff>40680</xdr:rowOff>
    </xdr:from>
    <xdr:to>
      <xdr:col>0</xdr:col>
      <xdr:colOff>723600</xdr:colOff>
      <xdr:row>777</xdr:row>
      <xdr:rowOff>2160</xdr:rowOff>
    </xdr:to>
    <xdr:pic>
      <xdr:nvPicPr>
        <xdr:cNvPr id="247" name="Image 38" descr="Picture"/>
        <xdr:cNvPicPr/>
      </xdr:nvPicPr>
      <xdr:blipFill>
        <a:blip r:embed="rId38"/>
        <a:stretch/>
      </xdr:blipFill>
      <xdr:spPr>
        <a:xfrm>
          <a:off x="0" y="192538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786</xdr:row>
      <xdr:rowOff>59760</xdr:rowOff>
    </xdr:from>
    <xdr:to>
      <xdr:col>0</xdr:col>
      <xdr:colOff>723600</xdr:colOff>
      <xdr:row>790</xdr:row>
      <xdr:rowOff>21240</xdr:rowOff>
    </xdr:to>
    <xdr:pic>
      <xdr:nvPicPr>
        <xdr:cNvPr id="248" name="Image 39" descr="Picture"/>
        <xdr:cNvPicPr/>
      </xdr:nvPicPr>
      <xdr:blipFill>
        <a:blip r:embed="rId39"/>
        <a:stretch/>
      </xdr:blipFill>
      <xdr:spPr>
        <a:xfrm>
          <a:off x="0" y="195033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809</xdr:row>
      <xdr:rowOff>78840</xdr:rowOff>
    </xdr:from>
    <xdr:to>
      <xdr:col>0</xdr:col>
      <xdr:colOff>723600</xdr:colOff>
      <xdr:row>813</xdr:row>
      <xdr:rowOff>40320</xdr:rowOff>
    </xdr:to>
    <xdr:pic>
      <xdr:nvPicPr>
        <xdr:cNvPr id="249" name="Image 40" descr="Picture"/>
        <xdr:cNvPicPr/>
      </xdr:nvPicPr>
      <xdr:blipFill>
        <a:blip r:embed="rId40"/>
        <a:stretch/>
      </xdr:blipFill>
      <xdr:spPr>
        <a:xfrm>
          <a:off x="0" y="199434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826</xdr:row>
      <xdr:rowOff>78840</xdr:rowOff>
    </xdr:from>
    <xdr:to>
      <xdr:col>0</xdr:col>
      <xdr:colOff>723600</xdr:colOff>
      <xdr:row>827</xdr:row>
      <xdr:rowOff>21240</xdr:rowOff>
    </xdr:to>
    <xdr:pic>
      <xdr:nvPicPr>
        <xdr:cNvPr id="250" name="Image 41" descr="Picture"/>
        <xdr:cNvPicPr/>
      </xdr:nvPicPr>
      <xdr:blipFill>
        <a:blip r:embed="rId41"/>
        <a:stretch/>
      </xdr:blipFill>
      <xdr:spPr>
        <a:xfrm>
          <a:off x="0" y="203454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838</xdr:row>
      <xdr:rowOff>269280</xdr:rowOff>
    </xdr:from>
    <xdr:to>
      <xdr:col>0</xdr:col>
      <xdr:colOff>723600</xdr:colOff>
      <xdr:row>840</xdr:row>
      <xdr:rowOff>21240</xdr:rowOff>
    </xdr:to>
    <xdr:pic>
      <xdr:nvPicPr>
        <xdr:cNvPr id="251" name="Image 42" descr="Picture"/>
        <xdr:cNvPicPr/>
      </xdr:nvPicPr>
      <xdr:blipFill>
        <a:blip r:embed="rId42"/>
        <a:stretch/>
      </xdr:blipFill>
      <xdr:spPr>
        <a:xfrm>
          <a:off x="0" y="206711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843</xdr:row>
      <xdr:rowOff>78840</xdr:rowOff>
    </xdr:from>
    <xdr:to>
      <xdr:col>0</xdr:col>
      <xdr:colOff>723600</xdr:colOff>
      <xdr:row>847</xdr:row>
      <xdr:rowOff>40320</xdr:rowOff>
    </xdr:to>
    <xdr:pic>
      <xdr:nvPicPr>
        <xdr:cNvPr id="252" name="Image 43" descr="Picture"/>
        <xdr:cNvPicPr/>
      </xdr:nvPicPr>
      <xdr:blipFill>
        <a:blip r:embed="rId43"/>
        <a:stretch/>
      </xdr:blipFill>
      <xdr:spPr>
        <a:xfrm>
          <a:off x="0" y="208254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853</xdr:row>
      <xdr:rowOff>78480</xdr:rowOff>
    </xdr:from>
    <xdr:to>
      <xdr:col>0</xdr:col>
      <xdr:colOff>723600</xdr:colOff>
      <xdr:row>857</xdr:row>
      <xdr:rowOff>40320</xdr:rowOff>
    </xdr:to>
    <xdr:pic>
      <xdr:nvPicPr>
        <xdr:cNvPr id="253" name="Image 44" descr="Picture"/>
        <xdr:cNvPicPr/>
      </xdr:nvPicPr>
      <xdr:blipFill>
        <a:blip r:embed="rId44"/>
        <a:stretch/>
      </xdr:blipFill>
      <xdr:spPr>
        <a:xfrm>
          <a:off x="0" y="210940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859</xdr:row>
      <xdr:rowOff>478800</xdr:rowOff>
    </xdr:from>
    <xdr:to>
      <xdr:col>0</xdr:col>
      <xdr:colOff>723600</xdr:colOff>
      <xdr:row>862</xdr:row>
      <xdr:rowOff>40680</xdr:rowOff>
    </xdr:to>
    <xdr:pic>
      <xdr:nvPicPr>
        <xdr:cNvPr id="254" name="Image 45" descr="Picture"/>
        <xdr:cNvPicPr/>
      </xdr:nvPicPr>
      <xdr:blipFill>
        <a:blip r:embed="rId45"/>
        <a:stretch/>
      </xdr:blipFill>
      <xdr:spPr>
        <a:xfrm>
          <a:off x="0" y="212483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907</xdr:row>
      <xdr:rowOff>42480</xdr:rowOff>
    </xdr:from>
    <xdr:to>
      <xdr:col>0</xdr:col>
      <xdr:colOff>723600</xdr:colOff>
      <xdr:row>911</xdr:row>
      <xdr:rowOff>3960</xdr:rowOff>
    </xdr:to>
    <xdr:pic>
      <xdr:nvPicPr>
        <xdr:cNvPr id="255" name="Image 46" descr="Picture"/>
        <xdr:cNvPicPr/>
      </xdr:nvPicPr>
      <xdr:blipFill>
        <a:blip r:embed="rId46"/>
        <a:stretch/>
      </xdr:blipFill>
      <xdr:spPr>
        <a:xfrm>
          <a:off x="0" y="224885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914</xdr:row>
      <xdr:rowOff>252360</xdr:rowOff>
    </xdr:from>
    <xdr:to>
      <xdr:col>0</xdr:col>
      <xdr:colOff>723600</xdr:colOff>
      <xdr:row>916</xdr:row>
      <xdr:rowOff>4320</xdr:rowOff>
    </xdr:to>
    <xdr:pic>
      <xdr:nvPicPr>
        <xdr:cNvPr id="256" name="Image 47" descr="Picture"/>
        <xdr:cNvPicPr/>
      </xdr:nvPicPr>
      <xdr:blipFill>
        <a:blip r:embed="rId47"/>
        <a:stretch/>
      </xdr:blipFill>
      <xdr:spPr>
        <a:xfrm>
          <a:off x="0" y="226428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930</xdr:row>
      <xdr:rowOff>126360</xdr:rowOff>
    </xdr:from>
    <xdr:to>
      <xdr:col>0</xdr:col>
      <xdr:colOff>723600</xdr:colOff>
      <xdr:row>932</xdr:row>
      <xdr:rowOff>469080</xdr:rowOff>
    </xdr:to>
    <xdr:pic>
      <xdr:nvPicPr>
        <xdr:cNvPr id="257" name="Image 48" descr="Picture"/>
        <xdr:cNvPicPr/>
      </xdr:nvPicPr>
      <xdr:blipFill>
        <a:blip r:embed="rId48"/>
        <a:stretch/>
      </xdr:blipFill>
      <xdr:spPr>
        <a:xfrm>
          <a:off x="0" y="231400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942</xdr:row>
      <xdr:rowOff>549360</xdr:rowOff>
    </xdr:from>
    <xdr:to>
      <xdr:col>0</xdr:col>
      <xdr:colOff>723600</xdr:colOff>
      <xdr:row>945</xdr:row>
      <xdr:rowOff>110880</xdr:rowOff>
    </xdr:to>
    <xdr:pic>
      <xdr:nvPicPr>
        <xdr:cNvPr id="258" name="Image 49" descr="Picture"/>
        <xdr:cNvPicPr/>
      </xdr:nvPicPr>
      <xdr:blipFill>
        <a:blip r:embed="rId49"/>
        <a:stretch/>
      </xdr:blipFill>
      <xdr:spPr>
        <a:xfrm>
          <a:off x="0" y="235229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951</xdr:row>
      <xdr:rowOff>149040</xdr:rowOff>
    </xdr:from>
    <xdr:to>
      <xdr:col>0</xdr:col>
      <xdr:colOff>723600</xdr:colOff>
      <xdr:row>955</xdr:row>
      <xdr:rowOff>110880</xdr:rowOff>
    </xdr:to>
    <xdr:pic>
      <xdr:nvPicPr>
        <xdr:cNvPr id="259" name="Image 50" descr="Picture"/>
        <xdr:cNvPicPr/>
      </xdr:nvPicPr>
      <xdr:blipFill>
        <a:blip r:embed="rId50"/>
        <a:stretch/>
      </xdr:blipFill>
      <xdr:spPr>
        <a:xfrm>
          <a:off x="0" y="2379153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969</xdr:row>
      <xdr:rowOff>168120</xdr:rowOff>
    </xdr:from>
    <xdr:to>
      <xdr:col>0</xdr:col>
      <xdr:colOff>723600</xdr:colOff>
      <xdr:row>973</xdr:row>
      <xdr:rowOff>129960</xdr:rowOff>
    </xdr:to>
    <xdr:pic>
      <xdr:nvPicPr>
        <xdr:cNvPr id="260" name="Image 51" descr="Picture"/>
        <xdr:cNvPicPr/>
      </xdr:nvPicPr>
      <xdr:blipFill>
        <a:blip r:embed="rId51"/>
        <a:stretch/>
      </xdr:blipFill>
      <xdr:spPr>
        <a:xfrm>
          <a:off x="0" y="241363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982</xdr:row>
      <xdr:rowOff>187200</xdr:rowOff>
    </xdr:from>
    <xdr:to>
      <xdr:col>0</xdr:col>
      <xdr:colOff>723600</xdr:colOff>
      <xdr:row>986</xdr:row>
      <xdr:rowOff>148680</xdr:rowOff>
    </xdr:to>
    <xdr:pic>
      <xdr:nvPicPr>
        <xdr:cNvPr id="261" name="Image 52" descr="Picture"/>
        <xdr:cNvPicPr/>
      </xdr:nvPicPr>
      <xdr:blipFill>
        <a:blip r:embed="rId52"/>
        <a:stretch/>
      </xdr:blipFill>
      <xdr:spPr>
        <a:xfrm>
          <a:off x="0" y="243858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996</xdr:row>
      <xdr:rowOff>15840</xdr:rowOff>
    </xdr:from>
    <xdr:to>
      <xdr:col>0</xdr:col>
      <xdr:colOff>723600</xdr:colOff>
      <xdr:row>999</xdr:row>
      <xdr:rowOff>167760</xdr:rowOff>
    </xdr:to>
    <xdr:pic>
      <xdr:nvPicPr>
        <xdr:cNvPr id="262" name="Image 53" descr="Picture"/>
        <xdr:cNvPicPr/>
      </xdr:nvPicPr>
      <xdr:blipFill>
        <a:blip r:embed="rId53"/>
        <a:stretch/>
      </xdr:blipFill>
      <xdr:spPr>
        <a:xfrm>
          <a:off x="0" y="246354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1004</xdr:row>
      <xdr:rowOff>34920</xdr:rowOff>
    </xdr:from>
    <xdr:to>
      <xdr:col>0</xdr:col>
      <xdr:colOff>723600</xdr:colOff>
      <xdr:row>1007</xdr:row>
      <xdr:rowOff>187200</xdr:rowOff>
    </xdr:to>
    <xdr:pic>
      <xdr:nvPicPr>
        <xdr:cNvPr id="263" name="Image 54" descr="Picture"/>
        <xdr:cNvPicPr/>
      </xdr:nvPicPr>
      <xdr:blipFill>
        <a:blip r:embed="rId54"/>
        <a:stretch/>
      </xdr:blipFill>
      <xdr:spPr>
        <a:xfrm>
          <a:off x="0" y="247897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1009</xdr:row>
      <xdr:rowOff>34920</xdr:rowOff>
    </xdr:from>
    <xdr:to>
      <xdr:col>0</xdr:col>
      <xdr:colOff>723600</xdr:colOff>
      <xdr:row>1012</xdr:row>
      <xdr:rowOff>187200</xdr:rowOff>
    </xdr:to>
    <xdr:pic>
      <xdr:nvPicPr>
        <xdr:cNvPr id="264" name="Image 55" descr="Picture"/>
        <xdr:cNvPicPr/>
      </xdr:nvPicPr>
      <xdr:blipFill>
        <a:blip r:embed="rId55"/>
        <a:stretch/>
      </xdr:blipFill>
      <xdr:spPr>
        <a:xfrm>
          <a:off x="0" y="249440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1014</xdr:row>
      <xdr:rowOff>34920</xdr:rowOff>
    </xdr:from>
    <xdr:to>
      <xdr:col>0</xdr:col>
      <xdr:colOff>723600</xdr:colOff>
      <xdr:row>1016</xdr:row>
      <xdr:rowOff>186840</xdr:rowOff>
    </xdr:to>
    <xdr:pic>
      <xdr:nvPicPr>
        <xdr:cNvPr id="265" name="Image 56" descr="Picture"/>
        <xdr:cNvPicPr/>
      </xdr:nvPicPr>
      <xdr:blipFill>
        <a:blip r:embed="rId56"/>
        <a:stretch/>
      </xdr:blipFill>
      <xdr:spPr>
        <a:xfrm>
          <a:off x="0" y="250983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1026</xdr:row>
      <xdr:rowOff>54000</xdr:rowOff>
    </xdr:from>
    <xdr:to>
      <xdr:col>0</xdr:col>
      <xdr:colOff>723600</xdr:colOff>
      <xdr:row>1030</xdr:row>
      <xdr:rowOff>15480</xdr:rowOff>
    </xdr:to>
    <xdr:pic>
      <xdr:nvPicPr>
        <xdr:cNvPr id="266" name="Image 57" descr="Picture"/>
        <xdr:cNvPicPr/>
      </xdr:nvPicPr>
      <xdr:blipFill>
        <a:blip r:embed="rId57"/>
        <a:stretch/>
      </xdr:blipFill>
      <xdr:spPr>
        <a:xfrm>
          <a:off x="0" y="253479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1039</xdr:row>
      <xdr:rowOff>74880</xdr:rowOff>
    </xdr:from>
    <xdr:to>
      <xdr:col>0</xdr:col>
      <xdr:colOff>723600</xdr:colOff>
      <xdr:row>1043</xdr:row>
      <xdr:rowOff>36360</xdr:rowOff>
    </xdr:to>
    <xdr:pic>
      <xdr:nvPicPr>
        <xdr:cNvPr id="267" name="Image 58" descr="Picture"/>
        <xdr:cNvPicPr/>
      </xdr:nvPicPr>
      <xdr:blipFill>
        <a:blip r:embed="rId58"/>
        <a:stretch/>
      </xdr:blipFill>
      <xdr:spPr>
        <a:xfrm>
          <a:off x="0" y="256927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1051</xdr:row>
      <xdr:rowOff>284400</xdr:rowOff>
    </xdr:from>
    <xdr:to>
      <xdr:col>0</xdr:col>
      <xdr:colOff>723600</xdr:colOff>
      <xdr:row>1053</xdr:row>
      <xdr:rowOff>36360</xdr:rowOff>
    </xdr:to>
    <xdr:pic>
      <xdr:nvPicPr>
        <xdr:cNvPr id="268" name="Image 59" descr="Picture"/>
        <xdr:cNvPicPr/>
      </xdr:nvPicPr>
      <xdr:blipFill>
        <a:blip r:embed="rId59"/>
        <a:stretch/>
      </xdr:blipFill>
      <xdr:spPr>
        <a:xfrm>
          <a:off x="0" y="259422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1063</xdr:row>
      <xdr:rowOff>286200</xdr:rowOff>
    </xdr:from>
    <xdr:to>
      <xdr:col>0</xdr:col>
      <xdr:colOff>723600</xdr:colOff>
      <xdr:row>1067</xdr:row>
      <xdr:rowOff>57240</xdr:rowOff>
    </xdr:to>
    <xdr:pic>
      <xdr:nvPicPr>
        <xdr:cNvPr id="269" name="Image 60" descr="Picture"/>
        <xdr:cNvPicPr/>
      </xdr:nvPicPr>
      <xdr:blipFill>
        <a:blip r:embed="rId60"/>
        <a:stretch/>
      </xdr:blipFill>
      <xdr:spPr>
        <a:xfrm>
          <a:off x="0" y="263251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1070</xdr:row>
      <xdr:rowOff>305640</xdr:rowOff>
    </xdr:from>
    <xdr:to>
      <xdr:col>0</xdr:col>
      <xdr:colOff>723600</xdr:colOff>
      <xdr:row>1074</xdr:row>
      <xdr:rowOff>97560</xdr:rowOff>
    </xdr:to>
    <xdr:pic>
      <xdr:nvPicPr>
        <xdr:cNvPr id="270" name="Image 61" descr="Picture"/>
        <xdr:cNvPicPr/>
      </xdr:nvPicPr>
      <xdr:blipFill>
        <a:blip r:embed="rId61"/>
        <a:stretch/>
      </xdr:blipFill>
      <xdr:spPr>
        <a:xfrm>
          <a:off x="0" y="264795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1098</xdr:row>
      <xdr:rowOff>97920</xdr:rowOff>
    </xdr:from>
    <xdr:to>
      <xdr:col>0</xdr:col>
      <xdr:colOff>723600</xdr:colOff>
      <xdr:row>1099</xdr:row>
      <xdr:rowOff>40320</xdr:rowOff>
    </xdr:to>
    <xdr:pic>
      <xdr:nvPicPr>
        <xdr:cNvPr id="271" name="Image 62" descr="Picture"/>
        <xdr:cNvPicPr/>
      </xdr:nvPicPr>
      <xdr:blipFill>
        <a:blip r:embed="rId62"/>
        <a:stretch/>
      </xdr:blipFill>
      <xdr:spPr>
        <a:xfrm>
          <a:off x="0" y="272243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1105</xdr:row>
      <xdr:rowOff>78840</xdr:rowOff>
    </xdr:from>
    <xdr:to>
      <xdr:col>0</xdr:col>
      <xdr:colOff>723600</xdr:colOff>
      <xdr:row>1108</xdr:row>
      <xdr:rowOff>230760</xdr:rowOff>
    </xdr:to>
    <xdr:pic>
      <xdr:nvPicPr>
        <xdr:cNvPr id="272" name="Image 63" descr="Picture"/>
        <xdr:cNvPicPr/>
      </xdr:nvPicPr>
      <xdr:blipFill>
        <a:blip r:embed="rId63"/>
        <a:stretch/>
      </xdr:blipFill>
      <xdr:spPr>
        <a:xfrm>
          <a:off x="0" y="274739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1116</xdr:row>
      <xdr:rowOff>78840</xdr:rowOff>
    </xdr:from>
    <xdr:to>
      <xdr:col>0</xdr:col>
      <xdr:colOff>723600</xdr:colOff>
      <xdr:row>1117</xdr:row>
      <xdr:rowOff>612000</xdr:rowOff>
    </xdr:to>
    <xdr:pic>
      <xdr:nvPicPr>
        <xdr:cNvPr id="273" name="Image 64" descr="Picture"/>
        <xdr:cNvPicPr/>
      </xdr:nvPicPr>
      <xdr:blipFill>
        <a:blip r:embed="rId64"/>
        <a:stretch/>
      </xdr:blipFill>
      <xdr:spPr>
        <a:xfrm>
          <a:off x="0" y="277615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1131</xdr:row>
      <xdr:rowOff>269280</xdr:rowOff>
    </xdr:from>
    <xdr:to>
      <xdr:col>0</xdr:col>
      <xdr:colOff>723600</xdr:colOff>
      <xdr:row>1133</xdr:row>
      <xdr:rowOff>21240</xdr:rowOff>
    </xdr:to>
    <xdr:pic>
      <xdr:nvPicPr>
        <xdr:cNvPr id="274" name="Image 65" descr="Picture"/>
        <xdr:cNvPicPr/>
      </xdr:nvPicPr>
      <xdr:blipFill>
        <a:blip r:embed="rId65"/>
        <a:stretch/>
      </xdr:blipFill>
      <xdr:spPr>
        <a:xfrm>
          <a:off x="0" y="281444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1136</xdr:row>
      <xdr:rowOff>78840</xdr:rowOff>
    </xdr:from>
    <xdr:to>
      <xdr:col>0</xdr:col>
      <xdr:colOff>723600</xdr:colOff>
      <xdr:row>1140</xdr:row>
      <xdr:rowOff>40320</xdr:rowOff>
    </xdr:to>
    <xdr:pic>
      <xdr:nvPicPr>
        <xdr:cNvPr id="275" name="Image 66" descr="Picture"/>
        <xdr:cNvPicPr/>
      </xdr:nvPicPr>
      <xdr:blipFill>
        <a:blip r:embed="rId66"/>
        <a:stretch/>
      </xdr:blipFill>
      <xdr:spPr>
        <a:xfrm>
          <a:off x="0" y="282987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1145</xdr:row>
      <xdr:rowOff>78840</xdr:rowOff>
    </xdr:from>
    <xdr:to>
      <xdr:col>0</xdr:col>
      <xdr:colOff>723600</xdr:colOff>
      <xdr:row>1148</xdr:row>
      <xdr:rowOff>61200</xdr:rowOff>
    </xdr:to>
    <xdr:pic>
      <xdr:nvPicPr>
        <xdr:cNvPr id="276" name="Image 67" descr="Picture"/>
        <xdr:cNvPicPr/>
      </xdr:nvPicPr>
      <xdr:blipFill>
        <a:blip r:embed="rId67"/>
        <a:stretch/>
      </xdr:blipFill>
      <xdr:spPr>
        <a:xfrm>
          <a:off x="0" y="285483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1290</xdr:row>
      <xdr:rowOff>84600</xdr:rowOff>
    </xdr:from>
    <xdr:to>
      <xdr:col>0</xdr:col>
      <xdr:colOff>723600</xdr:colOff>
      <xdr:row>1292</xdr:row>
      <xdr:rowOff>88200</xdr:rowOff>
    </xdr:to>
    <xdr:pic>
      <xdr:nvPicPr>
        <xdr:cNvPr id="277" name="Image 68" descr="Picture"/>
        <xdr:cNvPicPr/>
      </xdr:nvPicPr>
      <xdr:blipFill>
        <a:blip r:embed="rId68"/>
        <a:stretch/>
      </xdr:blipFill>
      <xdr:spPr>
        <a:xfrm>
          <a:off x="0" y="326269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1299</xdr:row>
      <xdr:rowOff>101880</xdr:rowOff>
    </xdr:from>
    <xdr:to>
      <xdr:col>0</xdr:col>
      <xdr:colOff>723600</xdr:colOff>
      <xdr:row>1301</xdr:row>
      <xdr:rowOff>105120</xdr:rowOff>
    </xdr:to>
    <xdr:pic>
      <xdr:nvPicPr>
        <xdr:cNvPr id="278" name="Image 69" descr="Picture"/>
        <xdr:cNvPicPr/>
      </xdr:nvPicPr>
      <xdr:blipFill>
        <a:blip r:embed="rId69"/>
        <a:stretch/>
      </xdr:blipFill>
      <xdr:spPr>
        <a:xfrm>
          <a:off x="0" y="329527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1303</xdr:row>
      <xdr:rowOff>204480</xdr:rowOff>
    </xdr:from>
    <xdr:to>
      <xdr:col>0</xdr:col>
      <xdr:colOff>723600</xdr:colOff>
      <xdr:row>1305</xdr:row>
      <xdr:rowOff>208080</xdr:rowOff>
    </xdr:to>
    <xdr:pic>
      <xdr:nvPicPr>
        <xdr:cNvPr id="279" name="Image 70" descr="Picture"/>
        <xdr:cNvPicPr/>
      </xdr:nvPicPr>
      <xdr:blipFill>
        <a:blip r:embed="rId70"/>
        <a:stretch/>
      </xdr:blipFill>
      <xdr:spPr>
        <a:xfrm>
          <a:off x="0" y="331070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1311</xdr:row>
      <xdr:rowOff>10080</xdr:rowOff>
    </xdr:from>
    <xdr:to>
      <xdr:col>0</xdr:col>
      <xdr:colOff>723600</xdr:colOff>
      <xdr:row>1313</xdr:row>
      <xdr:rowOff>13680</xdr:rowOff>
    </xdr:to>
    <xdr:pic>
      <xdr:nvPicPr>
        <xdr:cNvPr id="280" name="Image 71" descr="Picture"/>
        <xdr:cNvPicPr/>
      </xdr:nvPicPr>
      <xdr:blipFill>
        <a:blip r:embed="rId71"/>
        <a:stretch/>
      </xdr:blipFill>
      <xdr:spPr>
        <a:xfrm>
          <a:off x="0" y="333756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1317</xdr:row>
      <xdr:rowOff>345240</xdr:rowOff>
    </xdr:from>
    <xdr:to>
      <xdr:col>0</xdr:col>
      <xdr:colOff>723600</xdr:colOff>
      <xdr:row>1319</xdr:row>
      <xdr:rowOff>348840</xdr:rowOff>
    </xdr:to>
    <xdr:pic>
      <xdr:nvPicPr>
        <xdr:cNvPr id="281" name="Image 72" descr="Picture"/>
        <xdr:cNvPicPr/>
      </xdr:nvPicPr>
      <xdr:blipFill>
        <a:blip r:embed="rId72"/>
        <a:stretch/>
      </xdr:blipFill>
      <xdr:spPr>
        <a:xfrm>
          <a:off x="0" y="336251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1327</xdr:row>
      <xdr:rowOff>2520</xdr:rowOff>
    </xdr:from>
    <xdr:to>
      <xdr:col>0</xdr:col>
      <xdr:colOff>723600</xdr:colOff>
      <xdr:row>1329</xdr:row>
      <xdr:rowOff>6120</xdr:rowOff>
    </xdr:to>
    <xdr:pic>
      <xdr:nvPicPr>
        <xdr:cNvPr id="282" name="Image 73" descr="Picture"/>
        <xdr:cNvPicPr/>
      </xdr:nvPicPr>
      <xdr:blipFill>
        <a:blip r:embed="rId73"/>
        <a:stretch/>
      </xdr:blipFill>
      <xdr:spPr>
        <a:xfrm>
          <a:off x="0" y="339509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1336</xdr:row>
      <xdr:rowOff>105480</xdr:rowOff>
    </xdr:from>
    <xdr:to>
      <xdr:col>0</xdr:col>
      <xdr:colOff>723600</xdr:colOff>
      <xdr:row>1340</xdr:row>
      <xdr:rowOff>66960</xdr:rowOff>
    </xdr:to>
    <xdr:pic>
      <xdr:nvPicPr>
        <xdr:cNvPr id="283" name="Image 74" descr="Picture"/>
        <xdr:cNvPicPr/>
      </xdr:nvPicPr>
      <xdr:blipFill>
        <a:blip r:embed="rId74"/>
        <a:stretch/>
      </xdr:blipFill>
      <xdr:spPr>
        <a:xfrm>
          <a:off x="0" y="342004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1363</xdr:row>
      <xdr:rowOff>120600</xdr:rowOff>
    </xdr:from>
    <xdr:to>
      <xdr:col>0</xdr:col>
      <xdr:colOff>723600</xdr:colOff>
      <xdr:row>1366</xdr:row>
      <xdr:rowOff>34560</xdr:rowOff>
    </xdr:to>
    <xdr:pic>
      <xdr:nvPicPr>
        <xdr:cNvPr id="284" name="Image 75" descr="Picture"/>
        <xdr:cNvPicPr/>
      </xdr:nvPicPr>
      <xdr:blipFill>
        <a:blip r:embed="rId75"/>
        <a:stretch/>
      </xdr:blipFill>
      <xdr:spPr>
        <a:xfrm>
          <a:off x="0" y="348691320"/>
          <a:ext cx="723600" cy="485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1391</xdr:row>
      <xdr:rowOff>139680</xdr:rowOff>
    </xdr:from>
    <xdr:to>
      <xdr:col>0</xdr:col>
      <xdr:colOff>723600</xdr:colOff>
      <xdr:row>1393</xdr:row>
      <xdr:rowOff>482040</xdr:rowOff>
    </xdr:to>
    <xdr:pic>
      <xdr:nvPicPr>
        <xdr:cNvPr id="285" name="Image 76" descr="Picture"/>
        <xdr:cNvPicPr/>
      </xdr:nvPicPr>
      <xdr:blipFill>
        <a:blip r:embed="rId76"/>
        <a:stretch/>
      </xdr:blipFill>
      <xdr:spPr>
        <a:xfrm>
          <a:off x="0" y="354044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1398</xdr:row>
      <xdr:rowOff>365040</xdr:rowOff>
    </xdr:from>
    <xdr:to>
      <xdr:col>0</xdr:col>
      <xdr:colOff>723600</xdr:colOff>
      <xdr:row>1400</xdr:row>
      <xdr:rowOff>28440</xdr:rowOff>
    </xdr:to>
    <xdr:pic>
      <xdr:nvPicPr>
        <xdr:cNvPr id="286" name="Image 77" descr="Picture"/>
        <xdr:cNvPicPr/>
      </xdr:nvPicPr>
      <xdr:blipFill>
        <a:blip r:embed="rId77"/>
        <a:stretch/>
      </xdr:blipFill>
      <xdr:spPr>
        <a:xfrm>
          <a:off x="0" y="357301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1401</xdr:row>
      <xdr:rowOff>317520</xdr:rowOff>
    </xdr:from>
    <xdr:to>
      <xdr:col>0</xdr:col>
      <xdr:colOff>723600</xdr:colOff>
      <xdr:row>1402</xdr:row>
      <xdr:rowOff>510840</xdr:rowOff>
    </xdr:to>
    <xdr:pic>
      <xdr:nvPicPr>
        <xdr:cNvPr id="287" name="Image 78" descr="Picture"/>
        <xdr:cNvPicPr/>
      </xdr:nvPicPr>
      <xdr:blipFill>
        <a:blip r:embed="rId78"/>
        <a:stretch/>
      </xdr:blipFill>
      <xdr:spPr>
        <a:xfrm>
          <a:off x="0" y="358844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1406</xdr:row>
      <xdr:rowOff>352440</xdr:rowOff>
    </xdr:from>
    <xdr:to>
      <xdr:col>0</xdr:col>
      <xdr:colOff>723600</xdr:colOff>
      <xdr:row>1408</xdr:row>
      <xdr:rowOff>15840</xdr:rowOff>
    </xdr:to>
    <xdr:pic>
      <xdr:nvPicPr>
        <xdr:cNvPr id="288" name="Image 79" descr="Picture"/>
        <xdr:cNvPicPr/>
      </xdr:nvPicPr>
      <xdr:blipFill>
        <a:blip r:embed="rId79"/>
        <a:stretch/>
      </xdr:blipFill>
      <xdr:spPr>
        <a:xfrm>
          <a:off x="0" y="361531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1417</xdr:row>
      <xdr:rowOff>63360</xdr:rowOff>
    </xdr:from>
    <xdr:to>
      <xdr:col>0</xdr:col>
      <xdr:colOff>723600</xdr:colOff>
      <xdr:row>1418</xdr:row>
      <xdr:rowOff>256680</xdr:rowOff>
    </xdr:to>
    <xdr:pic>
      <xdr:nvPicPr>
        <xdr:cNvPr id="289" name="Image 80" descr="Picture"/>
        <xdr:cNvPicPr/>
      </xdr:nvPicPr>
      <xdr:blipFill>
        <a:blip r:embed="rId80"/>
        <a:stretch/>
      </xdr:blipFill>
      <xdr:spPr>
        <a:xfrm>
          <a:off x="0" y="3670743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1438</xdr:row>
      <xdr:rowOff>174960</xdr:rowOff>
    </xdr:from>
    <xdr:to>
      <xdr:col>0</xdr:col>
      <xdr:colOff>723600</xdr:colOff>
      <xdr:row>1440</xdr:row>
      <xdr:rowOff>178200</xdr:rowOff>
    </xdr:to>
    <xdr:pic>
      <xdr:nvPicPr>
        <xdr:cNvPr id="290" name="Image 81" descr="Picture"/>
        <xdr:cNvPicPr/>
      </xdr:nvPicPr>
      <xdr:blipFill>
        <a:blip r:embed="rId81"/>
        <a:stretch/>
      </xdr:blipFill>
      <xdr:spPr>
        <a:xfrm>
          <a:off x="0" y="376618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1445</xdr:row>
      <xdr:rowOff>340560</xdr:rowOff>
    </xdr:from>
    <xdr:to>
      <xdr:col>0</xdr:col>
      <xdr:colOff>723600</xdr:colOff>
      <xdr:row>1447</xdr:row>
      <xdr:rowOff>343800</xdr:rowOff>
    </xdr:to>
    <xdr:pic>
      <xdr:nvPicPr>
        <xdr:cNvPr id="291" name="Image 82" descr="Picture"/>
        <xdr:cNvPicPr/>
      </xdr:nvPicPr>
      <xdr:blipFill>
        <a:blip r:embed="rId82"/>
        <a:stretch/>
      </xdr:blipFill>
      <xdr:spPr>
        <a:xfrm>
          <a:off x="0" y="379304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1450</xdr:row>
      <xdr:rowOff>83160</xdr:rowOff>
    </xdr:from>
    <xdr:to>
      <xdr:col>0</xdr:col>
      <xdr:colOff>723600</xdr:colOff>
      <xdr:row>1452</xdr:row>
      <xdr:rowOff>86760</xdr:rowOff>
    </xdr:to>
    <xdr:pic>
      <xdr:nvPicPr>
        <xdr:cNvPr id="292" name="Image 83" descr="Picture"/>
        <xdr:cNvPicPr/>
      </xdr:nvPicPr>
      <xdr:blipFill>
        <a:blip r:embed="rId83"/>
        <a:stretch/>
      </xdr:blipFill>
      <xdr:spPr>
        <a:xfrm>
          <a:off x="0" y="380847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1476</xdr:row>
      <xdr:rowOff>319320</xdr:rowOff>
    </xdr:from>
    <xdr:to>
      <xdr:col>0</xdr:col>
      <xdr:colOff>723600</xdr:colOff>
      <xdr:row>1480</xdr:row>
      <xdr:rowOff>90720</xdr:rowOff>
    </xdr:to>
    <xdr:pic>
      <xdr:nvPicPr>
        <xdr:cNvPr id="293" name="Image 84" descr="Picture"/>
        <xdr:cNvPicPr/>
      </xdr:nvPicPr>
      <xdr:blipFill>
        <a:blip r:embed="rId84"/>
        <a:stretch/>
      </xdr:blipFill>
      <xdr:spPr>
        <a:xfrm>
          <a:off x="0" y="388677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1486</xdr:row>
      <xdr:rowOff>128880</xdr:rowOff>
    </xdr:from>
    <xdr:to>
      <xdr:col>0</xdr:col>
      <xdr:colOff>723600</xdr:colOff>
      <xdr:row>1489</xdr:row>
      <xdr:rowOff>90720</xdr:rowOff>
    </xdr:to>
    <xdr:pic>
      <xdr:nvPicPr>
        <xdr:cNvPr id="294" name="Image 85" descr="Picture"/>
        <xdr:cNvPicPr/>
      </xdr:nvPicPr>
      <xdr:blipFill>
        <a:blip r:embed="rId85"/>
        <a:stretch/>
      </xdr:blipFill>
      <xdr:spPr>
        <a:xfrm>
          <a:off x="0" y="391172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1497</xdr:row>
      <xdr:rowOff>128880</xdr:rowOff>
    </xdr:from>
    <xdr:to>
      <xdr:col>0</xdr:col>
      <xdr:colOff>723600</xdr:colOff>
      <xdr:row>1499</xdr:row>
      <xdr:rowOff>301680</xdr:rowOff>
    </xdr:to>
    <xdr:pic>
      <xdr:nvPicPr>
        <xdr:cNvPr id="295" name="Image 86" descr="Picture"/>
        <xdr:cNvPicPr/>
      </xdr:nvPicPr>
      <xdr:blipFill>
        <a:blip r:embed="rId86"/>
        <a:stretch/>
      </xdr:blipFill>
      <xdr:spPr>
        <a:xfrm>
          <a:off x="0" y="394239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1506</xdr:row>
      <xdr:rowOff>654480</xdr:rowOff>
    </xdr:from>
    <xdr:to>
      <xdr:col>0</xdr:col>
      <xdr:colOff>723600</xdr:colOff>
      <xdr:row>1509</xdr:row>
      <xdr:rowOff>25560</xdr:rowOff>
    </xdr:to>
    <xdr:pic>
      <xdr:nvPicPr>
        <xdr:cNvPr id="296" name="Image 87" descr="Picture"/>
        <xdr:cNvPicPr/>
      </xdr:nvPicPr>
      <xdr:blipFill>
        <a:blip r:embed="rId87"/>
        <a:stretch/>
      </xdr:blipFill>
      <xdr:spPr>
        <a:xfrm>
          <a:off x="0" y="397497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1513</xdr:row>
      <xdr:rowOff>83160</xdr:rowOff>
    </xdr:from>
    <xdr:to>
      <xdr:col>0</xdr:col>
      <xdr:colOff>723600</xdr:colOff>
      <xdr:row>1515</xdr:row>
      <xdr:rowOff>425520</xdr:rowOff>
    </xdr:to>
    <xdr:pic>
      <xdr:nvPicPr>
        <xdr:cNvPr id="297" name="Image 88" descr="Picture"/>
        <xdr:cNvPicPr/>
      </xdr:nvPicPr>
      <xdr:blipFill>
        <a:blip r:embed="rId88"/>
        <a:stretch/>
      </xdr:blipFill>
      <xdr:spPr>
        <a:xfrm>
          <a:off x="0" y="399040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1525</xdr:row>
      <xdr:rowOff>83160</xdr:rowOff>
    </xdr:from>
    <xdr:to>
      <xdr:col>0</xdr:col>
      <xdr:colOff>723600</xdr:colOff>
      <xdr:row>1529</xdr:row>
      <xdr:rowOff>44640</xdr:rowOff>
    </xdr:to>
    <xdr:pic>
      <xdr:nvPicPr>
        <xdr:cNvPr id="298" name="Image 89" descr="Picture"/>
        <xdr:cNvPicPr/>
      </xdr:nvPicPr>
      <xdr:blipFill>
        <a:blip r:embed="rId89"/>
        <a:stretch/>
      </xdr:blipFill>
      <xdr:spPr>
        <a:xfrm>
          <a:off x="0" y="402107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1533</xdr:row>
      <xdr:rowOff>102240</xdr:rowOff>
    </xdr:from>
    <xdr:to>
      <xdr:col>0</xdr:col>
      <xdr:colOff>723600</xdr:colOff>
      <xdr:row>1537</xdr:row>
      <xdr:rowOff>63720</xdr:rowOff>
    </xdr:to>
    <xdr:pic>
      <xdr:nvPicPr>
        <xdr:cNvPr id="299" name="Image 90" descr="Picture"/>
        <xdr:cNvPicPr/>
      </xdr:nvPicPr>
      <xdr:blipFill>
        <a:blip r:embed="rId90"/>
        <a:stretch/>
      </xdr:blipFill>
      <xdr:spPr>
        <a:xfrm>
          <a:off x="0" y="4036503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1546</xdr:row>
      <xdr:rowOff>121320</xdr:rowOff>
    </xdr:from>
    <xdr:to>
      <xdr:col>0</xdr:col>
      <xdr:colOff>723600</xdr:colOff>
      <xdr:row>1547</xdr:row>
      <xdr:rowOff>63720</xdr:rowOff>
    </xdr:to>
    <xdr:pic>
      <xdr:nvPicPr>
        <xdr:cNvPr id="300" name="Image 91" descr="Picture"/>
        <xdr:cNvPicPr/>
      </xdr:nvPicPr>
      <xdr:blipFill>
        <a:blip r:embed="rId91"/>
        <a:stretch/>
      </xdr:blipFill>
      <xdr:spPr>
        <a:xfrm>
          <a:off x="0" y="406145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1550</xdr:row>
      <xdr:rowOff>121320</xdr:rowOff>
    </xdr:from>
    <xdr:to>
      <xdr:col>0</xdr:col>
      <xdr:colOff>723600</xdr:colOff>
      <xdr:row>1554</xdr:row>
      <xdr:rowOff>83160</xdr:rowOff>
    </xdr:to>
    <xdr:pic>
      <xdr:nvPicPr>
        <xdr:cNvPr id="301" name="Image 92" descr="Picture"/>
        <xdr:cNvPicPr/>
      </xdr:nvPicPr>
      <xdr:blipFill>
        <a:blip r:embed="rId92"/>
        <a:stretch/>
      </xdr:blipFill>
      <xdr:spPr>
        <a:xfrm>
          <a:off x="0" y="407689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1570</xdr:row>
      <xdr:rowOff>711720</xdr:rowOff>
    </xdr:from>
    <xdr:to>
      <xdr:col>0</xdr:col>
      <xdr:colOff>723600</xdr:colOff>
      <xdr:row>1573</xdr:row>
      <xdr:rowOff>82800</xdr:rowOff>
    </xdr:to>
    <xdr:pic>
      <xdr:nvPicPr>
        <xdr:cNvPr id="302" name="Image 93" descr="Picture"/>
        <xdr:cNvPicPr/>
      </xdr:nvPicPr>
      <xdr:blipFill>
        <a:blip r:embed="rId93"/>
        <a:stretch/>
      </xdr:blipFill>
      <xdr:spPr>
        <a:xfrm>
          <a:off x="0" y="412089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1581</xdr:row>
      <xdr:rowOff>182520</xdr:rowOff>
    </xdr:from>
    <xdr:to>
      <xdr:col>0</xdr:col>
      <xdr:colOff>723600</xdr:colOff>
      <xdr:row>1583</xdr:row>
      <xdr:rowOff>524880</xdr:rowOff>
    </xdr:to>
    <xdr:pic>
      <xdr:nvPicPr>
        <xdr:cNvPr id="303" name="Image 94" descr="Picture"/>
        <xdr:cNvPicPr/>
      </xdr:nvPicPr>
      <xdr:blipFill>
        <a:blip r:embed="rId94"/>
        <a:stretch/>
      </xdr:blipFill>
      <xdr:spPr>
        <a:xfrm>
          <a:off x="0" y="414775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1586</xdr:row>
      <xdr:rowOff>182160</xdr:rowOff>
    </xdr:from>
    <xdr:to>
      <xdr:col>0</xdr:col>
      <xdr:colOff>723600</xdr:colOff>
      <xdr:row>1588</xdr:row>
      <xdr:rowOff>524880</xdr:rowOff>
    </xdr:to>
    <xdr:pic>
      <xdr:nvPicPr>
        <xdr:cNvPr id="304" name="Image 95" descr="Picture"/>
        <xdr:cNvPicPr/>
      </xdr:nvPicPr>
      <xdr:blipFill>
        <a:blip r:embed="rId95"/>
        <a:stretch/>
      </xdr:blipFill>
      <xdr:spPr>
        <a:xfrm>
          <a:off x="0" y="416318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1600</xdr:row>
      <xdr:rowOff>163080</xdr:rowOff>
    </xdr:from>
    <xdr:to>
      <xdr:col>0</xdr:col>
      <xdr:colOff>723600</xdr:colOff>
      <xdr:row>1603</xdr:row>
      <xdr:rowOff>124560</xdr:rowOff>
    </xdr:to>
    <xdr:pic>
      <xdr:nvPicPr>
        <xdr:cNvPr id="305" name="Image 96" descr="Picture"/>
        <xdr:cNvPicPr/>
      </xdr:nvPicPr>
      <xdr:blipFill>
        <a:blip r:embed="rId96"/>
        <a:stretch/>
      </xdr:blipFill>
      <xdr:spPr>
        <a:xfrm>
          <a:off x="0" y="420338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1642</xdr:row>
      <xdr:rowOff>75600</xdr:rowOff>
    </xdr:from>
    <xdr:to>
      <xdr:col>0</xdr:col>
      <xdr:colOff>723600</xdr:colOff>
      <xdr:row>1646</xdr:row>
      <xdr:rowOff>37080</xdr:rowOff>
    </xdr:to>
    <xdr:pic>
      <xdr:nvPicPr>
        <xdr:cNvPr id="306" name="Image 97" descr="Picture"/>
        <xdr:cNvPicPr/>
      </xdr:nvPicPr>
      <xdr:blipFill>
        <a:blip r:embed="rId97"/>
        <a:stretch/>
      </xdr:blipFill>
      <xdr:spPr>
        <a:xfrm>
          <a:off x="0" y="431596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1650</xdr:row>
      <xdr:rowOff>94680</xdr:rowOff>
    </xdr:from>
    <xdr:to>
      <xdr:col>0</xdr:col>
      <xdr:colOff>723600</xdr:colOff>
      <xdr:row>1654</xdr:row>
      <xdr:rowOff>56160</xdr:rowOff>
    </xdr:to>
    <xdr:pic>
      <xdr:nvPicPr>
        <xdr:cNvPr id="307" name="Image 98" descr="Picture"/>
        <xdr:cNvPicPr/>
      </xdr:nvPicPr>
      <xdr:blipFill>
        <a:blip r:embed="rId98"/>
        <a:stretch/>
      </xdr:blipFill>
      <xdr:spPr>
        <a:xfrm>
          <a:off x="0" y="433139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1706</xdr:row>
      <xdr:rowOff>196200</xdr:rowOff>
    </xdr:from>
    <xdr:to>
      <xdr:col>0</xdr:col>
      <xdr:colOff>723600</xdr:colOff>
      <xdr:row>1708</xdr:row>
      <xdr:rowOff>199800</xdr:rowOff>
    </xdr:to>
    <xdr:pic>
      <xdr:nvPicPr>
        <xdr:cNvPr id="308" name="Image 99" descr="Picture"/>
        <xdr:cNvPicPr/>
      </xdr:nvPicPr>
      <xdr:blipFill>
        <a:blip r:embed="rId99"/>
        <a:stretch/>
      </xdr:blipFill>
      <xdr:spPr>
        <a:xfrm>
          <a:off x="0" y="450303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723600</xdr:colOff>
      <xdr:row>0</xdr:row>
      <xdr:rowOff>723600</xdr:rowOff>
    </xdr:to>
    <xdr:pic>
      <xdr:nvPicPr>
        <xdr:cNvPr id="309" name="Image 1" descr="Picture"/>
        <xdr:cNvPicPr/>
      </xdr:nvPicPr>
      <xdr:blipFill>
        <a:blip r:embed="rId1"/>
        <a:stretch/>
      </xdr:blipFill>
      <xdr:spPr>
        <a:xfrm>
          <a:off x="0" y="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723600</xdr:colOff>
      <xdr:row>5</xdr:row>
      <xdr:rowOff>723600</xdr:rowOff>
    </xdr:to>
    <xdr:pic>
      <xdr:nvPicPr>
        <xdr:cNvPr id="310" name="Image 2" descr="Picture"/>
        <xdr:cNvPicPr/>
      </xdr:nvPicPr>
      <xdr:blipFill>
        <a:blip r:embed="rId2"/>
        <a:stretch/>
      </xdr:blipFill>
      <xdr:spPr>
        <a:xfrm>
          <a:off x="0" y="1542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723600</xdr:colOff>
      <xdr:row>14</xdr:row>
      <xdr:rowOff>723600</xdr:rowOff>
    </xdr:to>
    <xdr:pic>
      <xdr:nvPicPr>
        <xdr:cNvPr id="311" name="Image 3" descr="Picture"/>
        <xdr:cNvPicPr/>
      </xdr:nvPicPr>
      <xdr:blipFill>
        <a:blip r:embed="rId3"/>
        <a:stretch/>
      </xdr:blipFill>
      <xdr:spPr>
        <a:xfrm>
          <a:off x="0" y="4038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723600</xdr:colOff>
      <xdr:row>19</xdr:row>
      <xdr:rowOff>723600</xdr:rowOff>
    </xdr:to>
    <xdr:pic>
      <xdr:nvPicPr>
        <xdr:cNvPr id="312" name="Image 4" descr="Picture"/>
        <xdr:cNvPicPr/>
      </xdr:nvPicPr>
      <xdr:blipFill>
        <a:blip r:embed="rId4"/>
        <a:stretch/>
      </xdr:blipFill>
      <xdr:spPr>
        <a:xfrm>
          <a:off x="0" y="5581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723600</xdr:colOff>
      <xdr:row>24</xdr:row>
      <xdr:rowOff>723600</xdr:rowOff>
    </xdr:to>
    <xdr:pic>
      <xdr:nvPicPr>
        <xdr:cNvPr id="313" name="Image 5" descr="Picture"/>
        <xdr:cNvPicPr/>
      </xdr:nvPicPr>
      <xdr:blipFill>
        <a:blip r:embed="rId5"/>
        <a:stretch/>
      </xdr:blipFill>
      <xdr:spPr>
        <a:xfrm>
          <a:off x="0" y="7124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723600</xdr:colOff>
      <xdr:row>76</xdr:row>
      <xdr:rowOff>723600</xdr:rowOff>
    </xdr:to>
    <xdr:pic>
      <xdr:nvPicPr>
        <xdr:cNvPr id="314" name="Image 6" descr="Picture"/>
        <xdr:cNvPicPr/>
      </xdr:nvPicPr>
      <xdr:blipFill>
        <a:blip r:embed="rId6"/>
        <a:stretch/>
      </xdr:blipFill>
      <xdr:spPr>
        <a:xfrm>
          <a:off x="0" y="17811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97</xdr:row>
      <xdr:rowOff>337320</xdr:rowOff>
    </xdr:from>
    <xdr:to>
      <xdr:col>0</xdr:col>
      <xdr:colOff>723600</xdr:colOff>
      <xdr:row>100</xdr:row>
      <xdr:rowOff>150480</xdr:rowOff>
    </xdr:to>
    <xdr:pic>
      <xdr:nvPicPr>
        <xdr:cNvPr id="315" name="Image 7" descr="Picture"/>
        <xdr:cNvPicPr/>
      </xdr:nvPicPr>
      <xdr:blipFill>
        <a:blip r:embed="rId7"/>
        <a:stretch/>
      </xdr:blipFill>
      <xdr:spPr>
        <a:xfrm>
          <a:off x="0" y="24117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126</xdr:row>
      <xdr:rowOff>227880</xdr:rowOff>
    </xdr:from>
    <xdr:to>
      <xdr:col>0</xdr:col>
      <xdr:colOff>723600</xdr:colOff>
      <xdr:row>128</xdr:row>
      <xdr:rowOff>61560</xdr:rowOff>
    </xdr:to>
    <xdr:pic>
      <xdr:nvPicPr>
        <xdr:cNvPr id="316" name="Image 8" descr="Picture"/>
        <xdr:cNvPicPr/>
      </xdr:nvPicPr>
      <xdr:blipFill>
        <a:blip r:embed="rId8"/>
        <a:stretch/>
      </xdr:blipFill>
      <xdr:spPr>
        <a:xfrm>
          <a:off x="0" y="32518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153</xdr:row>
      <xdr:rowOff>264240</xdr:rowOff>
    </xdr:from>
    <xdr:to>
      <xdr:col>0</xdr:col>
      <xdr:colOff>723600</xdr:colOff>
      <xdr:row>155</xdr:row>
      <xdr:rowOff>267840</xdr:rowOff>
    </xdr:to>
    <xdr:pic>
      <xdr:nvPicPr>
        <xdr:cNvPr id="317" name="Image 9" descr="Picture"/>
        <xdr:cNvPicPr/>
      </xdr:nvPicPr>
      <xdr:blipFill>
        <a:blip r:embed="rId9"/>
        <a:stretch/>
      </xdr:blipFill>
      <xdr:spPr>
        <a:xfrm>
          <a:off x="0" y="41871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166</xdr:row>
      <xdr:rowOff>174600</xdr:rowOff>
    </xdr:from>
    <xdr:to>
      <xdr:col>0</xdr:col>
      <xdr:colOff>723600</xdr:colOff>
      <xdr:row>168</xdr:row>
      <xdr:rowOff>178200</xdr:rowOff>
    </xdr:to>
    <xdr:pic>
      <xdr:nvPicPr>
        <xdr:cNvPr id="318" name="Image 10" descr="Picture"/>
        <xdr:cNvPicPr/>
      </xdr:nvPicPr>
      <xdr:blipFill>
        <a:blip r:embed="rId10"/>
        <a:stretch/>
      </xdr:blipFill>
      <xdr:spPr>
        <a:xfrm>
          <a:off x="0" y="46463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378</xdr:row>
      <xdr:rowOff>147240</xdr:rowOff>
    </xdr:from>
    <xdr:to>
      <xdr:col>0</xdr:col>
      <xdr:colOff>723600</xdr:colOff>
      <xdr:row>382</xdr:row>
      <xdr:rowOff>108720</xdr:rowOff>
    </xdr:to>
    <xdr:pic>
      <xdr:nvPicPr>
        <xdr:cNvPr id="319" name="Image 11" descr="Picture"/>
        <xdr:cNvPicPr/>
      </xdr:nvPicPr>
      <xdr:blipFill>
        <a:blip r:embed="rId11"/>
        <a:stretch/>
      </xdr:blipFill>
      <xdr:spPr>
        <a:xfrm>
          <a:off x="0" y="92963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395</xdr:row>
      <xdr:rowOff>166320</xdr:rowOff>
    </xdr:from>
    <xdr:to>
      <xdr:col>0</xdr:col>
      <xdr:colOff>723600</xdr:colOff>
      <xdr:row>399</xdr:row>
      <xdr:rowOff>127800</xdr:rowOff>
    </xdr:to>
    <xdr:pic>
      <xdr:nvPicPr>
        <xdr:cNvPr id="320" name="Image 12" descr="Picture"/>
        <xdr:cNvPicPr/>
      </xdr:nvPicPr>
      <xdr:blipFill>
        <a:blip r:embed="rId12"/>
        <a:stretch/>
      </xdr:blipFill>
      <xdr:spPr>
        <a:xfrm>
          <a:off x="0" y="96221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450</xdr:row>
      <xdr:rowOff>185400</xdr:rowOff>
    </xdr:from>
    <xdr:to>
      <xdr:col>0</xdr:col>
      <xdr:colOff>723600</xdr:colOff>
      <xdr:row>451</xdr:row>
      <xdr:rowOff>127800</xdr:rowOff>
    </xdr:to>
    <xdr:pic>
      <xdr:nvPicPr>
        <xdr:cNvPr id="321" name="Image 13" descr="Picture"/>
        <xdr:cNvPicPr/>
      </xdr:nvPicPr>
      <xdr:blipFill>
        <a:blip r:embed="rId13"/>
        <a:stretch/>
      </xdr:blipFill>
      <xdr:spPr>
        <a:xfrm>
          <a:off x="0" y="106718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463</xdr:row>
      <xdr:rowOff>459720</xdr:rowOff>
    </xdr:from>
    <xdr:to>
      <xdr:col>0</xdr:col>
      <xdr:colOff>723600</xdr:colOff>
      <xdr:row>465</xdr:row>
      <xdr:rowOff>212040</xdr:rowOff>
    </xdr:to>
    <xdr:pic>
      <xdr:nvPicPr>
        <xdr:cNvPr id="322" name="Image 14" descr="Picture"/>
        <xdr:cNvPicPr/>
      </xdr:nvPicPr>
      <xdr:blipFill>
        <a:blip r:embed="rId14"/>
        <a:stretch/>
      </xdr:blipFill>
      <xdr:spPr>
        <a:xfrm>
          <a:off x="0" y="110928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472</xdr:row>
      <xdr:rowOff>141480</xdr:rowOff>
    </xdr:from>
    <xdr:to>
      <xdr:col>0</xdr:col>
      <xdr:colOff>723600</xdr:colOff>
      <xdr:row>474</xdr:row>
      <xdr:rowOff>145080</xdr:rowOff>
    </xdr:to>
    <xdr:pic>
      <xdr:nvPicPr>
        <xdr:cNvPr id="323" name="Image 15" descr="Picture"/>
        <xdr:cNvPicPr/>
      </xdr:nvPicPr>
      <xdr:blipFill>
        <a:blip r:embed="rId15"/>
        <a:stretch/>
      </xdr:blipFill>
      <xdr:spPr>
        <a:xfrm>
          <a:off x="0" y="113614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504</xdr:row>
      <xdr:rowOff>259560</xdr:rowOff>
    </xdr:from>
    <xdr:to>
      <xdr:col>0</xdr:col>
      <xdr:colOff>723600</xdr:colOff>
      <xdr:row>506</xdr:row>
      <xdr:rowOff>263160</xdr:rowOff>
    </xdr:to>
    <xdr:pic>
      <xdr:nvPicPr>
        <xdr:cNvPr id="324" name="Image 16" descr="Picture"/>
        <xdr:cNvPicPr/>
      </xdr:nvPicPr>
      <xdr:blipFill>
        <a:blip r:embed="rId16"/>
        <a:stretch/>
      </xdr:blipFill>
      <xdr:spPr>
        <a:xfrm>
          <a:off x="0" y="125253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514</xdr:row>
      <xdr:rowOff>446400</xdr:rowOff>
    </xdr:from>
    <xdr:to>
      <xdr:col>0</xdr:col>
      <xdr:colOff>723600</xdr:colOff>
      <xdr:row>516</xdr:row>
      <xdr:rowOff>198360</xdr:rowOff>
    </xdr:to>
    <xdr:pic>
      <xdr:nvPicPr>
        <xdr:cNvPr id="325" name="Image 17" descr="Picture"/>
        <xdr:cNvPicPr/>
      </xdr:nvPicPr>
      <xdr:blipFill>
        <a:blip r:embed="rId17"/>
        <a:stretch/>
      </xdr:blipFill>
      <xdr:spPr>
        <a:xfrm>
          <a:off x="0" y="128701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525</xdr:row>
      <xdr:rowOff>65520</xdr:rowOff>
    </xdr:from>
    <xdr:to>
      <xdr:col>0</xdr:col>
      <xdr:colOff>723600</xdr:colOff>
      <xdr:row>529</xdr:row>
      <xdr:rowOff>27000</xdr:rowOff>
    </xdr:to>
    <xdr:pic>
      <xdr:nvPicPr>
        <xdr:cNvPr id="326" name="Image 18" descr="Picture"/>
        <xdr:cNvPicPr/>
      </xdr:nvPicPr>
      <xdr:blipFill>
        <a:blip r:embed="rId18"/>
        <a:stretch/>
      </xdr:blipFill>
      <xdr:spPr>
        <a:xfrm>
          <a:off x="0" y="131197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536</xdr:row>
      <xdr:rowOff>65520</xdr:rowOff>
    </xdr:from>
    <xdr:to>
      <xdr:col>0</xdr:col>
      <xdr:colOff>723600</xdr:colOff>
      <xdr:row>540</xdr:row>
      <xdr:rowOff>27360</xdr:rowOff>
    </xdr:to>
    <xdr:pic>
      <xdr:nvPicPr>
        <xdr:cNvPr id="327" name="Image 19" descr="Picture"/>
        <xdr:cNvPicPr/>
      </xdr:nvPicPr>
      <xdr:blipFill>
        <a:blip r:embed="rId19"/>
        <a:stretch/>
      </xdr:blipFill>
      <xdr:spPr>
        <a:xfrm>
          <a:off x="0" y="134074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542</xdr:row>
      <xdr:rowOff>465480</xdr:rowOff>
    </xdr:from>
    <xdr:to>
      <xdr:col>0</xdr:col>
      <xdr:colOff>723600</xdr:colOff>
      <xdr:row>544</xdr:row>
      <xdr:rowOff>217440</xdr:rowOff>
    </xdr:to>
    <xdr:pic>
      <xdr:nvPicPr>
        <xdr:cNvPr id="328" name="Image 20" descr="Picture"/>
        <xdr:cNvPicPr/>
      </xdr:nvPicPr>
      <xdr:blipFill>
        <a:blip r:embed="rId20"/>
        <a:stretch/>
      </xdr:blipFill>
      <xdr:spPr>
        <a:xfrm>
          <a:off x="0" y="135617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560</xdr:row>
      <xdr:rowOff>84600</xdr:rowOff>
    </xdr:from>
    <xdr:to>
      <xdr:col>0</xdr:col>
      <xdr:colOff>723600</xdr:colOff>
      <xdr:row>564</xdr:row>
      <xdr:rowOff>46080</xdr:rowOff>
    </xdr:to>
    <xdr:pic>
      <xdr:nvPicPr>
        <xdr:cNvPr id="329" name="Image 21" descr="Picture"/>
        <xdr:cNvPicPr/>
      </xdr:nvPicPr>
      <xdr:blipFill>
        <a:blip r:embed="rId21"/>
        <a:stretch/>
      </xdr:blipFill>
      <xdr:spPr>
        <a:xfrm>
          <a:off x="0" y="139446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585</xdr:row>
      <xdr:rowOff>103320</xdr:rowOff>
    </xdr:from>
    <xdr:to>
      <xdr:col>0</xdr:col>
      <xdr:colOff>723600</xdr:colOff>
      <xdr:row>589</xdr:row>
      <xdr:rowOff>65160</xdr:rowOff>
    </xdr:to>
    <xdr:pic>
      <xdr:nvPicPr>
        <xdr:cNvPr id="330" name="Image 22" descr="Picture"/>
        <xdr:cNvPicPr/>
      </xdr:nvPicPr>
      <xdr:blipFill>
        <a:blip r:embed="rId22"/>
        <a:stretch/>
      </xdr:blipFill>
      <xdr:spPr>
        <a:xfrm>
          <a:off x="0" y="144227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599</xdr:row>
      <xdr:rowOff>694080</xdr:rowOff>
    </xdr:from>
    <xdr:to>
      <xdr:col>0</xdr:col>
      <xdr:colOff>723600</xdr:colOff>
      <xdr:row>602</xdr:row>
      <xdr:rowOff>65160</xdr:rowOff>
    </xdr:to>
    <xdr:pic>
      <xdr:nvPicPr>
        <xdr:cNvPr id="331" name="Image 23" descr="Picture"/>
        <xdr:cNvPicPr/>
      </xdr:nvPicPr>
      <xdr:blipFill>
        <a:blip r:embed="rId23"/>
        <a:stretch/>
      </xdr:blipFill>
      <xdr:spPr>
        <a:xfrm>
          <a:off x="0" y="147485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613</xdr:row>
      <xdr:rowOff>248040</xdr:rowOff>
    </xdr:from>
    <xdr:to>
      <xdr:col>0</xdr:col>
      <xdr:colOff>723600</xdr:colOff>
      <xdr:row>614</xdr:row>
      <xdr:rowOff>190800</xdr:rowOff>
    </xdr:to>
    <xdr:pic>
      <xdr:nvPicPr>
        <xdr:cNvPr id="332" name="Image 24" descr="Picture"/>
        <xdr:cNvPicPr/>
      </xdr:nvPicPr>
      <xdr:blipFill>
        <a:blip r:embed="rId24"/>
        <a:stretch/>
      </xdr:blipFill>
      <xdr:spPr>
        <a:xfrm>
          <a:off x="0" y="151504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618</xdr:row>
      <xdr:rowOff>57960</xdr:rowOff>
    </xdr:from>
    <xdr:to>
      <xdr:col>0</xdr:col>
      <xdr:colOff>723600</xdr:colOff>
      <xdr:row>622</xdr:row>
      <xdr:rowOff>19440</xdr:rowOff>
    </xdr:to>
    <xdr:pic>
      <xdr:nvPicPr>
        <xdr:cNvPr id="333" name="Image 25" descr="Picture"/>
        <xdr:cNvPicPr/>
      </xdr:nvPicPr>
      <xdr:blipFill>
        <a:blip r:embed="rId25"/>
        <a:stretch/>
      </xdr:blipFill>
      <xdr:spPr>
        <a:xfrm>
          <a:off x="0" y="153047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628</xdr:row>
      <xdr:rowOff>57960</xdr:rowOff>
    </xdr:from>
    <xdr:to>
      <xdr:col>0</xdr:col>
      <xdr:colOff>723600</xdr:colOff>
      <xdr:row>630</xdr:row>
      <xdr:rowOff>400320</xdr:rowOff>
    </xdr:to>
    <xdr:pic>
      <xdr:nvPicPr>
        <xdr:cNvPr id="334" name="Image 26" descr="Picture"/>
        <xdr:cNvPicPr/>
      </xdr:nvPicPr>
      <xdr:blipFill>
        <a:blip r:embed="rId26"/>
        <a:stretch/>
      </xdr:blipFill>
      <xdr:spPr>
        <a:xfrm>
          <a:off x="0" y="155733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637</xdr:row>
      <xdr:rowOff>99000</xdr:rowOff>
    </xdr:from>
    <xdr:to>
      <xdr:col>0</xdr:col>
      <xdr:colOff>723600</xdr:colOff>
      <xdr:row>638</xdr:row>
      <xdr:rowOff>632160</xdr:rowOff>
    </xdr:to>
    <xdr:pic>
      <xdr:nvPicPr>
        <xdr:cNvPr id="335" name="Image 27" descr="Picture"/>
        <xdr:cNvPicPr/>
      </xdr:nvPicPr>
      <xdr:blipFill>
        <a:blip r:embed="rId27"/>
        <a:stretch/>
      </xdr:blipFill>
      <xdr:spPr>
        <a:xfrm>
          <a:off x="0" y="158419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641</xdr:row>
      <xdr:rowOff>99000</xdr:rowOff>
    </xdr:from>
    <xdr:to>
      <xdr:col>0</xdr:col>
      <xdr:colOff>723600</xdr:colOff>
      <xdr:row>645</xdr:row>
      <xdr:rowOff>60480</xdr:rowOff>
    </xdr:to>
    <xdr:pic>
      <xdr:nvPicPr>
        <xdr:cNvPr id="336" name="Image 28" descr="Picture"/>
        <xdr:cNvPicPr/>
      </xdr:nvPicPr>
      <xdr:blipFill>
        <a:blip r:embed="rId28"/>
        <a:stretch/>
      </xdr:blipFill>
      <xdr:spPr>
        <a:xfrm>
          <a:off x="0" y="159962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694</xdr:row>
      <xdr:rowOff>142920</xdr:rowOff>
    </xdr:from>
    <xdr:to>
      <xdr:col>0</xdr:col>
      <xdr:colOff>723600</xdr:colOff>
      <xdr:row>696</xdr:row>
      <xdr:rowOff>146520</xdr:rowOff>
    </xdr:to>
    <xdr:pic>
      <xdr:nvPicPr>
        <xdr:cNvPr id="337" name="Image 29" descr="Picture"/>
        <xdr:cNvPicPr/>
      </xdr:nvPicPr>
      <xdr:blipFill>
        <a:blip r:embed="rId29"/>
        <a:stretch/>
      </xdr:blipFill>
      <xdr:spPr>
        <a:xfrm>
          <a:off x="0" y="174650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716</xdr:row>
      <xdr:rowOff>37800</xdr:rowOff>
    </xdr:from>
    <xdr:to>
      <xdr:col>0</xdr:col>
      <xdr:colOff>723600</xdr:colOff>
      <xdr:row>719</xdr:row>
      <xdr:rowOff>20520</xdr:rowOff>
    </xdr:to>
    <xdr:pic>
      <xdr:nvPicPr>
        <xdr:cNvPr id="338" name="Image 30" descr="Picture"/>
        <xdr:cNvPicPr/>
      </xdr:nvPicPr>
      <xdr:blipFill>
        <a:blip r:embed="rId30"/>
        <a:stretch/>
      </xdr:blipFill>
      <xdr:spPr>
        <a:xfrm>
          <a:off x="0" y="180955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720</xdr:row>
      <xdr:rowOff>649800</xdr:rowOff>
    </xdr:from>
    <xdr:to>
      <xdr:col>0</xdr:col>
      <xdr:colOff>723600</xdr:colOff>
      <xdr:row>723</xdr:row>
      <xdr:rowOff>20880</xdr:rowOff>
    </xdr:to>
    <xdr:pic>
      <xdr:nvPicPr>
        <xdr:cNvPr id="339" name="Image 31" descr="Picture"/>
        <xdr:cNvPicPr/>
      </xdr:nvPicPr>
      <xdr:blipFill>
        <a:blip r:embed="rId31"/>
        <a:stretch/>
      </xdr:blipFill>
      <xdr:spPr>
        <a:xfrm>
          <a:off x="0" y="182499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731</xdr:row>
      <xdr:rowOff>59040</xdr:rowOff>
    </xdr:from>
    <xdr:to>
      <xdr:col>0</xdr:col>
      <xdr:colOff>723600</xdr:colOff>
      <xdr:row>735</xdr:row>
      <xdr:rowOff>20520</xdr:rowOff>
    </xdr:to>
    <xdr:pic>
      <xdr:nvPicPr>
        <xdr:cNvPr id="340" name="Image 32" descr="Picture"/>
        <xdr:cNvPicPr/>
      </xdr:nvPicPr>
      <xdr:blipFill>
        <a:blip r:embed="rId32"/>
        <a:stretch/>
      </xdr:blipFill>
      <xdr:spPr>
        <a:xfrm>
          <a:off x="0" y="185375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758</xdr:row>
      <xdr:rowOff>184680</xdr:rowOff>
    </xdr:from>
    <xdr:to>
      <xdr:col>0</xdr:col>
      <xdr:colOff>723600</xdr:colOff>
      <xdr:row>760</xdr:row>
      <xdr:rowOff>188280</xdr:rowOff>
    </xdr:to>
    <xdr:pic>
      <xdr:nvPicPr>
        <xdr:cNvPr id="341" name="Image 33" descr="Picture"/>
        <xdr:cNvPicPr/>
      </xdr:nvPicPr>
      <xdr:blipFill>
        <a:blip r:embed="rId33"/>
        <a:stretch/>
      </xdr:blipFill>
      <xdr:spPr>
        <a:xfrm>
          <a:off x="0" y="192443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765</xdr:row>
      <xdr:rowOff>159840</xdr:rowOff>
    </xdr:from>
    <xdr:to>
      <xdr:col>0</xdr:col>
      <xdr:colOff>723600</xdr:colOff>
      <xdr:row>767</xdr:row>
      <xdr:rowOff>163440</xdr:rowOff>
    </xdr:to>
    <xdr:pic>
      <xdr:nvPicPr>
        <xdr:cNvPr id="342" name="Image 34" descr="Picture"/>
        <xdr:cNvPicPr/>
      </xdr:nvPicPr>
      <xdr:blipFill>
        <a:blip r:embed="rId34"/>
        <a:stretch/>
      </xdr:blipFill>
      <xdr:spPr>
        <a:xfrm>
          <a:off x="0" y="194938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769</xdr:row>
      <xdr:rowOff>263160</xdr:rowOff>
    </xdr:from>
    <xdr:to>
      <xdr:col>0</xdr:col>
      <xdr:colOff>723600</xdr:colOff>
      <xdr:row>771</xdr:row>
      <xdr:rowOff>266400</xdr:rowOff>
    </xdr:to>
    <xdr:pic>
      <xdr:nvPicPr>
        <xdr:cNvPr id="343" name="Image 35" descr="Picture"/>
        <xdr:cNvPicPr/>
      </xdr:nvPicPr>
      <xdr:blipFill>
        <a:blip r:embed="rId35"/>
        <a:stretch/>
      </xdr:blipFill>
      <xdr:spPr>
        <a:xfrm>
          <a:off x="0" y="196481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783</xdr:row>
      <xdr:rowOff>175320</xdr:rowOff>
    </xdr:from>
    <xdr:to>
      <xdr:col>0</xdr:col>
      <xdr:colOff>723600</xdr:colOff>
      <xdr:row>787</xdr:row>
      <xdr:rowOff>136800</xdr:rowOff>
    </xdr:to>
    <xdr:pic>
      <xdr:nvPicPr>
        <xdr:cNvPr id="344" name="Image 36" descr="Picture"/>
        <xdr:cNvPicPr/>
      </xdr:nvPicPr>
      <xdr:blipFill>
        <a:blip r:embed="rId36"/>
        <a:stretch/>
      </xdr:blipFill>
      <xdr:spPr>
        <a:xfrm>
          <a:off x="0" y="199739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809</xdr:row>
      <xdr:rowOff>175320</xdr:rowOff>
    </xdr:from>
    <xdr:to>
      <xdr:col>0</xdr:col>
      <xdr:colOff>723600</xdr:colOff>
      <xdr:row>812</xdr:row>
      <xdr:rowOff>136800</xdr:rowOff>
    </xdr:to>
    <xdr:pic>
      <xdr:nvPicPr>
        <xdr:cNvPr id="345" name="Image 37" descr="Picture"/>
        <xdr:cNvPicPr/>
      </xdr:nvPicPr>
      <xdr:blipFill>
        <a:blip r:embed="rId37"/>
        <a:stretch/>
      </xdr:blipFill>
      <xdr:spPr>
        <a:xfrm>
          <a:off x="0" y="205282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815</xdr:row>
      <xdr:rowOff>45720</xdr:rowOff>
    </xdr:from>
    <xdr:to>
      <xdr:col>0</xdr:col>
      <xdr:colOff>723600</xdr:colOff>
      <xdr:row>817</xdr:row>
      <xdr:rowOff>48960</xdr:rowOff>
    </xdr:to>
    <xdr:pic>
      <xdr:nvPicPr>
        <xdr:cNvPr id="346" name="Image 38" descr="Picture"/>
        <xdr:cNvPicPr/>
      </xdr:nvPicPr>
      <xdr:blipFill>
        <a:blip r:embed="rId38"/>
        <a:stretch/>
      </xdr:blipFill>
      <xdr:spPr>
        <a:xfrm>
          <a:off x="0" y="206825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833</xdr:row>
      <xdr:rowOff>101520</xdr:rowOff>
    </xdr:from>
    <xdr:to>
      <xdr:col>0</xdr:col>
      <xdr:colOff>723600</xdr:colOff>
      <xdr:row>835</xdr:row>
      <xdr:rowOff>105120</xdr:rowOff>
    </xdr:to>
    <xdr:pic>
      <xdr:nvPicPr>
        <xdr:cNvPr id="347" name="Image 39" descr="Picture"/>
        <xdr:cNvPicPr/>
      </xdr:nvPicPr>
      <xdr:blipFill>
        <a:blip r:embed="rId39"/>
        <a:stretch/>
      </xdr:blipFill>
      <xdr:spPr>
        <a:xfrm>
          <a:off x="0" y="213702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842</xdr:row>
      <xdr:rowOff>524520</xdr:rowOff>
    </xdr:from>
    <xdr:to>
      <xdr:col>0</xdr:col>
      <xdr:colOff>723600</xdr:colOff>
      <xdr:row>844</xdr:row>
      <xdr:rowOff>276480</xdr:rowOff>
    </xdr:to>
    <xdr:pic>
      <xdr:nvPicPr>
        <xdr:cNvPr id="348" name="Image 40" descr="Picture"/>
        <xdr:cNvPicPr/>
      </xdr:nvPicPr>
      <xdr:blipFill>
        <a:blip r:embed="rId40"/>
        <a:stretch/>
      </xdr:blipFill>
      <xdr:spPr>
        <a:xfrm>
          <a:off x="0" y="216770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853</xdr:row>
      <xdr:rowOff>15840</xdr:rowOff>
    </xdr:from>
    <xdr:to>
      <xdr:col>0</xdr:col>
      <xdr:colOff>723600</xdr:colOff>
      <xdr:row>853</xdr:row>
      <xdr:rowOff>739440</xdr:rowOff>
    </xdr:to>
    <xdr:pic>
      <xdr:nvPicPr>
        <xdr:cNvPr id="349" name="Image 41" descr="Picture"/>
        <xdr:cNvPicPr/>
      </xdr:nvPicPr>
      <xdr:blipFill>
        <a:blip r:embed="rId41"/>
        <a:stretch/>
      </xdr:blipFill>
      <xdr:spPr>
        <a:xfrm>
          <a:off x="0" y="219646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867</xdr:row>
      <xdr:rowOff>15840</xdr:rowOff>
    </xdr:from>
    <xdr:to>
      <xdr:col>0</xdr:col>
      <xdr:colOff>723600</xdr:colOff>
      <xdr:row>870</xdr:row>
      <xdr:rowOff>168120</xdr:rowOff>
    </xdr:to>
    <xdr:pic>
      <xdr:nvPicPr>
        <xdr:cNvPr id="350" name="Image 42" descr="Picture"/>
        <xdr:cNvPicPr/>
      </xdr:nvPicPr>
      <xdr:blipFill>
        <a:blip r:embed="rId42"/>
        <a:stretch/>
      </xdr:blipFill>
      <xdr:spPr>
        <a:xfrm>
          <a:off x="0" y="223094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880</xdr:row>
      <xdr:rowOff>77040</xdr:rowOff>
    </xdr:from>
    <xdr:to>
      <xdr:col>0</xdr:col>
      <xdr:colOff>723600</xdr:colOff>
      <xdr:row>884</xdr:row>
      <xdr:rowOff>38520</xdr:rowOff>
    </xdr:to>
    <xdr:pic>
      <xdr:nvPicPr>
        <xdr:cNvPr id="351" name="Image 43" descr="Picture"/>
        <xdr:cNvPicPr/>
      </xdr:nvPicPr>
      <xdr:blipFill>
        <a:blip r:embed="rId43"/>
        <a:stretch/>
      </xdr:blipFill>
      <xdr:spPr>
        <a:xfrm>
          <a:off x="0" y="225971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890</xdr:row>
      <xdr:rowOff>77040</xdr:rowOff>
    </xdr:from>
    <xdr:to>
      <xdr:col>0</xdr:col>
      <xdr:colOff>723600</xdr:colOff>
      <xdr:row>894</xdr:row>
      <xdr:rowOff>38520</xdr:rowOff>
    </xdr:to>
    <xdr:pic>
      <xdr:nvPicPr>
        <xdr:cNvPr id="352" name="Image 44" descr="Picture"/>
        <xdr:cNvPicPr/>
      </xdr:nvPicPr>
      <xdr:blipFill>
        <a:blip r:embed="rId44"/>
        <a:stretch/>
      </xdr:blipFill>
      <xdr:spPr>
        <a:xfrm>
          <a:off x="0" y="228657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921</xdr:row>
      <xdr:rowOff>143640</xdr:rowOff>
    </xdr:from>
    <xdr:to>
      <xdr:col>0</xdr:col>
      <xdr:colOff>723600</xdr:colOff>
      <xdr:row>925</xdr:row>
      <xdr:rowOff>105120</xdr:rowOff>
    </xdr:to>
    <xdr:pic>
      <xdr:nvPicPr>
        <xdr:cNvPr id="353" name="Image 45" descr="Picture"/>
        <xdr:cNvPicPr/>
      </xdr:nvPicPr>
      <xdr:blipFill>
        <a:blip r:embed="rId45"/>
        <a:stretch/>
      </xdr:blipFill>
      <xdr:spPr>
        <a:xfrm>
          <a:off x="0" y="237629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933</xdr:row>
      <xdr:rowOff>329760</xdr:rowOff>
    </xdr:from>
    <xdr:to>
      <xdr:col>0</xdr:col>
      <xdr:colOff>723600</xdr:colOff>
      <xdr:row>935</xdr:row>
      <xdr:rowOff>333000</xdr:rowOff>
    </xdr:to>
    <xdr:pic>
      <xdr:nvPicPr>
        <xdr:cNvPr id="354" name="Image 46" descr="Picture"/>
        <xdr:cNvPicPr/>
      </xdr:nvPicPr>
      <xdr:blipFill>
        <a:blip r:embed="rId46"/>
        <a:stretch/>
      </xdr:blipFill>
      <xdr:spPr>
        <a:xfrm>
          <a:off x="0" y="241458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938</xdr:row>
      <xdr:rowOff>411480</xdr:rowOff>
    </xdr:from>
    <xdr:to>
      <xdr:col>0</xdr:col>
      <xdr:colOff>723600</xdr:colOff>
      <xdr:row>940</xdr:row>
      <xdr:rowOff>163440</xdr:rowOff>
    </xdr:to>
    <xdr:pic>
      <xdr:nvPicPr>
        <xdr:cNvPr id="355" name="Image 47" descr="Picture"/>
        <xdr:cNvPicPr/>
      </xdr:nvPicPr>
      <xdr:blipFill>
        <a:blip r:embed="rId47"/>
        <a:stretch/>
      </xdr:blipFill>
      <xdr:spPr>
        <a:xfrm>
          <a:off x="0" y="243001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1008</xdr:row>
      <xdr:rowOff>30600</xdr:rowOff>
    </xdr:from>
    <xdr:to>
      <xdr:col>0</xdr:col>
      <xdr:colOff>723600</xdr:colOff>
      <xdr:row>1011</xdr:row>
      <xdr:rowOff>182520</xdr:rowOff>
    </xdr:to>
    <xdr:pic>
      <xdr:nvPicPr>
        <xdr:cNvPr id="356" name="Image 48" descr="Picture"/>
        <xdr:cNvPicPr/>
      </xdr:nvPicPr>
      <xdr:blipFill>
        <a:blip r:embed="rId48"/>
        <a:stretch/>
      </xdr:blipFill>
      <xdr:spPr>
        <a:xfrm>
          <a:off x="0" y="263404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1021</xdr:row>
      <xdr:rowOff>30600</xdr:rowOff>
    </xdr:from>
    <xdr:to>
      <xdr:col>0</xdr:col>
      <xdr:colOff>723600</xdr:colOff>
      <xdr:row>1023</xdr:row>
      <xdr:rowOff>373320</xdr:rowOff>
    </xdr:to>
    <xdr:pic>
      <xdr:nvPicPr>
        <xdr:cNvPr id="357" name="Image 49" descr="Picture"/>
        <xdr:cNvPicPr/>
      </xdr:nvPicPr>
      <xdr:blipFill>
        <a:blip r:embed="rId49"/>
        <a:stretch/>
      </xdr:blipFill>
      <xdr:spPr>
        <a:xfrm>
          <a:off x="0" y="266662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1046</xdr:row>
      <xdr:rowOff>498960</xdr:rowOff>
    </xdr:from>
    <xdr:to>
      <xdr:col>0</xdr:col>
      <xdr:colOff>723600</xdr:colOff>
      <xdr:row>1047</xdr:row>
      <xdr:rowOff>521640</xdr:rowOff>
    </xdr:to>
    <xdr:pic>
      <xdr:nvPicPr>
        <xdr:cNvPr id="358" name="Image 50" descr="Picture"/>
        <xdr:cNvPicPr/>
      </xdr:nvPicPr>
      <xdr:blipFill>
        <a:blip r:embed="rId50"/>
        <a:stretch/>
      </xdr:blipFill>
      <xdr:spPr>
        <a:xfrm>
          <a:off x="0" y="277539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1055</xdr:row>
      <xdr:rowOff>495000</xdr:rowOff>
    </xdr:from>
    <xdr:to>
      <xdr:col>0</xdr:col>
      <xdr:colOff>723600</xdr:colOff>
      <xdr:row>1057</xdr:row>
      <xdr:rowOff>158400</xdr:rowOff>
    </xdr:to>
    <xdr:pic>
      <xdr:nvPicPr>
        <xdr:cNvPr id="359" name="Image 51" descr="Picture"/>
        <xdr:cNvPicPr/>
      </xdr:nvPicPr>
      <xdr:blipFill>
        <a:blip r:embed="rId51"/>
        <a:stretch/>
      </xdr:blipFill>
      <xdr:spPr>
        <a:xfrm>
          <a:off x="0" y="283844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1062</xdr:row>
      <xdr:rowOff>41400</xdr:rowOff>
    </xdr:from>
    <xdr:to>
      <xdr:col>0</xdr:col>
      <xdr:colOff>723600</xdr:colOff>
      <xdr:row>1063</xdr:row>
      <xdr:rowOff>234720</xdr:rowOff>
    </xdr:to>
    <xdr:pic>
      <xdr:nvPicPr>
        <xdr:cNvPr id="360" name="Image 52" descr="Picture"/>
        <xdr:cNvPicPr/>
      </xdr:nvPicPr>
      <xdr:blipFill>
        <a:blip r:embed="rId52"/>
        <a:stretch/>
      </xdr:blipFill>
      <xdr:spPr>
        <a:xfrm>
          <a:off x="0" y="287102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1099</xdr:row>
      <xdr:rowOff>76680</xdr:rowOff>
    </xdr:from>
    <xdr:to>
      <xdr:col>0</xdr:col>
      <xdr:colOff>723600</xdr:colOff>
      <xdr:row>1102</xdr:row>
      <xdr:rowOff>38520</xdr:rowOff>
    </xdr:to>
    <xdr:pic>
      <xdr:nvPicPr>
        <xdr:cNvPr id="361" name="Image 53" descr="Picture"/>
        <xdr:cNvPicPr/>
      </xdr:nvPicPr>
      <xdr:blipFill>
        <a:blip r:embed="rId53"/>
        <a:stretch/>
      </xdr:blipFill>
      <xdr:spPr>
        <a:xfrm>
          <a:off x="0" y="299885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1117</xdr:row>
      <xdr:rowOff>95760</xdr:rowOff>
    </xdr:from>
    <xdr:to>
      <xdr:col>0</xdr:col>
      <xdr:colOff>723600</xdr:colOff>
      <xdr:row>1121</xdr:row>
      <xdr:rowOff>57240</xdr:rowOff>
    </xdr:to>
    <xdr:pic>
      <xdr:nvPicPr>
        <xdr:cNvPr id="362" name="Image 54" descr="Picture"/>
        <xdr:cNvPicPr/>
      </xdr:nvPicPr>
      <xdr:blipFill>
        <a:blip r:embed="rId54"/>
        <a:stretch/>
      </xdr:blipFill>
      <xdr:spPr>
        <a:xfrm>
          <a:off x="0" y="303523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1125</xdr:row>
      <xdr:rowOff>115200</xdr:rowOff>
    </xdr:from>
    <xdr:to>
      <xdr:col>0</xdr:col>
      <xdr:colOff>723600</xdr:colOff>
      <xdr:row>1129</xdr:row>
      <xdr:rowOff>76680</xdr:rowOff>
    </xdr:to>
    <xdr:pic>
      <xdr:nvPicPr>
        <xdr:cNvPr id="363" name="Image 55" descr="Picture"/>
        <xdr:cNvPicPr/>
      </xdr:nvPicPr>
      <xdr:blipFill>
        <a:blip r:embed="rId55"/>
        <a:stretch/>
      </xdr:blipFill>
      <xdr:spPr>
        <a:xfrm>
          <a:off x="0" y="305066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1133</xdr:row>
      <xdr:rowOff>133920</xdr:rowOff>
    </xdr:from>
    <xdr:to>
      <xdr:col>0</xdr:col>
      <xdr:colOff>723600</xdr:colOff>
      <xdr:row>1137</xdr:row>
      <xdr:rowOff>95760</xdr:rowOff>
    </xdr:to>
    <xdr:pic>
      <xdr:nvPicPr>
        <xdr:cNvPr id="364" name="Image 56" descr="Picture"/>
        <xdr:cNvPicPr/>
      </xdr:nvPicPr>
      <xdr:blipFill>
        <a:blip r:embed="rId56"/>
        <a:stretch/>
      </xdr:blipFill>
      <xdr:spPr>
        <a:xfrm>
          <a:off x="0" y="306609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1156</xdr:row>
      <xdr:rowOff>153360</xdr:rowOff>
    </xdr:from>
    <xdr:to>
      <xdr:col>0</xdr:col>
      <xdr:colOff>723600</xdr:colOff>
      <xdr:row>1160</xdr:row>
      <xdr:rowOff>114840</xdr:rowOff>
    </xdr:to>
    <xdr:pic>
      <xdr:nvPicPr>
        <xdr:cNvPr id="365" name="Image 57" descr="Picture"/>
        <xdr:cNvPicPr/>
      </xdr:nvPicPr>
      <xdr:blipFill>
        <a:blip r:embed="rId57"/>
        <a:stretch/>
      </xdr:blipFill>
      <xdr:spPr>
        <a:xfrm>
          <a:off x="0" y="311010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1181</xdr:row>
      <xdr:rowOff>172080</xdr:rowOff>
    </xdr:from>
    <xdr:to>
      <xdr:col>0</xdr:col>
      <xdr:colOff>723600</xdr:colOff>
      <xdr:row>1185</xdr:row>
      <xdr:rowOff>133920</xdr:rowOff>
    </xdr:to>
    <xdr:pic>
      <xdr:nvPicPr>
        <xdr:cNvPr id="366" name="Image 58" descr="Picture"/>
        <xdr:cNvPicPr/>
      </xdr:nvPicPr>
      <xdr:blipFill>
        <a:blip r:embed="rId58"/>
        <a:stretch/>
      </xdr:blipFill>
      <xdr:spPr>
        <a:xfrm>
          <a:off x="0" y="315792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1212</xdr:row>
      <xdr:rowOff>2520</xdr:rowOff>
    </xdr:from>
    <xdr:to>
      <xdr:col>0</xdr:col>
      <xdr:colOff>723600</xdr:colOff>
      <xdr:row>1213</xdr:row>
      <xdr:rowOff>535680</xdr:rowOff>
    </xdr:to>
    <xdr:pic>
      <xdr:nvPicPr>
        <xdr:cNvPr id="367" name="Image 59" descr="Picture"/>
        <xdr:cNvPicPr/>
      </xdr:nvPicPr>
      <xdr:blipFill>
        <a:blip r:embed="rId59"/>
        <a:stretch/>
      </xdr:blipFill>
      <xdr:spPr>
        <a:xfrm>
          <a:off x="0" y="322478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1217</xdr:row>
      <xdr:rowOff>2520</xdr:rowOff>
    </xdr:from>
    <xdr:to>
      <xdr:col>0</xdr:col>
      <xdr:colOff>723600</xdr:colOff>
      <xdr:row>1220</xdr:row>
      <xdr:rowOff>154800</xdr:rowOff>
    </xdr:to>
    <xdr:pic>
      <xdr:nvPicPr>
        <xdr:cNvPr id="368" name="Image 60" descr="Picture"/>
        <xdr:cNvPicPr/>
      </xdr:nvPicPr>
      <xdr:blipFill>
        <a:blip r:embed="rId60"/>
        <a:stretch/>
      </xdr:blipFill>
      <xdr:spPr>
        <a:xfrm>
          <a:off x="0" y="324212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1232</xdr:row>
      <xdr:rowOff>21600</xdr:rowOff>
    </xdr:from>
    <xdr:to>
      <xdr:col>0</xdr:col>
      <xdr:colOff>723600</xdr:colOff>
      <xdr:row>1235</xdr:row>
      <xdr:rowOff>173520</xdr:rowOff>
    </xdr:to>
    <xdr:pic>
      <xdr:nvPicPr>
        <xdr:cNvPr id="369" name="Image 61" descr="Picture"/>
        <xdr:cNvPicPr/>
      </xdr:nvPicPr>
      <xdr:blipFill>
        <a:blip r:embed="rId61"/>
        <a:stretch/>
      </xdr:blipFill>
      <xdr:spPr>
        <a:xfrm>
          <a:off x="0" y="327088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1253</xdr:row>
      <xdr:rowOff>61560</xdr:rowOff>
    </xdr:from>
    <xdr:to>
      <xdr:col>0</xdr:col>
      <xdr:colOff>723600</xdr:colOff>
      <xdr:row>1257</xdr:row>
      <xdr:rowOff>23400</xdr:rowOff>
    </xdr:to>
    <xdr:pic>
      <xdr:nvPicPr>
        <xdr:cNvPr id="370" name="Image 62" descr="Picture"/>
        <xdr:cNvPicPr/>
      </xdr:nvPicPr>
      <xdr:blipFill>
        <a:blip r:embed="rId62"/>
        <a:stretch/>
      </xdr:blipFill>
      <xdr:spPr>
        <a:xfrm>
          <a:off x="0" y="331298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1269</xdr:row>
      <xdr:rowOff>82440</xdr:rowOff>
    </xdr:from>
    <xdr:to>
      <xdr:col>0</xdr:col>
      <xdr:colOff>723600</xdr:colOff>
      <xdr:row>1273</xdr:row>
      <xdr:rowOff>43920</xdr:rowOff>
    </xdr:to>
    <xdr:pic>
      <xdr:nvPicPr>
        <xdr:cNvPr id="371" name="Image 63" descr="Picture"/>
        <xdr:cNvPicPr/>
      </xdr:nvPicPr>
      <xdr:blipFill>
        <a:blip r:embed="rId63"/>
        <a:stretch/>
      </xdr:blipFill>
      <xdr:spPr>
        <a:xfrm>
          <a:off x="0" y="335318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1283</xdr:row>
      <xdr:rowOff>101520</xdr:rowOff>
    </xdr:from>
    <xdr:to>
      <xdr:col>0</xdr:col>
      <xdr:colOff>723600</xdr:colOff>
      <xdr:row>1286</xdr:row>
      <xdr:rowOff>83880</xdr:rowOff>
    </xdr:to>
    <xdr:pic>
      <xdr:nvPicPr>
        <xdr:cNvPr id="372" name="Image 64" descr="Picture"/>
        <xdr:cNvPicPr/>
      </xdr:nvPicPr>
      <xdr:blipFill>
        <a:blip r:embed="rId64"/>
        <a:stretch/>
      </xdr:blipFill>
      <xdr:spPr>
        <a:xfrm>
          <a:off x="0" y="338004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1297</xdr:row>
      <xdr:rowOff>164520</xdr:rowOff>
    </xdr:from>
    <xdr:to>
      <xdr:col>0</xdr:col>
      <xdr:colOff>723600</xdr:colOff>
      <xdr:row>1300</xdr:row>
      <xdr:rowOff>126360</xdr:rowOff>
    </xdr:to>
    <xdr:pic>
      <xdr:nvPicPr>
        <xdr:cNvPr id="373" name="Image 65" descr="Picture"/>
        <xdr:cNvPicPr/>
      </xdr:nvPicPr>
      <xdr:blipFill>
        <a:blip r:embed="rId65"/>
        <a:stretch/>
      </xdr:blipFill>
      <xdr:spPr>
        <a:xfrm>
          <a:off x="0" y="341833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1308</xdr:row>
      <xdr:rowOff>564480</xdr:rowOff>
    </xdr:from>
    <xdr:to>
      <xdr:col>0</xdr:col>
      <xdr:colOff>723600</xdr:colOff>
      <xdr:row>1310</xdr:row>
      <xdr:rowOff>316440</xdr:rowOff>
    </xdr:to>
    <xdr:pic>
      <xdr:nvPicPr>
        <xdr:cNvPr id="374" name="Image 66" descr="Picture"/>
        <xdr:cNvPicPr/>
      </xdr:nvPicPr>
      <xdr:blipFill>
        <a:blip r:embed="rId66"/>
        <a:stretch/>
      </xdr:blipFill>
      <xdr:spPr>
        <a:xfrm>
          <a:off x="0" y="344519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1320</xdr:row>
      <xdr:rowOff>77040</xdr:rowOff>
    </xdr:from>
    <xdr:to>
      <xdr:col>0</xdr:col>
      <xdr:colOff>723600</xdr:colOff>
      <xdr:row>1324</xdr:row>
      <xdr:rowOff>38520</xdr:rowOff>
    </xdr:to>
    <xdr:pic>
      <xdr:nvPicPr>
        <xdr:cNvPr id="375" name="Image 67" descr="Picture"/>
        <xdr:cNvPicPr/>
      </xdr:nvPicPr>
      <xdr:blipFill>
        <a:blip r:embed="rId67"/>
        <a:stretch/>
      </xdr:blipFill>
      <xdr:spPr>
        <a:xfrm>
          <a:off x="0" y="3477769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1454</xdr:row>
      <xdr:rowOff>240480</xdr:rowOff>
    </xdr:from>
    <xdr:to>
      <xdr:col>0</xdr:col>
      <xdr:colOff>723600</xdr:colOff>
      <xdr:row>1455</xdr:row>
      <xdr:rowOff>434160</xdr:rowOff>
    </xdr:to>
    <xdr:pic>
      <xdr:nvPicPr>
        <xdr:cNvPr id="376" name="Image 68" descr="Picture"/>
        <xdr:cNvPicPr/>
      </xdr:nvPicPr>
      <xdr:blipFill>
        <a:blip r:embed="rId68"/>
        <a:stretch/>
      </xdr:blipFill>
      <xdr:spPr>
        <a:xfrm>
          <a:off x="0" y="386086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1461</xdr:row>
      <xdr:rowOff>167400</xdr:rowOff>
    </xdr:from>
    <xdr:to>
      <xdr:col>0</xdr:col>
      <xdr:colOff>723600</xdr:colOff>
      <xdr:row>1462</xdr:row>
      <xdr:rowOff>361080</xdr:rowOff>
    </xdr:to>
    <xdr:pic>
      <xdr:nvPicPr>
        <xdr:cNvPr id="377" name="Image 69" descr="Picture"/>
        <xdr:cNvPicPr/>
      </xdr:nvPicPr>
      <xdr:blipFill>
        <a:blip r:embed="rId69"/>
        <a:stretch/>
      </xdr:blipFill>
      <xdr:spPr>
        <a:xfrm>
          <a:off x="0" y="389724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1483</xdr:row>
      <xdr:rowOff>164880</xdr:rowOff>
    </xdr:from>
    <xdr:to>
      <xdr:col>0</xdr:col>
      <xdr:colOff>723600</xdr:colOff>
      <xdr:row>1484</xdr:row>
      <xdr:rowOff>698040</xdr:rowOff>
    </xdr:to>
    <xdr:pic>
      <xdr:nvPicPr>
        <xdr:cNvPr id="378" name="Image 70" descr="Picture"/>
        <xdr:cNvPicPr/>
      </xdr:nvPicPr>
      <xdr:blipFill>
        <a:blip r:embed="rId70"/>
        <a:stretch/>
      </xdr:blipFill>
      <xdr:spPr>
        <a:xfrm>
          <a:off x="0" y="396982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1503</xdr:row>
      <xdr:rowOff>137880</xdr:rowOff>
    </xdr:from>
    <xdr:to>
      <xdr:col>0</xdr:col>
      <xdr:colOff>723600</xdr:colOff>
      <xdr:row>1506</xdr:row>
      <xdr:rowOff>99720</xdr:rowOff>
    </xdr:to>
    <xdr:pic>
      <xdr:nvPicPr>
        <xdr:cNvPr id="379" name="Image 71" descr="Picture"/>
        <xdr:cNvPicPr/>
      </xdr:nvPicPr>
      <xdr:blipFill>
        <a:blip r:embed="rId71"/>
        <a:stretch/>
      </xdr:blipFill>
      <xdr:spPr>
        <a:xfrm>
          <a:off x="0" y="405193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1510</xdr:row>
      <xdr:rowOff>156960</xdr:rowOff>
    </xdr:from>
    <xdr:to>
      <xdr:col>0</xdr:col>
      <xdr:colOff>723600</xdr:colOff>
      <xdr:row>1514</xdr:row>
      <xdr:rowOff>118440</xdr:rowOff>
    </xdr:to>
    <xdr:pic>
      <xdr:nvPicPr>
        <xdr:cNvPr id="380" name="Image 72" descr="Picture"/>
        <xdr:cNvPicPr/>
      </xdr:nvPicPr>
      <xdr:blipFill>
        <a:blip r:embed="rId72"/>
        <a:stretch/>
      </xdr:blipFill>
      <xdr:spPr>
        <a:xfrm>
          <a:off x="0" y="406736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1520</xdr:row>
      <xdr:rowOff>156960</xdr:rowOff>
    </xdr:from>
    <xdr:to>
      <xdr:col>0</xdr:col>
      <xdr:colOff>723600</xdr:colOff>
      <xdr:row>1523</xdr:row>
      <xdr:rowOff>118440</xdr:rowOff>
    </xdr:to>
    <xdr:pic>
      <xdr:nvPicPr>
        <xdr:cNvPr id="381" name="Image 73" descr="Picture"/>
        <xdr:cNvPicPr/>
      </xdr:nvPicPr>
      <xdr:blipFill>
        <a:blip r:embed="rId73"/>
        <a:stretch/>
      </xdr:blipFill>
      <xdr:spPr>
        <a:xfrm>
          <a:off x="0" y="409232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1561</xdr:row>
      <xdr:rowOff>118800</xdr:rowOff>
    </xdr:from>
    <xdr:to>
      <xdr:col>0</xdr:col>
      <xdr:colOff>723600</xdr:colOff>
      <xdr:row>1565</xdr:row>
      <xdr:rowOff>80280</xdr:rowOff>
    </xdr:to>
    <xdr:pic>
      <xdr:nvPicPr>
        <xdr:cNvPr id="382" name="Image 74" descr="Picture"/>
        <xdr:cNvPicPr/>
      </xdr:nvPicPr>
      <xdr:blipFill>
        <a:blip r:embed="rId74"/>
        <a:stretch/>
      </xdr:blipFill>
      <xdr:spPr>
        <a:xfrm>
          <a:off x="0" y="419538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1632</xdr:row>
      <xdr:rowOff>118800</xdr:rowOff>
    </xdr:from>
    <xdr:to>
      <xdr:col>0</xdr:col>
      <xdr:colOff>723600</xdr:colOff>
      <xdr:row>1636</xdr:row>
      <xdr:rowOff>80280</xdr:rowOff>
    </xdr:to>
    <xdr:pic>
      <xdr:nvPicPr>
        <xdr:cNvPr id="383" name="Image 75" descr="Picture"/>
        <xdr:cNvPicPr/>
      </xdr:nvPicPr>
      <xdr:blipFill>
        <a:blip r:embed="rId75"/>
        <a:stretch/>
      </xdr:blipFill>
      <xdr:spPr>
        <a:xfrm>
          <a:off x="0" y="433844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1651</xdr:row>
      <xdr:rowOff>137880</xdr:rowOff>
    </xdr:from>
    <xdr:to>
      <xdr:col>0</xdr:col>
      <xdr:colOff>723600</xdr:colOff>
      <xdr:row>1655</xdr:row>
      <xdr:rowOff>99360</xdr:rowOff>
    </xdr:to>
    <xdr:pic>
      <xdr:nvPicPr>
        <xdr:cNvPr id="384" name="Image 76" descr="Picture"/>
        <xdr:cNvPicPr/>
      </xdr:nvPicPr>
      <xdr:blipFill>
        <a:blip r:embed="rId76"/>
        <a:stretch/>
      </xdr:blipFill>
      <xdr:spPr>
        <a:xfrm>
          <a:off x="0" y="437483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1696</xdr:row>
      <xdr:rowOff>278640</xdr:rowOff>
    </xdr:from>
    <xdr:to>
      <xdr:col>0</xdr:col>
      <xdr:colOff>723600</xdr:colOff>
      <xdr:row>1698</xdr:row>
      <xdr:rowOff>282240</xdr:rowOff>
    </xdr:to>
    <xdr:pic>
      <xdr:nvPicPr>
        <xdr:cNvPr id="385" name="Image 77" descr="Picture"/>
        <xdr:cNvPicPr/>
      </xdr:nvPicPr>
      <xdr:blipFill>
        <a:blip r:embed="rId77"/>
        <a:stretch/>
      </xdr:blipFill>
      <xdr:spPr>
        <a:xfrm>
          <a:off x="0" y="450265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1715</xdr:row>
      <xdr:rowOff>315000</xdr:rowOff>
    </xdr:from>
    <xdr:to>
      <xdr:col>0</xdr:col>
      <xdr:colOff>723600</xdr:colOff>
      <xdr:row>1717</xdr:row>
      <xdr:rowOff>318240</xdr:rowOff>
    </xdr:to>
    <xdr:pic>
      <xdr:nvPicPr>
        <xdr:cNvPr id="386" name="Image 78" descr="Picture"/>
        <xdr:cNvPicPr/>
      </xdr:nvPicPr>
      <xdr:blipFill>
        <a:blip r:embed="rId78"/>
        <a:stretch/>
      </xdr:blipFill>
      <xdr:spPr>
        <a:xfrm>
          <a:off x="0" y="457142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1740</xdr:row>
      <xdr:rowOff>99720</xdr:rowOff>
    </xdr:from>
    <xdr:to>
      <xdr:col>0</xdr:col>
      <xdr:colOff>723600</xdr:colOff>
      <xdr:row>1744</xdr:row>
      <xdr:rowOff>61200</xdr:rowOff>
    </xdr:to>
    <xdr:pic>
      <xdr:nvPicPr>
        <xdr:cNvPr id="387" name="Image 79" descr="Picture"/>
        <xdr:cNvPicPr/>
      </xdr:nvPicPr>
      <xdr:blipFill>
        <a:blip r:embed="rId79"/>
        <a:stretch/>
      </xdr:blipFill>
      <xdr:spPr>
        <a:xfrm>
          <a:off x="0" y="462876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1757</xdr:row>
      <xdr:rowOff>139680</xdr:rowOff>
    </xdr:from>
    <xdr:to>
      <xdr:col>0</xdr:col>
      <xdr:colOff>723600</xdr:colOff>
      <xdr:row>1759</xdr:row>
      <xdr:rowOff>143280</xdr:rowOff>
    </xdr:to>
    <xdr:pic>
      <xdr:nvPicPr>
        <xdr:cNvPr id="388" name="Image 80" descr="Picture"/>
        <xdr:cNvPicPr/>
      </xdr:nvPicPr>
      <xdr:blipFill>
        <a:blip r:embed="rId80"/>
        <a:stretch/>
      </xdr:blipFill>
      <xdr:spPr>
        <a:xfrm>
          <a:off x="0" y="4663249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1818</xdr:row>
      <xdr:rowOff>78480</xdr:rowOff>
    </xdr:from>
    <xdr:to>
      <xdr:col>0</xdr:col>
      <xdr:colOff>723600</xdr:colOff>
      <xdr:row>1821</xdr:row>
      <xdr:rowOff>230760</xdr:rowOff>
    </xdr:to>
    <xdr:pic>
      <xdr:nvPicPr>
        <xdr:cNvPr id="389" name="Image 81" descr="Picture"/>
        <xdr:cNvPicPr/>
      </xdr:nvPicPr>
      <xdr:blipFill>
        <a:blip r:embed="rId81"/>
        <a:stretch/>
      </xdr:blipFill>
      <xdr:spPr>
        <a:xfrm>
          <a:off x="0" y="481583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2082</xdr:row>
      <xdr:rowOff>268560</xdr:rowOff>
    </xdr:from>
    <xdr:to>
      <xdr:col>0</xdr:col>
      <xdr:colOff>723600</xdr:colOff>
      <xdr:row>2084</xdr:row>
      <xdr:rowOff>272160</xdr:rowOff>
    </xdr:to>
    <xdr:pic>
      <xdr:nvPicPr>
        <xdr:cNvPr id="390" name="Image 82" descr="Picture"/>
        <xdr:cNvPicPr/>
      </xdr:nvPicPr>
      <xdr:blipFill>
        <a:blip r:embed="rId82"/>
        <a:stretch/>
      </xdr:blipFill>
      <xdr:spPr>
        <a:xfrm>
          <a:off x="0" y="569423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723600</xdr:colOff>
      <xdr:row>0</xdr:row>
      <xdr:rowOff>723600</xdr:rowOff>
    </xdr:to>
    <xdr:pic>
      <xdr:nvPicPr>
        <xdr:cNvPr id="391" name="Image 1" descr="Picture"/>
        <xdr:cNvPicPr/>
      </xdr:nvPicPr>
      <xdr:blipFill>
        <a:blip r:embed="rId1"/>
        <a:stretch/>
      </xdr:blipFill>
      <xdr:spPr>
        <a:xfrm>
          <a:off x="0" y="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723600</xdr:colOff>
      <xdr:row>229</xdr:row>
      <xdr:rowOff>723600</xdr:rowOff>
    </xdr:to>
    <xdr:pic>
      <xdr:nvPicPr>
        <xdr:cNvPr id="392" name="Image 2" descr="Picture"/>
        <xdr:cNvPicPr/>
      </xdr:nvPicPr>
      <xdr:blipFill>
        <a:blip r:embed="rId2"/>
        <a:stretch/>
      </xdr:blipFill>
      <xdr:spPr>
        <a:xfrm>
          <a:off x="0" y="44405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501</xdr:row>
      <xdr:rowOff>0</xdr:rowOff>
    </xdr:from>
    <xdr:to>
      <xdr:col>0</xdr:col>
      <xdr:colOff>723600</xdr:colOff>
      <xdr:row>501</xdr:row>
      <xdr:rowOff>723600</xdr:rowOff>
    </xdr:to>
    <xdr:pic>
      <xdr:nvPicPr>
        <xdr:cNvPr id="393" name="Image 3" descr="Picture"/>
        <xdr:cNvPicPr/>
      </xdr:nvPicPr>
      <xdr:blipFill>
        <a:blip r:embed="rId3"/>
        <a:stretch/>
      </xdr:blipFill>
      <xdr:spPr>
        <a:xfrm>
          <a:off x="0" y="97002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582</xdr:row>
      <xdr:rowOff>0</xdr:rowOff>
    </xdr:from>
    <xdr:to>
      <xdr:col>0</xdr:col>
      <xdr:colOff>723600</xdr:colOff>
      <xdr:row>582</xdr:row>
      <xdr:rowOff>723600</xdr:rowOff>
    </xdr:to>
    <xdr:pic>
      <xdr:nvPicPr>
        <xdr:cNvPr id="394" name="Image 4" descr="Picture"/>
        <xdr:cNvPicPr/>
      </xdr:nvPicPr>
      <xdr:blipFill>
        <a:blip r:embed="rId4"/>
        <a:stretch/>
      </xdr:blipFill>
      <xdr:spPr>
        <a:xfrm>
          <a:off x="0" y="113214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827</xdr:row>
      <xdr:rowOff>0</xdr:rowOff>
    </xdr:from>
    <xdr:to>
      <xdr:col>0</xdr:col>
      <xdr:colOff>723600</xdr:colOff>
      <xdr:row>827</xdr:row>
      <xdr:rowOff>723600</xdr:rowOff>
    </xdr:to>
    <xdr:pic>
      <xdr:nvPicPr>
        <xdr:cNvPr id="395" name="Image 5" descr="Picture"/>
        <xdr:cNvPicPr/>
      </xdr:nvPicPr>
      <xdr:blipFill>
        <a:blip r:embed="rId5"/>
        <a:stretch/>
      </xdr:blipFill>
      <xdr:spPr>
        <a:xfrm>
          <a:off x="0" y="160667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991</xdr:row>
      <xdr:rowOff>0</xdr:rowOff>
    </xdr:from>
    <xdr:to>
      <xdr:col>0</xdr:col>
      <xdr:colOff>723600</xdr:colOff>
      <xdr:row>991</xdr:row>
      <xdr:rowOff>723600</xdr:rowOff>
    </xdr:to>
    <xdr:pic>
      <xdr:nvPicPr>
        <xdr:cNvPr id="396" name="Image 6" descr="Picture"/>
        <xdr:cNvPicPr/>
      </xdr:nvPicPr>
      <xdr:blipFill>
        <a:blip r:embed="rId6"/>
        <a:stretch/>
      </xdr:blipFill>
      <xdr:spPr>
        <a:xfrm>
          <a:off x="0" y="192690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1062</xdr:row>
      <xdr:rowOff>0</xdr:rowOff>
    </xdr:from>
    <xdr:to>
      <xdr:col>0</xdr:col>
      <xdr:colOff>723600</xdr:colOff>
      <xdr:row>1062</xdr:row>
      <xdr:rowOff>723600</xdr:rowOff>
    </xdr:to>
    <xdr:pic>
      <xdr:nvPicPr>
        <xdr:cNvPr id="397" name="Image 7" descr="Picture"/>
        <xdr:cNvPicPr/>
      </xdr:nvPicPr>
      <xdr:blipFill>
        <a:blip r:embed="rId7"/>
        <a:stretch/>
      </xdr:blipFill>
      <xdr:spPr>
        <a:xfrm>
          <a:off x="0" y="206997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1102</xdr:row>
      <xdr:rowOff>0</xdr:rowOff>
    </xdr:from>
    <xdr:to>
      <xdr:col>0</xdr:col>
      <xdr:colOff>723600</xdr:colOff>
      <xdr:row>1102</xdr:row>
      <xdr:rowOff>723600</xdr:rowOff>
    </xdr:to>
    <xdr:pic>
      <xdr:nvPicPr>
        <xdr:cNvPr id="398" name="Image 8" descr="Picture"/>
        <xdr:cNvPicPr/>
      </xdr:nvPicPr>
      <xdr:blipFill>
        <a:blip r:embed="rId8"/>
        <a:stretch/>
      </xdr:blipFill>
      <xdr:spPr>
        <a:xfrm>
          <a:off x="0" y="215398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1162</xdr:row>
      <xdr:rowOff>0</xdr:rowOff>
    </xdr:from>
    <xdr:to>
      <xdr:col>0</xdr:col>
      <xdr:colOff>723600</xdr:colOff>
      <xdr:row>1162</xdr:row>
      <xdr:rowOff>723600</xdr:rowOff>
    </xdr:to>
    <xdr:pic>
      <xdr:nvPicPr>
        <xdr:cNvPr id="399" name="Image 9" descr="Picture"/>
        <xdr:cNvPicPr/>
      </xdr:nvPicPr>
      <xdr:blipFill>
        <a:blip r:embed="rId9"/>
        <a:stretch/>
      </xdr:blipFill>
      <xdr:spPr>
        <a:xfrm>
          <a:off x="0" y="227609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1177</xdr:row>
      <xdr:rowOff>209520</xdr:rowOff>
    </xdr:from>
    <xdr:to>
      <xdr:col>0</xdr:col>
      <xdr:colOff>723600</xdr:colOff>
      <xdr:row>1181</xdr:row>
      <xdr:rowOff>1440</xdr:rowOff>
    </xdr:to>
    <xdr:pic>
      <xdr:nvPicPr>
        <xdr:cNvPr id="400" name="Image 10" descr="Picture"/>
        <xdr:cNvPicPr/>
      </xdr:nvPicPr>
      <xdr:blipFill>
        <a:blip r:embed="rId10"/>
        <a:stretch/>
      </xdr:blipFill>
      <xdr:spPr>
        <a:xfrm>
          <a:off x="0" y="2331529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1239</xdr:row>
      <xdr:rowOff>39960</xdr:rowOff>
    </xdr:from>
    <xdr:to>
      <xdr:col>0</xdr:col>
      <xdr:colOff>723600</xdr:colOff>
      <xdr:row>1243</xdr:row>
      <xdr:rowOff>1440</xdr:rowOff>
    </xdr:to>
    <xdr:pic>
      <xdr:nvPicPr>
        <xdr:cNvPr id="401" name="Image 11" descr="Picture"/>
        <xdr:cNvPicPr/>
      </xdr:nvPicPr>
      <xdr:blipFill>
        <a:blip r:embed="rId11"/>
        <a:stretch/>
      </xdr:blipFill>
      <xdr:spPr>
        <a:xfrm>
          <a:off x="0" y="245745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1454</xdr:row>
      <xdr:rowOff>39960</xdr:rowOff>
    </xdr:from>
    <xdr:to>
      <xdr:col>0</xdr:col>
      <xdr:colOff>723600</xdr:colOff>
      <xdr:row>1458</xdr:row>
      <xdr:rowOff>1440</xdr:rowOff>
    </xdr:to>
    <xdr:pic>
      <xdr:nvPicPr>
        <xdr:cNvPr id="402" name="Image 12" descr="Picture"/>
        <xdr:cNvPicPr/>
      </xdr:nvPicPr>
      <xdr:blipFill>
        <a:blip r:embed="rId12"/>
        <a:stretch/>
      </xdr:blipFill>
      <xdr:spPr>
        <a:xfrm>
          <a:off x="0" y="287483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1462</xdr:row>
      <xdr:rowOff>59040</xdr:rowOff>
    </xdr:from>
    <xdr:to>
      <xdr:col>0</xdr:col>
      <xdr:colOff>723600</xdr:colOff>
      <xdr:row>1464</xdr:row>
      <xdr:rowOff>401760</xdr:rowOff>
    </xdr:to>
    <xdr:pic>
      <xdr:nvPicPr>
        <xdr:cNvPr id="403" name="Image 13" descr="Picture"/>
        <xdr:cNvPicPr/>
      </xdr:nvPicPr>
      <xdr:blipFill>
        <a:blip r:embed="rId13"/>
        <a:stretch/>
      </xdr:blipFill>
      <xdr:spPr>
        <a:xfrm>
          <a:off x="0" y="289026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1489</xdr:row>
      <xdr:rowOff>102960</xdr:rowOff>
    </xdr:from>
    <xdr:to>
      <xdr:col>0</xdr:col>
      <xdr:colOff>723600</xdr:colOff>
      <xdr:row>1493</xdr:row>
      <xdr:rowOff>64440</xdr:rowOff>
    </xdr:to>
    <xdr:pic>
      <xdr:nvPicPr>
        <xdr:cNvPr id="404" name="Image 14" descr="Picture"/>
        <xdr:cNvPicPr/>
      </xdr:nvPicPr>
      <xdr:blipFill>
        <a:blip r:embed="rId14"/>
        <a:stretch/>
      </xdr:blipFill>
      <xdr:spPr>
        <a:xfrm>
          <a:off x="0" y="296094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1977</xdr:row>
      <xdr:rowOff>102960</xdr:rowOff>
    </xdr:from>
    <xdr:to>
      <xdr:col>0</xdr:col>
      <xdr:colOff>723600</xdr:colOff>
      <xdr:row>1981</xdr:row>
      <xdr:rowOff>64440</xdr:rowOff>
    </xdr:to>
    <xdr:pic>
      <xdr:nvPicPr>
        <xdr:cNvPr id="405" name="Image 15" descr="Picture"/>
        <xdr:cNvPicPr/>
      </xdr:nvPicPr>
      <xdr:blipFill>
        <a:blip r:embed="rId15"/>
        <a:stretch/>
      </xdr:blipFill>
      <xdr:spPr>
        <a:xfrm>
          <a:off x="0" y="389839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2026</xdr:row>
      <xdr:rowOff>162000</xdr:rowOff>
    </xdr:from>
    <xdr:to>
      <xdr:col>0</xdr:col>
      <xdr:colOff>723600</xdr:colOff>
      <xdr:row>2030</xdr:row>
      <xdr:rowOff>123840</xdr:rowOff>
    </xdr:to>
    <xdr:pic>
      <xdr:nvPicPr>
        <xdr:cNvPr id="406" name="Image 16" descr="Picture"/>
        <xdr:cNvPicPr/>
      </xdr:nvPicPr>
      <xdr:blipFill>
        <a:blip r:embed="rId16"/>
        <a:stretch/>
      </xdr:blipFill>
      <xdr:spPr>
        <a:xfrm>
          <a:off x="0" y="403574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2269</xdr:row>
      <xdr:rowOff>162000</xdr:rowOff>
    </xdr:from>
    <xdr:to>
      <xdr:col>0</xdr:col>
      <xdr:colOff>723600</xdr:colOff>
      <xdr:row>2273</xdr:row>
      <xdr:rowOff>123480</xdr:rowOff>
    </xdr:to>
    <xdr:pic>
      <xdr:nvPicPr>
        <xdr:cNvPr id="407" name="Image 17" descr="Picture"/>
        <xdr:cNvPicPr/>
      </xdr:nvPicPr>
      <xdr:blipFill>
        <a:blip r:embed="rId17"/>
        <a:stretch/>
      </xdr:blipFill>
      <xdr:spPr>
        <a:xfrm>
          <a:off x="0" y="4506469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2404</xdr:row>
      <xdr:rowOff>162000</xdr:rowOff>
    </xdr:from>
    <xdr:to>
      <xdr:col>0</xdr:col>
      <xdr:colOff>723600</xdr:colOff>
      <xdr:row>2408</xdr:row>
      <xdr:rowOff>123480</xdr:rowOff>
    </xdr:to>
    <xdr:pic>
      <xdr:nvPicPr>
        <xdr:cNvPr id="408" name="Image 18" descr="Picture"/>
        <xdr:cNvPicPr/>
      </xdr:nvPicPr>
      <xdr:blipFill>
        <a:blip r:embed="rId18"/>
        <a:stretch/>
      </xdr:blipFill>
      <xdr:spPr>
        <a:xfrm>
          <a:off x="0" y="477145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2419</xdr:row>
      <xdr:rowOff>53640</xdr:rowOff>
    </xdr:from>
    <xdr:to>
      <xdr:col>0</xdr:col>
      <xdr:colOff>723600</xdr:colOff>
      <xdr:row>2421</xdr:row>
      <xdr:rowOff>56880</xdr:rowOff>
    </xdr:to>
    <xdr:pic>
      <xdr:nvPicPr>
        <xdr:cNvPr id="409" name="Image 19" descr="Picture"/>
        <xdr:cNvPicPr/>
      </xdr:nvPicPr>
      <xdr:blipFill>
        <a:blip r:embed="rId19"/>
        <a:stretch/>
      </xdr:blipFill>
      <xdr:spPr>
        <a:xfrm>
          <a:off x="0" y="480403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2423</xdr:row>
      <xdr:rowOff>156240</xdr:rowOff>
    </xdr:from>
    <xdr:to>
      <xdr:col>0</xdr:col>
      <xdr:colOff>723600</xdr:colOff>
      <xdr:row>2425</xdr:row>
      <xdr:rowOff>159840</xdr:rowOff>
    </xdr:to>
    <xdr:pic>
      <xdr:nvPicPr>
        <xdr:cNvPr id="410" name="Image 20" descr="Picture"/>
        <xdr:cNvPicPr/>
      </xdr:nvPicPr>
      <xdr:blipFill>
        <a:blip r:embed="rId20"/>
        <a:stretch/>
      </xdr:blipFill>
      <xdr:spPr>
        <a:xfrm>
          <a:off x="0" y="481946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2433</xdr:row>
      <xdr:rowOff>3960</xdr:rowOff>
    </xdr:from>
    <xdr:to>
      <xdr:col>0</xdr:col>
      <xdr:colOff>723600</xdr:colOff>
      <xdr:row>2435</xdr:row>
      <xdr:rowOff>177120</xdr:rowOff>
    </xdr:to>
    <xdr:pic>
      <xdr:nvPicPr>
        <xdr:cNvPr id="411" name="Image 21" descr="Picture"/>
        <xdr:cNvPicPr/>
      </xdr:nvPicPr>
      <xdr:blipFill>
        <a:blip r:embed="rId21"/>
        <a:stretch/>
      </xdr:blipFill>
      <xdr:spPr>
        <a:xfrm>
          <a:off x="0" y="485394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2456</xdr:row>
      <xdr:rowOff>367920</xdr:rowOff>
    </xdr:from>
    <xdr:to>
      <xdr:col>0</xdr:col>
      <xdr:colOff>723600</xdr:colOff>
      <xdr:row>2460</xdr:row>
      <xdr:rowOff>138960</xdr:rowOff>
    </xdr:to>
    <xdr:pic>
      <xdr:nvPicPr>
        <xdr:cNvPr id="412" name="Image 22" descr="Picture"/>
        <xdr:cNvPicPr/>
      </xdr:nvPicPr>
      <xdr:blipFill>
        <a:blip r:embed="rId22"/>
        <a:stretch/>
      </xdr:blipFill>
      <xdr:spPr>
        <a:xfrm>
          <a:off x="0" y="492271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2470</xdr:row>
      <xdr:rowOff>177120</xdr:rowOff>
    </xdr:from>
    <xdr:to>
      <xdr:col>0</xdr:col>
      <xdr:colOff>723600</xdr:colOff>
      <xdr:row>2473</xdr:row>
      <xdr:rowOff>138600</xdr:rowOff>
    </xdr:to>
    <xdr:pic>
      <xdr:nvPicPr>
        <xdr:cNvPr id="413" name="Image 23" descr="Picture"/>
        <xdr:cNvPicPr/>
      </xdr:nvPicPr>
      <xdr:blipFill>
        <a:blip r:embed="rId23"/>
        <a:stretch/>
      </xdr:blipFill>
      <xdr:spPr>
        <a:xfrm>
          <a:off x="0" y="495528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2502</xdr:row>
      <xdr:rowOff>367560</xdr:rowOff>
    </xdr:from>
    <xdr:to>
      <xdr:col>0</xdr:col>
      <xdr:colOff>723600</xdr:colOff>
      <xdr:row>2506</xdr:row>
      <xdr:rowOff>138600</xdr:rowOff>
    </xdr:to>
    <xdr:pic>
      <xdr:nvPicPr>
        <xdr:cNvPr id="414" name="Image 24" descr="Picture"/>
        <xdr:cNvPicPr/>
      </xdr:nvPicPr>
      <xdr:blipFill>
        <a:blip r:embed="rId24"/>
        <a:stretch/>
      </xdr:blipFill>
      <xdr:spPr>
        <a:xfrm>
          <a:off x="0" y="502596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2698</xdr:row>
      <xdr:rowOff>158040</xdr:rowOff>
    </xdr:from>
    <xdr:to>
      <xdr:col>0</xdr:col>
      <xdr:colOff>723600</xdr:colOff>
      <xdr:row>2702</xdr:row>
      <xdr:rowOff>119520</xdr:rowOff>
    </xdr:to>
    <xdr:pic>
      <xdr:nvPicPr>
        <xdr:cNvPr id="415" name="Image 25" descr="Picture"/>
        <xdr:cNvPicPr/>
      </xdr:nvPicPr>
      <xdr:blipFill>
        <a:blip r:embed="rId25"/>
        <a:stretch/>
      </xdr:blipFill>
      <xdr:spPr>
        <a:xfrm>
          <a:off x="0" y="541477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2706</xdr:row>
      <xdr:rowOff>177480</xdr:rowOff>
    </xdr:from>
    <xdr:to>
      <xdr:col>0</xdr:col>
      <xdr:colOff>723600</xdr:colOff>
      <xdr:row>2710</xdr:row>
      <xdr:rowOff>138960</xdr:rowOff>
    </xdr:to>
    <xdr:pic>
      <xdr:nvPicPr>
        <xdr:cNvPr id="416" name="Image 26" descr="Picture"/>
        <xdr:cNvPicPr/>
      </xdr:nvPicPr>
      <xdr:blipFill>
        <a:blip r:embed="rId26"/>
        <a:stretch/>
      </xdr:blipFill>
      <xdr:spPr>
        <a:xfrm>
          <a:off x="0" y="543020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2722</xdr:row>
      <xdr:rowOff>5760</xdr:rowOff>
    </xdr:from>
    <xdr:to>
      <xdr:col>0</xdr:col>
      <xdr:colOff>723600</xdr:colOff>
      <xdr:row>2725</xdr:row>
      <xdr:rowOff>157680</xdr:rowOff>
    </xdr:to>
    <xdr:pic>
      <xdr:nvPicPr>
        <xdr:cNvPr id="417" name="Image 27" descr="Picture"/>
        <xdr:cNvPicPr/>
      </xdr:nvPicPr>
      <xdr:blipFill>
        <a:blip r:embed="rId27"/>
        <a:stretch/>
      </xdr:blipFill>
      <xdr:spPr>
        <a:xfrm>
          <a:off x="0" y="545896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2730</xdr:row>
      <xdr:rowOff>24840</xdr:rowOff>
    </xdr:from>
    <xdr:to>
      <xdr:col>0</xdr:col>
      <xdr:colOff>723600</xdr:colOff>
      <xdr:row>2733</xdr:row>
      <xdr:rowOff>176760</xdr:rowOff>
    </xdr:to>
    <xdr:pic>
      <xdr:nvPicPr>
        <xdr:cNvPr id="418" name="Image 28" descr="Picture"/>
        <xdr:cNvPicPr/>
      </xdr:nvPicPr>
      <xdr:blipFill>
        <a:blip r:embed="rId28"/>
        <a:stretch/>
      </xdr:blipFill>
      <xdr:spPr>
        <a:xfrm>
          <a:off x="0" y="547439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2738</xdr:row>
      <xdr:rowOff>43920</xdr:rowOff>
    </xdr:from>
    <xdr:to>
      <xdr:col>0</xdr:col>
      <xdr:colOff>723600</xdr:colOff>
      <xdr:row>2742</xdr:row>
      <xdr:rowOff>5760</xdr:rowOff>
    </xdr:to>
    <xdr:pic>
      <xdr:nvPicPr>
        <xdr:cNvPr id="419" name="Image 29" descr="Picture"/>
        <xdr:cNvPicPr/>
      </xdr:nvPicPr>
      <xdr:blipFill>
        <a:blip r:embed="rId29"/>
        <a:stretch/>
      </xdr:blipFill>
      <xdr:spPr>
        <a:xfrm>
          <a:off x="0" y="548983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2752</xdr:row>
      <xdr:rowOff>24840</xdr:rowOff>
    </xdr:from>
    <xdr:to>
      <xdr:col>0</xdr:col>
      <xdr:colOff>723600</xdr:colOff>
      <xdr:row>2754</xdr:row>
      <xdr:rowOff>177120</xdr:rowOff>
    </xdr:to>
    <xdr:pic>
      <xdr:nvPicPr>
        <xdr:cNvPr id="420" name="Image 30" descr="Picture"/>
        <xdr:cNvPicPr/>
      </xdr:nvPicPr>
      <xdr:blipFill>
        <a:blip r:embed="rId30"/>
        <a:stretch/>
      </xdr:blipFill>
      <xdr:spPr>
        <a:xfrm>
          <a:off x="0" y="552812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2759</xdr:row>
      <xdr:rowOff>43920</xdr:rowOff>
    </xdr:from>
    <xdr:to>
      <xdr:col>0</xdr:col>
      <xdr:colOff>723600</xdr:colOff>
      <xdr:row>2762</xdr:row>
      <xdr:rowOff>195840</xdr:rowOff>
    </xdr:to>
    <xdr:pic>
      <xdr:nvPicPr>
        <xdr:cNvPr id="421" name="Image 31" descr="Picture"/>
        <xdr:cNvPicPr/>
      </xdr:nvPicPr>
      <xdr:blipFill>
        <a:blip r:embed="rId31"/>
        <a:stretch/>
      </xdr:blipFill>
      <xdr:spPr>
        <a:xfrm>
          <a:off x="0" y="554355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2777</xdr:row>
      <xdr:rowOff>5760</xdr:rowOff>
    </xdr:from>
    <xdr:to>
      <xdr:col>0</xdr:col>
      <xdr:colOff>723600</xdr:colOff>
      <xdr:row>2780</xdr:row>
      <xdr:rowOff>158040</xdr:rowOff>
    </xdr:to>
    <xdr:pic>
      <xdr:nvPicPr>
        <xdr:cNvPr id="422" name="Image 32" descr="Picture"/>
        <xdr:cNvPicPr/>
      </xdr:nvPicPr>
      <xdr:blipFill>
        <a:blip r:embed="rId32"/>
        <a:stretch/>
      </xdr:blipFill>
      <xdr:spPr>
        <a:xfrm>
          <a:off x="0" y="559708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2807</xdr:row>
      <xdr:rowOff>177120</xdr:rowOff>
    </xdr:from>
    <xdr:to>
      <xdr:col>0</xdr:col>
      <xdr:colOff>723600</xdr:colOff>
      <xdr:row>2811</xdr:row>
      <xdr:rowOff>138960</xdr:rowOff>
    </xdr:to>
    <xdr:pic>
      <xdr:nvPicPr>
        <xdr:cNvPr id="423" name="Image 33" descr="Picture"/>
        <xdr:cNvPicPr/>
      </xdr:nvPicPr>
      <xdr:blipFill>
        <a:blip r:embed="rId33"/>
        <a:stretch/>
      </xdr:blipFill>
      <xdr:spPr>
        <a:xfrm>
          <a:off x="0" y="566966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2821</xdr:row>
      <xdr:rowOff>177120</xdr:rowOff>
    </xdr:from>
    <xdr:to>
      <xdr:col>0</xdr:col>
      <xdr:colOff>723600</xdr:colOff>
      <xdr:row>2823</xdr:row>
      <xdr:rowOff>350280</xdr:rowOff>
    </xdr:to>
    <xdr:pic>
      <xdr:nvPicPr>
        <xdr:cNvPr id="424" name="Image 34" descr="Picture"/>
        <xdr:cNvPicPr/>
      </xdr:nvPicPr>
      <xdr:blipFill>
        <a:blip r:embed="rId34"/>
        <a:stretch/>
      </xdr:blipFill>
      <xdr:spPr>
        <a:xfrm>
          <a:off x="0" y="570414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2850</xdr:row>
      <xdr:rowOff>121680</xdr:rowOff>
    </xdr:from>
    <xdr:to>
      <xdr:col>0</xdr:col>
      <xdr:colOff>723600</xdr:colOff>
      <xdr:row>2851</xdr:row>
      <xdr:rowOff>654840</xdr:rowOff>
    </xdr:to>
    <xdr:pic>
      <xdr:nvPicPr>
        <xdr:cNvPr id="425" name="Image 35" descr="Picture"/>
        <xdr:cNvPicPr/>
      </xdr:nvPicPr>
      <xdr:blipFill>
        <a:blip r:embed="rId35"/>
        <a:stretch/>
      </xdr:blipFill>
      <xdr:spPr>
        <a:xfrm>
          <a:off x="0" y="581482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2864</xdr:row>
      <xdr:rowOff>121680</xdr:rowOff>
    </xdr:from>
    <xdr:to>
      <xdr:col>0</xdr:col>
      <xdr:colOff>723600</xdr:colOff>
      <xdr:row>2865</xdr:row>
      <xdr:rowOff>654840</xdr:rowOff>
    </xdr:to>
    <xdr:pic>
      <xdr:nvPicPr>
        <xdr:cNvPr id="426" name="Image 36" descr="Picture"/>
        <xdr:cNvPicPr/>
      </xdr:nvPicPr>
      <xdr:blipFill>
        <a:blip r:embed="rId36"/>
        <a:stretch/>
      </xdr:blipFill>
      <xdr:spPr>
        <a:xfrm>
          <a:off x="0" y="584930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2868</xdr:row>
      <xdr:rowOff>122040</xdr:rowOff>
    </xdr:from>
    <xdr:to>
      <xdr:col>0</xdr:col>
      <xdr:colOff>723600</xdr:colOff>
      <xdr:row>2872</xdr:row>
      <xdr:rowOff>83520</xdr:rowOff>
    </xdr:to>
    <xdr:pic>
      <xdr:nvPicPr>
        <xdr:cNvPr id="427" name="Image 37" descr="Picture"/>
        <xdr:cNvPicPr/>
      </xdr:nvPicPr>
      <xdr:blipFill>
        <a:blip r:embed="rId37"/>
        <a:stretch/>
      </xdr:blipFill>
      <xdr:spPr>
        <a:xfrm>
          <a:off x="0" y="586473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2887</xdr:row>
      <xdr:rowOff>162000</xdr:rowOff>
    </xdr:from>
    <xdr:to>
      <xdr:col>0</xdr:col>
      <xdr:colOff>723600</xdr:colOff>
      <xdr:row>2891</xdr:row>
      <xdr:rowOff>123480</xdr:rowOff>
    </xdr:to>
    <xdr:pic>
      <xdr:nvPicPr>
        <xdr:cNvPr id="428" name="Image 38" descr="Picture"/>
        <xdr:cNvPicPr/>
      </xdr:nvPicPr>
      <xdr:blipFill>
        <a:blip r:embed="rId38"/>
        <a:stretch/>
      </xdr:blipFill>
      <xdr:spPr>
        <a:xfrm>
          <a:off x="0" y="590302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2903</xdr:row>
      <xdr:rowOff>158400</xdr:rowOff>
    </xdr:from>
    <xdr:to>
      <xdr:col>0</xdr:col>
      <xdr:colOff>723600</xdr:colOff>
      <xdr:row>2907</xdr:row>
      <xdr:rowOff>119880</xdr:rowOff>
    </xdr:to>
    <xdr:pic>
      <xdr:nvPicPr>
        <xdr:cNvPr id="429" name="Image 39" descr="Picture"/>
        <xdr:cNvPicPr/>
      </xdr:nvPicPr>
      <xdr:blipFill>
        <a:blip r:embed="rId39"/>
        <a:stretch/>
      </xdr:blipFill>
      <xdr:spPr>
        <a:xfrm>
          <a:off x="0" y="594703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2931</xdr:row>
      <xdr:rowOff>158040</xdr:rowOff>
    </xdr:from>
    <xdr:to>
      <xdr:col>0</xdr:col>
      <xdr:colOff>723600</xdr:colOff>
      <xdr:row>2933</xdr:row>
      <xdr:rowOff>500760</xdr:rowOff>
    </xdr:to>
    <xdr:pic>
      <xdr:nvPicPr>
        <xdr:cNvPr id="430" name="Image 40" descr="Picture"/>
        <xdr:cNvPicPr/>
      </xdr:nvPicPr>
      <xdr:blipFill>
        <a:blip r:embed="rId40"/>
        <a:stretch/>
      </xdr:blipFill>
      <xdr:spPr>
        <a:xfrm>
          <a:off x="0" y="600818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2939</xdr:row>
      <xdr:rowOff>138960</xdr:rowOff>
    </xdr:from>
    <xdr:to>
      <xdr:col>0</xdr:col>
      <xdr:colOff>723600</xdr:colOff>
      <xdr:row>2942</xdr:row>
      <xdr:rowOff>100800</xdr:rowOff>
    </xdr:to>
    <xdr:pic>
      <xdr:nvPicPr>
        <xdr:cNvPr id="431" name="Image 41" descr="Picture"/>
        <xdr:cNvPicPr/>
      </xdr:nvPicPr>
      <xdr:blipFill>
        <a:blip r:embed="rId41"/>
        <a:stretch/>
      </xdr:blipFill>
      <xdr:spPr>
        <a:xfrm>
          <a:off x="0" y="603504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2954</xdr:row>
      <xdr:rowOff>348840</xdr:rowOff>
    </xdr:from>
    <xdr:to>
      <xdr:col>0</xdr:col>
      <xdr:colOff>723600</xdr:colOff>
      <xdr:row>2956</xdr:row>
      <xdr:rowOff>100800</xdr:rowOff>
    </xdr:to>
    <xdr:pic>
      <xdr:nvPicPr>
        <xdr:cNvPr id="432" name="Image 42" descr="Picture"/>
        <xdr:cNvPicPr/>
      </xdr:nvPicPr>
      <xdr:blipFill>
        <a:blip r:embed="rId42"/>
        <a:stretch/>
      </xdr:blipFill>
      <xdr:spPr>
        <a:xfrm>
          <a:off x="0" y="606761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2959</xdr:row>
      <xdr:rowOff>158040</xdr:rowOff>
    </xdr:from>
    <xdr:to>
      <xdr:col>0</xdr:col>
      <xdr:colOff>723600</xdr:colOff>
      <xdr:row>2963</xdr:row>
      <xdr:rowOff>119880</xdr:rowOff>
    </xdr:to>
    <xdr:pic>
      <xdr:nvPicPr>
        <xdr:cNvPr id="433" name="Image 43" descr="Picture"/>
        <xdr:cNvPicPr/>
      </xdr:nvPicPr>
      <xdr:blipFill>
        <a:blip r:embed="rId43"/>
        <a:stretch/>
      </xdr:blipFill>
      <xdr:spPr>
        <a:xfrm>
          <a:off x="0" y="608304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723600</xdr:colOff>
      <xdr:row>0</xdr:row>
      <xdr:rowOff>723600</xdr:rowOff>
    </xdr:to>
    <xdr:pic>
      <xdr:nvPicPr>
        <xdr:cNvPr id="434" name="Image 1" descr="Picture"/>
        <xdr:cNvPicPr/>
      </xdr:nvPicPr>
      <xdr:blipFill>
        <a:blip r:embed="rId1"/>
        <a:stretch/>
      </xdr:blipFill>
      <xdr:spPr>
        <a:xfrm>
          <a:off x="0" y="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</xdr:row>
      <xdr:rowOff>422280</xdr:rowOff>
    </xdr:from>
    <xdr:to>
      <xdr:col>0</xdr:col>
      <xdr:colOff>723600</xdr:colOff>
      <xdr:row>9</xdr:row>
      <xdr:rowOff>65160</xdr:rowOff>
    </xdr:to>
    <xdr:pic>
      <xdr:nvPicPr>
        <xdr:cNvPr id="435" name="Image 2" descr="Picture"/>
        <xdr:cNvPicPr/>
      </xdr:nvPicPr>
      <xdr:blipFill>
        <a:blip r:embed="rId2"/>
        <a:stretch/>
      </xdr:blipFill>
      <xdr:spPr>
        <a:xfrm>
          <a:off x="0" y="2685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</xdr:row>
      <xdr:rowOff>694080</xdr:rowOff>
    </xdr:from>
    <xdr:to>
      <xdr:col>0</xdr:col>
      <xdr:colOff>723600</xdr:colOff>
      <xdr:row>14</xdr:row>
      <xdr:rowOff>65160</xdr:rowOff>
    </xdr:to>
    <xdr:pic>
      <xdr:nvPicPr>
        <xdr:cNvPr id="436" name="Image 3" descr="Picture"/>
        <xdr:cNvPicPr/>
      </xdr:nvPicPr>
      <xdr:blipFill>
        <a:blip r:embed="rId3"/>
        <a:stretch/>
      </xdr:blipFill>
      <xdr:spPr>
        <a:xfrm>
          <a:off x="0" y="4229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</xdr:row>
      <xdr:rowOff>103680</xdr:rowOff>
    </xdr:from>
    <xdr:to>
      <xdr:col>0</xdr:col>
      <xdr:colOff>723600</xdr:colOff>
      <xdr:row>23</xdr:row>
      <xdr:rowOff>65160</xdr:rowOff>
    </xdr:to>
    <xdr:pic>
      <xdr:nvPicPr>
        <xdr:cNvPr id="437" name="Image 4" descr="Picture"/>
        <xdr:cNvPicPr/>
      </xdr:nvPicPr>
      <xdr:blipFill>
        <a:blip r:embed="rId4"/>
        <a:stretch/>
      </xdr:blipFill>
      <xdr:spPr>
        <a:xfrm>
          <a:off x="0" y="6724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</xdr:row>
      <xdr:rowOff>694080</xdr:rowOff>
    </xdr:from>
    <xdr:to>
      <xdr:col>0</xdr:col>
      <xdr:colOff>723600</xdr:colOff>
      <xdr:row>28</xdr:row>
      <xdr:rowOff>65160</xdr:rowOff>
    </xdr:to>
    <xdr:pic>
      <xdr:nvPicPr>
        <xdr:cNvPr id="438" name="Image 5" descr="Picture"/>
        <xdr:cNvPicPr/>
      </xdr:nvPicPr>
      <xdr:blipFill>
        <a:blip r:embed="rId5"/>
        <a:stretch/>
      </xdr:blipFill>
      <xdr:spPr>
        <a:xfrm>
          <a:off x="0" y="8267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</xdr:row>
      <xdr:rowOff>103320</xdr:rowOff>
    </xdr:from>
    <xdr:to>
      <xdr:col>0</xdr:col>
      <xdr:colOff>723600</xdr:colOff>
      <xdr:row>36</xdr:row>
      <xdr:rowOff>276480</xdr:rowOff>
    </xdr:to>
    <xdr:pic>
      <xdr:nvPicPr>
        <xdr:cNvPr id="439" name="Image 6" descr="Picture"/>
        <xdr:cNvPicPr/>
      </xdr:nvPicPr>
      <xdr:blipFill>
        <a:blip r:embed="rId6"/>
        <a:stretch/>
      </xdr:blipFill>
      <xdr:spPr>
        <a:xfrm>
          <a:off x="0" y="10953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</xdr:row>
      <xdr:rowOff>80640</xdr:rowOff>
    </xdr:from>
    <xdr:to>
      <xdr:col>0</xdr:col>
      <xdr:colOff>723600</xdr:colOff>
      <xdr:row>53</xdr:row>
      <xdr:rowOff>84240</xdr:rowOff>
    </xdr:to>
    <xdr:pic>
      <xdr:nvPicPr>
        <xdr:cNvPr id="440" name="Image 7" descr="Picture"/>
        <xdr:cNvPicPr/>
      </xdr:nvPicPr>
      <xdr:blipFill>
        <a:blip r:embed="rId7"/>
        <a:stretch/>
      </xdr:blipFill>
      <xdr:spPr>
        <a:xfrm>
          <a:off x="0" y="163069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</xdr:row>
      <xdr:rowOff>288360</xdr:rowOff>
    </xdr:from>
    <xdr:to>
      <xdr:col>0</xdr:col>
      <xdr:colOff>723600</xdr:colOff>
      <xdr:row>63</xdr:row>
      <xdr:rowOff>271080</xdr:rowOff>
    </xdr:to>
    <xdr:pic>
      <xdr:nvPicPr>
        <xdr:cNvPr id="441" name="Image 8" descr="Picture"/>
        <xdr:cNvPicPr/>
      </xdr:nvPicPr>
      <xdr:blipFill>
        <a:blip r:embed="rId8"/>
        <a:stretch/>
      </xdr:blipFill>
      <xdr:spPr>
        <a:xfrm>
          <a:off x="0" y="19755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</xdr:row>
      <xdr:rowOff>160560</xdr:rowOff>
    </xdr:from>
    <xdr:to>
      <xdr:col>0</xdr:col>
      <xdr:colOff>723600</xdr:colOff>
      <xdr:row>73</xdr:row>
      <xdr:rowOff>164160</xdr:rowOff>
    </xdr:to>
    <xdr:pic>
      <xdr:nvPicPr>
        <xdr:cNvPr id="442" name="Image 9" descr="Picture"/>
        <xdr:cNvPicPr/>
      </xdr:nvPicPr>
      <xdr:blipFill>
        <a:blip r:embed="rId9"/>
        <a:stretch/>
      </xdr:blipFill>
      <xdr:spPr>
        <a:xfrm>
          <a:off x="0" y="23012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</xdr:row>
      <xdr:rowOff>52200</xdr:rowOff>
    </xdr:from>
    <xdr:to>
      <xdr:col>0</xdr:col>
      <xdr:colOff>723600</xdr:colOff>
      <xdr:row>77</xdr:row>
      <xdr:rowOff>775800</xdr:rowOff>
    </xdr:to>
    <xdr:pic>
      <xdr:nvPicPr>
        <xdr:cNvPr id="443" name="Image 10" descr="Picture"/>
        <xdr:cNvPicPr/>
      </xdr:nvPicPr>
      <xdr:blipFill>
        <a:blip r:embed="rId10"/>
        <a:stretch/>
      </xdr:blipFill>
      <xdr:spPr>
        <a:xfrm>
          <a:off x="0" y="24555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89</xdr:row>
      <xdr:rowOff>51840</xdr:rowOff>
    </xdr:from>
    <xdr:to>
      <xdr:col>0</xdr:col>
      <xdr:colOff>723600</xdr:colOff>
      <xdr:row>90</xdr:row>
      <xdr:rowOff>585000</xdr:rowOff>
    </xdr:to>
    <xdr:pic>
      <xdr:nvPicPr>
        <xdr:cNvPr id="444" name="Image 11" descr="Picture"/>
        <xdr:cNvPicPr/>
      </xdr:nvPicPr>
      <xdr:blipFill>
        <a:blip r:embed="rId11"/>
        <a:stretch/>
      </xdr:blipFill>
      <xdr:spPr>
        <a:xfrm>
          <a:off x="0" y="27622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94</xdr:row>
      <xdr:rowOff>51840</xdr:rowOff>
    </xdr:from>
    <xdr:to>
      <xdr:col>0</xdr:col>
      <xdr:colOff>723600</xdr:colOff>
      <xdr:row>95</xdr:row>
      <xdr:rowOff>585000</xdr:rowOff>
    </xdr:to>
    <xdr:pic>
      <xdr:nvPicPr>
        <xdr:cNvPr id="445" name="Image 12" descr="Picture"/>
        <xdr:cNvPicPr/>
      </xdr:nvPicPr>
      <xdr:blipFill>
        <a:blip r:embed="rId12"/>
        <a:stretch/>
      </xdr:blipFill>
      <xdr:spPr>
        <a:xfrm>
          <a:off x="0" y="29165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98</xdr:row>
      <xdr:rowOff>52200</xdr:rowOff>
    </xdr:from>
    <xdr:to>
      <xdr:col>0</xdr:col>
      <xdr:colOff>723600</xdr:colOff>
      <xdr:row>102</xdr:row>
      <xdr:rowOff>13680</xdr:rowOff>
    </xdr:to>
    <xdr:pic>
      <xdr:nvPicPr>
        <xdr:cNvPr id="446" name="Image 13" descr="Picture"/>
        <xdr:cNvPicPr/>
      </xdr:nvPicPr>
      <xdr:blipFill>
        <a:blip r:embed="rId13"/>
        <a:stretch/>
      </xdr:blipFill>
      <xdr:spPr>
        <a:xfrm>
          <a:off x="0" y="30708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143</xdr:row>
      <xdr:rowOff>257040</xdr:rowOff>
    </xdr:from>
    <xdr:to>
      <xdr:col>0</xdr:col>
      <xdr:colOff>723600</xdr:colOff>
      <xdr:row>145</xdr:row>
      <xdr:rowOff>260640</xdr:rowOff>
    </xdr:to>
    <xdr:pic>
      <xdr:nvPicPr>
        <xdr:cNvPr id="447" name="Image 14" descr="Picture"/>
        <xdr:cNvPicPr/>
      </xdr:nvPicPr>
      <xdr:blipFill>
        <a:blip r:embed="rId14"/>
        <a:stretch/>
      </xdr:blipFill>
      <xdr:spPr>
        <a:xfrm>
          <a:off x="0" y="46539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155</xdr:row>
      <xdr:rowOff>16920</xdr:rowOff>
    </xdr:from>
    <xdr:to>
      <xdr:col>0</xdr:col>
      <xdr:colOff>723600</xdr:colOff>
      <xdr:row>156</xdr:row>
      <xdr:rowOff>210240</xdr:rowOff>
    </xdr:to>
    <xdr:pic>
      <xdr:nvPicPr>
        <xdr:cNvPr id="448" name="Image 15" descr="Picture"/>
        <xdr:cNvPicPr/>
      </xdr:nvPicPr>
      <xdr:blipFill>
        <a:blip r:embed="rId15"/>
        <a:stretch/>
      </xdr:blipFill>
      <xdr:spPr>
        <a:xfrm>
          <a:off x="0" y="51130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182</xdr:row>
      <xdr:rowOff>124560</xdr:rowOff>
    </xdr:from>
    <xdr:to>
      <xdr:col>0</xdr:col>
      <xdr:colOff>723600</xdr:colOff>
      <xdr:row>183</xdr:row>
      <xdr:rowOff>488160</xdr:rowOff>
    </xdr:to>
    <xdr:pic>
      <xdr:nvPicPr>
        <xdr:cNvPr id="449" name="Image 16" descr="Picture"/>
        <xdr:cNvPicPr/>
      </xdr:nvPicPr>
      <xdr:blipFill>
        <a:blip r:embed="rId16"/>
        <a:stretch/>
      </xdr:blipFill>
      <xdr:spPr>
        <a:xfrm>
          <a:off x="0" y="63341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195</xdr:row>
      <xdr:rowOff>34200</xdr:rowOff>
    </xdr:from>
    <xdr:to>
      <xdr:col>0</xdr:col>
      <xdr:colOff>723600</xdr:colOff>
      <xdr:row>196</xdr:row>
      <xdr:rowOff>567360</xdr:rowOff>
    </xdr:to>
    <xdr:pic>
      <xdr:nvPicPr>
        <xdr:cNvPr id="450" name="Image 17" descr="Picture"/>
        <xdr:cNvPicPr/>
      </xdr:nvPicPr>
      <xdr:blipFill>
        <a:blip r:embed="rId17"/>
        <a:stretch/>
      </xdr:blipFill>
      <xdr:spPr>
        <a:xfrm>
          <a:off x="0" y="679323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204</xdr:row>
      <xdr:rowOff>34200</xdr:rowOff>
    </xdr:from>
    <xdr:to>
      <xdr:col>0</xdr:col>
      <xdr:colOff>723600</xdr:colOff>
      <xdr:row>207</xdr:row>
      <xdr:rowOff>186480</xdr:rowOff>
    </xdr:to>
    <xdr:pic>
      <xdr:nvPicPr>
        <xdr:cNvPr id="451" name="Image 18" descr="Picture"/>
        <xdr:cNvPicPr/>
      </xdr:nvPicPr>
      <xdr:blipFill>
        <a:blip r:embed="rId18"/>
        <a:stretch/>
      </xdr:blipFill>
      <xdr:spPr>
        <a:xfrm>
          <a:off x="0" y="70427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218</xdr:row>
      <xdr:rowOff>34560</xdr:rowOff>
    </xdr:from>
    <xdr:to>
      <xdr:col>0</xdr:col>
      <xdr:colOff>723600</xdr:colOff>
      <xdr:row>220</xdr:row>
      <xdr:rowOff>186480</xdr:rowOff>
    </xdr:to>
    <xdr:pic>
      <xdr:nvPicPr>
        <xdr:cNvPr id="452" name="Image 19" descr="Picture"/>
        <xdr:cNvPicPr/>
      </xdr:nvPicPr>
      <xdr:blipFill>
        <a:blip r:embed="rId19"/>
        <a:stretch/>
      </xdr:blipFill>
      <xdr:spPr>
        <a:xfrm>
          <a:off x="0" y="73685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248</xdr:row>
      <xdr:rowOff>74160</xdr:rowOff>
    </xdr:from>
    <xdr:to>
      <xdr:col>0</xdr:col>
      <xdr:colOff>723600</xdr:colOff>
      <xdr:row>250</xdr:row>
      <xdr:rowOff>77760</xdr:rowOff>
    </xdr:to>
    <xdr:pic>
      <xdr:nvPicPr>
        <xdr:cNvPr id="453" name="Image 20" descr="Picture"/>
        <xdr:cNvPicPr/>
      </xdr:nvPicPr>
      <xdr:blipFill>
        <a:blip r:embed="rId20"/>
        <a:stretch/>
      </xdr:blipFill>
      <xdr:spPr>
        <a:xfrm>
          <a:off x="0" y="79800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253</xdr:row>
      <xdr:rowOff>156240</xdr:rowOff>
    </xdr:from>
    <xdr:to>
      <xdr:col>0</xdr:col>
      <xdr:colOff>723600</xdr:colOff>
      <xdr:row>257</xdr:row>
      <xdr:rowOff>117720</xdr:rowOff>
    </xdr:to>
    <xdr:pic>
      <xdr:nvPicPr>
        <xdr:cNvPr id="454" name="Image 21" descr="Picture"/>
        <xdr:cNvPicPr/>
      </xdr:nvPicPr>
      <xdr:blipFill>
        <a:blip r:embed="rId21"/>
        <a:stretch/>
      </xdr:blipFill>
      <xdr:spPr>
        <a:xfrm>
          <a:off x="0" y="81343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265</xdr:row>
      <xdr:rowOff>68760</xdr:rowOff>
    </xdr:from>
    <xdr:to>
      <xdr:col>0</xdr:col>
      <xdr:colOff>723600</xdr:colOff>
      <xdr:row>269</xdr:row>
      <xdr:rowOff>30240</xdr:rowOff>
    </xdr:to>
    <xdr:pic>
      <xdr:nvPicPr>
        <xdr:cNvPr id="455" name="Image 22" descr="Picture"/>
        <xdr:cNvPicPr/>
      </xdr:nvPicPr>
      <xdr:blipFill>
        <a:blip r:embed="rId22"/>
        <a:stretch/>
      </xdr:blipFill>
      <xdr:spPr>
        <a:xfrm>
          <a:off x="0" y="84220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270</xdr:row>
      <xdr:rowOff>319320</xdr:rowOff>
    </xdr:from>
    <xdr:to>
      <xdr:col>0</xdr:col>
      <xdr:colOff>723600</xdr:colOff>
      <xdr:row>273</xdr:row>
      <xdr:rowOff>132480</xdr:rowOff>
    </xdr:to>
    <xdr:pic>
      <xdr:nvPicPr>
        <xdr:cNvPr id="456" name="Image 23" descr="Picture"/>
        <xdr:cNvPicPr/>
      </xdr:nvPicPr>
      <xdr:blipFill>
        <a:blip r:embed="rId23"/>
        <a:stretch/>
      </xdr:blipFill>
      <xdr:spPr>
        <a:xfrm>
          <a:off x="0" y="85763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278</xdr:row>
      <xdr:rowOff>191880</xdr:rowOff>
    </xdr:from>
    <xdr:to>
      <xdr:col>0</xdr:col>
      <xdr:colOff>723600</xdr:colOff>
      <xdr:row>281</xdr:row>
      <xdr:rowOff>153360</xdr:rowOff>
    </xdr:to>
    <xdr:pic>
      <xdr:nvPicPr>
        <xdr:cNvPr id="457" name="Image 24" descr="Picture"/>
        <xdr:cNvPicPr/>
      </xdr:nvPicPr>
      <xdr:blipFill>
        <a:blip r:embed="rId24"/>
        <a:stretch/>
      </xdr:blipFill>
      <xdr:spPr>
        <a:xfrm>
          <a:off x="0" y="88258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340</xdr:row>
      <xdr:rowOff>47160</xdr:rowOff>
    </xdr:from>
    <xdr:to>
      <xdr:col>0</xdr:col>
      <xdr:colOff>723600</xdr:colOff>
      <xdr:row>344</xdr:row>
      <xdr:rowOff>8640</xdr:rowOff>
    </xdr:to>
    <xdr:pic>
      <xdr:nvPicPr>
        <xdr:cNvPr id="458" name="Image 25" descr="Picture"/>
        <xdr:cNvPicPr/>
      </xdr:nvPicPr>
      <xdr:blipFill>
        <a:blip r:embed="rId25"/>
        <a:stretch/>
      </xdr:blipFill>
      <xdr:spPr>
        <a:xfrm>
          <a:off x="0" y="103136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350</xdr:row>
      <xdr:rowOff>47160</xdr:rowOff>
    </xdr:from>
    <xdr:to>
      <xdr:col>0</xdr:col>
      <xdr:colOff>723600</xdr:colOff>
      <xdr:row>351</xdr:row>
      <xdr:rowOff>579960</xdr:rowOff>
    </xdr:to>
    <xdr:pic>
      <xdr:nvPicPr>
        <xdr:cNvPr id="459" name="Image 26" descr="Picture"/>
        <xdr:cNvPicPr/>
      </xdr:nvPicPr>
      <xdr:blipFill>
        <a:blip r:embed="rId26"/>
        <a:stretch/>
      </xdr:blipFill>
      <xdr:spPr>
        <a:xfrm>
          <a:off x="0" y="105632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354</xdr:row>
      <xdr:rowOff>46800</xdr:rowOff>
    </xdr:from>
    <xdr:to>
      <xdr:col>0</xdr:col>
      <xdr:colOff>723600</xdr:colOff>
      <xdr:row>358</xdr:row>
      <xdr:rowOff>8640</xdr:rowOff>
    </xdr:to>
    <xdr:pic>
      <xdr:nvPicPr>
        <xdr:cNvPr id="460" name="Image 27" descr="Picture"/>
        <xdr:cNvPicPr/>
      </xdr:nvPicPr>
      <xdr:blipFill>
        <a:blip r:embed="rId27"/>
        <a:stretch/>
      </xdr:blipFill>
      <xdr:spPr>
        <a:xfrm>
          <a:off x="0" y="107175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365</xdr:row>
      <xdr:rowOff>46800</xdr:rowOff>
    </xdr:from>
    <xdr:to>
      <xdr:col>0</xdr:col>
      <xdr:colOff>723600</xdr:colOff>
      <xdr:row>367</xdr:row>
      <xdr:rowOff>389520</xdr:rowOff>
    </xdr:to>
    <xdr:pic>
      <xdr:nvPicPr>
        <xdr:cNvPr id="461" name="Image 28" descr="Picture"/>
        <xdr:cNvPicPr/>
      </xdr:nvPicPr>
      <xdr:blipFill>
        <a:blip r:embed="rId28"/>
        <a:stretch/>
      </xdr:blipFill>
      <xdr:spPr>
        <a:xfrm>
          <a:off x="0" y="109861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382</xdr:row>
      <xdr:rowOff>239400</xdr:rowOff>
    </xdr:from>
    <xdr:to>
      <xdr:col>0</xdr:col>
      <xdr:colOff>723600</xdr:colOff>
      <xdr:row>384</xdr:row>
      <xdr:rowOff>243000</xdr:rowOff>
    </xdr:to>
    <xdr:pic>
      <xdr:nvPicPr>
        <xdr:cNvPr id="462" name="Image 29" descr="Picture"/>
        <xdr:cNvPicPr/>
      </xdr:nvPicPr>
      <xdr:blipFill>
        <a:blip r:embed="rId29"/>
        <a:stretch/>
      </xdr:blipFill>
      <xdr:spPr>
        <a:xfrm>
          <a:off x="0" y="115023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390</xdr:row>
      <xdr:rowOff>235440</xdr:rowOff>
    </xdr:from>
    <xdr:to>
      <xdr:col>0</xdr:col>
      <xdr:colOff>723600</xdr:colOff>
      <xdr:row>392</xdr:row>
      <xdr:rowOff>239040</xdr:rowOff>
    </xdr:to>
    <xdr:pic>
      <xdr:nvPicPr>
        <xdr:cNvPr id="463" name="Image 30" descr="Picture"/>
        <xdr:cNvPicPr/>
      </xdr:nvPicPr>
      <xdr:blipFill>
        <a:blip r:embed="rId30"/>
        <a:stretch/>
      </xdr:blipFill>
      <xdr:spPr>
        <a:xfrm>
          <a:off x="0" y="1179003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399</xdr:row>
      <xdr:rowOff>41400</xdr:rowOff>
    </xdr:from>
    <xdr:to>
      <xdr:col>0</xdr:col>
      <xdr:colOff>723600</xdr:colOff>
      <xdr:row>400</xdr:row>
      <xdr:rowOff>405000</xdr:rowOff>
    </xdr:to>
    <xdr:pic>
      <xdr:nvPicPr>
        <xdr:cNvPr id="464" name="Image 31" descr="Picture"/>
        <xdr:cNvPicPr/>
      </xdr:nvPicPr>
      <xdr:blipFill>
        <a:blip r:embed="rId31"/>
        <a:stretch/>
      </xdr:blipFill>
      <xdr:spPr>
        <a:xfrm>
          <a:off x="0" y="120777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402</xdr:row>
      <xdr:rowOff>163800</xdr:rowOff>
    </xdr:from>
    <xdr:to>
      <xdr:col>0</xdr:col>
      <xdr:colOff>723600</xdr:colOff>
      <xdr:row>403</xdr:row>
      <xdr:rowOff>357120</xdr:rowOff>
    </xdr:to>
    <xdr:pic>
      <xdr:nvPicPr>
        <xdr:cNvPr id="465" name="Image 32" descr="Picture"/>
        <xdr:cNvPicPr/>
      </xdr:nvPicPr>
      <xdr:blipFill>
        <a:blip r:embed="rId32"/>
        <a:stretch/>
      </xdr:blipFill>
      <xdr:spPr>
        <a:xfrm>
          <a:off x="0" y="122320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407</xdr:row>
      <xdr:rowOff>348480</xdr:rowOff>
    </xdr:from>
    <xdr:to>
      <xdr:col>0</xdr:col>
      <xdr:colOff>723600</xdr:colOff>
      <xdr:row>409</xdr:row>
      <xdr:rowOff>352080</xdr:rowOff>
    </xdr:to>
    <xdr:pic>
      <xdr:nvPicPr>
        <xdr:cNvPr id="466" name="Image 33" descr="Picture"/>
        <xdr:cNvPicPr/>
      </xdr:nvPicPr>
      <xdr:blipFill>
        <a:blip r:embed="rId33"/>
        <a:stretch/>
      </xdr:blipFill>
      <xdr:spPr>
        <a:xfrm>
          <a:off x="0" y="124815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418</xdr:row>
      <xdr:rowOff>217080</xdr:rowOff>
    </xdr:from>
    <xdr:to>
      <xdr:col>0</xdr:col>
      <xdr:colOff>723600</xdr:colOff>
      <xdr:row>420</xdr:row>
      <xdr:rowOff>50400</xdr:rowOff>
    </xdr:to>
    <xdr:pic>
      <xdr:nvPicPr>
        <xdr:cNvPr id="467" name="Image 34" descr="Picture"/>
        <xdr:cNvPicPr/>
      </xdr:nvPicPr>
      <xdr:blipFill>
        <a:blip r:embed="rId34"/>
        <a:stretch/>
      </xdr:blipFill>
      <xdr:spPr>
        <a:xfrm>
          <a:off x="0" y="1286445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421</xdr:row>
      <xdr:rowOff>339840</xdr:rowOff>
    </xdr:from>
    <xdr:to>
      <xdr:col>0</xdr:col>
      <xdr:colOff>723600</xdr:colOff>
      <xdr:row>423</xdr:row>
      <xdr:rowOff>2880</xdr:rowOff>
    </xdr:to>
    <xdr:pic>
      <xdr:nvPicPr>
        <xdr:cNvPr id="468" name="Image 35" descr="Picture"/>
        <xdr:cNvPicPr/>
      </xdr:nvPicPr>
      <xdr:blipFill>
        <a:blip r:embed="rId35"/>
        <a:stretch/>
      </xdr:blipFill>
      <xdr:spPr>
        <a:xfrm>
          <a:off x="0" y="130187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424</xdr:row>
      <xdr:rowOff>292320</xdr:rowOff>
    </xdr:from>
    <xdr:to>
      <xdr:col>0</xdr:col>
      <xdr:colOff>723600</xdr:colOff>
      <xdr:row>425</xdr:row>
      <xdr:rowOff>485640</xdr:rowOff>
    </xdr:to>
    <xdr:pic>
      <xdr:nvPicPr>
        <xdr:cNvPr id="469" name="Image 36" descr="Picture"/>
        <xdr:cNvPicPr/>
      </xdr:nvPicPr>
      <xdr:blipFill>
        <a:blip r:embed="rId36"/>
        <a:stretch/>
      </xdr:blipFill>
      <xdr:spPr>
        <a:xfrm>
          <a:off x="0" y="131730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429</xdr:row>
      <xdr:rowOff>497160</xdr:rowOff>
    </xdr:from>
    <xdr:to>
      <xdr:col>0</xdr:col>
      <xdr:colOff>723600</xdr:colOff>
      <xdr:row>431</xdr:row>
      <xdr:rowOff>330480</xdr:rowOff>
    </xdr:to>
    <xdr:pic>
      <xdr:nvPicPr>
        <xdr:cNvPr id="470" name="Image 37" descr="Picture"/>
        <xdr:cNvPicPr/>
      </xdr:nvPicPr>
      <xdr:blipFill>
        <a:blip r:embed="rId37"/>
        <a:stretch/>
      </xdr:blipFill>
      <xdr:spPr>
        <a:xfrm>
          <a:off x="0" y="134416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436</xdr:row>
      <xdr:rowOff>302400</xdr:rowOff>
    </xdr:from>
    <xdr:to>
      <xdr:col>0</xdr:col>
      <xdr:colOff>723600</xdr:colOff>
      <xdr:row>438</xdr:row>
      <xdr:rowOff>305640</xdr:rowOff>
    </xdr:to>
    <xdr:pic>
      <xdr:nvPicPr>
        <xdr:cNvPr id="471" name="Image 38" descr="Picture"/>
        <xdr:cNvPicPr/>
      </xdr:nvPicPr>
      <xdr:blipFill>
        <a:blip r:embed="rId38"/>
        <a:stretch/>
      </xdr:blipFill>
      <xdr:spPr>
        <a:xfrm>
          <a:off x="0" y="136912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441</xdr:row>
      <xdr:rowOff>45000</xdr:rowOff>
    </xdr:from>
    <xdr:to>
      <xdr:col>0</xdr:col>
      <xdr:colOff>723600</xdr:colOff>
      <xdr:row>443</xdr:row>
      <xdr:rowOff>48600</xdr:rowOff>
    </xdr:to>
    <xdr:pic>
      <xdr:nvPicPr>
        <xdr:cNvPr id="472" name="Image 39" descr="Picture"/>
        <xdr:cNvPicPr/>
      </xdr:nvPicPr>
      <xdr:blipFill>
        <a:blip r:embed="rId39"/>
        <a:stretch/>
      </xdr:blipFill>
      <xdr:spPr>
        <a:xfrm>
          <a:off x="0" y="138455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445</xdr:row>
      <xdr:rowOff>147960</xdr:rowOff>
    </xdr:from>
    <xdr:to>
      <xdr:col>0</xdr:col>
      <xdr:colOff>723600</xdr:colOff>
      <xdr:row>447</xdr:row>
      <xdr:rowOff>151560</xdr:rowOff>
    </xdr:to>
    <xdr:pic>
      <xdr:nvPicPr>
        <xdr:cNvPr id="473" name="Image 40" descr="Picture"/>
        <xdr:cNvPicPr/>
      </xdr:nvPicPr>
      <xdr:blipFill>
        <a:blip r:embed="rId40"/>
        <a:stretch/>
      </xdr:blipFill>
      <xdr:spPr>
        <a:xfrm>
          <a:off x="0" y="139998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464</xdr:row>
      <xdr:rowOff>191520</xdr:rowOff>
    </xdr:from>
    <xdr:to>
      <xdr:col>0</xdr:col>
      <xdr:colOff>723600</xdr:colOff>
      <xdr:row>465</xdr:row>
      <xdr:rowOff>134280</xdr:rowOff>
    </xdr:to>
    <xdr:pic>
      <xdr:nvPicPr>
        <xdr:cNvPr id="474" name="Image 41" descr="Picture"/>
        <xdr:cNvPicPr/>
      </xdr:nvPicPr>
      <xdr:blipFill>
        <a:blip r:embed="rId41"/>
        <a:stretch/>
      </xdr:blipFill>
      <xdr:spPr>
        <a:xfrm>
          <a:off x="0" y="145541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476</xdr:row>
      <xdr:rowOff>172440</xdr:rowOff>
    </xdr:from>
    <xdr:to>
      <xdr:col>0</xdr:col>
      <xdr:colOff>723600</xdr:colOff>
      <xdr:row>479</xdr:row>
      <xdr:rowOff>134280</xdr:rowOff>
    </xdr:to>
    <xdr:pic>
      <xdr:nvPicPr>
        <xdr:cNvPr id="475" name="Image 42" descr="Picture"/>
        <xdr:cNvPicPr/>
      </xdr:nvPicPr>
      <xdr:blipFill>
        <a:blip r:embed="rId42"/>
        <a:stretch/>
      </xdr:blipFill>
      <xdr:spPr>
        <a:xfrm>
          <a:off x="0" y="149180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569</xdr:row>
      <xdr:rowOff>309600</xdr:rowOff>
    </xdr:from>
    <xdr:to>
      <xdr:col>0</xdr:col>
      <xdr:colOff>723600</xdr:colOff>
      <xdr:row>571</xdr:row>
      <xdr:rowOff>61920</xdr:rowOff>
    </xdr:to>
    <xdr:pic>
      <xdr:nvPicPr>
        <xdr:cNvPr id="476" name="Image 43" descr="Picture"/>
        <xdr:cNvPicPr/>
      </xdr:nvPicPr>
      <xdr:blipFill>
        <a:blip r:embed="rId43"/>
        <a:stretch/>
      </xdr:blipFill>
      <xdr:spPr>
        <a:xfrm>
          <a:off x="0" y="176631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580</xdr:row>
      <xdr:rowOff>100440</xdr:rowOff>
    </xdr:from>
    <xdr:to>
      <xdr:col>0</xdr:col>
      <xdr:colOff>723600</xdr:colOff>
      <xdr:row>583</xdr:row>
      <xdr:rowOff>252360</xdr:rowOff>
    </xdr:to>
    <xdr:pic>
      <xdr:nvPicPr>
        <xdr:cNvPr id="477" name="Image 44" descr="Picture"/>
        <xdr:cNvPicPr/>
      </xdr:nvPicPr>
      <xdr:blipFill>
        <a:blip r:embed="rId44"/>
        <a:stretch/>
      </xdr:blipFill>
      <xdr:spPr>
        <a:xfrm>
          <a:off x="0" y="179889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588</xdr:row>
      <xdr:rowOff>481320</xdr:rowOff>
    </xdr:from>
    <xdr:to>
      <xdr:col>0</xdr:col>
      <xdr:colOff>723600</xdr:colOff>
      <xdr:row>590</xdr:row>
      <xdr:rowOff>233280</xdr:rowOff>
    </xdr:to>
    <xdr:pic>
      <xdr:nvPicPr>
        <xdr:cNvPr id="478" name="Image 45" descr="Picture"/>
        <xdr:cNvPicPr/>
      </xdr:nvPicPr>
      <xdr:blipFill>
        <a:blip r:embed="rId45"/>
        <a:stretch/>
      </xdr:blipFill>
      <xdr:spPr>
        <a:xfrm>
          <a:off x="0" y="182384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594</xdr:row>
      <xdr:rowOff>100080</xdr:rowOff>
    </xdr:from>
    <xdr:to>
      <xdr:col>0</xdr:col>
      <xdr:colOff>723600</xdr:colOff>
      <xdr:row>598</xdr:row>
      <xdr:rowOff>61920</xdr:rowOff>
    </xdr:to>
    <xdr:pic>
      <xdr:nvPicPr>
        <xdr:cNvPr id="479" name="Image 46" descr="Picture"/>
        <xdr:cNvPicPr/>
      </xdr:nvPicPr>
      <xdr:blipFill>
        <a:blip r:embed="rId46"/>
        <a:stretch/>
      </xdr:blipFill>
      <xdr:spPr>
        <a:xfrm>
          <a:off x="0" y="183927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607</xdr:row>
      <xdr:rowOff>119520</xdr:rowOff>
    </xdr:from>
    <xdr:to>
      <xdr:col>0</xdr:col>
      <xdr:colOff>723600</xdr:colOff>
      <xdr:row>611</xdr:row>
      <xdr:rowOff>81000</xdr:rowOff>
    </xdr:to>
    <xdr:pic>
      <xdr:nvPicPr>
        <xdr:cNvPr id="480" name="Image 47" descr="Picture"/>
        <xdr:cNvPicPr/>
      </xdr:nvPicPr>
      <xdr:blipFill>
        <a:blip r:embed="rId47"/>
        <a:stretch/>
      </xdr:blipFill>
      <xdr:spPr>
        <a:xfrm>
          <a:off x="0" y="186423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628</xdr:row>
      <xdr:rowOff>690840</xdr:rowOff>
    </xdr:from>
    <xdr:to>
      <xdr:col>0</xdr:col>
      <xdr:colOff>723600</xdr:colOff>
      <xdr:row>631</xdr:row>
      <xdr:rowOff>61920</xdr:rowOff>
    </xdr:to>
    <xdr:pic>
      <xdr:nvPicPr>
        <xdr:cNvPr id="481" name="Image 48" descr="Picture"/>
        <xdr:cNvPicPr/>
      </xdr:nvPicPr>
      <xdr:blipFill>
        <a:blip r:embed="rId48"/>
        <a:stretch/>
      </xdr:blipFill>
      <xdr:spPr>
        <a:xfrm>
          <a:off x="0" y="191776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641</xdr:row>
      <xdr:rowOff>119160</xdr:rowOff>
    </xdr:from>
    <xdr:to>
      <xdr:col>0</xdr:col>
      <xdr:colOff>723600</xdr:colOff>
      <xdr:row>645</xdr:row>
      <xdr:rowOff>81000</xdr:rowOff>
    </xdr:to>
    <xdr:pic>
      <xdr:nvPicPr>
        <xdr:cNvPr id="482" name="Image 49" descr="Picture"/>
        <xdr:cNvPicPr/>
      </xdr:nvPicPr>
      <xdr:blipFill>
        <a:blip r:embed="rId49"/>
        <a:stretch/>
      </xdr:blipFill>
      <xdr:spPr>
        <a:xfrm>
          <a:off x="0" y="194462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656</xdr:row>
      <xdr:rowOff>138600</xdr:rowOff>
    </xdr:from>
    <xdr:to>
      <xdr:col>0</xdr:col>
      <xdr:colOff>723600</xdr:colOff>
      <xdr:row>660</xdr:row>
      <xdr:rowOff>100080</xdr:rowOff>
    </xdr:to>
    <xdr:pic>
      <xdr:nvPicPr>
        <xdr:cNvPr id="483" name="Image 50" descr="Picture"/>
        <xdr:cNvPicPr/>
      </xdr:nvPicPr>
      <xdr:blipFill>
        <a:blip r:embed="rId50"/>
        <a:stretch/>
      </xdr:blipFill>
      <xdr:spPr>
        <a:xfrm>
          <a:off x="0" y="197339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664</xdr:row>
      <xdr:rowOff>157320</xdr:rowOff>
    </xdr:from>
    <xdr:to>
      <xdr:col>0</xdr:col>
      <xdr:colOff>723600</xdr:colOff>
      <xdr:row>668</xdr:row>
      <xdr:rowOff>119160</xdr:rowOff>
    </xdr:to>
    <xdr:pic>
      <xdr:nvPicPr>
        <xdr:cNvPr id="484" name="Image 51" descr="Picture"/>
        <xdr:cNvPicPr/>
      </xdr:nvPicPr>
      <xdr:blipFill>
        <a:blip r:embed="rId51"/>
        <a:stretch/>
      </xdr:blipFill>
      <xdr:spPr>
        <a:xfrm>
          <a:off x="0" y="198882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679</xdr:row>
      <xdr:rowOff>176400</xdr:rowOff>
    </xdr:from>
    <xdr:to>
      <xdr:col>0</xdr:col>
      <xdr:colOff>723600</xdr:colOff>
      <xdr:row>683</xdr:row>
      <xdr:rowOff>137880</xdr:rowOff>
    </xdr:to>
    <xdr:pic>
      <xdr:nvPicPr>
        <xdr:cNvPr id="485" name="Image 52" descr="Picture"/>
        <xdr:cNvPicPr/>
      </xdr:nvPicPr>
      <xdr:blipFill>
        <a:blip r:embed="rId52"/>
        <a:stretch/>
      </xdr:blipFill>
      <xdr:spPr>
        <a:xfrm>
          <a:off x="0" y="201758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693</xdr:row>
      <xdr:rowOff>5400</xdr:rowOff>
    </xdr:from>
    <xdr:to>
      <xdr:col>0</xdr:col>
      <xdr:colOff>723600</xdr:colOff>
      <xdr:row>696</xdr:row>
      <xdr:rowOff>157320</xdr:rowOff>
    </xdr:to>
    <xdr:pic>
      <xdr:nvPicPr>
        <xdr:cNvPr id="486" name="Image 53" descr="Picture"/>
        <xdr:cNvPicPr/>
      </xdr:nvPicPr>
      <xdr:blipFill>
        <a:blip r:embed="rId53"/>
        <a:stretch/>
      </xdr:blipFill>
      <xdr:spPr>
        <a:xfrm>
          <a:off x="0" y="204254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730</xdr:row>
      <xdr:rowOff>214560</xdr:rowOff>
    </xdr:from>
    <xdr:to>
      <xdr:col>0</xdr:col>
      <xdr:colOff>723600</xdr:colOff>
      <xdr:row>732</xdr:row>
      <xdr:rowOff>218160</xdr:rowOff>
    </xdr:to>
    <xdr:pic>
      <xdr:nvPicPr>
        <xdr:cNvPr id="487" name="Image 54" descr="Picture"/>
        <xdr:cNvPicPr/>
      </xdr:nvPicPr>
      <xdr:blipFill>
        <a:blip r:embed="rId54"/>
        <a:stretch/>
      </xdr:blipFill>
      <xdr:spPr>
        <a:xfrm>
          <a:off x="0" y="211512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734</xdr:row>
      <xdr:rowOff>317520</xdr:rowOff>
    </xdr:from>
    <xdr:to>
      <xdr:col>0</xdr:col>
      <xdr:colOff>723600</xdr:colOff>
      <xdr:row>736</xdr:row>
      <xdr:rowOff>321120</xdr:rowOff>
    </xdr:to>
    <xdr:pic>
      <xdr:nvPicPr>
        <xdr:cNvPr id="488" name="Image 55" descr="Picture"/>
        <xdr:cNvPicPr/>
      </xdr:nvPicPr>
      <xdr:blipFill>
        <a:blip r:embed="rId55"/>
        <a:stretch/>
      </xdr:blipFill>
      <xdr:spPr>
        <a:xfrm>
          <a:off x="0" y="213055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759</xdr:row>
      <xdr:rowOff>98640</xdr:rowOff>
    </xdr:from>
    <xdr:to>
      <xdr:col>0</xdr:col>
      <xdr:colOff>723600</xdr:colOff>
      <xdr:row>761</xdr:row>
      <xdr:rowOff>102240</xdr:rowOff>
    </xdr:to>
    <xdr:pic>
      <xdr:nvPicPr>
        <xdr:cNvPr id="489" name="Image 56" descr="Picture"/>
        <xdr:cNvPicPr/>
      </xdr:nvPicPr>
      <xdr:blipFill>
        <a:blip r:embed="rId56"/>
        <a:stretch/>
      </xdr:blipFill>
      <xdr:spPr>
        <a:xfrm>
          <a:off x="0" y="221837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763</xdr:row>
      <xdr:rowOff>201240</xdr:rowOff>
    </xdr:from>
    <xdr:to>
      <xdr:col>0</xdr:col>
      <xdr:colOff>723600</xdr:colOff>
      <xdr:row>766</xdr:row>
      <xdr:rowOff>183960</xdr:rowOff>
    </xdr:to>
    <xdr:pic>
      <xdr:nvPicPr>
        <xdr:cNvPr id="490" name="Image 57" descr="Picture"/>
        <xdr:cNvPicPr/>
      </xdr:nvPicPr>
      <xdr:blipFill>
        <a:blip r:embed="rId57"/>
        <a:stretch/>
      </xdr:blipFill>
      <xdr:spPr>
        <a:xfrm>
          <a:off x="0" y="2233803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791</xdr:row>
      <xdr:rowOff>14400</xdr:rowOff>
    </xdr:from>
    <xdr:to>
      <xdr:col>0</xdr:col>
      <xdr:colOff>723600</xdr:colOff>
      <xdr:row>794</xdr:row>
      <xdr:rowOff>166680</xdr:rowOff>
    </xdr:to>
    <xdr:pic>
      <xdr:nvPicPr>
        <xdr:cNvPr id="491" name="Image 58" descr="Picture"/>
        <xdr:cNvPicPr/>
      </xdr:nvPicPr>
      <xdr:blipFill>
        <a:blip r:embed="rId58"/>
        <a:stretch/>
      </xdr:blipFill>
      <xdr:spPr>
        <a:xfrm>
          <a:off x="0" y="231019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796</xdr:row>
      <xdr:rowOff>14760</xdr:rowOff>
    </xdr:from>
    <xdr:to>
      <xdr:col>0</xdr:col>
      <xdr:colOff>723600</xdr:colOff>
      <xdr:row>798</xdr:row>
      <xdr:rowOff>166680</xdr:rowOff>
    </xdr:to>
    <xdr:pic>
      <xdr:nvPicPr>
        <xdr:cNvPr id="492" name="Image 59" descr="Picture"/>
        <xdr:cNvPicPr/>
      </xdr:nvPicPr>
      <xdr:blipFill>
        <a:blip r:embed="rId59"/>
        <a:stretch/>
      </xdr:blipFill>
      <xdr:spPr>
        <a:xfrm>
          <a:off x="0" y="232562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806</xdr:row>
      <xdr:rowOff>14760</xdr:rowOff>
    </xdr:from>
    <xdr:to>
      <xdr:col>0</xdr:col>
      <xdr:colOff>723600</xdr:colOff>
      <xdr:row>808</xdr:row>
      <xdr:rowOff>166680</xdr:rowOff>
    </xdr:to>
    <xdr:pic>
      <xdr:nvPicPr>
        <xdr:cNvPr id="493" name="Image 60" descr="Picture"/>
        <xdr:cNvPicPr/>
      </xdr:nvPicPr>
      <xdr:blipFill>
        <a:blip r:embed="rId60"/>
        <a:stretch/>
      </xdr:blipFill>
      <xdr:spPr>
        <a:xfrm>
          <a:off x="0" y="235248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813</xdr:row>
      <xdr:rowOff>33480</xdr:rowOff>
    </xdr:from>
    <xdr:to>
      <xdr:col>0</xdr:col>
      <xdr:colOff>723600</xdr:colOff>
      <xdr:row>816</xdr:row>
      <xdr:rowOff>185760</xdr:rowOff>
    </xdr:to>
    <xdr:pic>
      <xdr:nvPicPr>
        <xdr:cNvPr id="494" name="Image 61" descr="Picture"/>
        <xdr:cNvPicPr/>
      </xdr:nvPicPr>
      <xdr:blipFill>
        <a:blip r:embed="rId61"/>
        <a:stretch/>
      </xdr:blipFill>
      <xdr:spPr>
        <a:xfrm>
          <a:off x="0" y="236791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828</xdr:row>
      <xdr:rowOff>243360</xdr:rowOff>
    </xdr:from>
    <xdr:to>
      <xdr:col>0</xdr:col>
      <xdr:colOff>723600</xdr:colOff>
      <xdr:row>829</xdr:row>
      <xdr:rowOff>185760</xdr:rowOff>
    </xdr:to>
    <xdr:pic>
      <xdr:nvPicPr>
        <xdr:cNvPr id="495" name="Image 62" descr="Picture"/>
        <xdr:cNvPicPr/>
      </xdr:nvPicPr>
      <xdr:blipFill>
        <a:blip r:embed="rId62"/>
        <a:stretch/>
      </xdr:blipFill>
      <xdr:spPr>
        <a:xfrm>
          <a:off x="0" y="239858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844</xdr:row>
      <xdr:rowOff>33840</xdr:rowOff>
    </xdr:from>
    <xdr:to>
      <xdr:col>0</xdr:col>
      <xdr:colOff>723600</xdr:colOff>
      <xdr:row>847</xdr:row>
      <xdr:rowOff>185760</xdr:rowOff>
    </xdr:to>
    <xdr:pic>
      <xdr:nvPicPr>
        <xdr:cNvPr id="496" name="Image 63" descr="Picture"/>
        <xdr:cNvPicPr/>
      </xdr:nvPicPr>
      <xdr:blipFill>
        <a:blip r:embed="rId63"/>
        <a:stretch/>
      </xdr:blipFill>
      <xdr:spPr>
        <a:xfrm>
          <a:off x="0" y="244259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849</xdr:row>
      <xdr:rowOff>624240</xdr:rowOff>
    </xdr:from>
    <xdr:to>
      <xdr:col>0</xdr:col>
      <xdr:colOff>723600</xdr:colOff>
      <xdr:row>852</xdr:row>
      <xdr:rowOff>185760</xdr:rowOff>
    </xdr:to>
    <xdr:pic>
      <xdr:nvPicPr>
        <xdr:cNvPr id="497" name="Image 64" descr="Picture"/>
        <xdr:cNvPicPr/>
      </xdr:nvPicPr>
      <xdr:blipFill>
        <a:blip r:embed="rId64"/>
        <a:stretch/>
      </xdr:blipFill>
      <xdr:spPr>
        <a:xfrm>
          <a:off x="0" y="245802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858</xdr:row>
      <xdr:rowOff>33840</xdr:rowOff>
    </xdr:from>
    <xdr:to>
      <xdr:col>0</xdr:col>
      <xdr:colOff>723600</xdr:colOff>
      <xdr:row>860</xdr:row>
      <xdr:rowOff>206640</xdr:rowOff>
    </xdr:to>
    <xdr:pic>
      <xdr:nvPicPr>
        <xdr:cNvPr id="498" name="Image 65" descr="Picture"/>
        <xdr:cNvPicPr/>
      </xdr:nvPicPr>
      <xdr:blipFill>
        <a:blip r:embed="rId65"/>
        <a:stretch/>
      </xdr:blipFill>
      <xdr:spPr>
        <a:xfrm>
          <a:off x="0" y="248297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861</xdr:row>
      <xdr:rowOff>154440</xdr:rowOff>
    </xdr:from>
    <xdr:to>
      <xdr:col>0</xdr:col>
      <xdr:colOff>723600</xdr:colOff>
      <xdr:row>862</xdr:row>
      <xdr:rowOff>347760</xdr:rowOff>
    </xdr:to>
    <xdr:pic>
      <xdr:nvPicPr>
        <xdr:cNvPr id="499" name="Image 66" descr="Picture"/>
        <xdr:cNvPicPr/>
      </xdr:nvPicPr>
      <xdr:blipFill>
        <a:blip r:embed="rId66"/>
        <a:stretch/>
      </xdr:blipFill>
      <xdr:spPr>
        <a:xfrm>
          <a:off x="0" y="249840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865</xdr:row>
      <xdr:rowOff>425880</xdr:rowOff>
    </xdr:from>
    <xdr:to>
      <xdr:col>0</xdr:col>
      <xdr:colOff>723600</xdr:colOff>
      <xdr:row>867</xdr:row>
      <xdr:rowOff>177840</xdr:rowOff>
    </xdr:to>
    <xdr:pic>
      <xdr:nvPicPr>
        <xdr:cNvPr id="500" name="Image 67" descr="Picture"/>
        <xdr:cNvPicPr/>
      </xdr:nvPicPr>
      <xdr:blipFill>
        <a:blip r:embed="rId67"/>
        <a:stretch/>
      </xdr:blipFill>
      <xdr:spPr>
        <a:xfrm>
          <a:off x="0" y="251383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874</xdr:row>
      <xdr:rowOff>86760</xdr:rowOff>
    </xdr:from>
    <xdr:to>
      <xdr:col>0</xdr:col>
      <xdr:colOff>723600</xdr:colOff>
      <xdr:row>875</xdr:row>
      <xdr:rowOff>29520</xdr:rowOff>
    </xdr:to>
    <xdr:pic>
      <xdr:nvPicPr>
        <xdr:cNvPr id="501" name="Image 68" descr="Picture"/>
        <xdr:cNvPicPr/>
      </xdr:nvPicPr>
      <xdr:blipFill>
        <a:blip r:embed="rId68"/>
        <a:stretch/>
      </xdr:blipFill>
      <xdr:spPr>
        <a:xfrm>
          <a:off x="0" y="253879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883</xdr:row>
      <xdr:rowOff>108000</xdr:rowOff>
    </xdr:from>
    <xdr:to>
      <xdr:col>0</xdr:col>
      <xdr:colOff>723600</xdr:colOff>
      <xdr:row>887</xdr:row>
      <xdr:rowOff>69840</xdr:rowOff>
    </xdr:to>
    <xdr:pic>
      <xdr:nvPicPr>
        <xdr:cNvPr id="502" name="Image 69" descr="Picture"/>
        <xdr:cNvPicPr/>
      </xdr:nvPicPr>
      <xdr:blipFill>
        <a:blip r:embed="rId69"/>
        <a:stretch/>
      </xdr:blipFill>
      <xdr:spPr>
        <a:xfrm>
          <a:off x="0" y="256565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1148</xdr:row>
      <xdr:rowOff>125640</xdr:rowOff>
    </xdr:from>
    <xdr:to>
      <xdr:col>0</xdr:col>
      <xdr:colOff>723600</xdr:colOff>
      <xdr:row>1152</xdr:row>
      <xdr:rowOff>87120</xdr:rowOff>
    </xdr:to>
    <xdr:pic>
      <xdr:nvPicPr>
        <xdr:cNvPr id="503" name="Image 70" descr="Picture"/>
        <xdr:cNvPicPr/>
      </xdr:nvPicPr>
      <xdr:blipFill>
        <a:blip r:embed="rId70"/>
        <a:stretch/>
      </xdr:blipFill>
      <xdr:spPr>
        <a:xfrm>
          <a:off x="0" y="323830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1305</xdr:row>
      <xdr:rowOff>145080</xdr:rowOff>
    </xdr:from>
    <xdr:to>
      <xdr:col>0</xdr:col>
      <xdr:colOff>723600</xdr:colOff>
      <xdr:row>1309</xdr:row>
      <xdr:rowOff>106560</xdr:rowOff>
    </xdr:to>
    <xdr:pic>
      <xdr:nvPicPr>
        <xdr:cNvPr id="504" name="Image 71" descr="Picture"/>
        <xdr:cNvPicPr/>
      </xdr:nvPicPr>
      <xdr:blipFill>
        <a:blip r:embed="rId71"/>
        <a:stretch/>
      </xdr:blipFill>
      <xdr:spPr>
        <a:xfrm>
          <a:off x="0" y="353758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1651</xdr:row>
      <xdr:rowOff>125640</xdr:rowOff>
    </xdr:from>
    <xdr:to>
      <xdr:col>0</xdr:col>
      <xdr:colOff>723600</xdr:colOff>
      <xdr:row>1655</xdr:row>
      <xdr:rowOff>87120</xdr:rowOff>
    </xdr:to>
    <xdr:pic>
      <xdr:nvPicPr>
        <xdr:cNvPr id="505" name="Image 72" descr="Picture"/>
        <xdr:cNvPicPr/>
      </xdr:nvPicPr>
      <xdr:blipFill>
        <a:blip r:embed="rId72"/>
        <a:stretch/>
      </xdr:blipFill>
      <xdr:spPr>
        <a:xfrm>
          <a:off x="0" y="421214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2000</xdr:row>
      <xdr:rowOff>125640</xdr:rowOff>
    </xdr:from>
    <xdr:to>
      <xdr:col>0</xdr:col>
      <xdr:colOff>723600</xdr:colOff>
      <xdr:row>2004</xdr:row>
      <xdr:rowOff>87120</xdr:rowOff>
    </xdr:to>
    <xdr:pic>
      <xdr:nvPicPr>
        <xdr:cNvPr id="506" name="Image 73" descr="Picture"/>
        <xdr:cNvPicPr/>
      </xdr:nvPicPr>
      <xdr:blipFill>
        <a:blip r:embed="rId73"/>
        <a:stretch/>
      </xdr:blipFill>
      <xdr:spPr>
        <a:xfrm>
          <a:off x="0" y="488480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2348</xdr:row>
      <xdr:rowOff>125640</xdr:rowOff>
    </xdr:from>
    <xdr:to>
      <xdr:col>0</xdr:col>
      <xdr:colOff>723600</xdr:colOff>
      <xdr:row>2352</xdr:row>
      <xdr:rowOff>87480</xdr:rowOff>
    </xdr:to>
    <xdr:pic>
      <xdr:nvPicPr>
        <xdr:cNvPr id="507" name="Image 74" descr="Picture"/>
        <xdr:cNvPicPr/>
      </xdr:nvPicPr>
      <xdr:blipFill>
        <a:blip r:embed="rId74"/>
        <a:stretch/>
      </xdr:blipFill>
      <xdr:spPr>
        <a:xfrm>
          <a:off x="0" y="555555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2698</xdr:row>
      <xdr:rowOff>126000</xdr:rowOff>
    </xdr:from>
    <xdr:to>
      <xdr:col>0</xdr:col>
      <xdr:colOff>723600</xdr:colOff>
      <xdr:row>2702</xdr:row>
      <xdr:rowOff>87480</xdr:rowOff>
    </xdr:to>
    <xdr:pic>
      <xdr:nvPicPr>
        <xdr:cNvPr id="508" name="Image 75" descr="Picture"/>
        <xdr:cNvPicPr/>
      </xdr:nvPicPr>
      <xdr:blipFill>
        <a:blip r:embed="rId75"/>
        <a:stretch/>
      </xdr:blipFill>
      <xdr:spPr>
        <a:xfrm>
          <a:off x="0" y="623011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2706</xdr:row>
      <xdr:rowOff>144720</xdr:rowOff>
    </xdr:from>
    <xdr:to>
      <xdr:col>0</xdr:col>
      <xdr:colOff>723600</xdr:colOff>
      <xdr:row>2710</xdr:row>
      <xdr:rowOff>106560</xdr:rowOff>
    </xdr:to>
    <xdr:pic>
      <xdr:nvPicPr>
        <xdr:cNvPr id="509" name="Image 76" descr="Picture"/>
        <xdr:cNvPicPr/>
      </xdr:nvPicPr>
      <xdr:blipFill>
        <a:blip r:embed="rId76"/>
        <a:stretch/>
      </xdr:blipFill>
      <xdr:spPr>
        <a:xfrm>
          <a:off x="0" y="624554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2726</xdr:row>
      <xdr:rowOff>163800</xdr:rowOff>
    </xdr:from>
    <xdr:to>
      <xdr:col>0</xdr:col>
      <xdr:colOff>723600</xdr:colOff>
      <xdr:row>2730</xdr:row>
      <xdr:rowOff>125280</xdr:rowOff>
    </xdr:to>
    <xdr:pic>
      <xdr:nvPicPr>
        <xdr:cNvPr id="510" name="Image 77" descr="Picture"/>
        <xdr:cNvPicPr/>
      </xdr:nvPicPr>
      <xdr:blipFill>
        <a:blip r:embed="rId77"/>
        <a:stretch/>
      </xdr:blipFill>
      <xdr:spPr>
        <a:xfrm>
          <a:off x="0" y="628383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2734</xdr:row>
      <xdr:rowOff>182880</xdr:rowOff>
    </xdr:from>
    <xdr:to>
      <xdr:col>0</xdr:col>
      <xdr:colOff>723600</xdr:colOff>
      <xdr:row>2738</xdr:row>
      <xdr:rowOff>144360</xdr:rowOff>
    </xdr:to>
    <xdr:pic>
      <xdr:nvPicPr>
        <xdr:cNvPr id="511" name="Image 78" descr="Picture"/>
        <xdr:cNvPicPr/>
      </xdr:nvPicPr>
      <xdr:blipFill>
        <a:blip r:embed="rId78"/>
        <a:stretch/>
      </xdr:blipFill>
      <xdr:spPr>
        <a:xfrm>
          <a:off x="0" y="629926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2750</xdr:row>
      <xdr:rowOff>11520</xdr:rowOff>
    </xdr:from>
    <xdr:to>
      <xdr:col>0</xdr:col>
      <xdr:colOff>723600</xdr:colOff>
      <xdr:row>2753</xdr:row>
      <xdr:rowOff>163440</xdr:rowOff>
    </xdr:to>
    <xdr:pic>
      <xdr:nvPicPr>
        <xdr:cNvPr id="512" name="Image 79" descr="Picture"/>
        <xdr:cNvPicPr/>
      </xdr:nvPicPr>
      <xdr:blipFill>
        <a:blip r:embed="rId79"/>
        <a:stretch/>
      </xdr:blipFill>
      <xdr:spPr>
        <a:xfrm>
          <a:off x="0" y="632802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2763</xdr:row>
      <xdr:rowOff>30600</xdr:rowOff>
    </xdr:from>
    <xdr:to>
      <xdr:col>0</xdr:col>
      <xdr:colOff>723600</xdr:colOff>
      <xdr:row>2766</xdr:row>
      <xdr:rowOff>182520</xdr:rowOff>
    </xdr:to>
    <xdr:pic>
      <xdr:nvPicPr>
        <xdr:cNvPr id="513" name="Image 80" descr="Picture"/>
        <xdr:cNvPicPr/>
      </xdr:nvPicPr>
      <xdr:blipFill>
        <a:blip r:embed="rId80"/>
        <a:stretch/>
      </xdr:blipFill>
      <xdr:spPr>
        <a:xfrm>
          <a:off x="0" y="635298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2776</xdr:row>
      <xdr:rowOff>49680</xdr:rowOff>
    </xdr:from>
    <xdr:to>
      <xdr:col>0</xdr:col>
      <xdr:colOff>723600</xdr:colOff>
      <xdr:row>2780</xdr:row>
      <xdr:rowOff>11160</xdr:rowOff>
    </xdr:to>
    <xdr:pic>
      <xdr:nvPicPr>
        <xdr:cNvPr id="514" name="Image 81" descr="Picture"/>
        <xdr:cNvPicPr/>
      </xdr:nvPicPr>
      <xdr:blipFill>
        <a:blip r:embed="rId81"/>
        <a:stretch/>
      </xdr:blipFill>
      <xdr:spPr>
        <a:xfrm>
          <a:off x="0" y="637794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2789</xdr:row>
      <xdr:rowOff>68400</xdr:rowOff>
    </xdr:from>
    <xdr:to>
      <xdr:col>0</xdr:col>
      <xdr:colOff>723600</xdr:colOff>
      <xdr:row>2793</xdr:row>
      <xdr:rowOff>30240</xdr:rowOff>
    </xdr:to>
    <xdr:pic>
      <xdr:nvPicPr>
        <xdr:cNvPr id="515" name="Image 82" descr="Picture"/>
        <xdr:cNvPicPr/>
      </xdr:nvPicPr>
      <xdr:blipFill>
        <a:blip r:embed="rId82"/>
        <a:stretch/>
      </xdr:blipFill>
      <xdr:spPr>
        <a:xfrm>
          <a:off x="0" y="640289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2803</xdr:row>
      <xdr:rowOff>87480</xdr:rowOff>
    </xdr:from>
    <xdr:to>
      <xdr:col>0</xdr:col>
      <xdr:colOff>723600</xdr:colOff>
      <xdr:row>2807</xdr:row>
      <xdr:rowOff>48960</xdr:rowOff>
    </xdr:to>
    <xdr:pic>
      <xdr:nvPicPr>
        <xdr:cNvPr id="516" name="Image 83" descr="Picture"/>
        <xdr:cNvPicPr/>
      </xdr:nvPicPr>
      <xdr:blipFill>
        <a:blip r:embed="rId83"/>
        <a:stretch/>
      </xdr:blipFill>
      <xdr:spPr>
        <a:xfrm>
          <a:off x="0" y="642975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2817</xdr:row>
      <xdr:rowOff>106920</xdr:rowOff>
    </xdr:from>
    <xdr:to>
      <xdr:col>0</xdr:col>
      <xdr:colOff>723600</xdr:colOff>
      <xdr:row>2821</xdr:row>
      <xdr:rowOff>68400</xdr:rowOff>
    </xdr:to>
    <xdr:pic>
      <xdr:nvPicPr>
        <xdr:cNvPr id="517" name="Image 84" descr="Picture"/>
        <xdr:cNvPicPr/>
      </xdr:nvPicPr>
      <xdr:blipFill>
        <a:blip r:embed="rId84"/>
        <a:stretch/>
      </xdr:blipFill>
      <xdr:spPr>
        <a:xfrm>
          <a:off x="0" y="645661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2830</xdr:row>
      <xdr:rowOff>126000</xdr:rowOff>
    </xdr:from>
    <xdr:to>
      <xdr:col>0</xdr:col>
      <xdr:colOff>723600</xdr:colOff>
      <xdr:row>2834</xdr:row>
      <xdr:rowOff>87480</xdr:rowOff>
    </xdr:to>
    <xdr:pic>
      <xdr:nvPicPr>
        <xdr:cNvPr id="518" name="Image 85" descr="Picture"/>
        <xdr:cNvPicPr/>
      </xdr:nvPicPr>
      <xdr:blipFill>
        <a:blip r:embed="rId85"/>
        <a:stretch/>
      </xdr:blipFill>
      <xdr:spPr>
        <a:xfrm>
          <a:off x="0" y="648157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2843</xdr:row>
      <xdr:rowOff>144720</xdr:rowOff>
    </xdr:from>
    <xdr:to>
      <xdr:col>0</xdr:col>
      <xdr:colOff>723600</xdr:colOff>
      <xdr:row>2847</xdr:row>
      <xdr:rowOff>106560</xdr:rowOff>
    </xdr:to>
    <xdr:pic>
      <xdr:nvPicPr>
        <xdr:cNvPr id="519" name="Image 86" descr="Picture"/>
        <xdr:cNvPicPr/>
      </xdr:nvPicPr>
      <xdr:blipFill>
        <a:blip r:embed="rId86"/>
        <a:stretch/>
      </xdr:blipFill>
      <xdr:spPr>
        <a:xfrm>
          <a:off x="0" y="650652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2866</xdr:row>
      <xdr:rowOff>164160</xdr:rowOff>
    </xdr:from>
    <xdr:to>
      <xdr:col>0</xdr:col>
      <xdr:colOff>723600</xdr:colOff>
      <xdr:row>2870</xdr:row>
      <xdr:rowOff>125640</xdr:rowOff>
    </xdr:to>
    <xdr:pic>
      <xdr:nvPicPr>
        <xdr:cNvPr id="520" name="Image 87" descr="Picture"/>
        <xdr:cNvPicPr/>
      </xdr:nvPicPr>
      <xdr:blipFill>
        <a:blip r:embed="rId87"/>
        <a:stretch/>
      </xdr:blipFill>
      <xdr:spPr>
        <a:xfrm>
          <a:off x="0" y="655053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2874</xdr:row>
      <xdr:rowOff>182880</xdr:rowOff>
    </xdr:from>
    <xdr:to>
      <xdr:col>0</xdr:col>
      <xdr:colOff>723600</xdr:colOff>
      <xdr:row>2878</xdr:row>
      <xdr:rowOff>144720</xdr:rowOff>
    </xdr:to>
    <xdr:pic>
      <xdr:nvPicPr>
        <xdr:cNvPr id="521" name="Image 88" descr="Picture"/>
        <xdr:cNvPicPr/>
      </xdr:nvPicPr>
      <xdr:blipFill>
        <a:blip r:embed="rId88"/>
        <a:stretch/>
      </xdr:blipFill>
      <xdr:spPr>
        <a:xfrm>
          <a:off x="0" y="656596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2902</xdr:row>
      <xdr:rowOff>11520</xdr:rowOff>
    </xdr:from>
    <xdr:to>
      <xdr:col>0</xdr:col>
      <xdr:colOff>723600</xdr:colOff>
      <xdr:row>2905</xdr:row>
      <xdr:rowOff>163440</xdr:rowOff>
    </xdr:to>
    <xdr:pic>
      <xdr:nvPicPr>
        <xdr:cNvPr id="522" name="Image 89" descr="Picture"/>
        <xdr:cNvPicPr/>
      </xdr:nvPicPr>
      <xdr:blipFill>
        <a:blip r:embed="rId89"/>
        <a:stretch/>
      </xdr:blipFill>
      <xdr:spPr>
        <a:xfrm>
          <a:off x="0" y="6617588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2917</xdr:row>
      <xdr:rowOff>30600</xdr:rowOff>
    </xdr:from>
    <xdr:to>
      <xdr:col>0</xdr:col>
      <xdr:colOff>723600</xdr:colOff>
      <xdr:row>2920</xdr:row>
      <xdr:rowOff>182880</xdr:rowOff>
    </xdr:to>
    <xdr:pic>
      <xdr:nvPicPr>
        <xdr:cNvPr id="523" name="Image 90" descr="Picture"/>
        <xdr:cNvPicPr/>
      </xdr:nvPicPr>
      <xdr:blipFill>
        <a:blip r:embed="rId90"/>
        <a:stretch/>
      </xdr:blipFill>
      <xdr:spPr>
        <a:xfrm>
          <a:off x="0" y="664635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2938</xdr:row>
      <xdr:rowOff>49680</xdr:rowOff>
    </xdr:from>
    <xdr:to>
      <xdr:col>0</xdr:col>
      <xdr:colOff>723600</xdr:colOff>
      <xdr:row>2942</xdr:row>
      <xdr:rowOff>11160</xdr:rowOff>
    </xdr:to>
    <xdr:pic>
      <xdr:nvPicPr>
        <xdr:cNvPr id="524" name="Image 91" descr="Picture"/>
        <xdr:cNvPicPr/>
      </xdr:nvPicPr>
      <xdr:blipFill>
        <a:blip r:embed="rId91"/>
        <a:stretch/>
      </xdr:blipFill>
      <xdr:spPr>
        <a:xfrm>
          <a:off x="0" y="668655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2981</xdr:row>
      <xdr:rowOff>68400</xdr:rowOff>
    </xdr:from>
    <xdr:to>
      <xdr:col>0</xdr:col>
      <xdr:colOff>723600</xdr:colOff>
      <xdr:row>2985</xdr:row>
      <xdr:rowOff>30240</xdr:rowOff>
    </xdr:to>
    <xdr:pic>
      <xdr:nvPicPr>
        <xdr:cNvPr id="525" name="Image 92" descr="Picture"/>
        <xdr:cNvPicPr/>
      </xdr:nvPicPr>
      <xdr:blipFill>
        <a:blip r:embed="rId92"/>
        <a:stretch/>
      </xdr:blipFill>
      <xdr:spPr>
        <a:xfrm>
          <a:off x="0" y="676865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2994</xdr:row>
      <xdr:rowOff>259200</xdr:rowOff>
    </xdr:from>
    <xdr:to>
      <xdr:col>0</xdr:col>
      <xdr:colOff>723600</xdr:colOff>
      <xdr:row>2996</xdr:row>
      <xdr:rowOff>11160</xdr:rowOff>
    </xdr:to>
    <xdr:pic>
      <xdr:nvPicPr>
        <xdr:cNvPr id="526" name="Image 93" descr="Picture"/>
        <xdr:cNvPicPr/>
      </xdr:nvPicPr>
      <xdr:blipFill>
        <a:blip r:embed="rId93"/>
        <a:stretch/>
      </xdr:blipFill>
      <xdr:spPr>
        <a:xfrm>
          <a:off x="0" y="680123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3005</xdr:row>
      <xdr:rowOff>68400</xdr:rowOff>
    </xdr:from>
    <xdr:to>
      <xdr:col>0</xdr:col>
      <xdr:colOff>723600</xdr:colOff>
      <xdr:row>3009</xdr:row>
      <xdr:rowOff>30240</xdr:rowOff>
    </xdr:to>
    <xdr:pic>
      <xdr:nvPicPr>
        <xdr:cNvPr id="527" name="Image 94" descr="Picture"/>
        <xdr:cNvPicPr/>
      </xdr:nvPicPr>
      <xdr:blipFill>
        <a:blip r:embed="rId94"/>
        <a:stretch/>
      </xdr:blipFill>
      <xdr:spPr>
        <a:xfrm>
          <a:off x="0" y="682809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3017</xdr:row>
      <xdr:rowOff>240120</xdr:rowOff>
    </xdr:from>
    <xdr:to>
      <xdr:col>0</xdr:col>
      <xdr:colOff>723600</xdr:colOff>
      <xdr:row>3021</xdr:row>
      <xdr:rowOff>11160</xdr:rowOff>
    </xdr:to>
    <xdr:pic>
      <xdr:nvPicPr>
        <xdr:cNvPr id="528" name="Image 95" descr="Picture"/>
        <xdr:cNvPicPr/>
      </xdr:nvPicPr>
      <xdr:blipFill>
        <a:blip r:embed="rId95"/>
        <a:stretch/>
      </xdr:blipFill>
      <xdr:spPr>
        <a:xfrm>
          <a:off x="0" y="686447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3027</xdr:row>
      <xdr:rowOff>49320</xdr:rowOff>
    </xdr:from>
    <xdr:to>
      <xdr:col>0</xdr:col>
      <xdr:colOff>723600</xdr:colOff>
      <xdr:row>3030</xdr:row>
      <xdr:rowOff>11160</xdr:rowOff>
    </xdr:to>
    <xdr:pic>
      <xdr:nvPicPr>
        <xdr:cNvPr id="529" name="Image 96" descr="Picture"/>
        <xdr:cNvPicPr/>
      </xdr:nvPicPr>
      <xdr:blipFill>
        <a:blip r:embed="rId96"/>
        <a:stretch/>
      </xdr:blipFill>
      <xdr:spPr>
        <a:xfrm>
          <a:off x="0" y="6889431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3032</xdr:row>
      <xdr:rowOff>280080</xdr:rowOff>
    </xdr:from>
    <xdr:to>
      <xdr:col>0</xdr:col>
      <xdr:colOff>723600</xdr:colOff>
      <xdr:row>3035</xdr:row>
      <xdr:rowOff>262800</xdr:rowOff>
    </xdr:to>
    <xdr:pic>
      <xdr:nvPicPr>
        <xdr:cNvPr id="530" name="Image 97" descr="Picture"/>
        <xdr:cNvPicPr/>
      </xdr:nvPicPr>
      <xdr:blipFill>
        <a:blip r:embed="rId97"/>
        <a:stretch/>
      </xdr:blipFill>
      <xdr:spPr>
        <a:xfrm>
          <a:off x="0" y="690486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3052</xdr:row>
      <xdr:rowOff>133200</xdr:rowOff>
    </xdr:from>
    <xdr:to>
      <xdr:col>0</xdr:col>
      <xdr:colOff>723600</xdr:colOff>
      <xdr:row>3053</xdr:row>
      <xdr:rowOff>666360</xdr:rowOff>
    </xdr:to>
    <xdr:pic>
      <xdr:nvPicPr>
        <xdr:cNvPr id="531" name="Image 98" descr="Picture"/>
        <xdr:cNvPicPr/>
      </xdr:nvPicPr>
      <xdr:blipFill>
        <a:blip r:embed="rId98"/>
        <a:stretch/>
      </xdr:blipFill>
      <xdr:spPr>
        <a:xfrm>
          <a:off x="0" y="696220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3069</xdr:row>
      <xdr:rowOff>114480</xdr:rowOff>
    </xdr:from>
    <xdr:to>
      <xdr:col>0</xdr:col>
      <xdr:colOff>723600</xdr:colOff>
      <xdr:row>3073</xdr:row>
      <xdr:rowOff>75960</xdr:rowOff>
    </xdr:to>
    <xdr:pic>
      <xdr:nvPicPr>
        <xdr:cNvPr id="532" name="Image 99" descr="Picture"/>
        <xdr:cNvPicPr/>
      </xdr:nvPicPr>
      <xdr:blipFill>
        <a:blip r:embed="rId99"/>
        <a:stretch/>
      </xdr:blipFill>
      <xdr:spPr>
        <a:xfrm>
          <a:off x="0" y="701002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3115</xdr:row>
      <xdr:rowOff>268560</xdr:rowOff>
    </xdr:from>
    <xdr:to>
      <xdr:col>0</xdr:col>
      <xdr:colOff>723600</xdr:colOff>
      <xdr:row>3117</xdr:row>
      <xdr:rowOff>20520</xdr:rowOff>
    </xdr:to>
    <xdr:pic>
      <xdr:nvPicPr>
        <xdr:cNvPr id="533" name="Image 100" descr="Picture"/>
        <xdr:cNvPicPr/>
      </xdr:nvPicPr>
      <xdr:blipFill>
        <a:blip r:embed="rId100"/>
        <a:stretch/>
      </xdr:blipFill>
      <xdr:spPr>
        <a:xfrm>
          <a:off x="0" y="713022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3124</xdr:row>
      <xdr:rowOff>352440</xdr:rowOff>
    </xdr:from>
    <xdr:to>
      <xdr:col>0</xdr:col>
      <xdr:colOff>723600</xdr:colOff>
      <xdr:row>3126</xdr:row>
      <xdr:rowOff>356040</xdr:rowOff>
    </xdr:to>
    <xdr:pic>
      <xdr:nvPicPr>
        <xdr:cNvPr id="534" name="Image 101" descr="Picture"/>
        <xdr:cNvPicPr/>
      </xdr:nvPicPr>
      <xdr:blipFill>
        <a:blip r:embed="rId101"/>
        <a:stretch/>
      </xdr:blipFill>
      <xdr:spPr>
        <a:xfrm>
          <a:off x="0" y="7162801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3132</xdr:row>
      <xdr:rowOff>158040</xdr:rowOff>
    </xdr:from>
    <xdr:to>
      <xdr:col>0</xdr:col>
      <xdr:colOff>723600</xdr:colOff>
      <xdr:row>3134</xdr:row>
      <xdr:rowOff>161640</xdr:rowOff>
    </xdr:to>
    <xdr:pic>
      <xdr:nvPicPr>
        <xdr:cNvPr id="535" name="Image 102" descr="Picture"/>
        <xdr:cNvPicPr/>
      </xdr:nvPicPr>
      <xdr:blipFill>
        <a:blip r:embed="rId102"/>
        <a:stretch/>
      </xdr:blipFill>
      <xdr:spPr>
        <a:xfrm>
          <a:off x="0" y="718966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3139</xdr:row>
      <xdr:rowOff>51480</xdr:rowOff>
    </xdr:from>
    <xdr:to>
      <xdr:col>0</xdr:col>
      <xdr:colOff>723600</xdr:colOff>
      <xdr:row>3142</xdr:row>
      <xdr:rowOff>12960</xdr:rowOff>
    </xdr:to>
    <xdr:pic>
      <xdr:nvPicPr>
        <xdr:cNvPr id="536" name="Image 103" descr="Picture"/>
        <xdr:cNvPicPr/>
      </xdr:nvPicPr>
      <xdr:blipFill>
        <a:blip r:embed="rId103"/>
        <a:stretch/>
      </xdr:blipFill>
      <xdr:spPr>
        <a:xfrm>
          <a:off x="0" y="721461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3150</xdr:row>
      <xdr:rowOff>51120</xdr:rowOff>
    </xdr:from>
    <xdr:to>
      <xdr:col>0</xdr:col>
      <xdr:colOff>723600</xdr:colOff>
      <xdr:row>3153</xdr:row>
      <xdr:rowOff>12960</xdr:rowOff>
    </xdr:to>
    <xdr:pic>
      <xdr:nvPicPr>
        <xdr:cNvPr id="537" name="Image 104" descr="Picture"/>
        <xdr:cNvPicPr/>
      </xdr:nvPicPr>
      <xdr:blipFill>
        <a:blip r:embed="rId104"/>
        <a:stretch/>
      </xdr:blipFill>
      <xdr:spPr>
        <a:xfrm>
          <a:off x="0" y="724338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3157</xdr:row>
      <xdr:rowOff>70560</xdr:rowOff>
    </xdr:from>
    <xdr:to>
      <xdr:col>0</xdr:col>
      <xdr:colOff>723600</xdr:colOff>
      <xdr:row>3159</xdr:row>
      <xdr:rowOff>243720</xdr:rowOff>
    </xdr:to>
    <xdr:pic>
      <xdr:nvPicPr>
        <xdr:cNvPr id="538" name="Image 105" descr="Picture"/>
        <xdr:cNvPicPr/>
      </xdr:nvPicPr>
      <xdr:blipFill>
        <a:blip r:embed="rId105"/>
        <a:stretch/>
      </xdr:blipFill>
      <xdr:spPr>
        <a:xfrm>
          <a:off x="0" y="725881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3166</xdr:row>
      <xdr:rowOff>215280</xdr:rowOff>
    </xdr:from>
    <xdr:to>
      <xdr:col>0</xdr:col>
      <xdr:colOff>723600</xdr:colOff>
      <xdr:row>3167</xdr:row>
      <xdr:rowOff>157680</xdr:rowOff>
    </xdr:to>
    <xdr:pic>
      <xdr:nvPicPr>
        <xdr:cNvPr id="539" name="Image 106" descr="Picture"/>
        <xdr:cNvPicPr/>
      </xdr:nvPicPr>
      <xdr:blipFill>
        <a:blip r:embed="rId106"/>
        <a:stretch/>
      </xdr:blipFill>
      <xdr:spPr>
        <a:xfrm>
          <a:off x="0" y="7287577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3182</xdr:row>
      <xdr:rowOff>24840</xdr:rowOff>
    </xdr:from>
    <xdr:to>
      <xdr:col>0</xdr:col>
      <xdr:colOff>723600</xdr:colOff>
      <xdr:row>3185</xdr:row>
      <xdr:rowOff>176760</xdr:rowOff>
    </xdr:to>
    <xdr:pic>
      <xdr:nvPicPr>
        <xdr:cNvPr id="540" name="Image 107" descr="Picture"/>
        <xdr:cNvPicPr/>
      </xdr:nvPicPr>
      <xdr:blipFill>
        <a:blip r:embed="rId107"/>
        <a:stretch/>
      </xdr:blipFill>
      <xdr:spPr>
        <a:xfrm>
          <a:off x="0" y="732396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3199</xdr:row>
      <xdr:rowOff>43920</xdr:rowOff>
    </xdr:from>
    <xdr:to>
      <xdr:col>0</xdr:col>
      <xdr:colOff>723600</xdr:colOff>
      <xdr:row>3203</xdr:row>
      <xdr:rowOff>5400</xdr:rowOff>
    </xdr:to>
    <xdr:pic>
      <xdr:nvPicPr>
        <xdr:cNvPr id="541" name="Image 108" descr="Picture"/>
        <xdr:cNvPicPr/>
      </xdr:nvPicPr>
      <xdr:blipFill>
        <a:blip r:embed="rId108"/>
        <a:stretch/>
      </xdr:blipFill>
      <xdr:spPr>
        <a:xfrm>
          <a:off x="0" y="7356538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3217</xdr:row>
      <xdr:rowOff>43920</xdr:rowOff>
    </xdr:from>
    <xdr:to>
      <xdr:col>0</xdr:col>
      <xdr:colOff>723600</xdr:colOff>
      <xdr:row>3218</xdr:row>
      <xdr:rowOff>577080</xdr:rowOff>
    </xdr:to>
    <xdr:pic>
      <xdr:nvPicPr>
        <xdr:cNvPr id="542" name="Image 109" descr="Picture"/>
        <xdr:cNvPicPr/>
      </xdr:nvPicPr>
      <xdr:blipFill>
        <a:blip r:embed="rId109"/>
        <a:stretch/>
      </xdr:blipFill>
      <xdr:spPr>
        <a:xfrm>
          <a:off x="0" y="7398640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3225</xdr:row>
      <xdr:rowOff>64800</xdr:rowOff>
    </xdr:from>
    <xdr:to>
      <xdr:col>0</xdr:col>
      <xdr:colOff>723600</xdr:colOff>
      <xdr:row>3228</xdr:row>
      <xdr:rowOff>217080</xdr:rowOff>
    </xdr:to>
    <xdr:pic>
      <xdr:nvPicPr>
        <xdr:cNvPr id="543" name="Image 110" descr="Picture"/>
        <xdr:cNvPicPr/>
      </xdr:nvPicPr>
      <xdr:blipFill>
        <a:blip r:embed="rId110"/>
        <a:stretch/>
      </xdr:blipFill>
      <xdr:spPr>
        <a:xfrm>
          <a:off x="0" y="742359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3306</xdr:row>
      <xdr:rowOff>279720</xdr:rowOff>
    </xdr:from>
    <xdr:to>
      <xdr:col>0</xdr:col>
      <xdr:colOff>723600</xdr:colOff>
      <xdr:row>3309</xdr:row>
      <xdr:rowOff>241200</xdr:rowOff>
    </xdr:to>
    <xdr:pic>
      <xdr:nvPicPr>
        <xdr:cNvPr id="544" name="Image 111" descr="Picture"/>
        <xdr:cNvPicPr/>
      </xdr:nvPicPr>
      <xdr:blipFill>
        <a:blip r:embed="rId111"/>
        <a:stretch/>
      </xdr:blipFill>
      <xdr:spPr>
        <a:xfrm>
          <a:off x="0" y="766381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3318</xdr:row>
      <xdr:rowOff>106200</xdr:rowOff>
    </xdr:from>
    <xdr:to>
      <xdr:col>0</xdr:col>
      <xdr:colOff>723600</xdr:colOff>
      <xdr:row>3320</xdr:row>
      <xdr:rowOff>109800</xdr:rowOff>
    </xdr:to>
    <xdr:pic>
      <xdr:nvPicPr>
        <xdr:cNvPr id="545" name="Image 112" descr="Picture"/>
        <xdr:cNvPicPr/>
      </xdr:nvPicPr>
      <xdr:blipFill>
        <a:blip r:embed="rId112"/>
        <a:stretch/>
      </xdr:blipFill>
      <xdr:spPr>
        <a:xfrm>
          <a:off x="0" y="770210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3332</xdr:row>
      <xdr:rowOff>227880</xdr:rowOff>
    </xdr:from>
    <xdr:to>
      <xdr:col>0</xdr:col>
      <xdr:colOff>723600</xdr:colOff>
      <xdr:row>3334</xdr:row>
      <xdr:rowOff>231480</xdr:rowOff>
    </xdr:to>
    <xdr:pic>
      <xdr:nvPicPr>
        <xdr:cNvPr id="546" name="Image 113" descr="Picture"/>
        <xdr:cNvPicPr/>
      </xdr:nvPicPr>
      <xdr:blipFill>
        <a:blip r:embed="rId113"/>
        <a:stretch/>
      </xdr:blipFill>
      <xdr:spPr>
        <a:xfrm>
          <a:off x="0" y="7753730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3336</xdr:row>
      <xdr:rowOff>330840</xdr:rowOff>
    </xdr:from>
    <xdr:to>
      <xdr:col>0</xdr:col>
      <xdr:colOff>723600</xdr:colOff>
      <xdr:row>3338</xdr:row>
      <xdr:rowOff>334080</xdr:rowOff>
    </xdr:to>
    <xdr:pic>
      <xdr:nvPicPr>
        <xdr:cNvPr id="547" name="Image 114" descr="Picture"/>
        <xdr:cNvPicPr/>
      </xdr:nvPicPr>
      <xdr:blipFill>
        <a:blip r:embed="rId114"/>
        <a:stretch/>
      </xdr:blipFill>
      <xdr:spPr>
        <a:xfrm>
          <a:off x="0" y="7769160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3354</xdr:row>
      <xdr:rowOff>155520</xdr:rowOff>
    </xdr:from>
    <xdr:to>
      <xdr:col>0</xdr:col>
      <xdr:colOff>723600</xdr:colOff>
      <xdr:row>3356</xdr:row>
      <xdr:rowOff>159120</xdr:rowOff>
    </xdr:to>
    <xdr:pic>
      <xdr:nvPicPr>
        <xdr:cNvPr id="548" name="Image 115" descr="Picture"/>
        <xdr:cNvPicPr/>
      </xdr:nvPicPr>
      <xdr:blipFill>
        <a:blip r:embed="rId115"/>
        <a:stretch/>
      </xdr:blipFill>
      <xdr:spPr>
        <a:xfrm>
          <a:off x="0" y="7832217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3369</xdr:row>
      <xdr:rowOff>323280</xdr:rowOff>
    </xdr:from>
    <xdr:to>
      <xdr:col>0</xdr:col>
      <xdr:colOff>561600</xdr:colOff>
      <xdr:row>3371</xdr:row>
      <xdr:rowOff>326520</xdr:rowOff>
    </xdr:to>
    <xdr:pic>
      <xdr:nvPicPr>
        <xdr:cNvPr id="549" name="Image 116" descr="Picture"/>
        <xdr:cNvPicPr/>
      </xdr:nvPicPr>
      <xdr:blipFill>
        <a:blip r:embed="rId116"/>
        <a:stretch/>
      </xdr:blipFill>
      <xdr:spPr>
        <a:xfrm>
          <a:off x="0" y="788384160"/>
          <a:ext cx="561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3374</xdr:row>
      <xdr:rowOff>66240</xdr:rowOff>
    </xdr:from>
    <xdr:to>
      <xdr:col>0</xdr:col>
      <xdr:colOff>723600</xdr:colOff>
      <xdr:row>3376</xdr:row>
      <xdr:rowOff>408960</xdr:rowOff>
    </xdr:to>
    <xdr:pic>
      <xdr:nvPicPr>
        <xdr:cNvPr id="550" name="Image 117" descr="Picture"/>
        <xdr:cNvPicPr/>
      </xdr:nvPicPr>
      <xdr:blipFill>
        <a:blip r:embed="rId117"/>
        <a:stretch/>
      </xdr:blipFill>
      <xdr:spPr>
        <a:xfrm>
          <a:off x="0" y="789927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3395</xdr:row>
      <xdr:rowOff>652680</xdr:rowOff>
    </xdr:from>
    <xdr:to>
      <xdr:col>0</xdr:col>
      <xdr:colOff>723600</xdr:colOff>
      <xdr:row>3398</xdr:row>
      <xdr:rowOff>23760</xdr:rowOff>
    </xdr:to>
    <xdr:pic>
      <xdr:nvPicPr>
        <xdr:cNvPr id="551" name="Image 118" descr="Picture"/>
        <xdr:cNvPicPr/>
      </xdr:nvPicPr>
      <xdr:blipFill>
        <a:blip r:embed="rId118"/>
        <a:stretch/>
      </xdr:blipFill>
      <xdr:spPr>
        <a:xfrm>
          <a:off x="0" y="797947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3406</xdr:row>
      <xdr:rowOff>462240</xdr:rowOff>
    </xdr:from>
    <xdr:to>
      <xdr:col>0</xdr:col>
      <xdr:colOff>723600</xdr:colOff>
      <xdr:row>3409</xdr:row>
      <xdr:rowOff>24120</xdr:rowOff>
    </xdr:to>
    <xdr:pic>
      <xdr:nvPicPr>
        <xdr:cNvPr id="552" name="Image 119" descr="Picture"/>
        <xdr:cNvPicPr/>
      </xdr:nvPicPr>
      <xdr:blipFill>
        <a:blip r:embed="rId119"/>
        <a:stretch/>
      </xdr:blipFill>
      <xdr:spPr>
        <a:xfrm>
          <a:off x="0" y="800633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3415</xdr:row>
      <xdr:rowOff>62280</xdr:rowOff>
    </xdr:from>
    <xdr:to>
      <xdr:col>0</xdr:col>
      <xdr:colOff>723600</xdr:colOff>
      <xdr:row>3419</xdr:row>
      <xdr:rowOff>23760</xdr:rowOff>
    </xdr:to>
    <xdr:pic>
      <xdr:nvPicPr>
        <xdr:cNvPr id="553" name="Image 120" descr="Picture"/>
        <xdr:cNvPicPr/>
      </xdr:nvPicPr>
      <xdr:blipFill>
        <a:blip r:embed="rId120"/>
        <a:stretch/>
      </xdr:blipFill>
      <xdr:spPr>
        <a:xfrm>
          <a:off x="0" y="803319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3433</xdr:row>
      <xdr:rowOff>62280</xdr:rowOff>
    </xdr:from>
    <xdr:to>
      <xdr:col>0</xdr:col>
      <xdr:colOff>723600</xdr:colOff>
      <xdr:row>3437</xdr:row>
      <xdr:rowOff>24120</xdr:rowOff>
    </xdr:to>
    <xdr:pic>
      <xdr:nvPicPr>
        <xdr:cNvPr id="554" name="Image 121" descr="Picture"/>
        <xdr:cNvPicPr/>
      </xdr:nvPicPr>
      <xdr:blipFill>
        <a:blip r:embed="rId121"/>
        <a:stretch/>
      </xdr:blipFill>
      <xdr:spPr>
        <a:xfrm>
          <a:off x="0" y="807529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3443</xdr:row>
      <xdr:rowOff>62280</xdr:rowOff>
    </xdr:from>
    <xdr:to>
      <xdr:col>0</xdr:col>
      <xdr:colOff>723600</xdr:colOff>
      <xdr:row>3447</xdr:row>
      <xdr:rowOff>23760</xdr:rowOff>
    </xdr:to>
    <xdr:pic>
      <xdr:nvPicPr>
        <xdr:cNvPr id="555" name="Image 122" descr="Picture"/>
        <xdr:cNvPicPr/>
      </xdr:nvPicPr>
      <xdr:blipFill>
        <a:blip r:embed="rId122"/>
        <a:stretch/>
      </xdr:blipFill>
      <xdr:spPr>
        <a:xfrm>
          <a:off x="0" y="810215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3453</xdr:row>
      <xdr:rowOff>62280</xdr:rowOff>
    </xdr:from>
    <xdr:to>
      <xdr:col>0</xdr:col>
      <xdr:colOff>723600</xdr:colOff>
      <xdr:row>3457</xdr:row>
      <xdr:rowOff>23760</xdr:rowOff>
    </xdr:to>
    <xdr:pic>
      <xdr:nvPicPr>
        <xdr:cNvPr id="556" name="Image 123" descr="Picture"/>
        <xdr:cNvPicPr/>
      </xdr:nvPicPr>
      <xdr:blipFill>
        <a:blip r:embed="rId123"/>
        <a:stretch/>
      </xdr:blipFill>
      <xdr:spPr>
        <a:xfrm>
          <a:off x="0" y="812901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3552</xdr:row>
      <xdr:rowOff>64080</xdr:rowOff>
    </xdr:from>
    <xdr:to>
      <xdr:col>0</xdr:col>
      <xdr:colOff>723600</xdr:colOff>
      <xdr:row>3556</xdr:row>
      <xdr:rowOff>25920</xdr:rowOff>
    </xdr:to>
    <xdr:pic>
      <xdr:nvPicPr>
        <xdr:cNvPr id="557" name="Image 124" descr="Picture"/>
        <xdr:cNvPicPr/>
      </xdr:nvPicPr>
      <xdr:blipFill>
        <a:blip r:embed="rId124"/>
        <a:stretch/>
      </xdr:blipFill>
      <xdr:spPr>
        <a:xfrm>
          <a:off x="0" y="833494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3560</xdr:row>
      <xdr:rowOff>83160</xdr:rowOff>
    </xdr:from>
    <xdr:to>
      <xdr:col>0</xdr:col>
      <xdr:colOff>723600</xdr:colOff>
      <xdr:row>3564</xdr:row>
      <xdr:rowOff>44640</xdr:rowOff>
    </xdr:to>
    <xdr:pic>
      <xdr:nvPicPr>
        <xdr:cNvPr id="558" name="Image 125" descr="Picture"/>
        <xdr:cNvPicPr/>
      </xdr:nvPicPr>
      <xdr:blipFill>
        <a:blip r:embed="rId125"/>
        <a:stretch/>
      </xdr:blipFill>
      <xdr:spPr>
        <a:xfrm>
          <a:off x="0" y="835037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3590</xdr:row>
      <xdr:rowOff>313560</xdr:rowOff>
    </xdr:from>
    <xdr:to>
      <xdr:col>0</xdr:col>
      <xdr:colOff>723600</xdr:colOff>
      <xdr:row>3592</xdr:row>
      <xdr:rowOff>317160</xdr:rowOff>
    </xdr:to>
    <xdr:pic>
      <xdr:nvPicPr>
        <xdr:cNvPr id="559" name="Image 126" descr="Picture"/>
        <xdr:cNvPicPr/>
      </xdr:nvPicPr>
      <xdr:blipFill>
        <a:blip r:embed="rId126"/>
        <a:stretch/>
      </xdr:blipFill>
      <xdr:spPr>
        <a:xfrm>
          <a:off x="0" y="841152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3599</xdr:row>
      <xdr:rowOff>289080</xdr:rowOff>
    </xdr:from>
    <xdr:to>
      <xdr:col>0</xdr:col>
      <xdr:colOff>723600</xdr:colOff>
      <xdr:row>3601</xdr:row>
      <xdr:rowOff>41040</xdr:rowOff>
    </xdr:to>
    <xdr:pic>
      <xdr:nvPicPr>
        <xdr:cNvPr id="560" name="Image 127" descr="Picture"/>
        <xdr:cNvPicPr/>
      </xdr:nvPicPr>
      <xdr:blipFill>
        <a:blip r:embed="rId127"/>
        <a:stretch/>
      </xdr:blipFill>
      <xdr:spPr>
        <a:xfrm>
          <a:off x="0" y="8440293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3611</xdr:row>
      <xdr:rowOff>161280</xdr:rowOff>
    </xdr:from>
    <xdr:to>
      <xdr:col>0</xdr:col>
      <xdr:colOff>723600</xdr:colOff>
      <xdr:row>3613</xdr:row>
      <xdr:rowOff>164880</xdr:rowOff>
    </xdr:to>
    <xdr:pic>
      <xdr:nvPicPr>
        <xdr:cNvPr id="561" name="Image 128" descr="Picture"/>
        <xdr:cNvPicPr/>
      </xdr:nvPicPr>
      <xdr:blipFill>
        <a:blip r:embed="rId128"/>
        <a:stretch/>
      </xdr:blipFill>
      <xdr:spPr>
        <a:xfrm>
          <a:off x="0" y="847477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3619</xdr:row>
      <xdr:rowOff>12600</xdr:rowOff>
    </xdr:from>
    <xdr:to>
      <xdr:col>0</xdr:col>
      <xdr:colOff>723600</xdr:colOff>
      <xdr:row>3622</xdr:row>
      <xdr:rowOff>164880</xdr:rowOff>
    </xdr:to>
    <xdr:pic>
      <xdr:nvPicPr>
        <xdr:cNvPr id="562" name="Image 129" descr="Picture"/>
        <xdr:cNvPicPr/>
      </xdr:nvPicPr>
      <xdr:blipFill>
        <a:blip r:embed="rId129"/>
        <a:stretch/>
      </xdr:blipFill>
      <xdr:spPr>
        <a:xfrm>
          <a:off x="0" y="849972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3632</xdr:row>
      <xdr:rowOff>31680</xdr:rowOff>
    </xdr:from>
    <xdr:to>
      <xdr:col>0</xdr:col>
      <xdr:colOff>723600</xdr:colOff>
      <xdr:row>3635</xdr:row>
      <xdr:rowOff>183960</xdr:rowOff>
    </xdr:to>
    <xdr:pic>
      <xdr:nvPicPr>
        <xdr:cNvPr id="563" name="Image 130" descr="Picture"/>
        <xdr:cNvPicPr/>
      </xdr:nvPicPr>
      <xdr:blipFill>
        <a:blip r:embed="rId130"/>
        <a:stretch/>
      </xdr:blipFill>
      <xdr:spPr>
        <a:xfrm>
          <a:off x="0" y="852468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3638</xdr:row>
      <xdr:rowOff>431640</xdr:rowOff>
    </xdr:from>
    <xdr:to>
      <xdr:col>0</xdr:col>
      <xdr:colOff>723600</xdr:colOff>
      <xdr:row>3640</xdr:row>
      <xdr:rowOff>183960</xdr:rowOff>
    </xdr:to>
    <xdr:pic>
      <xdr:nvPicPr>
        <xdr:cNvPr id="564" name="Image 131" descr="Picture"/>
        <xdr:cNvPicPr/>
      </xdr:nvPicPr>
      <xdr:blipFill>
        <a:blip r:embed="rId131"/>
        <a:stretch/>
      </xdr:blipFill>
      <xdr:spPr>
        <a:xfrm>
          <a:off x="0" y="854011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3652</xdr:row>
      <xdr:rowOff>31680</xdr:rowOff>
    </xdr:from>
    <xdr:to>
      <xdr:col>0</xdr:col>
      <xdr:colOff>723600</xdr:colOff>
      <xdr:row>3655</xdr:row>
      <xdr:rowOff>183600</xdr:rowOff>
    </xdr:to>
    <xdr:pic>
      <xdr:nvPicPr>
        <xdr:cNvPr id="565" name="Image 132" descr="Picture"/>
        <xdr:cNvPicPr/>
      </xdr:nvPicPr>
      <xdr:blipFill>
        <a:blip r:embed="rId132"/>
        <a:stretch/>
      </xdr:blipFill>
      <xdr:spPr>
        <a:xfrm>
          <a:off x="0" y="85764996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3660</xdr:row>
      <xdr:rowOff>51120</xdr:rowOff>
    </xdr:from>
    <xdr:to>
      <xdr:col>0</xdr:col>
      <xdr:colOff>723600</xdr:colOff>
      <xdr:row>3664</xdr:row>
      <xdr:rowOff>12600</xdr:rowOff>
    </xdr:to>
    <xdr:pic>
      <xdr:nvPicPr>
        <xdr:cNvPr id="566" name="Image 133" descr="Picture"/>
        <xdr:cNvPicPr/>
      </xdr:nvPicPr>
      <xdr:blipFill>
        <a:blip r:embed="rId133"/>
        <a:stretch/>
      </xdr:blipFill>
      <xdr:spPr>
        <a:xfrm>
          <a:off x="0" y="859193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3672</xdr:row>
      <xdr:rowOff>281520</xdr:rowOff>
    </xdr:from>
    <xdr:to>
      <xdr:col>0</xdr:col>
      <xdr:colOff>723600</xdr:colOff>
      <xdr:row>3674</xdr:row>
      <xdr:rowOff>33480</xdr:rowOff>
    </xdr:to>
    <xdr:pic>
      <xdr:nvPicPr>
        <xdr:cNvPr id="567" name="Image 134" descr="Picture"/>
        <xdr:cNvPicPr/>
      </xdr:nvPicPr>
      <xdr:blipFill>
        <a:blip r:embed="rId134"/>
        <a:stretch/>
      </xdr:blipFill>
      <xdr:spPr>
        <a:xfrm>
          <a:off x="0" y="8618792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3687</xdr:row>
      <xdr:rowOff>91080</xdr:rowOff>
    </xdr:from>
    <xdr:to>
      <xdr:col>0</xdr:col>
      <xdr:colOff>723600</xdr:colOff>
      <xdr:row>3691</xdr:row>
      <xdr:rowOff>52560</xdr:rowOff>
    </xdr:to>
    <xdr:pic>
      <xdr:nvPicPr>
        <xdr:cNvPr id="568" name="Image 135" descr="Picture"/>
        <xdr:cNvPicPr/>
      </xdr:nvPicPr>
      <xdr:blipFill>
        <a:blip r:embed="rId135"/>
        <a:stretch/>
      </xdr:blipFill>
      <xdr:spPr>
        <a:xfrm>
          <a:off x="0" y="8653273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3695</xdr:row>
      <xdr:rowOff>109800</xdr:rowOff>
    </xdr:from>
    <xdr:to>
      <xdr:col>0</xdr:col>
      <xdr:colOff>723600</xdr:colOff>
      <xdr:row>3696</xdr:row>
      <xdr:rowOff>52560</xdr:rowOff>
    </xdr:to>
    <xdr:pic>
      <xdr:nvPicPr>
        <xdr:cNvPr id="569" name="Image 136" descr="Picture"/>
        <xdr:cNvPicPr/>
      </xdr:nvPicPr>
      <xdr:blipFill>
        <a:blip r:embed="rId136"/>
        <a:stretch/>
      </xdr:blipFill>
      <xdr:spPr>
        <a:xfrm>
          <a:off x="0" y="866870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3703</xdr:row>
      <xdr:rowOff>90720</xdr:rowOff>
    </xdr:from>
    <xdr:to>
      <xdr:col>0</xdr:col>
      <xdr:colOff>723600</xdr:colOff>
      <xdr:row>3707</xdr:row>
      <xdr:rowOff>52200</xdr:rowOff>
    </xdr:to>
    <xdr:pic>
      <xdr:nvPicPr>
        <xdr:cNvPr id="570" name="Image 137" descr="Picture"/>
        <xdr:cNvPicPr/>
      </xdr:nvPicPr>
      <xdr:blipFill>
        <a:blip r:embed="rId137"/>
        <a:stretch/>
      </xdr:blipFill>
      <xdr:spPr>
        <a:xfrm>
          <a:off x="0" y="869746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3716</xdr:row>
      <xdr:rowOff>109800</xdr:rowOff>
    </xdr:from>
    <xdr:to>
      <xdr:col>0</xdr:col>
      <xdr:colOff>723600</xdr:colOff>
      <xdr:row>3720</xdr:row>
      <xdr:rowOff>71280</xdr:rowOff>
    </xdr:to>
    <xdr:pic>
      <xdr:nvPicPr>
        <xdr:cNvPr id="571" name="Image 138" descr="Picture"/>
        <xdr:cNvPicPr/>
      </xdr:nvPicPr>
      <xdr:blipFill>
        <a:blip r:embed="rId138"/>
        <a:stretch/>
      </xdr:blipFill>
      <xdr:spPr>
        <a:xfrm>
          <a:off x="0" y="8722422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3740</xdr:row>
      <xdr:rowOff>342000</xdr:rowOff>
    </xdr:from>
    <xdr:to>
      <xdr:col>0</xdr:col>
      <xdr:colOff>723600</xdr:colOff>
      <xdr:row>3743</xdr:row>
      <xdr:rowOff>303840</xdr:rowOff>
    </xdr:to>
    <xdr:pic>
      <xdr:nvPicPr>
        <xdr:cNvPr id="572" name="Image 139" descr="Picture"/>
        <xdr:cNvPicPr/>
      </xdr:nvPicPr>
      <xdr:blipFill>
        <a:blip r:embed="rId139"/>
        <a:stretch/>
      </xdr:blipFill>
      <xdr:spPr>
        <a:xfrm>
          <a:off x="0" y="8779762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3813</xdr:row>
      <xdr:rowOff>110880</xdr:rowOff>
    </xdr:from>
    <xdr:to>
      <xdr:col>0</xdr:col>
      <xdr:colOff>723600</xdr:colOff>
      <xdr:row>3817</xdr:row>
      <xdr:rowOff>72720</xdr:rowOff>
    </xdr:to>
    <xdr:pic>
      <xdr:nvPicPr>
        <xdr:cNvPr id="573" name="Image 140" descr="Picture"/>
        <xdr:cNvPicPr/>
      </xdr:nvPicPr>
      <xdr:blipFill>
        <a:blip r:embed="rId140"/>
        <a:stretch/>
      </xdr:blipFill>
      <xdr:spPr>
        <a:xfrm>
          <a:off x="0" y="897616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3830</xdr:row>
      <xdr:rowOff>129960</xdr:rowOff>
    </xdr:from>
    <xdr:to>
      <xdr:col>0</xdr:col>
      <xdr:colOff>723600</xdr:colOff>
      <xdr:row>3834</xdr:row>
      <xdr:rowOff>91800</xdr:rowOff>
    </xdr:to>
    <xdr:pic>
      <xdr:nvPicPr>
        <xdr:cNvPr id="574" name="Image 141" descr="Picture"/>
        <xdr:cNvPicPr/>
      </xdr:nvPicPr>
      <xdr:blipFill>
        <a:blip r:embed="rId141"/>
        <a:stretch/>
      </xdr:blipFill>
      <xdr:spPr>
        <a:xfrm>
          <a:off x="0" y="9008744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3838</xdr:row>
      <xdr:rowOff>149040</xdr:rowOff>
    </xdr:from>
    <xdr:to>
      <xdr:col>0</xdr:col>
      <xdr:colOff>723600</xdr:colOff>
      <xdr:row>3842</xdr:row>
      <xdr:rowOff>110520</xdr:rowOff>
    </xdr:to>
    <xdr:pic>
      <xdr:nvPicPr>
        <xdr:cNvPr id="575" name="Image 142" descr="Picture"/>
        <xdr:cNvPicPr/>
      </xdr:nvPicPr>
      <xdr:blipFill>
        <a:blip r:embed="rId142"/>
        <a:stretch/>
      </xdr:blipFill>
      <xdr:spPr>
        <a:xfrm>
          <a:off x="0" y="902417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723600</xdr:colOff>
      <xdr:row>0</xdr:row>
      <xdr:rowOff>723600</xdr:rowOff>
    </xdr:to>
    <xdr:pic>
      <xdr:nvPicPr>
        <xdr:cNvPr id="576" name="Image 1" descr="Picture"/>
        <xdr:cNvPicPr/>
      </xdr:nvPicPr>
      <xdr:blipFill>
        <a:blip r:embed="rId1"/>
        <a:stretch/>
      </xdr:blipFill>
      <xdr:spPr>
        <a:xfrm>
          <a:off x="0" y="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723600</xdr:colOff>
      <xdr:row>67</xdr:row>
      <xdr:rowOff>723600</xdr:rowOff>
    </xdr:to>
    <xdr:pic>
      <xdr:nvPicPr>
        <xdr:cNvPr id="577" name="Image 2" descr="Picture"/>
        <xdr:cNvPicPr/>
      </xdr:nvPicPr>
      <xdr:blipFill>
        <a:blip r:embed="rId2"/>
        <a:stretch/>
      </xdr:blipFill>
      <xdr:spPr>
        <a:xfrm>
          <a:off x="0" y="1354464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723600</xdr:colOff>
      <xdr:row>77</xdr:row>
      <xdr:rowOff>723600</xdr:rowOff>
    </xdr:to>
    <xdr:pic>
      <xdr:nvPicPr>
        <xdr:cNvPr id="578" name="Image 3" descr="Picture"/>
        <xdr:cNvPicPr/>
      </xdr:nvPicPr>
      <xdr:blipFill>
        <a:blip r:embed="rId3"/>
        <a:stretch/>
      </xdr:blipFill>
      <xdr:spPr>
        <a:xfrm>
          <a:off x="0" y="162306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723600</xdr:colOff>
      <xdr:row>283</xdr:row>
      <xdr:rowOff>723600</xdr:rowOff>
    </xdr:to>
    <xdr:pic>
      <xdr:nvPicPr>
        <xdr:cNvPr id="579" name="Image 4" descr="Picture"/>
        <xdr:cNvPicPr/>
      </xdr:nvPicPr>
      <xdr:blipFill>
        <a:blip r:embed="rId4"/>
        <a:stretch/>
      </xdr:blipFill>
      <xdr:spPr>
        <a:xfrm>
          <a:off x="0" y="562546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723600</xdr:colOff>
      <xdr:row>0</xdr:row>
      <xdr:rowOff>723600</xdr:rowOff>
    </xdr:to>
    <xdr:pic>
      <xdr:nvPicPr>
        <xdr:cNvPr id="580" name="Image 1" descr="Picture"/>
        <xdr:cNvPicPr/>
      </xdr:nvPicPr>
      <xdr:blipFill>
        <a:blip r:embed="rId1"/>
        <a:stretch/>
      </xdr:blipFill>
      <xdr:spPr>
        <a:xfrm>
          <a:off x="0" y="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723600</xdr:colOff>
      <xdr:row>11</xdr:row>
      <xdr:rowOff>723600</xdr:rowOff>
    </xdr:to>
    <xdr:pic>
      <xdr:nvPicPr>
        <xdr:cNvPr id="581" name="Image 2" descr="Picture"/>
        <xdr:cNvPicPr/>
      </xdr:nvPicPr>
      <xdr:blipFill>
        <a:blip r:embed="rId2"/>
        <a:stretch/>
      </xdr:blipFill>
      <xdr:spPr>
        <a:xfrm>
          <a:off x="0" y="28764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723600</xdr:colOff>
      <xdr:row>25</xdr:row>
      <xdr:rowOff>723600</xdr:rowOff>
    </xdr:to>
    <xdr:pic>
      <xdr:nvPicPr>
        <xdr:cNvPr id="582" name="Image 3" descr="Picture"/>
        <xdr:cNvPicPr/>
      </xdr:nvPicPr>
      <xdr:blipFill>
        <a:blip r:embed="rId3"/>
        <a:stretch/>
      </xdr:blipFill>
      <xdr:spPr>
        <a:xfrm>
          <a:off x="0" y="6324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723600</xdr:colOff>
      <xdr:row>0</xdr:row>
      <xdr:rowOff>723600</xdr:rowOff>
    </xdr:to>
    <xdr:pic>
      <xdr:nvPicPr>
        <xdr:cNvPr id="583" name="Image 1" descr="Picture"/>
        <xdr:cNvPicPr/>
      </xdr:nvPicPr>
      <xdr:blipFill>
        <a:blip r:embed="rId1"/>
        <a:stretch/>
      </xdr:blipFill>
      <xdr:spPr>
        <a:xfrm>
          <a:off x="0" y="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723600</xdr:colOff>
      <xdr:row>9</xdr:row>
      <xdr:rowOff>723600</xdr:rowOff>
    </xdr:to>
    <xdr:pic>
      <xdr:nvPicPr>
        <xdr:cNvPr id="584" name="Image 2" descr="Picture"/>
        <xdr:cNvPicPr/>
      </xdr:nvPicPr>
      <xdr:blipFill>
        <a:blip r:embed="rId2"/>
        <a:stretch/>
      </xdr:blipFill>
      <xdr:spPr>
        <a:xfrm>
          <a:off x="0" y="249552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723600</xdr:colOff>
      <xdr:row>67</xdr:row>
      <xdr:rowOff>723600</xdr:rowOff>
    </xdr:to>
    <xdr:pic>
      <xdr:nvPicPr>
        <xdr:cNvPr id="585" name="Image 3" descr="Picture"/>
        <xdr:cNvPicPr/>
      </xdr:nvPicPr>
      <xdr:blipFill>
        <a:blip r:embed="rId3"/>
        <a:stretch/>
      </xdr:blipFill>
      <xdr:spPr>
        <a:xfrm>
          <a:off x="0" y="14325480"/>
          <a:ext cx="72360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</xdr:row>
      <xdr:rowOff>232560</xdr:rowOff>
    </xdr:from>
    <xdr:to>
      <xdr:col>0</xdr:col>
      <xdr:colOff>723600</xdr:colOff>
      <xdr:row>83</xdr:row>
      <xdr:rowOff>215280</xdr:rowOff>
    </xdr:to>
    <xdr:pic>
      <xdr:nvPicPr>
        <xdr:cNvPr id="586" name="Image 4" descr="Picture"/>
        <xdr:cNvPicPr/>
      </xdr:nvPicPr>
      <xdr:blipFill>
        <a:blip r:embed="rId4"/>
        <a:stretch/>
      </xdr:blipFill>
      <xdr:spPr>
        <a:xfrm>
          <a:off x="0" y="18154800"/>
          <a:ext cx="723600" cy="723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../../home/ubuntu/odoo-taobao/docs/&#25253;&#20215;&#30446;&#24405;/Link_cnc_Price_Catalog_USD_2026-09-28.xlsx" TargetMode="External"/><Relationship Id="rId2" Type="http://schemas.openxmlformats.org/officeDocument/2006/relationships/hyperlink" Target="../../home/ubuntu/odoo-taobao/docs/&#25253;&#20215;&#30446;&#24405;/Link_cnc_Price_Catalog_USD_2026-09-28.xlsx" TargetMode="External"/><Relationship Id="rId3" Type="http://schemas.openxmlformats.org/officeDocument/2006/relationships/hyperlink" Target="../../home/ubuntu/odoo-taobao/docs/&#25253;&#20215;&#30446;&#24405;/Link_cnc_Price_Catalog_USD_2026-09-28.xlsx" TargetMode="External"/><Relationship Id="rId4" Type="http://schemas.openxmlformats.org/officeDocument/2006/relationships/hyperlink" Target="../../home/ubuntu/odoo-taobao/docs/&#25253;&#20215;&#30446;&#24405;/Link_cnc_Price_Catalog_USD_2026-09-28.xlsx" TargetMode="External"/><Relationship Id="rId5" Type="http://schemas.openxmlformats.org/officeDocument/2006/relationships/hyperlink" Target="../../home/ubuntu/odoo-taobao/docs/&#25253;&#20215;&#30446;&#24405;/Link_cnc_Price_Catalog_USD_2026-09-28.xlsx" TargetMode="External"/><Relationship Id="rId6" Type="http://schemas.openxmlformats.org/officeDocument/2006/relationships/hyperlink" Target="../../home/ubuntu/odoo-taobao/docs/&#25253;&#20215;&#30446;&#24405;/Link_cnc_Price_Catalog_USD_2026-09-28.xlsx" TargetMode="External"/><Relationship Id="rId7" Type="http://schemas.openxmlformats.org/officeDocument/2006/relationships/hyperlink" Target="../../home/ubuntu/odoo-taobao/docs/&#25253;&#20215;&#30446;&#24405;/Link_cnc_Price_Catalog_USD_2026-09-28.xlsx" TargetMode="External"/><Relationship Id="rId8" Type="http://schemas.openxmlformats.org/officeDocument/2006/relationships/hyperlink" Target="../../home/ubuntu/odoo-taobao/docs/&#25253;&#20215;&#30446;&#24405;/Link_cnc_Price_Catalog_USD_2026-09-28.xlsx" TargetMode="External"/><Relationship Id="rId9" Type="http://schemas.openxmlformats.org/officeDocument/2006/relationships/hyperlink" Target="../../home/ubuntu/odoo-taobao/docs/&#25253;&#20215;&#30446;&#24405;/Link_cnc_Price_Catalog_USD_2026-09-28.xlsx" TargetMode="External"/><Relationship Id="rId10" Type="http://schemas.openxmlformats.org/officeDocument/2006/relationships/hyperlink" Target="../../home/ubuntu/odoo-taobao/docs/&#25253;&#20215;&#30446;&#24405;/Link_cnc_Price_Catalog_USD_2026-09-28.xlsx" TargetMode="External"/><Relationship Id="rId11" Type="http://schemas.openxmlformats.org/officeDocument/2006/relationships/hyperlink" Target="../../home/ubuntu/odoo-taobao/docs/&#25253;&#20215;&#30446;&#24405;/Link_cnc_Price_Catalog_USD_2026-09-28.xlsx" TargetMode="External"/><Relationship Id="rId12" Type="http://schemas.openxmlformats.org/officeDocument/2006/relationships/hyperlink" Target="../../home/ubuntu/odoo-taobao/docs/&#25253;&#20215;&#30446;&#24405;/Link_cnc_Price_Catalog_USD_2026-09-28.xlsx" TargetMode="External"/><Relationship Id="rId13" Type="http://schemas.openxmlformats.org/officeDocument/2006/relationships/hyperlink" Target="../../home/ubuntu/odoo-taobao/docs/&#25253;&#20215;&#30446;&#24405;/Link_cnc_Price_Catalog_USD_2026-09-28.xlsx" TargetMode="External"/><Relationship Id="rId14" Type="http://schemas.openxmlformats.org/officeDocument/2006/relationships/hyperlink" Target="../../home/ubuntu/odoo-taobao/docs/&#25253;&#20215;&#30446;&#24405;/Link_cnc_Price_Catalog_USD_2026-09-28.xlsx" TargetMode="External"/><Relationship Id="rId15" Type="http://schemas.openxmlformats.org/officeDocument/2006/relationships/hyperlink" Target="../../home/ubuntu/odoo-taobao/docs/&#25253;&#20215;&#30446;&#24405;/Link_cnc_Price_Catalog_USD_2026-09-28.xlsx" TargetMode="External"/><Relationship Id="rId16" Type="http://schemas.openxmlformats.org/officeDocument/2006/relationships/hyperlink" Target="../../home/ubuntu/odoo-taobao/docs/&#25253;&#20215;&#30446;&#24405;/Link_cnc_Price_Catalog_USD_2026-09-28.xlsx" TargetMode="External"/><Relationship Id="rId17" Type="http://schemas.openxmlformats.org/officeDocument/2006/relationships/hyperlink" Target="../../home/ubuntu/odoo-taobao/docs/&#25253;&#20215;&#30446;&#24405;/Link_cnc_Price_Catalog_USD_2026-09-28.xlsx" TargetMode="External"/><Relationship Id="rId18" Type="http://schemas.openxmlformats.org/officeDocument/2006/relationships/hyperlink" Target="../../home/ubuntu/odoo-taobao/docs/&#25253;&#20215;&#30446;&#24405;/Link_cnc_Price_Catalog_USD_2026-09-28.xlsx" TargetMode="External"/><Relationship Id="rId19" Type="http://schemas.openxmlformats.org/officeDocument/2006/relationships/hyperlink" Target="../../home/ubuntu/odoo-taobao/docs/&#25253;&#20215;&#30446;&#24405;/Link_cnc_Price_Catalog_USD_2026-09-28.xlsx" TargetMode="External"/><Relationship Id="rId20" Type="http://schemas.openxmlformats.org/officeDocument/2006/relationships/hyperlink" Target="../../home/ubuntu/odoo-taobao/docs/&#25253;&#20215;&#30446;&#24405;/Link_cnc_Price_Catalog_USD_2026-09-28.xlsx" TargetMode="External"/><Relationship Id="rId21" Type="http://schemas.openxmlformats.org/officeDocument/2006/relationships/hyperlink" Target="../../home/ubuntu/odoo-taobao/docs/&#25253;&#20215;&#30446;&#24405;/Link_cnc_Price_Catalog_USD_2026-09-28.xlsx" TargetMode="External"/><Relationship Id="rId22" Type="http://schemas.openxmlformats.org/officeDocument/2006/relationships/hyperlink" Target="../../home/ubuntu/odoo-taobao/docs/&#25253;&#20215;&#30446;&#24405;/Link_cnc_Price_Catalog_USD_2026-09-28.xlsx" TargetMode="External"/><Relationship Id="rId23" Type="http://schemas.openxmlformats.org/officeDocument/2006/relationships/hyperlink" Target="../../home/ubuntu/odoo-taobao/docs/&#25253;&#20215;&#30446;&#24405;/Link_cnc_Price_Catalog_USD_2026-09-28.xlsx" TargetMode="External"/><Relationship Id="rId24" Type="http://schemas.openxmlformats.org/officeDocument/2006/relationships/hyperlink" Target="../../home/ubuntu/odoo-taobao/docs/&#25253;&#20215;&#30446;&#24405;/Link_cnc_Price_Catalog_USD_2026-09-28.xlsx" TargetMode="External"/><Relationship Id="rId25" Type="http://schemas.openxmlformats.org/officeDocument/2006/relationships/hyperlink" Target="../../home/ubuntu/odoo-taobao/docs/&#25253;&#20215;&#30446;&#24405;/Link_cnc_Price_Catalog_USD_2026-09-28.xlsx" TargetMode="External"/><Relationship Id="rId26" Type="http://schemas.openxmlformats.org/officeDocument/2006/relationships/hyperlink" Target="../../home/ubuntu/odoo-taobao/docs/&#25253;&#20215;&#30446;&#24405;/Link_cnc_Price_Catalog_USD_2026-09-28.xlsx" TargetMode="External"/><Relationship Id="rId27" Type="http://schemas.openxmlformats.org/officeDocument/2006/relationships/hyperlink" Target="../../home/ubuntu/odoo-taobao/docs/&#25253;&#20215;&#30446;&#24405;/Link_cnc_Price_Catalog_USD_2026-09-28.xlsx" TargetMode="External"/><Relationship Id="rId28" Type="http://schemas.openxmlformats.org/officeDocument/2006/relationships/hyperlink" Target="../../home/ubuntu/odoo-taobao/docs/&#25253;&#20215;&#30446;&#24405;/Link_cnc_Price_Catalog_USD_2026-09-28.xlsx" TargetMode="External"/><Relationship Id="rId29" Type="http://schemas.openxmlformats.org/officeDocument/2006/relationships/hyperlink" Target="../../home/ubuntu/odoo-taobao/docs/&#25253;&#20215;&#30446;&#24405;/Link_cnc_Price_Catalog_USD_2026-09-28.xlsx" TargetMode="External"/><Relationship Id="rId30" Type="http://schemas.openxmlformats.org/officeDocument/2006/relationships/hyperlink" Target="../../home/ubuntu/odoo-taobao/docs/&#25253;&#20215;&#30446;&#24405;/Link_cnc_Price_Catalog_USD_2026-09-28.xlsx" TargetMode="External"/><Relationship Id="rId31" Type="http://schemas.openxmlformats.org/officeDocument/2006/relationships/hyperlink" Target="../../home/ubuntu/odoo-taobao/docs/&#25253;&#20215;&#30446;&#24405;/Link_cnc_Price_Catalog_USD_2026-09-28.xlsx" TargetMode="External"/><Relationship Id="rId32" Type="http://schemas.openxmlformats.org/officeDocument/2006/relationships/hyperlink" Target="../../home/ubuntu/odoo-taobao/docs/&#25253;&#20215;&#30446;&#24405;/Link_cnc_Price_Catalog_USD_2026-09-28.xlsx" TargetMode="External"/><Relationship Id="rId33" Type="http://schemas.openxmlformats.org/officeDocument/2006/relationships/hyperlink" Target="../../home/ubuntu/odoo-taobao/docs/&#25253;&#20215;&#30446;&#24405;/Link_cnc_Price_Catalog_USD_2026-09-28.xlsx" TargetMode="External"/><Relationship Id="rId34" Type="http://schemas.openxmlformats.org/officeDocument/2006/relationships/hyperlink" Target="../../home/ubuntu/odoo-taobao/docs/&#25253;&#20215;&#30446;&#24405;/Link_cnc_Price_Catalog_USD_2026-09-28.xlsx" TargetMode="External"/><Relationship Id="rId35" Type="http://schemas.openxmlformats.org/officeDocument/2006/relationships/hyperlink" Target="../../home/ubuntu/odoo-taobao/docs/&#25253;&#20215;&#30446;&#24405;/Link_cnc_Price_Catalog_USD_2026-09-28.xlsx" TargetMode="External"/><Relationship Id="rId36" Type="http://schemas.openxmlformats.org/officeDocument/2006/relationships/hyperlink" Target="../../home/ubuntu/odoo-taobao/docs/&#25253;&#20215;&#30446;&#24405;/Link_cnc_Price_Catalog_USD_2026-09-28.xlsx" TargetMode="External"/><Relationship Id="rId37" Type="http://schemas.openxmlformats.org/officeDocument/2006/relationships/hyperlink" Target="../../home/ubuntu/odoo-taobao/docs/&#25253;&#20215;&#30446;&#24405;/Link_cnc_Price_Catalog_USD_2026-09-28.xlsx" TargetMode="External"/><Relationship Id="rId38" Type="http://schemas.openxmlformats.org/officeDocument/2006/relationships/hyperlink" Target="../../home/ubuntu/odoo-taobao/docs/&#25253;&#20215;&#30446;&#24405;/Link_cnc_Price_Catalog_USD_2026-09-28.xlsx" TargetMode="External"/><Relationship Id="rId39" Type="http://schemas.openxmlformats.org/officeDocument/2006/relationships/hyperlink" Target="../../home/ubuntu/odoo-taobao/docs/&#25253;&#20215;&#30446;&#24405;/Link_cnc_Price_Catalog_USD_2026-09-28.xlsx" TargetMode="External"/><Relationship Id="rId40" Type="http://schemas.openxmlformats.org/officeDocument/2006/relationships/hyperlink" Target="../../home/ubuntu/odoo-taobao/docs/&#25253;&#20215;&#30446;&#24405;/Link_cnc_Price_Catalog_USD_2026-09-28.xlsx" TargetMode="External"/><Relationship Id="rId41" Type="http://schemas.openxmlformats.org/officeDocument/2006/relationships/hyperlink" Target="../../home/ubuntu/odoo-taobao/docs/&#25253;&#20215;&#30446;&#24405;/Link_cnc_Price_Catalog_USD_2026-09-28.xlsx" TargetMode="External"/><Relationship Id="rId42" Type="http://schemas.openxmlformats.org/officeDocument/2006/relationships/hyperlink" Target="../../home/ubuntu/odoo-taobao/docs/&#25253;&#20215;&#30446;&#24405;/Link_cnc_Price_Catalog_USD_2026-09-28.xlsx" TargetMode="External"/><Relationship Id="rId43" Type="http://schemas.openxmlformats.org/officeDocument/2006/relationships/hyperlink" Target="../../home/ubuntu/odoo-taobao/docs/&#25253;&#20215;&#30446;&#24405;/Link_cnc_Price_Catalog_USD_2026-09-28.xlsx" TargetMode="External"/><Relationship Id="rId44" Type="http://schemas.openxmlformats.org/officeDocument/2006/relationships/hyperlink" Target="../../home/ubuntu/odoo-taobao/docs/&#25253;&#20215;&#30446;&#24405;/Link_cnc_Price_Catalog_USD_2026-09-28.xlsx" TargetMode="External"/><Relationship Id="rId45" Type="http://schemas.openxmlformats.org/officeDocument/2006/relationships/hyperlink" Target="../../home/ubuntu/odoo-taobao/docs/&#25253;&#20215;&#30446;&#24405;/Link_cnc_Price_Catalog_USD_2026-09-28.xlsx" TargetMode="External"/><Relationship Id="rId46" Type="http://schemas.openxmlformats.org/officeDocument/2006/relationships/hyperlink" Target="../../home/ubuntu/odoo-taobao/docs/&#25253;&#20215;&#30446;&#24405;/Link_cnc_Price_Catalog_USD_2026-09-28.xlsx" TargetMode="External"/><Relationship Id="rId47" Type="http://schemas.openxmlformats.org/officeDocument/2006/relationships/hyperlink" Target="../../home/ubuntu/odoo-taobao/docs/&#25253;&#20215;&#30446;&#24405;/Link_cnc_Price_Catalog_USD_2026-09-28.xlsx" TargetMode="External"/><Relationship Id="rId48" Type="http://schemas.openxmlformats.org/officeDocument/2006/relationships/hyperlink" Target="../../home/ubuntu/odoo-taobao/docs/&#25253;&#20215;&#30446;&#24405;/Link_cnc_Price_Catalog_USD_2026-09-28.xlsx" TargetMode="External"/><Relationship Id="rId49" Type="http://schemas.openxmlformats.org/officeDocument/2006/relationships/hyperlink" Target="../../home/ubuntu/odoo-taobao/docs/&#25253;&#20215;&#30446;&#24405;/Link_cnc_Price_Catalog_USD_2026-09-28.xlsx" TargetMode="External"/><Relationship Id="rId50" Type="http://schemas.openxmlformats.org/officeDocument/2006/relationships/hyperlink" Target="../../home/ubuntu/odoo-taobao/docs/&#25253;&#20215;&#30446;&#24405;/Link_cnc_Price_Catalog_USD_2026-09-28.xlsx" TargetMode="External"/><Relationship Id="rId51" Type="http://schemas.openxmlformats.org/officeDocument/2006/relationships/hyperlink" Target="../../home/ubuntu/odoo-taobao/docs/&#25253;&#20215;&#30446;&#24405;/Link_cnc_Price_Catalog_USD_2026-09-28.xlsx" TargetMode="External"/><Relationship Id="rId52" Type="http://schemas.openxmlformats.org/officeDocument/2006/relationships/hyperlink" Target="../../home/ubuntu/odoo-taobao/docs/&#25253;&#20215;&#30446;&#24405;/Link_cnc_Price_Catalog_USD_2026-09-28.xlsx" TargetMode="External"/><Relationship Id="rId53" Type="http://schemas.openxmlformats.org/officeDocument/2006/relationships/hyperlink" Target="../../home/ubuntu/odoo-taobao/docs/&#25253;&#20215;&#30446;&#24405;/Link_cnc_Price_Catalog_USD_2026-09-28.xlsx" TargetMode="External"/><Relationship Id="rId54" Type="http://schemas.openxmlformats.org/officeDocument/2006/relationships/hyperlink" Target="../../home/ubuntu/odoo-taobao/docs/&#25253;&#20215;&#30446;&#24405;/Link_cnc_Price_Catalog_USD_2026-09-28.xlsx" TargetMode="External"/><Relationship Id="rId55" Type="http://schemas.openxmlformats.org/officeDocument/2006/relationships/hyperlink" Target="../../home/ubuntu/odoo-taobao/docs/&#25253;&#20215;&#30446;&#24405;/Link_cnc_Price_Catalog_USD_2026-09-28.xlsx" TargetMode="External"/><Relationship Id="rId56" Type="http://schemas.openxmlformats.org/officeDocument/2006/relationships/hyperlink" Target="../../home/ubuntu/odoo-taobao/docs/&#25253;&#20215;&#30446;&#24405;/Link_cnc_Price_Catalog_USD_2026-09-28.xlsx" TargetMode="External"/><Relationship Id="rId57" Type="http://schemas.openxmlformats.org/officeDocument/2006/relationships/hyperlink" Target="../../home/ubuntu/odoo-taobao/docs/&#25253;&#20215;&#30446;&#24405;/Link_cnc_Price_Catalog_USD_2026-09-28.xlsx" TargetMode="External"/><Relationship Id="rId58" Type="http://schemas.openxmlformats.org/officeDocument/2006/relationships/hyperlink" Target="../../home/ubuntu/odoo-taobao/docs/&#25253;&#20215;&#30446;&#24405;/Link_cnc_Price_Catalog_USD_2026-09-28.xlsx" TargetMode="External"/><Relationship Id="rId59" Type="http://schemas.openxmlformats.org/officeDocument/2006/relationships/hyperlink" Target="../../home/ubuntu/odoo-taobao/docs/&#25253;&#20215;&#30446;&#24405;/Link_cnc_Price_Catalog_USD_2026-09-28.xlsx" TargetMode="External"/><Relationship Id="rId60" Type="http://schemas.openxmlformats.org/officeDocument/2006/relationships/hyperlink" Target="../../home/ubuntu/odoo-taobao/docs/&#25253;&#20215;&#30446;&#24405;/Link_cnc_Price_Catalog_USD_2026-09-28.xlsx" TargetMode="External"/><Relationship Id="rId61" Type="http://schemas.openxmlformats.org/officeDocument/2006/relationships/hyperlink" Target="../../home/ubuntu/odoo-taobao/docs/&#25253;&#20215;&#30446;&#24405;/Link_cnc_Price_Catalog_USD_2026-09-28.xlsx" TargetMode="External"/><Relationship Id="rId62" Type="http://schemas.openxmlformats.org/officeDocument/2006/relationships/hyperlink" Target="../../home/ubuntu/odoo-taobao/docs/&#25253;&#20215;&#30446;&#24405;/Link_cnc_Price_Catalog_USD_2026-09-28.xlsx" TargetMode="External"/><Relationship Id="rId63" Type="http://schemas.openxmlformats.org/officeDocument/2006/relationships/hyperlink" Target="../../home/ubuntu/odoo-taobao/docs/&#25253;&#20215;&#30446;&#24405;/Link_cnc_Price_Catalog_USD_2026-09-28.xlsx" TargetMode="External"/><Relationship Id="rId64" Type="http://schemas.openxmlformats.org/officeDocument/2006/relationships/hyperlink" Target="../../home/ubuntu/odoo-taobao/docs/&#25253;&#20215;&#30446;&#24405;/Link_cnc_Price_Catalog_USD_2026-09-28.xlsx" TargetMode="External"/><Relationship Id="rId65" Type="http://schemas.openxmlformats.org/officeDocument/2006/relationships/hyperlink" Target="../../home/ubuntu/odoo-taobao/docs/&#25253;&#20215;&#30446;&#24405;/Link_cnc_Price_Catalog_USD_2026-09-28.xlsx" TargetMode="External"/><Relationship Id="rId66" Type="http://schemas.openxmlformats.org/officeDocument/2006/relationships/hyperlink" Target="../../home/ubuntu/odoo-taobao/docs/&#25253;&#20215;&#30446;&#24405;/Link_cnc_Price_Catalog_USD_2026-09-28.xlsx" TargetMode="External"/><Relationship Id="rId67" Type="http://schemas.openxmlformats.org/officeDocument/2006/relationships/hyperlink" Target="../../home/ubuntu/odoo-taobao/docs/&#25253;&#20215;&#30446;&#24405;/Link_cnc_Price_Catalog_USD_2026-09-28.xlsx" TargetMode="External"/><Relationship Id="rId68" Type="http://schemas.openxmlformats.org/officeDocument/2006/relationships/hyperlink" Target="../../home/ubuntu/odoo-taobao/docs/&#25253;&#20215;&#30446;&#24405;/Link_cnc_Price_Catalog_USD_2026-09-28.xlsx" TargetMode="External"/><Relationship Id="rId69" Type="http://schemas.openxmlformats.org/officeDocument/2006/relationships/hyperlink" Target="../../home/ubuntu/odoo-taobao/docs/&#25253;&#20215;&#30446;&#24405;/Link_cnc_Price_Catalog_USD_2026-09-28.xlsx" TargetMode="External"/><Relationship Id="rId70" Type="http://schemas.openxmlformats.org/officeDocument/2006/relationships/hyperlink" Target="../../home/ubuntu/odoo-taobao/docs/&#25253;&#20215;&#30446;&#24405;/Link_cnc_Price_Catalog_USD_2026-09-28.xlsx" TargetMode="External"/><Relationship Id="rId71" Type="http://schemas.openxmlformats.org/officeDocument/2006/relationships/hyperlink" Target="../../home/ubuntu/odoo-taobao/docs/&#25253;&#20215;&#30446;&#24405;/Link_cnc_Price_Catalog_USD_2026-09-28.xlsx" TargetMode="External"/><Relationship Id="rId72" Type="http://schemas.openxmlformats.org/officeDocument/2006/relationships/hyperlink" Target="../../home/ubuntu/odoo-taobao/docs/&#25253;&#20215;&#30446;&#24405;/Link_cnc_Price_Catalog_USD_2026-09-28.xlsx" TargetMode="External"/><Relationship Id="rId73" Type="http://schemas.openxmlformats.org/officeDocument/2006/relationships/hyperlink" Target="../../home/ubuntu/odoo-taobao/docs/&#25253;&#20215;&#30446;&#24405;/Link_cnc_Price_Catalog_USD_2026-09-28.xlsx" TargetMode="External"/><Relationship Id="rId74" Type="http://schemas.openxmlformats.org/officeDocument/2006/relationships/hyperlink" Target="../../home/ubuntu/odoo-taobao/docs/&#25253;&#20215;&#30446;&#24405;/Link_cnc_Price_Catalog_USD_2026-09-28.xlsx" TargetMode="External"/><Relationship Id="rId75" Type="http://schemas.openxmlformats.org/officeDocument/2006/relationships/hyperlink" Target="../../home/ubuntu/odoo-taobao/docs/&#25253;&#20215;&#30446;&#24405;/Link_cnc_Price_Catalog_USD_2026-09-28.xlsx" TargetMode="External"/><Relationship Id="rId76" Type="http://schemas.openxmlformats.org/officeDocument/2006/relationships/hyperlink" Target="../../home/ubuntu/odoo-taobao/docs/&#25253;&#20215;&#30446;&#24405;/Link_cnc_Price_Catalog_USD_2026-09-28.xlsx" TargetMode="External"/><Relationship Id="rId77" Type="http://schemas.openxmlformats.org/officeDocument/2006/relationships/hyperlink" Target="../../home/ubuntu/odoo-taobao/docs/&#25253;&#20215;&#30446;&#24405;/Link_cnc_Price_Catalog_USD_2026-09-28.xlsx" TargetMode="External"/><Relationship Id="rId78" Type="http://schemas.openxmlformats.org/officeDocument/2006/relationships/hyperlink" Target="../../home/ubuntu/odoo-taobao/docs/&#25253;&#20215;&#30446;&#24405;/Link_cnc_Price_Catalog_USD_2026-09-28.xlsx" TargetMode="External"/><Relationship Id="rId79" Type="http://schemas.openxmlformats.org/officeDocument/2006/relationships/hyperlink" Target="../../home/ubuntu/odoo-taobao/docs/&#25253;&#20215;&#30446;&#24405;/Link_cnc_Price_Catalog_USD_2026-09-28.xlsx" TargetMode="External"/><Relationship Id="rId80" Type="http://schemas.openxmlformats.org/officeDocument/2006/relationships/hyperlink" Target="../../home/ubuntu/odoo-taobao/docs/&#25253;&#20215;&#30446;&#24405;/Link_cnc_Price_Catalog_USD_2026-09-28.xlsx" TargetMode="External"/><Relationship Id="rId81" Type="http://schemas.openxmlformats.org/officeDocument/2006/relationships/hyperlink" Target="../../home/ubuntu/odoo-taobao/docs/&#25253;&#20215;&#30446;&#24405;/Link_cnc_Price_Catalog_USD_2026-09-28.xlsx" TargetMode="External"/><Relationship Id="rId82" Type="http://schemas.openxmlformats.org/officeDocument/2006/relationships/hyperlink" Target="../../home/ubuntu/odoo-taobao/docs/&#25253;&#20215;&#30446;&#24405;/Link_cnc_Price_Catalog_USD_2026-09-28.xlsx" TargetMode="External"/><Relationship Id="rId83" Type="http://schemas.openxmlformats.org/officeDocument/2006/relationships/hyperlink" Target="../../home/ubuntu/odoo-taobao/docs/&#25253;&#20215;&#30446;&#24405;/Link_cnc_Price_Catalog_USD_2026-09-28.xlsx" TargetMode="External"/><Relationship Id="rId84" Type="http://schemas.openxmlformats.org/officeDocument/2006/relationships/hyperlink" Target="../../home/ubuntu/odoo-taobao/docs/&#25253;&#20215;&#30446;&#24405;/Link_cnc_Price_Catalog_USD_2026-09-28.xlsx" TargetMode="External"/><Relationship Id="rId85" Type="http://schemas.openxmlformats.org/officeDocument/2006/relationships/hyperlink" Target="../../home/ubuntu/odoo-taobao/docs/&#25253;&#20215;&#30446;&#24405;/Link_cnc_Price_Catalog_USD_2026-09-28.xlsx" TargetMode="External"/><Relationship Id="rId86" Type="http://schemas.openxmlformats.org/officeDocument/2006/relationships/hyperlink" Target="../../home/ubuntu/odoo-taobao/docs/&#25253;&#20215;&#30446;&#24405;/Link_cnc_Price_Catalog_USD_2026-09-28.xlsx" TargetMode="External"/><Relationship Id="rId87" Type="http://schemas.openxmlformats.org/officeDocument/2006/relationships/hyperlink" Target="../../home/ubuntu/odoo-taobao/docs/&#25253;&#20215;&#30446;&#24405;/Link_cnc_Price_Catalog_USD_2026-09-28.xlsx" TargetMode="External"/><Relationship Id="rId88" Type="http://schemas.openxmlformats.org/officeDocument/2006/relationships/hyperlink" Target="../../home/ubuntu/odoo-taobao/docs/&#25253;&#20215;&#30446;&#24405;/Link_cnc_Price_Catalog_USD_2026-09-28.xlsx" TargetMode="External"/><Relationship Id="rId89" Type="http://schemas.openxmlformats.org/officeDocument/2006/relationships/hyperlink" Target="../../home/ubuntu/odoo-taobao/docs/&#25253;&#20215;&#30446;&#24405;/Link_cnc_Price_Catalog_USD_2026-09-28.xlsx" TargetMode="External"/><Relationship Id="rId90" Type="http://schemas.openxmlformats.org/officeDocument/2006/relationships/hyperlink" Target="../../home/ubuntu/odoo-taobao/docs/&#25253;&#20215;&#30446;&#24405;/Link_cnc_Price_Catalog_USD_2026-09-28.xlsx" TargetMode="External"/><Relationship Id="rId91" Type="http://schemas.openxmlformats.org/officeDocument/2006/relationships/hyperlink" Target="../../home/ubuntu/odoo-taobao/docs/&#25253;&#20215;&#30446;&#24405;/Link_cnc_Price_Catalog_USD_2026-09-28.xlsx" TargetMode="External"/><Relationship Id="rId92" Type="http://schemas.openxmlformats.org/officeDocument/2006/relationships/hyperlink" Target="../../home/ubuntu/odoo-taobao/docs/&#25253;&#20215;&#30446;&#24405;/Link_cnc_Price_Catalog_USD_2026-09-28.xlsx" TargetMode="External"/><Relationship Id="rId93" Type="http://schemas.openxmlformats.org/officeDocument/2006/relationships/hyperlink" Target="../../home/ubuntu/odoo-taobao/docs/&#25253;&#20215;&#30446;&#24405;/Link_cnc_Price_Catalog_USD_2026-09-28.xlsx" TargetMode="External"/><Relationship Id="rId94" Type="http://schemas.openxmlformats.org/officeDocument/2006/relationships/hyperlink" Target="../../home/ubuntu/odoo-taobao/docs/&#25253;&#20215;&#30446;&#24405;/Link_cnc_Price_Catalog_USD_2026-09-28.xlsx" TargetMode="External"/><Relationship Id="rId95" Type="http://schemas.openxmlformats.org/officeDocument/2006/relationships/hyperlink" Target="../../home/ubuntu/odoo-taobao/docs/&#25253;&#20215;&#30446;&#24405;/Link_cnc_Price_Catalog_USD_2026-09-28.xlsx" TargetMode="External"/><Relationship Id="rId96" Type="http://schemas.openxmlformats.org/officeDocument/2006/relationships/hyperlink" Target="../../home/ubuntu/odoo-taobao/docs/&#25253;&#20215;&#30446;&#24405;/Link_cnc_Price_Catalog_USD_2026-09-28.xlsx" TargetMode="External"/><Relationship Id="rId97" Type="http://schemas.openxmlformats.org/officeDocument/2006/relationships/hyperlink" Target="../../home/ubuntu/odoo-taobao/docs/&#25253;&#20215;&#30446;&#24405;/Link_cnc_Price_Catalog_USD_2026-09-28.xlsx" TargetMode="External"/><Relationship Id="rId98" Type="http://schemas.openxmlformats.org/officeDocument/2006/relationships/hyperlink" Target="../../home/ubuntu/odoo-taobao/docs/&#25253;&#20215;&#30446;&#24405;/Link_cnc_Price_Catalog_USD_2026-09-28.xlsx" TargetMode="External"/><Relationship Id="rId99" Type="http://schemas.openxmlformats.org/officeDocument/2006/relationships/hyperlink" Target="../../home/ubuntu/odoo-taobao/docs/&#25253;&#20215;&#30446;&#24405;/Link_cnc_Price_Catalog_USD_2026-09-28.xlsx" TargetMode="External"/><Relationship Id="rId100" Type="http://schemas.openxmlformats.org/officeDocument/2006/relationships/hyperlink" Target="../../home/ubuntu/odoo-taobao/docs/&#25253;&#20215;&#30446;&#24405;/Link_cnc_Price_Catalog_USD_2026-09-28.xlsx" TargetMode="External"/><Relationship Id="rId101" Type="http://schemas.openxmlformats.org/officeDocument/2006/relationships/hyperlink" Target="../../home/ubuntu/odoo-taobao/docs/&#25253;&#20215;&#30446;&#24405;/Link_cnc_Price_Catalog_USD_2026-09-28.xlsx" TargetMode="External"/><Relationship Id="rId102" Type="http://schemas.openxmlformats.org/officeDocument/2006/relationships/hyperlink" Target="../../home/ubuntu/odoo-taobao/docs/&#25253;&#20215;&#30446;&#24405;/Link_cnc_Price_Catalog_USD_2026-09-28.xlsx" TargetMode="External"/><Relationship Id="rId103" Type="http://schemas.openxmlformats.org/officeDocument/2006/relationships/hyperlink" Target="../../home/ubuntu/odoo-taobao/docs/&#25253;&#20215;&#30446;&#24405;/Link_cnc_Price_Catalog_USD_2026-09-28.xlsx" TargetMode="External"/><Relationship Id="rId104" Type="http://schemas.openxmlformats.org/officeDocument/2006/relationships/hyperlink" Target="../../home/ubuntu/odoo-taobao/docs/&#25253;&#20215;&#30446;&#24405;/Link_cnc_Price_Catalog_USD_2026-09-28.xlsx" TargetMode="External"/><Relationship Id="rId105" Type="http://schemas.openxmlformats.org/officeDocument/2006/relationships/hyperlink" Target="../../home/ubuntu/odoo-taobao/docs/&#25253;&#20215;&#30446;&#24405;/Link_cnc_Price_Catalog_USD_2026-09-28.xlsx" TargetMode="External"/><Relationship Id="rId106" Type="http://schemas.openxmlformats.org/officeDocument/2006/relationships/hyperlink" Target="../../home/ubuntu/odoo-taobao/docs/&#25253;&#20215;&#30446;&#24405;/Link_cnc_Price_Catalog_USD_2026-09-28.xlsx" TargetMode="External"/><Relationship Id="rId107" Type="http://schemas.openxmlformats.org/officeDocument/2006/relationships/hyperlink" Target="../../home/ubuntu/odoo-taobao/docs/&#25253;&#20215;&#30446;&#24405;/Link_cnc_Price_Catalog_USD_2026-09-28.xlsx" TargetMode="External"/><Relationship Id="rId108" Type="http://schemas.openxmlformats.org/officeDocument/2006/relationships/hyperlink" Target="../../home/ubuntu/odoo-taobao/docs/&#25253;&#20215;&#30446;&#24405;/Link_cnc_Price_Catalog_USD_2026-09-28.xlsx" TargetMode="External"/><Relationship Id="rId109" Type="http://schemas.openxmlformats.org/officeDocument/2006/relationships/hyperlink" Target="../../home/ubuntu/odoo-taobao/docs/&#25253;&#20215;&#30446;&#24405;/Link_cnc_Price_Catalog_USD_2026-09-28.xlsx" TargetMode="External"/><Relationship Id="rId110" Type="http://schemas.openxmlformats.org/officeDocument/2006/relationships/hyperlink" Target="../../home/ubuntu/odoo-taobao/docs/&#25253;&#20215;&#30446;&#24405;/Link_cnc_Price_Catalog_USD_2026-09-28.xlsx" TargetMode="External"/><Relationship Id="rId111" Type="http://schemas.openxmlformats.org/officeDocument/2006/relationships/hyperlink" Target="../../home/ubuntu/odoo-taobao/docs/&#25253;&#20215;&#30446;&#24405;/Link_cnc_Price_Catalog_USD_2026-09-28.xlsx" TargetMode="External"/><Relationship Id="rId112" Type="http://schemas.openxmlformats.org/officeDocument/2006/relationships/hyperlink" Target="../../home/ubuntu/odoo-taobao/docs/&#25253;&#20215;&#30446;&#24405;/Link_cnc_Price_Catalog_USD_2026-09-28.xlsx" TargetMode="External"/><Relationship Id="rId113" Type="http://schemas.openxmlformats.org/officeDocument/2006/relationships/hyperlink" Target="../../home/ubuntu/odoo-taobao/docs/&#25253;&#20215;&#30446;&#24405;/Link_cnc_Price_Catalog_USD_2026-09-28.xlsx" TargetMode="External"/><Relationship Id="rId114" Type="http://schemas.openxmlformats.org/officeDocument/2006/relationships/hyperlink" Target="../../home/ubuntu/odoo-taobao/docs/&#25253;&#20215;&#30446;&#24405;/Link_cnc_Price_Catalog_USD_2026-09-28.xlsx" TargetMode="External"/><Relationship Id="rId115" Type="http://schemas.openxmlformats.org/officeDocument/2006/relationships/hyperlink" Target="../../home/ubuntu/odoo-taobao/docs/&#25253;&#20215;&#30446;&#24405;/Link_cnc_Price_Catalog_USD_2026-09-28.xlsx" TargetMode="External"/><Relationship Id="rId116" Type="http://schemas.openxmlformats.org/officeDocument/2006/relationships/hyperlink" Target="../../home/ubuntu/odoo-taobao/docs/&#25253;&#20215;&#30446;&#24405;/Link_cnc_Price_Catalog_USD_2026-09-28.xlsx" TargetMode="External"/><Relationship Id="rId117" Type="http://schemas.openxmlformats.org/officeDocument/2006/relationships/hyperlink" Target="../../home/ubuntu/odoo-taobao/docs/&#25253;&#20215;&#30446;&#24405;/Link_cnc_Price_Catalog_USD_2026-09-28.xlsx" TargetMode="External"/><Relationship Id="rId118" Type="http://schemas.openxmlformats.org/officeDocument/2006/relationships/hyperlink" Target="../../home/ubuntu/odoo-taobao/docs/&#25253;&#20215;&#30446;&#24405;/Link_cnc_Price_Catalog_USD_2026-09-28.xlsx" TargetMode="External"/><Relationship Id="rId119" Type="http://schemas.openxmlformats.org/officeDocument/2006/relationships/hyperlink" Target="../../home/ubuntu/odoo-taobao/docs/&#25253;&#20215;&#30446;&#24405;/Link_cnc_Price_Catalog_USD_2026-09-28.xlsx" TargetMode="External"/><Relationship Id="rId120" Type="http://schemas.openxmlformats.org/officeDocument/2006/relationships/hyperlink" Target="../../home/ubuntu/odoo-taobao/docs/&#25253;&#20215;&#30446;&#24405;/Link_cnc_Price_Catalog_USD_2026-09-28.xlsx" TargetMode="External"/><Relationship Id="rId121" Type="http://schemas.openxmlformats.org/officeDocument/2006/relationships/hyperlink" Target="../../home/ubuntu/odoo-taobao/docs/&#25253;&#20215;&#30446;&#24405;/Link_cnc_Price_Catalog_USD_2026-09-28.xlsx" TargetMode="External"/><Relationship Id="rId122" Type="http://schemas.openxmlformats.org/officeDocument/2006/relationships/hyperlink" Target="../../home/ubuntu/odoo-taobao/docs/&#25253;&#20215;&#30446;&#24405;/Link_cnc_Price_Catalog_USD_2026-09-28.xlsx" TargetMode="External"/><Relationship Id="rId123" Type="http://schemas.openxmlformats.org/officeDocument/2006/relationships/hyperlink" Target="../../home/ubuntu/odoo-taobao/docs/&#25253;&#20215;&#30446;&#24405;/Link_cnc_Price_Catalog_USD_2026-09-28.xlsx" TargetMode="External"/><Relationship Id="rId124" Type="http://schemas.openxmlformats.org/officeDocument/2006/relationships/hyperlink" Target="../../home/ubuntu/odoo-taobao/docs/&#25253;&#20215;&#30446;&#24405;/Link_cnc_Price_Catalog_USD_2026-09-28.xlsx" TargetMode="External"/><Relationship Id="rId125" Type="http://schemas.openxmlformats.org/officeDocument/2006/relationships/hyperlink" Target="../../home/ubuntu/odoo-taobao/docs/&#25253;&#20215;&#30446;&#24405;/Link_cnc_Price_Catalog_USD_2026-09-28.xlsx" TargetMode="External"/><Relationship Id="rId126" Type="http://schemas.openxmlformats.org/officeDocument/2006/relationships/hyperlink" Target="../../home/ubuntu/odoo-taobao/docs/&#25253;&#20215;&#30446;&#24405;/Link_cnc_Price_Catalog_USD_2026-09-28.xlsx" TargetMode="External"/><Relationship Id="rId127" Type="http://schemas.openxmlformats.org/officeDocument/2006/relationships/hyperlink" Target="../../home/ubuntu/odoo-taobao/docs/&#25253;&#20215;&#30446;&#24405;/Link_cnc_Price_Catalog_USD_2026-09-28.xlsx" TargetMode="External"/><Relationship Id="rId128" Type="http://schemas.openxmlformats.org/officeDocument/2006/relationships/hyperlink" Target="../../home/ubuntu/odoo-taobao/docs/&#25253;&#20215;&#30446;&#24405;/Link_cnc_Price_Catalog_USD_2026-09-28.xlsx" TargetMode="External"/><Relationship Id="rId129" Type="http://schemas.openxmlformats.org/officeDocument/2006/relationships/hyperlink" Target="../../home/ubuntu/odoo-taobao/docs/&#25253;&#20215;&#30446;&#24405;/Link_cnc_Price_Catalog_USD_2026-09-28.xlsx" TargetMode="External"/><Relationship Id="rId130" Type="http://schemas.openxmlformats.org/officeDocument/2006/relationships/hyperlink" Target="../../home/ubuntu/odoo-taobao/docs/&#25253;&#20215;&#30446;&#24405;/Link_cnc_Price_Catalog_USD_2026-09-28.xlsx" TargetMode="External"/><Relationship Id="rId131" Type="http://schemas.openxmlformats.org/officeDocument/2006/relationships/hyperlink" Target="../../home/ubuntu/odoo-taobao/docs/&#25253;&#20215;&#30446;&#24405;/Link_cnc_Price_Catalog_USD_2026-09-28.xlsx" TargetMode="External"/><Relationship Id="rId132" Type="http://schemas.openxmlformats.org/officeDocument/2006/relationships/hyperlink" Target="../../home/ubuntu/odoo-taobao/docs/&#25253;&#20215;&#30446;&#24405;/Link_cnc_Price_Catalog_USD_2026-09-28.xlsx" TargetMode="External"/><Relationship Id="rId133" Type="http://schemas.openxmlformats.org/officeDocument/2006/relationships/hyperlink" Target="../../home/ubuntu/odoo-taobao/docs/&#25253;&#20215;&#30446;&#24405;/Link_cnc_Price_Catalog_USD_2026-09-28.xlsx" TargetMode="External"/><Relationship Id="rId134" Type="http://schemas.openxmlformats.org/officeDocument/2006/relationships/hyperlink" Target="../../home/ubuntu/odoo-taobao/docs/&#25253;&#20215;&#30446;&#24405;/Link_cnc_Price_Catalog_USD_2026-09-28.xlsx" TargetMode="External"/><Relationship Id="rId135" Type="http://schemas.openxmlformats.org/officeDocument/2006/relationships/hyperlink" Target="../../home/ubuntu/odoo-taobao/docs/&#25253;&#20215;&#30446;&#24405;/Link_cnc_Price_Catalog_USD_2026-09-28.xlsx" TargetMode="External"/><Relationship Id="rId136" Type="http://schemas.openxmlformats.org/officeDocument/2006/relationships/hyperlink" Target="../../home/ubuntu/odoo-taobao/docs/&#25253;&#20215;&#30446;&#24405;/Link_cnc_Price_Catalog_USD_2026-09-28.xlsx" TargetMode="External"/><Relationship Id="rId137" Type="http://schemas.openxmlformats.org/officeDocument/2006/relationships/hyperlink" Target="../../home/ubuntu/odoo-taobao/docs/&#25253;&#20215;&#30446;&#24405;/Link_cnc_Price_Catalog_USD_2026-09-28.xlsx" TargetMode="External"/><Relationship Id="rId138" Type="http://schemas.openxmlformats.org/officeDocument/2006/relationships/hyperlink" Target="../../home/ubuntu/odoo-taobao/docs/&#25253;&#20215;&#30446;&#24405;/Link_cnc_Price_Catalog_USD_2026-09-28.xlsx" TargetMode="External"/><Relationship Id="rId139" Type="http://schemas.openxmlformats.org/officeDocument/2006/relationships/hyperlink" Target="../../home/ubuntu/odoo-taobao/docs/&#25253;&#20215;&#30446;&#24405;/Link_cnc_Price_Catalog_USD_2026-09-28.xlsx" TargetMode="External"/><Relationship Id="rId140" Type="http://schemas.openxmlformats.org/officeDocument/2006/relationships/hyperlink" Target="../../home/ubuntu/odoo-taobao/docs/&#25253;&#20215;&#30446;&#24405;/Link_cnc_Price_Catalog_USD_2026-09-28.xlsx" TargetMode="External"/><Relationship Id="rId141" Type="http://schemas.openxmlformats.org/officeDocument/2006/relationships/hyperlink" Target="../../home/ubuntu/odoo-taobao/docs/&#25253;&#20215;&#30446;&#24405;/Link_cnc_Price_Catalog_USD_2026-09-28.xlsx" TargetMode="External"/><Relationship Id="rId142" Type="http://schemas.openxmlformats.org/officeDocument/2006/relationships/hyperlink" Target="../../home/ubuntu/odoo-taobao/docs/&#25253;&#20215;&#30446;&#24405;/Link_cnc_Price_Catalog_USD_2026-09-28.xlsx" TargetMode="External"/><Relationship Id="rId143" Type="http://schemas.openxmlformats.org/officeDocument/2006/relationships/hyperlink" Target="../../home/ubuntu/odoo-taobao/docs/&#25253;&#20215;&#30446;&#24405;/Link_cnc_Price_Catalog_USD_2026-09-28.xlsx" TargetMode="External"/><Relationship Id="rId144" Type="http://schemas.openxmlformats.org/officeDocument/2006/relationships/hyperlink" Target="../../home/ubuntu/odoo-taobao/docs/&#25253;&#20215;&#30446;&#24405;/Link_cnc_Price_Catalog_USD_2026-09-28.xlsx" TargetMode="External"/><Relationship Id="rId145" Type="http://schemas.openxmlformats.org/officeDocument/2006/relationships/hyperlink" Target="../../home/ubuntu/odoo-taobao/docs/&#25253;&#20215;&#30446;&#24405;/Link_cnc_Price_Catalog_USD_2026-09-28.xlsx" TargetMode="External"/><Relationship Id="rId146" Type="http://schemas.openxmlformats.org/officeDocument/2006/relationships/hyperlink" Target="../../home/ubuntu/odoo-taobao/docs/&#25253;&#20215;&#30446;&#24405;/Link_cnc_Price_Catalog_USD_2026-09-28.xlsx" TargetMode="External"/><Relationship Id="rId147" Type="http://schemas.openxmlformats.org/officeDocument/2006/relationships/hyperlink" Target="../../home/ubuntu/odoo-taobao/docs/&#25253;&#20215;&#30446;&#24405;/Link_cnc_Price_Catalog_USD_2026-09-28.xlsx" TargetMode="External"/><Relationship Id="rId148" Type="http://schemas.openxmlformats.org/officeDocument/2006/relationships/hyperlink" Target="../../home/ubuntu/odoo-taobao/docs/&#25253;&#20215;&#30446;&#24405;/Link_cnc_Price_Catalog_USD_2026-09-28.xlsx" TargetMode="External"/><Relationship Id="rId149" Type="http://schemas.openxmlformats.org/officeDocument/2006/relationships/hyperlink" Target="../../home/ubuntu/odoo-taobao/docs/&#25253;&#20215;&#30446;&#24405;/Link_cnc_Price_Catalog_USD_2026-09-28.xlsx" TargetMode="External"/><Relationship Id="rId150" Type="http://schemas.openxmlformats.org/officeDocument/2006/relationships/hyperlink" Target="../../home/ubuntu/odoo-taobao/docs/&#25253;&#20215;&#30446;&#24405;/Link_cnc_Price_Catalog_USD_2026-09-28.xlsx" TargetMode="External"/><Relationship Id="rId151" Type="http://schemas.openxmlformats.org/officeDocument/2006/relationships/hyperlink" Target="../../home/ubuntu/odoo-taobao/docs/&#25253;&#20215;&#30446;&#24405;/Link_cnc_Price_Catalog_USD_2026-09-28.xlsx" TargetMode="External"/><Relationship Id="rId152" Type="http://schemas.openxmlformats.org/officeDocument/2006/relationships/hyperlink" Target="../../home/ubuntu/odoo-taobao/docs/&#25253;&#20215;&#30446;&#24405;/Link_cnc_Price_Catalog_USD_2026-09-28.xlsx" TargetMode="External"/><Relationship Id="rId153" Type="http://schemas.openxmlformats.org/officeDocument/2006/relationships/hyperlink" Target="../../home/ubuntu/odoo-taobao/docs/&#25253;&#20215;&#30446;&#24405;/Link_cnc_Price_Catalog_USD_2026-09-28.xlsx" TargetMode="External"/><Relationship Id="rId154" Type="http://schemas.openxmlformats.org/officeDocument/2006/relationships/hyperlink" Target="../../home/ubuntu/odoo-taobao/docs/&#25253;&#20215;&#30446;&#24405;/Link_cnc_Price_Catalog_USD_2026-09-28.xlsx" TargetMode="External"/><Relationship Id="rId155" Type="http://schemas.openxmlformats.org/officeDocument/2006/relationships/hyperlink" Target="../../home/ubuntu/odoo-taobao/docs/&#25253;&#20215;&#30446;&#24405;/Link_cnc_Price_Catalog_USD_2026-09-28.xlsx" TargetMode="External"/><Relationship Id="rId156" Type="http://schemas.openxmlformats.org/officeDocument/2006/relationships/hyperlink" Target="../../home/ubuntu/odoo-taobao/docs/&#25253;&#20215;&#30446;&#24405;/Link_cnc_Price_Catalog_USD_2026-09-28.xlsx" TargetMode="External"/><Relationship Id="rId157" Type="http://schemas.openxmlformats.org/officeDocument/2006/relationships/hyperlink" Target="../../home/ubuntu/odoo-taobao/docs/&#25253;&#20215;&#30446;&#24405;/Link_cnc_Price_Catalog_USD_2026-09-28.xlsx" TargetMode="External"/><Relationship Id="rId158" Type="http://schemas.openxmlformats.org/officeDocument/2006/relationships/hyperlink" Target="../../home/ubuntu/odoo-taobao/docs/&#25253;&#20215;&#30446;&#24405;/Link_cnc_Price_Catalog_USD_2026-09-28.xlsx" TargetMode="External"/><Relationship Id="rId159" Type="http://schemas.openxmlformats.org/officeDocument/2006/relationships/hyperlink" Target="../../home/ubuntu/odoo-taobao/docs/&#25253;&#20215;&#30446;&#24405;/Link_cnc_Price_Catalog_USD_2026-09-28.xlsx" TargetMode="External"/><Relationship Id="rId160" Type="http://schemas.openxmlformats.org/officeDocument/2006/relationships/hyperlink" Target="../../home/ubuntu/odoo-taobao/docs/&#25253;&#20215;&#30446;&#24405;/Link_cnc_Price_Catalog_USD_2026-09-28.xlsx" TargetMode="External"/><Relationship Id="rId161" Type="http://schemas.openxmlformats.org/officeDocument/2006/relationships/hyperlink" Target="../../home/ubuntu/odoo-taobao/docs/&#25253;&#20215;&#30446;&#24405;/Link_cnc_Price_Catalog_USD_2026-09-28.xlsx" TargetMode="External"/><Relationship Id="rId162" Type="http://schemas.openxmlformats.org/officeDocument/2006/relationships/hyperlink" Target="../../home/ubuntu/odoo-taobao/docs/&#25253;&#20215;&#30446;&#24405;/Link_cnc_Price_Catalog_USD_2026-09-28.xlsx" TargetMode="External"/><Relationship Id="rId163" Type="http://schemas.openxmlformats.org/officeDocument/2006/relationships/hyperlink" Target="../../home/ubuntu/odoo-taobao/docs/&#25253;&#20215;&#30446;&#24405;/Link_cnc_Price_Catalog_USD_2026-09-28.xlsx" TargetMode="External"/><Relationship Id="rId164" Type="http://schemas.openxmlformats.org/officeDocument/2006/relationships/hyperlink" Target="../../home/ubuntu/odoo-taobao/docs/&#25253;&#20215;&#30446;&#24405;/Link_cnc_Price_Catalog_USD_2026-09-28.xlsx" TargetMode="External"/><Relationship Id="rId165" Type="http://schemas.openxmlformats.org/officeDocument/2006/relationships/hyperlink" Target="../../home/ubuntu/odoo-taobao/docs/&#25253;&#20215;&#30446;&#24405;/Link_cnc_Price_Catalog_USD_2026-09-28.xlsx" TargetMode="External"/><Relationship Id="rId166" Type="http://schemas.openxmlformats.org/officeDocument/2006/relationships/hyperlink" Target="../../home/ubuntu/odoo-taobao/docs/&#25253;&#20215;&#30446;&#24405;/Link_cnc_Price_Catalog_USD_2026-09-28.xlsx" TargetMode="External"/><Relationship Id="rId167" Type="http://schemas.openxmlformats.org/officeDocument/2006/relationships/hyperlink" Target="../../home/ubuntu/odoo-taobao/docs/&#25253;&#20215;&#30446;&#24405;/Link_cnc_Price_Catalog_USD_2026-09-28.xlsx" TargetMode="External"/><Relationship Id="rId168" Type="http://schemas.openxmlformats.org/officeDocument/2006/relationships/hyperlink" Target="../../home/ubuntu/odoo-taobao/docs/&#25253;&#20215;&#30446;&#24405;/Link_cnc_Price_Catalog_USD_2026-09-28.xlsx" TargetMode="External"/><Relationship Id="rId169" Type="http://schemas.openxmlformats.org/officeDocument/2006/relationships/hyperlink" Target="../../home/ubuntu/odoo-taobao/docs/&#25253;&#20215;&#30446;&#24405;/Link_cnc_Price_Catalog_USD_2026-09-28.xlsx" TargetMode="External"/><Relationship Id="rId170" Type="http://schemas.openxmlformats.org/officeDocument/2006/relationships/hyperlink" Target="../../home/ubuntu/odoo-taobao/docs/&#25253;&#20215;&#30446;&#24405;/Link_cnc_Price_Catalog_USD_2026-09-28.xlsx" TargetMode="External"/><Relationship Id="rId171" Type="http://schemas.openxmlformats.org/officeDocument/2006/relationships/hyperlink" Target="../../home/ubuntu/odoo-taobao/docs/&#25253;&#20215;&#30446;&#24405;/Link_cnc_Price_Catalog_USD_2026-09-28.xlsx" TargetMode="External"/><Relationship Id="rId172" Type="http://schemas.openxmlformats.org/officeDocument/2006/relationships/hyperlink" Target="../../home/ubuntu/odoo-taobao/docs/&#25253;&#20215;&#30446;&#24405;/Link_cnc_Price_Catalog_USD_2026-09-28.xlsx" TargetMode="External"/><Relationship Id="rId173" Type="http://schemas.openxmlformats.org/officeDocument/2006/relationships/hyperlink" Target="../../home/ubuntu/odoo-taobao/docs/&#25253;&#20215;&#30446;&#24405;/Link_cnc_Price_Catalog_USD_2026-09-28.xlsx" TargetMode="External"/><Relationship Id="rId174" Type="http://schemas.openxmlformats.org/officeDocument/2006/relationships/hyperlink" Target="../../home/ubuntu/odoo-taobao/docs/&#25253;&#20215;&#30446;&#24405;/Link_cnc_Price_Catalog_USD_2026-09-28.xlsx" TargetMode="External"/><Relationship Id="rId175" Type="http://schemas.openxmlformats.org/officeDocument/2006/relationships/hyperlink" Target="../../home/ubuntu/odoo-taobao/docs/&#25253;&#20215;&#30446;&#24405;/Link_cnc_Price_Catalog_USD_2026-09-28.xlsx" TargetMode="External"/><Relationship Id="rId176" Type="http://schemas.openxmlformats.org/officeDocument/2006/relationships/hyperlink" Target="../../home/ubuntu/odoo-taobao/docs/&#25253;&#20215;&#30446;&#24405;/Link_cnc_Price_Catalog_USD_2026-09-28.xlsx" TargetMode="External"/><Relationship Id="rId177" Type="http://schemas.openxmlformats.org/officeDocument/2006/relationships/hyperlink" Target="../../home/ubuntu/odoo-taobao/docs/&#25253;&#20215;&#30446;&#24405;/Link_cnc_Price_Catalog_USD_2026-09-28.xlsx" TargetMode="External"/><Relationship Id="rId178" Type="http://schemas.openxmlformats.org/officeDocument/2006/relationships/hyperlink" Target="../../home/ubuntu/odoo-taobao/docs/&#25253;&#20215;&#30446;&#24405;/Link_cnc_Price_Catalog_USD_2026-09-28.xlsx" TargetMode="External"/><Relationship Id="rId179" Type="http://schemas.openxmlformats.org/officeDocument/2006/relationships/hyperlink" Target="../../home/ubuntu/odoo-taobao/docs/&#25253;&#20215;&#30446;&#24405;/Link_cnc_Price_Catalog_USD_2026-09-28.xlsx" TargetMode="External"/><Relationship Id="rId180" Type="http://schemas.openxmlformats.org/officeDocument/2006/relationships/hyperlink" Target="../../home/ubuntu/odoo-taobao/docs/&#25253;&#20215;&#30446;&#24405;/Link_cnc_Price_Catalog_USD_2026-09-28.xlsx" TargetMode="External"/><Relationship Id="rId181" Type="http://schemas.openxmlformats.org/officeDocument/2006/relationships/hyperlink" Target="../../home/ubuntu/odoo-taobao/docs/&#25253;&#20215;&#30446;&#24405;/Link_cnc_Price_Catalog_USD_2026-09-28.xlsx" TargetMode="External"/><Relationship Id="rId182" Type="http://schemas.openxmlformats.org/officeDocument/2006/relationships/hyperlink" Target="../../home/ubuntu/odoo-taobao/docs/&#25253;&#20215;&#30446;&#24405;/Link_cnc_Price_Catalog_USD_2026-09-28.xlsx" TargetMode="External"/><Relationship Id="rId183" Type="http://schemas.openxmlformats.org/officeDocument/2006/relationships/hyperlink" Target="../../home/ubuntu/odoo-taobao/docs/&#25253;&#20215;&#30446;&#24405;/Link_cnc_Price_Catalog_USD_2026-09-28.xlsx" TargetMode="External"/><Relationship Id="rId184" Type="http://schemas.openxmlformats.org/officeDocument/2006/relationships/hyperlink" Target="../../home/ubuntu/odoo-taobao/docs/&#25253;&#20215;&#30446;&#24405;/Link_cnc_Price_Catalog_USD_2026-09-28.xlsx" TargetMode="External"/><Relationship Id="rId185" Type="http://schemas.openxmlformats.org/officeDocument/2006/relationships/hyperlink" Target="../../home/ubuntu/odoo-taobao/docs/&#25253;&#20215;&#30446;&#24405;/Link_cnc_Price_Catalog_USD_2026-09-28.xlsx" TargetMode="External"/><Relationship Id="rId186" Type="http://schemas.openxmlformats.org/officeDocument/2006/relationships/hyperlink" Target="../../home/ubuntu/odoo-taobao/docs/&#25253;&#20215;&#30446;&#24405;/Link_cnc_Price_Catalog_USD_2026-09-28.xlsx" TargetMode="External"/><Relationship Id="rId187" Type="http://schemas.openxmlformats.org/officeDocument/2006/relationships/hyperlink" Target="../../home/ubuntu/odoo-taobao/docs/&#25253;&#20215;&#30446;&#24405;/Link_cnc_Price_Catalog_USD_2026-09-28.xlsx" TargetMode="External"/><Relationship Id="rId188" Type="http://schemas.openxmlformats.org/officeDocument/2006/relationships/hyperlink" Target="../../home/ubuntu/odoo-taobao/docs/&#25253;&#20215;&#30446;&#24405;/Link_cnc_Price_Catalog_USD_2026-09-28.xlsx" TargetMode="External"/><Relationship Id="rId189" Type="http://schemas.openxmlformats.org/officeDocument/2006/relationships/hyperlink" Target="../../home/ubuntu/odoo-taobao/docs/&#25253;&#20215;&#30446;&#24405;/Link_cnc_Price_Catalog_USD_2026-09-28.xlsx" TargetMode="External"/><Relationship Id="rId190" Type="http://schemas.openxmlformats.org/officeDocument/2006/relationships/hyperlink" Target="../../home/ubuntu/odoo-taobao/docs/&#25253;&#20215;&#30446;&#24405;/Link_cnc_Price_Catalog_USD_2026-09-28.xlsx" TargetMode="External"/><Relationship Id="rId191" Type="http://schemas.openxmlformats.org/officeDocument/2006/relationships/hyperlink" Target="../../home/ubuntu/odoo-taobao/docs/&#25253;&#20215;&#30446;&#24405;/Link_cnc_Price_Catalog_USD_2026-09-28.xlsx" TargetMode="External"/><Relationship Id="rId192" Type="http://schemas.openxmlformats.org/officeDocument/2006/relationships/hyperlink" Target="../../home/ubuntu/odoo-taobao/docs/&#25253;&#20215;&#30446;&#24405;/Link_cnc_Price_Catalog_USD_2026-09-28.xlsx" TargetMode="External"/><Relationship Id="rId193" Type="http://schemas.openxmlformats.org/officeDocument/2006/relationships/hyperlink" Target="../../home/ubuntu/odoo-taobao/docs/&#25253;&#20215;&#30446;&#24405;/Link_cnc_Price_Catalog_USD_2026-09-28.xlsx" TargetMode="External"/><Relationship Id="rId194" Type="http://schemas.openxmlformats.org/officeDocument/2006/relationships/hyperlink" Target="../../home/ubuntu/odoo-taobao/docs/&#25253;&#20215;&#30446;&#24405;/Link_cnc_Price_Catalog_USD_2026-09-28.xlsx" TargetMode="External"/><Relationship Id="rId195" Type="http://schemas.openxmlformats.org/officeDocument/2006/relationships/hyperlink" Target="../../home/ubuntu/odoo-taobao/docs/&#25253;&#20215;&#30446;&#24405;/Link_cnc_Price_Catalog_USD_2026-09-28.xlsx" TargetMode="External"/><Relationship Id="rId196" Type="http://schemas.openxmlformats.org/officeDocument/2006/relationships/hyperlink" Target="../../home/ubuntu/odoo-taobao/docs/&#25253;&#20215;&#30446;&#24405;/Link_cnc_Price_Catalog_USD_2026-09-28.xlsx" TargetMode="External"/><Relationship Id="rId197" Type="http://schemas.openxmlformats.org/officeDocument/2006/relationships/hyperlink" Target="../../home/ubuntu/odoo-taobao/docs/&#25253;&#20215;&#30446;&#24405;/Link_cnc_Price_Catalog_USD_2026-09-28.xlsx" TargetMode="External"/><Relationship Id="rId198" Type="http://schemas.openxmlformats.org/officeDocument/2006/relationships/hyperlink" Target="../../home/ubuntu/odoo-taobao/docs/&#25253;&#20215;&#30446;&#24405;/Link_cnc_Price_Catalog_USD_2026-09-28.xlsx" TargetMode="External"/><Relationship Id="rId199" Type="http://schemas.openxmlformats.org/officeDocument/2006/relationships/hyperlink" Target="../../home/ubuntu/odoo-taobao/docs/&#25253;&#20215;&#30446;&#24405;/Link_cnc_Price_Catalog_USD_2026-09-28.xlsx" TargetMode="External"/><Relationship Id="rId200" Type="http://schemas.openxmlformats.org/officeDocument/2006/relationships/hyperlink" Target="../../home/ubuntu/odoo-taobao/docs/&#25253;&#20215;&#30446;&#24405;/Link_cnc_Price_Catalog_USD_2026-09-28.xlsx" TargetMode="External"/><Relationship Id="rId201" Type="http://schemas.openxmlformats.org/officeDocument/2006/relationships/hyperlink" Target="../../home/ubuntu/odoo-taobao/docs/&#25253;&#20215;&#30446;&#24405;/Link_cnc_Price_Catalog_USD_2026-09-28.xlsx" TargetMode="External"/><Relationship Id="rId202" Type="http://schemas.openxmlformats.org/officeDocument/2006/relationships/hyperlink" Target="../../home/ubuntu/odoo-taobao/docs/&#25253;&#20215;&#30446;&#24405;/Link_cnc_Price_Catalog_USD_2026-09-28.xlsx" TargetMode="External"/><Relationship Id="rId203" Type="http://schemas.openxmlformats.org/officeDocument/2006/relationships/hyperlink" Target="../../home/ubuntu/odoo-taobao/docs/&#25253;&#20215;&#30446;&#24405;/Link_cnc_Price_Catalog_USD_2026-09-28.xlsx" TargetMode="External"/><Relationship Id="rId204" Type="http://schemas.openxmlformats.org/officeDocument/2006/relationships/hyperlink" Target="../../home/ubuntu/odoo-taobao/docs/&#25253;&#20215;&#30446;&#24405;/Link_cnc_Price_Catalog_USD_2026-09-28.xlsx" TargetMode="External"/><Relationship Id="rId205" Type="http://schemas.openxmlformats.org/officeDocument/2006/relationships/hyperlink" Target="../../home/ubuntu/odoo-taobao/docs/&#25253;&#20215;&#30446;&#24405;/Link_cnc_Price_Catalog_USD_2026-09-28.xlsx" TargetMode="External"/><Relationship Id="rId206" Type="http://schemas.openxmlformats.org/officeDocument/2006/relationships/hyperlink" Target="../../home/ubuntu/odoo-taobao/docs/&#25253;&#20215;&#30446;&#24405;/Link_cnc_Price_Catalog_USD_2026-09-28.xlsx" TargetMode="External"/><Relationship Id="rId207" Type="http://schemas.openxmlformats.org/officeDocument/2006/relationships/hyperlink" Target="../../home/ubuntu/odoo-taobao/docs/&#25253;&#20215;&#30446;&#24405;/Link_cnc_Price_Catalog_USD_2026-09-28.xlsx" TargetMode="External"/><Relationship Id="rId208" Type="http://schemas.openxmlformats.org/officeDocument/2006/relationships/hyperlink" Target="../../home/ubuntu/odoo-taobao/docs/&#25253;&#20215;&#30446;&#24405;/Link_cnc_Price_Catalog_USD_2026-09-28.xlsx" TargetMode="External"/><Relationship Id="rId209" Type="http://schemas.openxmlformats.org/officeDocument/2006/relationships/hyperlink" Target="../../home/ubuntu/odoo-taobao/docs/&#25253;&#20215;&#30446;&#24405;/Link_cnc_Price_Catalog_USD_2026-09-28.xlsx" TargetMode="External"/><Relationship Id="rId210" Type="http://schemas.openxmlformats.org/officeDocument/2006/relationships/hyperlink" Target="../../home/ubuntu/odoo-taobao/docs/&#25253;&#20215;&#30446;&#24405;/Link_cnc_Price_Catalog_USD_2026-09-28.xlsx" TargetMode="External"/><Relationship Id="rId211" Type="http://schemas.openxmlformats.org/officeDocument/2006/relationships/hyperlink" Target="../../home/ubuntu/odoo-taobao/docs/&#25253;&#20215;&#30446;&#24405;/Link_cnc_Price_Catalog_USD_2026-09-28.xlsx" TargetMode="External"/><Relationship Id="rId212" Type="http://schemas.openxmlformats.org/officeDocument/2006/relationships/hyperlink" Target="../../home/ubuntu/odoo-taobao/docs/&#25253;&#20215;&#30446;&#24405;/Link_cnc_Price_Catalog_USD_2026-09-28.xlsx" TargetMode="External"/><Relationship Id="rId213" Type="http://schemas.openxmlformats.org/officeDocument/2006/relationships/hyperlink" Target="../../home/ubuntu/odoo-taobao/docs/&#25253;&#20215;&#30446;&#24405;/Link_cnc_Price_Catalog_USD_2026-09-28.xlsx" TargetMode="External"/><Relationship Id="rId214" Type="http://schemas.openxmlformats.org/officeDocument/2006/relationships/hyperlink" Target="../../home/ubuntu/odoo-taobao/docs/&#25253;&#20215;&#30446;&#24405;/Link_cnc_Price_Catalog_USD_2026-09-28.xlsx" TargetMode="External"/><Relationship Id="rId215" Type="http://schemas.openxmlformats.org/officeDocument/2006/relationships/hyperlink" Target="../../home/ubuntu/odoo-taobao/docs/&#25253;&#20215;&#30446;&#24405;/Link_cnc_Price_Catalog_USD_2026-09-28.xlsx" TargetMode="External"/><Relationship Id="rId216" Type="http://schemas.openxmlformats.org/officeDocument/2006/relationships/hyperlink" Target="../../home/ubuntu/odoo-taobao/docs/&#25253;&#20215;&#30446;&#24405;/Link_cnc_Price_Catalog_USD_2026-09-28.xlsx" TargetMode="External"/><Relationship Id="rId217" Type="http://schemas.openxmlformats.org/officeDocument/2006/relationships/hyperlink" Target="../../home/ubuntu/odoo-taobao/docs/&#25253;&#20215;&#30446;&#24405;/Link_cnc_Price_Catalog_USD_2026-09-28.xlsx" TargetMode="External"/><Relationship Id="rId218" Type="http://schemas.openxmlformats.org/officeDocument/2006/relationships/hyperlink" Target="../../home/ubuntu/odoo-taobao/docs/&#25253;&#20215;&#30446;&#24405;/Link_cnc_Price_Catalog_USD_2026-09-28.xlsx" TargetMode="External"/><Relationship Id="rId219" Type="http://schemas.openxmlformats.org/officeDocument/2006/relationships/hyperlink" Target="../../home/ubuntu/odoo-taobao/docs/&#25253;&#20215;&#30446;&#24405;/Link_cnc_Price_Catalog_USD_2026-09-28.xlsx" TargetMode="External"/><Relationship Id="rId220" Type="http://schemas.openxmlformats.org/officeDocument/2006/relationships/hyperlink" Target="../../home/ubuntu/odoo-taobao/docs/&#25253;&#20215;&#30446;&#24405;/Link_cnc_Price_Catalog_USD_2026-09-28.xlsx" TargetMode="External"/><Relationship Id="rId221" Type="http://schemas.openxmlformats.org/officeDocument/2006/relationships/hyperlink" Target="../../home/ubuntu/odoo-taobao/docs/&#25253;&#20215;&#30446;&#24405;/Link_cnc_Price_Catalog_USD_2026-09-28.xlsx" TargetMode="External"/><Relationship Id="rId222" Type="http://schemas.openxmlformats.org/officeDocument/2006/relationships/hyperlink" Target="../../home/ubuntu/odoo-taobao/docs/&#25253;&#20215;&#30446;&#24405;/Link_cnc_Price_Catalog_USD_2026-09-28.xlsx" TargetMode="External"/><Relationship Id="rId223" Type="http://schemas.openxmlformats.org/officeDocument/2006/relationships/hyperlink" Target="../../home/ubuntu/odoo-taobao/docs/&#25253;&#20215;&#30446;&#24405;/Link_cnc_Price_Catalog_USD_2026-09-28.xlsx" TargetMode="External"/><Relationship Id="rId224" Type="http://schemas.openxmlformats.org/officeDocument/2006/relationships/hyperlink" Target="../../home/ubuntu/odoo-taobao/docs/&#25253;&#20215;&#30446;&#24405;/Link_cnc_Price_Catalog_USD_2026-09-28.xlsx" TargetMode="External"/><Relationship Id="rId225" Type="http://schemas.openxmlformats.org/officeDocument/2006/relationships/hyperlink" Target="../../home/ubuntu/odoo-taobao/docs/&#25253;&#20215;&#30446;&#24405;/Link_cnc_Price_Catalog_USD_2026-09-28.xlsx" TargetMode="External"/><Relationship Id="rId226" Type="http://schemas.openxmlformats.org/officeDocument/2006/relationships/hyperlink" Target="../../home/ubuntu/odoo-taobao/docs/&#25253;&#20215;&#30446;&#24405;/Link_cnc_Price_Catalog_USD_2026-09-28.xlsx" TargetMode="External"/><Relationship Id="rId227" Type="http://schemas.openxmlformats.org/officeDocument/2006/relationships/hyperlink" Target="../../home/ubuntu/odoo-taobao/docs/&#25253;&#20215;&#30446;&#24405;/Link_cnc_Price_Catalog_USD_2026-09-28.xlsx" TargetMode="External"/><Relationship Id="rId228" Type="http://schemas.openxmlformats.org/officeDocument/2006/relationships/hyperlink" Target="../../home/ubuntu/odoo-taobao/docs/&#25253;&#20215;&#30446;&#24405;/Link_cnc_Price_Catalog_USD_2026-09-28.xlsx" TargetMode="External"/><Relationship Id="rId229" Type="http://schemas.openxmlformats.org/officeDocument/2006/relationships/hyperlink" Target="../../home/ubuntu/odoo-taobao/docs/&#25253;&#20215;&#30446;&#24405;/Link_cnc_Price_Catalog_USD_2026-09-28.xlsx" TargetMode="External"/><Relationship Id="rId230" Type="http://schemas.openxmlformats.org/officeDocument/2006/relationships/hyperlink" Target="../../home/ubuntu/odoo-taobao/docs/&#25253;&#20215;&#30446;&#24405;/Link_cnc_Price_Catalog_USD_2026-09-28.xlsx" TargetMode="External"/><Relationship Id="rId231" Type="http://schemas.openxmlformats.org/officeDocument/2006/relationships/hyperlink" Target="../../home/ubuntu/odoo-taobao/docs/&#25253;&#20215;&#30446;&#24405;/Link_cnc_Price_Catalog_USD_2026-09-28.xlsx" TargetMode="External"/><Relationship Id="rId232" Type="http://schemas.openxmlformats.org/officeDocument/2006/relationships/hyperlink" Target="../../home/ubuntu/odoo-taobao/docs/&#25253;&#20215;&#30446;&#24405;/Link_cnc_Price_Catalog_USD_2026-09-28.xlsx" TargetMode="External"/><Relationship Id="rId233" Type="http://schemas.openxmlformats.org/officeDocument/2006/relationships/hyperlink" Target="../../home/ubuntu/odoo-taobao/docs/&#25253;&#20215;&#30446;&#24405;/Link_cnc_Price_Catalog_USD_2026-09-28.xlsx" TargetMode="External"/><Relationship Id="rId234" Type="http://schemas.openxmlformats.org/officeDocument/2006/relationships/hyperlink" Target="../../home/ubuntu/odoo-taobao/docs/&#25253;&#20215;&#30446;&#24405;/Link_cnc_Price_Catalog_USD_2026-09-28.xlsx" TargetMode="External"/><Relationship Id="rId235" Type="http://schemas.openxmlformats.org/officeDocument/2006/relationships/hyperlink" Target="../../home/ubuntu/odoo-taobao/docs/&#25253;&#20215;&#30446;&#24405;/Link_cnc_Price_Catalog_USD_2026-09-28.xlsx" TargetMode="External"/><Relationship Id="rId236" Type="http://schemas.openxmlformats.org/officeDocument/2006/relationships/hyperlink" Target="../../home/ubuntu/odoo-taobao/docs/&#25253;&#20215;&#30446;&#24405;/Link_cnc_Price_Catalog_USD_2026-09-28.xlsx" TargetMode="External"/><Relationship Id="rId237" Type="http://schemas.openxmlformats.org/officeDocument/2006/relationships/hyperlink" Target="../../home/ubuntu/odoo-taobao/docs/&#25253;&#20215;&#30446;&#24405;/Link_cnc_Price_Catalog_USD_2026-09-28.xlsx" TargetMode="External"/><Relationship Id="rId238" Type="http://schemas.openxmlformats.org/officeDocument/2006/relationships/hyperlink" Target="../../home/ubuntu/odoo-taobao/docs/&#25253;&#20215;&#30446;&#24405;/Link_cnc_Price_Catalog_USD_2026-09-28.xlsx" TargetMode="External"/><Relationship Id="rId239" Type="http://schemas.openxmlformats.org/officeDocument/2006/relationships/hyperlink" Target="../../home/ubuntu/odoo-taobao/docs/&#25253;&#20215;&#30446;&#24405;/Link_cnc_Price_Catalog_USD_2026-09-28.xlsx" TargetMode="External"/><Relationship Id="rId240" Type="http://schemas.openxmlformats.org/officeDocument/2006/relationships/hyperlink" Target="../../home/ubuntu/odoo-taobao/docs/&#25253;&#20215;&#30446;&#24405;/Link_cnc_Price_Catalog_USD_2026-09-28.xlsx" TargetMode="External"/><Relationship Id="rId241" Type="http://schemas.openxmlformats.org/officeDocument/2006/relationships/hyperlink" Target="../../home/ubuntu/odoo-taobao/docs/&#25253;&#20215;&#30446;&#24405;/Link_cnc_Price_Catalog_USD_2026-09-28.xlsx" TargetMode="External"/><Relationship Id="rId242" Type="http://schemas.openxmlformats.org/officeDocument/2006/relationships/hyperlink" Target="../../home/ubuntu/odoo-taobao/docs/&#25253;&#20215;&#30446;&#24405;/Link_cnc_Price_Catalog_USD_2026-09-28.xlsx" TargetMode="External"/><Relationship Id="rId243" Type="http://schemas.openxmlformats.org/officeDocument/2006/relationships/hyperlink" Target="../../home/ubuntu/odoo-taobao/docs/&#25253;&#20215;&#30446;&#24405;/Link_cnc_Price_Catalog_USD_2026-09-28.xlsx" TargetMode="External"/><Relationship Id="rId244" Type="http://schemas.openxmlformats.org/officeDocument/2006/relationships/hyperlink" Target="../../home/ubuntu/odoo-taobao/docs/&#25253;&#20215;&#30446;&#24405;/Link_cnc_Price_Catalog_USD_2026-09-28.xlsx" TargetMode="External"/><Relationship Id="rId245" Type="http://schemas.openxmlformats.org/officeDocument/2006/relationships/hyperlink" Target="../../home/ubuntu/odoo-taobao/docs/&#25253;&#20215;&#30446;&#24405;/Link_cnc_Price_Catalog_USD_2026-09-28.xlsx" TargetMode="External"/><Relationship Id="rId246" Type="http://schemas.openxmlformats.org/officeDocument/2006/relationships/hyperlink" Target="../../home/ubuntu/odoo-taobao/docs/&#25253;&#20215;&#30446;&#24405;/Link_cnc_Price_Catalog_USD_2026-09-28.xlsx" TargetMode="External"/><Relationship Id="rId247" Type="http://schemas.openxmlformats.org/officeDocument/2006/relationships/hyperlink" Target="../../home/ubuntu/odoo-taobao/docs/&#25253;&#20215;&#30446;&#24405;/Link_cnc_Price_Catalog_USD_2026-09-28.xlsx" TargetMode="External"/><Relationship Id="rId248" Type="http://schemas.openxmlformats.org/officeDocument/2006/relationships/hyperlink" Target="../../home/ubuntu/odoo-taobao/docs/&#25253;&#20215;&#30446;&#24405;/Link_cnc_Price_Catalog_USD_2026-09-28.xlsx" TargetMode="External"/><Relationship Id="rId249" Type="http://schemas.openxmlformats.org/officeDocument/2006/relationships/hyperlink" Target="../../home/ubuntu/odoo-taobao/docs/&#25253;&#20215;&#30446;&#24405;/Link_cnc_Price_Catalog_USD_2026-09-28.xlsx" TargetMode="External"/><Relationship Id="rId250" Type="http://schemas.openxmlformats.org/officeDocument/2006/relationships/hyperlink" Target="../../home/ubuntu/odoo-taobao/docs/&#25253;&#20215;&#30446;&#24405;/Link_cnc_Price_Catalog_USD_2026-09-28.xlsx" TargetMode="External"/><Relationship Id="rId251" Type="http://schemas.openxmlformats.org/officeDocument/2006/relationships/hyperlink" Target="../../home/ubuntu/odoo-taobao/docs/&#25253;&#20215;&#30446;&#24405;/Link_cnc_Price_Catalog_USD_2026-09-28.xlsx" TargetMode="External"/><Relationship Id="rId252" Type="http://schemas.openxmlformats.org/officeDocument/2006/relationships/hyperlink" Target="../../home/ubuntu/odoo-taobao/docs/&#25253;&#20215;&#30446;&#24405;/Link_cnc_Price_Catalog_USD_2026-09-28.xlsx" TargetMode="External"/><Relationship Id="rId253" Type="http://schemas.openxmlformats.org/officeDocument/2006/relationships/hyperlink" Target="../../home/ubuntu/odoo-taobao/docs/&#25253;&#20215;&#30446;&#24405;/Link_cnc_Price_Catalog_USD_2026-09-28.xlsx" TargetMode="External"/><Relationship Id="rId254" Type="http://schemas.openxmlformats.org/officeDocument/2006/relationships/hyperlink" Target="../../home/ubuntu/odoo-taobao/docs/&#25253;&#20215;&#30446;&#24405;/Link_cnc_Price_Catalog_USD_2026-09-28.xlsx" TargetMode="External"/><Relationship Id="rId255" Type="http://schemas.openxmlformats.org/officeDocument/2006/relationships/hyperlink" Target="../../home/ubuntu/odoo-taobao/docs/&#25253;&#20215;&#30446;&#24405;/Link_cnc_Price_Catalog_USD_2026-09-28.xlsx" TargetMode="External"/><Relationship Id="rId256" Type="http://schemas.openxmlformats.org/officeDocument/2006/relationships/hyperlink" Target="../../home/ubuntu/odoo-taobao/docs/&#25253;&#20215;&#30446;&#24405;/Link_cnc_Price_Catalog_USD_2026-09-28.xlsx" TargetMode="External"/><Relationship Id="rId257" Type="http://schemas.openxmlformats.org/officeDocument/2006/relationships/hyperlink" Target="../../home/ubuntu/odoo-taobao/docs/&#25253;&#20215;&#30446;&#24405;/Link_cnc_Price_Catalog_USD_2026-09-28.xlsx" TargetMode="External"/><Relationship Id="rId258" Type="http://schemas.openxmlformats.org/officeDocument/2006/relationships/hyperlink" Target="../../home/ubuntu/odoo-taobao/docs/&#25253;&#20215;&#30446;&#24405;/Link_cnc_Price_Catalog_USD_2026-09-28.xlsx" TargetMode="External"/><Relationship Id="rId259" Type="http://schemas.openxmlformats.org/officeDocument/2006/relationships/hyperlink" Target="../../home/ubuntu/odoo-taobao/docs/&#25253;&#20215;&#30446;&#24405;/Link_cnc_Price_Catalog_USD_2026-09-28.xlsx" TargetMode="External"/><Relationship Id="rId260" Type="http://schemas.openxmlformats.org/officeDocument/2006/relationships/hyperlink" Target="../../home/ubuntu/odoo-taobao/docs/&#25253;&#20215;&#30446;&#24405;/Link_cnc_Price_Catalog_USD_2026-09-28.xlsx" TargetMode="External"/><Relationship Id="rId261" Type="http://schemas.openxmlformats.org/officeDocument/2006/relationships/hyperlink" Target="../../home/ubuntu/odoo-taobao/docs/&#25253;&#20215;&#30446;&#24405;/Link_cnc_Price_Catalog_USD_2026-09-28.xlsx" TargetMode="External"/><Relationship Id="rId262" Type="http://schemas.openxmlformats.org/officeDocument/2006/relationships/hyperlink" Target="../../home/ubuntu/odoo-taobao/docs/&#25253;&#20215;&#30446;&#24405;/Link_cnc_Price_Catalog_USD_2026-09-28.xlsx" TargetMode="External"/><Relationship Id="rId263" Type="http://schemas.openxmlformats.org/officeDocument/2006/relationships/hyperlink" Target="../../home/ubuntu/odoo-taobao/docs/&#25253;&#20215;&#30446;&#24405;/Link_cnc_Price_Catalog_USD_2026-09-28.xlsx" TargetMode="External"/><Relationship Id="rId264" Type="http://schemas.openxmlformats.org/officeDocument/2006/relationships/hyperlink" Target="../../home/ubuntu/odoo-taobao/docs/&#25253;&#20215;&#30446;&#24405;/Link_cnc_Price_Catalog_USD_2026-09-28.xlsx" TargetMode="External"/><Relationship Id="rId265" Type="http://schemas.openxmlformats.org/officeDocument/2006/relationships/hyperlink" Target="../../home/ubuntu/odoo-taobao/docs/&#25253;&#20215;&#30446;&#24405;/Link_cnc_Price_Catalog_USD_2026-09-28.xlsx" TargetMode="External"/><Relationship Id="rId266" Type="http://schemas.openxmlformats.org/officeDocument/2006/relationships/hyperlink" Target="../../home/ubuntu/odoo-taobao/docs/&#25253;&#20215;&#30446;&#24405;/Link_cnc_Price_Catalog_USD_2026-09-28.xlsx" TargetMode="External"/><Relationship Id="rId267" Type="http://schemas.openxmlformats.org/officeDocument/2006/relationships/hyperlink" Target="../../home/ubuntu/odoo-taobao/docs/&#25253;&#20215;&#30446;&#24405;/Link_cnc_Price_Catalog_USD_2026-09-28.xlsx" TargetMode="External"/><Relationship Id="rId268" Type="http://schemas.openxmlformats.org/officeDocument/2006/relationships/hyperlink" Target="../../home/ubuntu/odoo-taobao/docs/&#25253;&#20215;&#30446;&#24405;/Link_cnc_Price_Catalog_USD_2026-09-28.xlsx" TargetMode="External"/><Relationship Id="rId269" Type="http://schemas.openxmlformats.org/officeDocument/2006/relationships/hyperlink" Target="../../home/ubuntu/odoo-taobao/docs/&#25253;&#20215;&#30446;&#24405;/Link_cnc_Price_Catalog_USD_2026-09-28.xlsx" TargetMode="External"/><Relationship Id="rId270" Type="http://schemas.openxmlformats.org/officeDocument/2006/relationships/hyperlink" Target="../../home/ubuntu/odoo-taobao/docs/&#25253;&#20215;&#30446;&#24405;/Link_cnc_Price_Catalog_USD_2026-09-28.xlsx" TargetMode="External"/><Relationship Id="rId271" Type="http://schemas.openxmlformats.org/officeDocument/2006/relationships/hyperlink" Target="../../home/ubuntu/odoo-taobao/docs/&#25253;&#20215;&#30446;&#24405;/Link_cnc_Price_Catalog_USD_2026-09-28.xlsx" TargetMode="External"/><Relationship Id="rId272" Type="http://schemas.openxmlformats.org/officeDocument/2006/relationships/hyperlink" Target="../../home/ubuntu/odoo-taobao/docs/&#25253;&#20215;&#30446;&#24405;/Link_cnc_Price_Catalog_USD_2026-09-28.xlsx" TargetMode="External"/><Relationship Id="rId273" Type="http://schemas.openxmlformats.org/officeDocument/2006/relationships/hyperlink" Target="../../home/ubuntu/odoo-taobao/docs/&#25253;&#20215;&#30446;&#24405;/Link_cnc_Price_Catalog_USD_2026-09-28.xlsx" TargetMode="External"/><Relationship Id="rId274" Type="http://schemas.openxmlformats.org/officeDocument/2006/relationships/hyperlink" Target="../../home/ubuntu/odoo-taobao/docs/&#25253;&#20215;&#30446;&#24405;/Link_cnc_Price_Catalog_USD_2026-09-28.xlsx" TargetMode="External"/><Relationship Id="rId275" Type="http://schemas.openxmlformats.org/officeDocument/2006/relationships/hyperlink" Target="../../home/ubuntu/odoo-taobao/docs/&#25253;&#20215;&#30446;&#24405;/Link_cnc_Price_Catalog_USD_2026-09-28.xlsx" TargetMode="External"/><Relationship Id="rId276" Type="http://schemas.openxmlformats.org/officeDocument/2006/relationships/hyperlink" Target="../../home/ubuntu/odoo-taobao/docs/&#25253;&#20215;&#30446;&#24405;/Link_cnc_Price_Catalog_USD_2026-09-28.xlsx" TargetMode="External"/><Relationship Id="rId277" Type="http://schemas.openxmlformats.org/officeDocument/2006/relationships/hyperlink" Target="../../home/ubuntu/odoo-taobao/docs/&#25253;&#20215;&#30446;&#24405;/Link_cnc_Price_Catalog_USD_2026-09-28.xlsx" TargetMode="External"/><Relationship Id="rId278" Type="http://schemas.openxmlformats.org/officeDocument/2006/relationships/hyperlink" Target="../../home/ubuntu/odoo-taobao/docs/&#25253;&#20215;&#30446;&#24405;/Link_cnc_Price_Catalog_USD_2026-09-28.xlsx" TargetMode="External"/><Relationship Id="rId279" Type="http://schemas.openxmlformats.org/officeDocument/2006/relationships/hyperlink" Target="../../home/ubuntu/odoo-taobao/docs/&#25253;&#20215;&#30446;&#24405;/Link_cnc_Price_Catalog_USD_2026-09-28.xlsx" TargetMode="External"/><Relationship Id="rId280" Type="http://schemas.openxmlformats.org/officeDocument/2006/relationships/hyperlink" Target="../../home/ubuntu/odoo-taobao/docs/&#25253;&#20215;&#30446;&#24405;/Link_cnc_Price_Catalog_USD_2026-09-28.xlsx" TargetMode="External"/><Relationship Id="rId281" Type="http://schemas.openxmlformats.org/officeDocument/2006/relationships/hyperlink" Target="../../home/ubuntu/odoo-taobao/docs/&#25253;&#20215;&#30446;&#24405;/Link_cnc_Price_Catalog_USD_2026-09-28.xlsx" TargetMode="External"/><Relationship Id="rId282" Type="http://schemas.openxmlformats.org/officeDocument/2006/relationships/hyperlink" Target="../../home/ubuntu/odoo-taobao/docs/&#25253;&#20215;&#30446;&#24405;/Link_cnc_Price_Catalog_USD_2026-09-28.xlsx" TargetMode="External"/><Relationship Id="rId283" Type="http://schemas.openxmlformats.org/officeDocument/2006/relationships/hyperlink" Target="../../home/ubuntu/odoo-taobao/docs/&#25253;&#20215;&#30446;&#24405;/Link_cnc_Price_Catalog_USD_2026-09-28.xlsx" TargetMode="External"/><Relationship Id="rId284" Type="http://schemas.openxmlformats.org/officeDocument/2006/relationships/hyperlink" Target="../../home/ubuntu/odoo-taobao/docs/&#25253;&#20215;&#30446;&#24405;/Link_cnc_Price_Catalog_USD_2026-09-28.xlsx" TargetMode="External"/><Relationship Id="rId285" Type="http://schemas.openxmlformats.org/officeDocument/2006/relationships/hyperlink" Target="../../home/ubuntu/odoo-taobao/docs/&#25253;&#20215;&#30446;&#24405;/Link_cnc_Price_Catalog_USD_2026-09-28.xlsx" TargetMode="External"/><Relationship Id="rId286" Type="http://schemas.openxmlformats.org/officeDocument/2006/relationships/hyperlink" Target="../../home/ubuntu/odoo-taobao/docs/&#25253;&#20215;&#30446;&#24405;/Link_cnc_Price_Catalog_USD_2026-09-28.xlsx" TargetMode="External"/><Relationship Id="rId287" Type="http://schemas.openxmlformats.org/officeDocument/2006/relationships/hyperlink" Target="../../home/ubuntu/odoo-taobao/docs/&#25253;&#20215;&#30446;&#24405;/Link_cnc_Price_Catalog_USD_2026-09-28.xlsx" TargetMode="External"/><Relationship Id="rId288" Type="http://schemas.openxmlformats.org/officeDocument/2006/relationships/hyperlink" Target="../../home/ubuntu/odoo-taobao/docs/&#25253;&#20215;&#30446;&#24405;/Link_cnc_Price_Catalog_USD_2026-09-28.xlsx" TargetMode="External"/><Relationship Id="rId289" Type="http://schemas.openxmlformats.org/officeDocument/2006/relationships/hyperlink" Target="../../home/ubuntu/odoo-taobao/docs/&#25253;&#20215;&#30446;&#24405;/Link_cnc_Price_Catalog_USD_2026-09-28.xlsx" TargetMode="External"/><Relationship Id="rId290" Type="http://schemas.openxmlformats.org/officeDocument/2006/relationships/hyperlink" Target="../../home/ubuntu/odoo-taobao/docs/&#25253;&#20215;&#30446;&#24405;/Link_cnc_Price_Catalog_USD_2026-09-28.xlsx" TargetMode="External"/><Relationship Id="rId291" Type="http://schemas.openxmlformats.org/officeDocument/2006/relationships/hyperlink" Target="../../home/ubuntu/odoo-taobao/docs/&#25253;&#20215;&#30446;&#24405;/Link_cnc_Price_Catalog_USD_2026-09-28.xlsx" TargetMode="External"/><Relationship Id="rId292" Type="http://schemas.openxmlformats.org/officeDocument/2006/relationships/hyperlink" Target="../../home/ubuntu/odoo-taobao/docs/&#25253;&#20215;&#30446;&#24405;/Link_cnc_Price_Catalog_USD_2026-09-28.xlsx" TargetMode="External"/><Relationship Id="rId293" Type="http://schemas.openxmlformats.org/officeDocument/2006/relationships/hyperlink" Target="../../home/ubuntu/odoo-taobao/docs/&#25253;&#20215;&#30446;&#24405;/Link_cnc_Price_Catalog_USD_2026-09-28.xlsx" TargetMode="External"/><Relationship Id="rId294" Type="http://schemas.openxmlformats.org/officeDocument/2006/relationships/hyperlink" Target="../../home/ubuntu/odoo-taobao/docs/&#25253;&#20215;&#30446;&#24405;/Link_cnc_Price_Catalog_USD_2026-09-28.xlsx" TargetMode="External"/><Relationship Id="rId295" Type="http://schemas.openxmlformats.org/officeDocument/2006/relationships/hyperlink" Target="../../home/ubuntu/odoo-taobao/docs/&#25253;&#20215;&#30446;&#24405;/Link_cnc_Price_Catalog_USD_2026-09-28.xlsx" TargetMode="External"/><Relationship Id="rId296" Type="http://schemas.openxmlformats.org/officeDocument/2006/relationships/hyperlink" Target="../../home/ubuntu/odoo-taobao/docs/&#25253;&#20215;&#30446;&#24405;/Link_cnc_Price_Catalog_USD_2026-09-28.xlsx" TargetMode="External"/><Relationship Id="rId297" Type="http://schemas.openxmlformats.org/officeDocument/2006/relationships/hyperlink" Target="../../home/ubuntu/odoo-taobao/docs/&#25253;&#20215;&#30446;&#24405;/Link_cnc_Price_Catalog_USD_2026-09-28.xlsx" TargetMode="External"/><Relationship Id="rId298" Type="http://schemas.openxmlformats.org/officeDocument/2006/relationships/hyperlink" Target="../../home/ubuntu/odoo-taobao/docs/&#25253;&#20215;&#30446;&#24405;/Link_cnc_Price_Catalog_USD_2026-09-28.xlsx" TargetMode="External"/><Relationship Id="rId299" Type="http://schemas.openxmlformats.org/officeDocument/2006/relationships/hyperlink" Target="../../home/ubuntu/odoo-taobao/docs/&#25253;&#20215;&#30446;&#24405;/Link_cnc_Price_Catalog_USD_2026-09-28.xlsx" TargetMode="External"/><Relationship Id="rId300" Type="http://schemas.openxmlformats.org/officeDocument/2006/relationships/hyperlink" Target="../../home/ubuntu/odoo-taobao/docs/&#25253;&#20215;&#30446;&#24405;/Link_cnc_Price_Catalog_USD_2026-09-28.xlsx" TargetMode="External"/><Relationship Id="rId301" Type="http://schemas.openxmlformats.org/officeDocument/2006/relationships/hyperlink" Target="../../home/ubuntu/odoo-taobao/docs/&#25253;&#20215;&#30446;&#24405;/Link_cnc_Price_Catalog_USD_2026-09-28.xlsx" TargetMode="External"/><Relationship Id="rId302" Type="http://schemas.openxmlformats.org/officeDocument/2006/relationships/hyperlink" Target="../../home/ubuntu/odoo-taobao/docs/&#25253;&#20215;&#30446;&#24405;/Link_cnc_Price_Catalog_USD_2026-09-28.xlsx" TargetMode="External"/><Relationship Id="rId303" Type="http://schemas.openxmlformats.org/officeDocument/2006/relationships/hyperlink" Target="../../home/ubuntu/odoo-taobao/docs/&#25253;&#20215;&#30446;&#24405;/Link_cnc_Price_Catalog_USD_2026-09-28.xlsx" TargetMode="External"/><Relationship Id="rId304" Type="http://schemas.openxmlformats.org/officeDocument/2006/relationships/hyperlink" Target="../../home/ubuntu/odoo-taobao/docs/&#25253;&#20215;&#30446;&#24405;/Link_cnc_Price_Catalog_USD_2026-09-28.xlsx" TargetMode="External"/><Relationship Id="rId305" Type="http://schemas.openxmlformats.org/officeDocument/2006/relationships/hyperlink" Target="../../home/ubuntu/odoo-taobao/docs/&#25253;&#20215;&#30446;&#24405;/Link_cnc_Price_Catalog_USD_2026-09-28.xlsx" TargetMode="External"/><Relationship Id="rId306" Type="http://schemas.openxmlformats.org/officeDocument/2006/relationships/hyperlink" Target="../../home/ubuntu/odoo-taobao/docs/&#25253;&#20215;&#30446;&#24405;/Link_cnc_Price_Catalog_USD_2026-09-28.xlsx" TargetMode="External"/><Relationship Id="rId307" Type="http://schemas.openxmlformats.org/officeDocument/2006/relationships/hyperlink" Target="../../home/ubuntu/odoo-taobao/docs/&#25253;&#20215;&#30446;&#24405;/Link_cnc_Price_Catalog_USD_2026-09-28.xlsx" TargetMode="External"/><Relationship Id="rId308" Type="http://schemas.openxmlformats.org/officeDocument/2006/relationships/hyperlink" Target="../../home/ubuntu/odoo-taobao/docs/&#25253;&#20215;&#30446;&#24405;/Link_cnc_Price_Catalog_USD_2026-09-28.xlsx" TargetMode="External"/><Relationship Id="rId309" Type="http://schemas.openxmlformats.org/officeDocument/2006/relationships/hyperlink" Target="../../home/ubuntu/odoo-taobao/docs/&#25253;&#20215;&#30446;&#24405;/Link_cnc_Price_Catalog_USD_2026-09-28.xlsx" TargetMode="External"/><Relationship Id="rId310" Type="http://schemas.openxmlformats.org/officeDocument/2006/relationships/hyperlink" Target="../../home/ubuntu/odoo-taobao/docs/&#25253;&#20215;&#30446;&#24405;/Link_cnc_Price_Catalog_USD_2026-09-28.xlsx" TargetMode="External"/><Relationship Id="rId311" Type="http://schemas.openxmlformats.org/officeDocument/2006/relationships/hyperlink" Target="../../home/ubuntu/odoo-taobao/docs/&#25253;&#20215;&#30446;&#24405;/Link_cnc_Price_Catalog_USD_2026-09-28.xlsx" TargetMode="External"/><Relationship Id="rId312" Type="http://schemas.openxmlformats.org/officeDocument/2006/relationships/hyperlink" Target="../../home/ubuntu/odoo-taobao/docs/&#25253;&#20215;&#30446;&#24405;/Link_cnc_Price_Catalog_USD_2026-09-28.xlsx" TargetMode="External"/><Relationship Id="rId313" Type="http://schemas.openxmlformats.org/officeDocument/2006/relationships/hyperlink" Target="../../home/ubuntu/odoo-taobao/docs/&#25253;&#20215;&#30446;&#24405;/Link_cnc_Price_Catalog_USD_2026-09-28.xlsx" TargetMode="External"/><Relationship Id="rId314" Type="http://schemas.openxmlformats.org/officeDocument/2006/relationships/hyperlink" Target="../../home/ubuntu/odoo-taobao/docs/&#25253;&#20215;&#30446;&#24405;/Link_cnc_Price_Catalog_USD_2026-09-28.xlsx" TargetMode="External"/><Relationship Id="rId315" Type="http://schemas.openxmlformats.org/officeDocument/2006/relationships/hyperlink" Target="../../home/ubuntu/odoo-taobao/docs/&#25253;&#20215;&#30446;&#24405;/Link_cnc_Price_Catalog_USD_2026-09-28.xlsx" TargetMode="External"/><Relationship Id="rId316" Type="http://schemas.openxmlformats.org/officeDocument/2006/relationships/hyperlink" Target="../../home/ubuntu/odoo-taobao/docs/&#25253;&#20215;&#30446;&#24405;/Link_cnc_Price_Catalog_USD_2026-09-28.xlsx" TargetMode="External"/><Relationship Id="rId317" Type="http://schemas.openxmlformats.org/officeDocument/2006/relationships/hyperlink" Target="../../home/ubuntu/odoo-taobao/docs/&#25253;&#20215;&#30446;&#24405;/Link_cnc_Price_Catalog_USD_2026-09-28.xlsx" TargetMode="External"/><Relationship Id="rId318" Type="http://schemas.openxmlformats.org/officeDocument/2006/relationships/hyperlink" Target="../../home/ubuntu/odoo-taobao/docs/&#25253;&#20215;&#30446;&#24405;/Link_cnc_Price_Catalog_USD_2026-09-28.xlsx" TargetMode="External"/><Relationship Id="rId319" Type="http://schemas.openxmlformats.org/officeDocument/2006/relationships/hyperlink" Target="../../home/ubuntu/odoo-taobao/docs/&#25253;&#20215;&#30446;&#24405;/Link_cnc_Price_Catalog_USD_2026-09-28.xlsx" TargetMode="External"/><Relationship Id="rId320" Type="http://schemas.openxmlformats.org/officeDocument/2006/relationships/hyperlink" Target="../../home/ubuntu/odoo-taobao/docs/&#25253;&#20215;&#30446;&#24405;/Link_cnc_Price_Catalog_USD_2026-09-28.xlsx" TargetMode="External"/><Relationship Id="rId321" Type="http://schemas.openxmlformats.org/officeDocument/2006/relationships/hyperlink" Target="../../home/ubuntu/odoo-taobao/docs/&#25253;&#20215;&#30446;&#24405;/Link_cnc_Price_Catalog_USD_2026-09-28.xlsx" TargetMode="External"/><Relationship Id="rId322" Type="http://schemas.openxmlformats.org/officeDocument/2006/relationships/hyperlink" Target="../../home/ubuntu/odoo-taobao/docs/&#25253;&#20215;&#30446;&#24405;/Link_cnc_Price_Catalog_USD_2026-09-28.xlsx" TargetMode="External"/><Relationship Id="rId323" Type="http://schemas.openxmlformats.org/officeDocument/2006/relationships/hyperlink" Target="../../home/ubuntu/odoo-taobao/docs/&#25253;&#20215;&#30446;&#24405;/Link_cnc_Price_Catalog_USD_2026-09-28.xlsx" TargetMode="External"/><Relationship Id="rId324" Type="http://schemas.openxmlformats.org/officeDocument/2006/relationships/hyperlink" Target="../../home/ubuntu/odoo-taobao/docs/&#25253;&#20215;&#30446;&#24405;/Link_cnc_Price_Catalog_USD_2026-09-28.xlsx" TargetMode="External"/><Relationship Id="rId325" Type="http://schemas.openxmlformats.org/officeDocument/2006/relationships/hyperlink" Target="../../home/ubuntu/odoo-taobao/docs/&#25253;&#20215;&#30446;&#24405;/Link_cnc_Price_Catalog_USD_2026-09-28.xlsx" TargetMode="External"/><Relationship Id="rId326" Type="http://schemas.openxmlformats.org/officeDocument/2006/relationships/hyperlink" Target="../../home/ubuntu/odoo-taobao/docs/&#25253;&#20215;&#30446;&#24405;/Link_cnc_Price_Catalog_USD_2026-09-28.xlsx" TargetMode="External"/><Relationship Id="rId327" Type="http://schemas.openxmlformats.org/officeDocument/2006/relationships/hyperlink" Target="../../home/ubuntu/odoo-taobao/docs/&#25253;&#20215;&#30446;&#24405;/Link_cnc_Price_Catalog_USD_2026-09-28.xlsx" TargetMode="External"/><Relationship Id="rId328" Type="http://schemas.openxmlformats.org/officeDocument/2006/relationships/hyperlink" Target="../../home/ubuntu/odoo-taobao/docs/&#25253;&#20215;&#30446;&#24405;/Link_cnc_Price_Catalog_USD_2026-09-28.xlsx" TargetMode="External"/><Relationship Id="rId329" Type="http://schemas.openxmlformats.org/officeDocument/2006/relationships/hyperlink" Target="../../home/ubuntu/odoo-taobao/docs/&#25253;&#20215;&#30446;&#24405;/Link_cnc_Price_Catalog_USD_2026-09-28.xlsx" TargetMode="External"/><Relationship Id="rId330" Type="http://schemas.openxmlformats.org/officeDocument/2006/relationships/hyperlink" Target="../../home/ubuntu/odoo-taobao/docs/&#25253;&#20215;&#30446;&#24405;/Link_cnc_Price_Catalog_USD_2026-09-28.xlsx" TargetMode="External"/><Relationship Id="rId331" Type="http://schemas.openxmlformats.org/officeDocument/2006/relationships/hyperlink" Target="../../home/ubuntu/odoo-taobao/docs/&#25253;&#20215;&#30446;&#24405;/Link_cnc_Price_Catalog_USD_2026-09-28.xlsx" TargetMode="External"/><Relationship Id="rId332" Type="http://schemas.openxmlformats.org/officeDocument/2006/relationships/hyperlink" Target="../../home/ubuntu/odoo-taobao/docs/&#25253;&#20215;&#30446;&#24405;/Link_cnc_Price_Catalog_USD_2026-09-28.xlsx" TargetMode="External"/><Relationship Id="rId333" Type="http://schemas.openxmlformats.org/officeDocument/2006/relationships/hyperlink" Target="../../home/ubuntu/odoo-taobao/docs/&#25253;&#20215;&#30446;&#24405;/Link_cnc_Price_Catalog_USD_2026-09-28.xlsx" TargetMode="External"/><Relationship Id="rId334" Type="http://schemas.openxmlformats.org/officeDocument/2006/relationships/hyperlink" Target="../../home/ubuntu/odoo-taobao/docs/&#25253;&#20215;&#30446;&#24405;/Link_cnc_Price_Catalog_USD_2026-09-28.xlsx" TargetMode="External"/><Relationship Id="rId335" Type="http://schemas.openxmlformats.org/officeDocument/2006/relationships/hyperlink" Target="../../home/ubuntu/odoo-taobao/docs/&#25253;&#20215;&#30446;&#24405;/Link_cnc_Price_Catalog_USD_2026-09-28.xlsx" TargetMode="External"/><Relationship Id="rId336" Type="http://schemas.openxmlformats.org/officeDocument/2006/relationships/hyperlink" Target="../../home/ubuntu/odoo-taobao/docs/&#25253;&#20215;&#30446;&#24405;/Link_cnc_Price_Catalog_USD_2026-09-28.xlsx" TargetMode="External"/><Relationship Id="rId337" Type="http://schemas.openxmlformats.org/officeDocument/2006/relationships/hyperlink" Target="../../home/ubuntu/odoo-taobao/docs/&#25253;&#20215;&#30446;&#24405;/Link_cnc_Price_Catalog_USD_2026-09-28.xlsx" TargetMode="External"/><Relationship Id="rId338" Type="http://schemas.openxmlformats.org/officeDocument/2006/relationships/hyperlink" Target="../../home/ubuntu/odoo-taobao/docs/&#25253;&#20215;&#30446;&#24405;/Link_cnc_Price_Catalog_USD_2026-09-28.xlsx" TargetMode="External"/><Relationship Id="rId339" Type="http://schemas.openxmlformats.org/officeDocument/2006/relationships/hyperlink" Target="../../home/ubuntu/odoo-taobao/docs/&#25253;&#20215;&#30446;&#24405;/Link_cnc_Price_Catalog_USD_2026-09-28.xlsx" TargetMode="External"/><Relationship Id="rId340" Type="http://schemas.openxmlformats.org/officeDocument/2006/relationships/hyperlink" Target="../../home/ubuntu/odoo-taobao/docs/&#25253;&#20215;&#30446;&#24405;/Link_cnc_Price_Catalog_USD_2026-09-28.xlsx" TargetMode="External"/><Relationship Id="rId341" Type="http://schemas.openxmlformats.org/officeDocument/2006/relationships/hyperlink" Target="../../home/ubuntu/odoo-taobao/docs/&#25253;&#20215;&#30446;&#24405;/Link_cnc_Price_Catalog_USD_2026-09-28.xlsx" TargetMode="External"/><Relationship Id="rId342" Type="http://schemas.openxmlformats.org/officeDocument/2006/relationships/hyperlink" Target="../../home/ubuntu/odoo-taobao/docs/&#25253;&#20215;&#30446;&#24405;/Link_cnc_Price_Catalog_USD_2026-09-28.xlsx" TargetMode="External"/><Relationship Id="rId343" Type="http://schemas.openxmlformats.org/officeDocument/2006/relationships/hyperlink" Target="../../home/ubuntu/odoo-taobao/docs/&#25253;&#20215;&#30446;&#24405;/Link_cnc_Price_Catalog_USD_2026-09-28.xlsx" TargetMode="External"/><Relationship Id="rId344" Type="http://schemas.openxmlformats.org/officeDocument/2006/relationships/hyperlink" Target="../../home/ubuntu/odoo-taobao/docs/&#25253;&#20215;&#30446;&#24405;/Link_cnc_Price_Catalog_USD_2026-09-28.xlsx" TargetMode="External"/><Relationship Id="rId345" Type="http://schemas.openxmlformats.org/officeDocument/2006/relationships/hyperlink" Target="../../home/ubuntu/odoo-taobao/docs/&#25253;&#20215;&#30446;&#24405;/Link_cnc_Price_Catalog_USD_2026-09-28.xlsx" TargetMode="External"/><Relationship Id="rId346" Type="http://schemas.openxmlformats.org/officeDocument/2006/relationships/hyperlink" Target="../../home/ubuntu/odoo-taobao/docs/&#25253;&#20215;&#30446;&#24405;/Link_cnc_Price_Catalog_USD_2026-09-28.xlsx" TargetMode="External"/><Relationship Id="rId347" Type="http://schemas.openxmlformats.org/officeDocument/2006/relationships/hyperlink" Target="../../home/ubuntu/odoo-taobao/docs/&#25253;&#20215;&#30446;&#24405;/Link_cnc_Price_Catalog_USD_2026-09-28.xlsx" TargetMode="External"/><Relationship Id="rId348" Type="http://schemas.openxmlformats.org/officeDocument/2006/relationships/hyperlink" Target="../../home/ubuntu/odoo-taobao/docs/&#25253;&#20215;&#30446;&#24405;/Link_cnc_Price_Catalog_USD_2026-09-28.xlsx" TargetMode="External"/><Relationship Id="rId349" Type="http://schemas.openxmlformats.org/officeDocument/2006/relationships/hyperlink" Target="../../home/ubuntu/odoo-taobao/docs/&#25253;&#20215;&#30446;&#24405;/Link_cnc_Price_Catalog_USD_2026-09-28.xlsx" TargetMode="External"/><Relationship Id="rId350" Type="http://schemas.openxmlformats.org/officeDocument/2006/relationships/hyperlink" Target="../../home/ubuntu/odoo-taobao/docs/&#25253;&#20215;&#30446;&#24405;/Link_cnc_Price_Catalog_USD_2026-09-28.xlsx" TargetMode="External"/><Relationship Id="rId351" Type="http://schemas.openxmlformats.org/officeDocument/2006/relationships/hyperlink" Target="../../home/ubuntu/odoo-taobao/docs/&#25253;&#20215;&#30446;&#24405;/Link_cnc_Price_Catalog_USD_2026-09-28.xlsx" TargetMode="External"/><Relationship Id="rId352" Type="http://schemas.openxmlformats.org/officeDocument/2006/relationships/hyperlink" Target="../../home/ubuntu/odoo-taobao/docs/&#25253;&#20215;&#30446;&#24405;/Link_cnc_Price_Catalog_USD_2026-09-28.xlsx" TargetMode="External"/><Relationship Id="rId353" Type="http://schemas.openxmlformats.org/officeDocument/2006/relationships/hyperlink" Target="../../home/ubuntu/odoo-taobao/docs/&#25253;&#20215;&#30446;&#24405;/Link_cnc_Price_Catalog_USD_2026-09-28.xlsx" TargetMode="External"/><Relationship Id="rId354" Type="http://schemas.openxmlformats.org/officeDocument/2006/relationships/hyperlink" Target="../../home/ubuntu/odoo-taobao/docs/&#25253;&#20215;&#30446;&#24405;/Link_cnc_Price_Catalog_USD_2026-09-28.xlsx" TargetMode="External"/><Relationship Id="rId355" Type="http://schemas.openxmlformats.org/officeDocument/2006/relationships/hyperlink" Target="../../home/ubuntu/odoo-taobao/docs/&#25253;&#20215;&#30446;&#24405;/Link_cnc_Price_Catalog_USD_2026-09-28.xlsx" TargetMode="External"/><Relationship Id="rId356" Type="http://schemas.openxmlformats.org/officeDocument/2006/relationships/hyperlink" Target="../../home/ubuntu/odoo-taobao/docs/&#25253;&#20215;&#30446;&#24405;/Link_cnc_Price_Catalog_USD_2026-09-28.xlsx" TargetMode="External"/><Relationship Id="rId357" Type="http://schemas.openxmlformats.org/officeDocument/2006/relationships/hyperlink" Target="../../home/ubuntu/odoo-taobao/docs/&#25253;&#20215;&#30446;&#24405;/Link_cnc_Price_Catalog_USD_2026-09-28.xlsx" TargetMode="External"/><Relationship Id="rId358" Type="http://schemas.openxmlformats.org/officeDocument/2006/relationships/hyperlink" Target="../../home/ubuntu/odoo-taobao/docs/&#25253;&#20215;&#30446;&#24405;/Link_cnc_Price_Catalog_USD_2026-09-28.xlsx" TargetMode="External"/><Relationship Id="rId359" Type="http://schemas.openxmlformats.org/officeDocument/2006/relationships/hyperlink" Target="../../home/ubuntu/odoo-taobao/docs/&#25253;&#20215;&#30446;&#24405;/Link_cnc_Price_Catalog_USD_2026-09-28.xlsx" TargetMode="External"/><Relationship Id="rId360" Type="http://schemas.openxmlformats.org/officeDocument/2006/relationships/hyperlink" Target="../../home/ubuntu/odoo-taobao/docs/&#25253;&#20215;&#30446;&#24405;/Link_cnc_Price_Catalog_USD_2026-09-28.xlsx" TargetMode="External"/><Relationship Id="rId361" Type="http://schemas.openxmlformats.org/officeDocument/2006/relationships/hyperlink" Target="../../home/ubuntu/odoo-taobao/docs/&#25253;&#20215;&#30446;&#24405;/Link_cnc_Price_Catalog_USD_2026-09-28.xlsx" TargetMode="External"/><Relationship Id="rId362" Type="http://schemas.openxmlformats.org/officeDocument/2006/relationships/hyperlink" Target="../../home/ubuntu/odoo-taobao/docs/&#25253;&#20215;&#30446;&#24405;/Link_cnc_Price_Catalog_USD_2026-09-28.xlsx" TargetMode="External"/><Relationship Id="rId363" Type="http://schemas.openxmlformats.org/officeDocument/2006/relationships/hyperlink" Target="../../home/ubuntu/odoo-taobao/docs/&#25253;&#20215;&#30446;&#24405;/Link_cnc_Price_Catalog_USD_2026-09-28.xlsx" TargetMode="External"/><Relationship Id="rId364" Type="http://schemas.openxmlformats.org/officeDocument/2006/relationships/hyperlink" Target="../../home/ubuntu/odoo-taobao/docs/&#25253;&#20215;&#30446;&#24405;/Link_cnc_Price_Catalog_USD_2026-09-28.xlsx" TargetMode="External"/><Relationship Id="rId365" Type="http://schemas.openxmlformats.org/officeDocument/2006/relationships/hyperlink" Target="../../home/ubuntu/odoo-taobao/docs/&#25253;&#20215;&#30446;&#24405;/Link_cnc_Price_Catalog_USD_2026-09-28.xlsx" TargetMode="External"/><Relationship Id="rId366" Type="http://schemas.openxmlformats.org/officeDocument/2006/relationships/hyperlink" Target="../../home/ubuntu/odoo-taobao/docs/&#25253;&#20215;&#30446;&#24405;/Link_cnc_Price_Catalog_USD_2026-09-28.xlsx" TargetMode="External"/><Relationship Id="rId367" Type="http://schemas.openxmlformats.org/officeDocument/2006/relationships/hyperlink" Target="../../home/ubuntu/odoo-taobao/docs/&#25253;&#20215;&#30446;&#24405;/Link_cnc_Price_Catalog_USD_2026-09-28.xlsx" TargetMode="External"/><Relationship Id="rId368" Type="http://schemas.openxmlformats.org/officeDocument/2006/relationships/hyperlink" Target="../../home/ubuntu/odoo-taobao/docs/&#25253;&#20215;&#30446;&#24405;/Link_cnc_Price_Catalog_USD_2026-09-28.xlsx" TargetMode="External"/><Relationship Id="rId369" Type="http://schemas.openxmlformats.org/officeDocument/2006/relationships/hyperlink" Target="../../home/ubuntu/odoo-taobao/docs/&#25253;&#20215;&#30446;&#24405;/Link_cnc_Price_Catalog_USD_2026-09-28.xlsx" TargetMode="External"/><Relationship Id="rId370" Type="http://schemas.openxmlformats.org/officeDocument/2006/relationships/hyperlink" Target="../../home/ubuntu/odoo-taobao/docs/&#25253;&#20215;&#30446;&#24405;/Link_cnc_Price_Catalog_USD_2026-09-28.xlsx" TargetMode="External"/><Relationship Id="rId371" Type="http://schemas.openxmlformats.org/officeDocument/2006/relationships/hyperlink" Target="../../home/ubuntu/odoo-taobao/docs/&#25253;&#20215;&#30446;&#24405;/Link_cnc_Price_Catalog_USD_2026-09-28.xlsx" TargetMode="External"/><Relationship Id="rId372" Type="http://schemas.openxmlformats.org/officeDocument/2006/relationships/hyperlink" Target="../../home/ubuntu/odoo-taobao/docs/&#25253;&#20215;&#30446;&#24405;/Link_cnc_Price_Catalog_USD_2026-09-28.xlsx" TargetMode="External"/><Relationship Id="rId373" Type="http://schemas.openxmlformats.org/officeDocument/2006/relationships/hyperlink" Target="../../home/ubuntu/odoo-taobao/docs/&#25253;&#20215;&#30446;&#24405;/Link_cnc_Price_Catalog_USD_2026-09-28.xlsx" TargetMode="External"/><Relationship Id="rId374" Type="http://schemas.openxmlformats.org/officeDocument/2006/relationships/hyperlink" Target="../../home/ubuntu/odoo-taobao/docs/&#25253;&#20215;&#30446;&#24405;/Link_cnc_Price_Catalog_USD_2026-09-28.xlsx" TargetMode="External"/><Relationship Id="rId375" Type="http://schemas.openxmlformats.org/officeDocument/2006/relationships/hyperlink" Target="../../home/ubuntu/odoo-taobao/docs/&#25253;&#20215;&#30446;&#24405;/Link_cnc_Price_Catalog_USD_2026-09-28.xlsx" TargetMode="External"/><Relationship Id="rId376" Type="http://schemas.openxmlformats.org/officeDocument/2006/relationships/hyperlink" Target="../../home/ubuntu/odoo-taobao/docs/&#25253;&#20215;&#30446;&#24405;/Link_cnc_Price_Catalog_USD_2026-09-28.xlsx" TargetMode="External"/><Relationship Id="rId377" Type="http://schemas.openxmlformats.org/officeDocument/2006/relationships/hyperlink" Target="../../home/ubuntu/odoo-taobao/docs/&#25253;&#20215;&#30446;&#24405;/Link_cnc_Price_Catalog_USD_2026-09-28.xlsx" TargetMode="External"/><Relationship Id="rId378" Type="http://schemas.openxmlformats.org/officeDocument/2006/relationships/hyperlink" Target="../../home/ubuntu/odoo-taobao/docs/&#25253;&#20215;&#30446;&#24405;/Link_cnc_Price_Catalog_USD_2026-09-28.xlsx" TargetMode="External"/><Relationship Id="rId379" Type="http://schemas.openxmlformats.org/officeDocument/2006/relationships/hyperlink" Target="../../home/ubuntu/odoo-taobao/docs/&#25253;&#20215;&#30446;&#24405;/Link_cnc_Price_Catalog_USD_2026-09-28.xlsx" TargetMode="External"/><Relationship Id="rId380" Type="http://schemas.openxmlformats.org/officeDocument/2006/relationships/hyperlink" Target="../../home/ubuntu/odoo-taobao/docs/&#25253;&#20215;&#30446;&#24405;/Link_cnc_Price_Catalog_USD_2026-09-28.xlsx" TargetMode="External"/><Relationship Id="rId381" Type="http://schemas.openxmlformats.org/officeDocument/2006/relationships/hyperlink" Target="../../home/ubuntu/odoo-taobao/docs/&#25253;&#20215;&#30446;&#24405;/Link_cnc_Price_Catalog_USD_2026-09-28.xlsx" TargetMode="External"/><Relationship Id="rId382" Type="http://schemas.openxmlformats.org/officeDocument/2006/relationships/hyperlink" Target="../../home/ubuntu/odoo-taobao/docs/&#25253;&#20215;&#30446;&#24405;/Link_cnc_Price_Catalog_USD_2026-09-28.xlsx" TargetMode="External"/><Relationship Id="rId383" Type="http://schemas.openxmlformats.org/officeDocument/2006/relationships/hyperlink" Target="../../home/ubuntu/odoo-taobao/docs/&#25253;&#20215;&#30446;&#24405;/Link_cnc_Price_Catalog_USD_2026-09-28.xlsx" TargetMode="External"/><Relationship Id="rId384" Type="http://schemas.openxmlformats.org/officeDocument/2006/relationships/hyperlink" Target="../../home/ubuntu/odoo-taobao/docs/&#25253;&#20215;&#30446;&#24405;/Link_cnc_Price_Catalog_USD_2026-09-28.xlsx" TargetMode="External"/><Relationship Id="rId385" Type="http://schemas.openxmlformats.org/officeDocument/2006/relationships/hyperlink" Target="../../home/ubuntu/odoo-taobao/docs/&#25253;&#20215;&#30446;&#24405;/Link_cnc_Price_Catalog_USD_2026-09-28.xlsx" TargetMode="External"/><Relationship Id="rId386" Type="http://schemas.openxmlformats.org/officeDocument/2006/relationships/hyperlink" Target="../../home/ubuntu/odoo-taobao/docs/&#25253;&#20215;&#30446;&#24405;/Link_cnc_Price_Catalog_USD_2026-09-28.xlsx" TargetMode="External"/><Relationship Id="rId387" Type="http://schemas.openxmlformats.org/officeDocument/2006/relationships/hyperlink" Target="../../home/ubuntu/odoo-taobao/docs/&#25253;&#20215;&#30446;&#24405;/Link_cnc_Price_Catalog_USD_2026-09-28.xlsx" TargetMode="External"/><Relationship Id="rId388" Type="http://schemas.openxmlformats.org/officeDocument/2006/relationships/hyperlink" Target="../../home/ubuntu/odoo-taobao/docs/&#25253;&#20215;&#30446;&#24405;/Link_cnc_Price_Catalog_USD_2026-09-28.xlsx" TargetMode="External"/><Relationship Id="rId389" Type="http://schemas.openxmlformats.org/officeDocument/2006/relationships/hyperlink" Target="../../home/ubuntu/odoo-taobao/docs/&#25253;&#20215;&#30446;&#24405;/Link_cnc_Price_Catalog_USD_2026-09-28.xlsx" TargetMode="External"/><Relationship Id="rId390" Type="http://schemas.openxmlformats.org/officeDocument/2006/relationships/hyperlink" Target="../../home/ubuntu/odoo-taobao/docs/&#25253;&#20215;&#30446;&#24405;/Link_cnc_Price_Catalog_USD_2026-09-28.xlsx" TargetMode="External"/><Relationship Id="rId391" Type="http://schemas.openxmlformats.org/officeDocument/2006/relationships/hyperlink" Target="../../home/ubuntu/odoo-taobao/docs/&#25253;&#20215;&#30446;&#24405;/Link_cnc_Price_Catalog_USD_2026-09-28.xlsx" TargetMode="External"/><Relationship Id="rId392" Type="http://schemas.openxmlformats.org/officeDocument/2006/relationships/hyperlink" Target="../../home/ubuntu/odoo-taobao/docs/&#25253;&#20215;&#30446;&#24405;/Link_cnc_Price_Catalog_USD_2026-09-28.xlsx" TargetMode="External"/><Relationship Id="rId393" Type="http://schemas.openxmlformats.org/officeDocument/2006/relationships/hyperlink" Target="../../home/ubuntu/odoo-taobao/docs/&#25253;&#20215;&#30446;&#24405;/Link_cnc_Price_Catalog_USD_2026-09-28.xlsx" TargetMode="External"/><Relationship Id="rId394" Type="http://schemas.openxmlformats.org/officeDocument/2006/relationships/hyperlink" Target="../../home/ubuntu/odoo-taobao/docs/&#25253;&#20215;&#30446;&#24405;/Link_cnc_Price_Catalog_USD_2026-09-28.xlsx" TargetMode="External"/><Relationship Id="rId395" Type="http://schemas.openxmlformats.org/officeDocument/2006/relationships/hyperlink" Target="../../home/ubuntu/odoo-taobao/docs/&#25253;&#20215;&#30446;&#24405;/Link_cnc_Price_Catalog_USD_2026-09-28.xlsx" TargetMode="External"/><Relationship Id="rId396" Type="http://schemas.openxmlformats.org/officeDocument/2006/relationships/hyperlink" Target="../../home/ubuntu/odoo-taobao/docs/&#25253;&#20215;&#30446;&#24405;/Link_cnc_Price_Catalog_USD_2026-09-28.xlsx" TargetMode="External"/><Relationship Id="rId397" Type="http://schemas.openxmlformats.org/officeDocument/2006/relationships/hyperlink" Target="../../home/ubuntu/odoo-taobao/docs/&#25253;&#20215;&#30446;&#24405;/Link_cnc_Price_Catalog_USD_2026-09-28.xlsx" TargetMode="External"/><Relationship Id="rId398" Type="http://schemas.openxmlformats.org/officeDocument/2006/relationships/hyperlink" Target="../../home/ubuntu/odoo-taobao/docs/&#25253;&#20215;&#30446;&#24405;/Link_cnc_Price_Catalog_USD_2026-09-28.xlsx" TargetMode="External"/><Relationship Id="rId399" Type="http://schemas.openxmlformats.org/officeDocument/2006/relationships/hyperlink" Target="../../home/ubuntu/odoo-taobao/docs/&#25253;&#20215;&#30446;&#24405;/Link_cnc_Price_Catalog_USD_2026-09-28.xlsx" TargetMode="External"/><Relationship Id="rId400" Type="http://schemas.openxmlformats.org/officeDocument/2006/relationships/hyperlink" Target="../../home/ubuntu/odoo-taobao/docs/&#25253;&#20215;&#30446;&#24405;/Link_cnc_Price_Catalog_USD_2026-09-28.xlsx" TargetMode="External"/><Relationship Id="rId401" Type="http://schemas.openxmlformats.org/officeDocument/2006/relationships/hyperlink" Target="../../home/ubuntu/odoo-taobao/docs/&#25253;&#20215;&#30446;&#24405;/Link_cnc_Price_Catalog_USD_2026-09-28.xlsx" TargetMode="External"/><Relationship Id="rId402" Type="http://schemas.openxmlformats.org/officeDocument/2006/relationships/hyperlink" Target="../../home/ubuntu/odoo-taobao/docs/&#25253;&#20215;&#30446;&#24405;/Link_cnc_Price_Catalog_USD_2026-09-28.xlsx" TargetMode="External"/><Relationship Id="rId403" Type="http://schemas.openxmlformats.org/officeDocument/2006/relationships/hyperlink" Target="../../home/ubuntu/odoo-taobao/docs/&#25253;&#20215;&#30446;&#24405;/Link_cnc_Price_Catalog_USD_2026-09-28.xlsx" TargetMode="External"/><Relationship Id="rId404" Type="http://schemas.openxmlformats.org/officeDocument/2006/relationships/hyperlink" Target="../../home/ubuntu/odoo-taobao/docs/&#25253;&#20215;&#30446;&#24405;/Link_cnc_Price_Catalog_USD_2026-09-28.xlsx" TargetMode="External"/><Relationship Id="rId405" Type="http://schemas.openxmlformats.org/officeDocument/2006/relationships/hyperlink" Target="../../home/ubuntu/odoo-taobao/docs/&#25253;&#20215;&#30446;&#24405;/Link_cnc_Price_Catalog_USD_2026-09-28.xlsx" TargetMode="External"/><Relationship Id="rId406" Type="http://schemas.openxmlformats.org/officeDocument/2006/relationships/hyperlink" Target="../../home/ubuntu/odoo-taobao/docs/&#25253;&#20215;&#30446;&#24405;/Link_cnc_Price_Catalog_USD_2026-09-28.xlsx" TargetMode="External"/><Relationship Id="rId407" Type="http://schemas.openxmlformats.org/officeDocument/2006/relationships/hyperlink" Target="../../home/ubuntu/odoo-taobao/docs/&#25253;&#20215;&#30446;&#24405;/Link_cnc_Price_Catalog_USD_2026-09-28.xlsx" TargetMode="External"/><Relationship Id="rId408" Type="http://schemas.openxmlformats.org/officeDocument/2006/relationships/hyperlink" Target="../../home/ubuntu/odoo-taobao/docs/&#25253;&#20215;&#30446;&#24405;/Link_cnc_Price_Catalog_USD_2026-09-28.xlsx" TargetMode="External"/><Relationship Id="rId409" Type="http://schemas.openxmlformats.org/officeDocument/2006/relationships/hyperlink" Target="../../home/ubuntu/odoo-taobao/docs/&#25253;&#20215;&#30446;&#24405;/Link_cnc_Price_Catalog_USD_2026-09-28.xlsx" TargetMode="External"/><Relationship Id="rId410" Type="http://schemas.openxmlformats.org/officeDocument/2006/relationships/hyperlink" Target="../../home/ubuntu/odoo-taobao/docs/&#25253;&#20215;&#30446;&#24405;/Link_cnc_Price_Catalog_USD_2026-09-28.xlsx" TargetMode="External"/><Relationship Id="rId411" Type="http://schemas.openxmlformats.org/officeDocument/2006/relationships/hyperlink" Target="../../home/ubuntu/odoo-taobao/docs/&#25253;&#20215;&#30446;&#24405;/Link_cnc_Price_Catalog_USD_2026-09-28.xlsx" TargetMode="External"/><Relationship Id="rId412" Type="http://schemas.openxmlformats.org/officeDocument/2006/relationships/hyperlink" Target="../../home/ubuntu/odoo-taobao/docs/&#25253;&#20215;&#30446;&#24405;/Link_cnc_Price_Catalog_USD_2026-09-28.xlsx" TargetMode="External"/><Relationship Id="rId413" Type="http://schemas.openxmlformats.org/officeDocument/2006/relationships/hyperlink" Target="../../home/ubuntu/odoo-taobao/docs/&#25253;&#20215;&#30446;&#24405;/Link_cnc_Price_Catalog_USD_2026-09-28.xlsx" TargetMode="External"/><Relationship Id="rId414" Type="http://schemas.openxmlformats.org/officeDocument/2006/relationships/hyperlink" Target="../../home/ubuntu/odoo-taobao/docs/&#25253;&#20215;&#30446;&#24405;/Link_cnc_Price_Catalog_USD_2026-09-28.xlsx" TargetMode="External"/><Relationship Id="rId415" Type="http://schemas.openxmlformats.org/officeDocument/2006/relationships/hyperlink" Target="../../home/ubuntu/odoo-taobao/docs/&#25253;&#20215;&#30446;&#24405;/Link_cnc_Price_Catalog_USD_2026-09-28.xlsx" TargetMode="External"/><Relationship Id="rId416" Type="http://schemas.openxmlformats.org/officeDocument/2006/relationships/hyperlink" Target="../../home/ubuntu/odoo-taobao/docs/&#25253;&#20215;&#30446;&#24405;/Link_cnc_Price_Catalog_USD_2026-09-28.xlsx" TargetMode="External"/><Relationship Id="rId417" Type="http://schemas.openxmlformats.org/officeDocument/2006/relationships/hyperlink" Target="../../home/ubuntu/odoo-taobao/docs/&#25253;&#20215;&#30446;&#24405;/Link_cnc_Price_Catalog_USD_2026-09-28.xlsx" TargetMode="External"/><Relationship Id="rId418" Type="http://schemas.openxmlformats.org/officeDocument/2006/relationships/hyperlink" Target="../../home/ubuntu/odoo-taobao/docs/&#25253;&#20215;&#30446;&#24405;/Link_cnc_Price_Catalog_USD_2026-09-28.xlsx" TargetMode="External"/><Relationship Id="rId419" Type="http://schemas.openxmlformats.org/officeDocument/2006/relationships/hyperlink" Target="../../home/ubuntu/odoo-taobao/docs/&#25253;&#20215;&#30446;&#24405;/Link_cnc_Price_Catalog_USD_2026-09-28.xlsx" TargetMode="External"/><Relationship Id="rId420" Type="http://schemas.openxmlformats.org/officeDocument/2006/relationships/hyperlink" Target="../../home/ubuntu/odoo-taobao/docs/&#25253;&#20215;&#30446;&#24405;/Link_cnc_Price_Catalog_USD_2026-09-28.xlsx" TargetMode="External"/><Relationship Id="rId421" Type="http://schemas.openxmlformats.org/officeDocument/2006/relationships/hyperlink" Target="../../home/ubuntu/odoo-taobao/docs/&#25253;&#20215;&#30446;&#24405;/Link_cnc_Price_Catalog_USD_2026-09-28.xlsx" TargetMode="External"/><Relationship Id="rId422" Type="http://schemas.openxmlformats.org/officeDocument/2006/relationships/hyperlink" Target="../../home/ubuntu/odoo-taobao/docs/&#25253;&#20215;&#30446;&#24405;/Link_cnc_Price_Catalog_USD_2026-09-28.xlsx" TargetMode="External"/><Relationship Id="rId423" Type="http://schemas.openxmlformats.org/officeDocument/2006/relationships/hyperlink" Target="../../home/ubuntu/odoo-taobao/docs/&#25253;&#20215;&#30446;&#24405;/Link_cnc_Price_Catalog_USD_2026-09-28.xlsx" TargetMode="External"/><Relationship Id="rId424" Type="http://schemas.openxmlformats.org/officeDocument/2006/relationships/hyperlink" Target="../../home/ubuntu/odoo-taobao/docs/&#25253;&#20215;&#30446;&#24405;/Link_cnc_Price_Catalog_USD_2026-09-28.xlsx" TargetMode="External"/><Relationship Id="rId425" Type="http://schemas.openxmlformats.org/officeDocument/2006/relationships/hyperlink" Target="../../home/ubuntu/odoo-taobao/docs/&#25253;&#20215;&#30446;&#24405;/Link_cnc_Price_Catalog_USD_2026-09-28.xlsx" TargetMode="External"/><Relationship Id="rId426" Type="http://schemas.openxmlformats.org/officeDocument/2006/relationships/hyperlink" Target="../../home/ubuntu/odoo-taobao/docs/&#25253;&#20215;&#30446;&#24405;/Link_cnc_Price_Catalog_USD_2026-09-28.xlsx" TargetMode="External"/><Relationship Id="rId427" Type="http://schemas.openxmlformats.org/officeDocument/2006/relationships/hyperlink" Target="../../home/ubuntu/odoo-taobao/docs/&#25253;&#20215;&#30446;&#24405;/Link_cnc_Price_Catalog_USD_2026-09-28.xlsx" TargetMode="External"/><Relationship Id="rId428" Type="http://schemas.openxmlformats.org/officeDocument/2006/relationships/hyperlink" Target="../../home/ubuntu/odoo-taobao/docs/&#25253;&#20215;&#30446;&#24405;/Link_cnc_Price_Catalog_USD_2026-09-28.xlsx" TargetMode="External"/><Relationship Id="rId429" Type="http://schemas.openxmlformats.org/officeDocument/2006/relationships/hyperlink" Target="../../home/ubuntu/odoo-taobao/docs/&#25253;&#20215;&#30446;&#24405;/Link_cnc_Price_Catalog_USD_2026-09-28.xlsx" TargetMode="External"/><Relationship Id="rId430" Type="http://schemas.openxmlformats.org/officeDocument/2006/relationships/hyperlink" Target="../../home/ubuntu/odoo-taobao/docs/&#25253;&#20215;&#30446;&#24405;/Link_cnc_Price_Catalog_USD_2026-09-28.xlsx" TargetMode="External"/><Relationship Id="rId431" Type="http://schemas.openxmlformats.org/officeDocument/2006/relationships/hyperlink" Target="../../home/ubuntu/odoo-taobao/docs/&#25253;&#20215;&#30446;&#24405;/Link_cnc_Price_Catalog_USD_2026-09-28.xlsx" TargetMode="External"/><Relationship Id="rId432" Type="http://schemas.openxmlformats.org/officeDocument/2006/relationships/hyperlink" Target="../../home/ubuntu/odoo-taobao/docs/&#25253;&#20215;&#30446;&#24405;/Link_cnc_Price_Catalog_USD_2026-09-28.xlsx" TargetMode="External"/><Relationship Id="rId433" Type="http://schemas.openxmlformats.org/officeDocument/2006/relationships/hyperlink" Target="../../home/ubuntu/odoo-taobao/docs/&#25253;&#20215;&#30446;&#24405;/Link_cnc_Price_Catalog_USD_2026-09-28.xlsx" TargetMode="External"/><Relationship Id="rId434" Type="http://schemas.openxmlformats.org/officeDocument/2006/relationships/hyperlink" Target="../../home/ubuntu/odoo-taobao/docs/&#25253;&#20215;&#30446;&#24405;/Link_cnc_Price_Catalog_USD_2026-09-28.xlsx" TargetMode="External"/><Relationship Id="rId435" Type="http://schemas.openxmlformats.org/officeDocument/2006/relationships/hyperlink" Target="../../home/ubuntu/odoo-taobao/docs/&#25253;&#20215;&#30446;&#24405;/Link_cnc_Price_Catalog_USD_2026-09-28.xlsx" TargetMode="External"/><Relationship Id="rId436" Type="http://schemas.openxmlformats.org/officeDocument/2006/relationships/hyperlink" Target="../../home/ubuntu/odoo-taobao/docs/&#25253;&#20215;&#30446;&#24405;/Link_cnc_Price_Catalog_USD_2026-09-28.xlsx" TargetMode="External"/><Relationship Id="rId437" Type="http://schemas.openxmlformats.org/officeDocument/2006/relationships/hyperlink" Target="../../home/ubuntu/odoo-taobao/docs/&#25253;&#20215;&#30446;&#24405;/Link_cnc_Price_Catalog_USD_2026-09-28.xlsx" TargetMode="External"/><Relationship Id="rId438" Type="http://schemas.openxmlformats.org/officeDocument/2006/relationships/hyperlink" Target="../../home/ubuntu/odoo-taobao/docs/&#25253;&#20215;&#30446;&#24405;/Link_cnc_Price_Catalog_USD_2026-09-28.xlsx" TargetMode="External"/><Relationship Id="rId439" Type="http://schemas.openxmlformats.org/officeDocument/2006/relationships/hyperlink" Target="../../home/ubuntu/odoo-taobao/docs/&#25253;&#20215;&#30446;&#24405;/Link_cnc_Price_Catalog_USD_2026-09-28.xlsx" TargetMode="External"/><Relationship Id="rId440" Type="http://schemas.openxmlformats.org/officeDocument/2006/relationships/hyperlink" Target="../../home/ubuntu/odoo-taobao/docs/&#25253;&#20215;&#30446;&#24405;/Link_cnc_Price_Catalog_USD_2026-09-28.xlsx" TargetMode="External"/><Relationship Id="rId441" Type="http://schemas.openxmlformats.org/officeDocument/2006/relationships/hyperlink" Target="../../home/ubuntu/odoo-taobao/docs/&#25253;&#20215;&#30446;&#24405;/Link_cnc_Price_Catalog_USD_2026-09-28.xlsx" TargetMode="External"/><Relationship Id="rId442" Type="http://schemas.openxmlformats.org/officeDocument/2006/relationships/hyperlink" Target="../../home/ubuntu/odoo-taobao/docs/&#25253;&#20215;&#30446;&#24405;/Link_cnc_Price_Catalog_USD_2026-09-28.xlsx" TargetMode="External"/><Relationship Id="rId443" Type="http://schemas.openxmlformats.org/officeDocument/2006/relationships/hyperlink" Target="../../home/ubuntu/odoo-taobao/docs/&#25253;&#20215;&#30446;&#24405;/Link_cnc_Price_Catalog_USD_2026-09-28.xlsx" TargetMode="External"/><Relationship Id="rId444" Type="http://schemas.openxmlformats.org/officeDocument/2006/relationships/hyperlink" Target="../../home/ubuntu/odoo-taobao/docs/&#25253;&#20215;&#30446;&#24405;/Link_cnc_Price_Catalog_USD_2026-09-28.xlsx" TargetMode="External"/><Relationship Id="rId445" Type="http://schemas.openxmlformats.org/officeDocument/2006/relationships/hyperlink" Target="../../home/ubuntu/odoo-taobao/docs/&#25253;&#20215;&#30446;&#24405;/Link_cnc_Price_Catalog_USD_2026-09-28.xlsx" TargetMode="External"/><Relationship Id="rId446" Type="http://schemas.openxmlformats.org/officeDocument/2006/relationships/hyperlink" Target="../../home/ubuntu/odoo-taobao/docs/&#25253;&#20215;&#30446;&#24405;/Link_cnc_Price_Catalog_USD_2026-09-28.xlsx" TargetMode="External"/><Relationship Id="rId447" Type="http://schemas.openxmlformats.org/officeDocument/2006/relationships/hyperlink" Target="../../home/ubuntu/odoo-taobao/docs/&#25253;&#20215;&#30446;&#24405;/Link_cnc_Price_Catalog_USD_2026-09-28.xlsx" TargetMode="External"/><Relationship Id="rId448" Type="http://schemas.openxmlformats.org/officeDocument/2006/relationships/hyperlink" Target="../../home/ubuntu/odoo-taobao/docs/&#25253;&#20215;&#30446;&#24405;/Link_cnc_Price_Catalog_USD_2026-09-28.xlsx" TargetMode="External"/><Relationship Id="rId449" Type="http://schemas.openxmlformats.org/officeDocument/2006/relationships/hyperlink" Target="../../home/ubuntu/odoo-taobao/docs/&#25253;&#20215;&#30446;&#24405;/Link_cnc_Price_Catalog_USD_2026-09-28.xlsx" TargetMode="External"/><Relationship Id="rId450" Type="http://schemas.openxmlformats.org/officeDocument/2006/relationships/hyperlink" Target="../../home/ubuntu/odoo-taobao/docs/&#25253;&#20215;&#30446;&#24405;/Link_cnc_Price_Catalog_USD_2026-09-28.xlsx" TargetMode="External"/><Relationship Id="rId451" Type="http://schemas.openxmlformats.org/officeDocument/2006/relationships/hyperlink" Target="../../home/ubuntu/odoo-taobao/docs/&#25253;&#20215;&#30446;&#24405;/Link_cnc_Price_Catalog_USD_2026-09-28.xlsx" TargetMode="External"/><Relationship Id="rId452" Type="http://schemas.openxmlformats.org/officeDocument/2006/relationships/hyperlink" Target="../../home/ubuntu/odoo-taobao/docs/&#25253;&#20215;&#30446;&#24405;/Link_cnc_Price_Catalog_USD_2026-09-28.xlsx" TargetMode="External"/><Relationship Id="rId453" Type="http://schemas.openxmlformats.org/officeDocument/2006/relationships/hyperlink" Target="../../home/ubuntu/odoo-taobao/docs/&#25253;&#20215;&#30446;&#24405;/Link_cnc_Price_Catalog_USD_2026-09-28.xlsx" TargetMode="External"/><Relationship Id="rId454" Type="http://schemas.openxmlformats.org/officeDocument/2006/relationships/hyperlink" Target="../../home/ubuntu/odoo-taobao/docs/&#25253;&#20215;&#30446;&#24405;/Link_cnc_Price_Catalog_USD_2026-09-28.xlsx" TargetMode="External"/><Relationship Id="rId455" Type="http://schemas.openxmlformats.org/officeDocument/2006/relationships/hyperlink" Target="../../home/ubuntu/odoo-taobao/docs/&#25253;&#20215;&#30446;&#24405;/Link_cnc_Price_Catalog_USD_2026-09-28.xlsx" TargetMode="External"/><Relationship Id="rId456" Type="http://schemas.openxmlformats.org/officeDocument/2006/relationships/hyperlink" Target="../../home/ubuntu/odoo-taobao/docs/&#25253;&#20215;&#30446;&#24405;/Link_cnc_Price_Catalog_USD_2026-09-28.xlsx" TargetMode="External"/><Relationship Id="rId457" Type="http://schemas.openxmlformats.org/officeDocument/2006/relationships/hyperlink" Target="../../home/ubuntu/odoo-taobao/docs/&#25253;&#20215;&#30446;&#24405;/Link_cnc_Price_Catalog_USD_2026-09-28.xlsx" TargetMode="External"/><Relationship Id="rId458" Type="http://schemas.openxmlformats.org/officeDocument/2006/relationships/hyperlink" Target="../../home/ubuntu/odoo-taobao/docs/&#25253;&#20215;&#30446;&#24405;/Link_cnc_Price_Catalog_USD_2026-09-28.xlsx" TargetMode="External"/><Relationship Id="rId459" Type="http://schemas.openxmlformats.org/officeDocument/2006/relationships/hyperlink" Target="../../home/ubuntu/odoo-taobao/docs/&#25253;&#20215;&#30446;&#24405;/Link_cnc_Price_Catalog_USD_2026-09-28.xlsx" TargetMode="External"/><Relationship Id="rId460" Type="http://schemas.openxmlformats.org/officeDocument/2006/relationships/hyperlink" Target="../../home/ubuntu/odoo-taobao/docs/&#25253;&#20215;&#30446;&#24405;/Link_cnc_Price_Catalog_USD_2026-09-28.xlsx" TargetMode="External"/><Relationship Id="rId461" Type="http://schemas.openxmlformats.org/officeDocument/2006/relationships/hyperlink" Target="../../home/ubuntu/odoo-taobao/docs/&#25253;&#20215;&#30446;&#24405;/Link_cnc_Price_Catalog_USD_2026-09-28.xlsx" TargetMode="External"/><Relationship Id="rId462" Type="http://schemas.openxmlformats.org/officeDocument/2006/relationships/hyperlink" Target="../../home/ubuntu/odoo-taobao/docs/&#25253;&#20215;&#30446;&#24405;/Link_cnc_Price_Catalog_USD_2026-09-28.xlsx" TargetMode="External"/><Relationship Id="rId463" Type="http://schemas.openxmlformats.org/officeDocument/2006/relationships/hyperlink" Target="../../home/ubuntu/odoo-taobao/docs/&#25253;&#20215;&#30446;&#24405;/Link_cnc_Price_Catalog_USD_2026-09-28.xlsx" TargetMode="External"/><Relationship Id="rId464" Type="http://schemas.openxmlformats.org/officeDocument/2006/relationships/hyperlink" Target="../../home/ubuntu/odoo-taobao/docs/&#25253;&#20215;&#30446;&#24405;/Link_cnc_Price_Catalog_USD_2026-09-28.xlsx" TargetMode="External"/><Relationship Id="rId465" Type="http://schemas.openxmlformats.org/officeDocument/2006/relationships/hyperlink" Target="../../home/ubuntu/odoo-taobao/docs/&#25253;&#20215;&#30446;&#24405;/Link_cnc_Price_Catalog_USD_2026-09-28.xlsx" TargetMode="External"/><Relationship Id="rId466" Type="http://schemas.openxmlformats.org/officeDocument/2006/relationships/hyperlink" Target="../../home/ubuntu/odoo-taobao/docs/&#25253;&#20215;&#30446;&#24405;/Link_cnc_Price_Catalog_USD_2026-09-28.xlsx" TargetMode="External"/><Relationship Id="rId467" Type="http://schemas.openxmlformats.org/officeDocument/2006/relationships/hyperlink" Target="../../home/ubuntu/odoo-taobao/docs/&#25253;&#20215;&#30446;&#24405;/Link_cnc_Price_Catalog_USD_2026-09-28.xlsx" TargetMode="External"/><Relationship Id="rId468" Type="http://schemas.openxmlformats.org/officeDocument/2006/relationships/hyperlink" Target="../../home/ubuntu/odoo-taobao/docs/&#25253;&#20215;&#30446;&#24405;/Link_cnc_Price_Catalog_USD_2026-09-28.xlsx" TargetMode="External"/><Relationship Id="rId469" Type="http://schemas.openxmlformats.org/officeDocument/2006/relationships/hyperlink" Target="../../home/ubuntu/odoo-taobao/docs/&#25253;&#20215;&#30446;&#24405;/Link_cnc_Price_Catalog_USD_2026-09-28.xlsx" TargetMode="External"/><Relationship Id="rId470" Type="http://schemas.openxmlformats.org/officeDocument/2006/relationships/hyperlink" Target="../../home/ubuntu/odoo-taobao/docs/&#25253;&#20215;&#30446;&#24405;/Link_cnc_Price_Catalog_USD_2026-09-28.xlsx" TargetMode="External"/><Relationship Id="rId471" Type="http://schemas.openxmlformats.org/officeDocument/2006/relationships/hyperlink" Target="../../home/ubuntu/odoo-taobao/docs/&#25253;&#20215;&#30446;&#24405;/Link_cnc_Price_Catalog_USD_2026-09-28.xlsx" TargetMode="External"/><Relationship Id="rId472" Type="http://schemas.openxmlformats.org/officeDocument/2006/relationships/hyperlink" Target="../../home/ubuntu/odoo-taobao/docs/&#25253;&#20215;&#30446;&#24405;/Link_cnc_Price_Catalog_USD_2026-09-28.xlsx" TargetMode="External"/><Relationship Id="rId473" Type="http://schemas.openxmlformats.org/officeDocument/2006/relationships/hyperlink" Target="../../home/ubuntu/odoo-taobao/docs/&#25253;&#20215;&#30446;&#24405;/Link_cnc_Price_Catalog_USD_2026-09-28.xlsx" TargetMode="External"/><Relationship Id="rId474" Type="http://schemas.openxmlformats.org/officeDocument/2006/relationships/hyperlink" Target="../../home/ubuntu/odoo-taobao/docs/&#25253;&#20215;&#30446;&#24405;/Link_cnc_Price_Catalog_USD_2026-09-28.xlsx" TargetMode="External"/><Relationship Id="rId475" Type="http://schemas.openxmlformats.org/officeDocument/2006/relationships/hyperlink" Target="../../home/ubuntu/odoo-taobao/docs/&#25253;&#20215;&#30446;&#24405;/Link_cnc_Price_Catalog_USD_2026-09-28.xlsx" TargetMode="External"/><Relationship Id="rId476" Type="http://schemas.openxmlformats.org/officeDocument/2006/relationships/hyperlink" Target="../../home/ubuntu/odoo-taobao/docs/&#25253;&#20215;&#30446;&#24405;/Link_cnc_Price_Catalog_USD_2026-09-28.xlsx" TargetMode="External"/><Relationship Id="rId477" Type="http://schemas.openxmlformats.org/officeDocument/2006/relationships/hyperlink" Target="../../home/ubuntu/odoo-taobao/docs/&#25253;&#20215;&#30446;&#24405;/Link_cnc_Price_Catalog_USD_2026-09-28.xlsx" TargetMode="External"/><Relationship Id="rId478" Type="http://schemas.openxmlformats.org/officeDocument/2006/relationships/hyperlink" Target="../../home/ubuntu/odoo-taobao/docs/&#25253;&#20215;&#30446;&#24405;/Link_cnc_Price_Catalog_USD_2026-09-28.xlsx" TargetMode="External"/><Relationship Id="rId479" Type="http://schemas.openxmlformats.org/officeDocument/2006/relationships/hyperlink" Target="../../home/ubuntu/odoo-taobao/docs/&#25253;&#20215;&#30446;&#24405;/Link_cnc_Price_Catalog_USD_2026-09-28.xlsx" TargetMode="External"/><Relationship Id="rId480" Type="http://schemas.openxmlformats.org/officeDocument/2006/relationships/hyperlink" Target="../../home/ubuntu/odoo-taobao/docs/&#25253;&#20215;&#30446;&#24405;/Link_cnc_Price_Catalog_USD_2026-09-28.xlsx" TargetMode="External"/><Relationship Id="rId481" Type="http://schemas.openxmlformats.org/officeDocument/2006/relationships/hyperlink" Target="../../home/ubuntu/odoo-taobao/docs/&#25253;&#20215;&#30446;&#24405;/Link_cnc_Price_Catalog_USD_2026-09-28.xlsx" TargetMode="External"/><Relationship Id="rId482" Type="http://schemas.openxmlformats.org/officeDocument/2006/relationships/hyperlink" Target="../../home/ubuntu/odoo-taobao/docs/&#25253;&#20215;&#30446;&#24405;/Link_cnc_Price_Catalog_USD_2026-09-28.xlsx" TargetMode="External"/><Relationship Id="rId483" Type="http://schemas.openxmlformats.org/officeDocument/2006/relationships/hyperlink" Target="../../home/ubuntu/odoo-taobao/docs/&#25253;&#20215;&#30446;&#24405;/Link_cnc_Price_Catalog_USD_2026-09-28.xlsx" TargetMode="External"/><Relationship Id="rId484" Type="http://schemas.openxmlformats.org/officeDocument/2006/relationships/hyperlink" Target="../../home/ubuntu/odoo-taobao/docs/&#25253;&#20215;&#30446;&#24405;/Link_cnc_Price_Catalog_USD_2026-09-28.xlsx" TargetMode="External"/><Relationship Id="rId485" Type="http://schemas.openxmlformats.org/officeDocument/2006/relationships/hyperlink" Target="../../home/ubuntu/odoo-taobao/docs/&#25253;&#20215;&#30446;&#24405;/Link_cnc_Price_Catalog_USD_2026-09-28.xlsx" TargetMode="External"/><Relationship Id="rId486" Type="http://schemas.openxmlformats.org/officeDocument/2006/relationships/hyperlink" Target="../../home/ubuntu/odoo-taobao/docs/&#25253;&#20215;&#30446;&#24405;/Link_cnc_Price_Catalog_USD_2026-09-28.xlsx" TargetMode="External"/><Relationship Id="rId487" Type="http://schemas.openxmlformats.org/officeDocument/2006/relationships/hyperlink" Target="../../home/ubuntu/odoo-taobao/docs/&#25253;&#20215;&#30446;&#24405;/Link_cnc_Price_Catalog_USD_2026-09-28.xlsx" TargetMode="External"/><Relationship Id="rId488" Type="http://schemas.openxmlformats.org/officeDocument/2006/relationships/hyperlink" Target="../../home/ubuntu/odoo-taobao/docs/&#25253;&#20215;&#30446;&#24405;/Link_cnc_Price_Catalog_USD_2026-09-28.xlsx" TargetMode="External"/><Relationship Id="rId489" Type="http://schemas.openxmlformats.org/officeDocument/2006/relationships/hyperlink" Target="../../home/ubuntu/odoo-taobao/docs/&#25253;&#20215;&#30446;&#24405;/Link_cnc_Price_Catalog_USD_2026-09-28.xlsx" TargetMode="External"/><Relationship Id="rId490" Type="http://schemas.openxmlformats.org/officeDocument/2006/relationships/hyperlink" Target="../../home/ubuntu/odoo-taobao/docs/&#25253;&#20215;&#30446;&#24405;/Link_cnc_Price_Catalog_USD_2026-09-28.xlsx" TargetMode="External"/><Relationship Id="rId491" Type="http://schemas.openxmlformats.org/officeDocument/2006/relationships/hyperlink" Target="../../home/ubuntu/odoo-taobao/docs/&#25253;&#20215;&#30446;&#24405;/Link_cnc_Price_Catalog_USD_2026-09-28.xlsx" TargetMode="External"/><Relationship Id="rId492" Type="http://schemas.openxmlformats.org/officeDocument/2006/relationships/hyperlink" Target="../../home/ubuntu/odoo-taobao/docs/&#25253;&#20215;&#30446;&#24405;/Link_cnc_Price_Catalog_USD_2026-09-28.xlsx" TargetMode="External"/><Relationship Id="rId493" Type="http://schemas.openxmlformats.org/officeDocument/2006/relationships/hyperlink" Target="../../home/ubuntu/odoo-taobao/docs/&#25253;&#20215;&#30446;&#24405;/Link_cnc_Price_Catalog_USD_2026-09-28.xlsx" TargetMode="External"/><Relationship Id="rId494" Type="http://schemas.openxmlformats.org/officeDocument/2006/relationships/hyperlink" Target="../../home/ubuntu/odoo-taobao/docs/&#25253;&#20215;&#30446;&#24405;/Link_cnc_Price_Catalog_USD_2026-09-28.xlsx" TargetMode="External"/><Relationship Id="rId495" Type="http://schemas.openxmlformats.org/officeDocument/2006/relationships/hyperlink" Target="../../home/ubuntu/odoo-taobao/docs/&#25253;&#20215;&#30446;&#24405;/Link_cnc_Price_Catalog_USD_2026-09-28.xlsx" TargetMode="External"/><Relationship Id="rId496" Type="http://schemas.openxmlformats.org/officeDocument/2006/relationships/hyperlink" Target="../../home/ubuntu/odoo-taobao/docs/&#25253;&#20215;&#30446;&#24405;/Link_cnc_Price_Catalog_USD_2026-09-28.xlsx" TargetMode="External"/><Relationship Id="rId497" Type="http://schemas.openxmlformats.org/officeDocument/2006/relationships/hyperlink" Target="../../home/ubuntu/odoo-taobao/docs/&#25253;&#20215;&#30446;&#24405;/Link_cnc_Price_Catalog_USD_2026-09-28.xlsx" TargetMode="External"/><Relationship Id="rId498" Type="http://schemas.openxmlformats.org/officeDocument/2006/relationships/hyperlink" Target="../../home/ubuntu/odoo-taobao/docs/&#25253;&#20215;&#30446;&#24405;/Link_cnc_Price_Catalog_USD_2026-09-28.xlsx" TargetMode="External"/><Relationship Id="rId499" Type="http://schemas.openxmlformats.org/officeDocument/2006/relationships/hyperlink" Target="../../home/ubuntu/odoo-taobao/docs/&#25253;&#20215;&#30446;&#24405;/Link_cnc_Price_Catalog_USD_2026-09-28.xlsx" TargetMode="External"/><Relationship Id="rId500" Type="http://schemas.openxmlformats.org/officeDocument/2006/relationships/hyperlink" Target="../../home/ubuntu/odoo-taobao/docs/&#25253;&#20215;&#30446;&#24405;/Link_cnc_Price_Catalog_USD_2026-09-28.xlsx" TargetMode="External"/><Relationship Id="rId501" Type="http://schemas.openxmlformats.org/officeDocument/2006/relationships/hyperlink" Target="../../home/ubuntu/odoo-taobao/docs/&#25253;&#20215;&#30446;&#24405;/Link_cnc_Price_Catalog_USD_2026-09-28.xlsx" TargetMode="External"/><Relationship Id="rId502" Type="http://schemas.openxmlformats.org/officeDocument/2006/relationships/hyperlink" Target="../../home/ubuntu/odoo-taobao/docs/&#25253;&#20215;&#30446;&#24405;/Link_cnc_Price_Catalog_USD_2026-09-28.xlsx" TargetMode="External"/><Relationship Id="rId503" Type="http://schemas.openxmlformats.org/officeDocument/2006/relationships/hyperlink" Target="../../home/ubuntu/odoo-taobao/docs/&#25253;&#20215;&#30446;&#24405;/Link_cnc_Price_Catalog_USD_2026-09-28.xlsx" TargetMode="External"/><Relationship Id="rId504" Type="http://schemas.openxmlformats.org/officeDocument/2006/relationships/hyperlink" Target="../../home/ubuntu/odoo-taobao/docs/&#25253;&#20215;&#30446;&#24405;/Link_cnc_Price_Catalog_USD_2026-09-28.xlsx" TargetMode="External"/><Relationship Id="rId505" Type="http://schemas.openxmlformats.org/officeDocument/2006/relationships/hyperlink" Target="../../home/ubuntu/odoo-taobao/docs/&#25253;&#20215;&#30446;&#24405;/Link_cnc_Price_Catalog_USD_2026-09-28.xlsx" TargetMode="External"/><Relationship Id="rId506" Type="http://schemas.openxmlformats.org/officeDocument/2006/relationships/hyperlink" Target="../../home/ubuntu/odoo-taobao/docs/&#25253;&#20215;&#30446;&#24405;/Link_cnc_Price_Catalog_USD_2026-09-28.xlsx" TargetMode="External"/><Relationship Id="rId507" Type="http://schemas.openxmlformats.org/officeDocument/2006/relationships/hyperlink" Target="../../home/ubuntu/odoo-taobao/docs/&#25253;&#20215;&#30446;&#24405;/Link_cnc_Price_Catalog_USD_2026-09-28.xlsx" TargetMode="External"/><Relationship Id="rId508" Type="http://schemas.openxmlformats.org/officeDocument/2006/relationships/hyperlink" Target="../../home/ubuntu/odoo-taobao/docs/&#25253;&#20215;&#30446;&#24405;/Link_cnc_Price_Catalog_USD_2026-09-28.xlsx" TargetMode="External"/><Relationship Id="rId509" Type="http://schemas.openxmlformats.org/officeDocument/2006/relationships/hyperlink" Target="../../home/ubuntu/odoo-taobao/docs/&#25253;&#20215;&#30446;&#24405;/Link_cnc_Price_Catalog_USD_2026-09-28.xlsx" TargetMode="External"/><Relationship Id="rId510" Type="http://schemas.openxmlformats.org/officeDocument/2006/relationships/hyperlink" Target="../../home/ubuntu/odoo-taobao/docs/&#25253;&#20215;&#30446;&#24405;/Link_cnc_Price_Catalog_USD_2026-09-28.xlsx" TargetMode="External"/><Relationship Id="rId511" Type="http://schemas.openxmlformats.org/officeDocument/2006/relationships/hyperlink" Target="../../home/ubuntu/odoo-taobao/docs/&#25253;&#20215;&#30446;&#24405;/Link_cnc_Price_Catalog_USD_2026-09-28.xlsx" TargetMode="External"/><Relationship Id="rId512" Type="http://schemas.openxmlformats.org/officeDocument/2006/relationships/hyperlink" Target="../../home/ubuntu/odoo-taobao/docs/&#25253;&#20215;&#30446;&#24405;/Link_cnc_Price_Catalog_USD_2026-09-28.xlsx" TargetMode="External"/><Relationship Id="rId513" Type="http://schemas.openxmlformats.org/officeDocument/2006/relationships/hyperlink" Target="../../home/ubuntu/odoo-taobao/docs/&#25253;&#20215;&#30446;&#24405;/Link_cnc_Price_Catalog_USD_2026-09-28.xlsx" TargetMode="External"/><Relationship Id="rId514" Type="http://schemas.openxmlformats.org/officeDocument/2006/relationships/hyperlink" Target="../../home/ubuntu/odoo-taobao/docs/&#25253;&#20215;&#30446;&#24405;/Link_cnc_Price_Catalog_USD_2026-09-28.xlsx" TargetMode="External"/><Relationship Id="rId515" Type="http://schemas.openxmlformats.org/officeDocument/2006/relationships/hyperlink" Target="../../home/ubuntu/odoo-taobao/docs/&#25253;&#20215;&#30446;&#24405;/Link_cnc_Price_Catalog_USD_2026-09-28.xlsx" TargetMode="External"/><Relationship Id="rId516" Type="http://schemas.openxmlformats.org/officeDocument/2006/relationships/hyperlink" Target="../../home/ubuntu/odoo-taobao/docs/&#25253;&#20215;&#30446;&#24405;/Link_cnc_Price_Catalog_USD_2026-09-28.xlsx" TargetMode="External"/><Relationship Id="rId517" Type="http://schemas.openxmlformats.org/officeDocument/2006/relationships/hyperlink" Target="../../home/ubuntu/odoo-taobao/docs/&#25253;&#20215;&#30446;&#24405;/Link_cnc_Price_Catalog_USD_2026-09-28.xlsx" TargetMode="External"/><Relationship Id="rId518" Type="http://schemas.openxmlformats.org/officeDocument/2006/relationships/hyperlink" Target="../../home/ubuntu/odoo-taobao/docs/&#25253;&#20215;&#30446;&#24405;/Link_cnc_Price_Catalog_USD_2026-09-28.xlsx" TargetMode="External"/><Relationship Id="rId519" Type="http://schemas.openxmlformats.org/officeDocument/2006/relationships/hyperlink" Target="../../home/ubuntu/odoo-taobao/docs/&#25253;&#20215;&#30446;&#24405;/Link_cnc_Price_Catalog_USD_2026-09-28.xlsx" TargetMode="External"/><Relationship Id="rId520" Type="http://schemas.openxmlformats.org/officeDocument/2006/relationships/hyperlink" Target="../../home/ubuntu/odoo-taobao/docs/&#25253;&#20215;&#30446;&#24405;/Link_cnc_Price_Catalog_USD_2026-09-28.xlsx" TargetMode="External"/><Relationship Id="rId521" Type="http://schemas.openxmlformats.org/officeDocument/2006/relationships/hyperlink" Target="../../home/ubuntu/odoo-taobao/docs/&#25253;&#20215;&#30446;&#24405;/Link_cnc_Price_Catalog_USD_2026-09-28.xlsx" TargetMode="External"/><Relationship Id="rId522" Type="http://schemas.openxmlformats.org/officeDocument/2006/relationships/hyperlink" Target="../../home/ubuntu/odoo-taobao/docs/&#25253;&#20215;&#30446;&#24405;/Link_cnc_Price_Catalog_USD_2026-09-28.xlsx" TargetMode="External"/><Relationship Id="rId523" Type="http://schemas.openxmlformats.org/officeDocument/2006/relationships/hyperlink" Target="../../home/ubuntu/odoo-taobao/docs/&#25253;&#20215;&#30446;&#24405;/Link_cnc_Price_Catalog_USD_2026-09-28.xlsx" TargetMode="External"/><Relationship Id="rId524" Type="http://schemas.openxmlformats.org/officeDocument/2006/relationships/hyperlink" Target="../../home/ubuntu/odoo-taobao/docs/&#25253;&#20215;&#30446;&#24405;/Link_cnc_Price_Catalog_USD_2026-09-28.xlsx" TargetMode="External"/><Relationship Id="rId525" Type="http://schemas.openxmlformats.org/officeDocument/2006/relationships/hyperlink" Target="../../home/ubuntu/odoo-taobao/docs/&#25253;&#20215;&#30446;&#24405;/Link_cnc_Price_Catalog_USD_2026-09-28.xlsx" TargetMode="External"/><Relationship Id="rId526" Type="http://schemas.openxmlformats.org/officeDocument/2006/relationships/hyperlink" Target="../../home/ubuntu/odoo-taobao/docs/&#25253;&#20215;&#30446;&#24405;/Link_cnc_Price_Catalog_USD_2026-09-28.xlsx" TargetMode="External"/><Relationship Id="rId527" Type="http://schemas.openxmlformats.org/officeDocument/2006/relationships/hyperlink" Target="../../home/ubuntu/odoo-taobao/docs/&#25253;&#20215;&#30446;&#24405;/Link_cnc_Price_Catalog_USD_2026-09-28.xlsx" TargetMode="External"/><Relationship Id="rId528" Type="http://schemas.openxmlformats.org/officeDocument/2006/relationships/hyperlink" Target="../../home/ubuntu/odoo-taobao/docs/&#25253;&#20215;&#30446;&#24405;/Link_cnc_Price_Catalog_USD_2026-09-28.xlsx" TargetMode="External"/><Relationship Id="rId529" Type="http://schemas.openxmlformats.org/officeDocument/2006/relationships/hyperlink" Target="../../home/ubuntu/odoo-taobao/docs/&#25253;&#20215;&#30446;&#24405;/Link_cnc_Price_Catalog_USD_2026-09-28.xlsx" TargetMode="External"/><Relationship Id="rId530" Type="http://schemas.openxmlformats.org/officeDocument/2006/relationships/hyperlink" Target="../../home/ubuntu/odoo-taobao/docs/&#25253;&#20215;&#30446;&#24405;/Link_cnc_Price_Catalog_USD_2026-09-28.xlsx" TargetMode="External"/><Relationship Id="rId531" Type="http://schemas.openxmlformats.org/officeDocument/2006/relationships/hyperlink" Target="../../home/ubuntu/odoo-taobao/docs/&#25253;&#20215;&#30446;&#24405;/Link_cnc_Price_Catalog_USD_2026-09-28.xlsx" TargetMode="External"/><Relationship Id="rId532" Type="http://schemas.openxmlformats.org/officeDocument/2006/relationships/hyperlink" Target="../../home/ubuntu/odoo-taobao/docs/&#25253;&#20215;&#30446;&#24405;/Link_cnc_Price_Catalog_USD_2026-09-28.xlsx" TargetMode="External"/><Relationship Id="rId533" Type="http://schemas.openxmlformats.org/officeDocument/2006/relationships/hyperlink" Target="../../home/ubuntu/odoo-taobao/docs/&#25253;&#20215;&#30446;&#24405;/Link_cnc_Price_Catalog_USD_2026-09-28.xlsx" TargetMode="External"/><Relationship Id="rId534" Type="http://schemas.openxmlformats.org/officeDocument/2006/relationships/hyperlink" Target="../../home/ubuntu/odoo-taobao/docs/&#25253;&#20215;&#30446;&#24405;/Link_cnc_Price_Catalog_USD_2026-09-28.xlsx" TargetMode="External"/><Relationship Id="rId535" Type="http://schemas.openxmlformats.org/officeDocument/2006/relationships/hyperlink" Target="../../home/ubuntu/odoo-taobao/docs/&#25253;&#20215;&#30446;&#24405;/Link_cnc_Price_Catalog_USD_2026-09-28.xlsx" TargetMode="External"/><Relationship Id="rId536" Type="http://schemas.openxmlformats.org/officeDocument/2006/relationships/hyperlink" Target="../../home/ubuntu/odoo-taobao/docs/&#25253;&#20215;&#30446;&#24405;/Link_cnc_Price_Catalog_USD_2026-09-28.xlsx" TargetMode="External"/><Relationship Id="rId537" Type="http://schemas.openxmlformats.org/officeDocument/2006/relationships/hyperlink" Target="../../home/ubuntu/odoo-taobao/docs/&#25253;&#20215;&#30446;&#24405;/Link_cnc_Price_Catalog_USD_2026-09-28.xlsx" TargetMode="External"/><Relationship Id="rId538" Type="http://schemas.openxmlformats.org/officeDocument/2006/relationships/hyperlink" Target="../../home/ubuntu/odoo-taobao/docs/&#25253;&#20215;&#30446;&#24405;/Link_cnc_Price_Catalog_USD_2026-09-28.xlsx" TargetMode="External"/><Relationship Id="rId539" Type="http://schemas.openxmlformats.org/officeDocument/2006/relationships/hyperlink" Target="../../home/ubuntu/odoo-taobao/docs/&#25253;&#20215;&#30446;&#24405;/Link_cnc_Price_Catalog_USD_2026-09-28.xlsx" TargetMode="External"/><Relationship Id="rId540" Type="http://schemas.openxmlformats.org/officeDocument/2006/relationships/hyperlink" Target="../../home/ubuntu/odoo-taobao/docs/&#25253;&#20215;&#30446;&#24405;/Link_cnc_Price_Catalog_USD_2026-09-28.xlsx" TargetMode="External"/><Relationship Id="rId541" Type="http://schemas.openxmlformats.org/officeDocument/2006/relationships/hyperlink" Target="../../home/ubuntu/odoo-taobao/docs/&#25253;&#20215;&#30446;&#24405;/Link_cnc_Price_Catalog_USD_2026-09-28.xlsx" TargetMode="External"/><Relationship Id="rId542" Type="http://schemas.openxmlformats.org/officeDocument/2006/relationships/hyperlink" Target="../../home/ubuntu/odoo-taobao/docs/&#25253;&#20215;&#30446;&#24405;/Link_cnc_Price_Catalog_USD_2026-09-28.xlsx" TargetMode="External"/><Relationship Id="rId543" Type="http://schemas.openxmlformats.org/officeDocument/2006/relationships/hyperlink" Target="../../home/ubuntu/odoo-taobao/docs/&#25253;&#20215;&#30446;&#24405;/Link_cnc_Price_Catalog_USD_2026-09-28.xlsx" TargetMode="External"/><Relationship Id="rId544" Type="http://schemas.openxmlformats.org/officeDocument/2006/relationships/hyperlink" Target="../../home/ubuntu/odoo-taobao/docs/&#25253;&#20215;&#30446;&#24405;/Link_cnc_Price_Catalog_USD_2026-09-28.xlsx" TargetMode="External"/><Relationship Id="rId545" Type="http://schemas.openxmlformats.org/officeDocument/2006/relationships/hyperlink" Target="../../home/ubuntu/odoo-taobao/docs/&#25253;&#20215;&#30446;&#24405;/Link_cnc_Price_Catalog_USD_2026-09-28.xlsx" TargetMode="External"/><Relationship Id="rId546" Type="http://schemas.openxmlformats.org/officeDocument/2006/relationships/hyperlink" Target="../../home/ubuntu/odoo-taobao/docs/&#25253;&#20215;&#30446;&#24405;/Link_cnc_Price_Catalog_USD_2026-09-28.xlsx" TargetMode="External"/><Relationship Id="rId547" Type="http://schemas.openxmlformats.org/officeDocument/2006/relationships/hyperlink" Target="../../home/ubuntu/odoo-taobao/docs/&#25253;&#20215;&#30446;&#24405;/Link_cnc_Price_Catalog_USD_2026-09-28.xlsx" TargetMode="External"/><Relationship Id="rId548" Type="http://schemas.openxmlformats.org/officeDocument/2006/relationships/hyperlink" Target="../../home/ubuntu/odoo-taobao/docs/&#25253;&#20215;&#30446;&#24405;/Link_cnc_Price_Catalog_USD_2026-09-28.xlsx" TargetMode="External"/><Relationship Id="rId549" Type="http://schemas.openxmlformats.org/officeDocument/2006/relationships/hyperlink" Target="../../home/ubuntu/odoo-taobao/docs/&#25253;&#20215;&#30446;&#24405;/Link_cnc_Price_Catalog_USD_2026-09-28.xlsx" TargetMode="External"/><Relationship Id="rId550" Type="http://schemas.openxmlformats.org/officeDocument/2006/relationships/hyperlink" Target="../../home/ubuntu/odoo-taobao/docs/&#25253;&#20215;&#30446;&#24405;/Link_cnc_Price_Catalog_USD_2026-09-28.xlsx" TargetMode="External"/><Relationship Id="rId551" Type="http://schemas.openxmlformats.org/officeDocument/2006/relationships/hyperlink" Target="../../home/ubuntu/odoo-taobao/docs/&#25253;&#20215;&#30446;&#24405;/Link_cnc_Price_Catalog_USD_2026-09-28.xlsx" TargetMode="External"/><Relationship Id="rId552" Type="http://schemas.openxmlformats.org/officeDocument/2006/relationships/hyperlink" Target="../../home/ubuntu/odoo-taobao/docs/&#25253;&#20215;&#30446;&#24405;/Link_cnc_Price_Catalog_USD_2026-09-28.xlsx" TargetMode="External"/><Relationship Id="rId553" Type="http://schemas.openxmlformats.org/officeDocument/2006/relationships/hyperlink" Target="../../home/ubuntu/odoo-taobao/docs/&#25253;&#20215;&#30446;&#24405;/Link_cnc_Price_Catalog_USD_2026-09-28.xlsx" TargetMode="External"/><Relationship Id="rId554" Type="http://schemas.openxmlformats.org/officeDocument/2006/relationships/hyperlink" Target="../../home/ubuntu/odoo-taobao/docs/&#25253;&#20215;&#30446;&#24405;/Link_cnc_Price_Catalog_USD_2026-09-28.xlsx" TargetMode="External"/><Relationship Id="rId555" Type="http://schemas.openxmlformats.org/officeDocument/2006/relationships/hyperlink" Target="../../home/ubuntu/odoo-taobao/docs/&#25253;&#20215;&#30446;&#24405;/Link_cnc_Price_Catalog_USD_2026-09-28.xlsx" TargetMode="External"/><Relationship Id="rId556" Type="http://schemas.openxmlformats.org/officeDocument/2006/relationships/hyperlink" Target="../../home/ubuntu/odoo-taobao/docs/&#25253;&#20215;&#30446;&#24405;/Link_cnc_Price_Catalog_USD_2026-09-28.xlsx" TargetMode="External"/><Relationship Id="rId557" Type="http://schemas.openxmlformats.org/officeDocument/2006/relationships/hyperlink" Target="../../home/ubuntu/odoo-taobao/docs/&#25253;&#20215;&#30446;&#24405;/Link_cnc_Price_Catalog_USD_2026-09-28.xlsx" TargetMode="External"/><Relationship Id="rId558" Type="http://schemas.openxmlformats.org/officeDocument/2006/relationships/hyperlink" Target="../../home/ubuntu/odoo-taobao/docs/&#25253;&#20215;&#30446;&#24405;/Link_cnc_Price_Catalog_USD_2026-09-28.xlsx" TargetMode="External"/><Relationship Id="rId559" Type="http://schemas.openxmlformats.org/officeDocument/2006/relationships/hyperlink" Target="../../home/ubuntu/odoo-taobao/docs/&#25253;&#20215;&#30446;&#24405;/Link_cnc_Price_Catalog_USD_2026-09-28.xlsx" TargetMode="External"/><Relationship Id="rId560" Type="http://schemas.openxmlformats.org/officeDocument/2006/relationships/hyperlink" Target="../../home/ubuntu/odoo-taobao/docs/&#25253;&#20215;&#30446;&#24405;/Link_cnc_Price_Catalog_USD_2026-09-28.xlsx" TargetMode="External"/><Relationship Id="rId561" Type="http://schemas.openxmlformats.org/officeDocument/2006/relationships/hyperlink" Target="../../home/ubuntu/odoo-taobao/docs/&#25253;&#20215;&#30446;&#24405;/Link_cnc_Price_Catalog_USD_2026-09-28.xlsx" TargetMode="External"/><Relationship Id="rId562" Type="http://schemas.openxmlformats.org/officeDocument/2006/relationships/hyperlink" Target="../../home/ubuntu/odoo-taobao/docs/&#25253;&#20215;&#30446;&#24405;/Link_cnc_Price_Catalog_USD_2026-09-28.xlsx" TargetMode="External"/><Relationship Id="rId563" Type="http://schemas.openxmlformats.org/officeDocument/2006/relationships/hyperlink" Target="../../home/ubuntu/odoo-taobao/docs/&#25253;&#20215;&#30446;&#24405;/Link_cnc_Price_Catalog_USD_2026-09-28.xlsx" TargetMode="External"/><Relationship Id="rId564" Type="http://schemas.openxmlformats.org/officeDocument/2006/relationships/hyperlink" Target="../../home/ubuntu/odoo-taobao/docs/&#25253;&#20215;&#30446;&#24405;/Link_cnc_Price_Catalog_USD_2026-09-28.xlsx" TargetMode="External"/><Relationship Id="rId565" Type="http://schemas.openxmlformats.org/officeDocument/2006/relationships/hyperlink" Target="../../home/ubuntu/odoo-taobao/docs/&#25253;&#20215;&#30446;&#24405;/Link_cnc_Price_Catalog_USD_2026-09-28.xlsx" TargetMode="External"/><Relationship Id="rId566" Type="http://schemas.openxmlformats.org/officeDocument/2006/relationships/hyperlink" Target="../../home/ubuntu/odoo-taobao/docs/&#25253;&#20215;&#30446;&#24405;/Link_cnc_Price_Catalog_USD_2026-09-28.xlsx" TargetMode="External"/><Relationship Id="rId567" Type="http://schemas.openxmlformats.org/officeDocument/2006/relationships/hyperlink" Target="../../home/ubuntu/odoo-taobao/docs/&#25253;&#20215;&#30446;&#24405;/Link_cnc_Price_Catalog_USD_2026-09-28.xlsx" TargetMode="External"/><Relationship Id="rId568" Type="http://schemas.openxmlformats.org/officeDocument/2006/relationships/hyperlink" Target="../../home/ubuntu/odoo-taobao/docs/&#25253;&#20215;&#30446;&#24405;/Link_cnc_Price_Catalog_USD_2026-09-28.xlsx" TargetMode="External"/><Relationship Id="rId569" Type="http://schemas.openxmlformats.org/officeDocument/2006/relationships/hyperlink" Target="../../home/ubuntu/odoo-taobao/docs/&#25253;&#20215;&#30446;&#24405;/Link_cnc_Price_Catalog_USD_2026-09-28.xlsx" TargetMode="External"/><Relationship Id="rId570" Type="http://schemas.openxmlformats.org/officeDocument/2006/relationships/hyperlink" Target="../../home/ubuntu/odoo-taobao/docs/&#25253;&#20215;&#30446;&#24405;/Link_cnc_Price_Catalog_USD_2026-09-28.xlsx" TargetMode="External"/><Relationship Id="rId571" Type="http://schemas.openxmlformats.org/officeDocument/2006/relationships/hyperlink" Target="../../home/ubuntu/odoo-taobao/docs/&#25253;&#20215;&#30446;&#24405;/Link_cnc_Price_Catalog_USD_2026-09-28.xlsx" TargetMode="External"/><Relationship Id="rId572" Type="http://schemas.openxmlformats.org/officeDocument/2006/relationships/hyperlink" Target="../../home/ubuntu/odoo-taobao/docs/&#25253;&#20215;&#30446;&#24405;/Link_cnc_Price_Catalog_USD_2026-09-28.xlsx" TargetMode="External"/><Relationship Id="rId573" Type="http://schemas.openxmlformats.org/officeDocument/2006/relationships/hyperlink" Target="../../home/ubuntu/odoo-taobao/docs/&#25253;&#20215;&#30446;&#24405;/Link_cnc_Price_Catalog_USD_2026-09-28.xlsx" TargetMode="External"/><Relationship Id="rId574" Type="http://schemas.openxmlformats.org/officeDocument/2006/relationships/hyperlink" Target="../../home/ubuntu/odoo-taobao/docs/&#25253;&#20215;&#30446;&#24405;/Link_cnc_Price_Catalog_USD_2026-09-28.xlsx" TargetMode="External"/><Relationship Id="rId575" Type="http://schemas.openxmlformats.org/officeDocument/2006/relationships/hyperlink" Target="../../home/ubuntu/odoo-taobao/docs/&#25253;&#20215;&#30446;&#24405;/Link_cnc_Price_Catalog_USD_2026-09-28.xlsx" TargetMode="External"/><Relationship Id="rId576" Type="http://schemas.openxmlformats.org/officeDocument/2006/relationships/hyperlink" Target="../../home/ubuntu/odoo-taobao/docs/&#25253;&#20215;&#30446;&#24405;/Link_cnc_Price_Catalog_USD_2026-09-28.xlsx" TargetMode="External"/><Relationship Id="rId577" Type="http://schemas.openxmlformats.org/officeDocument/2006/relationships/hyperlink" Target="../../home/ubuntu/odoo-taobao/docs/&#25253;&#20215;&#30446;&#24405;/Link_cnc_Price_Catalog_USD_2026-09-28.xlsx" TargetMode="External"/><Relationship Id="rId578" Type="http://schemas.openxmlformats.org/officeDocument/2006/relationships/hyperlink" Target="../../home/ubuntu/odoo-taobao/docs/&#25253;&#20215;&#30446;&#24405;/Link_cnc_Price_Catalog_USD_2026-09-28.xlsx" TargetMode="External"/><Relationship Id="rId579" Type="http://schemas.openxmlformats.org/officeDocument/2006/relationships/hyperlink" Target="../../home/ubuntu/odoo-taobao/docs/&#25253;&#20215;&#30446;&#24405;/Link_cnc_Price_Catalog_USD_2026-09-28.xlsx" TargetMode="External"/><Relationship Id="rId580" Type="http://schemas.openxmlformats.org/officeDocument/2006/relationships/hyperlink" Target="../../home/ubuntu/odoo-taobao/docs/&#25253;&#20215;&#30446;&#24405;/Link_cnc_Price_Catalog_USD_2026-09-28.xlsx" TargetMode="External"/><Relationship Id="rId581" Type="http://schemas.openxmlformats.org/officeDocument/2006/relationships/hyperlink" Target="../../home/ubuntu/odoo-taobao/docs/&#25253;&#20215;&#30446;&#24405;/Link_cnc_Price_Catalog_USD_2026-09-28.xlsx" TargetMode="External"/><Relationship Id="rId582" Type="http://schemas.openxmlformats.org/officeDocument/2006/relationships/hyperlink" Target="../../home/ubuntu/odoo-taobao/docs/&#25253;&#20215;&#30446;&#24405;/Link_cnc_Price_Catalog_USD_2026-09-28.xlsx" TargetMode="External"/><Relationship Id="rId583" Type="http://schemas.openxmlformats.org/officeDocument/2006/relationships/hyperlink" Target="../../home/ubuntu/odoo-taobao/docs/&#25253;&#20215;&#30446;&#24405;/Link_cnc_Price_Catalog_USD_2026-09-28.xlsx" TargetMode="External"/><Relationship Id="rId584" Type="http://schemas.openxmlformats.org/officeDocument/2006/relationships/hyperlink" Target="../../home/ubuntu/odoo-taobao/docs/&#25253;&#20215;&#30446;&#24405;/Link_cnc_Price_Catalog_USD_2026-09-28.xlsx" TargetMode="External"/><Relationship Id="rId585" Type="http://schemas.openxmlformats.org/officeDocument/2006/relationships/hyperlink" Target="../../home/ubuntu/odoo-taobao/docs/&#25253;&#20215;&#30446;&#24405;/Link_cnc_Price_Catalog_USD_2026-09-28.xlsx" TargetMode="External"/><Relationship Id="rId586" Type="http://schemas.openxmlformats.org/officeDocument/2006/relationships/hyperlink" Target="../../home/ubuntu/odoo-taobao/docs/&#25253;&#20215;&#30446;&#24405;/Link_cnc_Price_Catalog_USD_2026-09-28.xlsx" TargetMode="External"/><Relationship Id="rId587" Type="http://schemas.openxmlformats.org/officeDocument/2006/relationships/hyperlink" Target="../../home/ubuntu/odoo-taobao/docs/&#25253;&#20215;&#30446;&#24405;/Link_cnc_Price_Catalog_USD_2026-09-28.xlsx" TargetMode="External"/><Relationship Id="rId588" Type="http://schemas.openxmlformats.org/officeDocument/2006/relationships/hyperlink" Target="../../home/ubuntu/odoo-taobao/docs/&#25253;&#20215;&#30446;&#24405;/Link_cnc_Price_Catalog_USD_2026-09-28.xlsx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5"/>
    <col collapsed="false" customWidth="true" hidden="false" outlineLevel="0" max="3" min="3" style="0" width="12"/>
  </cols>
  <sheetData>
    <row r="2" customFormat="false" ht="72" hidden="false" customHeight="true" outlineLevel="0" collapsed="false"/>
    <row r="7" customFormat="false" ht="29.15" hidden="false" customHeight="false" outlineLevel="0" collapsed="false">
      <c r="B7" s="1" t="s">
        <v>0</v>
      </c>
    </row>
    <row r="8" customFormat="false" ht="16.15" hidden="false" customHeight="false" outlineLevel="0" collapsed="false">
      <c r="B8" s="2" t="s">
        <v>1</v>
      </c>
    </row>
    <row r="10" customFormat="false" ht="15" hidden="false" customHeight="false" outlineLevel="0" collapsed="false">
      <c r="B10" s="3" t="s">
        <v>2</v>
      </c>
    </row>
    <row r="12" customFormat="false" ht="15" hidden="false" customHeight="false" outlineLevel="0" collapsed="false">
      <c r="B12" s="4" t="s">
        <v>3</v>
      </c>
    </row>
    <row r="13" customFormat="false" ht="15" hidden="false" customHeight="false" outlineLevel="0" collapsed="false">
      <c r="B13" s="4" t="s">
        <v>4</v>
      </c>
    </row>
    <row r="14" customFormat="false" ht="15" hidden="false" customHeight="false" outlineLevel="0" collapsed="false">
      <c r="B14" s="4" t="s">
        <v>5</v>
      </c>
    </row>
    <row r="15" customFormat="false" ht="15" hidden="false" customHeight="false" outlineLevel="0" collapsed="false">
      <c r="B15" s="4" t="s">
        <v>6</v>
      </c>
    </row>
    <row r="16" customFormat="false" ht="15" hidden="false" customHeight="false" outlineLevel="0" collapsed="false">
      <c r="B16" s="4" t="s">
        <v>7</v>
      </c>
    </row>
    <row r="17" customFormat="false" ht="15" hidden="false" customHeight="false" outlineLevel="0" collapsed="false">
      <c r="B17" s="4" t="s">
        <v>8</v>
      </c>
    </row>
    <row r="18" customFormat="false" ht="28.35" hidden="false" customHeight="false" outlineLevel="0" collapsed="false">
      <c r="B18" s="4" t="s">
        <v>9</v>
      </c>
    </row>
    <row r="20" customFormat="false" ht="15" hidden="false" customHeight="false" outlineLevel="0" collapsed="false">
      <c r="B20" s="5" t="s">
        <v>10</v>
      </c>
      <c r="C20" s="6" t="n">
        <v>7.2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62"/>
    <col collapsed="false" customWidth="true" hidden="false" outlineLevel="0" max="4" min="4" style="0" width="9"/>
    <col collapsed="false" customWidth="true" hidden="false" outlineLevel="0" max="5" min="5" style="0" width="20"/>
  </cols>
  <sheetData>
    <row r="1" customFormat="false" ht="15" hidden="false" customHeight="false" outlineLevel="0" collapsed="false">
      <c r="A1" s="7" t="s">
        <v>11</v>
      </c>
      <c r="B1" s="7"/>
      <c r="C1" s="7" t="s">
        <v>12</v>
      </c>
      <c r="D1" s="7" t="s">
        <v>13</v>
      </c>
      <c r="E1" s="7" t="s">
        <v>14</v>
      </c>
    </row>
    <row r="2" customFormat="false" ht="15" hidden="false" customHeight="false" outlineLevel="0" collapsed="false">
      <c r="A2" s="0" t="s">
        <v>15</v>
      </c>
      <c r="B2" s="0" t="s">
        <v>16</v>
      </c>
      <c r="C2" s="8" t="s">
        <v>17</v>
      </c>
      <c r="D2" s="0" t="n">
        <v>7</v>
      </c>
      <c r="E2" s="0" t="str">
        <f aca="false">TEXT(ROUND(4.42/FX,2),"#,##0.00")&amp;" – "&amp;TEXT(ROUND(10.73/FX,2),"#,##0.00")</f>
        <v>0.61 – 1.49</v>
      </c>
    </row>
    <row r="3" customFormat="false" ht="15" hidden="false" customHeight="false" outlineLevel="0" collapsed="false">
      <c r="A3" s="0" t="s">
        <v>15</v>
      </c>
      <c r="B3" s="0" t="s">
        <v>18</v>
      </c>
      <c r="C3" s="8" t="s">
        <v>19</v>
      </c>
      <c r="D3" s="0" t="n">
        <v>84</v>
      </c>
      <c r="E3" s="0" t="str">
        <f aca="false">TEXT(ROUND(1.69/FX,2),"#,##0.00")&amp;" – "&amp;TEXT(ROUND(488/FX,2),"#,##0.00")</f>
        <v>0.23 – 67.78</v>
      </c>
    </row>
    <row r="4" customFormat="false" ht="15" hidden="false" customHeight="false" outlineLevel="0" collapsed="false">
      <c r="A4" s="0" t="s">
        <v>15</v>
      </c>
      <c r="B4" s="0" t="s">
        <v>18</v>
      </c>
      <c r="C4" s="8" t="s">
        <v>20</v>
      </c>
      <c r="D4" s="0" t="n">
        <v>788</v>
      </c>
      <c r="E4" s="0" t="str">
        <f aca="false">TEXT(ROUND(0.56/FX,2),"#,##0.00")&amp;" – "&amp;TEXT(ROUND(6.18/FX,2),"#,##0.00")</f>
        <v>0.08 – 0.86</v>
      </c>
    </row>
    <row r="5" customFormat="false" ht="15" hidden="false" customHeight="false" outlineLevel="0" collapsed="false">
      <c r="A5" s="0" t="s">
        <v>15</v>
      </c>
      <c r="B5" s="0" t="s">
        <v>18</v>
      </c>
      <c r="C5" s="8" t="s">
        <v>21</v>
      </c>
      <c r="D5" s="0" t="n">
        <v>702</v>
      </c>
      <c r="E5" s="0" t="str">
        <f aca="false">TEXT(ROUND(1.21/FX,2),"#,##0.00")&amp;" – "&amp;TEXT(ROUND(58.5/FX,2),"#,##0.00")</f>
        <v>0.17 – 8.13</v>
      </c>
    </row>
    <row r="6" customFormat="false" ht="15" hidden="false" customHeight="false" outlineLevel="0" collapsed="false">
      <c r="A6" s="0" t="s">
        <v>15</v>
      </c>
      <c r="B6" s="0" t="s">
        <v>18</v>
      </c>
      <c r="C6" s="8" t="s">
        <v>22</v>
      </c>
      <c r="D6" s="0" t="n">
        <v>536</v>
      </c>
      <c r="E6" s="0" t="str">
        <f aca="false">TEXT(ROUND(0.56/FX,2),"#,##0.00")&amp;" – "&amp;TEXT(ROUND(6.32/FX,2),"#,##0.00")</f>
        <v>0.08 – 0.88</v>
      </c>
    </row>
    <row r="7" customFormat="false" ht="15" hidden="false" customHeight="false" outlineLevel="0" collapsed="false">
      <c r="A7" s="0" t="s">
        <v>15</v>
      </c>
      <c r="B7" s="0" t="s">
        <v>18</v>
      </c>
      <c r="C7" s="8" t="s">
        <v>23</v>
      </c>
      <c r="D7" s="0" t="n">
        <v>12</v>
      </c>
      <c r="E7" s="0" t="str">
        <f aca="false">TEXT(ROUND(1.22/FX,2),"#,##0.00")&amp;" – "&amp;TEXT(ROUND(9.49/FX,2),"#,##0.00")</f>
        <v>0.17 – 1.32</v>
      </c>
    </row>
    <row r="8" customFormat="false" ht="15" hidden="false" customHeight="false" outlineLevel="0" collapsed="false">
      <c r="A8" s="0" t="s">
        <v>15</v>
      </c>
      <c r="B8" s="0" t="s">
        <v>24</v>
      </c>
      <c r="C8" s="8" t="s">
        <v>25</v>
      </c>
      <c r="D8" s="0" t="n">
        <v>5</v>
      </c>
      <c r="E8" s="0" t="str">
        <f aca="false">TEXT(ROUND(4.68/FX,2),"#,##0.00")&amp;" – "&amp;TEXT(ROUND(780/FX,2),"#,##0.00")</f>
        <v>0.65 – 108.33</v>
      </c>
    </row>
    <row r="9" customFormat="false" ht="15" hidden="false" customHeight="false" outlineLevel="0" collapsed="false">
      <c r="A9" s="0" t="s">
        <v>15</v>
      </c>
      <c r="B9" s="0" t="s">
        <v>24</v>
      </c>
      <c r="C9" s="8" t="s">
        <v>26</v>
      </c>
      <c r="D9" s="0" t="n">
        <v>23</v>
      </c>
      <c r="E9" s="0" t="str">
        <f aca="false">TEXT(ROUND(3.12/FX,2),"#,##0.00")&amp;" – "&amp;TEXT(ROUND(16.9/FX,2),"#,##0.00")</f>
        <v>0.43 – 2.35</v>
      </c>
    </row>
    <row r="10" customFormat="false" ht="15" hidden="false" customHeight="false" outlineLevel="0" collapsed="false">
      <c r="A10" s="0" t="s">
        <v>15</v>
      </c>
      <c r="B10" s="0" t="s">
        <v>27</v>
      </c>
      <c r="C10" s="8" t="s">
        <v>28</v>
      </c>
      <c r="D10" s="0" t="n">
        <v>4</v>
      </c>
      <c r="E10" s="0" t="str">
        <f aca="false">TEXT(ROUND(7.8/FX,2),"#,##0.00")&amp;" – "&amp;TEXT(ROUND(20.8/FX,2),"#,##0.00")</f>
        <v>1.08 – 2.89</v>
      </c>
    </row>
    <row r="11" customFormat="false" ht="15" hidden="false" customHeight="false" outlineLevel="0" collapsed="false">
      <c r="A11" s="0" t="s">
        <v>15</v>
      </c>
      <c r="B11" s="0" t="s">
        <v>27</v>
      </c>
      <c r="C11" s="8" t="s">
        <v>29</v>
      </c>
      <c r="D11" s="0" t="n">
        <v>11</v>
      </c>
      <c r="E11" s="0" t="str">
        <f aca="false">TEXT(ROUND(9.36/FX,2),"#,##0.00")&amp;" – "&amp;TEXT(ROUND(45.5/FX,2),"#,##0.00")</f>
        <v>1.30 – 6.32</v>
      </c>
    </row>
    <row r="12" customFormat="false" ht="15" hidden="false" customHeight="false" outlineLevel="0" collapsed="false">
      <c r="A12" s="0" t="s">
        <v>15</v>
      </c>
      <c r="B12" s="0" t="s">
        <v>30</v>
      </c>
      <c r="C12" s="8" t="s">
        <v>31</v>
      </c>
      <c r="D12" s="0" t="n">
        <v>70</v>
      </c>
      <c r="E12" s="0" t="str">
        <f aca="false">TEXT(ROUND(1.95/FX,2),"#,##0.00")&amp;" – "&amp;TEXT(ROUND(455/FX,2),"#,##0.00")</f>
        <v>0.27 – 63.19</v>
      </c>
    </row>
    <row r="13" customFormat="false" ht="15" hidden="false" customHeight="false" outlineLevel="0" collapsed="false">
      <c r="A13" s="0" t="s">
        <v>15</v>
      </c>
      <c r="B13" s="0" t="s">
        <v>30</v>
      </c>
      <c r="C13" s="8" t="s">
        <v>32</v>
      </c>
      <c r="D13" s="0" t="n">
        <v>436</v>
      </c>
      <c r="E13" s="0" t="str">
        <f aca="false">TEXT(ROUND(1/FX,2),"#,##0.00")&amp;" – "&amp;TEXT(ROUND(16.9/FX,2),"#,##0.00")</f>
        <v>0.14 – 2.35</v>
      </c>
    </row>
    <row r="14" customFormat="false" ht="15" hidden="false" customHeight="false" outlineLevel="0" collapsed="false">
      <c r="A14" s="0" t="s">
        <v>15</v>
      </c>
      <c r="B14" s="0" t="s">
        <v>30</v>
      </c>
      <c r="C14" s="8" t="s">
        <v>33</v>
      </c>
      <c r="D14" s="0" t="n">
        <v>685</v>
      </c>
      <c r="E14" s="0" t="str">
        <f aca="false">TEXT(ROUND(0.65/FX,2),"#,##0.00")&amp;" – "&amp;TEXT(ROUND(6.5/FX,2),"#,##0.00")</f>
        <v>0.09 – 0.90</v>
      </c>
    </row>
    <row r="15" customFormat="false" ht="15" hidden="false" customHeight="false" outlineLevel="0" collapsed="false">
      <c r="A15" s="0" t="s">
        <v>15</v>
      </c>
      <c r="B15" s="0" t="s">
        <v>30</v>
      </c>
      <c r="C15" s="8" t="s">
        <v>34</v>
      </c>
      <c r="D15" s="0" t="n">
        <v>124</v>
      </c>
      <c r="E15" s="0" t="str">
        <f aca="false">TEXT(ROUND(1/FX,2),"#,##0.00")&amp;" – "&amp;TEXT(ROUND(55.9/FX,2),"#,##0.00")</f>
        <v>0.14 – 7.76</v>
      </c>
    </row>
    <row r="16" customFormat="false" ht="15" hidden="false" customHeight="false" outlineLevel="0" collapsed="false">
      <c r="A16" s="0" t="s">
        <v>15</v>
      </c>
      <c r="B16" s="0" t="s">
        <v>35</v>
      </c>
      <c r="C16" s="8" t="s">
        <v>36</v>
      </c>
      <c r="D16" s="0" t="n">
        <v>46</v>
      </c>
      <c r="E16" s="0" t="str">
        <f aca="false">TEXT(ROUND(2.34/FX,2),"#,##0.00")&amp;" – "&amp;TEXT(ROUND(585/FX,2),"#,##0.00")</f>
        <v>0.33 – 81.25</v>
      </c>
    </row>
    <row r="17" customFormat="false" ht="15" hidden="false" customHeight="false" outlineLevel="0" collapsed="false">
      <c r="A17" s="0" t="s">
        <v>15</v>
      </c>
      <c r="B17" s="0" t="s">
        <v>35</v>
      </c>
      <c r="C17" s="8" t="s">
        <v>37</v>
      </c>
      <c r="D17" s="0" t="n">
        <v>316</v>
      </c>
      <c r="E17" s="0" t="str">
        <f aca="false">TEXT(ROUND(1.43/FX,2),"#,##0.00")&amp;" – "&amp;TEXT(ROUND(8.19/FX,2),"#,##0.00")</f>
        <v>0.20 – 1.14</v>
      </c>
    </row>
    <row r="18" customFormat="false" ht="15" hidden="false" customHeight="false" outlineLevel="0" collapsed="false">
      <c r="A18" s="0" t="s">
        <v>15</v>
      </c>
      <c r="B18" s="0" t="s">
        <v>35</v>
      </c>
      <c r="C18" s="8" t="s">
        <v>38</v>
      </c>
      <c r="D18" s="0" t="n">
        <v>388</v>
      </c>
      <c r="E18" s="0" t="str">
        <f aca="false">TEXT(ROUND(1.95/FX,2),"#,##0.00")&amp;" – "&amp;TEXT(ROUND(16.9/FX,2),"#,##0.00")</f>
        <v>0.27 – 2.35</v>
      </c>
    </row>
    <row r="19" customFormat="false" ht="15" hidden="false" customHeight="false" outlineLevel="0" collapsed="false">
      <c r="A19" s="0" t="s">
        <v>15</v>
      </c>
      <c r="B19" s="0" t="s">
        <v>35</v>
      </c>
      <c r="C19" s="8" t="s">
        <v>39</v>
      </c>
      <c r="D19" s="0" t="n">
        <v>104</v>
      </c>
      <c r="E19" s="0" t="str">
        <f aca="false">TEXT(ROUND(4.42/FX,2),"#,##0.00")&amp;" – "&amp;TEXT(ROUND(149.5/FX,2),"#,##0.00")</f>
        <v>0.61 – 20.76</v>
      </c>
    </row>
    <row r="20" customFormat="false" ht="15" hidden="false" customHeight="false" outlineLevel="0" collapsed="false">
      <c r="A20" s="0" t="s">
        <v>15</v>
      </c>
      <c r="B20" s="0" t="s">
        <v>35</v>
      </c>
      <c r="C20" s="8" t="s">
        <v>40</v>
      </c>
      <c r="D20" s="0" t="n">
        <v>1</v>
      </c>
      <c r="E20" s="0" t="str">
        <f aca="false">TEXT(ROUND(18.72/FX,2),"#,##0.00")</f>
        <v>2.60</v>
      </c>
    </row>
    <row r="21" customFormat="false" ht="15" hidden="false" customHeight="false" outlineLevel="0" collapsed="false">
      <c r="A21" s="0" t="s">
        <v>15</v>
      </c>
      <c r="B21" s="0" t="s">
        <v>41</v>
      </c>
      <c r="C21" s="8" t="s">
        <v>42</v>
      </c>
      <c r="D21" s="0" t="n">
        <v>19</v>
      </c>
      <c r="E21" s="0" t="str">
        <f aca="false">TEXT(ROUND(1.3/FX,2),"#,##0.00")&amp;" – "&amp;TEXT(ROUND(4.94/FX,2),"#,##0.00")</f>
        <v>0.18 – 0.69</v>
      </c>
    </row>
    <row r="22" customFormat="false" ht="15" hidden="false" customHeight="false" outlineLevel="0" collapsed="false">
      <c r="A22" s="0" t="s">
        <v>15</v>
      </c>
      <c r="B22" s="0" t="s">
        <v>41</v>
      </c>
      <c r="C22" s="8" t="s">
        <v>43</v>
      </c>
      <c r="D22" s="0" t="n">
        <v>11</v>
      </c>
      <c r="E22" s="0" t="str">
        <f aca="false">TEXT(ROUND(2.86/FX,2),"#,##0.00")&amp;" – "&amp;TEXT(ROUND(455/FX,2),"#,##0.00")</f>
        <v>0.40 – 63.19</v>
      </c>
    </row>
    <row r="23" customFormat="false" ht="15" hidden="false" customHeight="false" outlineLevel="0" collapsed="false">
      <c r="A23" s="0" t="s">
        <v>15</v>
      </c>
      <c r="B23" s="0" t="s">
        <v>44</v>
      </c>
      <c r="C23" s="8" t="s">
        <v>45</v>
      </c>
      <c r="D23" s="0" t="n">
        <v>7</v>
      </c>
      <c r="E23" s="0" t="str">
        <f aca="false">TEXT(ROUND(2.6/FX,2),"#,##0.00")&amp;" – "&amp;TEXT(ROUND(9.1/FX,2),"#,##0.00")</f>
        <v>0.36 – 1.26</v>
      </c>
    </row>
    <row r="24" customFormat="false" ht="15" hidden="false" customHeight="false" outlineLevel="0" collapsed="false">
      <c r="A24" s="0" t="s">
        <v>15</v>
      </c>
      <c r="B24" s="0" t="s">
        <v>44</v>
      </c>
      <c r="C24" s="8" t="s">
        <v>46</v>
      </c>
      <c r="D24" s="0" t="n">
        <v>427</v>
      </c>
      <c r="E24" s="0" t="str">
        <f aca="false">TEXT(ROUND(0.59/FX,2),"#,##0.00")&amp;" – "&amp;TEXT(ROUND(12.6/FX,2),"#,##0.00")</f>
        <v>0.08 – 1.75</v>
      </c>
    </row>
    <row r="25" customFormat="false" ht="15" hidden="false" customHeight="false" outlineLevel="0" collapsed="false">
      <c r="A25" s="0" t="s">
        <v>15</v>
      </c>
      <c r="B25" s="0" t="s">
        <v>47</v>
      </c>
      <c r="C25" s="8" t="s">
        <v>48</v>
      </c>
      <c r="D25" s="0" t="n">
        <v>1</v>
      </c>
      <c r="E25" s="0" t="str">
        <f aca="false">TEXT(ROUND(15.6/FX,2),"#,##0.00")</f>
        <v>2.17</v>
      </c>
    </row>
    <row r="26" customFormat="false" ht="15" hidden="false" customHeight="false" outlineLevel="0" collapsed="false">
      <c r="A26" s="0" t="s">
        <v>15</v>
      </c>
      <c r="B26" s="0" t="s">
        <v>47</v>
      </c>
      <c r="C26" s="8" t="s">
        <v>49</v>
      </c>
      <c r="D26" s="0" t="n">
        <v>1</v>
      </c>
      <c r="E26" s="0" t="str">
        <f aca="false">TEXT(ROUND(18.2/FX,2),"#,##0.00")</f>
        <v>2.53</v>
      </c>
    </row>
    <row r="27" customFormat="false" ht="15" hidden="false" customHeight="false" outlineLevel="0" collapsed="false">
      <c r="A27" s="0" t="s">
        <v>15</v>
      </c>
      <c r="B27" s="0" t="s">
        <v>47</v>
      </c>
      <c r="C27" s="8" t="s">
        <v>50</v>
      </c>
      <c r="D27" s="0" t="n">
        <v>58</v>
      </c>
      <c r="E27" s="0" t="str">
        <f aca="false">TEXT(ROUND(1.56/FX,2),"#,##0.00")&amp;" – "&amp;TEXT(ROUND(14.3/FX,2),"#,##0.00")</f>
        <v>0.22 – 1.99</v>
      </c>
    </row>
    <row r="28" customFormat="false" ht="15" hidden="false" customHeight="false" outlineLevel="0" collapsed="false">
      <c r="A28" s="0" t="s">
        <v>15</v>
      </c>
      <c r="B28" s="0" t="s">
        <v>47</v>
      </c>
      <c r="C28" s="8" t="s">
        <v>51</v>
      </c>
      <c r="D28" s="0" t="n">
        <v>4</v>
      </c>
      <c r="E28" s="0" t="str">
        <f aca="false">TEXT(ROUND(2.86/FX,2),"#,##0.00")&amp;" – "&amp;TEXT(ROUND(7.8/FX,2),"#,##0.00")</f>
        <v>0.40 – 1.08</v>
      </c>
    </row>
    <row r="29" customFormat="false" ht="15" hidden="false" customHeight="false" outlineLevel="0" collapsed="false">
      <c r="A29" s="0" t="s">
        <v>15</v>
      </c>
      <c r="B29" s="0" t="s">
        <v>52</v>
      </c>
      <c r="C29" s="8" t="s">
        <v>53</v>
      </c>
      <c r="D29" s="0" t="n">
        <v>66</v>
      </c>
      <c r="E29" s="0" t="str">
        <f aca="false">TEXT(ROUND(1.04/FX,2),"#,##0.00")&amp;" – "&amp;TEXT(ROUND(33.8/FX,2),"#,##0.00")</f>
        <v>0.14 – 4.69</v>
      </c>
    </row>
    <row r="30" customFormat="false" ht="15" hidden="false" customHeight="false" outlineLevel="0" collapsed="false">
      <c r="A30" s="0" t="s">
        <v>15</v>
      </c>
      <c r="B30" s="0" t="s">
        <v>52</v>
      </c>
      <c r="C30" s="8" t="s">
        <v>54</v>
      </c>
      <c r="D30" s="0" t="n">
        <v>12</v>
      </c>
      <c r="E30" s="0" t="str">
        <f aca="false">TEXT(ROUND(1.95/FX,2),"#,##0.00")&amp;" – "&amp;TEXT(ROUND(13/FX,2),"#,##0.00")</f>
        <v>0.27 – 1.81</v>
      </c>
    </row>
    <row r="31" customFormat="false" ht="15" hidden="false" customHeight="false" outlineLevel="0" collapsed="false">
      <c r="A31" s="0" t="s">
        <v>15</v>
      </c>
      <c r="B31" s="0" t="s">
        <v>55</v>
      </c>
      <c r="C31" s="8" t="s">
        <v>56</v>
      </c>
      <c r="D31" s="0" t="n">
        <v>1</v>
      </c>
      <c r="E31" s="0" t="str">
        <f aca="false">TEXT(ROUND(4.1/FX,2),"#,##0.00")</f>
        <v>0.57</v>
      </c>
    </row>
    <row r="32" customFormat="false" ht="15" hidden="false" customHeight="false" outlineLevel="0" collapsed="false">
      <c r="A32" s="0" t="s">
        <v>15</v>
      </c>
      <c r="B32" s="0" t="s">
        <v>55</v>
      </c>
      <c r="C32" s="8" t="s">
        <v>57</v>
      </c>
      <c r="D32" s="0" t="n">
        <v>4</v>
      </c>
      <c r="E32" s="0" t="str">
        <f aca="false">TEXT(ROUND(6.32/FX,2),"#,##0.00")&amp;" – "&amp;TEXT(ROUND(19.5/FX,2),"#,##0.00")</f>
        <v>0.88 – 2.71</v>
      </c>
    </row>
    <row r="33" customFormat="false" ht="15" hidden="false" customHeight="false" outlineLevel="0" collapsed="false">
      <c r="A33" s="0" t="s">
        <v>15</v>
      </c>
      <c r="B33" s="0" t="s">
        <v>58</v>
      </c>
      <c r="C33" s="8" t="s">
        <v>59</v>
      </c>
      <c r="D33" s="0" t="n">
        <v>2</v>
      </c>
      <c r="E33" s="0" t="str">
        <f aca="false">TEXT(ROUND(3.25/FX,2),"#,##0.00")</f>
        <v>0.45</v>
      </c>
    </row>
    <row r="34" customFormat="false" ht="15" hidden="false" customHeight="false" outlineLevel="0" collapsed="false">
      <c r="A34" s="0" t="s">
        <v>15</v>
      </c>
      <c r="B34" s="0" t="s">
        <v>58</v>
      </c>
      <c r="C34" s="8" t="s">
        <v>60</v>
      </c>
      <c r="D34" s="0" t="n">
        <v>1</v>
      </c>
      <c r="E34" s="0" t="str">
        <f aca="false">TEXT(ROUND(0.78/FX,2),"#,##0.00")</f>
        <v>0.11</v>
      </c>
    </row>
    <row r="35" customFormat="false" ht="15" hidden="false" customHeight="false" outlineLevel="0" collapsed="false">
      <c r="A35" s="0" t="s">
        <v>15</v>
      </c>
      <c r="B35" s="0" t="s">
        <v>58</v>
      </c>
      <c r="C35" s="8" t="s">
        <v>61</v>
      </c>
      <c r="D35" s="0" t="n">
        <v>2</v>
      </c>
      <c r="E35" s="0" t="str">
        <f aca="false">TEXT(ROUND(1.3/FX,2),"#,##0.00")</f>
        <v>0.18</v>
      </c>
    </row>
    <row r="36" customFormat="false" ht="15" hidden="false" customHeight="false" outlineLevel="0" collapsed="false">
      <c r="A36" s="0" t="s">
        <v>15</v>
      </c>
      <c r="B36" s="0" t="s">
        <v>58</v>
      </c>
      <c r="C36" s="8" t="s">
        <v>62</v>
      </c>
      <c r="D36" s="0" t="n">
        <v>65</v>
      </c>
      <c r="E36" s="0" t="str">
        <f aca="false">TEXT(ROUND(1.04/FX,2),"#,##0.00")&amp;" – "&amp;TEXT(ROUND(676/FX,2),"#,##0.00")</f>
        <v>0.14 – 93.89</v>
      </c>
    </row>
    <row r="37" customFormat="false" ht="15" hidden="false" customHeight="false" outlineLevel="0" collapsed="false">
      <c r="A37" s="0" t="s">
        <v>15</v>
      </c>
      <c r="B37" s="0" t="s">
        <v>58</v>
      </c>
      <c r="C37" s="8" t="s">
        <v>63</v>
      </c>
      <c r="D37" s="0" t="n">
        <v>74</v>
      </c>
      <c r="E37" s="0" t="str">
        <f aca="false">TEXT(ROUND(1.3/FX,2),"#,##0.00")&amp;" – "&amp;TEXT(ROUND(5.85/FX,2),"#,##0.00")</f>
        <v>0.18 – 0.81</v>
      </c>
    </row>
    <row r="38" customFormat="false" ht="15" hidden="false" customHeight="false" outlineLevel="0" collapsed="false">
      <c r="A38" s="0" t="s">
        <v>15</v>
      </c>
      <c r="B38" s="0" t="s">
        <v>58</v>
      </c>
      <c r="C38" s="8" t="s">
        <v>64</v>
      </c>
      <c r="D38" s="0" t="n">
        <v>5</v>
      </c>
      <c r="E38" s="0" t="str">
        <f aca="false">TEXT(ROUND(1.04/FX,2),"#,##0.00")&amp;" – "&amp;TEXT(ROUND(767/FX,2),"#,##0.00")</f>
        <v>0.14 – 106.53</v>
      </c>
    </row>
    <row r="39" customFormat="false" ht="15" hidden="false" customHeight="false" outlineLevel="0" collapsed="false">
      <c r="A39" s="0" t="s">
        <v>15</v>
      </c>
      <c r="B39" s="0" t="s">
        <v>65</v>
      </c>
      <c r="C39" s="8" t="s">
        <v>66</v>
      </c>
      <c r="D39" s="0" t="n">
        <v>3</v>
      </c>
      <c r="E39" s="0" t="str">
        <f aca="false">TEXT(ROUND(0.87/FX,2),"#,##0.00")&amp;" – "&amp;TEXT(ROUND(8.8/FX,2),"#,##0.00")</f>
        <v>0.12 – 1.22</v>
      </c>
    </row>
    <row r="40" customFormat="false" ht="15" hidden="false" customHeight="false" outlineLevel="0" collapsed="false">
      <c r="A40" s="0" t="s">
        <v>15</v>
      </c>
      <c r="B40" s="0" t="s">
        <v>65</v>
      </c>
      <c r="C40" s="8" t="s">
        <v>67</v>
      </c>
      <c r="D40" s="0" t="n">
        <v>6</v>
      </c>
      <c r="E40" s="0" t="str">
        <f aca="false">TEXT(ROUND(0.78/FX,2),"#,##0.00")&amp;" – "&amp;TEXT(ROUND(3.72/FX,2),"#,##0.00")</f>
        <v>0.11 – 0.52</v>
      </c>
    </row>
    <row r="41" customFormat="false" ht="15" hidden="false" customHeight="false" outlineLevel="0" collapsed="false">
      <c r="A41" s="0" t="s">
        <v>15</v>
      </c>
      <c r="B41" s="0" t="s">
        <v>65</v>
      </c>
      <c r="C41" s="8" t="s">
        <v>68</v>
      </c>
      <c r="D41" s="0" t="n">
        <v>5</v>
      </c>
      <c r="E41" s="0" t="str">
        <f aca="false">TEXT(ROUND(4.81/FX,2),"#,##0.00")&amp;" – "&amp;TEXT(ROUND(10.4/FX,2),"#,##0.00")</f>
        <v>0.67 – 1.44</v>
      </c>
    </row>
    <row r="42" customFormat="false" ht="15" hidden="false" customHeight="false" outlineLevel="0" collapsed="false">
      <c r="A42" s="0" t="s">
        <v>15</v>
      </c>
      <c r="B42" s="0" t="s">
        <v>65</v>
      </c>
      <c r="C42" s="8" t="s">
        <v>69</v>
      </c>
      <c r="D42" s="0" t="n">
        <v>71</v>
      </c>
      <c r="E42" s="0" t="str">
        <f aca="false">TEXT(ROUND(3.12/FX,2),"#,##0.00")&amp;" – "&amp;TEXT(ROUND(26/FX,2),"#,##0.00")</f>
        <v>0.43 – 3.61</v>
      </c>
    </row>
    <row r="43" customFormat="false" ht="15" hidden="false" customHeight="false" outlineLevel="0" collapsed="false">
      <c r="A43" s="0" t="s">
        <v>15</v>
      </c>
      <c r="B43" s="0" t="s">
        <v>65</v>
      </c>
      <c r="C43" s="8" t="s">
        <v>70</v>
      </c>
      <c r="D43" s="0" t="n">
        <v>1</v>
      </c>
      <c r="E43" s="0" t="str">
        <f aca="false">TEXT(ROUND(0.21/FX,2),"#,##0.00")</f>
        <v>0.03</v>
      </c>
    </row>
    <row r="44" customFormat="false" ht="15" hidden="false" customHeight="false" outlineLevel="0" collapsed="false">
      <c r="A44" s="0" t="s">
        <v>15</v>
      </c>
      <c r="B44" s="0" t="s">
        <v>71</v>
      </c>
      <c r="C44" s="8" t="s">
        <v>72</v>
      </c>
      <c r="D44" s="0" t="n">
        <v>6</v>
      </c>
      <c r="E44" s="0" t="str">
        <f aca="false">TEXT(ROUND(2.05/FX,2),"#,##0.00")&amp;" – "&amp;TEXT(ROUND(16.45/FX,2),"#,##0.00")</f>
        <v>0.28 – 2.28</v>
      </c>
    </row>
    <row r="45" customFormat="false" ht="15" hidden="false" customHeight="false" outlineLevel="0" collapsed="false">
      <c r="A45" s="0" t="s">
        <v>15</v>
      </c>
      <c r="B45" s="0" t="s">
        <v>71</v>
      </c>
      <c r="C45" s="8" t="s">
        <v>73</v>
      </c>
      <c r="D45" s="0" t="n">
        <v>2</v>
      </c>
      <c r="E45" s="0" t="str">
        <f aca="false">TEXT(ROUND(7.37/FX,2),"#,##0.00")&amp;" – "&amp;TEXT(ROUND(8.77/FX,2),"#,##0.00")</f>
        <v>1.02 – 1.22</v>
      </c>
    </row>
    <row r="46" customFormat="false" ht="15" hidden="false" customHeight="false" outlineLevel="0" collapsed="false">
      <c r="A46" s="0" t="s">
        <v>15</v>
      </c>
      <c r="B46" s="0" t="s">
        <v>71</v>
      </c>
      <c r="C46" s="8" t="s">
        <v>74</v>
      </c>
      <c r="D46" s="0" t="n">
        <v>1</v>
      </c>
      <c r="E46" s="0" t="str">
        <f aca="false">TEXT(ROUND(5.8/FX,2),"#,##0.00")</f>
        <v>0.81</v>
      </c>
    </row>
    <row r="47" customFormat="false" ht="15" hidden="false" customHeight="false" outlineLevel="0" collapsed="false">
      <c r="A47" s="0" t="s">
        <v>75</v>
      </c>
      <c r="B47" s="0" t="s">
        <v>76</v>
      </c>
      <c r="C47" s="8" t="s">
        <v>77</v>
      </c>
      <c r="D47" s="0" t="n">
        <v>435</v>
      </c>
      <c r="E47" s="0" t="str">
        <f aca="false">TEXT(ROUND(1.04/FX,2),"#,##0.00")&amp;" – "&amp;TEXT(ROUND(22.75/FX,2),"#,##0.00")</f>
        <v>0.14 – 3.16</v>
      </c>
    </row>
    <row r="48" customFormat="false" ht="15" hidden="false" customHeight="false" outlineLevel="0" collapsed="false">
      <c r="A48" s="0" t="s">
        <v>75</v>
      </c>
      <c r="B48" s="0" t="s">
        <v>78</v>
      </c>
      <c r="C48" s="8" t="s">
        <v>79</v>
      </c>
      <c r="D48" s="0" t="n">
        <v>36</v>
      </c>
      <c r="E48" s="0" t="str">
        <f aca="false">TEXT(ROUND(3.12/FX,2),"#,##0.00")&amp;" – "&amp;TEXT(ROUND(20.15/FX,2),"#,##0.00")</f>
        <v>0.43 – 2.80</v>
      </c>
    </row>
    <row r="49" customFormat="false" ht="15" hidden="false" customHeight="false" outlineLevel="0" collapsed="false">
      <c r="A49" s="0" t="s">
        <v>75</v>
      </c>
      <c r="B49" s="0" t="s">
        <v>80</v>
      </c>
      <c r="C49" s="8" t="s">
        <v>81</v>
      </c>
      <c r="D49" s="0" t="n">
        <v>308</v>
      </c>
      <c r="E49" s="0" t="str">
        <f aca="false">TEXT(ROUND(2.08/FX,2),"#,##0.00")&amp;" – "&amp;TEXT(ROUND(85.8/FX,2),"#,##0.00")</f>
        <v>0.29 – 11.92</v>
      </c>
    </row>
    <row r="50" customFormat="false" ht="15" hidden="false" customHeight="false" outlineLevel="0" collapsed="false">
      <c r="A50" s="0" t="s">
        <v>75</v>
      </c>
      <c r="B50" s="0" t="s">
        <v>82</v>
      </c>
      <c r="C50" s="8" t="s">
        <v>83</v>
      </c>
      <c r="D50" s="0" t="n">
        <v>114</v>
      </c>
      <c r="E50" s="0" t="str">
        <f aca="false">TEXT(ROUND(3.12/FX,2),"#,##0.00")&amp;" – "&amp;TEXT(ROUND(102.7/FX,2),"#,##0.00")</f>
        <v>0.43 – 14.26</v>
      </c>
    </row>
    <row r="51" customFormat="false" ht="15" hidden="false" customHeight="false" outlineLevel="0" collapsed="false">
      <c r="A51" s="0" t="s">
        <v>75</v>
      </c>
      <c r="B51" s="0" t="s">
        <v>84</v>
      </c>
      <c r="C51" s="8" t="s">
        <v>85</v>
      </c>
      <c r="D51" s="0" t="n">
        <v>32</v>
      </c>
      <c r="E51" s="0" t="str">
        <f aca="false">TEXT(ROUND(1.95/FX,2),"#,##0.00")&amp;" – "&amp;TEXT(ROUND(45.5/FX,2),"#,##0.00")</f>
        <v>0.27 – 6.32</v>
      </c>
    </row>
    <row r="52" customFormat="false" ht="15" hidden="false" customHeight="false" outlineLevel="0" collapsed="false">
      <c r="A52" s="0" t="s">
        <v>75</v>
      </c>
      <c r="B52" s="0" t="s">
        <v>86</v>
      </c>
      <c r="C52" s="8" t="s">
        <v>87</v>
      </c>
      <c r="D52" s="0" t="n">
        <v>11</v>
      </c>
      <c r="E52" s="0" t="str">
        <f aca="false">TEXT(ROUND(3.9/FX,2),"#,##0.00")&amp;" – "&amp;TEXT(ROUND(20.8/FX,2),"#,##0.00")</f>
        <v>0.54 – 2.89</v>
      </c>
    </row>
    <row r="53" customFormat="false" ht="15" hidden="false" customHeight="false" outlineLevel="0" collapsed="false">
      <c r="A53" s="0" t="s">
        <v>75</v>
      </c>
      <c r="B53" s="0" t="s">
        <v>88</v>
      </c>
      <c r="C53" s="8" t="s">
        <v>89</v>
      </c>
      <c r="D53" s="0" t="n">
        <v>6</v>
      </c>
      <c r="E53" s="0" t="str">
        <f aca="false">TEXT(ROUND(2.47/FX,2),"#,##0.00")&amp;" – "&amp;TEXT(ROUND(3.38/FX,2),"#,##0.00")</f>
        <v>0.34 – 0.47</v>
      </c>
    </row>
    <row r="54" customFormat="false" ht="15" hidden="false" customHeight="false" outlineLevel="0" collapsed="false">
      <c r="A54" s="0" t="s">
        <v>75</v>
      </c>
      <c r="B54" s="0" t="s">
        <v>90</v>
      </c>
      <c r="C54" s="8" t="s">
        <v>91</v>
      </c>
      <c r="D54" s="0" t="n">
        <v>17</v>
      </c>
      <c r="E54" s="0" t="str">
        <f aca="false">TEXT(ROUND(2.99/FX,2),"#,##0.00")&amp;" – "&amp;TEXT(ROUND(13.65/FX,2),"#,##0.00")</f>
        <v>0.42 – 1.90</v>
      </c>
    </row>
    <row r="55" customFormat="false" ht="15" hidden="false" customHeight="false" outlineLevel="0" collapsed="false">
      <c r="A55" s="0" t="s">
        <v>75</v>
      </c>
      <c r="B55" s="0" t="s">
        <v>92</v>
      </c>
      <c r="C55" s="8" t="s">
        <v>93</v>
      </c>
      <c r="D55" s="0" t="n">
        <v>9</v>
      </c>
      <c r="E55" s="0" t="str">
        <f aca="false">TEXT(ROUND(2.86/FX,2),"#,##0.00")&amp;" – "&amp;TEXT(ROUND(29.25/FX,2),"#,##0.00")</f>
        <v>0.40 – 4.06</v>
      </c>
    </row>
    <row r="56" customFormat="false" ht="15" hidden="false" customHeight="false" outlineLevel="0" collapsed="false">
      <c r="A56" s="0" t="s">
        <v>75</v>
      </c>
      <c r="B56" s="0" t="s">
        <v>94</v>
      </c>
      <c r="C56" s="8" t="s">
        <v>95</v>
      </c>
      <c r="D56" s="0" t="n">
        <v>5</v>
      </c>
      <c r="E56" s="0" t="str">
        <f aca="false">TEXT(ROUND(104/FX,2),"#,##0.00")&amp;" – "&amp;TEXT(ROUND(143/FX,2),"#,##0.00")</f>
        <v>14.44 – 19.86</v>
      </c>
    </row>
    <row r="57" customFormat="false" ht="15" hidden="false" customHeight="false" outlineLevel="0" collapsed="false">
      <c r="A57" s="0" t="s">
        <v>75</v>
      </c>
      <c r="B57" s="0" t="s">
        <v>94</v>
      </c>
      <c r="C57" s="8" t="s">
        <v>96</v>
      </c>
      <c r="D57" s="0" t="n">
        <v>13</v>
      </c>
      <c r="E57" s="0" t="str">
        <f aca="false">TEXT(ROUND(5.23/FX,2),"#,##0.00")&amp;" – "&amp;TEXT(ROUND(33.93/FX,2),"#,##0.00")</f>
        <v>0.73 – 4.71</v>
      </c>
    </row>
    <row r="58" customFormat="false" ht="15" hidden="false" customHeight="false" outlineLevel="0" collapsed="false">
      <c r="A58" s="0" t="s">
        <v>75</v>
      </c>
      <c r="B58" s="0" t="s">
        <v>94</v>
      </c>
      <c r="C58" s="8" t="s">
        <v>97</v>
      </c>
      <c r="D58" s="0" t="n">
        <v>23</v>
      </c>
      <c r="E58" s="0" t="str">
        <f aca="false">TEXT(ROUND(23.4/FX,2),"#,##0.00")&amp;" – "&amp;TEXT(ROUND(104/FX,2),"#,##0.00")</f>
        <v>3.25 – 14.44</v>
      </c>
    </row>
    <row r="59" customFormat="false" ht="15" hidden="false" customHeight="false" outlineLevel="0" collapsed="false">
      <c r="A59" s="0" t="s">
        <v>75</v>
      </c>
      <c r="B59" s="0" t="s">
        <v>94</v>
      </c>
      <c r="C59" s="8" t="s">
        <v>98</v>
      </c>
      <c r="D59" s="0" t="n">
        <v>2</v>
      </c>
      <c r="E59" s="0" t="str">
        <f aca="false">TEXT(ROUND(26/FX,2),"#,##0.00")</f>
        <v>3.61</v>
      </c>
    </row>
    <row r="60" customFormat="false" ht="15" hidden="false" customHeight="false" outlineLevel="0" collapsed="false">
      <c r="A60" s="0" t="s">
        <v>75</v>
      </c>
      <c r="B60" s="0" t="s">
        <v>94</v>
      </c>
      <c r="C60" s="8" t="s">
        <v>99</v>
      </c>
      <c r="D60" s="0" t="n">
        <v>5</v>
      </c>
      <c r="E60" s="0" t="str">
        <f aca="false">TEXT(ROUND(14.3/FX,2),"#,##0.00")</f>
        <v>1.99</v>
      </c>
    </row>
    <row r="61" customFormat="false" ht="15" hidden="false" customHeight="false" outlineLevel="0" collapsed="false">
      <c r="A61" s="0" t="s">
        <v>100</v>
      </c>
      <c r="B61" s="0" t="s">
        <v>101</v>
      </c>
      <c r="C61" s="8" t="s">
        <v>102</v>
      </c>
      <c r="D61" s="0" t="n">
        <v>222</v>
      </c>
      <c r="E61" s="0" t="str">
        <f aca="false">TEXT(ROUND(3.36/FX,2),"#,##0.00")&amp;" – "&amp;TEXT(ROUND(45.5/FX,2),"#,##0.00")</f>
        <v>0.47 – 6.32</v>
      </c>
    </row>
    <row r="62" customFormat="false" ht="15" hidden="false" customHeight="false" outlineLevel="0" collapsed="false">
      <c r="A62" s="0" t="s">
        <v>100</v>
      </c>
      <c r="B62" s="0" t="s">
        <v>103</v>
      </c>
      <c r="C62" s="8" t="s">
        <v>104</v>
      </c>
      <c r="D62" s="0" t="n">
        <v>866</v>
      </c>
      <c r="E62" s="0" t="str">
        <f aca="false">TEXT(ROUND(6.24/FX,2),"#,##0.00")&amp;" – "&amp;TEXT(ROUND(97.5/FX,2),"#,##0.00")</f>
        <v>0.87 – 13.54</v>
      </c>
    </row>
    <row r="63" customFormat="false" ht="15" hidden="false" customHeight="false" outlineLevel="0" collapsed="false">
      <c r="A63" s="0" t="s">
        <v>100</v>
      </c>
      <c r="B63" s="0" t="s">
        <v>105</v>
      </c>
      <c r="C63" s="8" t="s">
        <v>106</v>
      </c>
      <c r="D63" s="0" t="n">
        <v>606</v>
      </c>
      <c r="E63" s="0" t="str">
        <f aca="false">TEXT(ROUND(6.5/FX,2),"#,##0.00")&amp;" – "&amp;TEXT(ROUND(62.4/FX,2),"#,##0.00")</f>
        <v>0.90 – 8.67</v>
      </c>
    </row>
    <row r="64" customFormat="false" ht="15" hidden="false" customHeight="false" outlineLevel="0" collapsed="false">
      <c r="A64" s="0" t="s">
        <v>100</v>
      </c>
      <c r="B64" s="0" t="s">
        <v>107</v>
      </c>
      <c r="C64" s="8" t="s">
        <v>108</v>
      </c>
      <c r="D64" s="0" t="n">
        <v>244</v>
      </c>
      <c r="E64" s="0" t="str">
        <f aca="false">TEXT(ROUND(6.5/FX,2),"#,##0.00")&amp;" – "&amp;TEXT(ROUND(59.8/FX,2),"#,##0.00")</f>
        <v>0.90 – 8.31</v>
      </c>
    </row>
    <row r="65" customFormat="false" ht="15" hidden="false" customHeight="false" outlineLevel="0" collapsed="false">
      <c r="A65" s="0" t="s">
        <v>100</v>
      </c>
      <c r="B65" s="0" t="s">
        <v>109</v>
      </c>
      <c r="C65" s="8" t="s">
        <v>110</v>
      </c>
      <c r="D65" s="0" t="n">
        <v>7</v>
      </c>
      <c r="E65" s="0" t="str">
        <f aca="false">TEXT(ROUND(9.1/FX,2),"#,##0.00")&amp;" – "&amp;TEXT(ROUND(18.2/FX,2),"#,##0.00")</f>
        <v>1.26 – 2.53</v>
      </c>
    </row>
    <row r="66" customFormat="false" ht="15" hidden="false" customHeight="false" outlineLevel="0" collapsed="false">
      <c r="A66" s="0" t="s">
        <v>100</v>
      </c>
      <c r="B66" s="0" t="s">
        <v>109</v>
      </c>
      <c r="C66" s="8" t="s">
        <v>111</v>
      </c>
      <c r="D66" s="0" t="n">
        <v>32</v>
      </c>
      <c r="E66" s="0" t="str">
        <f aca="false">TEXT(ROUND(15.6/FX,2),"#,##0.00")&amp;" – "&amp;TEXT(ROUND(22.2/FX,2),"#,##0.00")</f>
        <v>2.17 – 3.08</v>
      </c>
    </row>
    <row r="67" customFormat="false" ht="15" hidden="false" customHeight="false" outlineLevel="0" collapsed="false">
      <c r="A67" s="0" t="s">
        <v>100</v>
      </c>
      <c r="B67" s="0" t="s">
        <v>109</v>
      </c>
      <c r="C67" s="8" t="s">
        <v>112</v>
      </c>
      <c r="D67" s="0" t="n">
        <v>38</v>
      </c>
      <c r="E67" s="0" t="str">
        <f aca="false">TEXT(ROUND(2.6/FX,2),"#,##0.00")&amp;" – "&amp;TEXT(ROUND(20.8/FX,2),"#,##0.00")</f>
        <v>0.36 – 2.89</v>
      </c>
    </row>
    <row r="68" customFormat="false" ht="15" hidden="false" customHeight="false" outlineLevel="0" collapsed="false">
      <c r="A68" s="0" t="s">
        <v>100</v>
      </c>
      <c r="B68" s="0" t="s">
        <v>113</v>
      </c>
      <c r="C68" s="8" t="s">
        <v>114</v>
      </c>
      <c r="D68" s="0" t="n">
        <v>563</v>
      </c>
      <c r="E68" s="0" t="str">
        <f aca="false">TEXT(ROUND(1.11/FX,2),"#,##0.00")&amp;" – "&amp;TEXT(ROUND(25.22/FX,2),"#,##0.00")</f>
        <v>0.15 – 3.50</v>
      </c>
    </row>
    <row r="69" customFormat="false" ht="15" hidden="false" customHeight="false" outlineLevel="0" collapsed="false">
      <c r="A69" s="0" t="s">
        <v>100</v>
      </c>
      <c r="B69" s="0" t="s">
        <v>115</v>
      </c>
      <c r="C69" s="8" t="s">
        <v>116</v>
      </c>
      <c r="D69" s="0" t="n">
        <v>2</v>
      </c>
      <c r="E69" s="0" t="str">
        <f aca="false">TEXT(ROUND(8.45/FX,2),"#,##0.00")&amp;" – "&amp;TEXT(ROUND(14.24/FX,2),"#,##0.00")</f>
        <v>1.17 – 1.98</v>
      </c>
    </row>
    <row r="70" customFormat="false" ht="15" hidden="false" customHeight="false" outlineLevel="0" collapsed="false">
      <c r="A70" s="0" t="s">
        <v>100</v>
      </c>
      <c r="B70" s="0" t="s">
        <v>115</v>
      </c>
      <c r="C70" s="8" t="s">
        <v>117</v>
      </c>
      <c r="D70" s="0" t="n">
        <v>3</v>
      </c>
      <c r="E70" s="0" t="str">
        <f aca="false">TEXT(ROUND(13/FX,2),"#,##0.00")&amp;" – "&amp;TEXT(ROUND(18.2/FX,2),"#,##0.00")</f>
        <v>1.81 – 2.53</v>
      </c>
    </row>
    <row r="71" customFormat="false" ht="15" hidden="false" customHeight="false" outlineLevel="0" collapsed="false">
      <c r="A71" s="0" t="s">
        <v>100</v>
      </c>
      <c r="B71" s="0" t="s">
        <v>118</v>
      </c>
      <c r="C71" s="8" t="s">
        <v>119</v>
      </c>
      <c r="D71" s="0" t="n">
        <v>173</v>
      </c>
      <c r="E71" s="0" t="str">
        <f aca="false">TEXT(ROUND(5.2/FX,2),"#,##0.00")&amp;" – "&amp;TEXT(ROUND(39/FX,2),"#,##0.00")</f>
        <v>0.72 – 5.42</v>
      </c>
    </row>
    <row r="72" customFormat="false" ht="15" hidden="false" customHeight="false" outlineLevel="0" collapsed="false">
      <c r="A72" s="0" t="s">
        <v>100</v>
      </c>
      <c r="B72" s="0" t="s">
        <v>120</v>
      </c>
      <c r="C72" s="8" t="s">
        <v>121</v>
      </c>
      <c r="D72" s="0" t="n">
        <v>328</v>
      </c>
      <c r="E72" s="0" t="str">
        <f aca="false">TEXT(ROUND(1.24/FX,2),"#,##0.00")&amp;" – "&amp;TEXT(ROUND(44.2/FX,2),"#,##0.00")</f>
        <v>0.17 – 6.14</v>
      </c>
    </row>
    <row r="73" customFormat="false" ht="15" hidden="false" customHeight="false" outlineLevel="0" collapsed="false">
      <c r="A73" s="0" t="s">
        <v>100</v>
      </c>
      <c r="B73" s="0" t="s">
        <v>122</v>
      </c>
      <c r="C73" s="8" t="s">
        <v>123</v>
      </c>
      <c r="D73" s="0" t="n">
        <v>1</v>
      </c>
      <c r="E73" s="0" t="str">
        <f aca="false">TEXT(ROUND(17.55/FX,2),"#,##0.00")</f>
        <v>2.44</v>
      </c>
    </row>
    <row r="74" customFormat="false" ht="15" hidden="false" customHeight="false" outlineLevel="0" collapsed="false">
      <c r="A74" s="0" t="s">
        <v>100</v>
      </c>
      <c r="B74" s="0" t="s">
        <v>122</v>
      </c>
      <c r="C74" s="8" t="s">
        <v>124</v>
      </c>
      <c r="D74" s="0" t="n">
        <v>33</v>
      </c>
      <c r="E74" s="0" t="str">
        <f aca="false">TEXT(ROUND(1.56/FX,2),"#,##0.00")&amp;" – "&amp;TEXT(ROUND(4.03/FX,2),"#,##0.00")</f>
        <v>0.22 – 0.56</v>
      </c>
    </row>
    <row r="75" customFormat="false" ht="15" hidden="false" customHeight="false" outlineLevel="0" collapsed="false">
      <c r="A75" s="0" t="s">
        <v>100</v>
      </c>
      <c r="B75" s="0" t="s">
        <v>122</v>
      </c>
      <c r="C75" s="8" t="s">
        <v>125</v>
      </c>
      <c r="D75" s="0" t="n">
        <v>71</v>
      </c>
      <c r="E75" s="0" t="str">
        <f aca="false">TEXT(ROUND(1.95/FX,2),"#,##0.00")&amp;" – "&amp;TEXT(ROUND(9.75/FX,2),"#,##0.00")</f>
        <v>0.27 – 1.35</v>
      </c>
    </row>
    <row r="76" customFormat="false" ht="15" hidden="false" customHeight="false" outlineLevel="0" collapsed="false">
      <c r="A76" s="0" t="s">
        <v>100</v>
      </c>
      <c r="B76" s="0" t="s">
        <v>126</v>
      </c>
      <c r="C76" s="8" t="s">
        <v>127</v>
      </c>
      <c r="D76" s="0" t="n">
        <v>32</v>
      </c>
      <c r="E76" s="0" t="str">
        <f aca="false">TEXT(ROUND(19.5/FX,2),"#,##0.00")&amp;" – "&amp;TEXT(ROUND(49.4/FX,2),"#,##0.00")</f>
        <v>2.71 – 6.86</v>
      </c>
    </row>
    <row r="77" customFormat="false" ht="15" hidden="false" customHeight="false" outlineLevel="0" collapsed="false">
      <c r="A77" s="0" t="s">
        <v>100</v>
      </c>
      <c r="B77" s="0" t="s">
        <v>128</v>
      </c>
      <c r="C77" s="8" t="s">
        <v>129</v>
      </c>
      <c r="D77" s="0" t="n">
        <v>23</v>
      </c>
      <c r="E77" s="0" t="str">
        <f aca="false">TEXT(ROUND(1.17/FX,2),"#,##0.00")&amp;" – "&amp;TEXT(ROUND(4.06/FX,2),"#,##0.00")</f>
        <v>0.16 – 0.56</v>
      </c>
    </row>
    <row r="78" customFormat="false" ht="15" hidden="false" customHeight="false" outlineLevel="0" collapsed="false">
      <c r="A78" s="0" t="s">
        <v>100</v>
      </c>
      <c r="B78" s="0" t="s">
        <v>128</v>
      </c>
      <c r="C78" s="8" t="s">
        <v>130</v>
      </c>
      <c r="D78" s="0" t="n">
        <v>92</v>
      </c>
      <c r="E78" s="0" t="str">
        <f aca="false">TEXT(ROUND(1.3/FX,2),"#,##0.00")&amp;" – "&amp;TEXT(ROUND(6.53/FX,2),"#,##0.00")</f>
        <v>0.18 – 0.91</v>
      </c>
    </row>
    <row r="79" customFormat="false" ht="15" hidden="false" customHeight="false" outlineLevel="0" collapsed="false">
      <c r="A79" s="0" t="s">
        <v>131</v>
      </c>
      <c r="B79" s="0" t="s">
        <v>132</v>
      </c>
      <c r="C79" s="8" t="s">
        <v>133</v>
      </c>
      <c r="D79" s="0" t="n">
        <v>740</v>
      </c>
      <c r="E79" s="0" t="str">
        <f aca="false">TEXT(ROUND(1.3/FX,2),"#,##0.00")&amp;" – "&amp;TEXT(ROUND(65/FX,2),"#,##0.00")</f>
        <v>0.18 – 9.03</v>
      </c>
    </row>
    <row r="80" customFormat="false" ht="15" hidden="false" customHeight="false" outlineLevel="0" collapsed="false">
      <c r="A80" s="0" t="s">
        <v>131</v>
      </c>
      <c r="B80" s="0" t="s">
        <v>132</v>
      </c>
      <c r="C80" s="8" t="s">
        <v>134</v>
      </c>
      <c r="D80" s="0" t="n">
        <v>264</v>
      </c>
      <c r="E80" s="0" t="str">
        <f aca="false">TEXT(ROUND(2.98/FX,2),"#,##0.00")&amp;" – "&amp;TEXT(ROUND(304.2/FX,2),"#,##0.00")</f>
        <v>0.41 – 42.25</v>
      </c>
    </row>
    <row r="81" customFormat="false" ht="15" hidden="false" customHeight="false" outlineLevel="0" collapsed="false">
      <c r="A81" s="0" t="s">
        <v>131</v>
      </c>
      <c r="B81" s="0" t="s">
        <v>135</v>
      </c>
      <c r="C81" s="8" t="s">
        <v>136</v>
      </c>
      <c r="D81" s="0" t="n">
        <v>122</v>
      </c>
      <c r="E81" s="0" t="str">
        <f aca="false">TEXT(ROUND(1.3/FX,2),"#,##0.00")&amp;" – "&amp;TEXT(ROUND(24.7/FX,2),"#,##0.00")</f>
        <v>0.18 – 3.43</v>
      </c>
    </row>
    <row r="82" customFormat="false" ht="15" hidden="false" customHeight="false" outlineLevel="0" collapsed="false">
      <c r="A82" s="0" t="s">
        <v>131</v>
      </c>
      <c r="B82" s="0" t="s">
        <v>135</v>
      </c>
      <c r="C82" s="8" t="s">
        <v>137</v>
      </c>
      <c r="D82" s="0" t="n">
        <v>159</v>
      </c>
      <c r="E82" s="0" t="str">
        <f aca="false">TEXT(ROUND(1.3/FX,2),"#,##0.00")&amp;" – "&amp;TEXT(ROUND(104/FX,2),"#,##0.00")</f>
        <v>0.18 – 14.44</v>
      </c>
    </row>
    <row r="83" customFormat="false" ht="15" hidden="false" customHeight="false" outlineLevel="0" collapsed="false">
      <c r="A83" s="0" t="s">
        <v>138</v>
      </c>
      <c r="B83" s="0" t="s">
        <v>139</v>
      </c>
      <c r="C83" s="8" t="s">
        <v>140</v>
      </c>
      <c r="D83" s="0" t="n">
        <v>3</v>
      </c>
      <c r="E83" s="0" t="str">
        <f aca="false">TEXT(ROUND(5.2/FX,2),"#,##0.00")&amp;" – "&amp;TEXT(ROUND(13/FX,2),"#,##0.00")</f>
        <v>0.72 – 1.81</v>
      </c>
    </row>
    <row r="84" customFormat="false" ht="15" hidden="false" customHeight="false" outlineLevel="0" collapsed="false">
      <c r="A84" s="0" t="s">
        <v>138</v>
      </c>
      <c r="B84" s="0" t="s">
        <v>139</v>
      </c>
      <c r="C84" s="8" t="s">
        <v>141</v>
      </c>
      <c r="D84" s="0" t="n">
        <v>56</v>
      </c>
      <c r="E84" s="0" t="str">
        <f aca="false">TEXT(ROUND(7.41/FX,2),"#,##0.00")&amp;" – "&amp;TEXT(ROUND(228.8/FX,2),"#,##0.00")</f>
        <v>1.03 – 31.78</v>
      </c>
    </row>
    <row r="85" customFormat="false" ht="15" hidden="false" customHeight="false" outlineLevel="0" collapsed="false">
      <c r="A85" s="0" t="s">
        <v>138</v>
      </c>
      <c r="B85" s="0" t="s">
        <v>139</v>
      </c>
      <c r="C85" s="8" t="s">
        <v>142</v>
      </c>
      <c r="D85" s="0" t="n">
        <v>1</v>
      </c>
      <c r="E85" s="0" t="str">
        <f aca="false">TEXT(ROUND(71.76/FX,2),"#,##0.00")</f>
        <v>9.97</v>
      </c>
    </row>
    <row r="86" customFormat="false" ht="15" hidden="false" customHeight="false" outlineLevel="0" collapsed="false">
      <c r="A86" s="0" t="s">
        <v>138</v>
      </c>
      <c r="B86" s="0" t="s">
        <v>139</v>
      </c>
      <c r="C86" s="8" t="s">
        <v>143</v>
      </c>
      <c r="D86" s="0" t="n">
        <v>8</v>
      </c>
      <c r="E86" s="0" t="str">
        <f aca="false">TEXT(ROUND(1.56/FX,2),"#,##0.00")&amp;" – "&amp;TEXT(ROUND(16.8/FX,2),"#,##0.00")</f>
        <v>0.22 – 2.33</v>
      </c>
    </row>
    <row r="87" customFormat="false" ht="15" hidden="false" customHeight="false" outlineLevel="0" collapsed="false">
      <c r="A87" s="0" t="s">
        <v>138</v>
      </c>
      <c r="B87" s="0" t="s">
        <v>139</v>
      </c>
      <c r="C87" s="8" t="s">
        <v>144</v>
      </c>
      <c r="D87" s="0" t="n">
        <v>22</v>
      </c>
      <c r="E87" s="0" t="str">
        <f aca="false">TEXT(ROUND(36.4/FX,2),"#,##0.00")&amp;" – "&amp;TEXT(ROUND(377/FX,2),"#,##0.00")</f>
        <v>5.06 – 52.36</v>
      </c>
    </row>
    <row r="88" customFormat="false" ht="15" hidden="false" customHeight="false" outlineLevel="0" collapsed="false">
      <c r="A88" s="0" t="s">
        <v>138</v>
      </c>
      <c r="B88" s="0" t="s">
        <v>139</v>
      </c>
      <c r="C88" s="8" t="s">
        <v>145</v>
      </c>
      <c r="D88" s="0" t="n">
        <v>363</v>
      </c>
      <c r="E88" s="0" t="str">
        <f aca="false">TEXT(ROUND(44.07/FX,2),"#,##0.00")&amp;" – "&amp;TEXT(ROUND(422.5/FX,2),"#,##0.00")</f>
        <v>6.12 – 58.68</v>
      </c>
    </row>
    <row r="89" customFormat="false" ht="15" hidden="false" customHeight="false" outlineLevel="0" collapsed="false">
      <c r="A89" s="0" t="s">
        <v>138</v>
      </c>
      <c r="B89" s="0" t="s">
        <v>139</v>
      </c>
      <c r="C89" s="8" t="s">
        <v>146</v>
      </c>
      <c r="D89" s="0" t="n">
        <v>12</v>
      </c>
      <c r="E89" s="0" t="str">
        <f aca="false">TEXT(ROUND(0.85/FX,2),"#,##0.00")&amp;" – "&amp;TEXT(ROUND(11.44/FX,2),"#,##0.00")</f>
        <v>0.12 – 1.59</v>
      </c>
    </row>
    <row r="90" customFormat="false" ht="15" hidden="false" customHeight="false" outlineLevel="0" collapsed="false">
      <c r="A90" s="0" t="s">
        <v>138</v>
      </c>
      <c r="B90" s="0" t="s">
        <v>139</v>
      </c>
      <c r="C90" s="8" t="s">
        <v>147</v>
      </c>
      <c r="D90" s="0" t="n">
        <v>3</v>
      </c>
      <c r="E90" s="0" t="str">
        <f aca="false">TEXT(ROUND(1.18/FX,2),"#,##0.00")&amp;" – "&amp;TEXT(ROUND(1.26/FX,2),"#,##0.00")</f>
        <v>0.16 – 0.18</v>
      </c>
    </row>
    <row r="91" customFormat="false" ht="15" hidden="false" customHeight="false" outlineLevel="0" collapsed="false">
      <c r="A91" s="0" t="s">
        <v>138</v>
      </c>
      <c r="B91" s="0" t="s">
        <v>139</v>
      </c>
      <c r="C91" s="8" t="s">
        <v>148</v>
      </c>
      <c r="D91" s="0" t="n">
        <v>478</v>
      </c>
      <c r="E91" s="0" t="str">
        <f aca="false">TEXT(ROUND(0.51/FX,2),"#,##0.00")&amp;" – "&amp;TEXT(ROUND(78/FX,2),"#,##0.00")</f>
        <v>0.07 – 10.83</v>
      </c>
    </row>
    <row r="92" customFormat="false" ht="15" hidden="false" customHeight="false" outlineLevel="0" collapsed="false">
      <c r="A92" s="0" t="s">
        <v>138</v>
      </c>
      <c r="B92" s="0" t="s">
        <v>139</v>
      </c>
      <c r="C92" s="8" t="s">
        <v>149</v>
      </c>
      <c r="D92" s="0" t="n">
        <v>2</v>
      </c>
      <c r="E92" s="0" t="str">
        <f aca="false">TEXT(ROUND(39/FX,2),"#,##0.00")&amp;" – "&amp;TEXT(ROUND(58.5/FX,2),"#,##0.00")</f>
        <v>5.42 – 8.13</v>
      </c>
    </row>
    <row r="93" customFormat="false" ht="15" hidden="false" customHeight="false" outlineLevel="0" collapsed="false">
      <c r="A93" s="0" t="s">
        <v>138</v>
      </c>
      <c r="B93" s="0" t="s">
        <v>139</v>
      </c>
      <c r="C93" s="8" t="s">
        <v>150</v>
      </c>
      <c r="D93" s="0" t="n">
        <v>32</v>
      </c>
      <c r="E93" s="0" t="str">
        <f aca="false">TEXT(ROUND(0.91/FX,2),"#,##0.00")&amp;" – "&amp;TEXT(ROUND(6.5/FX,2),"#,##0.00")</f>
        <v>0.13 – 0.90</v>
      </c>
    </row>
    <row r="94" customFormat="false" ht="15" hidden="false" customHeight="false" outlineLevel="0" collapsed="false">
      <c r="A94" s="0" t="s">
        <v>138</v>
      </c>
      <c r="B94" s="0" t="s">
        <v>139</v>
      </c>
      <c r="C94" s="8" t="s">
        <v>151</v>
      </c>
      <c r="D94" s="0" t="n">
        <v>22</v>
      </c>
      <c r="E94" s="0" t="str">
        <f aca="false">TEXT(ROUND(1.42/FX,2),"#,##0.00")&amp;" – "&amp;TEXT(ROUND(104/FX,2),"#,##0.00")</f>
        <v>0.20 – 14.44</v>
      </c>
    </row>
    <row r="95" customFormat="false" ht="15" hidden="false" customHeight="false" outlineLevel="0" collapsed="false">
      <c r="A95" s="0" t="s">
        <v>138</v>
      </c>
      <c r="B95" s="0" t="s">
        <v>139</v>
      </c>
      <c r="C95" s="8" t="s">
        <v>152</v>
      </c>
      <c r="D95" s="0" t="n">
        <v>10</v>
      </c>
      <c r="E95" s="0" t="str">
        <f aca="false">TEXT(ROUND(0.98/FX,2),"#,##0.00")&amp;" – "&amp;TEXT(ROUND(3.12/FX,2),"#,##0.00")</f>
        <v>0.14 – 0.43</v>
      </c>
    </row>
    <row r="96" customFormat="false" ht="15" hidden="false" customHeight="false" outlineLevel="0" collapsed="false">
      <c r="A96" s="0" t="s">
        <v>138</v>
      </c>
      <c r="B96" s="0" t="s">
        <v>139</v>
      </c>
      <c r="C96" s="8" t="s">
        <v>153</v>
      </c>
      <c r="D96" s="0" t="n">
        <v>4</v>
      </c>
      <c r="E96" s="0" t="str">
        <f aca="false">TEXT(ROUND(9.13/FX,2),"#,##0.00")&amp;" – "&amp;TEXT(ROUND(33.8/FX,2),"#,##0.00")</f>
        <v>1.27 – 4.69</v>
      </c>
    </row>
    <row r="97" customFormat="false" ht="15" hidden="false" customHeight="false" outlineLevel="0" collapsed="false">
      <c r="A97" s="0" t="s">
        <v>138</v>
      </c>
      <c r="B97" s="0" t="s">
        <v>139</v>
      </c>
      <c r="C97" s="8" t="s">
        <v>154</v>
      </c>
      <c r="D97" s="0" t="n">
        <v>1</v>
      </c>
      <c r="E97" s="0" t="str">
        <f aca="false">TEXT(ROUND(1.43/FX,2),"#,##0.00")</f>
        <v>0.20</v>
      </c>
    </row>
    <row r="98" customFormat="false" ht="15" hidden="false" customHeight="false" outlineLevel="0" collapsed="false">
      <c r="A98" s="0" t="s">
        <v>138</v>
      </c>
      <c r="B98" s="0" t="s">
        <v>139</v>
      </c>
      <c r="C98" s="8" t="s">
        <v>155</v>
      </c>
      <c r="D98" s="0" t="n">
        <v>155</v>
      </c>
      <c r="E98" s="0" t="str">
        <f aca="false">TEXT(ROUND(0.18/FX,2),"#,##0.00")&amp;" – "&amp;TEXT(ROUND(24.7/FX,2),"#,##0.00")</f>
        <v>0.03 – 3.43</v>
      </c>
    </row>
    <row r="99" customFormat="false" ht="15" hidden="false" customHeight="false" outlineLevel="0" collapsed="false">
      <c r="A99" s="0" t="s">
        <v>138</v>
      </c>
      <c r="B99" s="0" t="s">
        <v>139</v>
      </c>
      <c r="C99" s="8" t="s">
        <v>156</v>
      </c>
      <c r="D99" s="0" t="n">
        <v>2</v>
      </c>
      <c r="E99" s="0" t="str">
        <f aca="false">TEXT(ROUND(5.79/FX,2),"#,##0.00")&amp;" – "&amp;TEXT(ROUND(11.7/FX,2),"#,##0.00")</f>
        <v>0.80 – 1.63</v>
      </c>
    </row>
    <row r="100" customFormat="false" ht="15" hidden="false" customHeight="false" outlineLevel="0" collapsed="false">
      <c r="A100" s="0" t="s">
        <v>138</v>
      </c>
      <c r="B100" s="0" t="s">
        <v>139</v>
      </c>
      <c r="C100" s="8" t="s">
        <v>157</v>
      </c>
      <c r="D100" s="0" t="n">
        <v>86</v>
      </c>
      <c r="E100" s="0" t="str">
        <f aca="false">TEXT(ROUND(1.69/FX,2),"#,##0.00")&amp;" – "&amp;TEXT(ROUND(186.55/FX,2),"#,##0.00")</f>
        <v>0.23 – 25.91</v>
      </c>
    </row>
    <row r="101" customFormat="false" ht="15" hidden="false" customHeight="false" outlineLevel="0" collapsed="false">
      <c r="A101" s="0" t="s">
        <v>138</v>
      </c>
      <c r="B101" s="0" t="s">
        <v>139</v>
      </c>
      <c r="C101" s="8" t="s">
        <v>158</v>
      </c>
      <c r="D101" s="0" t="n">
        <v>45</v>
      </c>
      <c r="E101" s="0" t="str">
        <f aca="false">TEXT(ROUND(3.84/FX,2),"#,##0.00")&amp;" – "&amp;TEXT(ROUND(71.5/FX,2),"#,##0.00")</f>
        <v>0.53 – 9.93</v>
      </c>
    </row>
    <row r="102" customFormat="false" ht="15" hidden="false" customHeight="false" outlineLevel="0" collapsed="false">
      <c r="A102" s="0" t="s">
        <v>138</v>
      </c>
      <c r="B102" s="0" t="s">
        <v>139</v>
      </c>
      <c r="C102" s="8" t="s">
        <v>159</v>
      </c>
      <c r="D102" s="0" t="n">
        <v>28</v>
      </c>
      <c r="E102" s="0" t="str">
        <f aca="false">TEXT(ROUND(1.89/FX,2),"#,##0.00")&amp;" – "&amp;TEXT(ROUND(19.5/FX,2),"#,##0.00")</f>
        <v>0.26 – 2.71</v>
      </c>
    </row>
    <row r="103" customFormat="false" ht="15" hidden="false" customHeight="false" outlineLevel="0" collapsed="false">
      <c r="A103" s="0" t="s">
        <v>138</v>
      </c>
      <c r="B103" s="0" t="s">
        <v>160</v>
      </c>
      <c r="C103" s="8" t="s">
        <v>161</v>
      </c>
      <c r="D103" s="0" t="n">
        <v>2</v>
      </c>
      <c r="E103" s="0" t="str">
        <f aca="false">TEXT(ROUND(11.7/FX,2),"#,##0.00")</f>
        <v>1.63</v>
      </c>
    </row>
    <row r="104" customFormat="false" ht="15" hidden="false" customHeight="false" outlineLevel="0" collapsed="false">
      <c r="A104" s="0" t="s">
        <v>138</v>
      </c>
      <c r="B104" s="0" t="s">
        <v>160</v>
      </c>
      <c r="C104" s="8" t="s">
        <v>162</v>
      </c>
      <c r="D104" s="0" t="n">
        <v>4</v>
      </c>
      <c r="E104" s="0" t="str">
        <f aca="false">TEXT(ROUND(31.98/FX,2),"#,##0.00")&amp;" – "&amp;TEXT(ROUND(39/FX,2),"#,##0.00")</f>
        <v>4.44 – 5.42</v>
      </c>
    </row>
    <row r="105" customFormat="false" ht="15" hidden="false" customHeight="false" outlineLevel="0" collapsed="false">
      <c r="A105" s="0" t="s">
        <v>138</v>
      </c>
      <c r="B105" s="0" t="s">
        <v>160</v>
      </c>
      <c r="C105" s="8" t="s">
        <v>163</v>
      </c>
      <c r="D105" s="0" t="n">
        <v>224</v>
      </c>
      <c r="E105" s="0" t="str">
        <f aca="false">TEXT(ROUND(1.9/FX,2),"#,##0.00")&amp;" – "&amp;TEXT(ROUND(884/FX,2),"#,##0.00")</f>
        <v>0.26 – 122.78</v>
      </c>
    </row>
    <row r="106" customFormat="false" ht="15" hidden="false" customHeight="false" outlineLevel="0" collapsed="false">
      <c r="A106" s="0" t="s">
        <v>138</v>
      </c>
      <c r="B106" s="0" t="s">
        <v>160</v>
      </c>
      <c r="C106" s="8" t="s">
        <v>164</v>
      </c>
      <c r="D106" s="0" t="n">
        <v>96</v>
      </c>
      <c r="E106" s="0" t="str">
        <f aca="false">TEXT(ROUND(2.6/FX,2),"#,##0.00")&amp;" – "&amp;TEXT(ROUND(71.5/FX,2),"#,##0.00")</f>
        <v>0.36 – 9.93</v>
      </c>
    </row>
    <row r="107" customFormat="false" ht="15" hidden="false" customHeight="false" outlineLevel="0" collapsed="false">
      <c r="A107" s="0" t="s">
        <v>138</v>
      </c>
      <c r="B107" s="0" t="s">
        <v>160</v>
      </c>
      <c r="C107" s="8" t="s">
        <v>165</v>
      </c>
      <c r="D107" s="0" t="n">
        <v>2</v>
      </c>
      <c r="E107" s="0" t="str">
        <f aca="false">TEXT(ROUND(4.55/FX,2),"#,##0.00")</f>
        <v>0.63</v>
      </c>
    </row>
    <row r="108" customFormat="false" ht="15" hidden="false" customHeight="false" outlineLevel="0" collapsed="false">
      <c r="A108" s="0" t="s">
        <v>138</v>
      </c>
      <c r="B108" s="0" t="s">
        <v>166</v>
      </c>
      <c r="C108" s="8" t="s">
        <v>167</v>
      </c>
      <c r="D108" s="0" t="n">
        <v>49</v>
      </c>
      <c r="E108" s="0" t="str">
        <f aca="false">TEXT(ROUND(0.39/FX,2),"#,##0.00")&amp;" – "&amp;TEXT(ROUND(3.51/FX,2),"#,##0.00")</f>
        <v>0.05 – 0.49</v>
      </c>
    </row>
    <row r="109" customFormat="false" ht="15" hidden="false" customHeight="false" outlineLevel="0" collapsed="false">
      <c r="A109" s="0" t="s">
        <v>138</v>
      </c>
      <c r="B109" s="0" t="s">
        <v>168</v>
      </c>
      <c r="C109" s="8" t="s">
        <v>169</v>
      </c>
      <c r="D109" s="0" t="n">
        <v>1</v>
      </c>
      <c r="E109" s="0" t="str">
        <f aca="false">TEXT(ROUND(0.39/FX,2),"#,##0.00")</f>
        <v>0.05</v>
      </c>
    </row>
    <row r="110" customFormat="false" ht="15" hidden="false" customHeight="false" outlineLevel="0" collapsed="false">
      <c r="A110" s="0" t="s">
        <v>138</v>
      </c>
      <c r="B110" s="0" t="s">
        <v>168</v>
      </c>
      <c r="C110" s="8" t="s">
        <v>170</v>
      </c>
      <c r="D110" s="0" t="n">
        <v>1</v>
      </c>
      <c r="E110" s="0" t="str">
        <f aca="false">TEXT(ROUND(24.7/FX,2),"#,##0.00")</f>
        <v>3.43</v>
      </c>
    </row>
    <row r="111" customFormat="false" ht="15" hidden="false" customHeight="false" outlineLevel="0" collapsed="false">
      <c r="A111" s="0" t="s">
        <v>138</v>
      </c>
      <c r="B111" s="0" t="s">
        <v>168</v>
      </c>
      <c r="C111" s="8" t="s">
        <v>171</v>
      </c>
      <c r="D111" s="0" t="n">
        <v>1</v>
      </c>
      <c r="E111" s="0" t="str">
        <f aca="false">TEXT(ROUND(20.8/FX,2),"#,##0.00")</f>
        <v>2.89</v>
      </c>
    </row>
    <row r="112" customFormat="false" ht="15" hidden="false" customHeight="false" outlineLevel="0" collapsed="false">
      <c r="A112" s="0" t="s">
        <v>138</v>
      </c>
      <c r="B112" s="0" t="s">
        <v>168</v>
      </c>
      <c r="C112" s="8" t="s">
        <v>172</v>
      </c>
      <c r="D112" s="0" t="n">
        <v>2</v>
      </c>
      <c r="E112" s="0" t="str">
        <f aca="false">TEXT(ROUND(14.5/FX,2),"#,##0.00")&amp;" – "&amp;TEXT(ROUND(26/FX,2),"#,##0.00")</f>
        <v>2.01 – 3.61</v>
      </c>
    </row>
    <row r="113" customFormat="false" ht="15" hidden="false" customHeight="false" outlineLevel="0" collapsed="false">
      <c r="A113" s="0" t="s">
        <v>138</v>
      </c>
      <c r="B113" s="0" t="s">
        <v>168</v>
      </c>
      <c r="C113" s="8" t="s">
        <v>173</v>
      </c>
      <c r="D113" s="0" t="n">
        <v>16</v>
      </c>
      <c r="E113" s="0" t="str">
        <f aca="false">TEXT(ROUND(0.9/FX,2),"#,##0.00")&amp;" – "&amp;TEXT(ROUND(3.25/FX,2),"#,##0.00")</f>
        <v>0.13 – 0.45</v>
      </c>
    </row>
    <row r="114" customFormat="false" ht="15" hidden="false" customHeight="false" outlineLevel="0" collapsed="false">
      <c r="A114" s="0" t="s">
        <v>138</v>
      </c>
      <c r="B114" s="0" t="s">
        <v>168</v>
      </c>
      <c r="C114" s="8" t="s">
        <v>174</v>
      </c>
      <c r="D114" s="0" t="n">
        <v>16</v>
      </c>
      <c r="E114" s="0" t="str">
        <f aca="false">TEXT(ROUND(0.39/FX,2),"#,##0.00")&amp;" – "&amp;TEXT(ROUND(6.24/FX,2),"#,##0.00")</f>
        <v>0.05 – 0.87</v>
      </c>
    </row>
    <row r="115" customFormat="false" ht="15" hidden="false" customHeight="false" outlineLevel="0" collapsed="false">
      <c r="A115" s="0" t="s">
        <v>138</v>
      </c>
      <c r="B115" s="0" t="s">
        <v>168</v>
      </c>
      <c r="C115" s="8" t="s">
        <v>175</v>
      </c>
      <c r="D115" s="0" t="n">
        <v>38</v>
      </c>
      <c r="E115" s="0" t="str">
        <f aca="false">TEXT(ROUND(1.1/FX,2),"#,##0.00")&amp;" – "&amp;TEXT(ROUND(51.74/FX,2),"#,##0.00")</f>
        <v>0.15 – 7.19</v>
      </c>
    </row>
    <row r="116" customFormat="false" ht="15" hidden="false" customHeight="false" outlineLevel="0" collapsed="false">
      <c r="A116" s="0" t="s">
        <v>138</v>
      </c>
      <c r="B116" s="0" t="s">
        <v>168</v>
      </c>
      <c r="C116" s="8" t="s">
        <v>176</v>
      </c>
      <c r="D116" s="0" t="n">
        <v>18</v>
      </c>
      <c r="E116" s="0" t="str">
        <f aca="false">TEXT(ROUND(7.97/FX,2),"#,##0.00")&amp;" – "&amp;TEXT(ROUND(49.4/FX,2),"#,##0.00")</f>
        <v>1.11 – 6.86</v>
      </c>
    </row>
    <row r="117" customFormat="false" ht="15" hidden="false" customHeight="false" outlineLevel="0" collapsed="false">
      <c r="A117" s="0" t="s">
        <v>138</v>
      </c>
      <c r="B117" s="0" t="s">
        <v>168</v>
      </c>
      <c r="C117" s="8" t="s">
        <v>177</v>
      </c>
      <c r="D117" s="0" t="n">
        <v>3</v>
      </c>
      <c r="E117" s="0" t="str">
        <f aca="false">TEXT(ROUND(7.8/FX,2),"#,##0.00")&amp;" – "&amp;TEXT(ROUND(16.9/FX,2),"#,##0.00")</f>
        <v>1.08 – 2.35</v>
      </c>
    </row>
    <row r="118" customFormat="false" ht="15" hidden="false" customHeight="false" outlineLevel="0" collapsed="false">
      <c r="A118" s="0" t="s">
        <v>138</v>
      </c>
      <c r="B118" s="0" t="s">
        <v>168</v>
      </c>
      <c r="C118" s="8" t="s">
        <v>178</v>
      </c>
      <c r="D118" s="0" t="n">
        <v>12</v>
      </c>
      <c r="E118" s="0" t="str">
        <f aca="false">TEXT(ROUND(1.15/FX,2),"#,##0.00")&amp;" – "&amp;TEXT(ROUND(2.08/FX,2),"#,##0.00")</f>
        <v>0.16 – 0.29</v>
      </c>
    </row>
    <row r="119" customFormat="false" ht="15" hidden="false" customHeight="false" outlineLevel="0" collapsed="false">
      <c r="A119" s="0" t="s">
        <v>138</v>
      </c>
      <c r="B119" s="0" t="s">
        <v>168</v>
      </c>
      <c r="C119" s="8" t="s">
        <v>179</v>
      </c>
      <c r="D119" s="0" t="n">
        <v>32</v>
      </c>
      <c r="E119" s="0" t="str">
        <f aca="false">TEXT(ROUND(0.98/FX,2),"#,##0.00")&amp;" – "&amp;TEXT(ROUND(2.51/FX,2),"#,##0.00")</f>
        <v>0.14 – 0.35</v>
      </c>
    </row>
    <row r="120" customFormat="false" ht="15" hidden="false" customHeight="false" outlineLevel="0" collapsed="false">
      <c r="A120" s="0" t="s">
        <v>138</v>
      </c>
      <c r="B120" s="0" t="s">
        <v>168</v>
      </c>
      <c r="C120" s="8" t="s">
        <v>180</v>
      </c>
      <c r="D120" s="0" t="n">
        <v>3</v>
      </c>
      <c r="E120" s="0" t="str">
        <f aca="false">TEXT(ROUND(1.5/FX,2),"#,##0.00")&amp;" – "&amp;TEXT(ROUND(4.03/FX,2),"#,##0.00")</f>
        <v>0.21 – 0.56</v>
      </c>
    </row>
    <row r="121" customFormat="false" ht="15" hidden="false" customHeight="false" outlineLevel="0" collapsed="false">
      <c r="A121" s="0" t="s">
        <v>138</v>
      </c>
      <c r="B121" s="0" t="s">
        <v>168</v>
      </c>
      <c r="C121" s="8" t="s">
        <v>181</v>
      </c>
      <c r="D121" s="0" t="n">
        <v>1</v>
      </c>
      <c r="E121" s="0" t="str">
        <f aca="false">TEXT(ROUND(23.4/FX,2),"#,##0.00")</f>
        <v>3.25</v>
      </c>
    </row>
    <row r="122" customFormat="false" ht="15" hidden="false" customHeight="false" outlineLevel="0" collapsed="false">
      <c r="A122" s="0" t="s">
        <v>138</v>
      </c>
      <c r="B122" s="0" t="s">
        <v>168</v>
      </c>
      <c r="C122" s="8" t="s">
        <v>182</v>
      </c>
      <c r="D122" s="0" t="n">
        <v>5</v>
      </c>
      <c r="E122" s="0" t="str">
        <f aca="false">TEXT(ROUND(0.6/FX,2),"#,##0.00")&amp;" – "&amp;TEXT(ROUND(2.21/FX,2),"#,##0.00")</f>
        <v>0.08 – 0.31</v>
      </c>
    </row>
    <row r="123" customFormat="false" ht="15" hidden="false" customHeight="false" outlineLevel="0" collapsed="false">
      <c r="A123" s="0" t="s">
        <v>138</v>
      </c>
      <c r="B123" s="0" t="s">
        <v>168</v>
      </c>
      <c r="C123" s="8" t="s">
        <v>183</v>
      </c>
      <c r="D123" s="0" t="n">
        <v>115</v>
      </c>
      <c r="E123" s="0" t="str">
        <f aca="false">TEXT(ROUND(0.52/FX,2),"#,##0.00")&amp;" – "&amp;TEXT(ROUND(16.9/FX,2),"#,##0.00")</f>
        <v>0.07 – 2.35</v>
      </c>
    </row>
    <row r="124" customFormat="false" ht="15" hidden="false" customHeight="false" outlineLevel="0" collapsed="false">
      <c r="A124" s="0" t="s">
        <v>138</v>
      </c>
      <c r="B124" s="0" t="s">
        <v>168</v>
      </c>
      <c r="C124" s="8" t="s">
        <v>184</v>
      </c>
      <c r="D124" s="0" t="n">
        <v>35</v>
      </c>
      <c r="E124" s="0" t="str">
        <f aca="false">TEXT(ROUND(2.13/FX,2),"#,##0.00")&amp;" – "&amp;TEXT(ROUND(338/FX,2),"#,##0.00")</f>
        <v>0.30 – 46.94</v>
      </c>
    </row>
    <row r="125" customFormat="false" ht="15" hidden="false" customHeight="false" outlineLevel="0" collapsed="false">
      <c r="A125" s="0" t="s">
        <v>138</v>
      </c>
      <c r="B125" s="0" t="s">
        <v>168</v>
      </c>
      <c r="C125" s="8" t="s">
        <v>185</v>
      </c>
      <c r="D125" s="0" t="n">
        <v>1</v>
      </c>
      <c r="E125" s="0" t="str">
        <f aca="false">TEXT(ROUND(23.4/FX,2),"#,##0.00")</f>
        <v>3.25</v>
      </c>
    </row>
    <row r="126" customFormat="false" ht="15" hidden="false" customHeight="false" outlineLevel="0" collapsed="false">
      <c r="A126" s="0" t="s">
        <v>138</v>
      </c>
      <c r="B126" s="0" t="s">
        <v>186</v>
      </c>
      <c r="C126" s="8" t="s">
        <v>187</v>
      </c>
      <c r="D126" s="0" t="n">
        <v>53</v>
      </c>
      <c r="E126" s="0" t="str">
        <f aca="false">TEXT(ROUND(117.39/FX,2),"#,##0.00")&amp;" – "&amp;TEXT(ROUND(209.3/FX,2),"#,##0.00")</f>
        <v>16.30 – 29.07</v>
      </c>
    </row>
    <row r="127" customFormat="false" ht="15" hidden="false" customHeight="false" outlineLevel="0" collapsed="false">
      <c r="A127" s="0" t="s">
        <v>138</v>
      </c>
      <c r="B127" s="0" t="s">
        <v>186</v>
      </c>
      <c r="C127" s="8" t="s">
        <v>188</v>
      </c>
      <c r="D127" s="0" t="n">
        <v>186</v>
      </c>
      <c r="E127" s="0" t="str">
        <f aca="false">TEXT(ROUND(1.69/FX,2),"#,##0.00")&amp;" – "&amp;TEXT(ROUND(257.4/FX,2),"#,##0.00")</f>
        <v>0.23 – 35.75</v>
      </c>
    </row>
    <row r="128" customFormat="false" ht="15" hidden="false" customHeight="false" outlineLevel="0" collapsed="false">
      <c r="A128" s="0" t="s">
        <v>138</v>
      </c>
      <c r="B128" s="0" t="s">
        <v>186</v>
      </c>
      <c r="C128" s="8" t="s">
        <v>189</v>
      </c>
      <c r="D128" s="0" t="n">
        <v>23</v>
      </c>
      <c r="E128" s="0" t="str">
        <f aca="false">TEXT(ROUND(7.44/FX,2),"#,##0.00")&amp;" – "&amp;TEXT(ROUND(100.88/FX,2),"#,##0.00")</f>
        <v>1.03 – 14.01</v>
      </c>
    </row>
    <row r="129" customFormat="false" ht="15" hidden="false" customHeight="false" outlineLevel="0" collapsed="false">
      <c r="A129" s="0" t="s">
        <v>138</v>
      </c>
      <c r="B129" s="0" t="s">
        <v>186</v>
      </c>
      <c r="C129" s="8" t="s">
        <v>190</v>
      </c>
      <c r="D129" s="0" t="n">
        <v>90</v>
      </c>
      <c r="E129" s="0" t="str">
        <f aca="false">TEXT(ROUND(1.56/FX,2),"#,##0.00")&amp;" – "&amp;TEXT(ROUND(101.4/FX,2),"#,##0.00")</f>
        <v>0.22 – 14.08</v>
      </c>
    </row>
    <row r="130" customFormat="false" ht="15" hidden="false" customHeight="false" outlineLevel="0" collapsed="false">
      <c r="A130" s="0" t="s">
        <v>138</v>
      </c>
      <c r="B130" s="0" t="s">
        <v>186</v>
      </c>
      <c r="C130" s="8" t="s">
        <v>191</v>
      </c>
      <c r="D130" s="0" t="n">
        <v>90</v>
      </c>
      <c r="E130" s="0" t="str">
        <f aca="false">TEXT(ROUND(4.68/FX,2),"#,##0.00")&amp;" – "&amp;TEXT(ROUND(420/FX,2),"#,##0.00")</f>
        <v>0.65 – 58.33</v>
      </c>
    </row>
    <row r="131" customFormat="false" ht="15" hidden="false" customHeight="false" outlineLevel="0" collapsed="false">
      <c r="A131" s="0" t="s">
        <v>138</v>
      </c>
      <c r="B131" s="0" t="s">
        <v>186</v>
      </c>
      <c r="C131" s="8" t="s">
        <v>192</v>
      </c>
      <c r="D131" s="0" t="n">
        <v>2</v>
      </c>
      <c r="E131" s="0" t="str">
        <f aca="false">TEXT(ROUND(45.5/FX,2),"#,##0.00")&amp;" – "&amp;TEXT(ROUND(50.7/FX,2),"#,##0.00")</f>
        <v>6.32 – 7.04</v>
      </c>
    </row>
    <row r="132" customFormat="false" ht="15" hidden="false" customHeight="false" outlineLevel="0" collapsed="false">
      <c r="A132" s="0" t="s">
        <v>138</v>
      </c>
      <c r="B132" s="0" t="s">
        <v>186</v>
      </c>
      <c r="C132" s="8" t="s">
        <v>193</v>
      </c>
      <c r="D132" s="0" t="n">
        <v>72</v>
      </c>
      <c r="E132" s="0" t="str">
        <f aca="false">TEXT(ROUND(6.5/FX,2),"#,##0.00")&amp;" – "&amp;TEXT(ROUND(208/FX,2),"#,##0.00")</f>
        <v>0.90 – 28.89</v>
      </c>
    </row>
    <row r="133" customFormat="false" ht="15" hidden="false" customHeight="false" outlineLevel="0" collapsed="false">
      <c r="A133" s="0" t="s">
        <v>138</v>
      </c>
      <c r="B133" s="0" t="s">
        <v>194</v>
      </c>
      <c r="C133" s="8" t="s">
        <v>195</v>
      </c>
      <c r="D133" s="0" t="n">
        <v>47</v>
      </c>
      <c r="E133" s="0" t="str">
        <f aca="false">TEXT(ROUND(6.11/FX,2),"#,##0.00")&amp;" – "&amp;TEXT(ROUND(338/FX,2),"#,##0.00")</f>
        <v>0.85 – 46.94</v>
      </c>
    </row>
    <row r="134" customFormat="false" ht="15" hidden="false" customHeight="false" outlineLevel="0" collapsed="false">
      <c r="A134" s="0" t="s">
        <v>138</v>
      </c>
      <c r="B134" s="0" t="s">
        <v>194</v>
      </c>
      <c r="C134" s="8" t="s">
        <v>196</v>
      </c>
      <c r="D134" s="0" t="n">
        <v>152</v>
      </c>
      <c r="E134" s="0" t="str">
        <f aca="false">TEXT(ROUND(1.17/FX,2),"#,##0.00")&amp;" – "&amp;TEXT(ROUND(858/FX,2),"#,##0.00")</f>
        <v>0.16 – 119.17</v>
      </c>
    </row>
    <row r="135" customFormat="false" ht="15" hidden="false" customHeight="false" outlineLevel="0" collapsed="false">
      <c r="A135" s="0" t="s">
        <v>138</v>
      </c>
      <c r="B135" s="0" t="s">
        <v>194</v>
      </c>
      <c r="C135" s="8" t="s">
        <v>197</v>
      </c>
      <c r="D135" s="0" t="n">
        <v>233</v>
      </c>
      <c r="E135" s="0" t="str">
        <f aca="false">TEXT(ROUND(13/FX,2),"#,##0.00")&amp;" – "&amp;TEXT(ROUND(277.16/FX,2),"#,##0.00")</f>
        <v>1.81 – 38.49</v>
      </c>
    </row>
    <row r="136" customFormat="false" ht="15" hidden="false" customHeight="false" outlineLevel="0" collapsed="false">
      <c r="A136" s="0" t="s">
        <v>138</v>
      </c>
      <c r="B136" s="0" t="s">
        <v>194</v>
      </c>
      <c r="C136" s="8" t="s">
        <v>198</v>
      </c>
      <c r="D136" s="0" t="n">
        <v>53</v>
      </c>
      <c r="E136" s="0" t="str">
        <f aca="false">TEXT(ROUND(7.44/FX,2),"#,##0.00")&amp;" – "&amp;TEXT(ROUND(809.9/FX,2),"#,##0.00")</f>
        <v>1.03 – 112.49</v>
      </c>
    </row>
    <row r="137" customFormat="false" ht="15" hidden="false" customHeight="false" outlineLevel="0" collapsed="false">
      <c r="A137" s="0" t="s">
        <v>138</v>
      </c>
      <c r="B137" s="0" t="s">
        <v>194</v>
      </c>
      <c r="C137" s="8" t="s">
        <v>199</v>
      </c>
      <c r="D137" s="0" t="n">
        <v>58</v>
      </c>
      <c r="E137" s="0" t="str">
        <f aca="false">TEXT(ROUND(3.51/FX,2),"#,##0.00")&amp;" – "&amp;TEXT(ROUND(241/FX,2),"#,##0.00")</f>
        <v>0.49 – 33.47</v>
      </c>
    </row>
    <row r="138" customFormat="false" ht="15" hidden="false" customHeight="false" outlineLevel="0" collapsed="false">
      <c r="A138" s="0" t="s">
        <v>138</v>
      </c>
      <c r="B138" s="0" t="s">
        <v>194</v>
      </c>
      <c r="C138" s="8" t="s">
        <v>200</v>
      </c>
      <c r="D138" s="0" t="n">
        <v>12</v>
      </c>
      <c r="E138" s="0" t="str">
        <f aca="false">TEXT(ROUND(3.9/FX,2),"#,##0.00")&amp;" – "&amp;TEXT(ROUND(116.87/FX,2),"#,##0.00")</f>
        <v>0.54 – 16.23</v>
      </c>
    </row>
    <row r="139" customFormat="false" ht="15" hidden="false" customHeight="false" outlineLevel="0" collapsed="false">
      <c r="A139" s="0" t="s">
        <v>138</v>
      </c>
      <c r="B139" s="0" t="s">
        <v>194</v>
      </c>
      <c r="C139" s="8" t="s">
        <v>201</v>
      </c>
      <c r="D139" s="0" t="n">
        <v>34</v>
      </c>
      <c r="E139" s="0" t="str">
        <f aca="false">TEXT(ROUND(2.29/FX,2),"#,##0.00")&amp;" – "&amp;TEXT(ROUND(711.1/FX,2),"#,##0.00")</f>
        <v>0.32 – 98.76</v>
      </c>
    </row>
    <row r="140" customFormat="false" ht="15" hidden="false" customHeight="false" outlineLevel="0" collapsed="false">
      <c r="A140" s="0" t="s">
        <v>138</v>
      </c>
      <c r="B140" s="0" t="s">
        <v>194</v>
      </c>
      <c r="C140" s="8" t="s">
        <v>202</v>
      </c>
      <c r="D140" s="0" t="n">
        <v>1</v>
      </c>
      <c r="E140" s="0" t="str">
        <f aca="false">TEXT(ROUND(54.83/FX,2),"#,##0.00")</f>
        <v>7.62</v>
      </c>
    </row>
    <row r="141" customFormat="false" ht="15" hidden="false" customHeight="false" outlineLevel="0" collapsed="false">
      <c r="A141" s="0" t="s">
        <v>138</v>
      </c>
      <c r="B141" s="0" t="s">
        <v>194</v>
      </c>
      <c r="C141" s="8" t="s">
        <v>203</v>
      </c>
      <c r="D141" s="0" t="n">
        <v>19</v>
      </c>
      <c r="E141" s="0" t="str">
        <f aca="false">TEXT(ROUND(24.57/FX,2),"#,##0.00")&amp;" – "&amp;TEXT(ROUND(47.8/FX,2),"#,##0.00")</f>
        <v>3.41 – 6.64</v>
      </c>
    </row>
    <row r="142" customFormat="false" ht="15" hidden="false" customHeight="false" outlineLevel="0" collapsed="false">
      <c r="A142" s="0" t="s">
        <v>138</v>
      </c>
      <c r="B142" s="0" t="s">
        <v>194</v>
      </c>
      <c r="C142" s="8" t="s">
        <v>204</v>
      </c>
      <c r="D142" s="0" t="n">
        <v>9</v>
      </c>
      <c r="E142" s="0" t="str">
        <f aca="false">TEXT(ROUND(31.07/FX,2),"#,##0.00")&amp;" – "&amp;TEXT(ROUND(45.3/FX,2),"#,##0.00")</f>
        <v>4.32 – 6.29</v>
      </c>
    </row>
    <row r="143" customFormat="false" ht="15" hidden="false" customHeight="false" outlineLevel="0" collapsed="false">
      <c r="A143" s="0" t="s">
        <v>138</v>
      </c>
      <c r="B143" s="0" t="s">
        <v>194</v>
      </c>
      <c r="C143" s="8" t="s">
        <v>205</v>
      </c>
      <c r="D143" s="0" t="n">
        <v>1</v>
      </c>
      <c r="E143" s="0" t="str">
        <f aca="false">TEXT(ROUND(26.52/FX,2),"#,##0.00")</f>
        <v>3.68</v>
      </c>
    </row>
    <row r="144" customFormat="false" ht="15" hidden="false" customHeight="false" outlineLevel="0" collapsed="false">
      <c r="A144" s="0" t="s">
        <v>138</v>
      </c>
      <c r="B144" s="0" t="s">
        <v>194</v>
      </c>
      <c r="C144" s="8" t="s">
        <v>206</v>
      </c>
      <c r="D144" s="0" t="n">
        <v>64</v>
      </c>
      <c r="E144" s="0" t="str">
        <f aca="false">TEXT(ROUND(5.2/FX,2),"#,##0.00")&amp;" – "&amp;TEXT(ROUND(80.6/FX,2),"#,##0.00")</f>
        <v>0.72 – 11.19</v>
      </c>
    </row>
    <row r="145" customFormat="false" ht="15" hidden="false" customHeight="false" outlineLevel="0" collapsed="false">
      <c r="A145" s="0" t="s">
        <v>138</v>
      </c>
      <c r="B145" s="0" t="s">
        <v>194</v>
      </c>
      <c r="C145" s="8" t="s">
        <v>207</v>
      </c>
      <c r="D145" s="0" t="n">
        <v>11</v>
      </c>
      <c r="E145" s="0" t="str">
        <f aca="false">TEXT(ROUND(4.94/FX,2),"#,##0.00")&amp;" – "&amp;TEXT(ROUND(32.5/FX,2),"#,##0.00")</f>
        <v>0.69 – 4.51</v>
      </c>
    </row>
    <row r="146" customFormat="false" ht="15" hidden="false" customHeight="false" outlineLevel="0" collapsed="false">
      <c r="A146" s="0" t="s">
        <v>138</v>
      </c>
      <c r="B146" s="0" t="s">
        <v>194</v>
      </c>
      <c r="C146" s="8" t="s">
        <v>208</v>
      </c>
      <c r="D146" s="0" t="n">
        <v>2</v>
      </c>
      <c r="E146" s="0" t="str">
        <f aca="false">TEXT(ROUND(9.23/FX,2),"#,##0.00")&amp;" – "&amp;TEXT(ROUND(15.6/FX,2),"#,##0.00")</f>
        <v>1.28 – 2.17</v>
      </c>
    </row>
    <row r="147" customFormat="false" ht="15" hidden="false" customHeight="false" outlineLevel="0" collapsed="false">
      <c r="A147" s="0" t="s">
        <v>138</v>
      </c>
      <c r="B147" s="0" t="s">
        <v>194</v>
      </c>
      <c r="C147" s="8" t="s">
        <v>209</v>
      </c>
      <c r="D147" s="0" t="n">
        <v>30</v>
      </c>
      <c r="E147" s="0" t="str">
        <f aca="false">TEXT(ROUND(1.04/FX,2),"#,##0.00")&amp;" – "&amp;TEXT(ROUND(15.6/FX,2),"#,##0.00")</f>
        <v>0.14 – 2.17</v>
      </c>
    </row>
    <row r="148" customFormat="false" ht="15" hidden="false" customHeight="false" outlineLevel="0" collapsed="false">
      <c r="A148" s="0" t="s">
        <v>138</v>
      </c>
      <c r="B148" s="0" t="s">
        <v>194</v>
      </c>
      <c r="C148" s="8" t="s">
        <v>210</v>
      </c>
      <c r="D148" s="0" t="n">
        <v>14</v>
      </c>
      <c r="E148" s="0" t="str">
        <f aca="false">TEXT(ROUND(10.4/FX,2),"#,##0.00")&amp;" – "&amp;TEXT(ROUND(157.3/FX,2),"#,##0.00")</f>
        <v>1.44 – 21.85</v>
      </c>
    </row>
    <row r="149" customFormat="false" ht="15" hidden="false" customHeight="false" outlineLevel="0" collapsed="false">
      <c r="A149" s="0" t="s">
        <v>138</v>
      </c>
      <c r="B149" s="0" t="s">
        <v>194</v>
      </c>
      <c r="C149" s="8" t="s">
        <v>211</v>
      </c>
      <c r="D149" s="0" t="n">
        <v>192</v>
      </c>
      <c r="E149" s="0" t="str">
        <f aca="false">TEXT(ROUND(3.53/FX,2),"#,##0.00")&amp;" – "&amp;TEXT(ROUND(871/FX,2),"#,##0.00")</f>
        <v>0.49 – 120.97</v>
      </c>
    </row>
    <row r="150" customFormat="false" ht="15" hidden="false" customHeight="false" outlineLevel="0" collapsed="false">
      <c r="A150" s="0" t="s">
        <v>138</v>
      </c>
      <c r="B150" s="0" t="s">
        <v>194</v>
      </c>
      <c r="C150" s="8" t="s">
        <v>212</v>
      </c>
      <c r="D150" s="0" t="n">
        <v>10</v>
      </c>
      <c r="E150" s="0" t="str">
        <f aca="false">TEXT(ROUND(10.4/FX,2),"#,##0.00")&amp;" – "&amp;TEXT(ROUND(49.4/FX,2),"#,##0.00")</f>
        <v>1.44 – 6.86</v>
      </c>
    </row>
    <row r="151" customFormat="false" ht="15" hidden="false" customHeight="false" outlineLevel="0" collapsed="false">
      <c r="A151" s="0" t="s">
        <v>138</v>
      </c>
      <c r="B151" s="0" t="s">
        <v>194</v>
      </c>
      <c r="C151" s="8" t="s">
        <v>213</v>
      </c>
      <c r="D151" s="0" t="n">
        <v>73</v>
      </c>
      <c r="E151" s="0" t="str">
        <f aca="false">TEXT(ROUND(0.26/FX,2),"#,##0.00")&amp;" – "&amp;TEXT(ROUND(20.93/FX,2),"#,##0.00")</f>
        <v>0.04 – 2.91</v>
      </c>
    </row>
    <row r="152" customFormat="false" ht="15" hidden="false" customHeight="false" outlineLevel="0" collapsed="false">
      <c r="A152" s="0" t="s">
        <v>138</v>
      </c>
      <c r="B152" s="0" t="s">
        <v>214</v>
      </c>
      <c r="C152" s="8" t="s">
        <v>215</v>
      </c>
      <c r="D152" s="0" t="n">
        <v>6</v>
      </c>
      <c r="E152" s="0" t="str">
        <f aca="false">TEXT(ROUND(1.04/FX,2),"#,##0.00")&amp;" – "&amp;TEXT(ROUND(1.63/FX,2),"#,##0.00")</f>
        <v>0.14 – 0.23</v>
      </c>
    </row>
    <row r="153" customFormat="false" ht="15" hidden="false" customHeight="false" outlineLevel="0" collapsed="false">
      <c r="A153" s="0" t="s">
        <v>138</v>
      </c>
      <c r="B153" s="0" t="s">
        <v>214</v>
      </c>
      <c r="C153" s="8" t="s">
        <v>216</v>
      </c>
      <c r="D153" s="0" t="n">
        <v>27</v>
      </c>
      <c r="E153" s="0" t="str">
        <f aca="false">TEXT(ROUND(3.9/FX,2),"#,##0.00")&amp;" – "&amp;TEXT(ROUND(15.6/FX,2),"#,##0.00")</f>
        <v>0.54 – 2.17</v>
      </c>
    </row>
    <row r="154" customFormat="false" ht="15" hidden="false" customHeight="false" outlineLevel="0" collapsed="false">
      <c r="A154" s="0" t="s">
        <v>138</v>
      </c>
      <c r="B154" s="0" t="s">
        <v>214</v>
      </c>
      <c r="C154" s="8" t="s">
        <v>217</v>
      </c>
      <c r="D154" s="0" t="n">
        <v>15</v>
      </c>
      <c r="E154" s="0" t="str">
        <f aca="false">TEXT(ROUND(13/FX,2),"#,##0.00")&amp;" – "&amp;TEXT(ROUND(26/FX,2),"#,##0.00")</f>
        <v>1.81 – 3.61</v>
      </c>
    </row>
    <row r="155" customFormat="false" ht="15" hidden="false" customHeight="false" outlineLevel="0" collapsed="false">
      <c r="A155" s="0" t="s">
        <v>138</v>
      </c>
      <c r="B155" s="0" t="s">
        <v>214</v>
      </c>
      <c r="C155" s="8" t="s">
        <v>218</v>
      </c>
      <c r="D155" s="0" t="n">
        <v>43</v>
      </c>
      <c r="E155" s="0" t="str">
        <f aca="false">TEXT(ROUND(0.13/FX,2),"#,##0.00")&amp;" – "&amp;TEXT(ROUND(2.99/FX,2),"#,##0.00")</f>
        <v>0.02 – 0.42</v>
      </c>
    </row>
    <row r="156" customFormat="false" ht="15" hidden="false" customHeight="false" outlineLevel="0" collapsed="false">
      <c r="A156" s="0" t="s">
        <v>138</v>
      </c>
      <c r="B156" s="0" t="s">
        <v>214</v>
      </c>
      <c r="C156" s="8" t="s">
        <v>219</v>
      </c>
      <c r="D156" s="0" t="n">
        <v>11</v>
      </c>
      <c r="E156" s="0" t="str">
        <f aca="false">TEXT(ROUND(2.21/FX,2),"#,##0.00")&amp;" – "&amp;TEXT(ROUND(4.16/FX,2),"#,##0.00")</f>
        <v>0.31 – 0.58</v>
      </c>
    </row>
    <row r="157" customFormat="false" ht="15" hidden="false" customHeight="false" outlineLevel="0" collapsed="false">
      <c r="A157" s="0" t="s">
        <v>138</v>
      </c>
      <c r="B157" s="0" t="s">
        <v>214</v>
      </c>
      <c r="C157" s="8" t="s">
        <v>220</v>
      </c>
      <c r="D157" s="0" t="n">
        <v>191</v>
      </c>
      <c r="E157" s="0" t="str">
        <f aca="false">TEXT(ROUND(0.6/FX,2),"#,##0.00")&amp;" – "&amp;TEXT(ROUND(195/FX,2),"#,##0.00")</f>
        <v>0.08 – 27.08</v>
      </c>
    </row>
    <row r="158" customFormat="false" ht="15" hidden="false" customHeight="false" outlineLevel="0" collapsed="false">
      <c r="A158" s="0" t="s">
        <v>138</v>
      </c>
      <c r="B158" s="0" t="s">
        <v>214</v>
      </c>
      <c r="C158" s="8" t="s">
        <v>221</v>
      </c>
      <c r="D158" s="0" t="n">
        <v>1</v>
      </c>
      <c r="E158" s="0" t="str">
        <f aca="false">TEXT(ROUND(2/FX,2),"#,##0.00")</f>
        <v>0.28</v>
      </c>
    </row>
    <row r="159" customFormat="false" ht="15" hidden="false" customHeight="false" outlineLevel="0" collapsed="false">
      <c r="A159" s="0" t="s">
        <v>138</v>
      </c>
      <c r="B159" s="0" t="s">
        <v>214</v>
      </c>
      <c r="C159" s="8" t="s">
        <v>222</v>
      </c>
      <c r="D159" s="0" t="n">
        <v>91</v>
      </c>
      <c r="E159" s="0" t="str">
        <f aca="false">TEXT(ROUND(8.06/FX,2),"#,##0.00")&amp;" – "&amp;TEXT(ROUND(897/FX,2),"#,##0.00")</f>
        <v>1.12 – 124.58</v>
      </c>
    </row>
    <row r="160" customFormat="false" ht="15" hidden="false" customHeight="false" outlineLevel="0" collapsed="false">
      <c r="A160" s="0" t="s">
        <v>138</v>
      </c>
      <c r="B160" s="0" t="s">
        <v>214</v>
      </c>
      <c r="C160" s="8" t="s">
        <v>223</v>
      </c>
      <c r="D160" s="0" t="n">
        <v>2</v>
      </c>
      <c r="E160" s="0" t="str">
        <f aca="false">TEXT(ROUND(1.3/FX,2),"#,##0.00")</f>
        <v>0.18</v>
      </c>
    </row>
    <row r="161" customFormat="false" ht="15" hidden="false" customHeight="false" outlineLevel="0" collapsed="false">
      <c r="A161" s="0" t="s">
        <v>138</v>
      </c>
      <c r="B161" s="0" t="s">
        <v>214</v>
      </c>
      <c r="C161" s="8" t="s">
        <v>224</v>
      </c>
      <c r="D161" s="0" t="n">
        <v>2</v>
      </c>
      <c r="E161" s="0" t="str">
        <f aca="false">TEXT(ROUND(0.78/FX,2),"#,##0.00")&amp;" – "&amp;TEXT(ROUND(1.95/FX,2),"#,##0.00")</f>
        <v>0.11 – 0.27</v>
      </c>
    </row>
    <row r="162" customFormat="false" ht="15" hidden="false" customHeight="false" outlineLevel="0" collapsed="false">
      <c r="A162" s="0" t="s">
        <v>138</v>
      </c>
      <c r="B162" s="0" t="s">
        <v>214</v>
      </c>
      <c r="C162" s="8" t="s">
        <v>225</v>
      </c>
      <c r="D162" s="0" t="n">
        <v>89</v>
      </c>
      <c r="E162" s="0" t="str">
        <f aca="false">TEXT(ROUND(0.35/FX,2),"#,##0.00")&amp;" – "&amp;TEXT(ROUND(4.6/FX,2),"#,##0.00")</f>
        <v>0.05 – 0.64</v>
      </c>
    </row>
    <row r="163" customFormat="false" ht="15" hidden="false" customHeight="false" outlineLevel="0" collapsed="false">
      <c r="A163" s="0" t="s">
        <v>226</v>
      </c>
      <c r="B163" s="0" t="s">
        <v>227</v>
      </c>
      <c r="C163" s="8" t="s">
        <v>228</v>
      </c>
      <c r="D163" s="0" t="n">
        <v>2</v>
      </c>
      <c r="E163" s="0" t="str">
        <f aca="false">TEXT(ROUND(92.63/FX,2),"#,##0.00")&amp;" – "&amp;TEXT(ROUND(98.8/FX,2),"#,##0.00")</f>
        <v>12.87 – 13.72</v>
      </c>
    </row>
    <row r="164" customFormat="false" ht="15" hidden="false" customHeight="false" outlineLevel="0" collapsed="false">
      <c r="A164" s="0" t="s">
        <v>226</v>
      </c>
      <c r="B164" s="0" t="s">
        <v>227</v>
      </c>
      <c r="C164" s="8" t="s">
        <v>229</v>
      </c>
      <c r="D164" s="0" t="n">
        <v>21</v>
      </c>
      <c r="E164" s="0" t="str">
        <f aca="false">TEXT(ROUND(18.2/FX,2),"#,##0.00")&amp;" – "&amp;TEXT(ROUND(65/FX,2),"#,##0.00")</f>
        <v>2.53 – 9.03</v>
      </c>
    </row>
    <row r="165" customFormat="false" ht="15" hidden="false" customHeight="false" outlineLevel="0" collapsed="false">
      <c r="A165" s="0" t="s">
        <v>226</v>
      </c>
      <c r="B165" s="0" t="s">
        <v>227</v>
      </c>
      <c r="C165" s="8" t="s">
        <v>230</v>
      </c>
      <c r="D165" s="0" t="n">
        <v>3</v>
      </c>
      <c r="E165" s="0" t="str">
        <f aca="false">TEXT(ROUND(11.7/FX,2),"#,##0.00")&amp;" – "&amp;TEXT(ROUND(58.5/FX,2),"#,##0.00")</f>
        <v>1.63 – 8.13</v>
      </c>
    </row>
    <row r="166" customFormat="false" ht="15" hidden="false" customHeight="false" outlineLevel="0" collapsed="false">
      <c r="A166" s="0" t="s">
        <v>226</v>
      </c>
      <c r="B166" s="0" t="s">
        <v>227</v>
      </c>
      <c r="C166" s="8" t="s">
        <v>231</v>
      </c>
      <c r="D166" s="0" t="n">
        <v>4</v>
      </c>
      <c r="E166" s="0" t="str">
        <f aca="false">TEXT(ROUND(49.4/FX,2),"#,##0.00")&amp;" – "&amp;TEXT(ROUND(84.5/FX,2),"#,##0.00")</f>
        <v>6.86 – 11.74</v>
      </c>
    </row>
    <row r="167" customFormat="false" ht="15" hidden="false" customHeight="false" outlineLevel="0" collapsed="false">
      <c r="A167" s="0" t="s">
        <v>226</v>
      </c>
      <c r="B167" s="0" t="s">
        <v>227</v>
      </c>
      <c r="C167" s="8" t="s">
        <v>232</v>
      </c>
      <c r="D167" s="0" t="n">
        <v>3</v>
      </c>
      <c r="E167" s="0" t="str">
        <f aca="false">TEXT(ROUND(50.55/FX,2),"#,##0.00")&amp;" – "&amp;TEXT(ROUND(78/FX,2),"#,##0.00")</f>
        <v>7.02 – 10.83</v>
      </c>
    </row>
    <row r="168" customFormat="false" ht="15" hidden="false" customHeight="false" outlineLevel="0" collapsed="false">
      <c r="A168" s="0" t="s">
        <v>226</v>
      </c>
      <c r="B168" s="0" t="s">
        <v>227</v>
      </c>
      <c r="C168" s="8" t="s">
        <v>233</v>
      </c>
      <c r="D168" s="0" t="n">
        <v>1</v>
      </c>
      <c r="E168" s="0" t="str">
        <f aca="false">TEXT(ROUND(19.25/FX,2),"#,##0.00")</f>
        <v>2.67</v>
      </c>
    </row>
    <row r="169" customFormat="false" ht="15" hidden="false" customHeight="false" outlineLevel="0" collapsed="false">
      <c r="A169" s="0" t="s">
        <v>226</v>
      </c>
      <c r="B169" s="0" t="s">
        <v>227</v>
      </c>
      <c r="C169" s="8" t="s">
        <v>234</v>
      </c>
      <c r="D169" s="0" t="n">
        <v>24</v>
      </c>
      <c r="E169" s="0" t="str">
        <f aca="false">TEXT(ROUND(46.8/FX,2),"#,##0.00")&amp;" – "&amp;TEXT(ROUND(81.9/FX,2),"#,##0.00")</f>
        <v>6.50 – 11.38</v>
      </c>
    </row>
    <row r="170" customFormat="false" ht="15" hidden="false" customHeight="false" outlineLevel="0" collapsed="false">
      <c r="A170" s="0" t="s">
        <v>226</v>
      </c>
      <c r="B170" s="0" t="s">
        <v>227</v>
      </c>
      <c r="C170" s="8" t="s">
        <v>235</v>
      </c>
      <c r="D170" s="0" t="n">
        <v>2</v>
      </c>
      <c r="E170" s="0" t="str">
        <f aca="false">TEXT(ROUND(53.43/FX,2),"#,##0.00")</f>
        <v>7.42</v>
      </c>
    </row>
    <row r="171" customFormat="false" ht="15" hidden="false" customHeight="false" outlineLevel="0" collapsed="false">
      <c r="A171" s="0" t="s">
        <v>226</v>
      </c>
      <c r="B171" s="0" t="s">
        <v>227</v>
      </c>
      <c r="C171" s="8" t="s">
        <v>236</v>
      </c>
      <c r="D171" s="0" t="n">
        <v>2</v>
      </c>
      <c r="E171" s="0" t="str">
        <f aca="false">TEXT(ROUND(32.38/FX,2),"#,##0.00")&amp;" – "&amp;TEXT(ROUND(99.29/FX,2),"#,##0.00")</f>
        <v>4.50 – 13.79</v>
      </c>
    </row>
    <row r="172" customFormat="false" ht="15" hidden="false" customHeight="false" outlineLevel="0" collapsed="false">
      <c r="A172" s="0" t="s">
        <v>226</v>
      </c>
      <c r="B172" s="0" t="s">
        <v>237</v>
      </c>
      <c r="C172" s="8" t="s">
        <v>238</v>
      </c>
      <c r="D172" s="0" t="n">
        <v>1</v>
      </c>
      <c r="E172" s="0" t="str">
        <f aca="false">TEXT(ROUND(9.1/FX,2),"#,##0.00")</f>
        <v>1.26</v>
      </c>
    </row>
    <row r="173" customFormat="false" ht="15" hidden="false" customHeight="false" outlineLevel="0" collapsed="false">
      <c r="A173" s="0" t="s">
        <v>226</v>
      </c>
      <c r="B173" s="0" t="s">
        <v>237</v>
      </c>
      <c r="C173" s="8" t="s">
        <v>239</v>
      </c>
      <c r="D173" s="0" t="n">
        <v>22</v>
      </c>
      <c r="E173" s="0" t="str">
        <f aca="false">TEXT(ROUND(1.04/FX,2),"#,##0.00")&amp;" – "&amp;TEXT(ROUND(19.5/FX,2),"#,##0.00")</f>
        <v>0.14 – 2.71</v>
      </c>
    </row>
    <row r="174" customFormat="false" ht="15" hidden="false" customHeight="false" outlineLevel="0" collapsed="false">
      <c r="A174" s="0" t="s">
        <v>226</v>
      </c>
      <c r="B174" s="0" t="s">
        <v>237</v>
      </c>
      <c r="C174" s="8" t="s">
        <v>240</v>
      </c>
      <c r="D174" s="0" t="n">
        <v>11</v>
      </c>
      <c r="E174" s="0" t="str">
        <f aca="false">TEXT(ROUND(2.34/FX,2),"#,##0.00")&amp;" – "&amp;TEXT(ROUND(63.05/FX,2),"#,##0.00")</f>
        <v>0.33 – 8.76</v>
      </c>
    </row>
    <row r="175" customFormat="false" ht="15" hidden="false" customHeight="false" outlineLevel="0" collapsed="false">
      <c r="A175" s="0" t="s">
        <v>226</v>
      </c>
      <c r="B175" s="0" t="s">
        <v>237</v>
      </c>
      <c r="C175" s="8" t="s">
        <v>241</v>
      </c>
      <c r="D175" s="0" t="n">
        <v>2</v>
      </c>
      <c r="E175" s="0" t="str">
        <f aca="false">TEXT(ROUND(2/FX,2),"#,##0.00")&amp;" – "&amp;TEXT(ROUND(3/FX,2),"#,##0.00")</f>
        <v>0.28 – 0.42</v>
      </c>
    </row>
    <row r="176" customFormat="false" ht="15" hidden="false" customHeight="false" outlineLevel="0" collapsed="false">
      <c r="A176" s="0" t="s">
        <v>226</v>
      </c>
      <c r="B176" s="0" t="s">
        <v>237</v>
      </c>
      <c r="C176" s="8" t="s">
        <v>242</v>
      </c>
      <c r="D176" s="0" t="n">
        <v>2</v>
      </c>
      <c r="E176" s="0" t="str">
        <f aca="false">TEXT(ROUND(0.54/FX,2),"#,##0.00")</f>
        <v>0.08</v>
      </c>
    </row>
    <row r="177" customFormat="false" ht="15" hidden="false" customHeight="false" outlineLevel="0" collapsed="false">
      <c r="A177" s="0" t="s">
        <v>226</v>
      </c>
      <c r="B177" s="0" t="s">
        <v>237</v>
      </c>
      <c r="C177" s="8" t="s">
        <v>243</v>
      </c>
      <c r="D177" s="0" t="n">
        <v>2</v>
      </c>
      <c r="E177" s="0" t="str">
        <f aca="false">TEXT(ROUND(13/FX,2),"#,##0.00")&amp;" – "&amp;TEXT(ROUND(25/FX,2),"#,##0.00")</f>
        <v>1.81 – 3.47</v>
      </c>
    </row>
    <row r="178" customFormat="false" ht="15" hidden="false" customHeight="false" outlineLevel="0" collapsed="false">
      <c r="A178" s="0" t="s">
        <v>226</v>
      </c>
      <c r="B178" s="0" t="s">
        <v>237</v>
      </c>
      <c r="C178" s="8" t="s">
        <v>244</v>
      </c>
      <c r="D178" s="0" t="n">
        <v>2</v>
      </c>
      <c r="E178" s="0" t="str">
        <f aca="false">TEXT(ROUND(100/FX,2),"#,##0.00")&amp;" – "&amp;TEXT(ROUND(117/FX,2),"#,##0.00")</f>
        <v>13.89 – 16.25</v>
      </c>
    </row>
    <row r="179" customFormat="false" ht="15" hidden="false" customHeight="false" outlineLevel="0" collapsed="false">
      <c r="A179" s="0" t="s">
        <v>226</v>
      </c>
      <c r="B179" s="0" t="s">
        <v>237</v>
      </c>
      <c r="C179" s="8" t="s">
        <v>245</v>
      </c>
      <c r="D179" s="0" t="n">
        <v>1</v>
      </c>
      <c r="E179" s="0" t="str">
        <f aca="false">TEXT(ROUND(6.5/FX,2),"#,##0.00")</f>
        <v>0.90</v>
      </c>
    </row>
    <row r="180" customFormat="false" ht="15" hidden="false" customHeight="false" outlineLevel="0" collapsed="false">
      <c r="A180" s="0" t="s">
        <v>226</v>
      </c>
      <c r="B180" s="0" t="s">
        <v>237</v>
      </c>
      <c r="C180" s="8" t="s">
        <v>246</v>
      </c>
      <c r="D180" s="0" t="n">
        <v>2</v>
      </c>
      <c r="E180" s="0" t="str">
        <f aca="false">TEXT(ROUND(29.87/FX,2),"#,##0.00")</f>
        <v>4.15</v>
      </c>
    </row>
    <row r="181" customFormat="false" ht="15" hidden="false" customHeight="false" outlineLevel="0" collapsed="false">
      <c r="A181" s="0" t="s">
        <v>226</v>
      </c>
      <c r="B181" s="0" t="s">
        <v>237</v>
      </c>
      <c r="C181" s="8" t="s">
        <v>247</v>
      </c>
      <c r="D181" s="0" t="n">
        <v>1</v>
      </c>
      <c r="E181" s="0" t="str">
        <f aca="false">TEXT(ROUND(23.4/FX,2),"#,##0.00")</f>
        <v>3.25</v>
      </c>
    </row>
    <row r="182" customFormat="false" ht="15" hidden="false" customHeight="false" outlineLevel="0" collapsed="false">
      <c r="A182" s="0" t="s">
        <v>226</v>
      </c>
      <c r="B182" s="0" t="s">
        <v>237</v>
      </c>
      <c r="C182" s="8" t="s">
        <v>248</v>
      </c>
      <c r="D182" s="0" t="n">
        <v>4</v>
      </c>
      <c r="E182" s="0" t="str">
        <f aca="false">TEXT(ROUND(19.5/FX,2),"#,##0.00")&amp;" – "&amp;TEXT(ROUND(20.38/FX,2),"#,##0.00")</f>
        <v>2.71 – 2.83</v>
      </c>
    </row>
    <row r="183" customFormat="false" ht="15" hidden="false" customHeight="false" outlineLevel="0" collapsed="false">
      <c r="A183" s="0" t="s">
        <v>226</v>
      </c>
      <c r="B183" s="0" t="s">
        <v>237</v>
      </c>
      <c r="C183" s="8" t="s">
        <v>249</v>
      </c>
      <c r="D183" s="0" t="n">
        <v>13</v>
      </c>
      <c r="E183" s="0" t="str">
        <f aca="false">TEXT(ROUND(10.4/FX,2),"#,##0.00")&amp;" – "&amp;TEXT(ROUND(33.8/FX,2),"#,##0.00")</f>
        <v>1.44 – 4.69</v>
      </c>
    </row>
    <row r="184" customFormat="false" ht="15" hidden="false" customHeight="false" outlineLevel="0" collapsed="false">
      <c r="A184" s="0" t="s">
        <v>226</v>
      </c>
      <c r="B184" s="0" t="s">
        <v>237</v>
      </c>
      <c r="C184" s="8" t="s">
        <v>250</v>
      </c>
      <c r="D184" s="0" t="n">
        <v>1</v>
      </c>
      <c r="E184" s="0" t="str">
        <f aca="false">TEXT(ROUND(37.7/FX,2),"#,##0.00")</f>
        <v>5.24</v>
      </c>
    </row>
    <row r="185" customFormat="false" ht="15" hidden="false" customHeight="false" outlineLevel="0" collapsed="false">
      <c r="A185" s="0" t="s">
        <v>226</v>
      </c>
      <c r="B185" s="0" t="s">
        <v>237</v>
      </c>
      <c r="C185" s="8" t="s">
        <v>251</v>
      </c>
      <c r="D185" s="0" t="n">
        <v>2</v>
      </c>
      <c r="E185" s="0" t="str">
        <f aca="false">TEXT(ROUND(1.95/FX,2),"#,##0.00")&amp;" – "&amp;TEXT(ROUND(2.32/FX,2),"#,##0.00")</f>
        <v>0.27 – 0.32</v>
      </c>
    </row>
    <row r="186" customFormat="false" ht="15" hidden="false" customHeight="false" outlineLevel="0" collapsed="false">
      <c r="A186" s="0" t="s">
        <v>226</v>
      </c>
      <c r="B186" s="0" t="s">
        <v>237</v>
      </c>
      <c r="C186" s="8" t="s">
        <v>252</v>
      </c>
      <c r="D186" s="0" t="n">
        <v>1</v>
      </c>
      <c r="E186" s="0" t="str">
        <f aca="false">TEXT(ROUND(54.6/FX,2),"#,##0.00")</f>
        <v>7.58</v>
      </c>
    </row>
    <row r="187" customFormat="false" ht="15" hidden="false" customHeight="false" outlineLevel="0" collapsed="false">
      <c r="A187" s="0" t="s">
        <v>226</v>
      </c>
      <c r="B187" s="0" t="s">
        <v>237</v>
      </c>
      <c r="C187" s="8" t="s">
        <v>253</v>
      </c>
      <c r="D187" s="0" t="n">
        <v>1</v>
      </c>
      <c r="E187" s="0" t="str">
        <f aca="false">TEXT(ROUND(58.5/FX,2),"#,##0.00")</f>
        <v>8.13</v>
      </c>
    </row>
    <row r="188" customFormat="false" ht="15" hidden="false" customHeight="false" outlineLevel="0" collapsed="false">
      <c r="A188" s="0" t="s">
        <v>226</v>
      </c>
      <c r="B188" s="0" t="s">
        <v>237</v>
      </c>
      <c r="C188" s="8" t="s">
        <v>254</v>
      </c>
      <c r="D188" s="0" t="n">
        <v>1</v>
      </c>
      <c r="E188" s="0" t="str">
        <f aca="false">TEXT(ROUND(42.6/FX,2),"#,##0.00")</f>
        <v>5.92</v>
      </c>
    </row>
    <row r="189" customFormat="false" ht="15" hidden="false" customHeight="false" outlineLevel="0" collapsed="false">
      <c r="A189" s="0" t="s">
        <v>226</v>
      </c>
      <c r="B189" s="0" t="s">
        <v>237</v>
      </c>
      <c r="C189" s="8" t="s">
        <v>255</v>
      </c>
      <c r="D189" s="0" t="n">
        <v>1</v>
      </c>
      <c r="E189" s="0" t="str">
        <f aca="false">TEXT(ROUND(36.4/FX,2),"#,##0.00")</f>
        <v>5.06</v>
      </c>
    </row>
    <row r="190" customFormat="false" ht="15" hidden="false" customHeight="false" outlineLevel="0" collapsed="false">
      <c r="A190" s="0" t="s">
        <v>226</v>
      </c>
      <c r="B190" s="0" t="s">
        <v>237</v>
      </c>
      <c r="C190" s="8" t="s">
        <v>256</v>
      </c>
      <c r="D190" s="0" t="n">
        <v>1</v>
      </c>
      <c r="E190" s="0" t="str">
        <f aca="false">TEXT(ROUND(24.7/FX,2),"#,##0.00")</f>
        <v>3.43</v>
      </c>
    </row>
    <row r="191" customFormat="false" ht="15" hidden="false" customHeight="false" outlineLevel="0" collapsed="false">
      <c r="A191" s="0" t="s">
        <v>226</v>
      </c>
      <c r="B191" s="0" t="s">
        <v>237</v>
      </c>
      <c r="C191" s="8" t="s">
        <v>257</v>
      </c>
      <c r="D191" s="0" t="n">
        <v>1</v>
      </c>
      <c r="E191" s="0" t="str">
        <f aca="false">TEXT(ROUND(52/FX,2),"#,##0.00")</f>
        <v>7.22</v>
      </c>
    </row>
    <row r="192" customFormat="false" ht="15" hidden="false" customHeight="false" outlineLevel="0" collapsed="false">
      <c r="A192" s="0" t="s">
        <v>226</v>
      </c>
      <c r="B192" s="0" t="s">
        <v>237</v>
      </c>
      <c r="C192" s="8" t="s">
        <v>258</v>
      </c>
      <c r="D192" s="0" t="n">
        <v>1</v>
      </c>
      <c r="E192" s="0" t="str">
        <f aca="false">TEXT(ROUND(11.68/FX,2),"#,##0.00")</f>
        <v>1.62</v>
      </c>
    </row>
    <row r="193" customFormat="false" ht="15" hidden="false" customHeight="false" outlineLevel="0" collapsed="false">
      <c r="A193" s="0" t="s">
        <v>226</v>
      </c>
      <c r="B193" s="0" t="s">
        <v>237</v>
      </c>
      <c r="C193" s="8" t="s">
        <v>259</v>
      </c>
      <c r="D193" s="0" t="n">
        <v>4</v>
      </c>
      <c r="E193" s="0" t="str">
        <f aca="false">TEXT(ROUND(0.52/FX,2),"#,##0.00")&amp;" – "&amp;TEXT(ROUND(0.73/FX,2),"#,##0.00")</f>
        <v>0.07 – 0.10</v>
      </c>
    </row>
    <row r="194" customFormat="false" ht="15" hidden="false" customHeight="false" outlineLevel="0" collapsed="false">
      <c r="A194" s="0" t="s">
        <v>226</v>
      </c>
      <c r="B194" s="0" t="s">
        <v>237</v>
      </c>
      <c r="C194" s="8" t="s">
        <v>260</v>
      </c>
      <c r="D194" s="0" t="n">
        <v>1</v>
      </c>
      <c r="E194" s="0" t="str">
        <f aca="false">TEXT(ROUND(1.1/FX,2),"#,##0.00")</f>
        <v>0.15</v>
      </c>
    </row>
    <row r="195" customFormat="false" ht="15" hidden="false" customHeight="false" outlineLevel="0" collapsed="false">
      <c r="A195" s="0" t="s">
        <v>226</v>
      </c>
      <c r="B195" s="0" t="s">
        <v>237</v>
      </c>
      <c r="C195" s="8" t="s">
        <v>261</v>
      </c>
      <c r="D195" s="0" t="n">
        <v>21</v>
      </c>
      <c r="E195" s="0" t="str">
        <f aca="false">TEXT(ROUND(0.65/FX,2),"#,##0.00")&amp;" – "&amp;TEXT(ROUND(4.1/FX,2),"#,##0.00")</f>
        <v>0.09 – 0.57</v>
      </c>
    </row>
    <row r="196" customFormat="false" ht="15" hidden="false" customHeight="false" outlineLevel="0" collapsed="false">
      <c r="A196" s="0" t="s">
        <v>226</v>
      </c>
      <c r="B196" s="0" t="s">
        <v>237</v>
      </c>
      <c r="C196" s="8" t="s">
        <v>262</v>
      </c>
      <c r="D196" s="0" t="n">
        <v>1</v>
      </c>
      <c r="E196" s="0" t="str">
        <f aca="false">TEXT(ROUND(2.34/FX,2),"#,##0.00")</f>
        <v>0.33</v>
      </c>
    </row>
    <row r="197" customFormat="false" ht="15" hidden="false" customHeight="false" outlineLevel="0" collapsed="false">
      <c r="A197" s="0" t="s">
        <v>226</v>
      </c>
      <c r="B197" s="0" t="s">
        <v>237</v>
      </c>
      <c r="C197" s="8" t="s">
        <v>263</v>
      </c>
      <c r="D197" s="0" t="n">
        <v>24</v>
      </c>
      <c r="E197" s="0" t="str">
        <f aca="false">TEXT(ROUND(37.7/FX,2),"#,##0.00")&amp;" – "&amp;TEXT(ROUND(172.9/FX,2),"#,##0.00")</f>
        <v>5.24 – 24.01</v>
      </c>
    </row>
    <row r="198" customFormat="false" ht="15" hidden="false" customHeight="false" outlineLevel="0" collapsed="false">
      <c r="A198" s="0" t="s">
        <v>264</v>
      </c>
      <c r="C198" s="8" t="s">
        <v>265</v>
      </c>
      <c r="D198" s="0" t="n">
        <v>12</v>
      </c>
      <c r="E198" s="0" t="str">
        <f aca="false">TEXT(ROUND(200/FX,2),"#,##0.00")&amp;" – "&amp;TEXT(ROUND(285/FX,2),"#,##0.00")</f>
        <v>27.78 – 39.58</v>
      </c>
    </row>
    <row r="199" customFormat="false" ht="15" hidden="false" customHeight="false" outlineLevel="0" collapsed="false">
      <c r="A199" s="0" t="s">
        <v>264</v>
      </c>
      <c r="C199" s="8" t="s">
        <v>266</v>
      </c>
      <c r="D199" s="0" t="n">
        <v>2</v>
      </c>
      <c r="E199" s="0" t="str">
        <f aca="false">TEXT(ROUND(245/FX,2),"#,##0.00")&amp;" – "&amp;TEXT(ROUND(270/FX,2),"#,##0.00")</f>
        <v>34.03 – 37.50</v>
      </c>
    </row>
    <row r="200" customFormat="false" ht="15" hidden="false" customHeight="false" outlineLevel="0" collapsed="false">
      <c r="A200" s="0" t="s">
        <v>264</v>
      </c>
      <c r="C200" s="8" t="s">
        <v>267</v>
      </c>
      <c r="D200" s="0" t="n">
        <v>2</v>
      </c>
      <c r="E200" s="0" t="str">
        <f aca="false">TEXT(ROUND(1699/FX,2),"#,##0.00")&amp;" – "&amp;TEXT(ROUND(2000/FX,2),"#,##0.00")</f>
        <v>235.97 – 277.78</v>
      </c>
    </row>
    <row r="201" customFormat="false" ht="15" hidden="false" customHeight="false" outlineLevel="0" collapsed="false">
      <c r="A201" s="0" t="s">
        <v>264</v>
      </c>
      <c r="C201" s="8" t="s">
        <v>268</v>
      </c>
      <c r="D201" s="0" t="n">
        <v>14</v>
      </c>
      <c r="E201" s="0" t="str">
        <f aca="false">TEXT(ROUND(220/FX,2),"#,##0.00")&amp;" – "&amp;TEXT(ROUND(295/FX,2),"#,##0.00")</f>
        <v>30.56 – 40.97</v>
      </c>
    </row>
    <row r="202" customFormat="false" ht="15" hidden="false" customHeight="false" outlineLevel="0" collapsed="false">
      <c r="A202" s="0" t="s">
        <v>264</v>
      </c>
      <c r="C202" s="8" t="s">
        <v>269</v>
      </c>
      <c r="D202" s="0" t="n">
        <v>54</v>
      </c>
      <c r="E202" s="0" t="str">
        <f aca="false">TEXT(ROUND(107.66/FX,2),"#,##0.00")&amp;" – "&amp;TEXT(ROUND(220/FX,2),"#,##0.00")</f>
        <v>14.95 – 30.56</v>
      </c>
    </row>
    <row r="203" customFormat="false" ht="15" hidden="false" customHeight="false" outlineLevel="0" collapsed="false">
      <c r="A203" s="0" t="s">
        <v>264</v>
      </c>
      <c r="C203" s="8" t="s">
        <v>270</v>
      </c>
      <c r="D203" s="0" t="n">
        <v>2</v>
      </c>
      <c r="E203" s="0" t="str">
        <f aca="false">TEXT(ROUND(750/FX,2),"#,##0.00")&amp;" – "&amp;TEXT(ROUND(888/FX,2),"#,##0.00")</f>
        <v>104.17 – 123.33</v>
      </c>
    </row>
    <row r="204" customFormat="false" ht="15" hidden="false" customHeight="false" outlineLevel="0" collapsed="false">
      <c r="A204" s="0" t="s">
        <v>264</v>
      </c>
      <c r="C204" s="8" t="s">
        <v>271</v>
      </c>
      <c r="D204" s="0" t="n">
        <v>4</v>
      </c>
      <c r="E204" s="0" t="str">
        <f aca="false">TEXT(ROUND(290/FX,2),"#,##0.00")&amp;" – "&amp;TEXT(ROUND(340/FX,2),"#,##0.00")</f>
        <v>40.28 – 47.22</v>
      </c>
    </row>
    <row r="205" customFormat="false" ht="15" hidden="false" customHeight="false" outlineLevel="0" collapsed="false">
      <c r="A205" s="0" t="s">
        <v>264</v>
      </c>
      <c r="C205" s="8" t="s">
        <v>272</v>
      </c>
      <c r="D205" s="0" t="n">
        <v>3</v>
      </c>
      <c r="E205" s="0" t="str">
        <f aca="false">TEXT(ROUND(80.08/FX,2),"#,##0.00")&amp;" – "&amp;TEXT(ROUND(94.9/FX,2),"#,##0.00")</f>
        <v>11.12 – 13.18</v>
      </c>
    </row>
    <row r="206" customFormat="false" ht="15" hidden="false" customHeight="false" outlineLevel="0" collapsed="false">
      <c r="A206" s="0" t="s">
        <v>264</v>
      </c>
      <c r="C206" s="8" t="s">
        <v>273</v>
      </c>
      <c r="D206" s="0" t="n">
        <v>6</v>
      </c>
      <c r="E206" s="0" t="str">
        <f aca="false">TEXT(ROUND(416/FX,2),"#,##0.00")&amp;" – "&amp;TEXT(ROUND(611/FX,2),"#,##0.00")</f>
        <v>57.78 – 84.86</v>
      </c>
    </row>
    <row r="207" customFormat="false" ht="15" hidden="false" customHeight="false" outlineLevel="0" collapsed="false">
      <c r="A207" s="0" t="s">
        <v>264</v>
      </c>
      <c r="C207" s="8" t="s">
        <v>274</v>
      </c>
      <c r="D207" s="0" t="n">
        <v>28</v>
      </c>
      <c r="E207" s="0" t="str">
        <f aca="false">TEXT(ROUND(120/FX,2),"#,##0.00")&amp;" – "&amp;TEXT(ROUND(140/FX,2),"#,##0.00")</f>
        <v>16.67 – 19.44</v>
      </c>
    </row>
    <row r="208" customFormat="false" ht="15" hidden="false" customHeight="false" outlineLevel="0" collapsed="false">
      <c r="A208" s="0" t="s">
        <v>264</v>
      </c>
      <c r="C208" s="8" t="s">
        <v>275</v>
      </c>
      <c r="D208" s="0" t="n">
        <v>4</v>
      </c>
      <c r="E208" s="0" t="str">
        <f aca="false">TEXT(ROUND(126.67/FX,2),"#,##0.00")&amp;" – "&amp;TEXT(ROUND(160.77/FX,2),"#,##0.00")</f>
        <v>17.59 – 22.33</v>
      </c>
    </row>
    <row r="209" customFormat="false" ht="15" hidden="false" customHeight="false" outlineLevel="0" collapsed="false">
      <c r="A209" s="0" t="s">
        <v>264</v>
      </c>
      <c r="C209" s="8" t="s">
        <v>276</v>
      </c>
      <c r="D209" s="0" t="n">
        <v>11</v>
      </c>
      <c r="E209" s="0" t="str">
        <f aca="false">TEXT(ROUND(150/FX,2),"#,##0.00")&amp;" – "&amp;TEXT(ROUND(200/FX,2),"#,##0.00")</f>
        <v>20.83 – 27.78</v>
      </c>
    </row>
    <row r="210" customFormat="false" ht="15" hidden="false" customHeight="false" outlineLevel="0" collapsed="false">
      <c r="A210" s="0" t="s">
        <v>264</v>
      </c>
      <c r="C210" s="8" t="s">
        <v>277</v>
      </c>
      <c r="D210" s="0" t="n">
        <v>1</v>
      </c>
      <c r="E210" s="0" t="str">
        <f aca="false">TEXT(ROUND(585/FX,2),"#,##0.00")</f>
        <v>81.25</v>
      </c>
    </row>
    <row r="211" customFormat="false" ht="15" hidden="false" customHeight="false" outlineLevel="0" collapsed="false">
      <c r="A211" s="0" t="s">
        <v>278</v>
      </c>
      <c r="B211" s="0" t="s">
        <v>279</v>
      </c>
      <c r="C211" s="8" t="s">
        <v>280</v>
      </c>
      <c r="D211" s="0" t="n">
        <v>1</v>
      </c>
      <c r="E211" s="0" t="str">
        <f aca="false">TEXT(ROUND(23.4/FX,2),"#,##0.00")</f>
        <v>3.25</v>
      </c>
    </row>
    <row r="212" customFormat="false" ht="15" hidden="false" customHeight="false" outlineLevel="0" collapsed="false">
      <c r="A212" s="0" t="s">
        <v>278</v>
      </c>
      <c r="B212" s="0" t="s">
        <v>279</v>
      </c>
      <c r="C212" s="8" t="s">
        <v>281</v>
      </c>
      <c r="D212" s="0" t="n">
        <v>2</v>
      </c>
      <c r="E212" s="0" t="str">
        <f aca="false">TEXT(ROUND(13/FX,2),"#,##0.00")&amp;" – "&amp;TEXT(ROUND(20.8/FX,2),"#,##0.00")</f>
        <v>1.81 – 2.89</v>
      </c>
    </row>
    <row r="213" customFormat="false" ht="15" hidden="false" customHeight="false" outlineLevel="0" collapsed="false">
      <c r="A213" s="0" t="s">
        <v>278</v>
      </c>
      <c r="B213" s="0" t="s">
        <v>279</v>
      </c>
      <c r="C213" s="8" t="s">
        <v>282</v>
      </c>
      <c r="D213" s="0" t="n">
        <v>1</v>
      </c>
      <c r="E213" s="0" t="str">
        <f aca="false">TEXT(ROUND(13/FX,2),"#,##0.00")</f>
        <v>1.81</v>
      </c>
    </row>
    <row r="214" customFormat="false" ht="15" hidden="false" customHeight="false" outlineLevel="0" collapsed="false">
      <c r="A214" s="0" t="s">
        <v>278</v>
      </c>
      <c r="B214" s="0" t="s">
        <v>279</v>
      </c>
      <c r="C214" s="8" t="s">
        <v>283</v>
      </c>
      <c r="D214" s="0" t="n">
        <v>7</v>
      </c>
      <c r="E214" s="0" t="str">
        <f aca="false">TEXT(ROUND(10.14/FX,2),"#,##0.00")&amp;" – "&amp;TEXT(ROUND(10.98/FX,2),"#,##0.00")</f>
        <v>1.41 – 1.53</v>
      </c>
    </row>
    <row r="215" customFormat="false" ht="15" hidden="false" customHeight="false" outlineLevel="0" collapsed="false">
      <c r="A215" s="0" t="s">
        <v>278</v>
      </c>
      <c r="B215" s="0" t="s">
        <v>279</v>
      </c>
      <c r="C215" s="8" t="s">
        <v>284</v>
      </c>
      <c r="D215" s="0" t="n">
        <v>7</v>
      </c>
      <c r="E215" s="0" t="str">
        <f aca="false">TEXT(ROUND(1.98/FX,2),"#,##0.00")&amp;" – "&amp;TEXT(ROUND(2.37/FX,2),"#,##0.00")</f>
        <v>0.28 – 0.33</v>
      </c>
    </row>
    <row r="216" customFormat="false" ht="15" hidden="false" customHeight="false" outlineLevel="0" collapsed="false">
      <c r="A216" s="0" t="s">
        <v>278</v>
      </c>
      <c r="B216" s="0" t="s">
        <v>279</v>
      </c>
      <c r="C216" s="8" t="s">
        <v>285</v>
      </c>
      <c r="D216" s="0" t="n">
        <v>9</v>
      </c>
      <c r="E216" s="0" t="str">
        <f aca="false">TEXT(ROUND(2.6/FX,2),"#,##0.00")&amp;" – "&amp;TEXT(ROUND(4.81/FX,2),"#,##0.00")</f>
        <v>0.36 – 0.67</v>
      </c>
    </row>
    <row r="217" customFormat="false" ht="15" hidden="false" customHeight="false" outlineLevel="0" collapsed="false">
      <c r="A217" s="0" t="s">
        <v>278</v>
      </c>
      <c r="B217" s="0" t="s">
        <v>279</v>
      </c>
      <c r="C217" s="8" t="s">
        <v>286</v>
      </c>
      <c r="D217" s="0" t="n">
        <v>4</v>
      </c>
      <c r="E217" s="0" t="str">
        <f aca="false">TEXT(ROUND(93.6/FX,2),"#,##0.00")&amp;" – "&amp;TEXT(ROUND(129/FX,2),"#,##0.00")</f>
        <v>13.00 – 17.92</v>
      </c>
    </row>
    <row r="218" customFormat="false" ht="15" hidden="false" customHeight="false" outlineLevel="0" collapsed="false">
      <c r="A218" s="0" t="s">
        <v>278</v>
      </c>
      <c r="B218" s="0" t="s">
        <v>279</v>
      </c>
      <c r="C218" s="8" t="s">
        <v>287</v>
      </c>
      <c r="D218" s="0" t="n">
        <v>27</v>
      </c>
      <c r="E218" s="0" t="str">
        <f aca="false">TEXT(ROUND(13/FX,2),"#,##0.00")&amp;" – "&amp;TEXT(ROUND(26.7/FX,2),"#,##0.00")</f>
        <v>1.81 – 3.71</v>
      </c>
    </row>
    <row r="219" customFormat="false" ht="15" hidden="false" customHeight="false" outlineLevel="0" collapsed="false">
      <c r="A219" s="0" t="s">
        <v>278</v>
      </c>
      <c r="B219" s="0" t="s">
        <v>279</v>
      </c>
      <c r="C219" s="8" t="s">
        <v>288</v>
      </c>
      <c r="D219" s="0" t="n">
        <v>23</v>
      </c>
      <c r="E219" s="0" t="str">
        <f aca="false">TEXT(ROUND(2.99/FX,2),"#,##0.00")&amp;" – "&amp;TEXT(ROUND(60/FX,2),"#,##0.00")</f>
        <v>0.42 – 8.33</v>
      </c>
    </row>
    <row r="220" customFormat="false" ht="15" hidden="false" customHeight="false" outlineLevel="0" collapsed="false">
      <c r="A220" s="0" t="s">
        <v>278</v>
      </c>
      <c r="B220" s="0" t="s">
        <v>279</v>
      </c>
      <c r="C220" s="8" t="s">
        <v>289</v>
      </c>
      <c r="D220" s="0" t="n">
        <v>8</v>
      </c>
      <c r="E220" s="0" t="str">
        <f aca="false">TEXT(ROUND(5.2/FX,2),"#,##0.00")&amp;" – "&amp;TEXT(ROUND(11.7/FX,2),"#,##0.00")</f>
        <v>0.72 – 1.63</v>
      </c>
    </row>
    <row r="221" customFormat="false" ht="15" hidden="false" customHeight="false" outlineLevel="0" collapsed="false">
      <c r="A221" s="0" t="s">
        <v>278</v>
      </c>
      <c r="B221" s="0" t="s">
        <v>279</v>
      </c>
      <c r="C221" s="8" t="s">
        <v>290</v>
      </c>
      <c r="D221" s="0" t="n">
        <v>1</v>
      </c>
      <c r="E221" s="0" t="str">
        <f aca="false">TEXT(ROUND(46.41/FX,2),"#,##0.00")</f>
        <v>6.45</v>
      </c>
    </row>
    <row r="222" customFormat="false" ht="15" hidden="false" customHeight="false" outlineLevel="0" collapsed="false">
      <c r="A222" s="0" t="s">
        <v>278</v>
      </c>
      <c r="B222" s="0" t="s">
        <v>279</v>
      </c>
      <c r="C222" s="8" t="s">
        <v>291</v>
      </c>
      <c r="D222" s="0" t="n">
        <v>187</v>
      </c>
      <c r="E222" s="0" t="str">
        <f aca="false">TEXT(ROUND(3.12/FX,2),"#,##0.00")&amp;" – "&amp;TEXT(ROUND(15.6/FX,2),"#,##0.00")</f>
        <v>0.43 – 2.17</v>
      </c>
    </row>
    <row r="223" customFormat="false" ht="15" hidden="false" customHeight="false" outlineLevel="0" collapsed="false">
      <c r="A223" s="0" t="s">
        <v>278</v>
      </c>
      <c r="B223" s="0" t="s">
        <v>279</v>
      </c>
      <c r="C223" s="8" t="s">
        <v>292</v>
      </c>
      <c r="D223" s="0" t="n">
        <v>2</v>
      </c>
      <c r="E223" s="0" t="str">
        <f aca="false">TEXT(ROUND(9.8/FX,2),"#,##0.00")&amp;" – "&amp;TEXT(ROUND(9.83/FX,2),"#,##0.00")</f>
        <v>1.36 – 1.37</v>
      </c>
    </row>
    <row r="224" customFormat="false" ht="15" hidden="false" customHeight="false" outlineLevel="0" collapsed="false">
      <c r="A224" s="0" t="s">
        <v>278</v>
      </c>
      <c r="B224" s="0" t="s">
        <v>279</v>
      </c>
      <c r="C224" s="8" t="s">
        <v>293</v>
      </c>
      <c r="D224" s="0" t="n">
        <v>1</v>
      </c>
      <c r="E224" s="0" t="str">
        <f aca="false">TEXT(ROUND(9.46/FX,2),"#,##0.00")</f>
        <v>1.31</v>
      </c>
    </row>
    <row r="225" customFormat="false" ht="15" hidden="false" customHeight="false" outlineLevel="0" collapsed="false">
      <c r="A225" s="0" t="s">
        <v>278</v>
      </c>
      <c r="B225" s="0" t="s">
        <v>279</v>
      </c>
      <c r="C225" s="8" t="s">
        <v>294</v>
      </c>
      <c r="D225" s="0" t="n">
        <v>53</v>
      </c>
      <c r="E225" s="0" t="str">
        <f aca="false">TEXT(ROUND(1.41/FX,2),"#,##0.00")&amp;" – "&amp;TEXT(ROUND(110.5/FX,2),"#,##0.00")</f>
        <v>0.20 – 15.35</v>
      </c>
    </row>
    <row r="226" customFormat="false" ht="15" hidden="false" customHeight="false" outlineLevel="0" collapsed="false">
      <c r="A226" s="0" t="s">
        <v>278</v>
      </c>
      <c r="B226" s="0" t="s">
        <v>279</v>
      </c>
      <c r="C226" s="8" t="s">
        <v>295</v>
      </c>
      <c r="D226" s="0" t="n">
        <v>4</v>
      </c>
      <c r="E226" s="0" t="str">
        <f aca="false">TEXT(ROUND(0.52/FX,2),"#,##0.00")&amp;" – "&amp;TEXT(ROUND(0.65/FX,2),"#,##0.00")</f>
        <v>0.07 – 0.09</v>
      </c>
    </row>
    <row r="227" customFormat="false" ht="15" hidden="false" customHeight="false" outlineLevel="0" collapsed="false">
      <c r="A227" s="0" t="s">
        <v>278</v>
      </c>
      <c r="B227" s="0" t="s">
        <v>279</v>
      </c>
      <c r="C227" s="8" t="s">
        <v>296</v>
      </c>
      <c r="D227" s="0" t="n">
        <v>31</v>
      </c>
      <c r="E227" s="0" t="str">
        <f aca="false">TEXT(ROUND(18.2/FX,2),"#,##0.00")&amp;" – "&amp;TEXT(ROUND(97.5/FX,2),"#,##0.00")</f>
        <v>2.53 – 13.54</v>
      </c>
    </row>
    <row r="228" customFormat="false" ht="15" hidden="false" customHeight="false" outlineLevel="0" collapsed="false">
      <c r="A228" s="0" t="s">
        <v>278</v>
      </c>
      <c r="B228" s="0" t="s">
        <v>279</v>
      </c>
      <c r="C228" s="8" t="s">
        <v>297</v>
      </c>
      <c r="D228" s="0" t="n">
        <v>1</v>
      </c>
      <c r="E228" s="0" t="str">
        <f aca="false">TEXT(ROUND(13/FX,2),"#,##0.00")</f>
        <v>1.81</v>
      </c>
    </row>
    <row r="229" customFormat="false" ht="15" hidden="false" customHeight="false" outlineLevel="0" collapsed="false">
      <c r="A229" s="0" t="s">
        <v>278</v>
      </c>
      <c r="B229" s="0" t="s">
        <v>279</v>
      </c>
      <c r="C229" s="8" t="s">
        <v>298</v>
      </c>
      <c r="D229" s="0" t="n">
        <v>3</v>
      </c>
      <c r="E229" s="0" t="str">
        <f aca="false">TEXT(ROUND(1.8/FX,2),"#,##0.00")&amp;" – "&amp;TEXT(ROUND(5.46/FX,2),"#,##0.00")</f>
        <v>0.25 – 0.76</v>
      </c>
    </row>
    <row r="230" customFormat="false" ht="15" hidden="false" customHeight="false" outlineLevel="0" collapsed="false">
      <c r="A230" s="0" t="s">
        <v>278</v>
      </c>
      <c r="B230" s="0" t="s">
        <v>279</v>
      </c>
      <c r="C230" s="8" t="s">
        <v>299</v>
      </c>
      <c r="D230" s="0" t="n">
        <v>10</v>
      </c>
      <c r="E230" s="0" t="str">
        <f aca="false">TEXT(ROUND(2.47/FX,2),"#,##0.00")&amp;" – "&amp;TEXT(ROUND(8.45/FX,2),"#,##0.00")</f>
        <v>0.34 – 1.17</v>
      </c>
    </row>
    <row r="231" customFormat="false" ht="15" hidden="false" customHeight="false" outlineLevel="0" collapsed="false">
      <c r="A231" s="0" t="s">
        <v>278</v>
      </c>
      <c r="B231" s="0" t="s">
        <v>279</v>
      </c>
      <c r="C231" s="8" t="s">
        <v>300</v>
      </c>
      <c r="D231" s="0" t="n">
        <v>8</v>
      </c>
      <c r="E231" s="0" t="str">
        <f aca="false">TEXT(ROUND(10.4/FX,2),"#,##0.00")&amp;" – "&amp;TEXT(ROUND(105.3/FX,2),"#,##0.00")</f>
        <v>1.44 – 14.63</v>
      </c>
    </row>
    <row r="232" customFormat="false" ht="15" hidden="false" customHeight="false" outlineLevel="0" collapsed="false">
      <c r="A232" s="0" t="s">
        <v>278</v>
      </c>
      <c r="B232" s="0" t="s">
        <v>279</v>
      </c>
      <c r="C232" s="8" t="s">
        <v>301</v>
      </c>
      <c r="D232" s="0" t="n">
        <v>1</v>
      </c>
      <c r="E232" s="0" t="str">
        <f aca="false">TEXT(ROUND(9.75/FX,2),"#,##0.00")</f>
        <v>1.35</v>
      </c>
    </row>
    <row r="233" customFormat="false" ht="15" hidden="false" customHeight="false" outlineLevel="0" collapsed="false">
      <c r="A233" s="0" t="s">
        <v>278</v>
      </c>
      <c r="B233" s="0" t="s">
        <v>279</v>
      </c>
      <c r="C233" s="8" t="s">
        <v>302</v>
      </c>
      <c r="D233" s="0" t="n">
        <v>5</v>
      </c>
      <c r="E233" s="0" t="str">
        <f aca="false">TEXT(ROUND(13/FX,2),"#,##0.00")&amp;" – "&amp;TEXT(ROUND(26.33/FX,2),"#,##0.00")</f>
        <v>1.81 – 3.66</v>
      </c>
    </row>
    <row r="234" customFormat="false" ht="15" hidden="false" customHeight="false" outlineLevel="0" collapsed="false">
      <c r="A234" s="0" t="s">
        <v>278</v>
      </c>
      <c r="B234" s="0" t="s">
        <v>279</v>
      </c>
      <c r="C234" s="8" t="s">
        <v>303</v>
      </c>
      <c r="D234" s="0" t="n">
        <v>4</v>
      </c>
      <c r="E234" s="0" t="str">
        <f aca="false">TEXT(ROUND(165/FX,2),"#,##0.00")</f>
        <v>22.92</v>
      </c>
    </row>
    <row r="235" customFormat="false" ht="15" hidden="false" customHeight="false" outlineLevel="0" collapsed="false">
      <c r="A235" s="0" t="s">
        <v>278</v>
      </c>
      <c r="B235" s="0" t="s">
        <v>279</v>
      </c>
      <c r="C235" s="8" t="s">
        <v>304</v>
      </c>
      <c r="D235" s="0" t="n">
        <v>1</v>
      </c>
      <c r="E235" s="0" t="str">
        <f aca="false">TEXT(ROUND(5.6/FX,2),"#,##0.00")</f>
        <v>0.78</v>
      </c>
    </row>
    <row r="236" customFormat="false" ht="15" hidden="false" customHeight="false" outlineLevel="0" collapsed="false">
      <c r="A236" s="0" t="s">
        <v>278</v>
      </c>
      <c r="B236" s="0" t="s">
        <v>279</v>
      </c>
      <c r="C236" s="8" t="s">
        <v>305</v>
      </c>
      <c r="D236" s="0" t="n">
        <v>2</v>
      </c>
      <c r="E236" s="0" t="str">
        <f aca="false">TEXT(ROUND(7.48/FX,2),"#,##0.00")&amp;" – "&amp;TEXT(ROUND(9.5/FX,2),"#,##0.00")</f>
        <v>1.04 – 1.32</v>
      </c>
    </row>
    <row r="237" customFormat="false" ht="15" hidden="false" customHeight="false" outlineLevel="0" collapsed="false">
      <c r="A237" s="0" t="s">
        <v>278</v>
      </c>
      <c r="B237" s="0" t="s">
        <v>279</v>
      </c>
      <c r="C237" s="8" t="s">
        <v>306</v>
      </c>
      <c r="D237" s="0" t="n">
        <v>1</v>
      </c>
      <c r="E237" s="0" t="str">
        <f aca="false">TEXT(ROUND(120/FX,2),"#,##0.00")</f>
        <v>16.67</v>
      </c>
    </row>
    <row r="238" customFormat="false" ht="15" hidden="false" customHeight="false" outlineLevel="0" collapsed="false">
      <c r="A238" s="0" t="s">
        <v>278</v>
      </c>
      <c r="B238" s="0" t="s">
        <v>279</v>
      </c>
      <c r="C238" s="8" t="s">
        <v>307</v>
      </c>
      <c r="D238" s="0" t="n">
        <v>16</v>
      </c>
      <c r="E238" s="0" t="str">
        <f aca="false">TEXT(ROUND(0.39/FX,2),"#,##0.00")&amp;" – "&amp;TEXT(ROUND(2.5/FX,2),"#,##0.00")</f>
        <v>0.05 – 0.35</v>
      </c>
    </row>
    <row r="239" customFormat="false" ht="15" hidden="false" customHeight="false" outlineLevel="0" collapsed="false">
      <c r="A239" s="0" t="s">
        <v>278</v>
      </c>
      <c r="B239" s="0" t="s">
        <v>279</v>
      </c>
      <c r="C239" s="8" t="s">
        <v>308</v>
      </c>
      <c r="D239" s="0" t="n">
        <v>111</v>
      </c>
      <c r="E239" s="0" t="str">
        <f aca="false">TEXT(ROUND(3.97/FX,2),"#,##0.00")&amp;" – "&amp;TEXT(ROUND(116.74/FX,2),"#,##0.00")</f>
        <v>0.55 – 16.21</v>
      </c>
    </row>
    <row r="240" customFormat="false" ht="15" hidden="false" customHeight="false" outlineLevel="0" collapsed="false">
      <c r="A240" s="0" t="s">
        <v>278</v>
      </c>
      <c r="B240" s="0" t="s">
        <v>279</v>
      </c>
      <c r="C240" s="8" t="s">
        <v>309</v>
      </c>
      <c r="D240" s="0" t="n">
        <v>2</v>
      </c>
      <c r="E240" s="0" t="str">
        <f aca="false">TEXT(ROUND(13.65/FX,2),"#,##0.00")&amp;" – "&amp;TEXT(ROUND(14.95/FX,2),"#,##0.00")</f>
        <v>1.90 – 2.08</v>
      </c>
    </row>
    <row r="241" customFormat="false" ht="15" hidden="false" customHeight="false" outlineLevel="0" collapsed="false">
      <c r="A241" s="0" t="s">
        <v>278</v>
      </c>
      <c r="B241" s="0" t="s">
        <v>279</v>
      </c>
      <c r="C241" s="8" t="s">
        <v>310</v>
      </c>
      <c r="D241" s="0" t="n">
        <v>91</v>
      </c>
      <c r="E241" s="0" t="str">
        <f aca="false">TEXT(ROUND(4.58/FX,2),"#,##0.00")&amp;" – "&amp;TEXT(ROUND(38.03/FX,2),"#,##0.00")</f>
        <v>0.64 – 5.28</v>
      </c>
    </row>
    <row r="242" customFormat="false" ht="15" hidden="false" customHeight="false" outlineLevel="0" collapsed="false">
      <c r="A242" s="0" t="s">
        <v>278</v>
      </c>
      <c r="B242" s="0" t="s">
        <v>311</v>
      </c>
      <c r="C242" s="8" t="s">
        <v>312</v>
      </c>
      <c r="D242" s="0" t="n">
        <v>2</v>
      </c>
      <c r="E242" s="0" t="str">
        <f aca="false">TEXT(ROUND(5.67/FX,2),"#,##0.00")&amp;" – "&amp;TEXT(ROUND(6.42/FX,2),"#,##0.00")</f>
        <v>0.79 – 0.89</v>
      </c>
    </row>
    <row r="243" customFormat="false" ht="15" hidden="false" customHeight="false" outlineLevel="0" collapsed="false">
      <c r="A243" s="0" t="s">
        <v>278</v>
      </c>
      <c r="B243" s="0" t="s">
        <v>311</v>
      </c>
      <c r="C243" s="8" t="s">
        <v>313</v>
      </c>
      <c r="D243" s="0" t="n">
        <v>5</v>
      </c>
      <c r="E243" s="0" t="str">
        <f aca="false">TEXT(ROUND(1.72/FX,2),"#,##0.00")&amp;" – "&amp;TEXT(ROUND(1.95/FX,2),"#,##0.00")</f>
        <v>0.24 – 0.27</v>
      </c>
    </row>
    <row r="244" customFormat="false" ht="15" hidden="false" customHeight="false" outlineLevel="0" collapsed="false">
      <c r="A244" s="0" t="s">
        <v>278</v>
      </c>
      <c r="B244" s="0" t="s">
        <v>311</v>
      </c>
      <c r="C244" s="8" t="s">
        <v>314</v>
      </c>
      <c r="D244" s="0" t="n">
        <v>4</v>
      </c>
      <c r="E244" s="0" t="str">
        <f aca="false">TEXT(ROUND(0.1/FX,2),"#,##0.00")&amp;" – "&amp;TEXT(ROUND(0.15/FX,2),"#,##0.00")</f>
        <v>0.01 – 0.02</v>
      </c>
    </row>
    <row r="245" customFormat="false" ht="15" hidden="false" customHeight="false" outlineLevel="0" collapsed="false">
      <c r="A245" s="0" t="s">
        <v>278</v>
      </c>
      <c r="B245" s="0" t="s">
        <v>311</v>
      </c>
      <c r="C245" s="8" t="s">
        <v>315</v>
      </c>
      <c r="D245" s="0" t="n">
        <v>3</v>
      </c>
      <c r="E245" s="0" t="str">
        <f aca="false">TEXT(ROUND(0.27/FX,2),"#,##0.00")&amp;" – "&amp;TEXT(ROUND(0.32/FX,2),"#,##0.00")</f>
        <v>0.04 – 0.04</v>
      </c>
    </row>
    <row r="246" customFormat="false" ht="15" hidden="false" customHeight="false" outlineLevel="0" collapsed="false">
      <c r="A246" s="0" t="s">
        <v>278</v>
      </c>
      <c r="B246" s="0" t="s">
        <v>311</v>
      </c>
      <c r="C246" s="8" t="s">
        <v>316</v>
      </c>
      <c r="D246" s="0" t="n">
        <v>1</v>
      </c>
      <c r="E246" s="0" t="str">
        <f aca="false">TEXT(ROUND(1.56/FX,2),"#,##0.00")</f>
        <v>0.22</v>
      </c>
    </row>
    <row r="247" customFormat="false" ht="15" hidden="false" customHeight="false" outlineLevel="0" collapsed="false">
      <c r="A247" s="0" t="s">
        <v>278</v>
      </c>
      <c r="B247" s="0" t="s">
        <v>311</v>
      </c>
      <c r="C247" s="8" t="s">
        <v>317</v>
      </c>
      <c r="D247" s="0" t="n">
        <v>1</v>
      </c>
      <c r="E247" s="0" t="str">
        <f aca="false">TEXT(ROUND(3.38/FX,2),"#,##0.00")</f>
        <v>0.47</v>
      </c>
    </row>
    <row r="248" customFormat="false" ht="15" hidden="false" customHeight="false" outlineLevel="0" collapsed="false">
      <c r="A248" s="0" t="s">
        <v>278</v>
      </c>
      <c r="B248" s="0" t="s">
        <v>311</v>
      </c>
      <c r="C248" s="8" t="s">
        <v>318</v>
      </c>
      <c r="D248" s="0" t="n">
        <v>2</v>
      </c>
      <c r="E248" s="0" t="str">
        <f aca="false">TEXT(ROUND(182/FX,2),"#,##0.00")&amp;" – "&amp;TEXT(ROUND(221/FX,2),"#,##0.00")</f>
        <v>25.28 – 30.69</v>
      </c>
    </row>
    <row r="249" customFormat="false" ht="15" hidden="false" customHeight="false" outlineLevel="0" collapsed="false">
      <c r="A249" s="0" t="s">
        <v>278</v>
      </c>
      <c r="B249" s="0" t="s">
        <v>311</v>
      </c>
      <c r="C249" s="8" t="s">
        <v>319</v>
      </c>
      <c r="D249" s="0" t="n">
        <v>12</v>
      </c>
      <c r="E249" s="0" t="str">
        <f aca="false">TEXT(ROUND(1.82/FX,2),"#,##0.00")&amp;" – "&amp;TEXT(ROUND(10.09/FX,2),"#,##0.00")</f>
        <v>0.25 – 1.40</v>
      </c>
    </row>
    <row r="250" customFormat="false" ht="15" hidden="false" customHeight="false" outlineLevel="0" collapsed="false">
      <c r="A250" s="0" t="s">
        <v>278</v>
      </c>
      <c r="B250" s="0" t="s">
        <v>311</v>
      </c>
      <c r="C250" s="8" t="s">
        <v>320</v>
      </c>
      <c r="D250" s="0" t="n">
        <v>10</v>
      </c>
      <c r="E250" s="0" t="str">
        <f aca="false">TEXT(ROUND(1.02/FX,2),"#,##0.00")&amp;" – "&amp;TEXT(ROUND(5.07/FX,2),"#,##0.00")</f>
        <v>0.14 – 0.70</v>
      </c>
    </row>
    <row r="251" customFormat="false" ht="15" hidden="false" customHeight="false" outlineLevel="0" collapsed="false">
      <c r="A251" s="0" t="s">
        <v>278</v>
      </c>
      <c r="B251" s="0" t="s">
        <v>311</v>
      </c>
      <c r="C251" s="8" t="s">
        <v>321</v>
      </c>
      <c r="D251" s="0" t="n">
        <v>6</v>
      </c>
      <c r="E251" s="0" t="str">
        <f aca="false">TEXT(ROUND(1.04/FX,2),"#,##0.00")&amp;" – "&amp;TEXT(ROUND(23.4/FX,2),"#,##0.00")</f>
        <v>0.14 – 3.25</v>
      </c>
    </row>
    <row r="252" customFormat="false" ht="15" hidden="false" customHeight="false" outlineLevel="0" collapsed="false">
      <c r="A252" s="0" t="s">
        <v>278</v>
      </c>
      <c r="B252" s="0" t="s">
        <v>311</v>
      </c>
      <c r="C252" s="8" t="s">
        <v>322</v>
      </c>
      <c r="D252" s="0" t="n">
        <v>1</v>
      </c>
      <c r="E252" s="0" t="str">
        <f aca="false">TEXT(ROUND(13.91/FX,2),"#,##0.00")</f>
        <v>1.93</v>
      </c>
    </row>
    <row r="253" customFormat="false" ht="15" hidden="false" customHeight="false" outlineLevel="0" collapsed="false">
      <c r="A253" s="0" t="s">
        <v>278</v>
      </c>
      <c r="B253" s="0" t="s">
        <v>311</v>
      </c>
      <c r="C253" s="8" t="s">
        <v>323</v>
      </c>
      <c r="D253" s="0" t="n">
        <v>3</v>
      </c>
      <c r="E253" s="0" t="str">
        <f aca="false">TEXT(ROUND(44.34/FX,2),"#,##0.00")&amp;" – "&amp;TEXT(ROUND(85.96/FX,2),"#,##0.00")</f>
        <v>6.16 – 11.94</v>
      </c>
    </row>
    <row r="254" customFormat="false" ht="15" hidden="false" customHeight="false" outlineLevel="0" collapsed="false">
      <c r="A254" s="0" t="s">
        <v>278</v>
      </c>
      <c r="B254" s="0" t="s">
        <v>311</v>
      </c>
      <c r="C254" s="8" t="s">
        <v>324</v>
      </c>
      <c r="D254" s="0" t="n">
        <v>1</v>
      </c>
      <c r="E254" s="0" t="str">
        <f aca="false">TEXT(ROUND(1.56/FX,2),"#,##0.00")</f>
        <v>0.22</v>
      </c>
    </row>
    <row r="255" customFormat="false" ht="15" hidden="false" customHeight="false" outlineLevel="0" collapsed="false">
      <c r="A255" s="0" t="s">
        <v>278</v>
      </c>
      <c r="B255" s="0" t="s">
        <v>311</v>
      </c>
      <c r="C255" s="8" t="s">
        <v>325</v>
      </c>
      <c r="D255" s="0" t="n">
        <v>54</v>
      </c>
      <c r="E255" s="0" t="str">
        <f aca="false">TEXT(ROUND(16.9/FX,2),"#,##0.00")&amp;" – "&amp;TEXT(ROUND(81.9/FX,2),"#,##0.00")</f>
        <v>2.35 – 11.38</v>
      </c>
    </row>
    <row r="256" customFormat="false" ht="15" hidden="false" customHeight="false" outlineLevel="0" collapsed="false">
      <c r="A256" s="0" t="s">
        <v>278</v>
      </c>
      <c r="B256" s="0" t="s">
        <v>311</v>
      </c>
      <c r="C256" s="8" t="s">
        <v>326</v>
      </c>
      <c r="D256" s="0" t="n">
        <v>1</v>
      </c>
      <c r="E256" s="0" t="str">
        <f aca="false">TEXT(ROUND(31.23/FX,2),"#,##0.00")</f>
        <v>4.34</v>
      </c>
    </row>
    <row r="257" customFormat="false" ht="15" hidden="false" customHeight="false" outlineLevel="0" collapsed="false">
      <c r="A257" s="0" t="s">
        <v>278</v>
      </c>
      <c r="B257" s="0" t="s">
        <v>311</v>
      </c>
      <c r="C257" s="8" t="s">
        <v>327</v>
      </c>
      <c r="D257" s="0" t="n">
        <v>15</v>
      </c>
      <c r="E257" s="0" t="str">
        <f aca="false">TEXT(ROUND(45.5/FX,2),"#,##0.00")&amp;" – "&amp;TEXT(ROUND(128.7/FX,2),"#,##0.00")</f>
        <v>6.32 – 17.88</v>
      </c>
    </row>
    <row r="258" customFormat="false" ht="15" hidden="false" customHeight="false" outlineLevel="0" collapsed="false">
      <c r="A258" s="0" t="s">
        <v>278</v>
      </c>
      <c r="B258" s="0" t="s">
        <v>311</v>
      </c>
      <c r="C258" s="8" t="s">
        <v>328</v>
      </c>
      <c r="D258" s="0" t="n">
        <v>9</v>
      </c>
      <c r="E258" s="0" t="str">
        <f aca="false">TEXT(ROUND(1.56/FX,2),"#,##0.00")&amp;" – "&amp;TEXT(ROUND(3.25/FX,2),"#,##0.00")</f>
        <v>0.22 – 0.45</v>
      </c>
    </row>
    <row r="259" customFormat="false" ht="15" hidden="false" customHeight="false" outlineLevel="0" collapsed="false">
      <c r="A259" s="0" t="s">
        <v>278</v>
      </c>
      <c r="B259" s="0" t="s">
        <v>329</v>
      </c>
      <c r="C259" s="8" t="s">
        <v>330</v>
      </c>
      <c r="D259" s="0" t="n">
        <v>3</v>
      </c>
      <c r="E259" s="0" t="str">
        <f aca="false">TEXT(ROUND(1.69/FX,2),"#,##0.00")&amp;" – "&amp;TEXT(ROUND(3.25/FX,2),"#,##0.00")</f>
        <v>0.23 – 0.45</v>
      </c>
    </row>
    <row r="260" customFormat="false" ht="15" hidden="false" customHeight="false" outlineLevel="0" collapsed="false">
      <c r="A260" s="0" t="s">
        <v>278</v>
      </c>
      <c r="B260" s="0" t="s">
        <v>329</v>
      </c>
      <c r="C260" s="8" t="s">
        <v>331</v>
      </c>
      <c r="D260" s="0" t="n">
        <v>7</v>
      </c>
      <c r="E260" s="0" t="str">
        <f aca="false">TEXT(ROUND(0.33/FX,2),"#,##0.00")&amp;" – "&amp;TEXT(ROUND(5/FX,2),"#,##0.00")</f>
        <v>0.05 – 0.69</v>
      </c>
    </row>
    <row r="261" customFormat="false" ht="15" hidden="false" customHeight="false" outlineLevel="0" collapsed="false">
      <c r="A261" s="0" t="s">
        <v>278</v>
      </c>
      <c r="B261" s="0" t="s">
        <v>329</v>
      </c>
      <c r="C261" s="8" t="s">
        <v>332</v>
      </c>
      <c r="D261" s="0" t="n">
        <v>2</v>
      </c>
      <c r="E261" s="0" t="str">
        <f aca="false">TEXT(ROUND(3.25/FX,2),"#,##0.00")&amp;" – "&amp;TEXT(ROUND(3.5/FX,2),"#,##0.00")</f>
        <v>0.45 – 0.49</v>
      </c>
    </row>
    <row r="262" customFormat="false" ht="15" hidden="false" customHeight="false" outlineLevel="0" collapsed="false">
      <c r="A262" s="0" t="s">
        <v>278</v>
      </c>
      <c r="B262" s="0" t="s">
        <v>329</v>
      </c>
      <c r="C262" s="8" t="s">
        <v>333</v>
      </c>
      <c r="D262" s="0" t="n">
        <v>2</v>
      </c>
      <c r="E262" s="0" t="str">
        <f aca="false">TEXT(ROUND(11.05/FX,2),"#,##0.00")&amp;" – "&amp;TEXT(ROUND(17.55/FX,2),"#,##0.00")</f>
        <v>1.53 – 2.44</v>
      </c>
    </row>
    <row r="263" customFormat="false" ht="15" hidden="false" customHeight="false" outlineLevel="0" collapsed="false">
      <c r="A263" s="0" t="s">
        <v>278</v>
      </c>
      <c r="B263" s="0" t="s">
        <v>329</v>
      </c>
      <c r="C263" s="8" t="s">
        <v>334</v>
      </c>
      <c r="D263" s="0" t="n">
        <v>1</v>
      </c>
      <c r="E263" s="0" t="str">
        <f aca="false">TEXT(ROUND(2.8/FX,2),"#,##0.00")</f>
        <v>0.39</v>
      </c>
    </row>
    <row r="264" customFormat="false" ht="15" hidden="false" customHeight="false" outlineLevel="0" collapsed="false">
      <c r="A264" s="0" t="s">
        <v>278</v>
      </c>
      <c r="B264" s="0" t="s">
        <v>329</v>
      </c>
      <c r="C264" s="8" t="s">
        <v>335</v>
      </c>
      <c r="D264" s="0" t="n">
        <v>1</v>
      </c>
      <c r="E264" s="0" t="str">
        <f aca="false">TEXT(ROUND(4.03/FX,2),"#,##0.00")</f>
        <v>0.56</v>
      </c>
    </row>
    <row r="265" customFormat="false" ht="15" hidden="false" customHeight="false" outlineLevel="0" collapsed="false">
      <c r="A265" s="0" t="s">
        <v>278</v>
      </c>
      <c r="B265" s="0" t="s">
        <v>329</v>
      </c>
      <c r="C265" s="8" t="s">
        <v>336</v>
      </c>
      <c r="D265" s="0" t="n">
        <v>1</v>
      </c>
      <c r="E265" s="0" t="str">
        <f aca="false">TEXT(ROUND(0.3/FX,2),"#,##0.00")</f>
        <v>0.04</v>
      </c>
    </row>
    <row r="266" customFormat="false" ht="15" hidden="false" customHeight="false" outlineLevel="0" collapsed="false">
      <c r="A266" s="0" t="s">
        <v>278</v>
      </c>
      <c r="B266" s="0" t="s">
        <v>329</v>
      </c>
      <c r="C266" s="8" t="s">
        <v>337</v>
      </c>
      <c r="D266" s="0" t="n">
        <v>2</v>
      </c>
      <c r="E266" s="0" t="str">
        <f aca="false">TEXT(ROUND(0.43/FX,2),"#,##0.00")&amp;" – "&amp;TEXT(ROUND(0.59/FX,2),"#,##0.00")</f>
        <v>0.06 – 0.08</v>
      </c>
    </row>
    <row r="267" customFormat="false" ht="15" hidden="false" customHeight="false" outlineLevel="0" collapsed="false">
      <c r="A267" s="0" t="s">
        <v>278</v>
      </c>
      <c r="B267" s="0" t="s">
        <v>329</v>
      </c>
      <c r="C267" s="8" t="s">
        <v>338</v>
      </c>
      <c r="D267" s="0" t="n">
        <v>7</v>
      </c>
      <c r="E267" s="0" t="str">
        <f aca="false">TEXT(ROUND(5.19/FX,2),"#,##0.00")&amp;" – "&amp;TEXT(ROUND(7.8/FX,2),"#,##0.00")</f>
        <v>0.72 – 1.08</v>
      </c>
    </row>
    <row r="268" customFormat="false" ht="15" hidden="false" customHeight="false" outlineLevel="0" collapsed="false">
      <c r="A268" s="0" t="s">
        <v>278</v>
      </c>
      <c r="B268" s="0" t="s">
        <v>329</v>
      </c>
      <c r="C268" s="8" t="s">
        <v>339</v>
      </c>
      <c r="D268" s="0" t="n">
        <v>2</v>
      </c>
      <c r="E268" s="0" t="str">
        <f aca="false">TEXT(ROUND(2.1/FX,2),"#,##0.00")&amp;" – "&amp;TEXT(ROUND(3.64/FX,2),"#,##0.00")</f>
        <v>0.29 – 0.51</v>
      </c>
    </row>
    <row r="269" customFormat="false" ht="15" hidden="false" customHeight="false" outlineLevel="0" collapsed="false">
      <c r="A269" s="0" t="s">
        <v>278</v>
      </c>
      <c r="B269" s="0" t="s">
        <v>329</v>
      </c>
      <c r="C269" s="8" t="s">
        <v>340</v>
      </c>
      <c r="D269" s="0" t="n">
        <v>9</v>
      </c>
      <c r="E269" s="0" t="str">
        <f aca="false">TEXT(ROUND(5.85/FX,2),"#,##0.00")&amp;" – "&amp;TEXT(ROUND(8.45/FX,2),"#,##0.00")</f>
        <v>0.81 – 1.17</v>
      </c>
    </row>
    <row r="270" customFormat="false" ht="15" hidden="false" customHeight="false" outlineLevel="0" collapsed="false">
      <c r="A270" s="0" t="s">
        <v>278</v>
      </c>
      <c r="B270" s="0" t="s">
        <v>329</v>
      </c>
      <c r="C270" s="8" t="s">
        <v>341</v>
      </c>
      <c r="D270" s="0" t="n">
        <v>1</v>
      </c>
      <c r="E270" s="0" t="str">
        <f aca="false">TEXT(ROUND(3.12/FX,2),"#,##0.00")</f>
        <v>0.43</v>
      </c>
    </row>
    <row r="271" customFormat="false" ht="15" hidden="false" customHeight="false" outlineLevel="0" collapsed="false">
      <c r="A271" s="0" t="s">
        <v>278</v>
      </c>
      <c r="B271" s="0" t="s">
        <v>329</v>
      </c>
      <c r="C271" s="8" t="s">
        <v>342</v>
      </c>
      <c r="D271" s="0" t="n">
        <v>28</v>
      </c>
      <c r="E271" s="0" t="str">
        <f aca="false">TEXT(ROUND(4.03/FX,2),"#,##0.00")&amp;" – "&amp;TEXT(ROUND(11.05/FX,2),"#,##0.00")</f>
        <v>0.56 – 1.53</v>
      </c>
    </row>
    <row r="272" customFormat="false" ht="15" hidden="false" customHeight="false" outlineLevel="0" collapsed="false">
      <c r="A272" s="0" t="s">
        <v>278</v>
      </c>
      <c r="B272" s="0" t="s">
        <v>329</v>
      </c>
      <c r="C272" s="8" t="s">
        <v>343</v>
      </c>
      <c r="D272" s="0" t="n">
        <v>2</v>
      </c>
      <c r="E272" s="0" t="str">
        <f aca="false">TEXT(ROUND(9.72/FX,2),"#,##0.00")&amp;" – "&amp;TEXT(ROUND(11.44/FX,2),"#,##0.00")</f>
        <v>1.35 – 1.59</v>
      </c>
    </row>
    <row r="273" customFormat="false" ht="15" hidden="false" customHeight="false" outlineLevel="0" collapsed="false">
      <c r="A273" s="0" t="s">
        <v>278</v>
      </c>
      <c r="B273" s="0" t="s">
        <v>329</v>
      </c>
      <c r="C273" s="8" t="s">
        <v>344</v>
      </c>
      <c r="D273" s="0" t="n">
        <v>4</v>
      </c>
      <c r="E273" s="0" t="str">
        <f aca="false">TEXT(ROUND(2.6/FX,2),"#,##0.00")&amp;" – "&amp;TEXT(ROUND(5.07/FX,2),"#,##0.00")</f>
        <v>0.36 – 0.70</v>
      </c>
    </row>
    <row r="274" customFormat="false" ht="15" hidden="false" customHeight="false" outlineLevel="0" collapsed="false">
      <c r="A274" s="0" t="s">
        <v>278</v>
      </c>
      <c r="B274" s="0" t="s">
        <v>329</v>
      </c>
      <c r="C274" s="8" t="s">
        <v>345</v>
      </c>
      <c r="D274" s="0" t="n">
        <v>9</v>
      </c>
      <c r="E274" s="0" t="str">
        <f aca="false">TEXT(ROUND(5.72/FX,2),"#,##0.00")&amp;" – "&amp;TEXT(ROUND(5.85/FX,2),"#,##0.00")</f>
        <v>0.79 – 0.81</v>
      </c>
    </row>
    <row r="275" customFormat="false" ht="15" hidden="false" customHeight="false" outlineLevel="0" collapsed="false">
      <c r="A275" s="0" t="s">
        <v>278</v>
      </c>
      <c r="B275" s="0" t="s">
        <v>329</v>
      </c>
      <c r="C275" s="8" t="s">
        <v>346</v>
      </c>
      <c r="D275" s="0" t="n">
        <v>1</v>
      </c>
      <c r="E275" s="0" t="str">
        <f aca="false">TEXT(ROUND(1.77/FX,2),"#,##0.00")</f>
        <v>0.25</v>
      </c>
    </row>
    <row r="276" customFormat="false" ht="15" hidden="false" customHeight="false" outlineLevel="0" collapsed="false">
      <c r="A276" s="0" t="s">
        <v>278</v>
      </c>
      <c r="B276" s="0" t="s">
        <v>329</v>
      </c>
      <c r="C276" s="8" t="s">
        <v>347</v>
      </c>
      <c r="D276" s="0" t="n">
        <v>2</v>
      </c>
      <c r="E276" s="0" t="str">
        <f aca="false">TEXT(ROUND(39/FX,2),"#,##0.00")&amp;" – "&amp;TEXT(ROUND(46.8/FX,2),"#,##0.00")</f>
        <v>5.42 – 6.50</v>
      </c>
    </row>
    <row r="277" customFormat="false" ht="15" hidden="false" customHeight="false" outlineLevel="0" collapsed="false">
      <c r="A277" s="0" t="s">
        <v>278</v>
      </c>
      <c r="B277" s="0" t="s">
        <v>348</v>
      </c>
      <c r="C277" s="8" t="s">
        <v>349</v>
      </c>
      <c r="D277" s="0" t="n">
        <v>203</v>
      </c>
      <c r="E277" s="0" t="str">
        <f aca="false">TEXT(ROUND(0.65/FX,2),"#,##0.00")&amp;" – "&amp;TEXT(ROUND(78/FX,2),"#,##0.00")</f>
        <v>0.09 – 10.83</v>
      </c>
    </row>
    <row r="278" customFormat="false" ht="15" hidden="false" customHeight="false" outlineLevel="0" collapsed="false">
      <c r="A278" s="0" t="s">
        <v>278</v>
      </c>
      <c r="B278" s="0" t="s">
        <v>350</v>
      </c>
      <c r="C278" s="8" t="s">
        <v>351</v>
      </c>
      <c r="D278" s="0" t="n">
        <v>6</v>
      </c>
      <c r="E278" s="0" t="str">
        <f aca="false">TEXT(ROUND(14.3/FX,2),"#,##0.00")&amp;" – "&amp;TEXT(ROUND(15.6/FX,2),"#,##0.00")</f>
        <v>1.99 – 2.17</v>
      </c>
    </row>
    <row r="279" customFormat="false" ht="15" hidden="false" customHeight="false" outlineLevel="0" collapsed="false">
      <c r="A279" s="0" t="s">
        <v>278</v>
      </c>
      <c r="B279" s="0" t="s">
        <v>350</v>
      </c>
      <c r="C279" s="8" t="s">
        <v>352</v>
      </c>
      <c r="D279" s="0" t="n">
        <v>1</v>
      </c>
      <c r="E279" s="0" t="str">
        <f aca="false">TEXT(ROUND(1.3/FX,2),"#,##0.00")</f>
        <v>0.18</v>
      </c>
    </row>
    <row r="280" customFormat="false" ht="15" hidden="false" customHeight="false" outlineLevel="0" collapsed="false">
      <c r="A280" s="0" t="s">
        <v>278</v>
      </c>
      <c r="B280" s="0" t="s">
        <v>350</v>
      </c>
      <c r="C280" s="8" t="s">
        <v>353</v>
      </c>
      <c r="D280" s="0" t="n">
        <v>3</v>
      </c>
      <c r="E280" s="0" t="str">
        <f aca="false">TEXT(ROUND(8.84/FX,2),"#,##0.00")</f>
        <v>1.23</v>
      </c>
    </row>
    <row r="281" customFormat="false" ht="15" hidden="false" customHeight="false" outlineLevel="0" collapsed="false">
      <c r="A281" s="0" t="s">
        <v>278</v>
      </c>
      <c r="B281" s="0" t="s">
        <v>350</v>
      </c>
      <c r="C281" s="8" t="s">
        <v>354</v>
      </c>
      <c r="D281" s="0" t="n">
        <v>2</v>
      </c>
      <c r="E281" s="0" t="str">
        <f aca="false">TEXT(ROUND(11.7/FX,2),"#,##0.00")&amp;" – "&amp;TEXT(ROUND(15.6/FX,2),"#,##0.00")</f>
        <v>1.63 – 2.17</v>
      </c>
    </row>
    <row r="282" customFormat="false" ht="15" hidden="false" customHeight="false" outlineLevel="0" collapsed="false">
      <c r="A282" s="0" t="s">
        <v>278</v>
      </c>
      <c r="B282" s="0" t="s">
        <v>350</v>
      </c>
      <c r="C282" s="8" t="s">
        <v>355</v>
      </c>
      <c r="D282" s="0" t="n">
        <v>6</v>
      </c>
      <c r="E282" s="0" t="str">
        <f aca="false">TEXT(ROUND(0.52/FX,2),"#,##0.00")&amp;" – "&amp;TEXT(ROUND(1.26/FX,2),"#,##0.00")</f>
        <v>0.07 – 0.18</v>
      </c>
    </row>
    <row r="283" customFormat="false" ht="15" hidden="false" customHeight="false" outlineLevel="0" collapsed="false">
      <c r="A283" s="0" t="s">
        <v>278</v>
      </c>
      <c r="B283" s="0" t="s">
        <v>350</v>
      </c>
      <c r="C283" s="8" t="s">
        <v>356</v>
      </c>
      <c r="D283" s="0" t="n">
        <v>2</v>
      </c>
      <c r="E283" s="0" t="str">
        <f aca="false">TEXT(ROUND(3.3/FX,2),"#,##0.00")</f>
        <v>0.46</v>
      </c>
    </row>
    <row r="284" customFormat="false" ht="15" hidden="false" customHeight="false" outlineLevel="0" collapsed="false">
      <c r="A284" s="0" t="s">
        <v>278</v>
      </c>
      <c r="B284" s="0" t="s">
        <v>357</v>
      </c>
      <c r="C284" s="8" t="s">
        <v>358</v>
      </c>
      <c r="D284" s="0" t="n">
        <v>24</v>
      </c>
      <c r="E284" s="0" t="str">
        <f aca="false">TEXT(ROUND(1.93/FX,2),"#,##0.00")&amp;" – "&amp;TEXT(ROUND(6.85/FX,2),"#,##0.00")</f>
        <v>0.27 – 0.95</v>
      </c>
    </row>
    <row r="285" customFormat="false" ht="15" hidden="false" customHeight="false" outlineLevel="0" collapsed="false">
      <c r="A285" s="0" t="s">
        <v>278</v>
      </c>
      <c r="B285" s="0" t="s">
        <v>357</v>
      </c>
      <c r="C285" s="8" t="s">
        <v>359</v>
      </c>
      <c r="D285" s="0" t="n">
        <v>17</v>
      </c>
      <c r="E285" s="0" t="str">
        <f aca="false">TEXT(ROUND(1.3/FX,2),"#,##0.00")&amp;" – "&amp;TEXT(ROUND(12.35/FX,2),"#,##0.00")</f>
        <v>0.18 – 1.72</v>
      </c>
    </row>
    <row r="286" customFormat="false" ht="15" hidden="false" customHeight="false" outlineLevel="0" collapsed="false">
      <c r="A286" s="0" t="s">
        <v>278</v>
      </c>
      <c r="B286" s="0" t="s">
        <v>357</v>
      </c>
      <c r="C286" s="8" t="s">
        <v>360</v>
      </c>
      <c r="D286" s="0" t="n">
        <v>6</v>
      </c>
      <c r="E286" s="0" t="str">
        <f aca="false">TEXT(ROUND(3.1/FX,2),"#,##0.00")&amp;" – "&amp;TEXT(ROUND(61.97/FX,2),"#,##0.00")</f>
        <v>0.43 – 8.61</v>
      </c>
    </row>
    <row r="287" customFormat="false" ht="15" hidden="false" customHeight="false" outlineLevel="0" collapsed="false">
      <c r="A287" s="0" t="s">
        <v>278</v>
      </c>
      <c r="B287" s="0" t="s">
        <v>357</v>
      </c>
      <c r="C287" s="8" t="s">
        <v>361</v>
      </c>
      <c r="D287" s="0" t="n">
        <v>1</v>
      </c>
      <c r="E287" s="0" t="str">
        <f aca="false">TEXT(ROUND(84.5/FX,2),"#,##0.00")</f>
        <v>11.74</v>
      </c>
    </row>
    <row r="288" customFormat="false" ht="15" hidden="false" customHeight="false" outlineLevel="0" collapsed="false">
      <c r="A288" s="0" t="s">
        <v>278</v>
      </c>
      <c r="B288" s="0" t="s">
        <v>357</v>
      </c>
      <c r="C288" s="8" t="s">
        <v>362</v>
      </c>
      <c r="D288" s="0" t="n">
        <v>3</v>
      </c>
      <c r="E288" s="0" t="str">
        <f aca="false">TEXT(ROUND(3/FX,2),"#,##0.00")</f>
        <v>0.42</v>
      </c>
    </row>
    <row r="289" customFormat="false" ht="15" hidden="false" customHeight="false" outlineLevel="0" collapsed="false">
      <c r="A289" s="0" t="s">
        <v>278</v>
      </c>
      <c r="B289" s="0" t="s">
        <v>357</v>
      </c>
      <c r="C289" s="8" t="s">
        <v>363</v>
      </c>
      <c r="D289" s="0" t="n">
        <v>18</v>
      </c>
      <c r="E289" s="0" t="str">
        <f aca="false">TEXT(ROUND(1/FX,2),"#,##0.00")&amp;" – "&amp;TEXT(ROUND(175.5/FX,2),"#,##0.00")</f>
        <v>0.14 – 24.38</v>
      </c>
    </row>
    <row r="290" customFormat="false" ht="15" hidden="false" customHeight="false" outlineLevel="0" collapsed="false">
      <c r="A290" s="0" t="s">
        <v>278</v>
      </c>
      <c r="B290" s="0" t="s">
        <v>364</v>
      </c>
      <c r="C290" s="8" t="s">
        <v>365</v>
      </c>
      <c r="D290" s="0" t="n">
        <v>39</v>
      </c>
      <c r="E290" s="0" t="str">
        <f aca="false">TEXT(ROUND(0.82/FX,2),"#,##0.00")&amp;" – "&amp;TEXT(ROUND(6.8/FX,2),"#,##0.00")</f>
        <v>0.11 – 0.94</v>
      </c>
    </row>
    <row r="291" customFormat="false" ht="15" hidden="false" customHeight="false" outlineLevel="0" collapsed="false">
      <c r="A291" s="0" t="s">
        <v>278</v>
      </c>
      <c r="B291" s="0" t="s">
        <v>364</v>
      </c>
      <c r="C291" s="8" t="s">
        <v>366</v>
      </c>
      <c r="D291" s="0" t="n">
        <v>3</v>
      </c>
      <c r="E291" s="0" t="str">
        <f aca="false">TEXT(ROUND(0.19/FX,2),"#,##0.00")&amp;" – "&amp;TEXT(ROUND(0.33/FX,2),"#,##0.00")</f>
        <v>0.03 – 0.05</v>
      </c>
    </row>
    <row r="292" customFormat="false" ht="15" hidden="false" customHeight="false" outlineLevel="0" collapsed="false">
      <c r="A292" s="0" t="s">
        <v>278</v>
      </c>
      <c r="B292" s="0" t="s">
        <v>364</v>
      </c>
      <c r="C292" s="8" t="s">
        <v>367</v>
      </c>
      <c r="D292" s="0" t="n">
        <v>1</v>
      </c>
      <c r="E292" s="0" t="str">
        <f aca="false">TEXT(ROUND(2.52/FX,2),"#,##0.00")</f>
        <v>0.35</v>
      </c>
    </row>
    <row r="293" customFormat="false" ht="15" hidden="false" customHeight="false" outlineLevel="0" collapsed="false">
      <c r="A293" s="0" t="s">
        <v>278</v>
      </c>
      <c r="B293" s="0" t="s">
        <v>364</v>
      </c>
      <c r="C293" s="8" t="s">
        <v>368</v>
      </c>
      <c r="D293" s="0" t="n">
        <v>30</v>
      </c>
      <c r="E293" s="0" t="str">
        <f aca="false">TEXT(ROUND(7.15/FX,2),"#,##0.00")&amp;" – "&amp;TEXT(ROUND(36.4/FX,2),"#,##0.00")</f>
        <v>0.99 – 5.06</v>
      </c>
    </row>
    <row r="294" customFormat="false" ht="15" hidden="false" customHeight="false" outlineLevel="0" collapsed="false">
      <c r="A294" s="0" t="s">
        <v>278</v>
      </c>
      <c r="B294" s="0" t="s">
        <v>364</v>
      </c>
      <c r="C294" s="8" t="s">
        <v>369</v>
      </c>
      <c r="D294" s="0" t="n">
        <v>2</v>
      </c>
      <c r="E294" s="0" t="str">
        <f aca="false">TEXT(ROUND(2.34/FX,2),"#,##0.00")&amp;" – "&amp;TEXT(ROUND(8.45/FX,2),"#,##0.00")</f>
        <v>0.33 – 1.17</v>
      </c>
    </row>
    <row r="295" customFormat="false" ht="15" hidden="false" customHeight="false" outlineLevel="0" collapsed="false">
      <c r="A295" s="0" t="s">
        <v>278</v>
      </c>
      <c r="B295" s="0" t="s">
        <v>370</v>
      </c>
      <c r="C295" s="8" t="s">
        <v>371</v>
      </c>
      <c r="D295" s="0" t="n">
        <v>4</v>
      </c>
      <c r="E295" s="0" t="str">
        <f aca="false">TEXT(ROUND(26/FX,2),"#,##0.00")&amp;" – "&amp;TEXT(ROUND(39/FX,2),"#,##0.00")</f>
        <v>3.61 – 5.42</v>
      </c>
    </row>
    <row r="296" customFormat="false" ht="15" hidden="false" customHeight="false" outlineLevel="0" collapsed="false">
      <c r="A296" s="0" t="s">
        <v>278</v>
      </c>
      <c r="B296" s="0" t="s">
        <v>370</v>
      </c>
      <c r="C296" s="8" t="s">
        <v>372</v>
      </c>
      <c r="D296" s="0" t="n">
        <v>6</v>
      </c>
      <c r="E296" s="0" t="str">
        <f aca="false">TEXT(ROUND(39/FX,2),"#,##0.00")&amp;" – "&amp;TEXT(ROUND(97.5/FX,2),"#,##0.00")</f>
        <v>5.42 – 13.54</v>
      </c>
    </row>
    <row r="297" customFormat="false" ht="15" hidden="false" customHeight="false" outlineLevel="0" collapsed="false">
      <c r="A297" s="0" t="s">
        <v>278</v>
      </c>
      <c r="B297" s="0" t="s">
        <v>370</v>
      </c>
      <c r="C297" s="8" t="s">
        <v>373</v>
      </c>
      <c r="D297" s="0" t="n">
        <v>1</v>
      </c>
      <c r="E297" s="0" t="str">
        <f aca="false">TEXT(ROUND(63.7/FX,2),"#,##0.00")</f>
        <v>8.85</v>
      </c>
    </row>
    <row r="298" customFormat="false" ht="15" hidden="false" customHeight="false" outlineLevel="0" collapsed="false">
      <c r="A298" s="0" t="s">
        <v>278</v>
      </c>
      <c r="B298" s="0" t="s">
        <v>370</v>
      </c>
      <c r="C298" s="8" t="s">
        <v>374</v>
      </c>
      <c r="D298" s="0" t="n">
        <v>5</v>
      </c>
      <c r="E298" s="0" t="str">
        <f aca="false">TEXT(ROUND(35.1/FX,2),"#,##0.00")&amp;" – "&amp;TEXT(ROUND(45.5/FX,2),"#,##0.00")</f>
        <v>4.88 – 6.32</v>
      </c>
    </row>
    <row r="299" customFormat="false" ht="15" hidden="false" customHeight="false" outlineLevel="0" collapsed="false">
      <c r="A299" s="0" t="s">
        <v>278</v>
      </c>
      <c r="B299" s="0" t="s">
        <v>375</v>
      </c>
      <c r="C299" s="8" t="s">
        <v>376</v>
      </c>
      <c r="D299" s="0" t="n">
        <v>1</v>
      </c>
      <c r="E299" s="0" t="str">
        <f aca="false">TEXT(ROUND(18.59/FX,2),"#,##0.00")</f>
        <v>2.58</v>
      </c>
    </row>
    <row r="300" customFormat="false" ht="15" hidden="false" customHeight="false" outlineLevel="0" collapsed="false">
      <c r="A300" s="0" t="s">
        <v>278</v>
      </c>
      <c r="B300" s="0" t="s">
        <v>375</v>
      </c>
      <c r="C300" s="8" t="s">
        <v>377</v>
      </c>
      <c r="D300" s="0" t="n">
        <v>2</v>
      </c>
      <c r="E300" s="0" t="str">
        <f aca="false">TEXT(ROUND(8.65/FX,2),"#,##0.00")&amp;" – "&amp;TEXT(ROUND(10.4/FX,2),"#,##0.00")</f>
        <v>1.20 – 1.44</v>
      </c>
    </row>
    <row r="301" customFormat="false" ht="15" hidden="false" customHeight="false" outlineLevel="0" collapsed="false">
      <c r="A301" s="0" t="s">
        <v>278</v>
      </c>
      <c r="B301" s="0" t="s">
        <v>375</v>
      </c>
      <c r="C301" s="8" t="s">
        <v>378</v>
      </c>
      <c r="D301" s="0" t="n">
        <v>1</v>
      </c>
      <c r="E301" s="0" t="str">
        <f aca="false">TEXT(ROUND(58.5/FX,2),"#,##0.00")</f>
        <v>8.13</v>
      </c>
    </row>
    <row r="302" customFormat="false" ht="15" hidden="false" customHeight="false" outlineLevel="0" collapsed="false">
      <c r="A302" s="0" t="s">
        <v>278</v>
      </c>
      <c r="B302" s="0" t="s">
        <v>375</v>
      </c>
      <c r="C302" s="8" t="s">
        <v>379</v>
      </c>
      <c r="D302" s="0" t="n">
        <v>12</v>
      </c>
      <c r="E302" s="0" t="str">
        <f aca="false">TEXT(ROUND(7/FX,2),"#,##0.00")&amp;" – "&amp;TEXT(ROUND(11/FX,2),"#,##0.00")</f>
        <v>0.97 – 1.53</v>
      </c>
    </row>
    <row r="303" customFormat="false" ht="15" hidden="false" customHeight="false" outlineLevel="0" collapsed="false">
      <c r="A303" s="0" t="s">
        <v>278</v>
      </c>
      <c r="B303" s="0" t="s">
        <v>375</v>
      </c>
      <c r="C303" s="8" t="s">
        <v>380</v>
      </c>
      <c r="D303" s="0" t="n">
        <v>2</v>
      </c>
      <c r="E303" s="0" t="str">
        <f aca="false">TEXT(ROUND(40.3/FX,2),"#,##0.00")</f>
        <v>5.60</v>
      </c>
    </row>
    <row r="304" customFormat="false" ht="15" hidden="false" customHeight="false" outlineLevel="0" collapsed="false">
      <c r="A304" s="0" t="s">
        <v>278</v>
      </c>
      <c r="B304" s="0" t="s">
        <v>375</v>
      </c>
      <c r="C304" s="8" t="s">
        <v>381</v>
      </c>
      <c r="D304" s="0" t="n">
        <v>1</v>
      </c>
      <c r="E304" s="0" t="str">
        <f aca="false">TEXT(ROUND(88.27/FX,2),"#,##0.00")</f>
        <v>12.26</v>
      </c>
    </row>
    <row r="305" customFormat="false" ht="15" hidden="false" customHeight="false" outlineLevel="0" collapsed="false">
      <c r="A305" s="0" t="s">
        <v>278</v>
      </c>
      <c r="B305" s="0" t="s">
        <v>375</v>
      </c>
      <c r="C305" s="8" t="s">
        <v>382</v>
      </c>
      <c r="D305" s="0" t="n">
        <v>9</v>
      </c>
      <c r="E305" s="0" t="str">
        <f aca="false">TEXT(ROUND(40.3/FX,2),"#,##0.00")&amp;" – "&amp;TEXT(ROUND(160/FX,2),"#,##0.00")</f>
        <v>5.60 – 22.22</v>
      </c>
    </row>
    <row r="306" customFormat="false" ht="15" hidden="false" customHeight="false" outlineLevel="0" collapsed="false">
      <c r="A306" s="0" t="s">
        <v>278</v>
      </c>
      <c r="B306" s="0" t="s">
        <v>375</v>
      </c>
      <c r="C306" s="8" t="s">
        <v>383</v>
      </c>
      <c r="D306" s="0" t="n">
        <v>48</v>
      </c>
      <c r="E306" s="0" t="str">
        <f aca="false">TEXT(ROUND(1.85/FX,2),"#,##0.00")&amp;" – "&amp;TEXT(ROUND(43.94/FX,2),"#,##0.00")</f>
        <v>0.26 – 6.10</v>
      </c>
    </row>
    <row r="307" customFormat="false" ht="15" hidden="false" customHeight="false" outlineLevel="0" collapsed="false">
      <c r="A307" s="0" t="s">
        <v>278</v>
      </c>
      <c r="B307" s="0" t="s">
        <v>375</v>
      </c>
      <c r="C307" s="8" t="s">
        <v>384</v>
      </c>
      <c r="D307" s="0" t="n">
        <v>1</v>
      </c>
      <c r="E307" s="0" t="str">
        <f aca="false">TEXT(ROUND(9.12/FX,2),"#,##0.00")</f>
        <v>1.27</v>
      </c>
    </row>
    <row r="308" customFormat="false" ht="15" hidden="false" customHeight="false" outlineLevel="0" collapsed="false">
      <c r="A308" s="0" t="s">
        <v>278</v>
      </c>
      <c r="B308" s="0" t="s">
        <v>375</v>
      </c>
      <c r="C308" s="8" t="s">
        <v>385</v>
      </c>
      <c r="D308" s="0" t="n">
        <v>79</v>
      </c>
      <c r="E308" s="0" t="str">
        <f aca="false">TEXT(ROUND(0.38/FX,2),"#,##0.00")&amp;" – "&amp;TEXT(ROUND(234/FX,2),"#,##0.00")</f>
        <v>0.05 – 32.50</v>
      </c>
    </row>
    <row r="309" customFormat="false" ht="15" hidden="false" customHeight="false" outlineLevel="0" collapsed="false">
      <c r="A309" s="0" t="s">
        <v>278</v>
      </c>
      <c r="B309" s="0" t="s">
        <v>375</v>
      </c>
      <c r="C309" s="8" t="s">
        <v>386</v>
      </c>
      <c r="D309" s="0" t="n">
        <v>4</v>
      </c>
      <c r="E309" s="0" t="str">
        <f aca="false">TEXT(ROUND(24.44/FX,2),"#,##0.00")&amp;" – "&amp;TEXT(ROUND(596.44/FX,2),"#,##0.00")</f>
        <v>3.39 – 82.84</v>
      </c>
    </row>
    <row r="310" customFormat="false" ht="15" hidden="false" customHeight="false" outlineLevel="0" collapsed="false">
      <c r="A310" s="0" t="s">
        <v>387</v>
      </c>
      <c r="B310" s="0" t="s">
        <v>388</v>
      </c>
      <c r="C310" s="8" t="s">
        <v>389</v>
      </c>
      <c r="D310" s="0" t="n">
        <v>1</v>
      </c>
      <c r="E310" s="0" t="str">
        <f aca="false">TEXT(ROUND(36.4/FX,2),"#,##0.00")</f>
        <v>5.06</v>
      </c>
    </row>
    <row r="311" customFormat="false" ht="15" hidden="false" customHeight="false" outlineLevel="0" collapsed="false">
      <c r="A311" s="0" t="s">
        <v>387</v>
      </c>
      <c r="B311" s="0" t="s">
        <v>388</v>
      </c>
      <c r="C311" s="8" t="s">
        <v>390</v>
      </c>
      <c r="D311" s="0" t="n">
        <v>2</v>
      </c>
      <c r="E311" s="0" t="str">
        <f aca="false">TEXT(ROUND(0.22/FX,2),"#,##0.00")&amp;" – "&amp;TEXT(ROUND(0.65/FX,2),"#,##0.00")</f>
        <v>0.03 – 0.09</v>
      </c>
    </row>
    <row r="312" customFormat="false" ht="15" hidden="false" customHeight="false" outlineLevel="0" collapsed="false">
      <c r="A312" s="0" t="s">
        <v>387</v>
      </c>
      <c r="B312" s="0" t="s">
        <v>388</v>
      </c>
      <c r="C312" s="8" t="s">
        <v>391</v>
      </c>
      <c r="D312" s="0" t="n">
        <v>1</v>
      </c>
      <c r="E312" s="0" t="str">
        <f aca="false">TEXT(ROUND(11.7/FX,2),"#,##0.00")</f>
        <v>1.63</v>
      </c>
    </row>
    <row r="313" customFormat="false" ht="15" hidden="false" customHeight="false" outlineLevel="0" collapsed="false">
      <c r="A313" s="0" t="s">
        <v>387</v>
      </c>
      <c r="B313" s="0" t="s">
        <v>388</v>
      </c>
      <c r="C313" s="8" t="s">
        <v>392</v>
      </c>
      <c r="D313" s="0" t="n">
        <v>1</v>
      </c>
      <c r="E313" s="0" t="str">
        <f aca="false">TEXT(ROUND(3.57/FX,2),"#,##0.00")</f>
        <v>0.50</v>
      </c>
    </row>
    <row r="314" customFormat="false" ht="15" hidden="false" customHeight="false" outlineLevel="0" collapsed="false">
      <c r="A314" s="0" t="s">
        <v>387</v>
      </c>
      <c r="B314" s="0" t="s">
        <v>388</v>
      </c>
      <c r="C314" s="8" t="s">
        <v>393</v>
      </c>
      <c r="D314" s="0" t="n">
        <v>45</v>
      </c>
      <c r="E314" s="0" t="str">
        <f aca="false">TEXT(ROUND(4.42/FX,2),"#,##0.00")&amp;" – "&amp;TEXT(ROUND(12.74/FX,2),"#,##0.00")</f>
        <v>0.61 – 1.77</v>
      </c>
    </row>
    <row r="315" customFormat="false" ht="15" hidden="false" customHeight="false" outlineLevel="0" collapsed="false">
      <c r="A315" s="0" t="s">
        <v>387</v>
      </c>
      <c r="B315" s="0" t="s">
        <v>388</v>
      </c>
      <c r="C315" s="8" t="s">
        <v>394</v>
      </c>
      <c r="D315" s="0" t="n">
        <v>22</v>
      </c>
      <c r="E315" s="0" t="str">
        <f aca="false">TEXT(ROUND(10.09/FX,2),"#,##0.00")&amp;" – "&amp;TEXT(ROUND(117/FX,2),"#,##0.00")</f>
        <v>1.40 – 16.25</v>
      </c>
    </row>
    <row r="316" customFormat="false" ht="15" hidden="false" customHeight="false" outlineLevel="0" collapsed="false">
      <c r="A316" s="0" t="s">
        <v>387</v>
      </c>
      <c r="B316" s="0" t="s">
        <v>388</v>
      </c>
      <c r="C316" s="8" t="s">
        <v>395</v>
      </c>
      <c r="D316" s="0" t="n">
        <v>33</v>
      </c>
      <c r="E316" s="0" t="str">
        <f aca="false">TEXT(ROUND(7.15/FX,2),"#,##0.00")&amp;" – "&amp;TEXT(ROUND(78.6/FX,2),"#,##0.00")</f>
        <v>0.99 – 10.92</v>
      </c>
    </row>
    <row r="317" customFormat="false" ht="15" hidden="false" customHeight="false" outlineLevel="0" collapsed="false">
      <c r="A317" s="0" t="s">
        <v>387</v>
      </c>
      <c r="B317" s="0" t="s">
        <v>388</v>
      </c>
      <c r="C317" s="8" t="s">
        <v>396</v>
      </c>
      <c r="D317" s="0" t="n">
        <v>38</v>
      </c>
      <c r="E317" s="0" t="str">
        <f aca="false">TEXT(ROUND(1.65/FX,2),"#,##0.00")&amp;" – "&amp;TEXT(ROUND(11.57/FX,2),"#,##0.00")</f>
        <v>0.23 – 1.61</v>
      </c>
    </row>
    <row r="318" customFormat="false" ht="15" hidden="false" customHeight="false" outlineLevel="0" collapsed="false">
      <c r="A318" s="0" t="s">
        <v>387</v>
      </c>
      <c r="B318" s="0" t="s">
        <v>388</v>
      </c>
      <c r="C318" s="8" t="s">
        <v>397</v>
      </c>
      <c r="D318" s="0" t="n">
        <v>13</v>
      </c>
      <c r="E318" s="0" t="str">
        <f aca="false">TEXT(ROUND(9.1/FX,2),"#,##0.00")&amp;" – "&amp;TEXT(ROUND(28.6/FX,2),"#,##0.00")</f>
        <v>1.26 – 3.97</v>
      </c>
    </row>
    <row r="319" customFormat="false" ht="15" hidden="false" customHeight="false" outlineLevel="0" collapsed="false">
      <c r="A319" s="0" t="s">
        <v>387</v>
      </c>
      <c r="B319" s="0" t="s">
        <v>388</v>
      </c>
      <c r="C319" s="8" t="s">
        <v>398</v>
      </c>
      <c r="D319" s="0" t="n">
        <v>233</v>
      </c>
      <c r="E319" s="0" t="str">
        <f aca="false">TEXT(ROUND(0.59/FX,2),"#,##0.00")&amp;" – "&amp;TEXT(ROUND(13.72/FX,2),"#,##0.00")</f>
        <v>0.08 – 1.91</v>
      </c>
    </row>
    <row r="320" customFormat="false" ht="15" hidden="false" customHeight="false" outlineLevel="0" collapsed="false">
      <c r="A320" s="0" t="s">
        <v>387</v>
      </c>
      <c r="B320" s="0" t="s">
        <v>388</v>
      </c>
      <c r="C320" s="8" t="s">
        <v>399</v>
      </c>
      <c r="D320" s="0" t="n">
        <v>6</v>
      </c>
      <c r="E320" s="0" t="str">
        <f aca="false">TEXT(ROUND(4.68/FX,2),"#,##0.00")&amp;" – "&amp;TEXT(ROUND(46.8/FX,2),"#,##0.00")</f>
        <v>0.65 – 6.50</v>
      </c>
    </row>
    <row r="321" customFormat="false" ht="15" hidden="false" customHeight="false" outlineLevel="0" collapsed="false">
      <c r="A321" s="0" t="s">
        <v>387</v>
      </c>
      <c r="B321" s="0" t="s">
        <v>388</v>
      </c>
      <c r="C321" s="8" t="s">
        <v>400</v>
      </c>
      <c r="D321" s="0" t="n">
        <v>44</v>
      </c>
      <c r="E321" s="0" t="str">
        <f aca="false">TEXT(ROUND(2.34/FX,2),"#,##0.00")&amp;" – "&amp;TEXT(ROUND(45.5/FX,2),"#,##0.00")</f>
        <v>0.33 – 6.32</v>
      </c>
    </row>
    <row r="322" customFormat="false" ht="15" hidden="false" customHeight="false" outlineLevel="0" collapsed="false">
      <c r="A322" s="0" t="s">
        <v>387</v>
      </c>
      <c r="B322" s="0" t="s">
        <v>388</v>
      </c>
      <c r="C322" s="8" t="s">
        <v>401</v>
      </c>
      <c r="D322" s="0" t="n">
        <v>11</v>
      </c>
      <c r="E322" s="0" t="str">
        <f aca="false">TEXT(ROUND(2.99/FX,2),"#,##0.00")&amp;" – "&amp;TEXT(ROUND(4.16/FX,2),"#,##0.00")</f>
        <v>0.42 – 0.58</v>
      </c>
    </row>
    <row r="323" customFormat="false" ht="15" hidden="false" customHeight="false" outlineLevel="0" collapsed="false">
      <c r="A323" s="0" t="s">
        <v>387</v>
      </c>
      <c r="B323" s="0" t="s">
        <v>388</v>
      </c>
      <c r="C323" s="8" t="s">
        <v>402</v>
      </c>
      <c r="D323" s="0" t="n">
        <v>3</v>
      </c>
      <c r="E323" s="0" t="str">
        <f aca="false">TEXT(ROUND(16.9/FX,2),"#,##0.00")</f>
        <v>2.35</v>
      </c>
    </row>
    <row r="324" customFormat="false" ht="15" hidden="false" customHeight="false" outlineLevel="0" collapsed="false">
      <c r="A324" s="0" t="s">
        <v>387</v>
      </c>
      <c r="B324" s="0" t="s">
        <v>388</v>
      </c>
      <c r="C324" s="8" t="s">
        <v>403</v>
      </c>
      <c r="D324" s="0" t="n">
        <v>50</v>
      </c>
      <c r="E324" s="0" t="str">
        <f aca="false">TEXT(ROUND(0.78/FX,2),"#,##0.00")&amp;" – "&amp;TEXT(ROUND(3.03/FX,2),"#,##0.00")</f>
        <v>0.11 – 0.42</v>
      </c>
    </row>
    <row r="325" customFormat="false" ht="15" hidden="false" customHeight="false" outlineLevel="0" collapsed="false">
      <c r="A325" s="0" t="s">
        <v>387</v>
      </c>
      <c r="B325" s="0" t="s">
        <v>404</v>
      </c>
      <c r="C325" s="8" t="s">
        <v>405</v>
      </c>
      <c r="D325" s="0" t="n">
        <v>7</v>
      </c>
      <c r="E325" s="0" t="str">
        <f aca="false">TEXT(ROUND(2.34/FX,2),"#,##0.00")&amp;" – "&amp;TEXT(ROUND(6.5/FX,2),"#,##0.00")</f>
        <v>0.33 – 0.90</v>
      </c>
    </row>
    <row r="326" customFormat="false" ht="15" hidden="false" customHeight="false" outlineLevel="0" collapsed="false">
      <c r="A326" s="0" t="s">
        <v>387</v>
      </c>
      <c r="B326" s="0" t="s">
        <v>404</v>
      </c>
      <c r="C326" s="8" t="s">
        <v>406</v>
      </c>
      <c r="D326" s="0" t="n">
        <v>2</v>
      </c>
      <c r="E326" s="0" t="str">
        <f aca="false">TEXT(ROUND(0.78/FX,2),"#,##0.00")&amp;" – "&amp;TEXT(ROUND(1.17/FX,2),"#,##0.00")</f>
        <v>0.11 – 0.16</v>
      </c>
    </row>
    <row r="327" customFormat="false" ht="15" hidden="false" customHeight="false" outlineLevel="0" collapsed="false">
      <c r="A327" s="0" t="s">
        <v>387</v>
      </c>
      <c r="B327" s="0" t="s">
        <v>404</v>
      </c>
      <c r="C327" s="8" t="s">
        <v>407</v>
      </c>
      <c r="D327" s="0" t="n">
        <v>4</v>
      </c>
      <c r="E327" s="0" t="str">
        <f aca="false">TEXT(ROUND(0.72/FX,2),"#,##0.00")&amp;" – "&amp;TEXT(ROUND(1.43/FX,2),"#,##0.00")</f>
        <v>0.10 – 0.20</v>
      </c>
    </row>
    <row r="328" customFormat="false" ht="15" hidden="false" customHeight="false" outlineLevel="0" collapsed="false">
      <c r="A328" s="0" t="s">
        <v>387</v>
      </c>
      <c r="B328" s="0" t="s">
        <v>404</v>
      </c>
      <c r="C328" s="8" t="s">
        <v>408</v>
      </c>
      <c r="D328" s="0" t="n">
        <v>1</v>
      </c>
      <c r="E328" s="0" t="str">
        <f aca="false">TEXT(ROUND(0.61/FX,2),"#,##0.00")</f>
        <v>0.08</v>
      </c>
    </row>
    <row r="329" customFormat="false" ht="15" hidden="false" customHeight="false" outlineLevel="0" collapsed="false">
      <c r="A329" s="0" t="s">
        <v>387</v>
      </c>
      <c r="B329" s="0" t="s">
        <v>404</v>
      </c>
      <c r="C329" s="8" t="s">
        <v>409</v>
      </c>
      <c r="D329" s="0" t="n">
        <v>9</v>
      </c>
      <c r="E329" s="0" t="str">
        <f aca="false">TEXT(ROUND(0.68/FX,2),"#,##0.00")&amp;" – "&amp;TEXT(ROUND(0.91/FX,2),"#,##0.00")</f>
        <v>0.09 – 0.13</v>
      </c>
    </row>
    <row r="330" customFormat="false" ht="15" hidden="false" customHeight="false" outlineLevel="0" collapsed="false">
      <c r="A330" s="0" t="s">
        <v>387</v>
      </c>
      <c r="B330" s="0" t="s">
        <v>404</v>
      </c>
      <c r="C330" s="8" t="s">
        <v>410</v>
      </c>
      <c r="D330" s="0" t="n">
        <v>14</v>
      </c>
      <c r="E330" s="0" t="str">
        <f aca="false">TEXT(ROUND(3.64/FX,2),"#,##0.00")&amp;" – "&amp;TEXT(ROUND(9.88/FX,2),"#,##0.00")</f>
        <v>0.51 – 1.37</v>
      </c>
    </row>
    <row r="331" customFormat="false" ht="15" hidden="false" customHeight="false" outlineLevel="0" collapsed="false">
      <c r="A331" s="0" t="s">
        <v>387</v>
      </c>
      <c r="B331" s="0" t="s">
        <v>404</v>
      </c>
      <c r="C331" s="8" t="s">
        <v>411</v>
      </c>
      <c r="D331" s="0" t="n">
        <v>6</v>
      </c>
      <c r="E331" s="0" t="str">
        <f aca="false">TEXT(ROUND(4.68/FX,2),"#,##0.00")&amp;" – "&amp;TEXT(ROUND(11.05/FX,2),"#,##0.00")</f>
        <v>0.65 – 1.53</v>
      </c>
    </row>
    <row r="332" customFormat="false" ht="15" hidden="false" customHeight="false" outlineLevel="0" collapsed="false">
      <c r="A332" s="0" t="s">
        <v>387</v>
      </c>
      <c r="B332" s="0" t="s">
        <v>404</v>
      </c>
      <c r="C332" s="8" t="s">
        <v>412</v>
      </c>
      <c r="D332" s="0" t="n">
        <v>10</v>
      </c>
      <c r="E332" s="0" t="str">
        <f aca="false">TEXT(ROUND(1.56/FX,2),"#,##0.00")&amp;" – "&amp;TEXT(ROUND(3.77/FX,2),"#,##0.00")</f>
        <v>0.22 – 0.52</v>
      </c>
    </row>
    <row r="333" customFormat="false" ht="15" hidden="false" customHeight="false" outlineLevel="0" collapsed="false">
      <c r="A333" s="0" t="s">
        <v>387</v>
      </c>
      <c r="B333" s="0" t="s">
        <v>404</v>
      </c>
      <c r="C333" s="8" t="s">
        <v>413</v>
      </c>
      <c r="D333" s="0" t="n">
        <v>1</v>
      </c>
      <c r="E333" s="0" t="str">
        <f aca="false">TEXT(ROUND(15.42/FX,2),"#,##0.00")</f>
        <v>2.14</v>
      </c>
    </row>
    <row r="334" customFormat="false" ht="15" hidden="false" customHeight="false" outlineLevel="0" collapsed="false">
      <c r="A334" s="0" t="s">
        <v>387</v>
      </c>
      <c r="B334" s="0" t="s">
        <v>404</v>
      </c>
      <c r="C334" s="8" t="s">
        <v>414</v>
      </c>
      <c r="D334" s="0" t="n">
        <v>3</v>
      </c>
      <c r="E334" s="0" t="str">
        <f aca="false">TEXT(ROUND(0.72/FX,2),"#,##0.00")&amp;" – "&amp;TEXT(ROUND(1.17/FX,2),"#,##0.00")</f>
        <v>0.10 – 0.16</v>
      </c>
    </row>
    <row r="335" customFormat="false" ht="15" hidden="false" customHeight="false" outlineLevel="0" collapsed="false">
      <c r="A335" s="0" t="s">
        <v>387</v>
      </c>
      <c r="B335" s="0" t="s">
        <v>404</v>
      </c>
      <c r="C335" s="8" t="s">
        <v>415</v>
      </c>
      <c r="D335" s="0" t="n">
        <v>3</v>
      </c>
      <c r="E335" s="0" t="str">
        <f aca="false">TEXT(ROUND(1.95/FX,2),"#,##0.00")&amp;" – "&amp;TEXT(ROUND(4.29/FX,2),"#,##0.00")</f>
        <v>0.27 – 0.60</v>
      </c>
    </row>
    <row r="336" customFormat="false" ht="15" hidden="false" customHeight="false" outlineLevel="0" collapsed="false">
      <c r="A336" s="0" t="s">
        <v>387</v>
      </c>
      <c r="B336" s="0" t="s">
        <v>404</v>
      </c>
      <c r="C336" s="8" t="s">
        <v>416</v>
      </c>
      <c r="D336" s="0" t="n">
        <v>1</v>
      </c>
      <c r="E336" s="0" t="str">
        <f aca="false">TEXT(ROUND(26/FX,2),"#,##0.00")</f>
        <v>3.61</v>
      </c>
    </row>
    <row r="337" customFormat="false" ht="15" hidden="false" customHeight="false" outlineLevel="0" collapsed="false">
      <c r="A337" s="0" t="s">
        <v>387</v>
      </c>
      <c r="B337" s="0" t="s">
        <v>404</v>
      </c>
      <c r="C337" s="8" t="s">
        <v>417</v>
      </c>
      <c r="D337" s="0" t="n">
        <v>66</v>
      </c>
      <c r="E337" s="0" t="str">
        <f aca="false">TEXT(ROUND(1.17/FX,2),"#,##0.00")&amp;" – "&amp;TEXT(ROUND(20.8/FX,2),"#,##0.00")</f>
        <v>0.16 – 2.89</v>
      </c>
    </row>
    <row r="338" customFormat="false" ht="15" hidden="false" customHeight="false" outlineLevel="0" collapsed="false">
      <c r="A338" s="0" t="s">
        <v>387</v>
      </c>
      <c r="B338" s="0" t="s">
        <v>404</v>
      </c>
      <c r="C338" s="8" t="s">
        <v>418</v>
      </c>
      <c r="D338" s="0" t="n">
        <v>22</v>
      </c>
      <c r="E338" s="0" t="str">
        <f aca="false">TEXT(ROUND(0.63/FX,2),"#,##0.00")&amp;" – "&amp;TEXT(ROUND(19.37/FX,2),"#,##0.00")</f>
        <v>0.09 – 2.69</v>
      </c>
    </row>
    <row r="339" customFormat="false" ht="15" hidden="false" customHeight="false" outlineLevel="0" collapsed="false">
      <c r="A339" s="0" t="s">
        <v>387</v>
      </c>
      <c r="B339" s="0" t="s">
        <v>404</v>
      </c>
      <c r="C339" s="8" t="s">
        <v>419</v>
      </c>
      <c r="D339" s="0" t="n">
        <v>1</v>
      </c>
      <c r="E339" s="0" t="str">
        <f aca="false">TEXT(ROUND(0.28/FX,2),"#,##0.00")</f>
        <v>0.04</v>
      </c>
    </row>
    <row r="340" customFormat="false" ht="15" hidden="false" customHeight="false" outlineLevel="0" collapsed="false">
      <c r="A340" s="0" t="s">
        <v>387</v>
      </c>
      <c r="B340" s="0" t="s">
        <v>404</v>
      </c>
      <c r="C340" s="8" t="s">
        <v>420</v>
      </c>
      <c r="D340" s="0" t="n">
        <v>4</v>
      </c>
      <c r="E340" s="0" t="str">
        <f aca="false">TEXT(ROUND(1.67/FX,2),"#,##0.00")&amp;" – "&amp;TEXT(ROUND(3.06/FX,2),"#,##0.00")</f>
        <v>0.23 – 0.43</v>
      </c>
    </row>
    <row r="341" customFormat="false" ht="15" hidden="false" customHeight="false" outlineLevel="0" collapsed="false">
      <c r="A341" s="0" t="s">
        <v>387</v>
      </c>
      <c r="B341" s="0" t="s">
        <v>404</v>
      </c>
      <c r="C341" s="8" t="s">
        <v>421</v>
      </c>
      <c r="D341" s="0" t="n">
        <v>26</v>
      </c>
      <c r="E341" s="0" t="str">
        <f aca="false">TEXT(ROUND(1.28/FX,2),"#,##0.00")&amp;" – "&amp;TEXT(ROUND(6.76/FX,2),"#,##0.00")</f>
        <v>0.18 – 0.94</v>
      </c>
    </row>
    <row r="342" customFormat="false" ht="15" hidden="false" customHeight="false" outlineLevel="0" collapsed="false">
      <c r="A342" s="0" t="s">
        <v>387</v>
      </c>
      <c r="B342" s="0" t="s">
        <v>404</v>
      </c>
      <c r="C342" s="8" t="s">
        <v>422</v>
      </c>
      <c r="D342" s="0" t="n">
        <v>2</v>
      </c>
      <c r="E342" s="0" t="str">
        <f aca="false">TEXT(ROUND(0.35/FX,2),"#,##0.00")&amp;" – "&amp;TEXT(ROUND(1.11/FX,2),"#,##0.00")</f>
        <v>0.05 – 0.15</v>
      </c>
    </row>
    <row r="343" customFormat="false" ht="15" hidden="false" customHeight="false" outlineLevel="0" collapsed="false">
      <c r="A343" s="0" t="s">
        <v>387</v>
      </c>
      <c r="B343" s="0" t="s">
        <v>404</v>
      </c>
      <c r="C343" s="8" t="s">
        <v>423</v>
      </c>
      <c r="D343" s="0" t="n">
        <v>1</v>
      </c>
      <c r="E343" s="0" t="str">
        <f aca="false">TEXT(ROUND(1.63/FX,2),"#,##0.00")</f>
        <v>0.23</v>
      </c>
    </row>
    <row r="344" customFormat="false" ht="15" hidden="false" customHeight="false" outlineLevel="0" collapsed="false">
      <c r="A344" s="0" t="s">
        <v>387</v>
      </c>
      <c r="B344" s="0" t="s">
        <v>404</v>
      </c>
      <c r="C344" s="8" t="s">
        <v>424</v>
      </c>
      <c r="D344" s="0" t="n">
        <v>6</v>
      </c>
      <c r="E344" s="0" t="str">
        <f aca="false">TEXT(ROUND(0.35/FX,2),"#,##0.00")&amp;" – "&amp;TEXT(ROUND(17.55/FX,2),"#,##0.00")</f>
        <v>0.05 – 2.44</v>
      </c>
    </row>
    <row r="345" customFormat="false" ht="15" hidden="false" customHeight="false" outlineLevel="0" collapsed="false">
      <c r="A345" s="0" t="s">
        <v>387</v>
      </c>
      <c r="B345" s="0" t="s">
        <v>404</v>
      </c>
      <c r="C345" s="8" t="s">
        <v>425</v>
      </c>
      <c r="D345" s="0" t="n">
        <v>18</v>
      </c>
      <c r="E345" s="0" t="str">
        <f aca="false">TEXT(ROUND(2.6/FX,2),"#,##0.00")&amp;" – "&amp;TEXT(ROUND(8.06/FX,2),"#,##0.00")</f>
        <v>0.36 – 1.12</v>
      </c>
    </row>
    <row r="346" customFormat="false" ht="15" hidden="false" customHeight="false" outlineLevel="0" collapsed="false">
      <c r="A346" s="0" t="s">
        <v>387</v>
      </c>
      <c r="B346" s="0" t="s">
        <v>404</v>
      </c>
      <c r="C346" s="8" t="s">
        <v>426</v>
      </c>
      <c r="D346" s="0" t="n">
        <v>1</v>
      </c>
      <c r="E346" s="0" t="str">
        <f aca="false">TEXT(ROUND(11.7/FX,2),"#,##0.00")</f>
        <v>1.63</v>
      </c>
    </row>
    <row r="347" customFormat="false" ht="15" hidden="false" customHeight="false" outlineLevel="0" collapsed="false">
      <c r="A347" s="0" t="s">
        <v>387</v>
      </c>
      <c r="B347" s="0" t="s">
        <v>404</v>
      </c>
      <c r="C347" s="8" t="s">
        <v>427</v>
      </c>
      <c r="D347" s="0" t="n">
        <v>25</v>
      </c>
      <c r="E347" s="0" t="str">
        <f aca="false">TEXT(ROUND(1.3/FX,2),"#,##0.00")&amp;" – "&amp;TEXT(ROUND(197.4/FX,2),"#,##0.00")</f>
        <v>0.18 – 27.42</v>
      </c>
    </row>
    <row r="348" customFormat="false" ht="15" hidden="false" customHeight="false" outlineLevel="0" collapsed="false">
      <c r="A348" s="0" t="s">
        <v>387</v>
      </c>
      <c r="B348" s="0" t="s">
        <v>404</v>
      </c>
      <c r="C348" s="8" t="s">
        <v>428</v>
      </c>
      <c r="D348" s="0" t="n">
        <v>4</v>
      </c>
      <c r="E348" s="0" t="str">
        <f aca="false">TEXT(ROUND(4.81/FX,2),"#,##0.00")&amp;" – "&amp;TEXT(ROUND(5.07/FX,2),"#,##0.00")</f>
        <v>0.67 – 0.70</v>
      </c>
    </row>
    <row r="349" customFormat="false" ht="15" hidden="false" customHeight="false" outlineLevel="0" collapsed="false">
      <c r="A349" s="0" t="s">
        <v>387</v>
      </c>
      <c r="B349" s="0" t="s">
        <v>404</v>
      </c>
      <c r="C349" s="8" t="s">
        <v>429</v>
      </c>
      <c r="D349" s="0" t="n">
        <v>4</v>
      </c>
      <c r="E349" s="0" t="str">
        <f aca="false">TEXT(ROUND(7.8/FX,2),"#,##0.00")&amp;" – "&amp;TEXT(ROUND(10.4/FX,2),"#,##0.00")</f>
        <v>1.08 – 1.44</v>
      </c>
    </row>
    <row r="350" customFormat="false" ht="15" hidden="false" customHeight="false" outlineLevel="0" collapsed="false">
      <c r="A350" s="0" t="s">
        <v>387</v>
      </c>
      <c r="B350" s="0" t="s">
        <v>404</v>
      </c>
      <c r="C350" s="8" t="s">
        <v>430</v>
      </c>
      <c r="D350" s="0" t="n">
        <v>7</v>
      </c>
      <c r="E350" s="0" t="str">
        <f aca="false">TEXT(ROUND(0.48/FX,2),"#,##0.00")&amp;" – "&amp;TEXT(ROUND(9.19/FX,2),"#,##0.00")</f>
        <v>0.07 – 1.28</v>
      </c>
    </row>
    <row r="351" customFormat="false" ht="15" hidden="false" customHeight="false" outlineLevel="0" collapsed="false">
      <c r="A351" s="0" t="s">
        <v>387</v>
      </c>
      <c r="B351" s="0" t="s">
        <v>404</v>
      </c>
      <c r="C351" s="8" t="s">
        <v>431</v>
      </c>
      <c r="D351" s="0" t="n">
        <v>4</v>
      </c>
      <c r="E351" s="0" t="str">
        <f aca="false">TEXT(ROUND(1.82/FX,2),"#,##0.00")&amp;" – "&amp;TEXT(ROUND(2.47/FX,2),"#,##0.00")</f>
        <v>0.25 – 0.34</v>
      </c>
    </row>
    <row r="352" customFormat="false" ht="15" hidden="false" customHeight="false" outlineLevel="0" collapsed="false">
      <c r="A352" s="0" t="s">
        <v>387</v>
      </c>
      <c r="B352" s="0" t="s">
        <v>404</v>
      </c>
      <c r="C352" s="8" t="s">
        <v>432</v>
      </c>
      <c r="D352" s="0" t="n">
        <v>3</v>
      </c>
      <c r="E352" s="0" t="str">
        <f aca="false">TEXT(ROUND(2.34/FX,2),"#,##0.00")&amp;" – "&amp;TEXT(ROUND(5.72/FX,2),"#,##0.00")</f>
        <v>0.33 – 0.79</v>
      </c>
    </row>
    <row r="353" customFormat="false" ht="15" hidden="false" customHeight="false" outlineLevel="0" collapsed="false">
      <c r="A353" s="0" t="s">
        <v>387</v>
      </c>
      <c r="B353" s="0" t="s">
        <v>404</v>
      </c>
      <c r="C353" s="8" t="s">
        <v>433</v>
      </c>
      <c r="D353" s="0" t="n">
        <v>36</v>
      </c>
      <c r="E353" s="0" t="str">
        <f aca="false">TEXT(ROUND(2.73/FX,2),"#,##0.00")&amp;" – "&amp;TEXT(ROUND(14.12/FX,2),"#,##0.00")</f>
        <v>0.38 – 1.96</v>
      </c>
    </row>
    <row r="354" customFormat="false" ht="15" hidden="false" customHeight="false" outlineLevel="0" collapsed="false">
      <c r="A354" s="0" t="s">
        <v>387</v>
      </c>
      <c r="B354" s="0" t="s">
        <v>404</v>
      </c>
      <c r="C354" s="8" t="s">
        <v>434</v>
      </c>
      <c r="D354" s="0" t="n">
        <v>9</v>
      </c>
      <c r="E354" s="0" t="str">
        <f aca="false">TEXT(ROUND(4.6/FX,2),"#,##0.00")&amp;" – "&amp;TEXT(ROUND(12.5/FX,2),"#,##0.00")</f>
        <v>0.64 – 1.74</v>
      </c>
    </row>
    <row r="355" customFormat="false" ht="15" hidden="false" customHeight="false" outlineLevel="0" collapsed="false">
      <c r="A355" s="0" t="s">
        <v>387</v>
      </c>
      <c r="B355" s="0" t="s">
        <v>404</v>
      </c>
      <c r="C355" s="8" t="s">
        <v>435</v>
      </c>
      <c r="D355" s="0" t="n">
        <v>1</v>
      </c>
      <c r="E355" s="0" t="str">
        <f aca="false">TEXT(ROUND(8.19/FX,2),"#,##0.00")</f>
        <v>1.14</v>
      </c>
    </row>
    <row r="356" customFormat="false" ht="15" hidden="false" customHeight="false" outlineLevel="0" collapsed="false">
      <c r="A356" s="0" t="s">
        <v>387</v>
      </c>
      <c r="B356" s="0" t="s">
        <v>404</v>
      </c>
      <c r="C356" s="8" t="s">
        <v>436</v>
      </c>
      <c r="D356" s="0" t="n">
        <v>96</v>
      </c>
      <c r="E356" s="0" t="str">
        <f aca="false">TEXT(ROUND(0.52/FX,2),"#,##0.00")&amp;" – "&amp;TEXT(ROUND(10.47/FX,2),"#,##0.00")</f>
        <v>0.07 – 1.45</v>
      </c>
    </row>
    <row r="357" customFormat="false" ht="15" hidden="false" customHeight="false" outlineLevel="0" collapsed="false">
      <c r="A357" s="0" t="s">
        <v>387</v>
      </c>
      <c r="B357" s="0" t="s">
        <v>404</v>
      </c>
      <c r="C357" s="8" t="s">
        <v>437</v>
      </c>
      <c r="D357" s="0" t="n">
        <v>6</v>
      </c>
      <c r="E357" s="0" t="str">
        <f aca="false">TEXT(ROUND(6.24/FX,2),"#,##0.00")&amp;" – "&amp;TEXT(ROUND(9.1/FX,2),"#,##0.00")</f>
        <v>0.87 – 1.26</v>
      </c>
    </row>
    <row r="358" customFormat="false" ht="15" hidden="false" customHeight="false" outlineLevel="0" collapsed="false">
      <c r="A358" s="0" t="s">
        <v>387</v>
      </c>
      <c r="B358" s="0" t="s">
        <v>404</v>
      </c>
      <c r="C358" s="8" t="s">
        <v>438</v>
      </c>
      <c r="D358" s="0" t="n">
        <v>46</v>
      </c>
      <c r="E358" s="0" t="str">
        <f aca="false">TEXT(ROUND(0.82/FX,2),"#,##0.00")&amp;" – "&amp;TEXT(ROUND(9.62/FX,2),"#,##0.00")</f>
        <v>0.11 – 1.34</v>
      </c>
    </row>
    <row r="359" customFormat="false" ht="15" hidden="false" customHeight="false" outlineLevel="0" collapsed="false">
      <c r="A359" s="0" t="s">
        <v>387</v>
      </c>
      <c r="B359" s="0" t="s">
        <v>404</v>
      </c>
      <c r="C359" s="8" t="s">
        <v>439</v>
      </c>
      <c r="D359" s="0" t="n">
        <v>22</v>
      </c>
      <c r="E359" s="0" t="str">
        <f aca="false">TEXT(ROUND(0.13/FX,2),"#,##0.00")&amp;" – "&amp;TEXT(ROUND(2.6/FX,2),"#,##0.00")</f>
        <v>0.02 – 0.36</v>
      </c>
    </row>
    <row r="360" customFormat="false" ht="15" hidden="false" customHeight="false" outlineLevel="0" collapsed="false">
      <c r="A360" s="0" t="s">
        <v>387</v>
      </c>
      <c r="B360" s="0" t="s">
        <v>404</v>
      </c>
      <c r="C360" s="8" t="s">
        <v>440</v>
      </c>
      <c r="D360" s="0" t="n">
        <v>6</v>
      </c>
      <c r="E360" s="0" t="str">
        <f aca="false">TEXT(ROUND(1.43/FX,2),"#,##0.00")&amp;" – "&amp;TEXT(ROUND(3.51/FX,2),"#,##0.00")</f>
        <v>0.20 – 0.49</v>
      </c>
    </row>
    <row r="361" customFormat="false" ht="15" hidden="false" customHeight="false" outlineLevel="0" collapsed="false">
      <c r="A361" s="0" t="s">
        <v>387</v>
      </c>
      <c r="B361" s="0" t="s">
        <v>404</v>
      </c>
      <c r="C361" s="8" t="s">
        <v>441</v>
      </c>
      <c r="D361" s="0" t="n">
        <v>56</v>
      </c>
      <c r="E361" s="0" t="str">
        <f aca="false">TEXT(ROUND(0.65/FX,2),"#,##0.00")&amp;" – "&amp;TEXT(ROUND(29.9/FX,2),"#,##0.00")</f>
        <v>0.09 – 4.15</v>
      </c>
    </row>
    <row r="362" customFormat="false" ht="15" hidden="false" customHeight="false" outlineLevel="0" collapsed="false">
      <c r="A362" s="0" t="s">
        <v>387</v>
      </c>
      <c r="B362" s="0" t="s">
        <v>404</v>
      </c>
      <c r="C362" s="8" t="s">
        <v>442</v>
      </c>
      <c r="D362" s="0" t="n">
        <v>8</v>
      </c>
      <c r="E362" s="0" t="str">
        <f aca="false">TEXT(ROUND(0.26/FX,2),"#,##0.00")&amp;" – "&amp;TEXT(ROUND(28/FX,2),"#,##0.00")</f>
        <v>0.04 – 3.89</v>
      </c>
    </row>
    <row r="363" customFormat="false" ht="15" hidden="false" customHeight="false" outlineLevel="0" collapsed="false">
      <c r="A363" s="0" t="s">
        <v>387</v>
      </c>
      <c r="B363" s="0" t="s">
        <v>404</v>
      </c>
      <c r="C363" s="8" t="s">
        <v>443</v>
      </c>
      <c r="D363" s="0" t="n">
        <v>1</v>
      </c>
      <c r="E363" s="0" t="str">
        <f aca="false">TEXT(ROUND(1.59/FX,2),"#,##0.00")</f>
        <v>0.22</v>
      </c>
    </row>
    <row r="364" customFormat="false" ht="15" hidden="false" customHeight="false" outlineLevel="0" collapsed="false">
      <c r="A364" s="0" t="s">
        <v>387</v>
      </c>
      <c r="B364" s="0" t="s">
        <v>404</v>
      </c>
      <c r="C364" s="8" t="s">
        <v>444</v>
      </c>
      <c r="D364" s="0" t="n">
        <v>1</v>
      </c>
      <c r="E364" s="0" t="str">
        <f aca="false">TEXT(ROUND(1.43/FX,2),"#,##0.00")</f>
        <v>0.20</v>
      </c>
    </row>
    <row r="365" customFormat="false" ht="15" hidden="false" customHeight="false" outlineLevel="0" collapsed="false">
      <c r="A365" s="0" t="s">
        <v>387</v>
      </c>
      <c r="B365" s="0" t="s">
        <v>404</v>
      </c>
      <c r="C365" s="8" t="s">
        <v>445</v>
      </c>
      <c r="D365" s="0" t="n">
        <v>12</v>
      </c>
      <c r="E365" s="0" t="str">
        <f aca="false">TEXT(ROUND(1.69/FX,2),"#,##0.00")&amp;" – "&amp;TEXT(ROUND(8.32/FX,2),"#,##0.00")</f>
        <v>0.23 – 1.16</v>
      </c>
    </row>
    <row r="366" customFormat="false" ht="15" hidden="false" customHeight="false" outlineLevel="0" collapsed="false">
      <c r="A366" s="0" t="s">
        <v>387</v>
      </c>
      <c r="B366" s="0" t="s">
        <v>404</v>
      </c>
      <c r="C366" s="8" t="s">
        <v>446</v>
      </c>
      <c r="D366" s="0" t="n">
        <v>13</v>
      </c>
      <c r="E366" s="0" t="str">
        <f aca="false">TEXT(ROUND(2.7/FX,2),"#,##0.00")&amp;" – "&amp;TEXT(ROUND(4.81/FX,2),"#,##0.00")</f>
        <v>0.38 – 0.67</v>
      </c>
    </row>
    <row r="367" customFormat="false" ht="15" hidden="false" customHeight="false" outlineLevel="0" collapsed="false">
      <c r="A367" s="0" t="s">
        <v>387</v>
      </c>
      <c r="B367" s="0" t="s">
        <v>404</v>
      </c>
      <c r="C367" s="8" t="s">
        <v>447</v>
      </c>
      <c r="D367" s="0" t="n">
        <v>24</v>
      </c>
      <c r="E367" s="0" t="str">
        <f aca="false">TEXT(ROUND(0.65/FX,2),"#,##0.00")&amp;" – "&amp;TEXT(ROUND(6.37/FX,2),"#,##0.00")</f>
        <v>0.09 – 0.88</v>
      </c>
    </row>
    <row r="368" customFormat="false" ht="15" hidden="false" customHeight="false" outlineLevel="0" collapsed="false">
      <c r="A368" s="0" t="s">
        <v>387</v>
      </c>
      <c r="B368" s="0" t="s">
        <v>404</v>
      </c>
      <c r="C368" s="8" t="s">
        <v>448</v>
      </c>
      <c r="D368" s="0" t="n">
        <v>1</v>
      </c>
      <c r="E368" s="0" t="str">
        <f aca="false">TEXT(ROUND(12.74/FX,2),"#,##0.00")</f>
        <v>1.77</v>
      </c>
    </row>
    <row r="369" customFormat="false" ht="15" hidden="false" customHeight="false" outlineLevel="0" collapsed="false">
      <c r="A369" s="0" t="s">
        <v>387</v>
      </c>
      <c r="B369" s="0" t="s">
        <v>404</v>
      </c>
      <c r="C369" s="8" t="s">
        <v>449</v>
      </c>
      <c r="D369" s="0" t="n">
        <v>4</v>
      </c>
      <c r="E369" s="0" t="str">
        <f aca="false">TEXT(ROUND(2.86/FX,2),"#,##0.00")</f>
        <v>0.40</v>
      </c>
    </row>
    <row r="370" customFormat="false" ht="15" hidden="false" customHeight="false" outlineLevel="0" collapsed="false">
      <c r="A370" s="0" t="s">
        <v>387</v>
      </c>
      <c r="B370" s="0" t="s">
        <v>404</v>
      </c>
      <c r="C370" s="8" t="s">
        <v>450</v>
      </c>
      <c r="D370" s="0" t="n">
        <v>11</v>
      </c>
      <c r="E370" s="0" t="str">
        <f aca="false">TEXT(ROUND(4.03/FX,2),"#,##0.00")&amp;" – "&amp;TEXT(ROUND(6.76/FX,2),"#,##0.00")</f>
        <v>0.56 – 0.94</v>
      </c>
    </row>
    <row r="371" customFormat="false" ht="15" hidden="false" customHeight="false" outlineLevel="0" collapsed="false">
      <c r="A371" s="0" t="s">
        <v>387</v>
      </c>
      <c r="B371" s="0" t="s">
        <v>404</v>
      </c>
      <c r="C371" s="8" t="s">
        <v>451</v>
      </c>
      <c r="D371" s="0" t="n">
        <v>10</v>
      </c>
      <c r="E371" s="0" t="str">
        <f aca="false">TEXT(ROUND(1.56/FX,2),"#,##0.00")&amp;" – "&amp;TEXT(ROUND(2.08/FX,2),"#,##0.00")</f>
        <v>0.22 – 0.29</v>
      </c>
    </row>
    <row r="372" customFormat="false" ht="15" hidden="false" customHeight="false" outlineLevel="0" collapsed="false">
      <c r="A372" s="0" t="s">
        <v>387</v>
      </c>
      <c r="B372" s="0" t="s">
        <v>404</v>
      </c>
      <c r="C372" s="8" t="s">
        <v>452</v>
      </c>
      <c r="D372" s="0" t="n">
        <v>3</v>
      </c>
      <c r="E372" s="0" t="str">
        <f aca="false">TEXT(ROUND(1.95/FX,2),"#,##0.00")</f>
        <v>0.27</v>
      </c>
    </row>
    <row r="373" customFormat="false" ht="15" hidden="false" customHeight="false" outlineLevel="0" collapsed="false">
      <c r="A373" s="0" t="s">
        <v>387</v>
      </c>
      <c r="B373" s="0" t="s">
        <v>404</v>
      </c>
      <c r="C373" s="8" t="s">
        <v>453</v>
      </c>
      <c r="D373" s="0" t="n">
        <v>9</v>
      </c>
      <c r="E373" s="0" t="str">
        <f aca="false">TEXT(ROUND(0.22/FX,2),"#,##0.00")&amp;" – "&amp;TEXT(ROUND(1/FX,2),"#,##0.00")</f>
        <v>0.03 – 0.14</v>
      </c>
    </row>
    <row r="374" customFormat="false" ht="15" hidden="false" customHeight="false" outlineLevel="0" collapsed="false">
      <c r="A374" s="0" t="s">
        <v>387</v>
      </c>
      <c r="B374" s="0" t="s">
        <v>404</v>
      </c>
      <c r="C374" s="8" t="s">
        <v>454</v>
      </c>
      <c r="D374" s="0" t="n">
        <v>3</v>
      </c>
      <c r="E374" s="0" t="str">
        <f aca="false">TEXT(ROUND(3.9/FX,2),"#,##0.00")&amp;" – "&amp;TEXT(ROUND(4.55/FX,2),"#,##0.00")</f>
        <v>0.54 – 0.63</v>
      </c>
    </row>
    <row r="375" customFormat="false" ht="15" hidden="false" customHeight="false" outlineLevel="0" collapsed="false">
      <c r="A375" s="0" t="s">
        <v>387</v>
      </c>
      <c r="B375" s="0" t="s">
        <v>404</v>
      </c>
      <c r="C375" s="8" t="s">
        <v>455</v>
      </c>
      <c r="D375" s="0" t="n">
        <v>6</v>
      </c>
      <c r="E375" s="0" t="str">
        <f aca="false">TEXT(ROUND(1.3/FX,2),"#,##0.00")&amp;" – "&amp;TEXT(ROUND(6.5/FX,2),"#,##0.00")</f>
        <v>0.18 – 0.90</v>
      </c>
    </row>
    <row r="376" customFormat="false" ht="15" hidden="false" customHeight="false" outlineLevel="0" collapsed="false">
      <c r="A376" s="0" t="s">
        <v>387</v>
      </c>
      <c r="B376" s="0" t="s">
        <v>404</v>
      </c>
      <c r="C376" s="8" t="s">
        <v>456</v>
      </c>
      <c r="D376" s="0" t="n">
        <v>190</v>
      </c>
      <c r="E376" s="0" t="str">
        <f aca="false">TEXT(ROUND(0.13/FX,2),"#,##0.00")&amp;" – "&amp;TEXT(ROUND(7.5/FX,2),"#,##0.00")</f>
        <v>0.02 – 1.04</v>
      </c>
    </row>
    <row r="377" customFormat="false" ht="15" hidden="false" customHeight="false" outlineLevel="0" collapsed="false">
      <c r="A377" s="0" t="s">
        <v>387</v>
      </c>
      <c r="B377" s="0" t="s">
        <v>404</v>
      </c>
      <c r="C377" s="8" t="s">
        <v>457</v>
      </c>
      <c r="D377" s="0" t="n">
        <v>8</v>
      </c>
      <c r="E377" s="0" t="str">
        <f aca="false">TEXT(ROUND(1.3/FX,2),"#,##0.00")&amp;" – "&amp;TEXT(ROUND(2.42/FX,2),"#,##0.00")</f>
        <v>0.18 – 0.34</v>
      </c>
    </row>
    <row r="378" customFormat="false" ht="15" hidden="false" customHeight="false" outlineLevel="0" collapsed="false">
      <c r="A378" s="0" t="s">
        <v>387</v>
      </c>
      <c r="B378" s="0" t="s">
        <v>404</v>
      </c>
      <c r="C378" s="8" t="s">
        <v>458</v>
      </c>
      <c r="D378" s="0" t="n">
        <v>27</v>
      </c>
      <c r="E378" s="0" t="str">
        <f aca="false">TEXT(ROUND(1/FX,2),"#,##0.00")&amp;" – "&amp;TEXT(ROUND(3.75/FX,2),"#,##0.00")</f>
        <v>0.14 – 0.52</v>
      </c>
    </row>
    <row r="379" customFormat="false" ht="15" hidden="false" customHeight="false" outlineLevel="0" collapsed="false">
      <c r="A379" s="0" t="s">
        <v>387</v>
      </c>
      <c r="B379" s="0" t="s">
        <v>404</v>
      </c>
      <c r="C379" s="8" t="s">
        <v>459</v>
      </c>
      <c r="D379" s="0" t="n">
        <v>32</v>
      </c>
      <c r="E379" s="0" t="str">
        <f aca="false">TEXT(ROUND(0.46/FX,2),"#,##0.00")&amp;" – "&amp;TEXT(ROUND(7.34/FX,2),"#,##0.00")</f>
        <v>0.06 – 1.02</v>
      </c>
    </row>
    <row r="380" customFormat="false" ht="15" hidden="false" customHeight="false" outlineLevel="0" collapsed="false">
      <c r="A380" s="0" t="s">
        <v>387</v>
      </c>
      <c r="B380" s="0" t="s">
        <v>404</v>
      </c>
      <c r="C380" s="8" t="s">
        <v>460</v>
      </c>
      <c r="D380" s="0" t="n">
        <v>1</v>
      </c>
      <c r="E380" s="0" t="str">
        <f aca="false">TEXT(ROUND(1.3/FX,2),"#,##0.00")</f>
        <v>0.18</v>
      </c>
    </row>
    <row r="381" customFormat="false" ht="15" hidden="false" customHeight="false" outlineLevel="0" collapsed="false">
      <c r="A381" s="0" t="s">
        <v>387</v>
      </c>
      <c r="B381" s="0" t="s">
        <v>404</v>
      </c>
      <c r="C381" s="8" t="s">
        <v>461</v>
      </c>
      <c r="D381" s="0" t="n">
        <v>2</v>
      </c>
      <c r="E381" s="0" t="str">
        <f aca="false">TEXT(ROUND(31.2/FX,2),"#,##0.00")</f>
        <v>4.33</v>
      </c>
    </row>
    <row r="382" customFormat="false" ht="15" hidden="false" customHeight="false" outlineLevel="0" collapsed="false">
      <c r="A382" s="0" t="s">
        <v>387</v>
      </c>
      <c r="B382" s="0" t="s">
        <v>404</v>
      </c>
      <c r="C382" s="8" t="s">
        <v>462</v>
      </c>
      <c r="D382" s="0" t="n">
        <v>43</v>
      </c>
      <c r="E382" s="0" t="str">
        <f aca="false">TEXT(ROUND(0.52/FX,2),"#,##0.00")&amp;" – "&amp;TEXT(ROUND(65/FX,2),"#,##0.00")</f>
        <v>0.07 – 9.03</v>
      </c>
    </row>
    <row r="383" customFormat="false" ht="15" hidden="false" customHeight="false" outlineLevel="0" collapsed="false">
      <c r="A383" s="0" t="s">
        <v>387</v>
      </c>
      <c r="B383" s="0" t="s">
        <v>404</v>
      </c>
      <c r="C383" s="8" t="s">
        <v>463</v>
      </c>
      <c r="D383" s="0" t="n">
        <v>64</v>
      </c>
      <c r="E383" s="0" t="str">
        <f aca="false">TEXT(ROUND(0.65/FX,2),"#,##0.00")&amp;" – "&amp;TEXT(ROUND(36.66/FX,2),"#,##0.00")</f>
        <v>0.09 – 5.09</v>
      </c>
    </row>
    <row r="384" customFormat="false" ht="15" hidden="false" customHeight="false" outlineLevel="0" collapsed="false">
      <c r="A384" s="0" t="s">
        <v>387</v>
      </c>
      <c r="B384" s="0" t="s">
        <v>404</v>
      </c>
      <c r="C384" s="8" t="s">
        <v>464</v>
      </c>
      <c r="D384" s="0" t="n">
        <v>8</v>
      </c>
      <c r="E384" s="0" t="str">
        <f aca="false">TEXT(ROUND(2.5/FX,2),"#,##0.00")&amp;" – "&amp;TEXT(ROUND(21.8/FX,2),"#,##0.00")</f>
        <v>0.35 – 3.03</v>
      </c>
    </row>
    <row r="385" customFormat="false" ht="15" hidden="false" customHeight="false" outlineLevel="0" collapsed="false">
      <c r="A385" s="0" t="s">
        <v>387</v>
      </c>
      <c r="B385" s="0" t="s">
        <v>404</v>
      </c>
      <c r="C385" s="8" t="s">
        <v>465</v>
      </c>
      <c r="D385" s="0" t="n">
        <v>56</v>
      </c>
      <c r="E385" s="0" t="str">
        <f aca="false">TEXT(ROUND(1.95/FX,2),"#,##0.00")&amp;" – "&amp;TEXT(ROUND(58.5/FX,2),"#,##0.00")</f>
        <v>0.27 – 8.13</v>
      </c>
    </row>
    <row r="386" customFormat="false" ht="15" hidden="false" customHeight="false" outlineLevel="0" collapsed="false">
      <c r="A386" s="0" t="s">
        <v>387</v>
      </c>
      <c r="B386" s="0" t="s">
        <v>404</v>
      </c>
      <c r="C386" s="8" t="s">
        <v>466</v>
      </c>
      <c r="D386" s="0" t="n">
        <v>25</v>
      </c>
      <c r="E386" s="0" t="str">
        <f aca="false">TEXT(ROUND(1.56/FX,2),"#,##0.00")&amp;" – "&amp;TEXT(ROUND(8.45/FX,2),"#,##0.00")</f>
        <v>0.22 – 1.17</v>
      </c>
    </row>
    <row r="387" customFormat="false" ht="15" hidden="false" customHeight="false" outlineLevel="0" collapsed="false">
      <c r="A387" s="0" t="s">
        <v>387</v>
      </c>
      <c r="B387" s="0" t="s">
        <v>404</v>
      </c>
      <c r="C387" s="8" t="s">
        <v>467</v>
      </c>
      <c r="D387" s="0" t="n">
        <v>18</v>
      </c>
      <c r="E387" s="0" t="str">
        <f aca="false">TEXT(ROUND(2.28/FX,2),"#,##0.00")&amp;" – "&amp;TEXT(ROUND(12.35/FX,2),"#,##0.00")</f>
        <v>0.32 – 1.72</v>
      </c>
    </row>
    <row r="388" customFormat="false" ht="15" hidden="false" customHeight="false" outlineLevel="0" collapsed="false">
      <c r="A388" s="0" t="s">
        <v>387</v>
      </c>
      <c r="B388" s="0" t="s">
        <v>468</v>
      </c>
      <c r="C388" s="8" t="s">
        <v>469</v>
      </c>
      <c r="D388" s="0" t="n">
        <v>6</v>
      </c>
      <c r="E388" s="0" t="str">
        <f aca="false">TEXT(ROUND(5.85/FX,2),"#,##0.00")&amp;" – "&amp;TEXT(ROUND(58.07/FX,2),"#,##0.00")</f>
        <v>0.81 – 8.07</v>
      </c>
    </row>
    <row r="389" customFormat="false" ht="15" hidden="false" customHeight="false" outlineLevel="0" collapsed="false">
      <c r="A389" s="0" t="s">
        <v>387</v>
      </c>
      <c r="B389" s="0" t="s">
        <v>468</v>
      </c>
      <c r="C389" s="8" t="s">
        <v>470</v>
      </c>
      <c r="D389" s="0" t="n">
        <v>69</v>
      </c>
      <c r="E389" s="0" t="str">
        <f aca="false">TEXT(ROUND(2.4/FX,2),"#,##0.00")&amp;" – "&amp;TEXT(ROUND(124.5/FX,2),"#,##0.00")</f>
        <v>0.33 – 17.29</v>
      </c>
    </row>
    <row r="390" customFormat="false" ht="15" hidden="false" customHeight="false" outlineLevel="0" collapsed="false">
      <c r="A390" s="0" t="s">
        <v>387</v>
      </c>
      <c r="B390" s="0" t="s">
        <v>468</v>
      </c>
      <c r="C390" s="8" t="s">
        <v>471</v>
      </c>
      <c r="D390" s="0" t="n">
        <v>450</v>
      </c>
      <c r="E390" s="0" t="str">
        <f aca="false">TEXT(ROUND(1.2/FX,2),"#,##0.00")&amp;" – "&amp;TEXT(ROUND(90.3/FX,2),"#,##0.00")</f>
        <v>0.17 – 12.54</v>
      </c>
    </row>
    <row r="391" customFormat="false" ht="15" hidden="false" customHeight="false" outlineLevel="0" collapsed="false">
      <c r="A391" s="0" t="s">
        <v>387</v>
      </c>
      <c r="B391" s="0" t="s">
        <v>468</v>
      </c>
      <c r="C391" s="8" t="s">
        <v>472</v>
      </c>
      <c r="D391" s="0" t="n">
        <v>2</v>
      </c>
      <c r="E391" s="0" t="str">
        <f aca="false">TEXT(ROUND(8.06/FX,2),"#,##0.00")&amp;" – "&amp;TEXT(ROUND(10.24/FX,2),"#,##0.00")</f>
        <v>1.12 – 1.42</v>
      </c>
    </row>
    <row r="392" customFormat="false" ht="15" hidden="false" customHeight="false" outlineLevel="0" collapsed="false">
      <c r="A392" s="0" t="s">
        <v>473</v>
      </c>
      <c r="B392" s="0" t="s">
        <v>474</v>
      </c>
      <c r="C392" s="8" t="s">
        <v>475</v>
      </c>
      <c r="D392" s="0" t="n">
        <v>222</v>
      </c>
      <c r="E392" s="0" t="str">
        <f aca="false">TEXT(ROUND(0.08/FX,2),"#,##0.00")&amp;" – "&amp;TEXT(ROUND(12.68/FX,2),"#,##0.00")</f>
        <v>0.01 – 1.76</v>
      </c>
    </row>
    <row r="393" customFormat="false" ht="15" hidden="false" customHeight="false" outlineLevel="0" collapsed="false">
      <c r="A393" s="0" t="s">
        <v>473</v>
      </c>
      <c r="B393" s="0" t="s">
        <v>474</v>
      </c>
      <c r="C393" s="8" t="s">
        <v>476</v>
      </c>
      <c r="D393" s="0" t="n">
        <v>265</v>
      </c>
      <c r="E393" s="0" t="str">
        <f aca="false">TEXT(ROUND(0.14/FX,2),"#,##0.00")&amp;" – "&amp;TEXT(ROUND(3.42/FX,2),"#,##0.00")</f>
        <v>0.02 – 0.48</v>
      </c>
    </row>
    <row r="394" customFormat="false" ht="15" hidden="false" customHeight="false" outlineLevel="0" collapsed="false">
      <c r="A394" s="0" t="s">
        <v>473</v>
      </c>
      <c r="B394" s="0" t="s">
        <v>474</v>
      </c>
      <c r="C394" s="8" t="s">
        <v>477</v>
      </c>
      <c r="D394" s="0" t="n">
        <v>74</v>
      </c>
      <c r="E394" s="0" t="str">
        <f aca="false">TEXT(ROUND(1.01/FX,2),"#,##0.00")&amp;" – "&amp;TEXT(ROUND(3.44/FX,2),"#,##0.00")</f>
        <v>0.14 – 0.48</v>
      </c>
    </row>
    <row r="395" customFormat="false" ht="15" hidden="false" customHeight="false" outlineLevel="0" collapsed="false">
      <c r="A395" s="0" t="s">
        <v>473</v>
      </c>
      <c r="B395" s="0" t="s">
        <v>474</v>
      </c>
      <c r="C395" s="8" t="s">
        <v>478</v>
      </c>
      <c r="D395" s="0" t="n">
        <v>238</v>
      </c>
      <c r="E395" s="0" t="str">
        <f aca="false">TEXT(ROUND(0.13/FX,2),"#,##0.00")&amp;" – "&amp;TEXT(ROUND(9.62/FX,2),"#,##0.00")</f>
        <v>0.02 – 1.34</v>
      </c>
    </row>
    <row r="396" customFormat="false" ht="15" hidden="false" customHeight="false" outlineLevel="0" collapsed="false">
      <c r="A396" s="0" t="s">
        <v>473</v>
      </c>
      <c r="B396" s="0" t="s">
        <v>474</v>
      </c>
      <c r="C396" s="8" t="s">
        <v>479</v>
      </c>
      <c r="D396" s="0" t="n">
        <v>157</v>
      </c>
      <c r="E396" s="0" t="str">
        <f aca="false">TEXT(ROUND(0.13/FX,2),"#,##0.00")&amp;" – "&amp;TEXT(ROUND(4.59/FX,2),"#,##0.00")</f>
        <v>0.02 – 0.64</v>
      </c>
    </row>
    <row r="397" customFormat="false" ht="15" hidden="false" customHeight="false" outlineLevel="0" collapsed="false">
      <c r="A397" s="0" t="s">
        <v>473</v>
      </c>
      <c r="B397" s="0" t="s">
        <v>474</v>
      </c>
      <c r="C397" s="8" t="s">
        <v>480</v>
      </c>
      <c r="D397" s="0" t="n">
        <v>63</v>
      </c>
      <c r="E397" s="0" t="str">
        <f aca="false">TEXT(ROUND(3.9/FX,2),"#,##0.00")&amp;" – "&amp;TEXT(ROUND(8.06/FX,2),"#,##0.00")</f>
        <v>0.54 – 1.12</v>
      </c>
    </row>
    <row r="398" customFormat="false" ht="15" hidden="false" customHeight="false" outlineLevel="0" collapsed="false">
      <c r="A398" s="0" t="s">
        <v>473</v>
      </c>
      <c r="B398" s="0" t="s">
        <v>474</v>
      </c>
      <c r="C398" s="8" t="s">
        <v>481</v>
      </c>
      <c r="D398" s="0" t="n">
        <v>33</v>
      </c>
      <c r="E398" s="0" t="str">
        <f aca="false">TEXT(ROUND(0.42/FX,2),"#,##0.00")&amp;" – "&amp;TEXT(ROUND(1.3/FX,2),"#,##0.00")</f>
        <v>0.06 – 0.18</v>
      </c>
    </row>
    <row r="399" customFormat="false" ht="15" hidden="false" customHeight="false" outlineLevel="0" collapsed="false">
      <c r="A399" s="0" t="s">
        <v>473</v>
      </c>
      <c r="B399" s="0" t="s">
        <v>474</v>
      </c>
      <c r="C399" s="8" t="s">
        <v>482</v>
      </c>
      <c r="D399" s="0" t="n">
        <v>53</v>
      </c>
      <c r="E399" s="0" t="str">
        <f aca="false">TEXT(ROUND(0.13/FX,2),"#,##0.00")&amp;" – "&amp;TEXT(ROUND(1.52/FX,2),"#,##0.00")</f>
        <v>0.02 – 0.21</v>
      </c>
    </row>
    <row r="400" customFormat="false" ht="15" hidden="false" customHeight="false" outlineLevel="0" collapsed="false">
      <c r="A400" s="0" t="s">
        <v>473</v>
      </c>
      <c r="B400" s="0" t="s">
        <v>474</v>
      </c>
      <c r="C400" s="8" t="s">
        <v>483</v>
      </c>
      <c r="D400" s="0" t="n">
        <v>18</v>
      </c>
      <c r="E400" s="0" t="str">
        <f aca="false">TEXT(ROUND(0.12/FX,2),"#,##0.00")&amp;" – "&amp;TEXT(ROUND(4.03/FX,2),"#,##0.00")</f>
        <v>0.02 – 0.56</v>
      </c>
    </row>
    <row r="401" customFormat="false" ht="15" hidden="false" customHeight="false" outlineLevel="0" collapsed="false">
      <c r="A401" s="0" t="s">
        <v>473</v>
      </c>
      <c r="B401" s="0" t="s">
        <v>474</v>
      </c>
      <c r="C401" s="8" t="s">
        <v>484</v>
      </c>
      <c r="D401" s="0" t="n">
        <v>55</v>
      </c>
      <c r="E401" s="0" t="str">
        <f aca="false">TEXT(ROUND(0.88/FX,2),"#,##0.00")&amp;" – "&amp;TEXT(ROUND(10.14/FX,2),"#,##0.00")</f>
        <v>0.12 – 1.41</v>
      </c>
    </row>
    <row r="402" customFormat="false" ht="15" hidden="false" customHeight="false" outlineLevel="0" collapsed="false">
      <c r="A402" s="0" t="s">
        <v>473</v>
      </c>
      <c r="B402" s="0" t="s">
        <v>474</v>
      </c>
      <c r="C402" s="8" t="s">
        <v>485</v>
      </c>
      <c r="D402" s="0" t="n">
        <v>208</v>
      </c>
      <c r="E402" s="0" t="str">
        <f aca="false">TEXT(ROUND(1/FX,2),"#,##0.00")&amp;" – "&amp;TEXT(ROUND(41.6/FX,2),"#,##0.00")</f>
        <v>0.14 – 5.78</v>
      </c>
    </row>
    <row r="403" customFormat="false" ht="15" hidden="false" customHeight="false" outlineLevel="0" collapsed="false">
      <c r="A403" s="0" t="s">
        <v>473</v>
      </c>
      <c r="B403" s="0" t="s">
        <v>474</v>
      </c>
      <c r="C403" s="8" t="s">
        <v>486</v>
      </c>
      <c r="D403" s="0" t="n">
        <v>1</v>
      </c>
      <c r="E403" s="0" t="str">
        <f aca="false">TEXT(ROUND(1.43/FX,2),"#,##0.00")</f>
        <v>0.20</v>
      </c>
    </row>
    <row r="404" customFormat="false" ht="15" hidden="false" customHeight="false" outlineLevel="0" collapsed="false">
      <c r="A404" s="0" t="s">
        <v>473</v>
      </c>
      <c r="B404" s="0" t="s">
        <v>474</v>
      </c>
      <c r="C404" s="8" t="s">
        <v>487</v>
      </c>
      <c r="D404" s="0" t="n">
        <v>26</v>
      </c>
      <c r="E404" s="0" t="str">
        <f aca="false">TEXT(ROUND(0.17/FX,2),"#,##0.00")&amp;" – "&amp;TEXT(ROUND(9.49/FX,2),"#,##0.00")</f>
        <v>0.02 – 1.32</v>
      </c>
    </row>
    <row r="405" customFormat="false" ht="15" hidden="false" customHeight="false" outlineLevel="0" collapsed="false">
      <c r="A405" s="0" t="s">
        <v>473</v>
      </c>
      <c r="B405" s="0" t="s">
        <v>474</v>
      </c>
      <c r="C405" s="8" t="s">
        <v>488</v>
      </c>
      <c r="D405" s="0" t="n">
        <v>481</v>
      </c>
      <c r="E405" s="0" t="str">
        <f aca="false">TEXT(ROUND(3.25/FX,2),"#,##0.00")&amp;" – "&amp;TEXT(ROUND(6.5/FX,2),"#,##0.00")</f>
        <v>0.45 – 0.90</v>
      </c>
    </row>
    <row r="406" customFormat="false" ht="15" hidden="false" customHeight="false" outlineLevel="0" collapsed="false">
      <c r="A406" s="0" t="s">
        <v>473</v>
      </c>
      <c r="B406" s="0" t="s">
        <v>474</v>
      </c>
      <c r="C406" s="8" t="s">
        <v>489</v>
      </c>
      <c r="D406" s="0" t="n">
        <v>61</v>
      </c>
      <c r="E406" s="0" t="str">
        <f aca="false">TEXT(ROUND(0.13/FX,2),"#,##0.00")&amp;" – "&amp;TEXT(ROUND(2.99/FX,2),"#,##0.00")</f>
        <v>0.02 – 0.42</v>
      </c>
    </row>
    <row r="407" customFormat="false" ht="15" hidden="false" customHeight="false" outlineLevel="0" collapsed="false">
      <c r="A407" s="0" t="s">
        <v>473</v>
      </c>
      <c r="B407" s="0" t="s">
        <v>474</v>
      </c>
      <c r="C407" s="8" t="s">
        <v>490</v>
      </c>
      <c r="D407" s="0" t="n">
        <v>236</v>
      </c>
      <c r="E407" s="0" t="str">
        <f aca="false">TEXT(ROUND(9.62/FX,2),"#,##0.00")&amp;" – "&amp;TEXT(ROUND(20.8/FX,2),"#,##0.00")</f>
        <v>1.34 – 2.89</v>
      </c>
    </row>
    <row r="408" customFormat="false" ht="15" hidden="false" customHeight="false" outlineLevel="0" collapsed="false">
      <c r="A408" s="0" t="s">
        <v>473</v>
      </c>
      <c r="B408" s="0" t="s">
        <v>491</v>
      </c>
      <c r="C408" s="8" t="s">
        <v>492</v>
      </c>
      <c r="D408" s="0" t="n">
        <v>128</v>
      </c>
      <c r="E408" s="0" t="str">
        <f aca="false">TEXT(ROUND(1/FX,2),"#,##0.00")&amp;" – "&amp;TEXT(ROUND(2.97/FX,2),"#,##0.00")</f>
        <v>0.14 – 0.41</v>
      </c>
    </row>
    <row r="409" customFormat="false" ht="15" hidden="false" customHeight="false" outlineLevel="0" collapsed="false">
      <c r="A409" s="0" t="s">
        <v>473</v>
      </c>
      <c r="B409" s="0" t="s">
        <v>491</v>
      </c>
      <c r="C409" s="8" t="s">
        <v>493</v>
      </c>
      <c r="D409" s="0" t="n">
        <v>6</v>
      </c>
      <c r="E409" s="0" t="str">
        <f aca="false">TEXT(ROUND(0.11/FX,2),"#,##0.00")&amp;" – "&amp;TEXT(ROUND(1.05/FX,2),"#,##0.00")</f>
        <v>0.02 – 0.15</v>
      </c>
    </row>
    <row r="410" customFormat="false" ht="15" hidden="false" customHeight="false" outlineLevel="0" collapsed="false">
      <c r="A410" s="0" t="s">
        <v>473</v>
      </c>
      <c r="B410" s="0" t="s">
        <v>491</v>
      </c>
      <c r="C410" s="8" t="s">
        <v>494</v>
      </c>
      <c r="D410" s="0" t="n">
        <v>1</v>
      </c>
      <c r="E410" s="0" t="str">
        <f aca="false">TEXT(ROUND(0.98/FX,2),"#,##0.00")</f>
        <v>0.14</v>
      </c>
    </row>
    <row r="411" customFormat="false" ht="15" hidden="false" customHeight="false" outlineLevel="0" collapsed="false">
      <c r="A411" s="0" t="s">
        <v>473</v>
      </c>
      <c r="B411" s="0" t="s">
        <v>491</v>
      </c>
      <c r="C411" s="8" t="s">
        <v>495</v>
      </c>
      <c r="D411" s="0" t="n">
        <v>7</v>
      </c>
      <c r="E411" s="0" t="str">
        <f aca="false">TEXT(ROUND(0.17/FX,2),"#,##0.00")&amp;" – "&amp;TEXT(ROUND(1.24/FX,2),"#,##0.00")</f>
        <v>0.02 – 0.17</v>
      </c>
    </row>
    <row r="412" customFormat="false" ht="15" hidden="false" customHeight="false" outlineLevel="0" collapsed="false">
      <c r="A412" s="0" t="s">
        <v>473</v>
      </c>
      <c r="B412" s="0" t="s">
        <v>496</v>
      </c>
      <c r="C412" s="8" t="s">
        <v>497</v>
      </c>
      <c r="D412" s="0" t="n">
        <v>25</v>
      </c>
      <c r="E412" s="0" t="str">
        <f aca="false">TEXT(ROUND(0.13/FX,2),"#,##0.00")&amp;" – "&amp;TEXT(ROUND(1.17/FX,2),"#,##0.00")</f>
        <v>0.02 – 0.16</v>
      </c>
    </row>
    <row r="413" customFormat="false" ht="15" hidden="false" customHeight="false" outlineLevel="0" collapsed="false">
      <c r="A413" s="0" t="s">
        <v>473</v>
      </c>
      <c r="B413" s="0" t="s">
        <v>496</v>
      </c>
      <c r="C413" s="8" t="s">
        <v>498</v>
      </c>
      <c r="D413" s="0" t="n">
        <v>6</v>
      </c>
      <c r="E413" s="0" t="str">
        <f aca="false">TEXT(ROUND(0.33/FX,2),"#,##0.00")&amp;" – "&amp;TEXT(ROUND(2.99/FX,2),"#,##0.00")</f>
        <v>0.05 – 0.42</v>
      </c>
    </row>
    <row r="414" customFormat="false" ht="15" hidden="false" customHeight="false" outlineLevel="0" collapsed="false">
      <c r="A414" s="0" t="s">
        <v>473</v>
      </c>
      <c r="B414" s="0" t="s">
        <v>496</v>
      </c>
      <c r="C414" s="8" t="s">
        <v>499</v>
      </c>
      <c r="D414" s="0" t="n">
        <v>26</v>
      </c>
      <c r="E414" s="0" t="str">
        <f aca="false">TEXT(ROUND(0.38/FX,2),"#,##0.00")&amp;" – "&amp;TEXT(ROUND(3.44/FX,2),"#,##0.00")</f>
        <v>0.05 – 0.48</v>
      </c>
    </row>
    <row r="415" customFormat="false" ht="15" hidden="false" customHeight="false" outlineLevel="0" collapsed="false">
      <c r="A415" s="0" t="s">
        <v>473</v>
      </c>
      <c r="B415" s="0" t="s">
        <v>500</v>
      </c>
      <c r="C415" s="8" t="s">
        <v>501</v>
      </c>
      <c r="D415" s="0" t="n">
        <v>193</v>
      </c>
      <c r="E415" s="0" t="str">
        <f aca="false">TEXT(ROUND(0.36/FX,2),"#,##0.00")&amp;" – "&amp;TEXT(ROUND(4.94/FX,2),"#,##0.00")</f>
        <v>0.05 – 0.69</v>
      </c>
    </row>
    <row r="416" customFormat="false" ht="15" hidden="false" customHeight="false" outlineLevel="0" collapsed="false">
      <c r="A416" s="0" t="s">
        <v>473</v>
      </c>
      <c r="B416" s="0" t="s">
        <v>502</v>
      </c>
      <c r="C416" s="8" t="s">
        <v>503</v>
      </c>
      <c r="D416" s="0" t="n">
        <v>1</v>
      </c>
      <c r="E416" s="0" t="str">
        <f aca="false">TEXT(ROUND(0.56/FX,2),"#,##0.00")</f>
        <v>0.08</v>
      </c>
    </row>
    <row r="417" customFormat="false" ht="15" hidden="false" customHeight="false" outlineLevel="0" collapsed="false">
      <c r="A417" s="0" t="s">
        <v>473</v>
      </c>
      <c r="B417" s="0" t="s">
        <v>502</v>
      </c>
      <c r="C417" s="8" t="s">
        <v>504</v>
      </c>
      <c r="D417" s="0" t="n">
        <v>4</v>
      </c>
      <c r="E417" s="0" t="str">
        <f aca="false">TEXT(ROUND(1.07/FX,2),"#,##0.00")&amp;" – "&amp;TEXT(ROUND(1.7/FX,2),"#,##0.00")</f>
        <v>0.15 – 0.24</v>
      </c>
    </row>
    <row r="418" customFormat="false" ht="15" hidden="false" customHeight="false" outlineLevel="0" collapsed="false">
      <c r="A418" s="0" t="s">
        <v>473</v>
      </c>
      <c r="B418" s="0" t="s">
        <v>502</v>
      </c>
      <c r="C418" s="8" t="s">
        <v>505</v>
      </c>
      <c r="D418" s="0" t="n">
        <v>1</v>
      </c>
      <c r="E418" s="0" t="str">
        <f aca="false">TEXT(ROUND(5.07/FX,2),"#,##0.00")</f>
        <v>0.70</v>
      </c>
    </row>
    <row r="419" customFormat="false" ht="15" hidden="false" customHeight="false" outlineLevel="0" collapsed="false">
      <c r="A419" s="0" t="s">
        <v>473</v>
      </c>
      <c r="B419" s="0" t="s">
        <v>502</v>
      </c>
      <c r="C419" s="8" t="s">
        <v>506</v>
      </c>
      <c r="D419" s="0" t="n">
        <v>1</v>
      </c>
      <c r="E419" s="0" t="str">
        <f aca="false">TEXT(ROUND(0.18/FX,2),"#,##0.00")</f>
        <v>0.03</v>
      </c>
    </row>
    <row r="420" customFormat="false" ht="15" hidden="false" customHeight="false" outlineLevel="0" collapsed="false">
      <c r="A420" s="0" t="s">
        <v>473</v>
      </c>
      <c r="B420" s="0" t="s">
        <v>507</v>
      </c>
      <c r="C420" s="8" t="s">
        <v>508</v>
      </c>
      <c r="D420" s="0" t="n">
        <v>9</v>
      </c>
      <c r="E420" s="0" t="str">
        <f aca="false">TEXT(ROUND(0.12/FX,2),"#,##0.00")&amp;" – "&amp;TEXT(ROUND(3.64/FX,2),"#,##0.00")</f>
        <v>0.02 – 0.51</v>
      </c>
    </row>
    <row r="421" customFormat="false" ht="15" hidden="false" customHeight="false" outlineLevel="0" collapsed="false">
      <c r="A421" s="0" t="s">
        <v>473</v>
      </c>
      <c r="B421" s="0" t="s">
        <v>507</v>
      </c>
      <c r="C421" s="8" t="s">
        <v>509</v>
      </c>
      <c r="D421" s="0" t="n">
        <v>1</v>
      </c>
      <c r="E421" s="0" t="str">
        <f aca="false">TEXT(ROUND(0.66/FX,2),"#,##0.00")</f>
        <v>0.09</v>
      </c>
    </row>
    <row r="422" customFormat="false" ht="15" hidden="false" customHeight="false" outlineLevel="0" collapsed="false">
      <c r="A422" s="0" t="s">
        <v>473</v>
      </c>
      <c r="B422" s="0" t="s">
        <v>507</v>
      </c>
      <c r="C422" s="8" t="s">
        <v>510</v>
      </c>
      <c r="D422" s="0" t="n">
        <v>17</v>
      </c>
      <c r="E422" s="0" t="str">
        <f aca="false">TEXT(ROUND(0.4/FX,2),"#,##0.00")&amp;" – "&amp;TEXT(ROUND(7.1/FX,2),"#,##0.00")</f>
        <v>0.06 – 0.99</v>
      </c>
    </row>
    <row r="423" customFormat="false" ht="15" hidden="false" customHeight="false" outlineLevel="0" collapsed="false">
      <c r="A423" s="0" t="s">
        <v>473</v>
      </c>
      <c r="B423" s="0" t="s">
        <v>507</v>
      </c>
      <c r="C423" s="8" t="s">
        <v>511</v>
      </c>
      <c r="D423" s="0" t="n">
        <v>27</v>
      </c>
      <c r="E423" s="0" t="str">
        <f aca="false">TEXT(ROUND(1.01/FX,2),"#,##0.00")&amp;" – "&amp;TEXT(ROUND(2.25/FX,2),"#,##0.00")</f>
        <v>0.14 – 0.31</v>
      </c>
    </row>
    <row r="424" customFormat="false" ht="15" hidden="false" customHeight="false" outlineLevel="0" collapsed="false">
      <c r="A424" s="0" t="s">
        <v>473</v>
      </c>
      <c r="B424" s="0" t="s">
        <v>507</v>
      </c>
      <c r="C424" s="8" t="s">
        <v>512</v>
      </c>
      <c r="D424" s="0" t="n">
        <v>7</v>
      </c>
      <c r="E424" s="0" t="str">
        <f aca="false">TEXT(ROUND(1/FX,2),"#,##0.00")&amp;" – "&amp;TEXT(ROUND(1.35/FX,2),"#,##0.00")</f>
        <v>0.14 – 0.19</v>
      </c>
    </row>
    <row r="425" customFormat="false" ht="15" hidden="false" customHeight="false" outlineLevel="0" collapsed="false">
      <c r="A425" s="0" t="s">
        <v>473</v>
      </c>
      <c r="B425" s="0" t="s">
        <v>507</v>
      </c>
      <c r="C425" s="8" t="s">
        <v>513</v>
      </c>
      <c r="D425" s="0" t="n">
        <v>47</v>
      </c>
      <c r="E425" s="0" t="str">
        <f aca="false">TEXT(ROUND(0.52/FX,2),"#,##0.00")&amp;" – "&amp;TEXT(ROUND(26/FX,2),"#,##0.00")</f>
        <v>0.07 – 3.61</v>
      </c>
    </row>
    <row r="426" customFormat="false" ht="15" hidden="false" customHeight="false" outlineLevel="0" collapsed="false">
      <c r="A426" s="0" t="s">
        <v>473</v>
      </c>
      <c r="B426" s="0" t="s">
        <v>507</v>
      </c>
      <c r="C426" s="8" t="s">
        <v>514</v>
      </c>
      <c r="D426" s="0" t="n">
        <v>7</v>
      </c>
      <c r="E426" s="0" t="str">
        <f aca="false">TEXT(ROUND(0.52/FX,2),"#,##0.00")&amp;" – "&amp;TEXT(ROUND(1.3/FX,2),"#,##0.00")</f>
        <v>0.07 – 0.18</v>
      </c>
    </row>
    <row r="427" customFormat="false" ht="15" hidden="false" customHeight="false" outlineLevel="0" collapsed="false">
      <c r="A427" s="0" t="s">
        <v>473</v>
      </c>
      <c r="B427" s="0" t="s">
        <v>507</v>
      </c>
      <c r="C427" s="8" t="s">
        <v>515</v>
      </c>
      <c r="D427" s="0" t="n">
        <v>1</v>
      </c>
      <c r="E427" s="0" t="str">
        <f aca="false">TEXT(ROUND(0.91/FX,2),"#,##0.00")</f>
        <v>0.13</v>
      </c>
    </row>
    <row r="428" customFormat="false" ht="15" hidden="false" customHeight="false" outlineLevel="0" collapsed="false">
      <c r="A428" s="0" t="s">
        <v>473</v>
      </c>
      <c r="B428" s="0" t="s">
        <v>507</v>
      </c>
      <c r="C428" s="8" t="s">
        <v>516</v>
      </c>
      <c r="D428" s="0" t="n">
        <v>9</v>
      </c>
      <c r="E428" s="0" t="str">
        <f aca="false">TEXT(ROUND(0.39/FX,2),"#,##0.00")&amp;" – "&amp;TEXT(ROUND(1.63/FX,2),"#,##0.00")</f>
        <v>0.05 – 0.23</v>
      </c>
    </row>
    <row r="429" customFormat="false" ht="15" hidden="false" customHeight="false" outlineLevel="0" collapsed="false">
      <c r="A429" s="0" t="s">
        <v>473</v>
      </c>
      <c r="B429" s="0" t="s">
        <v>507</v>
      </c>
      <c r="C429" s="8" t="s">
        <v>517</v>
      </c>
      <c r="D429" s="0" t="n">
        <v>12</v>
      </c>
      <c r="E429" s="0" t="str">
        <f aca="false">TEXT(ROUND(1.01/FX,2),"#,##0.00")&amp;" – "&amp;TEXT(ROUND(7.15/FX,2),"#,##0.00")</f>
        <v>0.14 – 0.99</v>
      </c>
    </row>
    <row r="430" customFormat="false" ht="15" hidden="false" customHeight="false" outlineLevel="0" collapsed="false">
      <c r="A430" s="0" t="s">
        <v>473</v>
      </c>
      <c r="B430" s="0" t="s">
        <v>507</v>
      </c>
      <c r="C430" s="8" t="s">
        <v>518</v>
      </c>
      <c r="D430" s="0" t="n">
        <v>21</v>
      </c>
      <c r="E430" s="0" t="str">
        <f aca="false">TEXT(ROUND(0.39/FX,2),"#,##0.00")&amp;" – "&amp;TEXT(ROUND(29/FX,2),"#,##0.00")</f>
        <v>0.05 – 4.03</v>
      </c>
    </row>
    <row r="431" customFormat="false" ht="15" hidden="false" customHeight="false" outlineLevel="0" collapsed="false">
      <c r="A431" s="0" t="s">
        <v>473</v>
      </c>
      <c r="B431" s="0" t="s">
        <v>507</v>
      </c>
      <c r="C431" s="8" t="s">
        <v>519</v>
      </c>
      <c r="D431" s="0" t="n">
        <v>3</v>
      </c>
      <c r="E431" s="0" t="str">
        <f aca="false">TEXT(ROUND(0.14/FX,2),"#,##0.00")&amp;" – "&amp;TEXT(ROUND(0.67/FX,2),"#,##0.00")</f>
        <v>0.02 – 0.09</v>
      </c>
    </row>
    <row r="432" customFormat="false" ht="15" hidden="false" customHeight="false" outlineLevel="0" collapsed="false">
      <c r="A432" s="0" t="s">
        <v>473</v>
      </c>
      <c r="B432" s="0" t="s">
        <v>507</v>
      </c>
      <c r="C432" s="8" t="s">
        <v>520</v>
      </c>
      <c r="D432" s="0" t="n">
        <v>6</v>
      </c>
      <c r="E432" s="0" t="str">
        <f aca="false">TEXT(ROUND(1.46/FX,2),"#,##0.00")&amp;" – "&amp;TEXT(ROUND(8.74/FX,2),"#,##0.00")</f>
        <v>0.20 – 1.21</v>
      </c>
    </row>
    <row r="433" customFormat="false" ht="15" hidden="false" customHeight="false" outlineLevel="0" collapsed="false">
      <c r="A433" s="0" t="s">
        <v>473</v>
      </c>
      <c r="B433" s="0" t="s">
        <v>521</v>
      </c>
      <c r="C433" s="8" t="s">
        <v>522</v>
      </c>
      <c r="D433" s="0" t="n">
        <v>1</v>
      </c>
      <c r="E433" s="0" t="str">
        <f aca="false">TEXT(ROUND(12/FX,2),"#,##0.00")</f>
        <v>1.67</v>
      </c>
    </row>
    <row r="434" customFormat="false" ht="15" hidden="false" customHeight="false" outlineLevel="0" collapsed="false">
      <c r="A434" s="0" t="s">
        <v>473</v>
      </c>
      <c r="B434" s="0" t="s">
        <v>521</v>
      </c>
      <c r="C434" s="8" t="s">
        <v>523</v>
      </c>
      <c r="D434" s="0" t="n">
        <v>27</v>
      </c>
      <c r="E434" s="0" t="str">
        <f aca="false">TEXT(ROUND(0.16/FX,2),"#,##0.00")&amp;" – "&amp;TEXT(ROUND(4.08/FX,2),"#,##0.00")</f>
        <v>0.02 – 0.57</v>
      </c>
    </row>
    <row r="435" customFormat="false" ht="15" hidden="false" customHeight="false" outlineLevel="0" collapsed="false">
      <c r="A435" s="0" t="s">
        <v>524</v>
      </c>
      <c r="B435" s="0" t="s">
        <v>525</v>
      </c>
      <c r="C435" s="8" t="s">
        <v>526</v>
      </c>
      <c r="D435" s="0" t="n">
        <v>3</v>
      </c>
      <c r="E435" s="0" t="str">
        <f aca="false">TEXT(ROUND(7.28/FX,2),"#,##0.00")&amp;" – "&amp;TEXT(ROUND(9.75/FX,2),"#,##0.00")</f>
        <v>1.01 – 1.35</v>
      </c>
    </row>
    <row r="436" customFormat="false" ht="15" hidden="false" customHeight="false" outlineLevel="0" collapsed="false">
      <c r="A436" s="0" t="s">
        <v>524</v>
      </c>
      <c r="B436" s="0" t="s">
        <v>525</v>
      </c>
      <c r="C436" s="8" t="s">
        <v>527</v>
      </c>
      <c r="D436" s="0" t="n">
        <v>1</v>
      </c>
      <c r="E436" s="0" t="str">
        <f aca="false">TEXT(ROUND(585/FX,2),"#,##0.00")</f>
        <v>81.25</v>
      </c>
    </row>
    <row r="437" customFormat="false" ht="15" hidden="false" customHeight="false" outlineLevel="0" collapsed="false">
      <c r="A437" s="0" t="s">
        <v>524</v>
      </c>
      <c r="B437" s="0" t="s">
        <v>525</v>
      </c>
      <c r="C437" s="8" t="s">
        <v>528</v>
      </c>
      <c r="D437" s="0" t="n">
        <v>2</v>
      </c>
      <c r="E437" s="0" t="str">
        <f aca="false">TEXT(ROUND(37.7/FX,2),"#,##0.00")&amp;" – "&amp;TEXT(ROUND(39/FX,2),"#,##0.00")</f>
        <v>5.24 – 5.42</v>
      </c>
    </row>
    <row r="438" customFormat="false" ht="15" hidden="false" customHeight="false" outlineLevel="0" collapsed="false">
      <c r="A438" s="0" t="s">
        <v>524</v>
      </c>
      <c r="B438" s="0" t="s">
        <v>525</v>
      </c>
      <c r="C438" s="8" t="s">
        <v>529</v>
      </c>
      <c r="D438" s="0" t="n">
        <v>1</v>
      </c>
      <c r="E438" s="0" t="str">
        <f aca="false">TEXT(ROUND(7.15/FX,2),"#,##0.00")</f>
        <v>0.99</v>
      </c>
    </row>
    <row r="439" customFormat="false" ht="15" hidden="false" customHeight="false" outlineLevel="0" collapsed="false">
      <c r="A439" s="0" t="s">
        <v>524</v>
      </c>
      <c r="B439" s="0" t="s">
        <v>525</v>
      </c>
      <c r="C439" s="8" t="s">
        <v>530</v>
      </c>
      <c r="D439" s="0" t="n">
        <v>3</v>
      </c>
      <c r="E439" s="0" t="str">
        <f aca="false">TEXT(ROUND(26/FX,2),"#,##0.00")&amp;" – "&amp;TEXT(ROUND(50/FX,2),"#,##0.00")</f>
        <v>3.61 – 6.94</v>
      </c>
    </row>
    <row r="440" customFormat="false" ht="15" hidden="false" customHeight="false" outlineLevel="0" collapsed="false">
      <c r="A440" s="0" t="s">
        <v>524</v>
      </c>
      <c r="B440" s="0" t="s">
        <v>525</v>
      </c>
      <c r="C440" s="8" t="s">
        <v>531</v>
      </c>
      <c r="D440" s="0" t="n">
        <v>17</v>
      </c>
      <c r="E440" s="0" t="str">
        <f aca="false">TEXT(ROUND(32.5/FX,2),"#,##0.00")&amp;" – "&amp;TEXT(ROUND(70/FX,2),"#,##0.00")</f>
        <v>4.51 – 9.72</v>
      </c>
    </row>
    <row r="441" customFormat="false" ht="15" hidden="false" customHeight="false" outlineLevel="0" collapsed="false">
      <c r="A441" s="0" t="s">
        <v>524</v>
      </c>
      <c r="B441" s="0" t="s">
        <v>525</v>
      </c>
      <c r="C441" s="8" t="s">
        <v>532</v>
      </c>
      <c r="D441" s="0" t="n">
        <v>7</v>
      </c>
      <c r="E441" s="0" t="str">
        <f aca="false">TEXT(ROUND(11.7/FX,2),"#,##0.00")&amp;" – "&amp;TEXT(ROUND(35/FX,2),"#,##0.00")</f>
        <v>1.63 – 4.86</v>
      </c>
    </row>
    <row r="442" customFormat="false" ht="15" hidden="false" customHeight="false" outlineLevel="0" collapsed="false">
      <c r="A442" s="0" t="s">
        <v>524</v>
      </c>
      <c r="B442" s="0" t="s">
        <v>525</v>
      </c>
      <c r="C442" s="8" t="s">
        <v>533</v>
      </c>
      <c r="D442" s="0" t="n">
        <v>6</v>
      </c>
      <c r="E442" s="0" t="str">
        <f aca="false">TEXT(ROUND(1.3/FX,2),"#,##0.00")&amp;" – "&amp;TEXT(ROUND(2.86/FX,2),"#,##0.00")</f>
        <v>0.18 – 0.40</v>
      </c>
    </row>
    <row r="443" customFormat="false" ht="15" hidden="false" customHeight="false" outlineLevel="0" collapsed="false">
      <c r="A443" s="0" t="s">
        <v>524</v>
      </c>
      <c r="B443" s="0" t="s">
        <v>525</v>
      </c>
      <c r="C443" s="8" t="s">
        <v>534</v>
      </c>
      <c r="D443" s="0" t="n">
        <v>1</v>
      </c>
      <c r="E443" s="0" t="str">
        <f aca="false">TEXT(ROUND(3.9/FX,2),"#,##0.00")</f>
        <v>0.54</v>
      </c>
    </row>
    <row r="444" customFormat="false" ht="15" hidden="false" customHeight="false" outlineLevel="0" collapsed="false">
      <c r="A444" s="0" t="s">
        <v>524</v>
      </c>
      <c r="B444" s="0" t="s">
        <v>525</v>
      </c>
      <c r="C444" s="8" t="s">
        <v>535</v>
      </c>
      <c r="D444" s="0" t="n">
        <v>5</v>
      </c>
      <c r="E444" s="0" t="str">
        <f aca="false">TEXT(ROUND(4.81/FX,2),"#,##0.00")&amp;" – "&amp;TEXT(ROUND(27.3/FX,2),"#,##0.00")</f>
        <v>0.67 – 3.79</v>
      </c>
    </row>
    <row r="445" customFormat="false" ht="15" hidden="false" customHeight="false" outlineLevel="0" collapsed="false">
      <c r="A445" s="0" t="s">
        <v>524</v>
      </c>
      <c r="B445" s="0" t="s">
        <v>525</v>
      </c>
      <c r="C445" s="8" t="s">
        <v>536</v>
      </c>
      <c r="D445" s="0" t="n">
        <v>1</v>
      </c>
      <c r="E445" s="0" t="str">
        <f aca="false">TEXT(ROUND(3.9/FX,2),"#,##0.00")</f>
        <v>0.54</v>
      </c>
    </row>
    <row r="446" customFormat="false" ht="15" hidden="false" customHeight="false" outlineLevel="0" collapsed="false">
      <c r="A446" s="0" t="s">
        <v>524</v>
      </c>
      <c r="B446" s="0" t="s">
        <v>525</v>
      </c>
      <c r="C446" s="8" t="s">
        <v>537</v>
      </c>
      <c r="D446" s="0" t="n">
        <v>1</v>
      </c>
      <c r="E446" s="0" t="str">
        <f aca="false">TEXT(ROUND(13/FX,2),"#,##0.00")</f>
        <v>1.81</v>
      </c>
    </row>
    <row r="447" customFormat="false" ht="15" hidden="false" customHeight="false" outlineLevel="0" collapsed="false">
      <c r="A447" s="0" t="s">
        <v>524</v>
      </c>
      <c r="B447" s="0" t="s">
        <v>525</v>
      </c>
      <c r="C447" s="8" t="s">
        <v>538</v>
      </c>
      <c r="D447" s="0" t="n">
        <v>72</v>
      </c>
      <c r="E447" s="0" t="str">
        <f aca="false">TEXT(ROUND(0.52/FX,2),"#,##0.00")&amp;" – "&amp;TEXT(ROUND(5.2/FX,2),"#,##0.00")</f>
        <v>0.07 – 0.72</v>
      </c>
    </row>
    <row r="448" customFormat="false" ht="15" hidden="false" customHeight="false" outlineLevel="0" collapsed="false">
      <c r="A448" s="0" t="s">
        <v>524</v>
      </c>
      <c r="B448" s="0" t="s">
        <v>525</v>
      </c>
      <c r="C448" s="8" t="s">
        <v>539</v>
      </c>
      <c r="D448" s="0" t="n">
        <v>13</v>
      </c>
      <c r="E448" s="0" t="str">
        <f aca="false">TEXT(ROUND(2.18/FX,2),"#,##0.00")&amp;" – "&amp;TEXT(ROUND(5.85/FX,2),"#,##0.00")</f>
        <v>0.30 – 0.81</v>
      </c>
    </row>
    <row r="449" customFormat="false" ht="15" hidden="false" customHeight="false" outlineLevel="0" collapsed="false">
      <c r="A449" s="0" t="s">
        <v>524</v>
      </c>
      <c r="B449" s="0" t="s">
        <v>525</v>
      </c>
      <c r="C449" s="8" t="s">
        <v>540</v>
      </c>
      <c r="D449" s="0" t="n">
        <v>53</v>
      </c>
      <c r="E449" s="0" t="str">
        <f aca="false">TEXT(ROUND(2.6/FX,2),"#,##0.00")&amp;" – "&amp;TEXT(ROUND(45/FX,2),"#,##0.00")</f>
        <v>0.36 – 6.25</v>
      </c>
    </row>
    <row r="450" customFormat="false" ht="15" hidden="false" customHeight="false" outlineLevel="0" collapsed="false">
      <c r="A450" s="0" t="s">
        <v>524</v>
      </c>
      <c r="B450" s="0" t="s">
        <v>525</v>
      </c>
      <c r="C450" s="8" t="s">
        <v>541</v>
      </c>
      <c r="D450" s="0" t="n">
        <v>13</v>
      </c>
      <c r="E450" s="0" t="str">
        <f aca="false">TEXT(ROUND(8.4/FX,2),"#,##0.00")&amp;" – "&amp;TEXT(ROUND(59.18/FX,2),"#,##0.00")</f>
        <v>1.17 – 8.22</v>
      </c>
    </row>
    <row r="451" customFormat="false" ht="15" hidden="false" customHeight="false" outlineLevel="0" collapsed="false">
      <c r="A451" s="0" t="s">
        <v>524</v>
      </c>
      <c r="B451" s="0" t="s">
        <v>525</v>
      </c>
      <c r="C451" s="8" t="s">
        <v>542</v>
      </c>
      <c r="D451" s="0" t="n">
        <v>2</v>
      </c>
      <c r="E451" s="0" t="str">
        <f aca="false">TEXT(ROUND(60/FX,2),"#,##0.00")</f>
        <v>8.33</v>
      </c>
    </row>
    <row r="452" customFormat="false" ht="15" hidden="false" customHeight="false" outlineLevel="0" collapsed="false">
      <c r="A452" s="0" t="s">
        <v>524</v>
      </c>
      <c r="B452" s="0" t="s">
        <v>525</v>
      </c>
      <c r="C452" s="8" t="s">
        <v>543</v>
      </c>
      <c r="D452" s="0" t="n">
        <v>6</v>
      </c>
      <c r="E452" s="0" t="str">
        <f aca="false">TEXT(ROUND(0.91/FX,2),"#,##0.00")&amp;" – "&amp;TEXT(ROUND(2.6/FX,2),"#,##0.00")</f>
        <v>0.13 – 0.36</v>
      </c>
    </row>
    <row r="453" customFormat="false" ht="15" hidden="false" customHeight="false" outlineLevel="0" collapsed="false">
      <c r="A453" s="0" t="s">
        <v>524</v>
      </c>
      <c r="B453" s="0" t="s">
        <v>525</v>
      </c>
      <c r="C453" s="8" t="s">
        <v>544</v>
      </c>
      <c r="D453" s="0" t="n">
        <v>21</v>
      </c>
      <c r="E453" s="0" t="str">
        <f aca="false">TEXT(ROUND(2.6/FX,2),"#,##0.00")&amp;" – "&amp;TEXT(ROUND(5.2/FX,2),"#,##0.00")</f>
        <v>0.36 – 0.72</v>
      </c>
    </row>
    <row r="454" customFormat="false" ht="15" hidden="false" customHeight="false" outlineLevel="0" collapsed="false">
      <c r="A454" s="0" t="s">
        <v>524</v>
      </c>
      <c r="B454" s="0" t="s">
        <v>525</v>
      </c>
      <c r="C454" s="8" t="s">
        <v>545</v>
      </c>
      <c r="D454" s="0" t="n">
        <v>1</v>
      </c>
      <c r="E454" s="0" t="str">
        <f aca="false">TEXT(ROUND(4.55/FX,2),"#,##0.00")</f>
        <v>0.63</v>
      </c>
    </row>
    <row r="455" customFormat="false" ht="15" hidden="false" customHeight="false" outlineLevel="0" collapsed="false">
      <c r="A455" s="0" t="s">
        <v>524</v>
      </c>
      <c r="B455" s="0" t="s">
        <v>525</v>
      </c>
      <c r="C455" s="8" t="s">
        <v>546</v>
      </c>
      <c r="D455" s="0" t="n">
        <v>4</v>
      </c>
      <c r="E455" s="0" t="str">
        <f aca="false">TEXT(ROUND(0.13/FX,2),"#,##0.00")&amp;" – "&amp;TEXT(ROUND(0.33/FX,2),"#,##0.00")</f>
        <v>0.02 – 0.05</v>
      </c>
    </row>
    <row r="456" customFormat="false" ht="15" hidden="false" customHeight="false" outlineLevel="0" collapsed="false">
      <c r="A456" s="0" t="s">
        <v>524</v>
      </c>
      <c r="B456" s="0" t="s">
        <v>525</v>
      </c>
      <c r="C456" s="8" t="s">
        <v>547</v>
      </c>
      <c r="D456" s="0" t="n">
        <v>1</v>
      </c>
      <c r="E456" s="0" t="str">
        <f aca="false">TEXT(ROUND(5.2/FX,2),"#,##0.00")</f>
        <v>0.72</v>
      </c>
    </row>
    <row r="457" customFormat="false" ht="15" hidden="false" customHeight="false" outlineLevel="0" collapsed="false">
      <c r="A457" s="0" t="s">
        <v>524</v>
      </c>
      <c r="B457" s="0" t="s">
        <v>525</v>
      </c>
      <c r="C457" s="8" t="s">
        <v>548</v>
      </c>
      <c r="D457" s="0" t="n">
        <v>2</v>
      </c>
      <c r="E457" s="0" t="str">
        <f aca="false">TEXT(ROUND(1.04/FX,2),"#,##0.00")&amp;" – "&amp;TEXT(ROUND(1.3/FX,2),"#,##0.00")</f>
        <v>0.14 – 0.18</v>
      </c>
    </row>
    <row r="458" customFormat="false" ht="15" hidden="false" customHeight="false" outlineLevel="0" collapsed="false">
      <c r="A458" s="0" t="s">
        <v>524</v>
      </c>
      <c r="B458" s="0" t="s">
        <v>525</v>
      </c>
      <c r="C458" s="8" t="s">
        <v>549</v>
      </c>
      <c r="D458" s="0" t="n">
        <v>67</v>
      </c>
      <c r="E458" s="0" t="str">
        <f aca="false">TEXT(ROUND(1.82/FX,2),"#,##0.00")&amp;" – "&amp;TEXT(ROUND(9.85/FX,2),"#,##0.00")</f>
        <v>0.25 – 1.37</v>
      </c>
    </row>
    <row r="459" customFormat="false" ht="15" hidden="false" customHeight="false" outlineLevel="0" collapsed="false">
      <c r="A459" s="0" t="s">
        <v>524</v>
      </c>
      <c r="B459" s="0" t="s">
        <v>525</v>
      </c>
      <c r="C459" s="8" t="s">
        <v>550</v>
      </c>
      <c r="D459" s="0" t="n">
        <v>2</v>
      </c>
      <c r="E459" s="0" t="str">
        <f aca="false">TEXT(ROUND(4.29/FX,2),"#,##0.00")</f>
        <v>0.60</v>
      </c>
    </row>
    <row r="460" customFormat="false" ht="15" hidden="false" customHeight="false" outlineLevel="0" collapsed="false">
      <c r="A460" s="0" t="s">
        <v>524</v>
      </c>
      <c r="B460" s="0" t="s">
        <v>525</v>
      </c>
      <c r="C460" s="8" t="s">
        <v>551</v>
      </c>
      <c r="D460" s="0" t="n">
        <v>1</v>
      </c>
      <c r="E460" s="0" t="str">
        <f aca="false">TEXT(ROUND(360/FX,2),"#,##0.00")</f>
        <v>50.00</v>
      </c>
    </row>
    <row r="461" customFormat="false" ht="15" hidden="false" customHeight="false" outlineLevel="0" collapsed="false">
      <c r="A461" s="0" t="s">
        <v>524</v>
      </c>
      <c r="B461" s="0" t="s">
        <v>525</v>
      </c>
      <c r="C461" s="8" t="s">
        <v>552</v>
      </c>
      <c r="D461" s="0" t="n">
        <v>3</v>
      </c>
      <c r="E461" s="0" t="str">
        <f aca="false">TEXT(ROUND(4.4/FX,2),"#,##0.00")&amp;" – "&amp;TEXT(ROUND(11.7/FX,2),"#,##0.00")</f>
        <v>0.61 – 1.63</v>
      </c>
    </row>
    <row r="462" customFormat="false" ht="15" hidden="false" customHeight="false" outlineLevel="0" collapsed="false">
      <c r="A462" s="0" t="s">
        <v>524</v>
      </c>
      <c r="B462" s="0" t="s">
        <v>525</v>
      </c>
      <c r="C462" s="8" t="s">
        <v>553</v>
      </c>
      <c r="D462" s="0" t="n">
        <v>16</v>
      </c>
      <c r="E462" s="0" t="str">
        <f aca="false">TEXT(ROUND(0.26/FX,2),"#,##0.00")&amp;" – "&amp;TEXT(ROUND(1.96/FX,2),"#,##0.00")</f>
        <v>0.04 – 0.27</v>
      </c>
    </row>
    <row r="463" customFormat="false" ht="15" hidden="false" customHeight="false" outlineLevel="0" collapsed="false">
      <c r="A463" s="0" t="s">
        <v>524</v>
      </c>
      <c r="B463" s="0" t="s">
        <v>525</v>
      </c>
      <c r="C463" s="8" t="s">
        <v>554</v>
      </c>
      <c r="D463" s="0" t="n">
        <v>4</v>
      </c>
      <c r="E463" s="0" t="str">
        <f aca="false">TEXT(ROUND(1.56/FX,2),"#,##0.00")&amp;" – "&amp;TEXT(ROUND(2.6/FX,2),"#,##0.00")</f>
        <v>0.22 – 0.36</v>
      </c>
    </row>
    <row r="464" customFormat="false" ht="15" hidden="false" customHeight="false" outlineLevel="0" collapsed="false">
      <c r="A464" s="0" t="s">
        <v>524</v>
      </c>
      <c r="B464" s="0" t="s">
        <v>525</v>
      </c>
      <c r="C464" s="8" t="s">
        <v>555</v>
      </c>
      <c r="D464" s="0" t="n">
        <v>4</v>
      </c>
      <c r="E464" s="0" t="str">
        <f aca="false">TEXT(ROUND(13.1/FX,2),"#,##0.00")</f>
        <v>1.82</v>
      </c>
    </row>
    <row r="465" customFormat="false" ht="15" hidden="false" customHeight="false" outlineLevel="0" collapsed="false">
      <c r="A465" s="0" t="s">
        <v>524</v>
      </c>
      <c r="B465" s="0" t="s">
        <v>556</v>
      </c>
      <c r="C465" s="8" t="s">
        <v>557</v>
      </c>
      <c r="D465" s="0" t="n">
        <v>1</v>
      </c>
      <c r="E465" s="0" t="str">
        <f aca="false">TEXT(ROUND(90.74/FX,2),"#,##0.00")</f>
        <v>12.60</v>
      </c>
    </row>
    <row r="466" customFormat="false" ht="15" hidden="false" customHeight="false" outlineLevel="0" collapsed="false">
      <c r="A466" s="0" t="s">
        <v>524</v>
      </c>
      <c r="B466" s="0" t="s">
        <v>556</v>
      </c>
      <c r="C466" s="8" t="s">
        <v>558</v>
      </c>
      <c r="D466" s="0" t="n">
        <v>2</v>
      </c>
      <c r="E466" s="0" t="str">
        <f aca="false">TEXT(ROUND(11.7/FX,2),"#,##0.00")&amp;" – "&amp;TEXT(ROUND(22.1/FX,2),"#,##0.00")</f>
        <v>1.63 – 3.07</v>
      </c>
    </row>
    <row r="467" customFormat="false" ht="15" hidden="false" customHeight="false" outlineLevel="0" collapsed="false">
      <c r="A467" s="0" t="s">
        <v>524</v>
      </c>
      <c r="B467" s="0" t="s">
        <v>556</v>
      </c>
      <c r="C467" s="8" t="s">
        <v>559</v>
      </c>
      <c r="D467" s="0" t="n">
        <v>9</v>
      </c>
      <c r="E467" s="0" t="str">
        <f aca="false">TEXT(ROUND(2.6/FX,2),"#,##0.00")&amp;" – "&amp;TEXT(ROUND(13/FX,2),"#,##0.00")</f>
        <v>0.36 – 1.81</v>
      </c>
    </row>
    <row r="468" customFormat="false" ht="15" hidden="false" customHeight="false" outlineLevel="0" collapsed="false">
      <c r="A468" s="0" t="s">
        <v>524</v>
      </c>
      <c r="B468" s="0" t="s">
        <v>556</v>
      </c>
      <c r="C468" s="8" t="s">
        <v>560</v>
      </c>
      <c r="D468" s="0" t="n">
        <v>1</v>
      </c>
      <c r="E468" s="0" t="str">
        <f aca="false">TEXT(ROUND(31.58/FX,2),"#,##0.00")</f>
        <v>4.39</v>
      </c>
    </row>
    <row r="469" customFormat="false" ht="15" hidden="false" customHeight="false" outlineLevel="0" collapsed="false">
      <c r="A469" s="0" t="s">
        <v>524</v>
      </c>
      <c r="B469" s="0" t="s">
        <v>556</v>
      </c>
      <c r="C469" s="8" t="s">
        <v>561</v>
      </c>
      <c r="D469" s="0" t="n">
        <v>1</v>
      </c>
      <c r="E469" s="0" t="str">
        <f aca="false">TEXT(ROUND(2.08/FX,2),"#,##0.00")</f>
        <v>0.29</v>
      </c>
    </row>
    <row r="470" customFormat="false" ht="15" hidden="false" customHeight="false" outlineLevel="0" collapsed="false">
      <c r="A470" s="0" t="s">
        <v>524</v>
      </c>
      <c r="B470" s="0" t="s">
        <v>562</v>
      </c>
      <c r="C470" s="8" t="s">
        <v>563</v>
      </c>
      <c r="D470" s="0" t="n">
        <v>3</v>
      </c>
      <c r="E470" s="0" t="str">
        <f aca="false">TEXT(ROUND(0.78/FX,2),"#,##0.00")&amp;" – "&amp;TEXT(ROUND(1.04/FX,2),"#,##0.00")</f>
        <v>0.11 – 0.14</v>
      </c>
    </row>
    <row r="471" customFormat="false" ht="15" hidden="false" customHeight="false" outlineLevel="0" collapsed="false">
      <c r="A471" s="0" t="s">
        <v>524</v>
      </c>
      <c r="B471" s="0" t="s">
        <v>562</v>
      </c>
      <c r="C471" s="8" t="s">
        <v>564</v>
      </c>
      <c r="D471" s="0" t="n">
        <v>2</v>
      </c>
      <c r="E471" s="0" t="str">
        <f aca="false">TEXT(ROUND(0.38/FX,2),"#,##0.00")&amp;" – "&amp;TEXT(ROUND(0.48/FX,2),"#,##0.00")</f>
        <v>0.05 – 0.07</v>
      </c>
    </row>
    <row r="472" customFormat="false" ht="15" hidden="false" customHeight="false" outlineLevel="0" collapsed="false">
      <c r="A472" s="0" t="s">
        <v>524</v>
      </c>
      <c r="B472" s="0" t="s">
        <v>562</v>
      </c>
      <c r="C472" s="8" t="s">
        <v>565</v>
      </c>
      <c r="D472" s="0" t="n">
        <v>1</v>
      </c>
      <c r="E472" s="0" t="str">
        <f aca="false">TEXT(ROUND(1.17/FX,2),"#,##0.00")</f>
        <v>0.16</v>
      </c>
    </row>
    <row r="473" customFormat="false" ht="15" hidden="false" customHeight="false" outlineLevel="0" collapsed="false">
      <c r="A473" s="0" t="s">
        <v>524</v>
      </c>
      <c r="B473" s="0" t="s">
        <v>562</v>
      </c>
      <c r="C473" s="8" t="s">
        <v>566</v>
      </c>
      <c r="D473" s="0" t="n">
        <v>1</v>
      </c>
      <c r="E473" s="0" t="str">
        <f aca="false">TEXT(ROUND(3.25/FX,2),"#,##0.00")</f>
        <v>0.45</v>
      </c>
    </row>
    <row r="474" customFormat="false" ht="15" hidden="false" customHeight="false" outlineLevel="0" collapsed="false">
      <c r="A474" s="0" t="s">
        <v>524</v>
      </c>
      <c r="B474" s="0" t="s">
        <v>562</v>
      </c>
      <c r="C474" s="8" t="s">
        <v>567</v>
      </c>
      <c r="D474" s="0" t="n">
        <v>18</v>
      </c>
      <c r="E474" s="0" t="str">
        <f aca="false">TEXT(ROUND(0.17/FX,2),"#,##0.00")&amp;" – "&amp;TEXT(ROUND(9.49/FX,2),"#,##0.00")</f>
        <v>0.02 – 1.32</v>
      </c>
    </row>
    <row r="475" customFormat="false" ht="15" hidden="false" customHeight="false" outlineLevel="0" collapsed="false">
      <c r="A475" s="0" t="s">
        <v>524</v>
      </c>
      <c r="B475" s="0" t="s">
        <v>562</v>
      </c>
      <c r="C475" s="8" t="s">
        <v>568</v>
      </c>
      <c r="D475" s="0" t="n">
        <v>8</v>
      </c>
      <c r="E475" s="0" t="str">
        <f aca="false">TEXT(ROUND(0.13/FX,2),"#,##0.00")&amp;" – "&amp;TEXT(ROUND(1.95/FX,2),"#,##0.00")</f>
        <v>0.02 – 0.27</v>
      </c>
    </row>
    <row r="476" customFormat="false" ht="15" hidden="false" customHeight="false" outlineLevel="0" collapsed="false">
      <c r="A476" s="0" t="s">
        <v>524</v>
      </c>
      <c r="B476" s="0" t="s">
        <v>569</v>
      </c>
      <c r="C476" s="8" t="s">
        <v>570</v>
      </c>
      <c r="D476" s="0" t="n">
        <v>133</v>
      </c>
      <c r="E476" s="0" t="str">
        <f aca="false">TEXT(ROUND(0.28/FX,2),"#,##0.00")&amp;" – "&amp;TEXT(ROUND(7.51/FX,2),"#,##0.00")</f>
        <v>0.04 – 1.04</v>
      </c>
    </row>
    <row r="477" customFormat="false" ht="15" hidden="false" customHeight="false" outlineLevel="0" collapsed="false">
      <c r="A477" s="0" t="s">
        <v>524</v>
      </c>
      <c r="B477" s="0" t="s">
        <v>569</v>
      </c>
      <c r="C477" s="8" t="s">
        <v>571</v>
      </c>
      <c r="D477" s="0" t="n">
        <v>6</v>
      </c>
      <c r="E477" s="0" t="str">
        <f aca="false">TEXT(ROUND(3.25/FX,2),"#,##0.00")&amp;" – "&amp;TEXT(ROUND(37.84/FX,2),"#,##0.00")</f>
        <v>0.45 – 5.26</v>
      </c>
    </row>
    <row r="478" customFormat="false" ht="15" hidden="false" customHeight="false" outlineLevel="0" collapsed="false">
      <c r="A478" s="0" t="s">
        <v>524</v>
      </c>
      <c r="B478" s="0" t="s">
        <v>569</v>
      </c>
      <c r="C478" s="8" t="s">
        <v>572</v>
      </c>
      <c r="D478" s="0" t="n">
        <v>2</v>
      </c>
      <c r="E478" s="0" t="str">
        <f aca="false">TEXT(ROUND(52/FX,2),"#,##0.00")&amp;" – "&amp;TEXT(ROUND(65/FX,2),"#,##0.00")</f>
        <v>7.22 – 9.03</v>
      </c>
    </row>
    <row r="479" customFormat="false" ht="15" hidden="false" customHeight="false" outlineLevel="0" collapsed="false">
      <c r="A479" s="0" t="s">
        <v>524</v>
      </c>
      <c r="B479" s="0" t="s">
        <v>569</v>
      </c>
      <c r="C479" s="8" t="s">
        <v>573</v>
      </c>
      <c r="D479" s="0" t="n">
        <v>1</v>
      </c>
      <c r="E479" s="0" t="str">
        <f aca="false">TEXT(ROUND(10.4/FX,2),"#,##0.00")</f>
        <v>1.44</v>
      </c>
    </row>
    <row r="480" customFormat="false" ht="15" hidden="false" customHeight="false" outlineLevel="0" collapsed="false">
      <c r="A480" s="0" t="s">
        <v>524</v>
      </c>
      <c r="B480" s="0" t="s">
        <v>569</v>
      </c>
      <c r="C480" s="8" t="s">
        <v>574</v>
      </c>
      <c r="D480" s="0" t="n">
        <v>2</v>
      </c>
      <c r="E480" s="0" t="str">
        <f aca="false">TEXT(ROUND(2.47/FX,2),"#,##0.00")&amp;" – "&amp;TEXT(ROUND(3.14/FX,2),"#,##0.00")</f>
        <v>0.34 – 0.44</v>
      </c>
    </row>
    <row r="481" customFormat="false" ht="15" hidden="false" customHeight="false" outlineLevel="0" collapsed="false">
      <c r="A481" s="0" t="s">
        <v>524</v>
      </c>
      <c r="B481" s="0" t="s">
        <v>569</v>
      </c>
      <c r="C481" s="8" t="s">
        <v>575</v>
      </c>
      <c r="D481" s="0" t="n">
        <v>17</v>
      </c>
      <c r="E481" s="0" t="str">
        <f aca="false">TEXT(ROUND(1.6/FX,2),"#,##0.00")&amp;" – "&amp;TEXT(ROUND(12.8/FX,2),"#,##0.00")</f>
        <v>0.22 – 1.78</v>
      </c>
    </row>
    <row r="482" customFormat="false" ht="15" hidden="false" customHeight="false" outlineLevel="0" collapsed="false">
      <c r="A482" s="0" t="s">
        <v>524</v>
      </c>
      <c r="B482" s="0" t="s">
        <v>569</v>
      </c>
      <c r="C482" s="8" t="s">
        <v>576</v>
      </c>
      <c r="D482" s="0" t="n">
        <v>3</v>
      </c>
      <c r="E482" s="0" t="str">
        <f aca="false">TEXT(ROUND(2.73/FX,2),"#,##0.00")&amp;" – "&amp;TEXT(ROUND(3.25/FX,2),"#,##0.00")</f>
        <v>0.38 – 0.45</v>
      </c>
    </row>
    <row r="483" customFormat="false" ht="15" hidden="false" customHeight="false" outlineLevel="0" collapsed="false">
      <c r="A483" s="0" t="s">
        <v>524</v>
      </c>
      <c r="B483" s="0" t="s">
        <v>569</v>
      </c>
      <c r="C483" s="8" t="s">
        <v>577</v>
      </c>
      <c r="D483" s="0" t="n">
        <v>4</v>
      </c>
      <c r="E483" s="0" t="str">
        <f aca="false">TEXT(ROUND(1.69/FX,2),"#,##0.00")&amp;" – "&amp;TEXT(ROUND(7.8/FX,2),"#,##0.00")</f>
        <v>0.23 – 1.08</v>
      </c>
    </row>
    <row r="484" customFormat="false" ht="15" hidden="false" customHeight="false" outlineLevel="0" collapsed="false">
      <c r="A484" s="0" t="s">
        <v>524</v>
      </c>
      <c r="B484" s="0" t="s">
        <v>569</v>
      </c>
      <c r="C484" s="8" t="s">
        <v>578</v>
      </c>
      <c r="D484" s="0" t="n">
        <v>1</v>
      </c>
      <c r="E484" s="0" t="str">
        <f aca="false">TEXT(ROUND(16.9/FX,2),"#,##0.00")</f>
        <v>2.35</v>
      </c>
    </row>
    <row r="485" customFormat="false" ht="15" hidden="false" customHeight="false" outlineLevel="0" collapsed="false">
      <c r="A485" s="0" t="s">
        <v>524</v>
      </c>
      <c r="B485" s="0" t="s">
        <v>569</v>
      </c>
      <c r="C485" s="8" t="s">
        <v>579</v>
      </c>
      <c r="D485" s="0" t="n">
        <v>4</v>
      </c>
      <c r="E485" s="0" t="str">
        <f aca="false">TEXT(ROUND(9.7/FX,2),"#,##0.00")&amp;" – "&amp;TEXT(ROUND(200/FX,2),"#,##0.00")</f>
        <v>1.35 – 27.78</v>
      </c>
    </row>
    <row r="486" customFormat="false" ht="15" hidden="false" customHeight="false" outlineLevel="0" collapsed="false">
      <c r="A486" s="0" t="s">
        <v>524</v>
      </c>
      <c r="B486" s="0" t="s">
        <v>569</v>
      </c>
      <c r="C486" s="8" t="s">
        <v>580</v>
      </c>
      <c r="D486" s="0" t="n">
        <v>2</v>
      </c>
      <c r="E486" s="0" t="str">
        <f aca="false">TEXT(ROUND(9.1/FX,2),"#,##0.00")&amp;" – "&amp;TEXT(ROUND(22/FX,2),"#,##0.00")</f>
        <v>1.26 – 3.06</v>
      </c>
    </row>
    <row r="487" customFormat="false" ht="15" hidden="false" customHeight="false" outlineLevel="0" collapsed="false">
      <c r="A487" s="0" t="s">
        <v>524</v>
      </c>
      <c r="B487" s="0" t="s">
        <v>569</v>
      </c>
      <c r="C487" s="8" t="s">
        <v>581</v>
      </c>
      <c r="D487" s="0" t="n">
        <v>27</v>
      </c>
      <c r="E487" s="0" t="str">
        <f aca="false">TEXT(ROUND(0.44/FX,2),"#,##0.00")&amp;" – "&amp;TEXT(ROUND(6.5/FX,2),"#,##0.00")</f>
        <v>0.06 – 0.90</v>
      </c>
    </row>
    <row r="488" customFormat="false" ht="15" hidden="false" customHeight="false" outlineLevel="0" collapsed="false">
      <c r="A488" s="0" t="s">
        <v>524</v>
      </c>
      <c r="B488" s="0" t="s">
        <v>569</v>
      </c>
      <c r="C488" s="8" t="s">
        <v>582</v>
      </c>
      <c r="D488" s="0" t="n">
        <v>1</v>
      </c>
      <c r="E488" s="0" t="str">
        <f aca="false">TEXT(ROUND(0.46/FX,2),"#,##0.00")</f>
        <v>0.06</v>
      </c>
    </row>
    <row r="489" customFormat="false" ht="15" hidden="false" customHeight="false" outlineLevel="0" collapsed="false">
      <c r="A489" s="0" t="s">
        <v>524</v>
      </c>
      <c r="B489" s="0" t="s">
        <v>569</v>
      </c>
      <c r="C489" s="8" t="s">
        <v>583</v>
      </c>
      <c r="D489" s="0" t="n">
        <v>35</v>
      </c>
      <c r="E489" s="0" t="str">
        <f aca="false">TEXT(ROUND(3.12/FX,2),"#,##0.00")&amp;" – "&amp;TEXT(ROUND(7.15/FX,2),"#,##0.00")</f>
        <v>0.43 – 0.99</v>
      </c>
    </row>
    <row r="490" customFormat="false" ht="15" hidden="false" customHeight="false" outlineLevel="0" collapsed="false">
      <c r="A490" s="0" t="s">
        <v>524</v>
      </c>
      <c r="B490" s="0" t="s">
        <v>569</v>
      </c>
      <c r="C490" s="8" t="s">
        <v>584</v>
      </c>
      <c r="D490" s="0" t="n">
        <v>1</v>
      </c>
      <c r="E490" s="0" t="str">
        <f aca="false">TEXT(ROUND(17.59/FX,2),"#,##0.00")</f>
        <v>2.44</v>
      </c>
    </row>
    <row r="491" customFormat="false" ht="15" hidden="false" customHeight="false" outlineLevel="0" collapsed="false">
      <c r="A491" s="0" t="s">
        <v>524</v>
      </c>
      <c r="B491" s="0" t="s">
        <v>569</v>
      </c>
      <c r="C491" s="8" t="s">
        <v>585</v>
      </c>
      <c r="D491" s="0" t="n">
        <v>29</v>
      </c>
      <c r="E491" s="0" t="str">
        <f aca="false">TEXT(ROUND(1.11/FX,2),"#,##0.00")&amp;" – "&amp;TEXT(ROUND(27.95/FX,2),"#,##0.00")</f>
        <v>0.15 – 3.88</v>
      </c>
    </row>
    <row r="492" customFormat="false" ht="15" hidden="false" customHeight="false" outlineLevel="0" collapsed="false">
      <c r="A492" s="0" t="s">
        <v>524</v>
      </c>
      <c r="B492" s="0" t="s">
        <v>569</v>
      </c>
      <c r="C492" s="8" t="s">
        <v>586</v>
      </c>
      <c r="D492" s="0" t="n">
        <v>1</v>
      </c>
      <c r="E492" s="0" t="str">
        <f aca="false">TEXT(ROUND(22.73/FX,2),"#,##0.00")</f>
        <v>3.16</v>
      </c>
    </row>
    <row r="493" customFormat="false" ht="15" hidden="false" customHeight="false" outlineLevel="0" collapsed="false">
      <c r="A493" s="0" t="s">
        <v>524</v>
      </c>
      <c r="B493" s="0" t="s">
        <v>569</v>
      </c>
      <c r="C493" s="8" t="s">
        <v>587</v>
      </c>
      <c r="D493" s="0" t="n">
        <v>3</v>
      </c>
      <c r="E493" s="0" t="str">
        <f aca="false">TEXT(ROUND(0.35/FX,2),"#,##0.00")&amp;" – "&amp;TEXT(ROUND(0.61/FX,2),"#,##0.00")</f>
        <v>0.05 – 0.08</v>
      </c>
    </row>
    <row r="494" customFormat="false" ht="15" hidden="false" customHeight="false" outlineLevel="0" collapsed="false">
      <c r="A494" s="0" t="s">
        <v>524</v>
      </c>
      <c r="B494" s="0" t="s">
        <v>569</v>
      </c>
      <c r="C494" s="8" t="s">
        <v>588</v>
      </c>
      <c r="D494" s="0" t="n">
        <v>1</v>
      </c>
      <c r="E494" s="0" t="str">
        <f aca="false">TEXT(ROUND(14.57/FX,2),"#,##0.00")</f>
        <v>2.02</v>
      </c>
    </row>
    <row r="495" customFormat="false" ht="15" hidden="false" customHeight="false" outlineLevel="0" collapsed="false">
      <c r="A495" s="0" t="s">
        <v>524</v>
      </c>
      <c r="B495" s="0" t="s">
        <v>569</v>
      </c>
      <c r="C495" s="8" t="s">
        <v>589</v>
      </c>
      <c r="D495" s="0" t="n">
        <v>5</v>
      </c>
      <c r="E495" s="0" t="str">
        <f aca="false">TEXT(ROUND(1.95/FX,2),"#,##0.00")&amp;" – "&amp;TEXT(ROUND(10.4/FX,2),"#,##0.00")</f>
        <v>0.27 – 1.44</v>
      </c>
    </row>
    <row r="496" customFormat="false" ht="15" hidden="false" customHeight="false" outlineLevel="0" collapsed="false">
      <c r="A496" s="0" t="s">
        <v>524</v>
      </c>
      <c r="B496" s="0" t="s">
        <v>590</v>
      </c>
      <c r="C496" s="8" t="s">
        <v>591</v>
      </c>
      <c r="D496" s="0" t="n">
        <v>12</v>
      </c>
      <c r="E496" s="0" t="str">
        <f aca="false">TEXT(ROUND(0.11/FX,2),"#,##0.00")&amp;" – "&amp;TEXT(ROUND(30/FX,2),"#,##0.00")</f>
        <v>0.02 – 4.17</v>
      </c>
    </row>
    <row r="497" customFormat="false" ht="15" hidden="false" customHeight="false" outlineLevel="0" collapsed="false">
      <c r="A497" s="0" t="s">
        <v>524</v>
      </c>
      <c r="B497" s="0" t="s">
        <v>590</v>
      </c>
      <c r="C497" s="8" t="s">
        <v>592</v>
      </c>
      <c r="D497" s="0" t="n">
        <v>1</v>
      </c>
      <c r="E497" s="0" t="str">
        <f aca="false">TEXT(ROUND(1.56/FX,2),"#,##0.00")</f>
        <v>0.22</v>
      </c>
    </row>
    <row r="498" customFormat="false" ht="15" hidden="false" customHeight="false" outlineLevel="0" collapsed="false">
      <c r="A498" s="0" t="s">
        <v>524</v>
      </c>
      <c r="B498" s="0" t="s">
        <v>590</v>
      </c>
      <c r="C498" s="8" t="s">
        <v>593</v>
      </c>
      <c r="D498" s="0" t="n">
        <v>2</v>
      </c>
      <c r="E498" s="0" t="str">
        <f aca="false">TEXT(ROUND(23.4/FX,2),"#,##0.00")&amp;" – "&amp;TEXT(ROUND(46.8/FX,2),"#,##0.00")</f>
        <v>3.25 – 6.50</v>
      </c>
    </row>
    <row r="499" customFormat="false" ht="15" hidden="false" customHeight="false" outlineLevel="0" collapsed="false">
      <c r="A499" s="0" t="s">
        <v>524</v>
      </c>
      <c r="B499" s="0" t="s">
        <v>590</v>
      </c>
      <c r="C499" s="8" t="s">
        <v>594</v>
      </c>
      <c r="D499" s="0" t="n">
        <v>1</v>
      </c>
      <c r="E499" s="0" t="str">
        <f aca="false">TEXT(ROUND(1.3/FX,2),"#,##0.00")</f>
        <v>0.18</v>
      </c>
    </row>
    <row r="500" customFormat="false" ht="15" hidden="false" customHeight="false" outlineLevel="0" collapsed="false">
      <c r="A500" s="0" t="s">
        <v>524</v>
      </c>
      <c r="B500" s="0" t="s">
        <v>590</v>
      </c>
      <c r="C500" s="8" t="s">
        <v>595</v>
      </c>
      <c r="D500" s="0" t="n">
        <v>1</v>
      </c>
      <c r="E500" s="0" t="str">
        <f aca="false">TEXT(ROUND(20.8/FX,2),"#,##0.00")</f>
        <v>2.89</v>
      </c>
    </row>
    <row r="501" customFormat="false" ht="15" hidden="false" customHeight="false" outlineLevel="0" collapsed="false">
      <c r="A501" s="0" t="s">
        <v>524</v>
      </c>
      <c r="B501" s="0" t="s">
        <v>590</v>
      </c>
      <c r="C501" s="8" t="s">
        <v>596</v>
      </c>
      <c r="D501" s="0" t="n">
        <v>2</v>
      </c>
      <c r="E501" s="0" t="str">
        <f aca="false">TEXT(ROUND(1.43/FX,2),"#,##0.00")&amp;" – "&amp;TEXT(ROUND(1.69/FX,2),"#,##0.00")</f>
        <v>0.20 – 0.23</v>
      </c>
    </row>
    <row r="502" customFormat="false" ht="15" hidden="false" customHeight="false" outlineLevel="0" collapsed="false">
      <c r="A502" s="0" t="s">
        <v>524</v>
      </c>
      <c r="B502" s="0" t="s">
        <v>590</v>
      </c>
      <c r="C502" s="8" t="s">
        <v>597</v>
      </c>
      <c r="D502" s="0" t="n">
        <v>3</v>
      </c>
      <c r="E502" s="0" t="str">
        <f aca="false">TEXT(ROUND(4.16/FX,2),"#,##0.00")&amp;" – "&amp;TEXT(ROUND(19.81/FX,2),"#,##0.00")</f>
        <v>0.58 – 2.75</v>
      </c>
    </row>
    <row r="503" customFormat="false" ht="15" hidden="false" customHeight="false" outlineLevel="0" collapsed="false">
      <c r="A503" s="0" t="s">
        <v>524</v>
      </c>
      <c r="B503" s="0" t="s">
        <v>590</v>
      </c>
      <c r="C503" s="8" t="s">
        <v>598</v>
      </c>
      <c r="D503" s="0" t="n">
        <v>342</v>
      </c>
      <c r="E503" s="0" t="str">
        <f aca="false">TEXT(ROUND(0.56/FX,2),"#,##0.00")&amp;" – "&amp;TEXT(ROUND(209.95/FX,2),"#,##0.00")</f>
        <v>0.08 – 29.16</v>
      </c>
    </row>
    <row r="504" customFormat="false" ht="15" hidden="false" customHeight="false" outlineLevel="0" collapsed="false">
      <c r="A504" s="0" t="s">
        <v>524</v>
      </c>
      <c r="B504" s="0" t="s">
        <v>590</v>
      </c>
      <c r="C504" s="8" t="s">
        <v>599</v>
      </c>
      <c r="D504" s="0" t="n">
        <v>146</v>
      </c>
      <c r="E504" s="0" t="str">
        <f aca="false">TEXT(ROUND(2.82/FX,2),"#,##0.00")&amp;" – "&amp;TEXT(ROUND(48.41/FX,2),"#,##0.00")</f>
        <v>0.39 – 6.72</v>
      </c>
    </row>
    <row r="505" customFormat="false" ht="15" hidden="false" customHeight="false" outlineLevel="0" collapsed="false">
      <c r="A505" s="0" t="s">
        <v>524</v>
      </c>
      <c r="B505" s="0" t="s">
        <v>590</v>
      </c>
      <c r="C505" s="8" t="s">
        <v>600</v>
      </c>
      <c r="D505" s="0" t="n">
        <v>343</v>
      </c>
      <c r="E505" s="0" t="str">
        <f aca="false">TEXT(ROUND(0.48/FX,2),"#,##0.00")&amp;" – "&amp;TEXT(ROUND(179.08/FX,2),"#,##0.00")</f>
        <v>0.07 – 24.87</v>
      </c>
    </row>
    <row r="506" customFormat="false" ht="15" hidden="false" customHeight="false" outlineLevel="0" collapsed="false">
      <c r="A506" s="0" t="s">
        <v>524</v>
      </c>
      <c r="B506" s="0" t="s">
        <v>590</v>
      </c>
      <c r="C506" s="8" t="s">
        <v>601</v>
      </c>
      <c r="D506" s="0" t="n">
        <v>342</v>
      </c>
      <c r="E506" s="0" t="str">
        <f aca="false">TEXT(ROUND(0.5/FX,2),"#,##0.00")&amp;" – "&amp;TEXT(ROUND(197.6/FX,2),"#,##0.00")</f>
        <v>0.07 – 27.44</v>
      </c>
    </row>
    <row r="507" customFormat="false" ht="15" hidden="false" customHeight="false" outlineLevel="0" collapsed="false">
      <c r="A507" s="0" t="s">
        <v>524</v>
      </c>
      <c r="B507" s="0" t="s">
        <v>590</v>
      </c>
      <c r="C507" s="8" t="s">
        <v>602</v>
      </c>
      <c r="D507" s="0" t="n">
        <v>341</v>
      </c>
      <c r="E507" s="0" t="str">
        <f aca="false">TEXT(ROUND(0.47/FX,2),"#,##0.00")&amp;" – "&amp;TEXT(ROUND(123.5/FX,2),"#,##0.00")</f>
        <v>0.07 – 17.15</v>
      </c>
    </row>
    <row r="508" customFormat="false" ht="15" hidden="false" customHeight="false" outlineLevel="0" collapsed="false">
      <c r="A508" s="0" t="s">
        <v>524</v>
      </c>
      <c r="B508" s="0" t="s">
        <v>590</v>
      </c>
      <c r="C508" s="8" t="s">
        <v>603</v>
      </c>
      <c r="D508" s="0" t="n">
        <v>343</v>
      </c>
      <c r="E508" s="0" t="str">
        <f aca="false">TEXT(ROUND(0.46/FX,2),"#,##0.00")&amp;" – "&amp;TEXT(ROUND(153.88/FX,2),"#,##0.00")</f>
        <v>0.06 – 21.37</v>
      </c>
    </row>
    <row r="509" customFormat="false" ht="15" hidden="false" customHeight="false" outlineLevel="0" collapsed="false">
      <c r="A509" s="0" t="s">
        <v>524</v>
      </c>
      <c r="B509" s="0" t="s">
        <v>590</v>
      </c>
      <c r="C509" s="8" t="s">
        <v>604</v>
      </c>
      <c r="D509" s="0" t="n">
        <v>1</v>
      </c>
      <c r="E509" s="0" t="str">
        <f aca="false">TEXT(ROUND(2.47/FX,2),"#,##0.00")</f>
        <v>0.34</v>
      </c>
    </row>
    <row r="510" customFormat="false" ht="15" hidden="false" customHeight="false" outlineLevel="0" collapsed="false">
      <c r="A510" s="0" t="s">
        <v>524</v>
      </c>
      <c r="B510" s="0" t="s">
        <v>590</v>
      </c>
      <c r="C510" s="8" t="s">
        <v>605</v>
      </c>
      <c r="D510" s="0" t="n">
        <v>9</v>
      </c>
      <c r="E510" s="0" t="str">
        <f aca="false">TEXT(ROUND(0.3/FX,2),"#,##0.00")&amp;" – "&amp;TEXT(ROUND(1.82/FX,2),"#,##0.00")</f>
        <v>0.04 – 0.25</v>
      </c>
    </row>
    <row r="511" customFormat="false" ht="15" hidden="false" customHeight="false" outlineLevel="0" collapsed="false">
      <c r="A511" s="0" t="s">
        <v>524</v>
      </c>
      <c r="B511" s="0" t="s">
        <v>590</v>
      </c>
      <c r="C511" s="8" t="s">
        <v>606</v>
      </c>
      <c r="D511" s="0" t="n">
        <v>1</v>
      </c>
      <c r="E511" s="0" t="str">
        <f aca="false">TEXT(ROUND(0.39/FX,2),"#,##0.00")</f>
        <v>0.05</v>
      </c>
    </row>
    <row r="512" customFormat="false" ht="15" hidden="false" customHeight="false" outlineLevel="0" collapsed="false">
      <c r="A512" s="0" t="s">
        <v>524</v>
      </c>
      <c r="B512" s="0" t="s">
        <v>607</v>
      </c>
      <c r="C512" s="8" t="s">
        <v>608</v>
      </c>
      <c r="D512" s="0" t="n">
        <v>4</v>
      </c>
      <c r="E512" s="0" t="str">
        <f aca="false">TEXT(ROUND(150/FX,2),"#,##0.00")</f>
        <v>20.83</v>
      </c>
    </row>
    <row r="513" customFormat="false" ht="15" hidden="false" customHeight="false" outlineLevel="0" collapsed="false">
      <c r="A513" s="0" t="s">
        <v>524</v>
      </c>
      <c r="B513" s="0" t="s">
        <v>607</v>
      </c>
      <c r="C513" s="8" t="s">
        <v>609</v>
      </c>
      <c r="D513" s="0" t="n">
        <v>2</v>
      </c>
      <c r="E513" s="0" t="str">
        <f aca="false">TEXT(ROUND(60.71/FX,2),"#,##0.00")&amp;" – "&amp;TEXT(ROUND(102.44/FX,2),"#,##0.00")</f>
        <v>8.43 – 14.23</v>
      </c>
    </row>
    <row r="514" customFormat="false" ht="15" hidden="false" customHeight="false" outlineLevel="0" collapsed="false">
      <c r="A514" s="0" t="s">
        <v>524</v>
      </c>
      <c r="B514" s="0" t="s">
        <v>607</v>
      </c>
      <c r="C514" s="8" t="s">
        <v>610</v>
      </c>
      <c r="D514" s="0" t="n">
        <v>2</v>
      </c>
      <c r="E514" s="0" t="str">
        <f aca="false">TEXT(ROUND(50/FX,2),"#,##0.00")</f>
        <v>6.94</v>
      </c>
    </row>
    <row r="515" customFormat="false" ht="15" hidden="false" customHeight="false" outlineLevel="0" collapsed="false">
      <c r="A515" s="0" t="s">
        <v>524</v>
      </c>
      <c r="B515" s="0" t="s">
        <v>607</v>
      </c>
      <c r="C515" s="8" t="s">
        <v>611</v>
      </c>
      <c r="D515" s="0" t="n">
        <v>2</v>
      </c>
      <c r="E515" s="0" t="str">
        <f aca="false">TEXT(ROUND(15.6/FX,2),"#,##0.00")</f>
        <v>2.17</v>
      </c>
    </row>
    <row r="516" customFormat="false" ht="15" hidden="false" customHeight="false" outlineLevel="0" collapsed="false">
      <c r="A516" s="0" t="s">
        <v>524</v>
      </c>
      <c r="B516" s="0" t="s">
        <v>607</v>
      </c>
      <c r="C516" s="8" t="s">
        <v>612</v>
      </c>
      <c r="D516" s="0" t="n">
        <v>3</v>
      </c>
      <c r="E516" s="0" t="str">
        <f aca="false">TEXT(ROUND(13/FX,2),"#,##0.00")&amp;" – "&amp;TEXT(ROUND(23.4/FX,2),"#,##0.00")</f>
        <v>1.81 – 3.25</v>
      </c>
    </row>
    <row r="517" customFormat="false" ht="15" hidden="false" customHeight="false" outlineLevel="0" collapsed="false">
      <c r="A517" s="0" t="s">
        <v>524</v>
      </c>
      <c r="B517" s="0" t="s">
        <v>607</v>
      </c>
      <c r="C517" s="8" t="s">
        <v>613</v>
      </c>
      <c r="D517" s="0" t="n">
        <v>3</v>
      </c>
      <c r="E517" s="0" t="str">
        <f aca="false">TEXT(ROUND(13.65/FX,2),"#,##0.00")&amp;" – "&amp;TEXT(ROUND(27.3/FX,2),"#,##0.00")</f>
        <v>1.90 – 3.79</v>
      </c>
    </row>
    <row r="518" customFormat="false" ht="15" hidden="false" customHeight="false" outlineLevel="0" collapsed="false">
      <c r="A518" s="0" t="s">
        <v>524</v>
      </c>
      <c r="B518" s="0" t="s">
        <v>607</v>
      </c>
      <c r="C518" s="8" t="s">
        <v>614</v>
      </c>
      <c r="D518" s="0" t="n">
        <v>2</v>
      </c>
      <c r="E518" s="0" t="str">
        <f aca="false">TEXT(ROUND(84.5/FX,2),"#,##0.00")</f>
        <v>11.74</v>
      </c>
    </row>
    <row r="519" customFormat="false" ht="15" hidden="false" customHeight="false" outlineLevel="0" collapsed="false">
      <c r="A519" s="0" t="s">
        <v>524</v>
      </c>
      <c r="B519" s="0" t="s">
        <v>607</v>
      </c>
      <c r="C519" s="8" t="s">
        <v>615</v>
      </c>
      <c r="D519" s="0" t="n">
        <v>2</v>
      </c>
      <c r="E519" s="0" t="str">
        <f aca="false">TEXT(ROUND(37.7/FX,2),"#,##0.00")&amp;" – "&amp;TEXT(ROUND(44.85/FX,2),"#,##0.00")</f>
        <v>5.24 – 6.23</v>
      </c>
    </row>
    <row r="520" customFormat="false" ht="15" hidden="false" customHeight="false" outlineLevel="0" collapsed="false">
      <c r="A520" s="0" t="s">
        <v>524</v>
      </c>
      <c r="B520" s="0" t="s">
        <v>607</v>
      </c>
      <c r="C520" s="8" t="s">
        <v>616</v>
      </c>
      <c r="D520" s="0" t="n">
        <v>12</v>
      </c>
      <c r="E520" s="0" t="str">
        <f aca="false">TEXT(ROUND(26/FX,2),"#,##0.00")</f>
        <v>3.61</v>
      </c>
    </row>
    <row r="521" customFormat="false" ht="15" hidden="false" customHeight="false" outlineLevel="0" collapsed="false">
      <c r="A521" s="0" t="s">
        <v>524</v>
      </c>
      <c r="B521" s="0" t="s">
        <v>607</v>
      </c>
      <c r="C521" s="8" t="s">
        <v>617</v>
      </c>
      <c r="D521" s="0" t="n">
        <v>1</v>
      </c>
      <c r="E521" s="0" t="str">
        <f aca="false">TEXT(ROUND(38.35/FX,2),"#,##0.00")</f>
        <v>5.33</v>
      </c>
    </row>
    <row r="522" customFormat="false" ht="15" hidden="false" customHeight="false" outlineLevel="0" collapsed="false">
      <c r="A522" s="0" t="s">
        <v>524</v>
      </c>
      <c r="B522" s="0" t="s">
        <v>607</v>
      </c>
      <c r="C522" s="8" t="s">
        <v>618</v>
      </c>
      <c r="D522" s="0" t="n">
        <v>16</v>
      </c>
      <c r="E522" s="0" t="str">
        <f aca="false">TEXT(ROUND(16.9/FX,2),"#,##0.00")</f>
        <v>2.35</v>
      </c>
    </row>
    <row r="523" customFormat="false" ht="15" hidden="false" customHeight="false" outlineLevel="0" collapsed="false">
      <c r="A523" s="0" t="s">
        <v>524</v>
      </c>
      <c r="B523" s="0" t="s">
        <v>607</v>
      </c>
      <c r="C523" s="8" t="s">
        <v>619</v>
      </c>
      <c r="D523" s="0" t="n">
        <v>4</v>
      </c>
      <c r="E523" s="0" t="str">
        <f aca="false">TEXT(ROUND(10.68/FX,2),"#,##0.00")&amp;" – "&amp;TEXT(ROUND(13.52/FX,2),"#,##0.00")</f>
        <v>1.48 – 1.88</v>
      </c>
    </row>
    <row r="524" customFormat="false" ht="15" hidden="false" customHeight="false" outlineLevel="0" collapsed="false">
      <c r="A524" s="0" t="s">
        <v>524</v>
      </c>
      <c r="B524" s="0" t="s">
        <v>607</v>
      </c>
      <c r="C524" s="8" t="s">
        <v>620</v>
      </c>
      <c r="D524" s="0" t="n">
        <v>10</v>
      </c>
      <c r="E524" s="0" t="str">
        <f aca="false">TEXT(ROUND(0.93/FX,2),"#,##0.00")&amp;" – "&amp;TEXT(ROUND(5.85/FX,2),"#,##0.00")</f>
        <v>0.13 – 0.81</v>
      </c>
    </row>
    <row r="525" customFormat="false" ht="15" hidden="false" customHeight="false" outlineLevel="0" collapsed="false">
      <c r="A525" s="0" t="s">
        <v>524</v>
      </c>
      <c r="B525" s="0" t="s">
        <v>607</v>
      </c>
      <c r="C525" s="8" t="s">
        <v>621</v>
      </c>
      <c r="D525" s="0" t="n">
        <v>32</v>
      </c>
      <c r="E525" s="0" t="str">
        <f aca="false">TEXT(ROUND(52.5/FX,2),"#,##0.00")&amp;" – "&amp;TEXT(ROUND(60/FX,2),"#,##0.00")</f>
        <v>7.29 – 8.33</v>
      </c>
    </row>
    <row r="526" customFormat="false" ht="15" hidden="false" customHeight="false" outlineLevel="0" collapsed="false">
      <c r="A526" s="0" t="s">
        <v>524</v>
      </c>
      <c r="B526" s="0" t="s">
        <v>607</v>
      </c>
      <c r="C526" s="8" t="s">
        <v>622</v>
      </c>
      <c r="D526" s="0" t="n">
        <v>6</v>
      </c>
      <c r="E526" s="0" t="str">
        <f aca="false">TEXT(ROUND(14.95/FX,2),"#,##0.00")&amp;" – "&amp;TEXT(ROUND(41/FX,2),"#,##0.00")</f>
        <v>2.08 – 5.69</v>
      </c>
    </row>
    <row r="527" customFormat="false" ht="15" hidden="false" customHeight="false" outlineLevel="0" collapsed="false">
      <c r="A527" s="0" t="s">
        <v>524</v>
      </c>
      <c r="B527" s="0" t="s">
        <v>607</v>
      </c>
      <c r="C527" s="8" t="s">
        <v>623</v>
      </c>
      <c r="D527" s="0" t="n">
        <v>3</v>
      </c>
      <c r="E527" s="0" t="str">
        <f aca="false">TEXT(ROUND(10.97/FX,2),"#,##0.00")&amp;" – "&amp;TEXT(ROUND(13/FX,2),"#,##0.00")</f>
        <v>1.52 – 1.81</v>
      </c>
    </row>
    <row r="528" customFormat="false" ht="15" hidden="false" customHeight="false" outlineLevel="0" collapsed="false">
      <c r="A528" s="0" t="s">
        <v>524</v>
      </c>
      <c r="B528" s="0" t="s">
        <v>607</v>
      </c>
      <c r="C528" s="8" t="s">
        <v>624</v>
      </c>
      <c r="D528" s="0" t="n">
        <v>8</v>
      </c>
      <c r="E528" s="0" t="str">
        <f aca="false">TEXT(ROUND(12.35/FX,2),"#,##0.00")&amp;" – "&amp;TEXT(ROUND(15.6/FX,2),"#,##0.00")</f>
        <v>1.72 – 2.17</v>
      </c>
    </row>
    <row r="529" customFormat="false" ht="15" hidden="false" customHeight="false" outlineLevel="0" collapsed="false">
      <c r="A529" s="0" t="s">
        <v>524</v>
      </c>
      <c r="B529" s="0" t="s">
        <v>607</v>
      </c>
      <c r="C529" s="8" t="s">
        <v>625</v>
      </c>
      <c r="D529" s="0" t="n">
        <v>2</v>
      </c>
      <c r="E529" s="0" t="str">
        <f aca="false">TEXT(ROUND(9.1/FX,2),"#,##0.00")</f>
        <v>1.26</v>
      </c>
    </row>
    <row r="530" customFormat="false" ht="15" hidden="false" customHeight="false" outlineLevel="0" collapsed="false">
      <c r="A530" s="0" t="s">
        <v>524</v>
      </c>
      <c r="B530" s="0" t="s">
        <v>607</v>
      </c>
      <c r="C530" s="8" t="s">
        <v>626</v>
      </c>
      <c r="D530" s="0" t="n">
        <v>1</v>
      </c>
      <c r="E530" s="0" t="str">
        <f aca="false">TEXT(ROUND(1.83/FX,2),"#,##0.00")</f>
        <v>0.25</v>
      </c>
    </row>
    <row r="531" customFormat="false" ht="15" hidden="false" customHeight="false" outlineLevel="0" collapsed="false">
      <c r="A531" s="0" t="s">
        <v>524</v>
      </c>
      <c r="B531" s="0" t="s">
        <v>607</v>
      </c>
      <c r="C531" s="8" t="s">
        <v>627</v>
      </c>
      <c r="D531" s="0" t="n">
        <v>19</v>
      </c>
      <c r="E531" s="0" t="str">
        <f aca="false">TEXT(ROUND(1.76/FX,2),"#,##0.00")&amp;" – "&amp;TEXT(ROUND(35.75/FX,2),"#,##0.00")</f>
        <v>0.24 – 4.97</v>
      </c>
    </row>
    <row r="532" customFormat="false" ht="15" hidden="false" customHeight="false" outlineLevel="0" collapsed="false">
      <c r="A532" s="0" t="s">
        <v>524</v>
      </c>
      <c r="B532" s="0" t="s">
        <v>607</v>
      </c>
      <c r="C532" s="8" t="s">
        <v>628</v>
      </c>
      <c r="D532" s="0" t="n">
        <v>14</v>
      </c>
      <c r="E532" s="0" t="str">
        <f aca="false">TEXT(ROUND(1.82/FX,2),"#,##0.00")&amp;" – "&amp;TEXT(ROUND(9.7/FX,2),"#,##0.00")</f>
        <v>0.25 – 1.35</v>
      </c>
    </row>
    <row r="533" customFormat="false" ht="15" hidden="false" customHeight="false" outlineLevel="0" collapsed="false">
      <c r="A533" s="0" t="s">
        <v>524</v>
      </c>
      <c r="B533" s="0" t="s">
        <v>607</v>
      </c>
      <c r="C533" s="8" t="s">
        <v>629</v>
      </c>
      <c r="D533" s="0" t="n">
        <v>52</v>
      </c>
      <c r="E533" s="0" t="str">
        <f aca="false">TEXT(ROUND(14.3/FX,2),"#,##0.00")&amp;" – "&amp;TEXT(ROUND(16.9/FX,2),"#,##0.00")</f>
        <v>1.99 – 2.35</v>
      </c>
    </row>
    <row r="534" customFormat="false" ht="15" hidden="false" customHeight="false" outlineLevel="0" collapsed="false">
      <c r="A534" s="0" t="s">
        <v>524</v>
      </c>
      <c r="B534" s="0" t="s">
        <v>607</v>
      </c>
      <c r="C534" s="8" t="s">
        <v>630</v>
      </c>
      <c r="D534" s="0" t="n">
        <v>6</v>
      </c>
      <c r="E534" s="0" t="str">
        <f aca="false">TEXT(ROUND(4.22/FX,2),"#,##0.00")&amp;" – "&amp;TEXT(ROUND(7.93/FX,2),"#,##0.00")</f>
        <v>0.59 – 1.10</v>
      </c>
    </row>
    <row r="535" customFormat="false" ht="15" hidden="false" customHeight="false" outlineLevel="0" collapsed="false">
      <c r="A535" s="0" t="s">
        <v>524</v>
      </c>
      <c r="B535" s="0" t="s">
        <v>607</v>
      </c>
      <c r="C535" s="8" t="s">
        <v>631</v>
      </c>
      <c r="D535" s="0" t="n">
        <v>3</v>
      </c>
      <c r="E535" s="0" t="str">
        <f aca="false">TEXT(ROUND(36.4/FX,2),"#,##0.00")&amp;" – "&amp;TEXT(ROUND(46.8/FX,2),"#,##0.00")</f>
        <v>5.06 – 6.50</v>
      </c>
    </row>
    <row r="536" customFormat="false" ht="15" hidden="false" customHeight="false" outlineLevel="0" collapsed="false">
      <c r="A536" s="0" t="s">
        <v>524</v>
      </c>
      <c r="B536" s="0" t="s">
        <v>607</v>
      </c>
      <c r="C536" s="8" t="s">
        <v>632</v>
      </c>
      <c r="D536" s="0" t="n">
        <v>2</v>
      </c>
      <c r="E536" s="0" t="str">
        <f aca="false">TEXT(ROUND(3.25/FX,2),"#,##0.00")&amp;" – "&amp;TEXT(ROUND(20/FX,2),"#,##0.00")</f>
        <v>0.45 – 2.78</v>
      </c>
    </row>
    <row r="537" customFormat="false" ht="15" hidden="false" customHeight="false" outlineLevel="0" collapsed="false">
      <c r="A537" s="0" t="s">
        <v>524</v>
      </c>
      <c r="B537" s="0" t="s">
        <v>607</v>
      </c>
      <c r="C537" s="8" t="s">
        <v>633</v>
      </c>
      <c r="D537" s="0" t="n">
        <v>4</v>
      </c>
      <c r="E537" s="0" t="str">
        <f aca="false">TEXT(ROUND(9.1/FX,2),"#,##0.00")&amp;" – "&amp;TEXT(ROUND(13/FX,2),"#,##0.00")</f>
        <v>1.26 – 1.81</v>
      </c>
    </row>
    <row r="538" customFormat="false" ht="15" hidden="false" customHeight="false" outlineLevel="0" collapsed="false">
      <c r="A538" s="0" t="s">
        <v>524</v>
      </c>
      <c r="B538" s="0" t="s">
        <v>607</v>
      </c>
      <c r="C538" s="8" t="s">
        <v>634</v>
      </c>
      <c r="D538" s="0" t="n">
        <v>1</v>
      </c>
      <c r="E538" s="0" t="str">
        <f aca="false">TEXT(ROUND(35.1/FX,2),"#,##0.00")</f>
        <v>4.88</v>
      </c>
    </row>
    <row r="539" customFormat="false" ht="15" hidden="false" customHeight="false" outlineLevel="0" collapsed="false">
      <c r="A539" s="0" t="s">
        <v>524</v>
      </c>
      <c r="B539" s="0" t="s">
        <v>607</v>
      </c>
      <c r="C539" s="8" t="s">
        <v>635</v>
      </c>
      <c r="D539" s="0" t="n">
        <v>4</v>
      </c>
      <c r="E539" s="0" t="str">
        <f aca="false">TEXT(ROUND(2.1/FX,2),"#,##0.00")&amp;" – "&amp;TEXT(ROUND(3.45/FX,2),"#,##0.00")</f>
        <v>0.29 – 0.48</v>
      </c>
    </row>
    <row r="540" customFormat="false" ht="15" hidden="false" customHeight="false" outlineLevel="0" collapsed="false">
      <c r="A540" s="0" t="s">
        <v>524</v>
      </c>
      <c r="B540" s="0" t="s">
        <v>636</v>
      </c>
      <c r="C540" s="8" t="s">
        <v>637</v>
      </c>
      <c r="D540" s="0" t="n">
        <v>8</v>
      </c>
      <c r="E540" s="0" t="str">
        <f aca="false">TEXT(ROUND(1/FX,2),"#,##0.00")&amp;" – "&amp;TEXT(ROUND(1.13/FX,2),"#,##0.00")</f>
        <v>0.14 – 0.16</v>
      </c>
    </row>
    <row r="541" customFormat="false" ht="15" hidden="false" customHeight="false" outlineLevel="0" collapsed="false">
      <c r="A541" s="0" t="s">
        <v>524</v>
      </c>
      <c r="B541" s="0" t="s">
        <v>636</v>
      </c>
      <c r="C541" s="8" t="s">
        <v>638</v>
      </c>
      <c r="D541" s="0" t="n">
        <v>6</v>
      </c>
      <c r="E541" s="0" t="str">
        <f aca="false">TEXT(ROUND(2.15/FX,2),"#,##0.00")&amp;" – "&amp;TEXT(ROUND(2.67/FX,2),"#,##0.00")</f>
        <v>0.30 – 0.37</v>
      </c>
    </row>
    <row r="542" customFormat="false" ht="15" hidden="false" customHeight="false" outlineLevel="0" collapsed="false">
      <c r="A542" s="0" t="s">
        <v>524</v>
      </c>
      <c r="B542" s="0" t="s">
        <v>636</v>
      </c>
      <c r="C542" s="8" t="s">
        <v>639</v>
      </c>
      <c r="D542" s="0" t="n">
        <v>11</v>
      </c>
      <c r="E542" s="0" t="str">
        <f aca="false">TEXT(ROUND(1.17/FX,2),"#,##0.00")&amp;" – "&amp;TEXT(ROUND(3.5/FX,2),"#,##0.00")</f>
        <v>0.16 – 0.49</v>
      </c>
    </row>
    <row r="543" customFormat="false" ht="15" hidden="false" customHeight="false" outlineLevel="0" collapsed="false">
      <c r="A543" s="0" t="s">
        <v>524</v>
      </c>
      <c r="B543" s="0" t="s">
        <v>636</v>
      </c>
      <c r="C543" s="8" t="s">
        <v>640</v>
      </c>
      <c r="D543" s="0" t="n">
        <v>2</v>
      </c>
      <c r="E543" s="0" t="str">
        <f aca="false">TEXT(ROUND(10.4/FX,2),"#,##0.00")</f>
        <v>1.44</v>
      </c>
    </row>
    <row r="544" customFormat="false" ht="15" hidden="false" customHeight="false" outlineLevel="0" collapsed="false">
      <c r="A544" s="0" t="s">
        <v>524</v>
      </c>
      <c r="B544" s="0" t="s">
        <v>636</v>
      </c>
      <c r="C544" s="8" t="s">
        <v>641</v>
      </c>
      <c r="D544" s="0" t="n">
        <v>115</v>
      </c>
      <c r="E544" s="0" t="str">
        <f aca="false">TEXT(ROUND(2.15/FX,2),"#,##0.00")&amp;" – "&amp;TEXT(ROUND(13/FX,2),"#,##0.00")</f>
        <v>0.30 – 1.81</v>
      </c>
    </row>
    <row r="545" customFormat="false" ht="15" hidden="false" customHeight="false" outlineLevel="0" collapsed="false">
      <c r="A545" s="0" t="s">
        <v>524</v>
      </c>
      <c r="B545" s="0" t="s">
        <v>636</v>
      </c>
      <c r="C545" s="8" t="s">
        <v>642</v>
      </c>
      <c r="D545" s="0" t="n">
        <v>9</v>
      </c>
      <c r="E545" s="0" t="str">
        <f aca="false">TEXT(ROUND(0.52/FX,2),"#,##0.00")&amp;" – "&amp;TEXT(ROUND(0.72/FX,2),"#,##0.00")</f>
        <v>0.07 – 0.10</v>
      </c>
    </row>
    <row r="546" customFormat="false" ht="15" hidden="false" customHeight="false" outlineLevel="0" collapsed="false">
      <c r="A546" s="0" t="s">
        <v>524</v>
      </c>
      <c r="B546" s="0" t="s">
        <v>636</v>
      </c>
      <c r="C546" s="8" t="s">
        <v>643</v>
      </c>
      <c r="D546" s="0" t="n">
        <v>16</v>
      </c>
      <c r="E546" s="0" t="str">
        <f aca="false">TEXT(ROUND(0.4/FX,2),"#,##0.00")&amp;" – "&amp;TEXT(ROUND(6.89/FX,2),"#,##0.00")</f>
        <v>0.06 – 0.96</v>
      </c>
    </row>
    <row r="547" customFormat="false" ht="15" hidden="false" customHeight="false" outlineLevel="0" collapsed="false">
      <c r="A547" s="0" t="s">
        <v>524</v>
      </c>
      <c r="B547" s="0" t="s">
        <v>644</v>
      </c>
      <c r="C547" s="8" t="s">
        <v>645</v>
      </c>
      <c r="D547" s="0" t="n">
        <v>1</v>
      </c>
      <c r="E547" s="0" t="str">
        <f aca="false">TEXT(ROUND(1.17/FX,2),"#,##0.00")</f>
        <v>0.16</v>
      </c>
    </row>
    <row r="548" customFormat="false" ht="15" hidden="false" customHeight="false" outlineLevel="0" collapsed="false">
      <c r="A548" s="0" t="s">
        <v>524</v>
      </c>
      <c r="B548" s="0" t="s">
        <v>644</v>
      </c>
      <c r="C548" s="8" t="s">
        <v>646</v>
      </c>
      <c r="D548" s="0" t="n">
        <v>22</v>
      </c>
      <c r="E548" s="0" t="str">
        <f aca="false">TEXT(ROUND(0.48/FX,2),"#,##0.00")&amp;" – "&amp;TEXT(ROUND(2.7/FX,2),"#,##0.00")</f>
        <v>0.07 – 0.38</v>
      </c>
    </row>
    <row r="549" customFormat="false" ht="15" hidden="false" customHeight="false" outlineLevel="0" collapsed="false">
      <c r="A549" s="0" t="s">
        <v>524</v>
      </c>
      <c r="B549" s="0" t="s">
        <v>644</v>
      </c>
      <c r="C549" s="8" t="s">
        <v>647</v>
      </c>
      <c r="D549" s="0" t="n">
        <v>16</v>
      </c>
      <c r="E549" s="0" t="str">
        <f aca="false">TEXT(ROUND(1.87/FX,2),"#,##0.00")&amp;" – "&amp;TEXT(ROUND(353.6/FX,2),"#,##0.00")</f>
        <v>0.26 – 49.11</v>
      </c>
    </row>
    <row r="550" customFormat="false" ht="15" hidden="false" customHeight="false" outlineLevel="0" collapsed="false">
      <c r="A550" s="0" t="s">
        <v>524</v>
      </c>
      <c r="B550" s="0" t="s">
        <v>644</v>
      </c>
      <c r="C550" s="8" t="s">
        <v>648</v>
      </c>
      <c r="D550" s="0" t="n">
        <v>1</v>
      </c>
      <c r="E550" s="0" t="str">
        <f aca="false">TEXT(ROUND(10.4/FX,2),"#,##0.00")</f>
        <v>1.44</v>
      </c>
    </row>
    <row r="551" customFormat="false" ht="15" hidden="false" customHeight="false" outlineLevel="0" collapsed="false">
      <c r="A551" s="0" t="s">
        <v>524</v>
      </c>
      <c r="B551" s="0" t="s">
        <v>644</v>
      </c>
      <c r="C551" s="8" t="s">
        <v>649</v>
      </c>
      <c r="D551" s="0" t="n">
        <v>31</v>
      </c>
      <c r="E551" s="0" t="str">
        <f aca="false">TEXT(ROUND(0.26/FX,2),"#,##0.00")&amp;" – "&amp;TEXT(ROUND(5.85/FX,2),"#,##0.00")</f>
        <v>0.04 – 0.81</v>
      </c>
    </row>
    <row r="552" customFormat="false" ht="15" hidden="false" customHeight="false" outlineLevel="0" collapsed="false">
      <c r="A552" s="0" t="s">
        <v>524</v>
      </c>
      <c r="B552" s="0" t="s">
        <v>650</v>
      </c>
      <c r="C552" s="8" t="s">
        <v>651</v>
      </c>
      <c r="D552" s="0" t="n">
        <v>3</v>
      </c>
      <c r="E552" s="0" t="str">
        <f aca="false">TEXT(ROUND(23.4/FX,2),"#,##0.00")</f>
        <v>3.25</v>
      </c>
    </row>
    <row r="553" customFormat="false" ht="15" hidden="false" customHeight="false" outlineLevel="0" collapsed="false">
      <c r="A553" s="0" t="s">
        <v>524</v>
      </c>
      <c r="B553" s="0" t="s">
        <v>650</v>
      </c>
      <c r="C553" s="8" t="s">
        <v>652</v>
      </c>
      <c r="D553" s="0" t="n">
        <v>3</v>
      </c>
      <c r="E553" s="0" t="str">
        <f aca="false">TEXT(ROUND(19.5/FX,2),"#,##0.00")&amp;" – "&amp;TEXT(ROUND(52/FX,2),"#,##0.00")</f>
        <v>2.71 – 7.22</v>
      </c>
    </row>
    <row r="554" customFormat="false" ht="15" hidden="false" customHeight="false" outlineLevel="0" collapsed="false">
      <c r="A554" s="0" t="s">
        <v>524</v>
      </c>
      <c r="B554" s="0" t="s">
        <v>650</v>
      </c>
      <c r="C554" s="8" t="s">
        <v>653</v>
      </c>
      <c r="D554" s="0" t="n">
        <v>11</v>
      </c>
      <c r="E554" s="0" t="str">
        <f aca="false">TEXT(ROUND(0.91/FX,2),"#,##0.00")&amp;" – "&amp;TEXT(ROUND(1.3/FX,2),"#,##0.00")</f>
        <v>0.13 – 0.18</v>
      </c>
    </row>
    <row r="555" customFormat="false" ht="15" hidden="false" customHeight="false" outlineLevel="0" collapsed="false">
      <c r="A555" s="0" t="s">
        <v>524</v>
      </c>
      <c r="B555" s="0" t="s">
        <v>650</v>
      </c>
      <c r="C555" s="8" t="s">
        <v>654</v>
      </c>
      <c r="D555" s="0" t="n">
        <v>3</v>
      </c>
      <c r="E555" s="0" t="str">
        <f aca="false">TEXT(ROUND(32.5/FX,2),"#,##0.00")&amp;" – "&amp;TEXT(ROUND(61.03/FX,2),"#,##0.00")</f>
        <v>4.51 – 8.48</v>
      </c>
    </row>
    <row r="556" customFormat="false" ht="15" hidden="false" customHeight="false" outlineLevel="0" collapsed="false">
      <c r="A556" s="0" t="s">
        <v>524</v>
      </c>
      <c r="B556" s="0" t="s">
        <v>650</v>
      </c>
      <c r="C556" s="8" t="s">
        <v>655</v>
      </c>
      <c r="D556" s="0" t="n">
        <v>3</v>
      </c>
      <c r="E556" s="0" t="str">
        <f aca="false">TEXT(ROUND(1.04/FX,2),"#,##0.00")&amp;" – "&amp;TEXT(ROUND(1.56/FX,2),"#,##0.00")</f>
        <v>0.14 – 0.22</v>
      </c>
    </row>
    <row r="557" customFormat="false" ht="15" hidden="false" customHeight="false" outlineLevel="0" collapsed="false">
      <c r="A557" s="0" t="s">
        <v>524</v>
      </c>
      <c r="B557" s="0" t="s">
        <v>650</v>
      </c>
      <c r="C557" s="8" t="s">
        <v>656</v>
      </c>
      <c r="D557" s="0" t="n">
        <v>97</v>
      </c>
      <c r="E557" s="0" t="str">
        <f aca="false">TEXT(ROUND(1.3/FX,2),"#,##0.00")&amp;" – "&amp;TEXT(ROUND(279.5/FX,2),"#,##0.00")</f>
        <v>0.18 – 38.82</v>
      </c>
    </row>
    <row r="558" customFormat="false" ht="15" hidden="false" customHeight="false" outlineLevel="0" collapsed="false">
      <c r="A558" s="0" t="s">
        <v>524</v>
      </c>
      <c r="B558" s="0" t="s">
        <v>650</v>
      </c>
      <c r="C558" s="8" t="s">
        <v>657</v>
      </c>
      <c r="D558" s="0" t="n">
        <v>1</v>
      </c>
      <c r="E558" s="0" t="str">
        <f aca="false">TEXT(ROUND(10.92/FX,2),"#,##0.00")</f>
        <v>1.52</v>
      </c>
    </row>
    <row r="559" customFormat="false" ht="15" hidden="false" customHeight="false" outlineLevel="0" collapsed="false">
      <c r="A559" s="0" t="s">
        <v>524</v>
      </c>
      <c r="B559" s="0" t="s">
        <v>658</v>
      </c>
      <c r="C559" s="8" t="s">
        <v>659</v>
      </c>
      <c r="D559" s="0" t="n">
        <v>21</v>
      </c>
      <c r="E559" s="0" t="str">
        <f aca="false">TEXT(ROUND(13/FX,2),"#,##0.00")&amp;" – "&amp;TEXT(ROUND(39/FX,2),"#,##0.00")</f>
        <v>1.81 – 5.42</v>
      </c>
    </row>
    <row r="560" customFormat="false" ht="15" hidden="false" customHeight="false" outlineLevel="0" collapsed="false">
      <c r="A560" s="0" t="s">
        <v>524</v>
      </c>
      <c r="B560" s="0" t="s">
        <v>658</v>
      </c>
      <c r="C560" s="8" t="s">
        <v>660</v>
      </c>
      <c r="D560" s="0" t="n">
        <v>4</v>
      </c>
      <c r="E560" s="0" t="str">
        <f aca="false">TEXT(ROUND(2.6/FX,2),"#,##0.00")&amp;" – "&amp;TEXT(ROUND(3.51/FX,2),"#,##0.00")</f>
        <v>0.36 – 0.49</v>
      </c>
    </row>
    <row r="561" customFormat="false" ht="15" hidden="false" customHeight="false" outlineLevel="0" collapsed="false">
      <c r="A561" s="0" t="s">
        <v>524</v>
      </c>
      <c r="B561" s="0" t="s">
        <v>658</v>
      </c>
      <c r="C561" s="8" t="s">
        <v>661</v>
      </c>
      <c r="D561" s="0" t="n">
        <v>7</v>
      </c>
      <c r="E561" s="0" t="str">
        <f aca="false">TEXT(ROUND(1.69/FX,2),"#,##0.00")&amp;" – "&amp;TEXT(ROUND(3.64/FX,2),"#,##0.00")</f>
        <v>0.23 – 0.51</v>
      </c>
    </row>
    <row r="562" customFormat="false" ht="15" hidden="false" customHeight="false" outlineLevel="0" collapsed="false">
      <c r="A562" s="0" t="s">
        <v>524</v>
      </c>
      <c r="B562" s="0" t="s">
        <v>658</v>
      </c>
      <c r="C562" s="8" t="s">
        <v>662</v>
      </c>
      <c r="D562" s="0" t="n">
        <v>2</v>
      </c>
      <c r="E562" s="0" t="str">
        <f aca="false">TEXT(ROUND(5.07/FX,2),"#,##0.00")&amp;" – "&amp;TEXT(ROUND(13.5/FX,2),"#,##0.00")</f>
        <v>0.70 – 1.88</v>
      </c>
    </row>
    <row r="563" customFormat="false" ht="15" hidden="false" customHeight="false" outlineLevel="0" collapsed="false">
      <c r="A563" s="0" t="s">
        <v>524</v>
      </c>
      <c r="B563" s="0" t="s">
        <v>658</v>
      </c>
      <c r="C563" s="8" t="s">
        <v>663</v>
      </c>
      <c r="D563" s="0" t="n">
        <v>2</v>
      </c>
      <c r="E563" s="0" t="str">
        <f aca="false">TEXT(ROUND(12.35/FX,2),"#,##0.00")</f>
        <v>1.72</v>
      </c>
    </row>
    <row r="564" customFormat="false" ht="15" hidden="false" customHeight="false" outlineLevel="0" collapsed="false">
      <c r="A564" s="0" t="s">
        <v>524</v>
      </c>
      <c r="B564" s="0" t="s">
        <v>658</v>
      </c>
      <c r="C564" s="8" t="s">
        <v>664</v>
      </c>
      <c r="D564" s="0" t="n">
        <v>1</v>
      </c>
      <c r="E564" s="0" t="str">
        <f aca="false">TEXT(ROUND(101.4/FX,2),"#,##0.00")</f>
        <v>14.08</v>
      </c>
    </row>
    <row r="565" customFormat="false" ht="15" hidden="false" customHeight="false" outlineLevel="0" collapsed="false">
      <c r="A565" s="0" t="s">
        <v>524</v>
      </c>
      <c r="B565" s="0" t="s">
        <v>658</v>
      </c>
      <c r="C565" s="8" t="s">
        <v>665</v>
      </c>
      <c r="D565" s="0" t="n">
        <v>8</v>
      </c>
      <c r="E565" s="0" t="str">
        <f aca="false">TEXT(ROUND(8.45/FX,2),"#,##0.00")&amp;" – "&amp;TEXT(ROUND(10.39/FX,2),"#,##0.00")</f>
        <v>1.17 – 1.44</v>
      </c>
    </row>
    <row r="566" customFormat="false" ht="15" hidden="false" customHeight="false" outlineLevel="0" collapsed="false">
      <c r="A566" s="0" t="s">
        <v>524</v>
      </c>
      <c r="B566" s="0" t="s">
        <v>658</v>
      </c>
      <c r="C566" s="8" t="s">
        <v>666</v>
      </c>
      <c r="D566" s="0" t="n">
        <v>1</v>
      </c>
      <c r="E566" s="0" t="str">
        <f aca="false">TEXT(ROUND(18.85/FX,2),"#,##0.00")</f>
        <v>2.62</v>
      </c>
    </row>
    <row r="567" customFormat="false" ht="15" hidden="false" customHeight="false" outlineLevel="0" collapsed="false">
      <c r="A567" s="0" t="s">
        <v>524</v>
      </c>
      <c r="B567" s="0" t="s">
        <v>658</v>
      </c>
      <c r="C567" s="8" t="s">
        <v>667</v>
      </c>
      <c r="D567" s="0" t="n">
        <v>3</v>
      </c>
      <c r="E567" s="0" t="str">
        <f aca="false">TEXT(ROUND(8/FX,2),"#,##0.00")&amp;" – "&amp;TEXT(ROUND(9.85/FX,2),"#,##0.00")</f>
        <v>1.11 – 1.37</v>
      </c>
    </row>
    <row r="568" customFormat="false" ht="15" hidden="false" customHeight="false" outlineLevel="0" collapsed="false">
      <c r="A568" s="0" t="s">
        <v>524</v>
      </c>
      <c r="B568" s="0" t="s">
        <v>658</v>
      </c>
      <c r="C568" s="8" t="s">
        <v>668</v>
      </c>
      <c r="D568" s="0" t="n">
        <v>7</v>
      </c>
      <c r="E568" s="0" t="str">
        <f aca="false">TEXT(ROUND(3.9/FX,2),"#,##0.00")&amp;" – "&amp;TEXT(ROUND(42.06/FX,2),"#,##0.00")</f>
        <v>0.54 – 5.84</v>
      </c>
    </row>
    <row r="569" customFormat="false" ht="15" hidden="false" customHeight="false" outlineLevel="0" collapsed="false">
      <c r="A569" s="0" t="s">
        <v>524</v>
      </c>
      <c r="B569" s="0" t="s">
        <v>658</v>
      </c>
      <c r="C569" s="8" t="s">
        <v>669</v>
      </c>
      <c r="D569" s="0" t="n">
        <v>1</v>
      </c>
      <c r="E569" s="0" t="str">
        <f aca="false">TEXT(ROUND(51/FX,2),"#,##0.00")</f>
        <v>7.08</v>
      </c>
    </row>
    <row r="570" customFormat="false" ht="15" hidden="false" customHeight="false" outlineLevel="0" collapsed="false">
      <c r="A570" s="0" t="s">
        <v>524</v>
      </c>
      <c r="B570" s="0" t="s">
        <v>658</v>
      </c>
      <c r="C570" s="8" t="s">
        <v>670</v>
      </c>
      <c r="D570" s="0" t="n">
        <v>4</v>
      </c>
      <c r="E570" s="0" t="str">
        <f aca="false">TEXT(ROUND(1.3/FX,2),"#,##0.00")&amp;" – "&amp;TEXT(ROUND(4.55/FX,2),"#,##0.00")</f>
        <v>0.18 – 0.63</v>
      </c>
    </row>
    <row r="571" customFormat="false" ht="15" hidden="false" customHeight="false" outlineLevel="0" collapsed="false">
      <c r="A571" s="0" t="s">
        <v>524</v>
      </c>
      <c r="B571" s="0" t="s">
        <v>658</v>
      </c>
      <c r="C571" s="8" t="s">
        <v>671</v>
      </c>
      <c r="D571" s="0" t="n">
        <v>2</v>
      </c>
      <c r="E571" s="0" t="str">
        <f aca="false">TEXT(ROUND(8.61/FX,2),"#,##0.00")&amp;" – "&amp;TEXT(ROUND(11.05/FX,2),"#,##0.00")</f>
        <v>1.20 – 1.53</v>
      </c>
    </row>
    <row r="572" customFormat="false" ht="15" hidden="false" customHeight="false" outlineLevel="0" collapsed="false">
      <c r="A572" s="0" t="s">
        <v>524</v>
      </c>
      <c r="B572" s="0" t="s">
        <v>658</v>
      </c>
      <c r="C572" s="8" t="s">
        <v>672</v>
      </c>
      <c r="D572" s="0" t="n">
        <v>19</v>
      </c>
      <c r="E572" s="0" t="str">
        <f aca="false">TEXT(ROUND(1.17/FX,2),"#,##0.00")&amp;" – "&amp;TEXT(ROUND(7.15/FX,2),"#,##0.00")</f>
        <v>0.16 – 0.99</v>
      </c>
    </row>
    <row r="573" customFormat="false" ht="15" hidden="false" customHeight="false" outlineLevel="0" collapsed="false">
      <c r="A573" s="0" t="s">
        <v>524</v>
      </c>
      <c r="B573" s="0" t="s">
        <v>658</v>
      </c>
      <c r="C573" s="8" t="s">
        <v>673</v>
      </c>
      <c r="D573" s="0" t="n">
        <v>92</v>
      </c>
      <c r="E573" s="0" t="str">
        <f aca="false">TEXT(ROUND(2.6/FX,2),"#,##0.00")&amp;" – "&amp;TEXT(ROUND(102.14/FX,2),"#,##0.00")</f>
        <v>0.36 – 14.19</v>
      </c>
    </row>
    <row r="574" customFormat="false" ht="15" hidden="false" customHeight="false" outlineLevel="0" collapsed="false">
      <c r="A574" s="0" t="s">
        <v>524</v>
      </c>
      <c r="B574" s="0" t="s">
        <v>674</v>
      </c>
      <c r="C574" s="8" t="s">
        <v>675</v>
      </c>
      <c r="D574" s="0" t="n">
        <v>6</v>
      </c>
      <c r="E574" s="0" t="str">
        <f aca="false">TEXT(ROUND(44.2/FX,2),"#,##0.00")&amp;" – "&amp;TEXT(ROUND(59.8/FX,2),"#,##0.00")</f>
        <v>6.14 – 8.31</v>
      </c>
    </row>
    <row r="575" customFormat="false" ht="15" hidden="false" customHeight="false" outlineLevel="0" collapsed="false">
      <c r="A575" s="0" t="s">
        <v>524</v>
      </c>
      <c r="B575" s="0" t="s">
        <v>674</v>
      </c>
      <c r="C575" s="8" t="s">
        <v>676</v>
      </c>
      <c r="D575" s="0" t="n">
        <v>1</v>
      </c>
      <c r="E575" s="0" t="str">
        <f aca="false">TEXT(ROUND(0.77/FX,2),"#,##0.00")</f>
        <v>0.11</v>
      </c>
    </row>
    <row r="576" customFormat="false" ht="15" hidden="false" customHeight="false" outlineLevel="0" collapsed="false">
      <c r="A576" s="0" t="s">
        <v>524</v>
      </c>
      <c r="B576" s="0" t="s">
        <v>674</v>
      </c>
      <c r="C576" s="8" t="s">
        <v>677</v>
      </c>
      <c r="D576" s="0" t="n">
        <v>3</v>
      </c>
      <c r="E576" s="0" t="str">
        <f aca="false">TEXT(ROUND(16.9/FX,2),"#,##0.00")&amp;" – "&amp;TEXT(ROUND(17.55/FX,2),"#,##0.00")</f>
        <v>2.35 – 2.44</v>
      </c>
    </row>
    <row r="577" customFormat="false" ht="15" hidden="false" customHeight="false" outlineLevel="0" collapsed="false">
      <c r="A577" s="0" t="s">
        <v>678</v>
      </c>
      <c r="B577" s="0" t="s">
        <v>679</v>
      </c>
      <c r="C577" s="8" t="s">
        <v>680</v>
      </c>
      <c r="D577" s="0" t="n">
        <v>60</v>
      </c>
      <c r="E577" s="0" t="str">
        <f aca="false">TEXT(ROUND(10.73/FX,2),"#,##0.00")&amp;" – "&amp;TEXT(ROUND(187.2/FX,2),"#,##0.00")</f>
        <v>1.49 – 26.00</v>
      </c>
    </row>
    <row r="578" customFormat="false" ht="15" hidden="false" customHeight="false" outlineLevel="0" collapsed="false">
      <c r="A578" s="0" t="s">
        <v>678</v>
      </c>
      <c r="B578" s="0" t="s">
        <v>681</v>
      </c>
      <c r="C578" s="8" t="s">
        <v>682</v>
      </c>
      <c r="D578" s="0" t="n">
        <v>3</v>
      </c>
      <c r="E578" s="0" t="str">
        <f aca="false">TEXT(ROUND(23/FX,2),"#,##0.00")&amp;" – "&amp;TEXT(ROUND(35.97/FX,2),"#,##0.00")</f>
        <v>3.19 – 5.00</v>
      </c>
    </row>
    <row r="579" customFormat="false" ht="15" hidden="false" customHeight="false" outlineLevel="0" collapsed="false">
      <c r="A579" s="0" t="s">
        <v>678</v>
      </c>
      <c r="B579" s="0" t="s">
        <v>681</v>
      </c>
      <c r="C579" s="8" t="s">
        <v>683</v>
      </c>
      <c r="D579" s="0" t="n">
        <v>199</v>
      </c>
      <c r="E579" s="0" t="str">
        <f aca="false">TEXT(ROUND(15/FX,2),"#,##0.00")&amp;" – "&amp;TEXT(ROUND(426.4/FX,2),"#,##0.00")</f>
        <v>2.08 – 59.22</v>
      </c>
    </row>
    <row r="580" customFormat="false" ht="15" hidden="false" customHeight="false" outlineLevel="0" collapsed="false">
      <c r="A580" s="0" t="s">
        <v>678</v>
      </c>
      <c r="B580" s="0" t="s">
        <v>681</v>
      </c>
      <c r="C580" s="8" t="s">
        <v>684</v>
      </c>
      <c r="D580" s="0" t="n">
        <v>93</v>
      </c>
      <c r="E580" s="0" t="str">
        <f aca="false">TEXT(ROUND(10.73/FX,2),"#,##0.00")&amp;" – "&amp;TEXT(ROUND(170.3/FX,2),"#,##0.00")</f>
        <v>1.49 – 23.65</v>
      </c>
    </row>
    <row r="581" customFormat="false" ht="15" hidden="false" customHeight="false" outlineLevel="0" collapsed="false">
      <c r="A581" s="0" t="s">
        <v>685</v>
      </c>
      <c r="C581" s="8" t="s">
        <v>686</v>
      </c>
      <c r="D581" s="0" t="n">
        <v>4</v>
      </c>
      <c r="E581" s="0" t="str">
        <f aca="false">TEXT(ROUND(7/FX,2),"#,##0.00")&amp;" – "&amp;TEXT(ROUND(13/FX,2),"#,##0.00")</f>
        <v>0.97 – 1.81</v>
      </c>
    </row>
    <row r="582" customFormat="false" ht="15" hidden="false" customHeight="false" outlineLevel="0" collapsed="false">
      <c r="A582" s="0" t="s">
        <v>685</v>
      </c>
      <c r="C582" s="8" t="s">
        <v>687</v>
      </c>
      <c r="D582" s="0" t="n">
        <v>7</v>
      </c>
      <c r="E582" s="0" t="str">
        <f aca="false">TEXT(ROUND(8/FX,2),"#,##0.00")&amp;" – "&amp;TEXT(ROUND(21/FX,2),"#,##0.00")</f>
        <v>1.11 – 2.92</v>
      </c>
    </row>
    <row r="583" customFormat="false" ht="15" hidden="false" customHeight="false" outlineLevel="0" collapsed="false">
      <c r="A583" s="0" t="s">
        <v>685</v>
      </c>
      <c r="C583" s="8" t="s">
        <v>688</v>
      </c>
      <c r="D583" s="0" t="n">
        <v>1</v>
      </c>
      <c r="E583" s="0" t="str">
        <f aca="false">TEXT(ROUND(23/FX,2),"#,##0.00")</f>
        <v>3.19</v>
      </c>
    </row>
    <row r="584" customFormat="false" ht="15" hidden="false" customHeight="false" outlineLevel="0" collapsed="false">
      <c r="A584" s="0" t="s">
        <v>689</v>
      </c>
      <c r="C584" s="8" t="s">
        <v>690</v>
      </c>
      <c r="D584" s="0" t="n">
        <v>2</v>
      </c>
      <c r="E584" s="0" t="str">
        <f aca="false">TEXT(ROUND(2.34/FX,2),"#,##0.00")&amp;" – "&amp;TEXT(ROUND(2.86/FX,2),"#,##0.00")</f>
        <v>0.33 – 0.40</v>
      </c>
    </row>
    <row r="585" customFormat="false" ht="15" hidden="false" customHeight="false" outlineLevel="0" collapsed="false">
      <c r="A585" s="0" t="s">
        <v>689</v>
      </c>
      <c r="C585" s="8" t="s">
        <v>691</v>
      </c>
      <c r="D585" s="0" t="n">
        <v>51</v>
      </c>
      <c r="E585" s="0" t="str">
        <f aca="false">TEXT(ROUND(0.16/FX,2),"#,##0.00")&amp;" – "&amp;TEXT(ROUND(3.9/FX,2),"#,##0.00")</f>
        <v>0.02 – 0.54</v>
      </c>
    </row>
    <row r="586" customFormat="false" ht="15" hidden="false" customHeight="false" outlineLevel="0" collapsed="false">
      <c r="A586" s="0" t="s">
        <v>689</v>
      </c>
      <c r="C586" s="8" t="s">
        <v>692</v>
      </c>
      <c r="D586" s="0" t="n">
        <v>9</v>
      </c>
      <c r="E586" s="0" t="str">
        <f aca="false">TEXT(ROUND(0.69/FX,2),"#,##0.00")&amp;" – "&amp;TEXT(ROUND(2.91/FX,2),"#,##0.00")</f>
        <v>0.10 – 0.40</v>
      </c>
    </row>
    <row r="587" customFormat="false" ht="15" hidden="false" customHeight="false" outlineLevel="0" collapsed="false">
      <c r="A587" s="0" t="s">
        <v>689</v>
      </c>
      <c r="C587" s="8" t="s">
        <v>693</v>
      </c>
      <c r="D587" s="0" t="n">
        <v>1</v>
      </c>
      <c r="E587" s="0" t="str">
        <f aca="false">TEXT(ROUND(3.94/FX,2),"#,##0.00")</f>
        <v>0.55</v>
      </c>
    </row>
    <row r="588" customFormat="false" ht="15" hidden="false" customHeight="false" outlineLevel="0" collapsed="false">
      <c r="A588" s="0" t="s">
        <v>694</v>
      </c>
      <c r="C588" s="8" t="s">
        <v>695</v>
      </c>
      <c r="D588" s="0" t="n">
        <v>1</v>
      </c>
      <c r="E588" s="0" t="str">
        <f aca="false">TEXT(ROUND(0.1/FX,2),"#,##0.00")</f>
        <v>0.01</v>
      </c>
    </row>
    <row r="589" customFormat="false" ht="15" hidden="false" customHeight="false" outlineLevel="0" collapsed="false">
      <c r="A589" s="0" t="s">
        <v>694</v>
      </c>
      <c r="B589" s="0" t="s">
        <v>696</v>
      </c>
      <c r="C589" s="8" t="s">
        <v>697</v>
      </c>
      <c r="D589" s="0" t="n">
        <v>1</v>
      </c>
      <c r="E589" s="0" t="str">
        <f aca="false">TEXT(ROUND(0/FX,2),"#,##0.00")</f>
        <v>0.00</v>
      </c>
    </row>
  </sheetData>
  <hyperlinks>
    <hyperlink ref="C2" r:id="rId1" location="'Timing%20Belts'!B1" display="1.5GT Open Timing Belt (per meter)"/>
    <hyperlink ref="C3" r:id="rId2" location="'Timing%20Belts'!B16" display="2GT Open Timing Belt (per meter)"/>
    <hyperlink ref="C4" r:id="rId3" location="'Timing%20Belts'!B108" display="2GT Closed-Loop Timing Belt, Length 162-384mm"/>
    <hyperlink ref="C5" r:id="rId4" location="'Timing%20Belts'!B903" display="2GT Closed-Loop Timing Belt, Length 386-3600mm"/>
    <hyperlink ref="C6" r:id="rId5" location="'Timing%20Belts'!B1612" display="2GT Closed-Loop Timing Belt, Length 50-160mm"/>
    <hyperlink ref="C7" r:id="rId6" location="'Timing%20Belts'!B2155" display="2GT Closed-Loop Timing Belt, Special (Anti-static / Eco / Thick / Punched)"/>
    <hyperlink ref="C8" r:id="rId7" location="'Timing%20Belts'!B2174" display="3GT Open Timing Belt (per meter)"/>
    <hyperlink ref="C9" r:id="rId8" location="'Timing%20Belts'!B2187" display="3GT Closed-Loop Timing Belt"/>
    <hyperlink ref="C10" r:id="rId9" location="'Timing%20Belts'!B2217" display="HTD8M Open Timing Belt (per meter)"/>
    <hyperlink ref="C11" r:id="rId10" location="'Timing%20Belts'!B2229" display="HTD8M Closed-Loop Timing Belt"/>
    <hyperlink ref="C12" r:id="rId11" location="'Timing%20Belts'!B2247" display="HTD3M Open Timing Belt (per meter)"/>
    <hyperlink ref="C13" r:id="rId12" location="'Timing%20Belts'!B2325" display="HTD3M Closed-Loop Timing Belt, Length 396-729mm"/>
    <hyperlink ref="C14" r:id="rId13" location="'Timing%20Belts'!B2768" display="HTD3M Closed-Loop Timing Belt, Length 60-393mm"/>
    <hyperlink ref="C15" r:id="rId14" location="'Timing%20Belts'!B3460" display="HTD3M Closed-Loop Timing Belt, Length 732-6804mm"/>
    <hyperlink ref="C16" r:id="rId15" location="'Timing%20Belts'!B3591" display="HTD5M Open Timing Belt (per meter)"/>
    <hyperlink ref="C17" r:id="rId16" location="'Timing%20Belts'!B3645" display="HTD5M Closed-Loop Timing Belt, Length 120-395mm"/>
    <hyperlink ref="C18" r:id="rId17" location="'Timing%20Belts'!B3968" display="HTD5M Closed-Loop Timing Belt, Length 400-675mm"/>
    <hyperlink ref="C19" r:id="rId18" location="'Timing%20Belts'!B4363" display="HTD5M Closed-Loop Timing Belt, Length 680-7000mm"/>
    <hyperlink ref="C20" r:id="rId19" location="'Timing%20Belts'!B4474" display="PU Steel-Cord 5M Joined Timing Belt"/>
    <hyperlink ref="C21" r:id="rId20" location="'Timing%20Belts'!B4479" display="L / XL Closed-Loop Timing Belt"/>
    <hyperlink ref="C22" r:id="rId21" location="'Timing%20Belts'!B4505" display="XL Open Timing Belt (per meter)"/>
    <hyperlink ref="C23" r:id="rId22" location="'Timing%20Belts'!B4524" display="MXL Open Timing Belt (per meter)"/>
    <hyperlink ref="C24" r:id="rId23" location="'Timing%20Belts'!B4539" display="MXL Closed-Loop Timing Belt"/>
    <hyperlink ref="C25" r:id="rId24" location="'Timing%20Belts'!B4973" display="PU Steel-Cord S3M Joined Timing Belt"/>
    <hyperlink ref="C26" r:id="rId25" location="'Timing%20Belts'!B4978" display="PU Steel-Cord S3M Seamless Timing Belt"/>
    <hyperlink ref="C27" r:id="rId26" location="'Timing%20Belts'!B4983" display="S2M / S3M / S5M Closed-Loop Timing Belt"/>
    <hyperlink ref="C28" r:id="rId27" location="'Timing%20Belts'!B5048" display="S2M / S5M Open Timing Belt (per meter)"/>
    <hyperlink ref="C29" r:id="rId28" location="'Timing%20Belts'!B5060" display="T2.5 / T5 / T10 / AT5 Closed-Loop Timing Belt"/>
    <hyperlink ref="C30" r:id="rId29" location="'Timing%20Belts'!B5133" display="T2.5 / T5 Open Timing Belt (per meter)"/>
    <hyperlink ref="C31" r:id="rId30" location="'Timing%20Belts'!B5153" display="Unitta Rubber Closed-Loop Timing Belt"/>
    <hyperlink ref="C32" r:id="rId31" location="'Timing%20Belts'!B5158" display="Gates Rubber Closed-Loop Timing Belt"/>
    <hyperlink ref="C33" r:id="rId32" location="'Timing%20Belts'!B5169" display="A-Section Rubber V-Belt"/>
    <hyperlink ref="C34" r:id="rId33" location="'Timing%20Belts'!B5178" display="NBR O-Ring"/>
    <hyperlink ref="C35" r:id="rId34" location="'Timing%20Belts'!B5183" display="PU Single-Sided Toothed V-Belt MB250, 6mm"/>
    <hyperlink ref="C36" r:id="rId35" location="'Timing%20Belts'!B5192" display="PU Round Belt, Open (per meter / full roll)"/>
    <hyperlink ref="C37" r:id="rId36" location="'Timing%20Belts'!B5265" display="PU Round Belt, Closed Loop (Joined / Seamless)"/>
    <hyperlink ref="C38" r:id="rId37" location="'Timing%20Belts'!B5346" display="Red PU V-Belt, Joinable"/>
    <hyperlink ref="C39" r:id="rId38" location="'Timing%20Belts'!B5358" display="Openbuilds Serrated Belt Clamp"/>
    <hyperlink ref="C40" r:id="rId39" location="'Timing%20Belts'!B5368" display="Timing Belt Clamp Plate"/>
    <hyperlink ref="C41" r:id="rId40" location="'Timing%20Belts'!B5381" display="Open Belt Clamp (2GT / 3M)"/>
    <hyperlink ref="C42" r:id="rId41" location="'Timing%20Belts'!B5393" display="Open Belt Toothed Clamp Plate (Trapezoidal / Curvilinear)"/>
    <hyperlink ref="C43" r:id="rId42" location="'Timing%20Belts'!B5471" display="Open Timing Belt Clip"/>
    <hyperlink ref="C44" r:id="rId43" location="'Timing%20Belts'!B5476" display="2GT Belt + Pulley Set, 6mm"/>
    <hyperlink ref="C45" r:id="rId44" location="'Timing%20Belts'!B5489" display="2GT Closed-Loop Belt Set, 6mm"/>
    <hyperlink ref="C46" r:id="rId45" location="'Timing%20Belts'!B5498" display="HTD3M Pulley + Belt Set, 16T"/>
    <hyperlink ref="C47" r:id="rId46" location="'Timing%20Pulleys%20&amp;%20Gears'!B1" display="2GT Timing Pulley (all types)"/>
    <hyperlink ref="C48" r:id="rId47" location="'Timing%20Pulleys%20&amp;%20Gears'!B443" display="3GT Timing Pulley (all types)"/>
    <hyperlink ref="C49" r:id="rId48" location="'Timing%20Pulleys%20&amp;%20Gears'!B486" display="HTD3M Timing Pulley (all types)"/>
    <hyperlink ref="C50" r:id="rId49" location="'Timing%20Pulleys%20&amp;%20Gears'!B801" display="HTD5M Timing Pulley (all types)"/>
    <hyperlink ref="C51" r:id="rId50" location="'Timing%20Pulleys%20&amp;%20Gears'!B922" display="MXL Timing Pulley (all types)"/>
    <hyperlink ref="C52" r:id="rId51" location="'Timing%20Pulleys%20&amp;%20Gears'!B961" display="S3M / S5M / S1.5M Timing Pulley (all types)"/>
    <hyperlink ref="C53" r:id="rId52" location="'Timing%20Pulleys%20&amp;%20Gears'!B979" display="T2.5 Timing Pulley (all types)"/>
    <hyperlink ref="C54" r:id="rId53" location="'Timing%20Pulleys%20&amp;%20Gears'!B992" display="XL Timing Pulley (all types)"/>
    <hyperlink ref="C55" r:id="rId54" location="'Timing%20Pulleys%20&amp;%20Gears'!B1016" display="A-Section V-Belt Pulley, Aluminum"/>
    <hyperlink ref="C56" r:id="rId55" location="'Timing%20Pulleys%20&amp;%20Gears'!B1032" display="M1.25 Helical Rack Gearbox"/>
    <hyperlink ref="C57" r:id="rId56" location="'Timing%20Pulleys%20&amp;%20Gears'!B1044" display="Black Oxide Stepped Spur Gear (M1 / M1.5 / M2)"/>
    <hyperlink ref="C58" r:id="rId57" location="'Timing%20Pulleys%20&amp;%20Gears'!B1064" display="Left-Hand Helical Gear M1.25 20T, Bore 14"/>
    <hyperlink ref="C59" r:id="rId58" location="'Timing%20Pulleys%20&amp;%20Gears'!B1094" display="Left-Hand Helical Gear M1.25 20T, Bore 15 / 16"/>
    <hyperlink ref="C60" r:id="rId59" location="'Timing%20Pulleys%20&amp;%20Gears'!B1103" display="CNC Helical Pinion Shaft for Gearbox"/>
    <hyperlink ref="C61" r:id="rId60" location="'Couplings'!B1" display="SB Rigid Clamp Coupling (all sizes)"/>
    <hyperlink ref="C62" r:id="rId61" location="'Couplings'!B230" display="XB Jaw Clamp Coupling, Slit Type (all sizes)"/>
    <hyperlink ref="C63" r:id="rId62" location="'Couplings'!B1103" display="XB Jaw Clamp Coupling (all sizes)"/>
    <hyperlink ref="C64" r:id="rId63" location="'Couplings'!B1716" display="XS Jaw Set-Screw Coupling (all sizes)"/>
    <hyperlink ref="C65" r:id="rId64" location="'Couplings'!B1967" display="Servo Push Rod, Double-End Ball Link"/>
    <hyperlink ref="C66" r:id="rId65" location="'Couplings'!B1981" display="Telescopic Spline Universal Joint"/>
    <hyperlink ref="C67" r:id="rId66" location="'Couplings'!B2020" display="Metal Cross Universal Joint Coupling"/>
    <hyperlink ref="C68" r:id="rId67" location="'Couplings'!B2065" display="Rigid Set-Screw Coupling (all sizes)"/>
    <hyperlink ref="C69" r:id="rId68" location="'Couplings'!B2635" display="T8 Z-Axis Lead Screw Oldham Coupler (Ender3)"/>
    <hyperlink ref="C70" r:id="rId69" location="'Couplings'!B2644" display="Oldham Coupling (all sizes)"/>
    <hyperlink ref="C71" r:id="rId70" location="'Couplings'!B2654" display="Flexible Clamp Coupling (all sizes)"/>
    <hyperlink ref="C72" r:id="rId71" location="'Couplings'!B2834" display="Flexible Set-Screw Coupling (all sizes)"/>
    <hyperlink ref="C73" r:id="rId72" location="'Couplings'!B3169" display="Steel Open-Type Flange Shaft Support STHWRB"/>
    <hyperlink ref="C74" r:id="rId73" location="'Couplings'!B3174" display="Plated Iron Flange, Shaft Support"/>
    <hyperlink ref="C75" r:id="rId74" location="'Couplings'!B3214" display="Aluminum Flange Coupling / Shaft Flange"/>
    <hyperlink ref="C76" r:id="rId75" location="'Couplings'!B3292" display="Diaphragm Coupling (all sizes)"/>
    <hyperlink ref="C77" r:id="rId76" location="'Couplings'!B3331" display="Brass Hex Coupling OD 12 L 18"/>
    <hyperlink ref="C78" r:id="rId77" location="'Couplings'!B3361" display="Brass Coupling (all sizes)"/>
    <hyperlink ref="C79" r:id="rId78" location="'Lead%20Screws%20&amp;%20Nuts'!B1" display="Trapezoidal Lead Screw, 304 Stainless (by length)"/>
    <hyperlink ref="C80" r:id="rId79" location="'Lead%20Screws%20&amp;%20Nuts'!B748" display="Trapezoidal Lead Screw + Nut Kit (by length)"/>
    <hyperlink ref="C81" r:id="rId80" location="'Lead%20Screws%20&amp;%20Nuts'!B1019" display="Trapezoidal Lead Screw POM Nut / Nut Block (all types)"/>
    <hyperlink ref="C82" r:id="rId81" location="'Lead%20Screws%20&amp;%20Nuts'!B1148" display="Trapezoidal Lead Screw Brass Nut (all types)"/>
    <hyperlink ref="C83" r:id="rId82" location="'Linear%20Motion%20&amp;%20Bearings'!B1" display="304 Stainless Round Bar 8mm"/>
    <hyperlink ref="C84" r:id="rId83" location="'Linear%20Motion%20&amp;%20Bearings'!B11" display="SBR Supported Linear Rail"/>
    <hyperlink ref="C85" r:id="rId84" location="'Linear%20Motion%20&amp;%20Bearings'!B74" display="SBR Supported Rail Slide Kit"/>
    <hyperlink ref="C86" r:id="rId85" location="'Linear%20Motion%20&amp;%20Bearings'!B79" display="SBR Rail Split Locking Collar"/>
    <hyperlink ref="C87" r:id="rId86" location="'Linear%20Motion%20&amp;%20Bearings'!B94" display="SFU Ball Screw Nut, TBI (1204 / 1605 / 1610)"/>
    <hyperlink ref="C88" r:id="rId87" location="'Linear%20Motion%20&amp;%20Bearings'!B123" display="SFU Ball Screw (1204-3205, machined / unmachined, by length)"/>
    <hyperlink ref="C89" r:id="rId88" location="'Linear%20Motion%20&amp;%20Bearings'!B493" display="SG U-Groove Guide Bearing (SG15 / SG20 / SG25)"/>
    <hyperlink ref="C90" r:id="rId89" location="'Linear%20Motion%20&amp;%20Bearings'!B512" display="U-Groove Bearing U604ZZ / U624ZZ"/>
    <hyperlink ref="C91" r:id="rId90" location="'Linear%20Motion%20&amp;%20Bearings'!B522" display="WCS Chrome Hardened Linear Shaft (Dia 4-50mm, by length)"/>
    <hyperlink ref="C92" r:id="rId91" location="'Linear%20Motion%20&amp;%20Bearings'!B1007" display="T-Type Shaft Clamp"/>
    <hyperlink ref="C93" r:id="rId92" location="'Linear%20Motion%20&amp;%20Bearings'!B1016" display="Linear Rail Bolt Hole Cap"/>
    <hyperlink ref="C94" r:id="rId93" location="'Linear%20Motion%20&amp;%20Bearings'!B1055" display="Carbon Fiber Rod"/>
    <hyperlink ref="C95" r:id="rId94" location="'Linear%20Motion%20&amp;%20Bearings'!B1084" display="Carbon Fiber Tube"/>
    <hyperlink ref="C96" r:id="rId95" location="'Linear%20Motion%20&amp;%20Bearings'!B1101" display="Hollow Chrome Shaft OD 12 ID 6.7"/>
    <hyperlink ref="C97" r:id="rId96" location="'Linear%20Motion%20&amp;%20Bearings'!B1112" display="Precision Pin Gauge ±0.001"/>
    <hyperlink ref="C98" r:id="rId97" location="'Linear%20Motion%20&amp;%20Bearings'!B1117" display="Bearing Steel Shaft / Dowel Pin (Dia 3 / 5mm, 3–1050mm)"/>
    <hyperlink ref="C99" r:id="rId98" location="'Linear%20Motion%20&amp;%20Bearings'!B1279" display="Steel Cross Shaft Clamp"/>
    <hyperlink ref="C100" r:id="rId99" location="'Linear%20Motion%20&amp;%20Bearings'!B1288" display="Aluminum Cross Shaft Clamp"/>
    <hyperlink ref="C101" r:id="rId100" location="'Linear%20Motion%20&amp;%20Bearings'!B1381" display="Aluminum Round Flange Shaft Support"/>
    <hyperlink ref="C102" r:id="rId101" location="'Linear%20Motion%20&amp;%20Bearings'!B1433" display="Zinc Alloy Pillow Block Bearing (KP / KFL)"/>
    <hyperlink ref="C103" r:id="rId102" location="'Linear%20Motion%20&amp;%20Bearings'!B1468" display="Delta 5347 Ball Joint Rod End"/>
    <hyperlink ref="C104" r:id="rId103" location="'Linear%20Motion%20&amp;%20Bearings'!B1477" display="Delta Kossel Carbon Rod Ball Joint Kit"/>
    <hyperlink ref="C105" r:id="rId104" location="'Linear%20Motion%20&amp;%20Bearings'!B1488" display="Rod End Bearing (SI / SA, PHS / POS)"/>
    <hyperlink ref="C106" r:id="rId105" location="'Linear%20Motion%20&amp;%20Bearings'!B1719" display="Ball Joint Rod End (SQ Straight / Bent, CS)"/>
    <hyperlink ref="C107" r:id="rId106" location="'Linear%20Motion%20&amp;%20Bearings'!B1822" display="Self-Lubricating Spherical Plain Bearing GE4C"/>
    <hyperlink ref="C108" r:id="rId107" location="'Linear%20Motion%20&amp;%20Bearings'!B1831" display="POM Coated Pulley Bearing (R / Flat / Arc)"/>
    <hyperlink ref="C109" r:id="rId108" location="'Linear%20Motion%20&amp;%20Bearings'!B1887" display="304 Stainless Drilled &amp; Tapped Ball"/>
    <hyperlink ref="C110" r:id="rId109" location="'Linear%20Motion%20&amp;%20Bearings'!B1892" display="304 Steel Ball Flanged Linear Bearing LMH8GA"/>
    <hyperlink ref="C111" r:id="rId110" location="'Linear%20Motion%20&amp;%20Bearings'!B1897" display="420 Steel Ball Flanged Linear Bearing LMH8GA"/>
    <hyperlink ref="C112" r:id="rId111" location="'Linear%20Motion%20&amp;%20Bearings'!B1902" display="PEEK / Zirconia Deep Groove Bearing 6001 / 6003"/>
    <hyperlink ref="C113" r:id="rId112" location="'Linear%20Motion%20&amp;%20Bearings'!B1911" display="POM Plastic Bearing (608 / 626 / 6000)"/>
    <hyperlink ref="C114" r:id="rId113" location="'Linear%20Motion%20&amp;%20Bearings'!B1934" display="U-Groove Plastic Bearing Pulley"/>
    <hyperlink ref="C115" r:id="rId114" location="'Linear%20Motion%20&amp;%20Bearings'!B1957" display="Ball Transfer Unit, CY Series"/>
    <hyperlink ref="C116" r:id="rId115" location="'Linear%20Motion%20&amp;%20Bearings'!B2002" display="One-Way Bearing, CSK Series (keyed)"/>
    <hyperlink ref="C117" r:id="rId116" location="'Linear%20Motion%20&amp;%20Bearings'!B2027" display="Double-Row W-Groove Roller Bearing"/>
    <hyperlink ref="C118" r:id="rId117" location="'Linear%20Motion%20&amp;%20Bearings'!B2037" display="Spherical OD Bearing, UC Series"/>
    <hyperlink ref="C119" r:id="rId118" location="'Linear%20Motion%20&amp;%20Bearings'!B2056" display="Miniature Thrust Ball Bearing, F Series"/>
    <hyperlink ref="C120" r:id="rId119" location="'Linear%20Motion%20&amp;%20Bearings'!B2095" display="Miniature Flanged Bearing MF105-2RS etc."/>
    <hyperlink ref="C121" r:id="rId120" location="'Linear%20Motion%20&amp;%20Bearings'!B2105" display="Zirconia Full Ceramic Bearing 608"/>
    <hyperlink ref="C122" r:id="rId121" location="'Linear%20Motion%20&amp;%20Bearings'!B2110" display="Flanged Step Bearing V623ZZ / V624ZZ"/>
    <hyperlink ref="C123" r:id="rId122" location="'Linear%20Motion%20&amp;%20Bearings'!B2122" display="Deep Groove Ball Bearing (ZZ / 2RS / Flanged / Stainless)"/>
    <hyperlink ref="C124" r:id="rId123" location="'Linear%20Motion%20&amp;%20Bearings'!B2244" display="Stud Type Track Roller, CF / KR Series"/>
    <hyperlink ref="C125" r:id="rId124" location="'Linear%20Motion%20&amp;%20Bearings'!B2286" display="Ceramic Bearing 608CE"/>
    <hyperlink ref="C126" r:id="rId125" location="'Linear%20Motion%20&amp;%20Bearings'!B2291" display="SFU Ball Screw Kit (screw + BK/BF support + nut housing)"/>
    <hyperlink ref="C127" r:id="rId126" location="'Linear%20Motion%20&amp;%20Bearings'!B2351" display="Ball Screw Lock Nut (R Radial / RN Square)"/>
    <hyperlink ref="C128" r:id="rId127" location="'Linear%20Motion%20&amp;%20Bearings'!B2544" display="Side Mount Shaft Support CLTAM (heavy)"/>
    <hyperlink ref="C129" r:id="rId128" location="'Linear%20Motion%20&amp;%20Bearings'!B2574" display="Shaft Support SK / SHF"/>
    <hyperlink ref="C130" r:id="rId129" location="'Linear%20Motion%20&amp;%20Bearings'!B2671" display="Ball Screw End Support BK / BF / EK / EF / FK / FF"/>
    <hyperlink ref="C131" r:id="rId130" location="'Linear%20Motion%20&amp;%20Bearings'!B2768" display="Ball Screw Support SSX"/>
    <hyperlink ref="C132" r:id="rId131" location="'Linear%20Motion%20&amp;%20Bearings'!B2777" display="Ball Screw Nut Housing (SFU / HSG / DSG / HD)"/>
    <hyperlink ref="C133" r:id="rId132" location="'Linear%20Motion%20&amp;%20Bearings'!B2856" display="HGR / EGR Linear Guide Rail &amp; Carriage"/>
    <hyperlink ref="C134" r:id="rId133" location="'Linear%20Motion%20&amp;%20Bearings'!B2910" display="LM Linear Bearing (Standard / Long / Open / Adjustable)"/>
    <hyperlink ref="C135" r:id="rId134" location="'Linear%20Motion%20&amp;%20Bearings'!B3069" display="MGN Miniature Linear Guide &amp; Carriage (MGN7-15)"/>
    <hyperlink ref="C136" r:id="rId135" location="'Linear%20Motion%20&amp;%20Bearings'!B3309" display="SBR Open Linear Bearing Block"/>
    <hyperlink ref="C137" r:id="rId136" location="'Linear%20Motion%20&amp;%20Bearings'!B3369" display="SCS Box Linear Bearing Block"/>
    <hyperlink ref="C138" r:id="rId137" location="'Linear%20Motion%20&amp;%20Bearings'!B3434" display="SCV Linear Bearing Aluminum Block"/>
    <hyperlink ref="C139" r:id="rId138" location="'Linear%20Motion%20&amp;%20Bearings'!B3453" display="SC Linear Bearing Block (Housing / Al-Plastic / All-Plastic)"/>
    <hyperlink ref="C140" r:id="rId139" location="'Linear%20Motion%20&amp;%20Bearings'!B3494" display="WCS8 Shaft Rail Kit with T8 Lead Screw 400mm"/>
    <hyperlink ref="C141" r:id="rId140" location="'Linear%20Motion%20&amp;%20Bearings'!B3499" display="WCS8 Shaft Rail Slide Kit, 8mm"/>
    <hyperlink ref="C142" r:id="rId141" location="'Linear%20Motion%20&amp;%20Bearings'!B3525" display="WCS8 Shaft Rail Slide Kit, 8mm (II)"/>
    <hyperlink ref="C143" r:id="rId142" location="'Linear%20Motion%20&amp;%20Bearings'!B3541" display="Maintenance-Free Plastic Box Slide"/>
    <hyperlink ref="C144" r:id="rId143" location="'Linear%20Motion%20&amp;%20Bearings'!B3546" display="Maintenance-free Al-Plastic Linear Bearing (Straight / Open / Flanged)"/>
    <hyperlink ref="C145" r:id="rId144" location="'Linear%20Motion%20&amp;%20Bearings'!B3617" display="Drawn Cup Linear Bearing, KH Series"/>
    <hyperlink ref="C146" r:id="rId145" location="'Linear%20Motion%20&amp;%20Bearings'!B3635" display="Plastic Linear Bearing LMK8LUU / LMH8LUU"/>
    <hyperlink ref="C147" r:id="rId146" location="'Linear%20Motion%20&amp;%20Bearings'!B3644" display="Engineering Plastic Linear Bearing, RJMP Series"/>
    <hyperlink ref="C148" r:id="rId147" location="'Linear%20Motion%20&amp;%20Bearings'!B3681" display="Open Linear Bearing Block, TBR Series"/>
    <hyperlink ref="C149" r:id="rId148" location="'Linear%20Motion%20&amp;%20Bearings'!B3702" display="Flanged Linear Bearing (LMF Round / LMK Square / LMH Oval)"/>
    <hyperlink ref="C150" r:id="rId149" location="'Linear%20Motion%20&amp;%20Bearings'!B3901" display="Linear Guide Clamp / Carriage Lock"/>
    <hyperlink ref="C151" r:id="rId150" location="'Linear%20Motion%20&amp;%20Bearings'!B3918" display="Linear Guide Stopper / Travel Limiter (HGH / EGH / MGN)"/>
    <hyperlink ref="C152" r:id="rId151" location="'Linear%20Motion%20&amp;%20Bearings'!B3998" display="H59 Brass Bushing, Self-Lubricating"/>
    <hyperlink ref="C153" r:id="rId152" location="'Linear%20Motion%20&amp;%20Bearings'!B4011" display="JDB Graphite Bronze Bushing, Oil-Free"/>
    <hyperlink ref="C154" r:id="rId153" location="'Linear%20Motion%20&amp;%20Bearings'!B4045" display="JDB Graphite Bronze Flange Bushing"/>
    <hyperlink ref="C155" r:id="rId154" location="'Linear%20Motion%20&amp;%20Bearings'!B4067" display="Openbuilds Aluminum Spacer / Shim, ID 3-6mm"/>
    <hyperlink ref="C156" r:id="rId155" location="'Linear%20Motion%20&amp;%20Bearings'!B4117" display="SF-1 Oil-Free Composite Bushing"/>
    <hyperlink ref="C157" r:id="rId156" location="'Linear%20Motion%20&amp;%20Bearings'!B4135" display="Shaft Collar (Split / Clamp / Open / Set-Screw / Through-Hole)"/>
    <hyperlink ref="C158" r:id="rId157" location="'Linear%20Motion%20&amp;%20Bearings'!B4333" display="Round Aluminum Standoff, Female M4 Both Ends"/>
    <hyperlink ref="C159" r:id="rId158" location="'Linear%20Motion%20&amp;%20Bearings'!B4338" display="Steel-Backed Bronze Linear Bushing (LM / LMF)"/>
    <hyperlink ref="C160" r:id="rId159" location="'Linear%20Motion%20&amp;%20Bearings'!B4436" display="Ball Screw Bearing Spacer Sleeve"/>
    <hyperlink ref="C161" r:id="rId160" location="'Linear%20Motion%20&amp;%20Bearings'!B4445" display="Polyurethane Bumper Pad"/>
    <hyperlink ref="C162" r:id="rId161" location="'Linear%20Motion%20&amp;%20Bearings'!B4454" display="Metal Shaft Collar with Side Set Screw"/>
    <hyperlink ref="C163" r:id="rId162" location="'Stepper%20Motors'!B1" display="20mm Stepper Micro Lead Screw Slide"/>
    <hyperlink ref="C164" r:id="rId163" location="'Stepper%20Motors'!B10" display="NEMA17 42mm Stepper Motor (all models)"/>
    <hyperlink ref="C165" r:id="rId164" location="'Stepper%20Motors'!B38" display="NEMA23 Lead Screw Stepper 23HD56001Y-21B T8"/>
    <hyperlink ref="C166" r:id="rId165" location="'Stepper%20Motors'!B48" display="NEMA23 57mm Stepper Motor (CNC)"/>
    <hyperlink ref="C167" r:id="rId166" location="'Stepper%20Motors'!B59" display="NEMA8 Stepper Motor (all models)"/>
    <hyperlink ref="C168" r:id="rId167" location="'Stepper%20Motors'!B69" display="RS-775 High-Torque DC Motor"/>
    <hyperlink ref="C169" r:id="rId168" location="'Stepper%20Motors'!B74" display="T8 Lead Screw Stepper 17HS4401"/>
    <hyperlink ref="C170" r:id="rId169" location="'Stepper%20Motors'!B105" display="T8 Lead Screw Stepper 42BYGH48"/>
    <hyperlink ref="C171" r:id="rId170" location="'Stepper%20Motors'!B114" display="Micro Stepper Lead Screw Slide"/>
    <hyperlink ref="C172" r:id="rId171" location="'Stepper%20Motors'!B123" display="20mm Planetary Gear Stepper (with Hall sensor)"/>
    <hyperlink ref="C173" r:id="rId172" location="'Stepper%20Motors'!B128" display="NEMA17 / NEMA23 Stepper Damper"/>
    <hyperlink ref="C174" r:id="rId173" location="'Stepper%20Motors'!B157" display="NEMA17 / 23 / 34 Steel Motor Bracket"/>
    <hyperlink ref="C175" r:id="rId174" location="'Stepper%20Motors'!B175" display="NEMA17 Plastic Motor Bracket"/>
    <hyperlink ref="C176" r:id="rId175" location="'Stepper%20Motors'!B184" display="NEMA17 Cork Damper Pad"/>
    <hyperlink ref="C177" r:id="rId176" location="'Stepper%20Motors'!B193" display="NEMA23 / NEMA34 Aluminum Motor Bracket"/>
    <hyperlink ref="C178" r:id="rId177" location="'Stepper%20Motors'!B202" display="NEMA23 / NEMA34 Stepper Driver (DMA860H alternative)"/>
    <hyperlink ref="C179" r:id="rId178" location="'Stepper%20Motors'!B211" display="NEMA23 Plastic Motor Base"/>
    <hyperlink ref="C180" r:id="rId179" location="'Stepper%20Motors'!B216" display="NEMA23 Motor Mount, Extended"/>
    <hyperlink ref="C181" r:id="rId180" location="'Stepper%20Motors'!B225" display="NEMA23 Motor Mount Connector Frame"/>
    <hyperlink ref="C182" r:id="rId181" location="'Stepper%20Motors'!B230" display="NEMA23 Aluminum Motor Base"/>
    <hyperlink ref="C183" r:id="rId182" location="'Stepper%20Motors'!B241" display="NEMA23 Profile Motor Clamp Mount"/>
    <hyperlink ref="C184" r:id="rId183" location="'Stepper%20Motors'!B261" display="NEMA34 Motor Mount"/>
    <hyperlink ref="C185" r:id="rId184" location="'Stepper%20Motors'!B266" display="CR-10 Z-Axis NEMA17 Mount Block"/>
    <hyperlink ref="C186" r:id="rId185" location="'Stepper%20Motors'!B275" display="DM420 Stepper Driver 2A 128 Microstep"/>
    <hyperlink ref="C187" r:id="rId186" location="'Stepper%20Motors'!B280" display="MACH3 5-Axis Breakout Board"/>
    <hyperlink ref="C188" r:id="rId187" location="'Stepper%20Motors'!B285" display="MACH3 5-Axis Breakout Board (with driver)"/>
    <hyperlink ref="C189" r:id="rId188" location="'Stepper%20Motors'!B290" display="MACH3 USB Motion Control Card"/>
    <hyperlink ref="C190" r:id="rId189" location="'Stepper%20Motors'!B295" display="TB6600 Upgraded Stepper Driver 4.0A 42V"/>
    <hyperlink ref="C191" r:id="rId190" location="'Stepper%20Motors'!B300" display="TB6600 Single-Axis Driver, Enclosed 5A"/>
    <hyperlink ref="C192" r:id="rId191" location="'Stepper%20Motors'!B305" display="TMC2208 Stepper Driver 1.4A"/>
    <hyperlink ref="C193" r:id="rId192" location="'Stepper%20Motors'!B310" display="Square Silicone Damper Pad"/>
    <hyperlink ref="C194" r:id="rId193" location="'Stepper%20Motors'!B321" display="Stepper Motor Cable, 4-Wire with Connector, 1m"/>
    <hyperlink ref="C195" r:id="rId194" location="'Stepper%20Motors'!B326" display="Stepper Cable XH254 / Dupont 6-pin to 4-pin"/>
    <hyperlink ref="C196" r:id="rId195" location="'Stepper%20Motors'!B354" display="Stepper Driver Smoother (A4988 / DRV8825)"/>
    <hyperlink ref="C197" r:id="rId196" location="'Stepper%20Motors'!B359" display="Profile Motor Mount (57 / 60 / 80 / 86)"/>
    <hyperlink ref="C198" r:id="rId197" location="'Linear%20Slides%20&amp;%20CNC'!B1" display="4080U T8 Lead Screw Slide Module (with NEMA23)"/>
    <hyperlink ref="C199" r:id="rId198" location="'Linear%20Slides%20&amp;%20CNC'!B20" display="4080U Cross Lead Screw Slide with Handwheel (XY)"/>
    <hyperlink ref="C200" r:id="rId199" location="'Linear%20Slides%20&amp;%20CNC'!B29" display="Ooznest Desktop CNC Router (Openbuilds)"/>
    <hyperlink ref="C201" r:id="rId200" location="'Linear%20Slides%20&amp;%20CNC'!B38" display="Openbuilds 2040 V-Slot Belt Slide (Z-axis)"/>
    <hyperlink ref="C202" r:id="rId201" location="'Linear%20Slides%20&amp;%20CNC'!B59" display="Openbuilds 4080U T8 Lead Screw Slide (Z-axis)"/>
    <hyperlink ref="C203" r:id="rId202" location="'Linear%20Slides%20&amp;%20CNC'!B120" display="Openbuilds Mini Desktop CNC Frame"/>
    <hyperlink ref="C204" r:id="rId203" location="'Linear%20Slides%20&amp;%20CNC'!B129" display="Openbuilds Aluminum Linear Slide Arm"/>
    <hyperlink ref="C205" r:id="rId204" location="'Linear%20Slides%20&amp;%20CNC'!B140" display="T6 Lead Screw Mini Rail Slide (with NEMA11)"/>
    <hyperlink ref="C206" r:id="rId205" location="'Linear%20Slides%20&amp;%20CNC'!B150" display="THK90 Ball Screw Linear Slide Module"/>
    <hyperlink ref="C207" r:id="rId206" location="'Linear%20Slides%20&amp;%20CNC'!B163" display="2020 V-Slot Belt-Driven Linear Slide (with NEMA17)"/>
    <hyperlink ref="C208" r:id="rId207" location="'Linear%20Slides%20&amp;%20CNC'!B199" display="2040 V-Slot Belt-Driven Linear Slide (with NEMA17)"/>
    <hyperlink ref="C209" r:id="rId208" location="'Linear%20Slides%20&amp;%20CNC'!B210" display="2060 V-Slot Lead Screw Slide (with NEMA17)"/>
    <hyperlink ref="C210" r:id="rId209" location="'Linear%20Slides%20&amp;%20CNC'!B228" display="Heavy-Duty Dual-Rail Cross Slide Table"/>
    <hyperlink ref="C211" r:id="rId210" location="'CNC%20Parts%20&amp;%20Tools'!B1" display="1/2 Shank Bottom Cleaning Router Bit"/>
    <hyperlink ref="C212" r:id="rId211" location="'CNC%20Parts%20&amp;%20Tools'!B6" display="1/4 Shank Long Double-Flute Straight Bit"/>
    <hyperlink ref="C213" r:id="rId212" location="'CNC%20Parts%20&amp;%20Tools'!B15" display="6mm Single-Flute MDF End Mill"/>
    <hyperlink ref="C214" r:id="rId213" location="'CNC%20Parts%20&amp;%20Tools'!B20" display="B10 Mini Drill Chuck 0.6-6mm"/>
    <hyperlink ref="C215" r:id="rId214" location="'CNC%20Parts%20&amp;%20Tools'!B34" display="B10 Drill Chuck Arbor / Taper Adapter"/>
    <hyperlink ref="C216" r:id="rId215" location="'CNC%20Parts%20&amp;%20Tools'!B48" display="B12 Drill Chuck Adapter Sleeve"/>
    <hyperlink ref="C217" r:id="rId216" location="'CNC%20Parts%20&amp;%20Tools'!B64" display="ER11 Air-Cooled Spindle 150W / 200W"/>
    <hyperlink ref="C218" r:id="rId217" location="'CNC%20Parts%20&amp;%20Tools'!B75" display="ER11 / ER16 Spindle Extension Rod"/>
    <hyperlink ref="C219" r:id="rId218" location="'CNC%20Parts%20&amp;%20Tools'!B109" display="ER11A Spindle Extension Nut (Black UM)"/>
    <hyperlink ref="C220" r:id="rId219" location="'CNC%20Parts%20&amp;%20Tools'!B139" display="ER11A / ER16A Spindle Nut"/>
    <hyperlink ref="C221" r:id="rId220" location="'CNC%20Parts%20&amp;%20Tools'!B154" display="ER16 Morse Taper Holder MTB1-ER16"/>
    <hyperlink ref="C222" r:id="rId221" location="'CNC%20Parts%20&amp;%20Tools'!B159" display="ER Spring Collet (ER8-ER40, all sizes)"/>
    <hyperlink ref="C223" r:id="rId222" location="'CNC%20Parts%20&amp;%20Tools'!B353" display="M35 Cobalt Machine Tap for Stainless"/>
    <hyperlink ref="C224" r:id="rId223" location="'CNC%20Parts%20&amp;%20Tools'!B362" display="M35 Cobalt Spiral Tap for Aluminum"/>
    <hyperlink ref="C225" r:id="rId224" location="'CNC%20Parts%20&amp;%20Tools'!B367" display="PCB Corn End Mill (Left / Right Hand)"/>
    <hyperlink ref="C226" r:id="rId225" location="'CNC%20Parts%20&amp;%20Tools'!B427" display="PCB Drill / End Mill Box (3.175 / 4mm)"/>
    <hyperlink ref="C227" r:id="rId226" location="'CNC%20Parts%20&amp;%20Tools'!B438" display="Trapezoidal Machine Tap T8-T20"/>
    <hyperlink ref="C228" r:id="rId227" location="'CNC%20Parts%20&amp;%20Tools'!B476" display="TCT Double-Flute Straight Router Bit 1/2 Shank"/>
    <hyperlink ref="C229" r:id="rId228" location="'CNC%20Parts%20&amp;%20Tools'!B481" display="Ultimaker 2 Bed Glass Clip"/>
    <hyperlink ref="C230" r:id="rId229" location="'CNC%20Parts%20&amp;%20Tools'!B491" display="Spindle Collet Reducer Sleeve"/>
    <hyperlink ref="C231" r:id="rId230" location="'CNC%20Parts%20&amp;%20Tools'!B508" display="Router Surfacing Bit, 8mm shank"/>
    <hyperlink ref="C232" r:id="rId231" location="'CNC%20Parts%20&amp;%20Tools'!B523" display="Hex Shank 3-in-1 Drill Tap"/>
    <hyperlink ref="C233" r:id="rId232" location="'CNC%20Parts%20&amp;%20Tools'!B528" display="Double-Bearing Flush Trim Router Bit"/>
    <hyperlink ref="C234" r:id="rId233" location="'CNC%20Parts%20&amp;%20Tools'!B540" display="Mini Lathe Tool Set 12mm, 21 pcs"/>
    <hyperlink ref="C235" r:id="rId234" location="'CNC%20Parts%20&amp;%20Tools'!B551" display="Diamond Burr Set (3mm shank)"/>
    <hyperlink ref="C236" r:id="rId235" location="'CNC%20Parts%20&amp;%20Tools'!B556" display="Steel Tap Wrench"/>
    <hyperlink ref="C237" r:id="rId236" location="'CNC%20Parts%20&amp;%20Tools'!B565" display="Carbide 4-Flute Roughing End Mill 55°"/>
    <hyperlink ref="C238" r:id="rId237" location="'CNC%20Parts%20&amp;%20Tools'!B570" display="Carbide PCB Micro Drill, 3.175mm shank"/>
    <hyperlink ref="C239" r:id="rId238" location="'CNC%20Parts%20&amp;%20Tools'!B593" display="Titanium Coated Spiral Machine Tap M2-M20"/>
    <hyperlink ref="C240" r:id="rId239" location="'CNC%20Parts%20&amp;%20Tools'!B711" display="Titanium Coated Spiral Drill Tap"/>
    <hyperlink ref="C241" r:id="rId240" location="'CNC%20Parts%20&amp;%20Tools'!B720" display="Engraving V-Bit (Flat / Triangular)"/>
    <hyperlink ref="C242" r:id="rId241" location="'CNC%20Parts%20&amp;%20Tools'!B818" display="90° Corner Clamp"/>
    <hyperlink ref="C243" r:id="rId242" location="'CNC%20Parts%20&amp;%20Tools'!B827" display="E3D / MK8 Nozzle L Socket Wrench"/>
    <hyperlink ref="C244" r:id="rId243" location="'CNC%20Parts%20&amp;%20Tools'!B839" display="E3D / MK8 Nozzle Open-End Wrench"/>
    <hyperlink ref="C245" r:id="rId244" location="'CNC%20Parts%20&amp;%20Tools'!B850" display="L-Type Ball-End Hex Key (single)"/>
    <hyperlink ref="C246" r:id="rId245" location="'CNC%20Parts%20&amp;%20Tools'!B860" display="MK8 Nozzle / Heater Block 5-in-1 Wrench"/>
    <hyperlink ref="C247" r:id="rId246" location="'CNC%20Parts%20&amp;%20Tools'!B865" display="PLATO-170 Flush Cutter"/>
    <hyperlink ref="C248" r:id="rId247" location="'CNC%20Parts%20&amp;%20Tools'!B870" display="Cross Slide Vise 4 in"/>
    <hyperlink ref="C249" r:id="rId248" location="'CNC%20Parts%20&amp;%20Tools'!B879" display="Vertical Toggle Clamp (GH-13005 etc.)"/>
    <hyperlink ref="C250" r:id="rId249" location="'CNC%20Parts%20&amp;%20Tools'!B898" display="Nylon A-Type Spring Clamp"/>
    <hyperlink ref="C251" r:id="rId250" location="'CNC%20Parts%20&amp;%20Tools'!B915" display="Nylon Hold-Down Clamp (CNC table)"/>
    <hyperlink ref="C252" r:id="rId251" location="'CNC%20Parts%20&amp;%20Tools'!B928" display="Mechanical Edge Finder VPS-302"/>
    <hyperlink ref="C253" r:id="rId252" location="'CNC%20Parts%20&amp;%20Tools'!B933" display="Ferrule Crimping Tool"/>
    <hyperlink ref="C254" r:id="rId253" location="'CNC%20Parts%20&amp;%20Tools'!B943" display="PTFE Tube Cutter"/>
    <hyperlink ref="C255" r:id="rId254" location="'CNC%20Parts%20&amp;%20Tools'!B948" display="Aluminum Spindle Motor Mount"/>
    <hyperlink ref="C256" r:id="rId255" location="'CNC%20Parts%20&amp;%20Tools'!B1009" display="Aluminum Mini Vise 2.5 in"/>
    <hyperlink ref="C257" r:id="rId256" location="'CNC%20Parts%20&amp;%20Tools'!B1014" display="Cast Aluminum Spindle Mount 62-125"/>
    <hyperlink ref="C258" r:id="rId257" location="'CNC%20Parts%20&amp;%20Tools'!B1036" display="Anti-Static Pointed Tweezers ESD-10"/>
    <hyperlink ref="C259" r:id="rId258" location="'CNC%20Parts%20&amp;%20Tools'!B1052" display="3D Printer Limit Switch (1m cable)"/>
    <hyperlink ref="C260" r:id="rId259" location="'CNC%20Parts%20&amp;%20Tools'!B1062" display="KW12 Micro Limit Switch 5A"/>
    <hyperlink ref="C261" r:id="rId260" location="'CNC%20Parts%20&amp;%20Tools'!B1076" display="Openbuilds Micro Switch Mount Plate"/>
    <hyperlink ref="C262" r:id="rId261" location="'CNC%20Parts%20&amp;%20Tools'!B1085" display="Flexible Coolant Spray Nozzle (with valve)"/>
    <hyperlink ref="C263" r:id="rId262" location="'CNC%20Parts%20&amp;%20Tools'!B1094" display="Optical Endstop (RAMPS 1.4)"/>
    <hyperlink ref="C264" r:id="rId263" location="'CNC%20Parts%20&amp;%20Tools'!B1099" display="Optical Endstop Sensor (1m cable)"/>
    <hyperlink ref="C265" r:id="rId264" location="'CNC%20Parts%20&amp;%20Tools'!B1104" display="Round Rocker Switch KCD1-105"/>
    <hyperlink ref="C266" r:id="rId265" location="'CNC%20Parts%20&amp;%20Tools'!B1109" display="Illuminated Rocker Switch 3-Pin 2-Position"/>
    <hyperlink ref="C267" r:id="rId266" location="'CNC%20Parts%20&amp;%20Tools'!B1118" display="Filament Runout Sensor Module"/>
    <hyperlink ref="C268" r:id="rId267" location="'CNC%20Parts%20&amp;%20Tools'!B1132" display="Mechanical Endstop Module (RAMPS 1.4)"/>
    <hyperlink ref="C269" r:id="rId268" location="'CNC%20Parts%20&amp;%20Tools'!B1141" display="Inductive Proximity Switch"/>
    <hyperlink ref="C270" r:id="rId269" location="'CNC%20Parts%20&amp;%20Tools'!B1157" display="Mushroom Emergency Stop Button LAY37-11ZS"/>
    <hyperlink ref="C271" r:id="rId270" location="'CNC%20Parts%20&amp;%20Tools'!B1162" display="Travel Switch TZ ME-8108"/>
    <hyperlink ref="C272" r:id="rId271" location="'CNC%20Parts%20&amp;%20Tools'!B1197" display="Aluminum Push Button Enclosure"/>
    <hyperlink ref="C273" r:id="rId272" location="'CNC%20Parts%20&amp;%20Tools'!B1206" display="Waterproof Push Button Box, BX Series"/>
    <hyperlink ref="C274" r:id="rId273" location="'CNC%20Parts%20&amp;%20Tools'!B1217" display="Limit Switch (Optical / Mechanical / Inductive SN04-N)"/>
    <hyperlink ref="C275" r:id="rId274" location="'CNC%20Parts%20&amp;%20Tools'!B1233" display="Limit Micro Switch V-156-1C25"/>
    <hyperlink ref="C276" r:id="rId275" location="'CNC%20Parts%20&amp;%20Tools'!B1238" display="Spindle Cooling Submersible Pump"/>
    <hyperlink ref="C277" r:id="rId276" location="'CNC%20Parts%20&amp;%20Tools'!B1247" display="Nylon Cable Drag Chain (all series)"/>
    <hyperlink ref="C278" r:id="rId277" location="'CNC%20Parts%20&amp;%20Tools'!B1457" display="DB15 Cable (2-row 15-pin)"/>
    <hyperlink ref="C279" r:id="rId278" location="'CNC%20Parts%20&amp;%20Tools'!B1470" display="PWM Controller IC TL494CN DIP-16"/>
    <hyperlink ref="C280" r:id="rId279" location="'CNC%20Parts%20&amp;%20Tools'!B1475" display="Red Line Laser Module MXD1230"/>
    <hyperlink ref="C281" r:id="rId280" location="'CNC%20Parts%20&amp;%20Tools'!B1485" display="Single-Phase Solid State Relay SSR-25DA"/>
    <hyperlink ref="C282" r:id="rId281" location="'CNC%20Parts%20&amp;%20Tools'!B1494" display="Red-Black Dupont Ribbon Wire"/>
    <hyperlink ref="C283" r:id="rId282" location="'CNC%20Parts%20&amp;%20Tools'!B1507" display="Aluminum Potentiometer Knob"/>
    <hyperlink ref="C284" r:id="rId283" location="'CNC%20Parts%20&amp;%20Tools'!B1516" display="PE Spiral Wrap Cable Sleeve"/>
    <hyperlink ref="C285" r:id="rId284" location="'CNC%20Parts%20&amp;%20Tools'!B1547" display="PVC Heat Shrink Sleeve (battery packs)"/>
    <hyperlink ref="C286" r:id="rId285" location="'CNC%20Parts%20&amp;%20Tools'!B1571" display="PVC Clear Oil Tube 4x2.5mm"/>
    <hyperlink ref="C287" r:id="rId286" location="'CNC%20Parts%20&amp;%20Tools'!B1584" display="Plastic Cable Protection Tube"/>
    <hyperlink ref="C288" r:id="rId287" location="'CNC%20Parts%20&amp;%20Tools'!B1589" display="Nylon Braided Expandable Sleeving"/>
    <hyperlink ref="C289" r:id="rId288" location="'CNC%20Parts%20&amp;%20Tools'!B1599" display="Adhesive Cable Tie Mount (NC Series)"/>
    <hyperlink ref="C290" r:id="rId289" location="'CNC%20Parts%20&amp;%20Tools'!B1624" display="GX12 / GX16 Aviation Connector"/>
    <hyperlink ref="C291" r:id="rId290" location="'CNC%20Parts%20&amp;%20Tools'!B1670" display="GX16 Aviation Connector Dust Cap"/>
    <hyperlink ref="C292" r:id="rId291" location="'CNC%20Parts%20&amp;%20Tools'!B1680" display="M12 Panel-Mount Aviation Connector 5-Pin"/>
    <hyperlink ref="C293" r:id="rId292" location="'CNC%20Parts%20&amp;%20Tools'!B1685" display="YD20 Waterproof Aviation Connector (spindle motor)"/>
    <hyperlink ref="C294" r:id="rId293" location="'CNC%20Parts%20&amp;%20Tools'!B1722" display="Power Inlet Socket (with switch &amp; fuse)"/>
    <hyperlink ref="C295" r:id="rId294" location="'CNC%20Parts%20&amp;%20Tools'!B1731" display="Flat Bellows Cover"/>
    <hyperlink ref="C296" r:id="rId295" location="'CNC%20Parts%20&amp;%20Tools'!B1743" display="Linear Guide Bellows Dust Cover"/>
    <hyperlink ref="C297" r:id="rId296" location="'CNC%20Parts%20&amp;%20Tools'!B1756" display="U-Type Bellows Cover"/>
    <hyperlink ref="C298" r:id="rId297" location="'CNC%20Parts%20&amp;%20Tools'!B1761" display="CNC Router Dust Shoe"/>
    <hyperlink ref="C299" r:id="rId298" location="'CNC%20Parts%20&amp;%20Tools'!B1773" display="E3D Titan Plastic Extruder Gear M0.5 66T"/>
    <hyperlink ref="C300" r:id="rId299" location="'CNC%20Parts%20&amp;%20Tools'!B1778" display="Z-Axis Tool Setter (MACH3)"/>
    <hyperlink ref="C301" r:id="rId300" location="'CNC%20Parts%20&amp;%20Tools'!B1787" display="Wood Lathe Live Center Tailstock"/>
    <hyperlink ref="C302" r:id="rId301" location="'CNC%20Parts%20&amp;%20Tools'!B1792" display="Stepper Motor Aluminum Handwheel (42 / 57 / 86)"/>
    <hyperlink ref="C303" r:id="rId302" location="'CNC%20Parts%20&amp;%20Tools'!B1811" display="Laser Machine X-Axis Tensioner"/>
    <hyperlink ref="C304" r:id="rId303" location="'CNC%20Parts%20&amp;%20Tools'!B1821" display="Vacuum Pump Filter Assembly F003"/>
    <hyperlink ref="C305" r:id="rId304" location="'CNC%20Parts%20&amp;%20Tools'!B1826" display="Carbon Steel Helical Gear Rack M1.25"/>
    <hyperlink ref="C306" r:id="rId305" location="'CNC%20Parts%20&amp;%20Tools'!B1843" display="Bakelite Alloy Back-Dished Handwheel"/>
    <hyperlink ref="C307" r:id="rId306" location="'CNC%20Parts%20&amp;%20Tools'!B1898" display="Bakelite 3-Spoke Handwheel"/>
    <hyperlink ref="C308" r:id="rId307" location="'CNC%20Parts%20&amp;%20Tools'!B1903" display="Aluminum Profile Seal / Cover Strip"/>
    <hyperlink ref="C309" r:id="rId308" location="'CNC%20Parts%20&amp;%20Tools'!B1989" display="Air-Cooled High-Speed Spindle 400W"/>
    <hyperlink ref="C310" r:id="rId309" location="'Aluminum%20Profile%20Parts'!B1" display="304 Stainless Leveling Foot"/>
    <hyperlink ref="C311" r:id="rId310" location="'Aluminum%20Profile%20Parts'!B6" display="Square Tube End Plug"/>
    <hyperlink ref="C312" r:id="rId311" location="'Aluminum%20Profile%20Parts'!B15" display="Orange PU Cart Caster"/>
    <hyperlink ref="C313" r:id="rId312" location="'Aluminum%20Profile%20Parts'!B20" display="Quiet Rubber Caster with Brake, 2 in M8"/>
    <hyperlink ref="C314" r:id="rId313" location="'Aluminum%20Profile%20Parts'!B25" display="Black Leveling Foot"/>
    <hyperlink ref="C315" r:id="rId314" location="'Aluminum%20Profile%20Parts'!B77" display="Castor with Leveling Foot"/>
    <hyperlink ref="C316" r:id="rId315" location="'Aluminum%20Profile%20Parts'!B106" display="Quiet PU Swivel Caster (Medium / Heavy)"/>
    <hyperlink ref="C317" r:id="rId316" location="'Aluminum%20Profile%20Parts'!B146" display="Mini Swivel Caster (1-2.5 in)"/>
    <hyperlink ref="C318" r:id="rId317" location="'Aluminum%20Profile%20Parts'!B191" display="Profile L-Type Floor Mount"/>
    <hyperlink ref="C319" r:id="rId318" location="'Aluminum%20Profile%20Parts'!B211" display="Aluminum Profile Leveling Foot (all sizes)"/>
    <hyperlink ref="C320" r:id="rId319" location="'Aluminum%20Profile%20Parts'!B451" display="Aluminum Profile Guide Pulley Assembly"/>
    <hyperlink ref="C321" r:id="rId320" location="'Aluminum%20Profile%20Parts'!B464" display="Profile End Plate (for casters / feet)"/>
    <hyperlink ref="C322" r:id="rId321" location="'Aluminum%20Profile%20Parts'!B515" display="Profile Foot Mount (3030 / 4040 / 4545)"/>
    <hyperlink ref="C323" r:id="rId322" location="'Aluminum%20Profile%20Parts'!B533" display="Cast Aluminum Corner Plate (for casters / feet)"/>
    <hyperlink ref="C324" r:id="rId323" location="'Aluminum%20Profile%20Parts'!B543" display="Conical Rubber Foot"/>
    <hyperlink ref="C325" r:id="rId324" location="'Aluminum%20Profile%20Parts'!B600" display="135° Corner Bracket"/>
    <hyperlink ref="C326" r:id="rId325" location="'Aluminum%20Profile%20Parts'!B614" display="1515 / 1525 Corner Bracket"/>
    <hyperlink ref="C327" r:id="rId326" location="'Aluminum%20Profile%20Parts'!B623" display="2040 Corner Bracket (Single / Double Support)"/>
    <hyperlink ref="C328" r:id="rId327" location="'Aluminum%20Profile%20Parts'!B634" display="2430 Corner Bracket"/>
    <hyperlink ref="C329" r:id="rId328" location="'Aluminum%20Profile%20Parts'!B639" display="3030 Flat-Base Corner Bracket"/>
    <hyperlink ref="C330" r:id="rId329" location="'Aluminum%20Profile%20Parts'!B655" display="3030 / 4040 Flat Cross Plate (45° / 90° / 180°)"/>
    <hyperlink ref="C331" r:id="rId330" location="'Aluminum%20Profile%20Parts'!B676" display="304 Stainless Internal L-Connector (20-40)"/>
    <hyperlink ref="C332" r:id="rId331" location="'Aluminum%20Profile%20Parts'!B689" display="3060-4080 Corner Bracket"/>
    <hyperlink ref="C333" r:id="rId332" location="'Aluminum%20Profile%20Parts'!B706" display="4040 End Connection Plate EP8 40x40x90"/>
    <hyperlink ref="C334" r:id="rId333" location="'Aluminum%20Profile%20Parts'!B711" display="4040 Corner Bracket"/>
    <hyperlink ref="C335" r:id="rId334" location="'Aluminum%20Profile%20Parts'!B721" display="45° Angled Corner Bracket"/>
    <hyperlink ref="C336" r:id="rId335" location="'Aluminum%20Profile%20Parts'!B731" display="C-Channel Rail Lock Nut"/>
    <hyperlink ref="C337" r:id="rId336" location="'Aluminum%20Profile%20Parts'!B736" display="Straight Flat Joining Plate"/>
    <hyperlink ref="C338" r:id="rId337" location="'Aluminum%20Profile%20Parts'!B809" display="Stainless Straight Slot Joiner"/>
    <hyperlink ref="C339" r:id="rId338" location="'Aluminum%20Profile%20Parts'!B838" display="Stainless Straight Connector Plate / Bed Support"/>
    <hyperlink ref="C340" r:id="rId339" location="'Aluminum%20Profile%20Parts'!B843" display="Heavy Adjustable 90° Bracket / Shelf Support"/>
    <hyperlink ref="C341" r:id="rId340" location="'Aluminum%20Profile%20Parts'!B854" display="Die-Cast Aluminum End Cap"/>
    <hyperlink ref="C342" r:id="rId341" location="'Aluminum%20Profile%20Parts'!B887" display="Whistle Type Internal Connector"/>
    <hyperlink ref="C343" r:id="rId342" location="'Aluminum%20Profile%20Parts'!B896" display="GB 1530 / 2040 2-Way Corner Block"/>
    <hyperlink ref="C344" r:id="rId343" location="'Aluminum%20Profile%20Parts'!B901" display="GB 2020 Corner Bracket"/>
    <hyperlink ref="C345" r:id="rId344" location="'Aluminum%20Profile%20Parts'!B914" display="Outside Corner Plate Set (Cross / Straight / T / L)"/>
    <hyperlink ref="C346" r:id="rId345" location="'Aluminum%20Profile%20Parts'!B939" display="Fence Floor Mount Base"/>
    <hyperlink ref="C347" r:id="rId346" location="'Aluminum%20Profile%20Parts'!B944" display="Fence Connector Clip / Clamp Ring"/>
    <hyperlink ref="C348" r:id="rId347" location="'Aluminum%20Profile%20Parts'!B976" display="Lift-off Detachable Hinge"/>
    <hyperlink ref="C349" r:id="rId348" location="'Aluminum%20Profile%20Parts'!B988" display="Robot Fixture Profile Cross Clamp"/>
    <hyperlink ref="C350" r:id="rId349" location="'Aluminum%20Profile%20Parts'!B999" display="EU 2028 Corner Bracket"/>
    <hyperlink ref="C351" r:id="rId350" location="'Aluminum%20Profile%20Parts'!B1013" display="EU 4545 L Corner Bracket"/>
    <hyperlink ref="C352" r:id="rId351" location="'Aluminum%20Profile%20Parts'!B1024" display="EU 6060 / 8080 Corner Bracket"/>
    <hyperlink ref="C353" r:id="rId352" location="'Aluminum%20Profile%20Parts'!B1034" display="EU 2-Way / 3-Way Corner Cube"/>
    <hyperlink ref="C354" r:id="rId353" location="'Aluminum%20Profile%20Parts'!B1077" display="EU 2020 T-Slot Boat Nut Set"/>
    <hyperlink ref="C355" r:id="rId354" location="'Aluminum%20Profile%20Parts'!B1093" display="EU 4040 Quick-Assembly Block (fence mesh)"/>
    <hyperlink ref="C356" r:id="rId355" location="'Aluminum%20Profile%20Parts'!B1098" display="EU Standard T-Bolt (all sizes)"/>
    <hyperlink ref="C357" r:id="rId356" location="'Aluminum%20Profile%20Parts'!B1201" display="EU Parallel Clamp Connector"/>
    <hyperlink ref="C358" r:id="rId357" location="'Aluminum%20Profile%20Parts'!B1214" display="EU Aluminum Decorative End Cap"/>
    <hyperlink ref="C359" r:id="rId358" location="'Aluminum%20Profile%20Parts'!B1267" display="EU Profile End Cap (2020-4080)"/>
    <hyperlink ref="C360" r:id="rId359" location="'Aluminum%20Profile%20Parts'!B1296" display="Carbon Steel Internal L-Connector (15-40)"/>
    <hyperlink ref="C361" r:id="rId360" location="'Aluminum%20Profile%20Parts'!B1309" display="Carbon Steel Outside Corner Plate (Cross / Straight / T / L)"/>
    <hyperlink ref="C362" r:id="rId361" location="'Aluminum%20Profile%20Parts'!B1372" display="Lean Pipe Straight Outer Connector"/>
    <hyperlink ref="C363" r:id="rId362" location="'Aluminum%20Profile%20Parts'!B1387" display="Ultra-thin Hidden Magnetic Door Catch"/>
    <hyperlink ref="C364" r:id="rId363" location="'Aluminum%20Profile%20Parts'!B1392" display="Aluminum Internal L-Connector (15-40)"/>
    <hyperlink ref="C365" r:id="rId364" location="'Aluminum%20Profile%20Parts'!B1397" display="Aluminum Right-Angle Bracket"/>
    <hyperlink ref="C366" r:id="rId365" location="'Aluminum%20Profile%20Parts'!B1416" display="Small Aluminum Handle (sliding / cabinet door)"/>
    <hyperlink ref="C367" r:id="rId366" location="'Aluminum%20Profile%20Parts'!B1437" display="Aluminum / Nylon Square Handle (pitch 90-180)"/>
    <hyperlink ref="C368" r:id="rId367" location="'Aluminum%20Profile%20Parts'!B1468" display="Aluminum Tube Handle"/>
    <hyperlink ref="C369" r:id="rId368" location="'Aluminum%20Profile%20Parts'!B1474" display="Aluminum Window Handle"/>
    <hyperlink ref="C370" r:id="rId369" location="'Aluminum%20Profile%20Parts'!B1485" display="Aluminum Quiet Butterfly Hinge"/>
    <hyperlink ref="C371" r:id="rId370" location="'Aluminum%20Profile%20Parts'!B1503" display="Aluminum Profile Side Panel Fixing Clip (EU / GB 20-40)"/>
    <hyperlink ref="C372" r:id="rId371" location="'Aluminum%20Profile%20Parts'!B1520" display="Profile Mesh Panel Clamp Nut"/>
    <hyperlink ref="C373" r:id="rId372" location="'Aluminum%20Profile%20Parts'!B1530" display="Aluminum Profile Snap-in Internal Connector (20-45)"/>
    <hyperlink ref="C374" r:id="rId373" location="'Aluminum%20Profile%20Parts'!B1546" display="Aluminum Profile Slot Strip"/>
    <hyperlink ref="C375" r:id="rId374" location="'Aluminum%20Profile%20Parts'!B1556" display="Aluminum Profile Sliding Hook"/>
    <hyperlink ref="C376" r:id="rId375" location="'Aluminum%20Profile%20Parts'!B1569" display="Aluminum Profile Nuts (all types)"/>
    <hyperlink ref="C377" r:id="rId376" location="'Aluminum%20Profile%20Parts'!B1766" display="Aluminum Profile Threaded Sleeve / Nut Set (EU 20-45)"/>
    <hyperlink ref="C378" r:id="rId377" location="'Aluminum%20Profile%20Parts'!B1781" display="Profile Swivel Corner"/>
    <hyperlink ref="C379" r:id="rId378" location="'Aluminum%20Profile%20Parts'!B1815" display="Zinc Alloy Profile Hinge (2020-4040)"/>
    <hyperlink ref="C380" r:id="rId379" location="'Aluminum%20Profile%20Parts'!B1854" display="Profile Panel L-Connector"/>
    <hyperlink ref="C381" r:id="rId380" location="'Aluminum%20Profile%20Parts'!B1859" display="Aluminum Door Bolt (3030 / 4040)"/>
    <hyperlink ref="C382" r:id="rId381" location="'Aluminum%20Profile%20Parts'!B1868" display="Zinc Alloy Internal L-Connector (15-40)"/>
    <hyperlink ref="C383" r:id="rId382" location="'Aluminum%20Profile%20Parts'!B1918" display="Zinc Die-Cast Corner Bracket (with cover)"/>
    <hyperlink ref="C384" r:id="rId383" location="'Aluminum%20Profile%20Parts'!B1989" display="Zinc Alloy Hinge"/>
    <hyperlink ref="C385" r:id="rId384" location="'Aluminum%20Profile%20Parts'!B2004" display="Frame Triangle Corner Block (25 / 30 / 40 / 45)"/>
    <hyperlink ref="C386" r:id="rId385" location="'Aluminum%20Profile%20Parts'!B2067" display="Hidden 3D Corner Connector (2020-4040)"/>
    <hyperlink ref="C387" r:id="rId386" location="'Aluminum%20Profile%20Parts'!B2099" display="Black Bakelite U-Handle"/>
    <hyperlink ref="C388" r:id="rId387" location="'Aluminum%20Profile%20Parts'!B2125" display="6061 Aluminum Plate"/>
    <hyperlink ref="C389" r:id="rId388" location="'Aluminum%20Profile%20Parts'!B2139" display="GB Standard Aluminum Profile (cut to length)"/>
    <hyperlink ref="C390" r:id="rId389" location="'Aluminum%20Profile%20Parts'!B2215" display="EU Standard Aluminum Profile (cut to length)"/>
    <hyperlink ref="C391" r:id="rId390" location="'Aluminum%20Profile%20Parts'!B2672" display="Aluminum Square Tube 25x25x3"/>
    <hyperlink ref="C392" r:id="rId391" location="'Screws%20&amp;%20Nuts'!B1" display="ISO7380 Button Head Socket Screw, 10.9 Black Carbon Steel (M1.6-M20)"/>
    <hyperlink ref="C393" r:id="rId392" location="'Screws%20&amp;%20Nuts'!B230" display="DIN912 Socket Head Cap Screw, 12.9 Black Carbon Steel (M2-M16)"/>
    <hyperlink ref="C394" r:id="rId393" location="'Screws%20&amp;%20Nuts'!B502" display="DIN7984 Low Head Socket Screw, 304 Stainless (M3-M12)"/>
    <hyperlink ref="C395" r:id="rId394" location="'Screws%20&amp;%20Nuts'!B583" display="DIN912 Socket Head Cap Screw, 304 Stainless (M1.6-M16)"/>
    <hyperlink ref="C396" r:id="rId395" location="'Screws%20&amp;%20Nuts'!B828" display="ISO7380 Button Head Socket Screw, 304 Stainless (M2-M12)"/>
    <hyperlink ref="C397" r:id="rId396" location="'Screws%20&amp;%20Nuts'!B992" display="304 Stainless Solid Adjustable L-Handle"/>
    <hyperlink ref="C398" r:id="rId397" location="'Screws%20&amp;%20Nuts'!B1063" display="304 Stainless SEMS Screw (DIN912 + Flat &amp; Spring Washer)"/>
    <hyperlink ref="C399" r:id="rId398" location="'Screws%20&amp;%20Nuts'!B1103" display="304 Stainless Flanged Socket Screw (Button Flange / DIN251)"/>
    <hyperlink ref="C400" r:id="rId399" location="'Screws%20&amp;%20Nuts'!B1163" display="304 Stainless Wafer Head Socket Screw (Ultra-thin / Chamfered)"/>
    <hyperlink ref="C401" r:id="rId400" location="'Screws%20&amp;%20Nuts'!B1188" display="Adjustable Clamping Lever, L-Handle (Aluminum / Zinc Alloy)"/>
    <hyperlink ref="C402" r:id="rId401" location="'Screws%20&amp;%20Nuts'!B1250" display="DIN7984 Low Head Socket Screw, 8.8 Black Carbon Steel (M3-M30)"/>
    <hyperlink ref="C403" r:id="rId402" location="'Screws%20&amp;%20Nuts'!B1465" display="8.8 Grade Flanged Socket Screw M10"/>
    <hyperlink ref="C404" r:id="rId403" location="'Screws%20&amp;%20Nuts'!B1470" display="DIN7991 Countersunk Socket Screw (10.9 Black / 304 Stainless)"/>
    <hyperlink ref="C405" r:id="rId404" location="'Screws%20&amp;%20Nuts'!B1503" display="T / L Handle Thumb Screw (M3-M8, 1/4 in)"/>
    <hyperlink ref="C406" r:id="rId405" location="'Screws%20&amp;%20Nuts'!B1991" display="Socket Set Screw (DIN916 / DIN913 / DIN914; Steel / 304 / Nylon)"/>
    <hyperlink ref="C407" r:id="rId406" location="'Screws%20&amp;%20Nuts'!B2059" display="Aluminum Thumb Screw Knob (M5-M10, 1/4 in)"/>
    <hyperlink ref="C408" r:id="rId407" location="'Screws%20&amp;%20Nuts'!B2302" display="304 Stainless Phillips Pan Head Machine Screw (GB818 / DIN967)"/>
    <hyperlink ref="C409" r:id="rId408" location="'Screws%20&amp;%20Nuts'!B2437" display="304 Stainless Phillips Countersunk Screw GB819"/>
    <hyperlink ref="C410" r:id="rId409" location="'Screws%20&amp;%20Nuts'!B2450" display="304 Stainless Truss Head Self-Tapping Screw M5"/>
    <hyperlink ref="C411" r:id="rId410" location="'Screws%20&amp;%20Nuts'!B2455" display="Nylon Phillips Countersunk Screw"/>
    <hyperlink ref="C412" r:id="rId411" location="'Screws%20&amp;%20Nuts'!B2469" display="304 Stainless Flat Washer"/>
    <hyperlink ref="C413" r:id="rId412" location="'Screws%20&amp;%20Nuts'!B2501" display="304 Stainless Spring Lock Washer GB93"/>
    <hyperlink ref="C414" r:id="rId413" location="'Screws%20&amp;%20Nuts'!B2514" display="Hex Key (Nickel / Black)"/>
    <hyperlink ref="C415" r:id="rId414" location="'Screws%20&amp;%20Nuts'!B2547" display="Star Knob Thumb Screw (304 Stainless / Zinc Steel)"/>
    <hyperlink ref="C416" r:id="rId415" location="'Screws%20&amp;%20Nuts'!B2747" display="304 Stainless Knob Handle Screw"/>
    <hyperlink ref="C417" r:id="rId416" location="'Screws%20&amp;%20Nuts'!B2752" display="304 Stainless Threaded Rod DIN976"/>
    <hyperlink ref="C418" r:id="rId417" location="'Screws%20&amp;%20Nuts'!B2763" display="Stainless Wing Screw DIN316 M3"/>
    <hyperlink ref="C419" r:id="rId418" location="'Screws%20&amp;%20Nuts'!B2768" display="Zinc Carbon Steel Hex Bolt M6"/>
    <hyperlink ref="C420" r:id="rId419" location="'Screws%20&amp;%20Nuts'!B2773" display="304 Stainless Hex Nut DIN934"/>
    <hyperlink ref="C421" r:id="rId420" location="'Screws%20&amp;%20Nuts'!B2789" display="304 Stainless Heavy Hex Nut GB6175"/>
    <hyperlink ref="C422" r:id="rId421" location="'Screws%20&amp;%20Nuts'!B2794" display="304 Stainless Nylon Lock Nut DIN985"/>
    <hyperlink ref="C423" r:id="rId422" location="'Screws%20&amp;%20Nuts'!B2818" display="304 Stainless Thin Nut DIN439"/>
    <hyperlink ref="C424" r:id="rId423" location="'Screws%20&amp;%20Nuts'!B2852" display="304 Stainless Wing Nut DIN315"/>
    <hyperlink ref="C425" r:id="rId424" location="'Screws%20&amp;%20Nuts'!B2866" display="GB806 Knurled Step Thumb Nut"/>
    <hyperlink ref="C426" r:id="rId425" location="'Screws%20&amp;%20Nuts'!B2920" display="GB807 Flat Knurled Thumb Nut"/>
    <hyperlink ref="C427" r:id="rId426" location="'Screws%20&amp;%20Nuts'!B2934" display="MakerBeam XL Rectangular Nut M3"/>
    <hyperlink ref="C428" r:id="rId427" location="'Screws%20&amp;%20Nuts'!B2939" display="Square Nut GB39 / DIN557"/>
    <hyperlink ref="C429" r:id="rId428" location="'Screws%20&amp;%20Nuts'!B2955" display="Flange Nut DIN6923"/>
    <hyperlink ref="C430" r:id="rId429" location="'Screws%20&amp;%20Nuts'!B2974" display="Brass Heat-Set Insert, Knurled"/>
    <hyperlink ref="C431" r:id="rId430" location="'Screws%20&amp;%20Nuts'!B3002" display="Carbon Steel Hex Nut (4.8 / 8.8 / 12.9)"/>
    <hyperlink ref="C432" r:id="rId431" location="'Screws%20&amp;%20Nuts'!B3012" display="Carbon Steel Clinch Nut"/>
    <hyperlink ref="C433" r:id="rId432" location="'Screws%20&amp;%20Nuts'!B3025" display="M2 Round Brass Standoff Assortment, 270 pcs"/>
    <hyperlink ref="C434" r:id="rId433" location="'Screws%20&amp;%20Nuts'!B3030" display="Brass Standoff (Hex Male-Female / Round Knurled)"/>
    <hyperlink ref="C435" r:id="rId434" location="'3D%20Printer%20Parts'!B1" display="4080U Profile End Mounting Plate"/>
    <hyperlink ref="C436" r:id="rId435" location="'3D%20Printer%20Parts'!B11" display="CNC Build Plate"/>
    <hyperlink ref="C437" r:id="rId436" location="'3D%20Printer%20Parts'!B16" display="CR-10S / Ender-3 Dual-Pulley Extruder Bracket"/>
    <hyperlink ref="C438" r:id="rId437" location="'3D%20Printer%20Parts'!B25" display="Openbuilds NEMA23 Motor Mount Plate V-Slot 96.5x60x3"/>
    <hyperlink ref="C439" r:id="rId438" location="'3D%20Printer%20Parts'!B30" display="Openbuilds C-Beam XLarge Gantry Plate"/>
    <hyperlink ref="C440" r:id="rId439" location="'3D%20Printer%20Parts'!B40" display="Openbuilds C-Beam Double-Width Plate 6x77.15x155"/>
    <hyperlink ref="C441" r:id="rId440" location="'3D%20Printer%20Parts'!B64" display="Openbuilds C-Beam End Mount Plate"/>
    <hyperlink ref="C442" r:id="rId441" location="'3D%20Printer%20Parts'!B78" display="Openbuilds L-Bracket (1 / 2 / 3 holes)"/>
    <hyperlink ref="C443" r:id="rId442" location="'3D%20Printer%20Parts'!B91" display="Openbuilds NEMA17 Motor Mount Plate"/>
    <hyperlink ref="C444" r:id="rId443" location="'3D%20Printer%20Parts'!B96" display="Openbuilds NEMA17 Motor Bracket for 2040 V-Slot"/>
    <hyperlink ref="C445" r:id="rId444" location="'3D%20Printer%20Parts'!B108" display="Openbuilds NEMA17 Threaded Rod Plate 3mm"/>
    <hyperlink ref="C446" r:id="rId445" location="'3D%20Printer%20Parts'!B113" display="Openbuilds NEMA23 Threaded Rod Plate 3mm"/>
    <hyperlink ref="C447" r:id="rId446" location="'3D%20Printer%20Parts'!B118" display="Openbuilds POM Coated Mini Wheel"/>
    <hyperlink ref="C448" r:id="rId447" location="'3D%20Printer%20Parts'!B197" display="Openbuilds T8 Lead Screw Nut Block"/>
    <hyperlink ref="C449" r:id="rId448" location="'3D%20Printer%20Parts'!B217" display="Openbuilds V-Slot Gantry Plate (2020 / 2040 / 3030 / 2060)"/>
    <hyperlink ref="C450" r:id="rId449" location="'3D%20Printer%20Parts'!B277" display="Openbuilds Spindle Mount 52/65/71/80mm"/>
    <hyperlink ref="C451" r:id="rId450" location="'3D%20Printer%20Parts'!B297" display="Openbuilds Low-Profile M5 Screw Set (with lock nuts)"/>
    <hyperlink ref="C452" r:id="rId451" location="'3D%20Printer%20Parts'!B306" display="Openbuilds Plastic Idler Pulley"/>
    <hyperlink ref="C453" r:id="rId452" location="'3D%20Printer%20Parts'!B319" display="Openbuilds Large Wheel Kit (Black / White)"/>
    <hyperlink ref="C454" r:id="rId453" location="'3D%20Printer%20Parts'!B347" display="Openbuilds Idler Pulley Plate"/>
    <hyperlink ref="C455" r:id="rId454" location="'3D%20Printer%20Parts'!B352" display="Openbuilds Zinc Steel T-Nut"/>
    <hyperlink ref="C456" r:id="rId455" location="'3D%20Printer%20Parts'!B363" display="Openbuilds Aluminum Fixing Plate 5mm"/>
    <hyperlink ref="C457" r:id="rId456" location="'3D%20Printer%20Parts'!B368" display="Openbuilds Profile End Cap Plate 20x20x3mm"/>
    <hyperlink ref="C458" r:id="rId457" location="'3D%20Printer%20Parts'!B377" display="Openbuilds Profile Connector (2-way / 3-way / Triangle / Square)"/>
    <hyperlink ref="C459" r:id="rId458" location="'3D%20Printer%20Parts'!B451" display="Openbuilds Aluminum Spacer Block / Mounting Plate"/>
    <hyperlink ref="C460" r:id="rId459" location="'3D%20Printer%20Parts'!B460" display="Openbuilds CNC Fixed Plate"/>
    <hyperlink ref="C461" r:id="rId460" location="'3D%20Printer%20Parts'!B465" display="T8 Lead Screw Z-Axis Holder (2020 V-Slot)"/>
    <hyperlink ref="C462" r:id="rId461" location="'3D%20Printer%20Parts'!B475" display="V-Slot Eccentric Spacer, Hex, 5mm Bore"/>
    <hyperlink ref="C463" r:id="rId462" location="'3D%20Printer%20Parts'!B498" display="Delta Carriage Arc Pulley"/>
    <hyperlink ref="C464" r:id="rId463" location="'3D%20Printer%20Parts'!B509" display="Titan Aero Direct Extruder V-Slot Carriage Motor Bracket"/>
    <hyperlink ref="C465" r:id="rId464" location="'3D%20Printer%20Parts'!B520" display="3DTouch Auto Bed Leveling Sensor Kit"/>
    <hyperlink ref="C466" r:id="rId465" location="'3D%20Printer%20Parts'!B525" display="NEMA23 Stepper Extension Cable (23HD56001Y-21B)"/>
    <hyperlink ref="C467" r:id="rId466" location="'3D%20Printer%20Parts'!B534" display="K-Type Thermocouple Sensor"/>
    <hyperlink ref="C468" r:id="rId467" location="'3D%20Printer%20Parts'!B550" display="VORON 2.4 Stealthburner Quick-Release Adapter Board"/>
    <hyperlink ref="C469" r:id="rId468" location="'3D%20Printer%20Parts'!B555" display="3-Pin Power Cord (C13) 220V"/>
    <hyperlink ref="C470" r:id="rId469" location="'3D%20Printer%20Parts'!B560" display="410 Stainless Pan Flange Self-Drilling Screw M4.2 / M4.8"/>
    <hyperlink ref="C471" r:id="rId470" location="'3D%20Printer%20Parts'!B570" display="K800 Round Magnet"/>
    <hyperlink ref="C472" r:id="rId471" location="'3D%20Printer%20Parts'!B579" display="VORON 2.4 Enclosure Round Magnet"/>
    <hyperlink ref="C473" r:id="rId472" location="'3D%20Printer%20Parts'!B584" display="Double Open-End Wrench, Hex 8mm"/>
    <hyperlink ref="C474" r:id="rId473" location="'3D%20Printer%20Parts'!B589" display="Carbon Steel Low-Head Flat Socket Screw M5"/>
    <hyperlink ref="C475" r:id="rId474" location="'3D%20Printer%20Parts'!B614" display="Brass / 304 Stainless Precision Flat Shim"/>
    <hyperlink ref="C476" r:id="rId475" location="'3D%20Printer%20Parts'!B629" display="3D Printer Nozzle (V6 / Volcano / MK8 / MK10 / CHT; Brass / Stainless / Hardened)"/>
    <hyperlink ref="C477" r:id="rId476" location="'3D%20Printer%20Parts'!B769" display="Ender-3 Sprite Hotend Parts (Ti Heat Break / Block / Thermistor / Heater)"/>
    <hyperlink ref="C478" r:id="rId477" location="'3D%20Printer%20Parts'!B782" display="Ender-3 V3 Integrated Ceramic Hotend Kit"/>
    <hyperlink ref="C479" r:id="rId478" location="'3D%20Printer%20Parts'!B791" display="MK10 All-Metal Hotend Conversion Kit (Micro Swiss style)"/>
    <hyperlink ref="C480" r:id="rId479" location="'3D%20Printer%20Parts'!B796" display="Makerbot MK8 Throat Mounting Block (Single / Dual)"/>
    <hyperlink ref="C481" r:id="rId480" location="'3D%20Printer%20Parts'!B805" display="NTC 100K 3950 Thermistor Sensor"/>
    <hyperlink ref="C482" r:id="rId481" location="'3D%20Printer%20Parts'!B829" display="Ultimaker 2 Hotend Stainless Holder"/>
    <hyperlink ref="C483" r:id="rId482" location="'3D%20Printer%20Parts'!B839" display="V5/V6 Hotend Groove Mount Plate"/>
    <hyperlink ref="C484" r:id="rId483" location="'3D%20Printer%20Parts'!B850" display="V6 Volcano Hotend Mounting Bracket"/>
    <hyperlink ref="C485" r:id="rId484" location="'3D%20Printer%20Parts'!B855" display="VORON High-Flow Ceramic Hotend Kit E3D V6 24V"/>
    <hyperlink ref="C486" r:id="rId485" location="'3D%20Printer%20Parts'!B866" display="i3 U-Shaped Aluminum Bracket"/>
    <hyperlink ref="C487" r:id="rId486" location="'3D%20Printer%20Parts'!B875" display="Heater Block Silicone Sock (MK8 / MK9 / MK10 / V6)"/>
    <hyperlink ref="C488" r:id="rId487" location="'3D%20Printer%20Parts'!B909" display="Heater Block Insulation Cotton 3mm"/>
    <hyperlink ref="C489" r:id="rId488" location="'3D%20Printer%20Parts'!B914" display="Cartridge Heater (6x15 / 6x20, 12V / 24V)"/>
    <hyperlink ref="C490" r:id="rId489" location="'3D%20Printer%20Parts'!B956" display="Rattlesnake X1 / Genius Hotend Kit"/>
    <hyperlink ref="C491" r:id="rId490" location="'3D%20Printer%20Parts'!B961" display="Heat Break Throat (MK8 / V6 Direct &amp; Bowden / Mixing / MK10)"/>
    <hyperlink ref="C492" r:id="rId491" location="'3D%20Printer%20Parts'!B997" display="Nozzle &amp; Filament Cleaning Tool Kit"/>
    <hyperlink ref="C493" r:id="rId492" location="'3D%20Printer%20Parts'!B1002" display="Nozzle Cleaning Needles, Stainless"/>
    <hyperlink ref="C494" r:id="rId493" location="'3D%20Printer%20Parts'!B1012" display="Nozzle Cleaning Needle Kit"/>
    <hyperlink ref="C495" r:id="rId494" location="'3D%20Printer%20Parts'!B1017" display="Bambu P1P / X1 Ceramic Heater &amp; Thermistor Cable"/>
    <hyperlink ref="C496" r:id="rId495" location="'3D%20Printer%20Parts'!B1029" display="CR-10 Bed Leveling Kit M4 (nut / screw / spring)"/>
    <hyperlink ref="C497" r:id="rId496" location="'3D%20Printer%20Parts'!B1048" display="Ultimaker 2 Belt Slider Torsion Spring"/>
    <hyperlink ref="C498" r:id="rId497" location="'3D%20Printer%20Parts'!B1053" display="VORON PEI Double-Sided Spring Steel Sheet (with magnetic base)"/>
    <hyperlink ref="C499" r:id="rId498" location="'3D%20Printer%20Parts'!B1062" display="Stainless Conical Bed Leveling Spring 6x7x12"/>
    <hyperlink ref="C500" r:id="rId499" location="'3D%20Printer%20Parts'!B1067" display="Smooth PEI Spring Steel Sheet 257x257mm"/>
    <hyperlink ref="C501" r:id="rId500" location="'3D%20Printer%20Parts'!B1072" display="Timing Belt Tensioner Torsion Spring"/>
    <hyperlink ref="C502" r:id="rId501" location="'3D%20Printer%20Parts'!B1081" display="Bed Leveling Thumb Nut Knob M4"/>
    <hyperlink ref="C503" r:id="rId502" location="'3D%20Printer%20Parts'!B1091" display="Die Spring, Brown (OD 6-70mm)"/>
    <hyperlink ref="C504" r:id="rId503" location="'3D%20Printer%20Parts'!B1440" display="Die Spring, Light Green (OD 6-70mm)"/>
    <hyperlink ref="C505" r:id="rId504" location="'3D%20Printer%20Parts'!B1593" display="Die Spring, Red (OD 6-70mm)"/>
    <hyperlink ref="C506" r:id="rId505" location="'3D%20Printer%20Parts'!B1943" display="Die Spring, Green (OD 6-70mm)"/>
    <hyperlink ref="C507" r:id="rId506" location="'3D%20Printer%20Parts'!B2292" display="Die Spring, Blue (OD 6-70mm)"/>
    <hyperlink ref="C508" r:id="rId507" location="'3D%20Printer%20Parts'!B2640" display="Die Spring, Yellow (OD 6-70mm)"/>
    <hyperlink ref="C509" r:id="rId508" location="'3D%20Printer%20Parts'!B2990" display="Die Spring Assortment, Yellow"/>
    <hyperlink ref="C510" r:id="rId509" location="'3D%20Printer%20Parts'!B2995" display="Heated Bed Leveling Compression Spring (MK2A / MK2B / MK3)"/>
    <hyperlink ref="C511" r:id="rId510" location="'3D%20Printer%20Parts'!B3011" display="Bed Leveling Kit M3 (screw + spring + knob)"/>
    <hyperlink ref="C512" r:id="rId511" location="'3D%20Printer%20Parts'!B3016" display="2-in-1 Dual-Color Hotend, 2-in 1-out 1.75mm"/>
    <hyperlink ref="C513" r:id="rId512" location="'3D%20Printer%20Parts'!B3027" display="NEMA14 36mm Pancake Stepper, High-Temp (Voron extruder)"/>
    <hyperlink ref="C514" r:id="rId513" location="'3D%20Printer%20Parts'!B3036" display="NEMA17 All-Metal Bowden Extruder"/>
    <hyperlink ref="C515" r:id="rId514" location="'3D%20Printer%20Parts'!B3045" display="BMG Extruder Aluminum Bracket"/>
    <hyperlink ref="C516" r:id="rId515" location="'3D%20Printer%20Parts'!B3054" display="CR-10 Hotend"/>
    <hyperlink ref="C517" r:id="rId516" location="'3D%20Printer%20Parts'!B3064" display="CR-10S Pro Round Bowden Hotend Kit 24V"/>
    <hyperlink ref="C518" r:id="rId517" location="'3D%20Printer%20Parts'!B3074" display="CR-10S 2-in-1-out Hotend 1.75mm"/>
    <hyperlink ref="C519" r:id="rId518" location="'3D%20Printer%20Parts'!B3083" display="CR-6 SE Hotend Assembly 1.75mm"/>
    <hyperlink ref="C520" r:id="rId519" location="'3D%20Printer%20Parts'!B3092" display="CR8 Bowden Extruder Hotend E3D (12V / 24V)"/>
    <hyperlink ref="C521" r:id="rId520" location="'3D%20Printer%20Parts'!B3111" display="HGT Dual-Gear Reduction Extruder"/>
    <hyperlink ref="C522" r:id="rId521" location="'3D%20Printer%20Parts'!B3116" display="J-head E3D-V5 Metal Hotend (Direct / Bowden)"/>
    <hyperlink ref="C523" r:id="rId522" location="'3D%20Printer%20Parts'!B3139" display="MK10 Bowden / Direct Extruder Kit, Molded"/>
    <hyperlink ref="C524" r:id="rId523" location="'3D%20Printer%20Parts'!B3150" display="MK7 / MK8 Extruder Drive Gear"/>
    <hyperlink ref="C525" r:id="rId524" location="'3D%20Printer%20Parts'!B3167" display="MK8 All-Metal Extruder Hotend Kit (Prusa i3)"/>
    <hyperlink ref="C526" r:id="rId525" location="'3D%20Printer%20Parts'!B3206" display="MK8 All-Metal Bowden Extruder (Left / Right)"/>
    <hyperlink ref="C527" r:id="rId526" location="'3D%20Printer%20Parts'!B3219" display="MK8 Extruder Single-Nozzle Mount Block"/>
    <hyperlink ref="C528" r:id="rId527" location="'3D%20Printer%20Parts'!B3229" display="MK8 Bowden Extruder CR8 / CR10 1.75mm"/>
    <hyperlink ref="C529" r:id="rId528" location="'3D%20Printer%20Parts'!B3244" display="Makerbot MK8 Dual-Nozzle Throat Block"/>
    <hyperlink ref="C530" r:id="rId529" location="'3D%20Printer%20Parts'!B3253" display="Ultimaker 2 Stainless Knurled Drive Wheel"/>
    <hyperlink ref="C531" r:id="rId530" location="'3D%20Printer%20Parts'!B3258" display="V5/V6 Heater Block (CR-10 Hotend)"/>
    <hyperlink ref="C532" r:id="rId531" location="'3D%20Printer%20Parts'!B3284" display="V5 / V6 / CR8 Hotend Heatsink"/>
    <hyperlink ref="C533" r:id="rId532" location="'3D%20Printer%20Parts'!B3305" display="V6 Bowden Hotend Kit"/>
    <hyperlink ref="C534" r:id="rId533" location="'3D%20Printer%20Parts'!B3364" display="Wade Extruder Hobbed Bolt"/>
    <hyperlink ref="C535" r:id="rId534" location="'3D%20Printer%20Parts'!B3377" display="Bambu A1 / A1 mini Hardened Steel DLC Extruder Gear Kit"/>
    <hyperlink ref="C536" r:id="rId535" location="'3D%20Printer%20Parts'!B3387" display="Bambu X1 / P1P Hardened Steel Hotend V2.0"/>
    <hyperlink ref="C537" r:id="rId536" location="'3D%20Printer%20Parts'!B3396" display="Titan Aero Extruder Aluminum Idler Arm"/>
    <hyperlink ref="C538" r:id="rId537" location="'3D%20Printer%20Parts'!B3407" display="Dual-Gear Reduction Extruder for Flexible Filament"/>
    <hyperlink ref="C539" r:id="rId538" location="'3D%20Printer%20Parts'!B3412" display="Filament Drive Gear (Brass / Stainless)"/>
    <hyperlink ref="C540" r:id="rId539" location="'3D%20Printer%20Parts'!B3423" display="E3D V5/V6 Molded Fan Duct (3010)"/>
    <hyperlink ref="C541" r:id="rId540" location="'3D%20Printer%20Parts'!B3438" display="KB Countersunk Self-Tapping Screw M4 / M5"/>
    <hyperlink ref="C542" r:id="rId541" location="'3D%20Printer%20Parts'!B3451" display="MK7/MK8 Heatsink 40x40x11"/>
    <hyperlink ref="C543" r:id="rId542" location="'3D%20Printer%20Parts'!B3469" display="V5/V6 All-Metal Hotend Fan Bracket"/>
    <hyperlink ref="C544" r:id="rId543" location="'3D%20Printer%20Parts'!B3478" display="DC Cooling Fan 5V/12V/24V (2510-12038, Blower 4020/5015)"/>
    <hyperlink ref="C545" r:id="rId544" location="'3D%20Printer%20Parts'!B3600" display="Stepper Driver Heatsink (TMC2100 / LV8729)"/>
    <hyperlink ref="C546" r:id="rId545" location="'3D%20Printer%20Parts'!B3616" display="Fan Guard / Dust Filter (3-12cm)"/>
    <hyperlink ref="C547" r:id="rId546" location="'3D%20Printer%20Parts'!B3639" display="KJH Male Thread Straight Push-in Fitting"/>
    <hyperlink ref="C548" r:id="rId547" location="'3D%20Printer%20Parts'!B3644" display="PC4 Pneumatic Push-in Fitting, Straight"/>
    <hyperlink ref="C549" r:id="rId548" location="'3D%20Printer%20Parts'!B3673" display="PTFE Tube F46, 1m"/>
    <hyperlink ref="C550" r:id="rId549" location="'3D%20Printer%20Parts'!B3696" display="UV Flatbed Printer 8-Line Ink Tube 3x2mm"/>
    <hyperlink ref="C551" r:id="rId550" location="'3D%20Printer%20Parts'!B3701" display="Push-in Fitting Collet Clip"/>
    <hyperlink ref="C552" r:id="rId551" location="'3D%20Printer%20Parts'!B3739" display="Low-Temp Double-Sided Matte PEI Plate (Bambu / Creality / Flashforge)"/>
    <hyperlink ref="C553" r:id="rId552" location="'3D%20Printer%20Parts'!B3749" display="Build Plate Adhesive Spray (washable)"/>
    <hyperlink ref="C554" r:id="rId553" location="'3D%20Printer%20Parts'!B3759" display="Heated Bed Silicone Leveling Column"/>
    <hyperlink ref="C555" r:id="rId554" location="'3D%20Printer%20Parts'!B3777" display="Blue High-Temp Masking Tape (roll)"/>
    <hyperlink ref="C556" r:id="rId555" location="'3D%20Printer%20Parts'!B3787" display="Blue High-Temp Masking Sheet"/>
    <hyperlink ref="C557" r:id="rId556" location="'3D%20Printer%20Parts'!B3797" display="Kapton Polyimide Tape (33m x 0.05mm, width 2-500mm)"/>
    <hyperlink ref="C558" r:id="rId557" location="'3D%20Printer%20Parts'!B3901" display="PTFE High-Temp Tape 0.13mm"/>
    <hyperlink ref="C559" r:id="rId558" location="'3D%20Printer%20Parts'!B3906" display="2020 / 2040 Timing Belt Tensioner"/>
    <hyperlink ref="C560" r:id="rId559" location="'3D%20Printer%20Parts'!B3934" display="2020 Profile L / T Flat Joining Plate"/>
    <hyperlink ref="C561" r:id="rId560" location="'3D%20Printer%20Parts'!B3945" display="NEMA17 Motor Mount Plate (2020 profile)"/>
    <hyperlink ref="C562" r:id="rId561" location="'3D%20Printer%20Parts'!B3959" display="CR-10 Rear Sheet Metal Plate"/>
    <hyperlink ref="C563" r:id="rId562" location="'3D%20Printer%20Parts'!B3968" display="D-Cut Pulley Shaft 5mm"/>
    <hyperlink ref="C564" r:id="rId563" location="'3D%20Printer%20Parts'!B3977" display="LCD / SLA / DLP Z-Lift Mount"/>
    <hyperlink ref="C565" r:id="rId564" location="'3D%20Printer%20Parts'!B3982" display="MGN12 Rail Mount (2020 / 2040, BLV Ender-3)"/>
    <hyperlink ref="C566" r:id="rId565" location="'3D%20Printer%20Parts'!B3997" display="NEMA23 Gear Motor Bracket Plate 125x80x6mm"/>
    <hyperlink ref="C567" r:id="rId566" location="'3D%20Printer%20Parts'!B4002" display="T8 Lead Screw Z-Axis Handwheel, 8mm Bore"/>
    <hyperlink ref="C568" r:id="rId567" location="'3D%20Printer%20Parts'!B4012" display="Ultimaker 2 Original Molded Slider Block"/>
    <hyperlink ref="C569" r:id="rId568" location="'3D%20Printer%20Parts'!B4026" display="Ultimaker 2 Belt Aluminum Slider, 8mm Shaft"/>
    <hyperlink ref="C570" r:id="rId569" location="'3D%20Printer%20Parts'!B4031" display="Delta Effector Rod-End Connector"/>
    <hyperlink ref="C571" r:id="rId570" location="'3D%20Printer%20Parts'!B4042" display="Square 3-Way Shaft Clamp Block"/>
    <hyperlink ref="C572" r:id="rId571" location="'3D%20Printer%20Parts'!B4051" display="Aluminum 6-Sided Nut Cube Connector"/>
    <hyperlink ref="C573" r:id="rId572" location="'3D%20Printer%20Parts'!B4077" display="Aluminum Profile Joining Plate (L / T / Cross, 4-12 holes)"/>
    <hyperlink ref="C574" r:id="rId573" location="'3D%20Printer%20Parts'!B4176" display="PLA Filament 1.75mm 1kg"/>
    <hyperlink ref="C575" r:id="rId574" location="'3D%20Printer%20Parts'!B4189" display="Filament Cleaner 1.75 / 3mm"/>
    <hyperlink ref="C576" r:id="rId575" location="'3D%20Printer%20Parts'!B4194" display="Filament Connector 1.75mm"/>
    <hyperlink ref="C577" r:id="rId576" location="'Silicone%20Heaters'!B1" display="Silicone Heater Pad, Round"/>
    <hyperlink ref="C578" r:id="rId577" location="'Silicone%20Heaters'!B68" display="MK3 Aluminum Heated Bed Plate"/>
    <hyperlink ref="C579" r:id="rId578" location="'Silicone%20Heaters'!B78" display="Silicone Heater Pad, Square / Rectangular"/>
    <hyperlink ref="C580" r:id="rId579" location="'Silicone%20Heaters'!B284" display="Adhesive Silicone Heater Pad, Square / Rectangular"/>
    <hyperlink ref="C581" r:id="rId580" location="'Kits%20&amp;%20Boxes'!B1" display="12.9 Grade Socket Screw Assortment Box"/>
    <hyperlink ref="C582" r:id="rId581" location="'Kits%20&amp;%20Boxes'!B12" display="304 Stainless DIN912 Socket Screw Assortment Box"/>
    <hyperlink ref="C583" r:id="rId582" location="'Kits%20&amp;%20Boxes'!B26" display="304 Stainless DIN934 Hex Nut Assortment Box"/>
    <hyperlink ref="C584" r:id="rId583" location="'Packaging'!B1" display="PVC Stretch Wrap Film"/>
    <hyperlink ref="C585" r:id="rId584" location="'Packaging'!B10" display="Tool Storage Tube (end mills / drills)"/>
    <hyperlink ref="C586" r:id="rId585" location="'Packaging'!B68" display="Component Storage Box (removable dividers)"/>
    <hyperlink ref="C587" r:id="rId586" location="'Packaging'!B84" display="Clear Zip-lock Bags"/>
    <hyperlink ref="C588" r:id="rId587" location="'All'!B1" display="Packing Fee"/>
    <hyperlink ref="C589" r:id="rId588" location="'All'!B7" display="Standard delivery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5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698</v>
      </c>
      <c r="C1" s="10"/>
      <c r="D1" s="10"/>
      <c r="E1" s="10"/>
      <c r="F1" s="10"/>
    </row>
    <row r="2" customFormat="false" ht="22.35" hidden="false" customHeight="true" outlineLevel="0" collapsed="false">
      <c r="B2" s="11" t="s">
        <v>699</v>
      </c>
      <c r="C2" s="11"/>
      <c r="D2" s="11"/>
      <c r="E2" s="11"/>
      <c r="F2" s="11"/>
    </row>
    <row r="3" customFormat="false" ht="15" hidden="false" customHeight="false" outlineLevel="0" collapsed="false">
      <c r="A3" s="12" t="s">
        <v>700</v>
      </c>
      <c r="B3" s="13" t="s">
        <v>701</v>
      </c>
      <c r="C3" s="13" t="s">
        <v>702</v>
      </c>
      <c r="D3" s="13" t="s">
        <v>703</v>
      </c>
      <c r="E3" s="13" t="s">
        <v>704</v>
      </c>
      <c r="F3" s="13" t="s">
        <v>705</v>
      </c>
    </row>
    <row r="4" customFormat="false" ht="30" hidden="false" customHeight="true" outlineLevel="0" collapsed="false">
      <c r="A4" s="14" t="s">
        <v>706</v>
      </c>
      <c r="B4" s="15" t="str">
        <f aca="false">IF(COUNTIFS($D$7:$D$13,IF(D4="","*",D4),$E$7:$E$13,IF(E4="","*",E4),$F$7:$F$13,IF(F4="","*",F4))=1,INDEX($B:$B,SUMPRODUCT(((D4="")+($D$7:$D$13=D4)&gt;0)*((E4="")+($E$7:$E$13=E4)&gt;0)*((F4="")+($F$7:$F$13=F4)&gt;0)*ROW($B$7:$B$13))),IF(COUNTIFS($D$7:$D$13,IF(D4="","*",D4),$E$7:$E$13,IF(E4="","*",E4),$F$7:$F$13,IF(F4="","*",F4))=0,"Not available",COUNTIFS($D$7:$D$13,IF(D4="","*",D4),$E$7:$E$13,IF(E4="","*",E4),$F$7:$F$13,IF(F4="","*",F4))&amp;" match, keep choosing"))</f>
        <v>1.5GT-10-R-1M</v>
      </c>
      <c r="C4" s="16" t="n">
        <f aca="false">IF(COUNTIFS($D$7:$D$13,IF(D4="","*",D4),$E$7:$E$13,IF(E4="","*",E4),$F$7:$F$13,IF(F4="","*",F4))=1,INDEX($C:$C,SUMPRODUCT(((D4="")+($D$7:$D$13=D4)&gt;0)*((E4="")+($E$7:$E$13=E4)&gt;0)*((F4="")+($F$7:$F$13=F4)&gt;0)*ROW($B$7:$B$13))),"")</f>
        <v>0.99</v>
      </c>
      <c r="D4" s="17" t="s">
        <v>707</v>
      </c>
      <c r="E4" s="17" t="s">
        <v>708</v>
      </c>
      <c r="F4" s="17" t="s">
        <v>709</v>
      </c>
    </row>
    <row r="6" customFormat="false" ht="15" hidden="false" customHeight="false" outlineLevel="0" collapsed="false">
      <c r="B6" s="18" t="s">
        <v>701</v>
      </c>
      <c r="C6" s="18" t="s">
        <v>702</v>
      </c>
      <c r="D6" s="18" t="s">
        <v>703</v>
      </c>
      <c r="E6" s="18" t="s">
        <v>704</v>
      </c>
      <c r="F6" s="18" t="s">
        <v>705</v>
      </c>
    </row>
    <row r="7" customFormat="false" ht="15" hidden="false" customHeight="false" outlineLevel="0" collapsed="false">
      <c r="B7" s="19" t="s">
        <v>710</v>
      </c>
      <c r="C7" s="20" t="n">
        <f aca="false">ROUND(7.15/FX,2)</f>
        <v>0.99</v>
      </c>
      <c r="D7" s="21" t="s">
        <v>707</v>
      </c>
      <c r="E7" s="21" t="s">
        <v>708</v>
      </c>
      <c r="F7" s="21" t="s">
        <v>709</v>
      </c>
    </row>
    <row r="8" customFormat="false" ht="15" hidden="false" customHeight="false" outlineLevel="0" collapsed="false">
      <c r="B8" s="19" t="s">
        <v>711</v>
      </c>
      <c r="C8" s="20" t="n">
        <f aca="false">ROUND(8.19/FX,2)</f>
        <v>1.14</v>
      </c>
      <c r="D8" s="21" t="s">
        <v>707</v>
      </c>
      <c r="E8" s="21" t="s">
        <v>712</v>
      </c>
      <c r="F8" s="21" t="s">
        <v>709</v>
      </c>
    </row>
    <row r="9" customFormat="false" ht="15" hidden="false" customHeight="false" outlineLevel="0" collapsed="false">
      <c r="B9" s="19" t="s">
        <v>713</v>
      </c>
      <c r="C9" s="20" t="n">
        <f aca="false">ROUND(10.73/FX,2)</f>
        <v>1.49</v>
      </c>
      <c r="D9" s="21" t="s">
        <v>714</v>
      </c>
      <c r="E9" s="21" t="s">
        <v>708</v>
      </c>
      <c r="F9" s="21" t="s">
        <v>709</v>
      </c>
    </row>
    <row r="10" customFormat="false" ht="15" hidden="false" customHeight="false" outlineLevel="0" collapsed="false">
      <c r="B10" s="19" t="s">
        <v>715</v>
      </c>
      <c r="C10" s="20" t="n">
        <f aca="false">ROUND(4.42/FX,2)</f>
        <v>0.61</v>
      </c>
      <c r="D10" s="21" t="s">
        <v>716</v>
      </c>
      <c r="E10" s="21" t="s">
        <v>708</v>
      </c>
      <c r="F10" s="21" t="s">
        <v>709</v>
      </c>
    </row>
    <row r="11" customFormat="false" ht="15" hidden="false" customHeight="false" outlineLevel="0" collapsed="false">
      <c r="B11" s="19" t="s">
        <v>717</v>
      </c>
      <c r="C11" s="20" t="n">
        <f aca="false">ROUND(4.94/FX,2)</f>
        <v>0.69</v>
      </c>
      <c r="D11" s="21" t="s">
        <v>716</v>
      </c>
      <c r="E11" s="21" t="s">
        <v>712</v>
      </c>
      <c r="F11" s="21" t="s">
        <v>709</v>
      </c>
    </row>
    <row r="12" customFormat="false" ht="15" hidden="false" customHeight="false" outlineLevel="0" collapsed="false">
      <c r="B12" s="19" t="s">
        <v>718</v>
      </c>
      <c r="C12" s="20" t="n">
        <f aca="false">ROUND(6.63/FX,2)</f>
        <v>0.92</v>
      </c>
      <c r="D12" s="21" t="s">
        <v>719</v>
      </c>
      <c r="E12" s="21" t="s">
        <v>708</v>
      </c>
      <c r="F12" s="21" t="s">
        <v>709</v>
      </c>
    </row>
    <row r="13" customFormat="false" ht="15" hidden="false" customHeight="false" outlineLevel="0" collapsed="false">
      <c r="B13" s="19" t="s">
        <v>720</v>
      </c>
      <c r="C13" s="20" t="n">
        <f aca="false">ROUND(7.41/FX,2)</f>
        <v>1.03</v>
      </c>
      <c r="D13" s="21" t="s">
        <v>719</v>
      </c>
      <c r="E13" s="21" t="s">
        <v>712</v>
      </c>
      <c r="F13" s="21" t="s">
        <v>709</v>
      </c>
    </row>
    <row r="16" customFormat="false" ht="61.5" hidden="false" customHeight="true" outlineLevel="0" collapsed="false">
      <c r="A16" s="9"/>
      <c r="B16" s="10" t="s">
        <v>721</v>
      </c>
      <c r="C16" s="10"/>
      <c r="D16" s="10"/>
      <c r="E16" s="10"/>
      <c r="F16" s="10"/>
      <c r="G16" s="10"/>
      <c r="H16" s="10"/>
    </row>
    <row r="17" customFormat="false" ht="22.35" hidden="false" customHeight="true" outlineLevel="0" collapsed="false">
      <c r="B17" s="11" t="s">
        <v>699</v>
      </c>
      <c r="C17" s="11"/>
      <c r="D17" s="11"/>
      <c r="E17" s="11"/>
      <c r="F17" s="11"/>
      <c r="G17" s="11"/>
      <c r="H17" s="11"/>
    </row>
    <row r="18" customFormat="false" ht="15" hidden="false" customHeight="false" outlineLevel="0" collapsed="false">
      <c r="A18" s="12" t="s">
        <v>700</v>
      </c>
      <c r="B18" s="13" t="s">
        <v>701</v>
      </c>
      <c r="C18" s="13" t="s">
        <v>702</v>
      </c>
      <c r="D18" s="13" t="s">
        <v>703</v>
      </c>
      <c r="E18" s="13" t="s">
        <v>722</v>
      </c>
      <c r="F18" s="13" t="s">
        <v>704</v>
      </c>
      <c r="G18" s="13" t="s">
        <v>705</v>
      </c>
      <c r="H18" s="13" t="s">
        <v>723</v>
      </c>
    </row>
    <row r="19" customFormat="false" ht="30" hidden="false" customHeight="true" outlineLevel="0" collapsed="false">
      <c r="A19" s="14" t="s">
        <v>706</v>
      </c>
      <c r="B19" s="15" t="str">
        <f aca="false">IF(COUNTIFS($D$22:$D$105,IF(D19="","*",D19),$E$22:$E$105,IF(E19="","*",E19),$F$22:$F$105,IF(F19="","*",F19),$G$22:$G$105,IF(G19="","*",G19),$H$22:$H$105,IF(H19="","*",H19))=1,INDEX($B:$B,SUMPRODUCT(((D19="")+($D$22:$D$105=D19)&gt;0)*((E19="")+($E$22:$E$105=E19)&gt;0)*((F19="")+($F$22:$F$105=F19)&gt;0)*((G19="")+($G$22:$G$105=G19)&gt;0)*((H19="")+($H$22:$H$105=H19)&gt;0)*ROW($B$22:$B$105))),IF(COUNTIFS($D$22:$D$105,IF(D19="","*",D19),$E$22:$E$105,IF(E19="","*",E19),$F$22:$F$105,IF(F19="","*",F19),$G$22:$G$105,IF(G19="","*",G19),$H$22:$H$105,IF(H19="","*",H19))=0,"Not available",COUNTIFS($D$22:$D$105,IF(D19="","*",D19),$E$22:$E$105,IF(E19="","*",E19),$F$22:$F$105,IF(F19="","*",F19),$G$22:$G$105,IF(G19="","*",G19),$H$22:$H$105,IF(H19="","*",H19))&amp;" match, keep choosing"))</f>
        <v>2GT-10-BPUB-1M</v>
      </c>
      <c r="C19" s="16" t="n">
        <f aca="false">IF(COUNTIFS($D$22:$D$105,IF(D19="","*",D19),$E$22:$E$105,IF(E19="","*",E19),$F$22:$F$105,IF(F19="","*",F19),$G$22:$G$105,IF(G19="","*",G19),$H$22:$H$105,IF(H19="","*",H19))=1,INDEX($C:$C,SUMPRODUCT(((D19="")+($D$22:$D$105=D19)&gt;0)*((E19="")+($E$22:$E$105=E19)&gt;0)*((F19="")+($F$22:$F$105=F19)&gt;0)*((G19="")+($G$22:$G$105=G19)&gt;0)*((H19="")+($H$22:$H$105=H19)&gt;0)*ROW($B$22:$B$105))),"")</f>
        <v>0.38</v>
      </c>
      <c r="D19" s="17" t="s">
        <v>707</v>
      </c>
      <c r="E19" s="17" t="s">
        <v>724</v>
      </c>
      <c r="F19" s="17" t="s">
        <v>725</v>
      </c>
      <c r="G19" s="17" t="s">
        <v>709</v>
      </c>
      <c r="H19" s="17" t="s">
        <v>726</v>
      </c>
    </row>
    <row r="21" customFormat="false" ht="15" hidden="false" customHeight="false" outlineLevel="0" collapsed="false">
      <c r="B21" s="18" t="s">
        <v>701</v>
      </c>
      <c r="C21" s="18" t="s">
        <v>702</v>
      </c>
      <c r="D21" s="18" t="s">
        <v>703</v>
      </c>
      <c r="E21" s="18" t="s">
        <v>722</v>
      </c>
      <c r="F21" s="18" t="s">
        <v>704</v>
      </c>
      <c r="G21" s="18" t="s">
        <v>705</v>
      </c>
      <c r="H21" s="18" t="s">
        <v>723</v>
      </c>
    </row>
    <row r="22" customFormat="false" ht="15" hidden="false" customHeight="false" outlineLevel="0" collapsed="false">
      <c r="B22" s="19" t="s">
        <v>727</v>
      </c>
      <c r="C22" s="20" t="n">
        <f aca="false">ROUND(2.73/FX,2)</f>
        <v>0.38</v>
      </c>
      <c r="D22" s="21" t="s">
        <v>707</v>
      </c>
      <c r="E22" s="21" t="s">
        <v>724</v>
      </c>
      <c r="F22" s="21" t="s">
        <v>725</v>
      </c>
      <c r="G22" s="21" t="s">
        <v>709</v>
      </c>
      <c r="H22" s="21" t="s">
        <v>726</v>
      </c>
    </row>
    <row r="23" customFormat="false" ht="15" hidden="false" customHeight="false" outlineLevel="0" collapsed="false">
      <c r="B23" s="19" t="s">
        <v>728</v>
      </c>
      <c r="C23" s="20" t="n">
        <f aca="false">ROUND(27.3/FX,2)</f>
        <v>3.79</v>
      </c>
      <c r="D23" s="21" t="s">
        <v>707</v>
      </c>
      <c r="E23" s="21" t="s">
        <v>724</v>
      </c>
      <c r="F23" s="21" t="s">
        <v>725</v>
      </c>
      <c r="G23" s="21" t="s">
        <v>729</v>
      </c>
      <c r="H23" s="21" t="s">
        <v>726</v>
      </c>
    </row>
    <row r="24" customFormat="false" ht="15" hidden="false" customHeight="false" outlineLevel="0" collapsed="false">
      <c r="B24" s="19" t="s">
        <v>730</v>
      </c>
      <c r="C24" s="20" t="n">
        <f aca="false">ROUND(13.65/FX,2)</f>
        <v>1.9</v>
      </c>
      <c r="D24" s="21" t="s">
        <v>707</v>
      </c>
      <c r="E24" s="21" t="s">
        <v>724</v>
      </c>
      <c r="F24" s="21" t="s">
        <v>725</v>
      </c>
      <c r="G24" s="21" t="s">
        <v>731</v>
      </c>
      <c r="H24" s="21" t="s">
        <v>726</v>
      </c>
    </row>
    <row r="25" customFormat="false" ht="15" hidden="false" customHeight="false" outlineLevel="0" collapsed="false">
      <c r="B25" s="19" t="s">
        <v>732</v>
      </c>
      <c r="C25" s="20" t="n">
        <f aca="false">ROUND(3.25/FX,2)</f>
        <v>0.45</v>
      </c>
      <c r="D25" s="21" t="s">
        <v>707</v>
      </c>
      <c r="E25" s="21" t="s">
        <v>724</v>
      </c>
      <c r="F25" s="21" t="s">
        <v>733</v>
      </c>
      <c r="G25" s="21" t="s">
        <v>709</v>
      </c>
      <c r="H25" s="21" t="s">
        <v>734</v>
      </c>
    </row>
    <row r="26" customFormat="false" ht="15" hidden="false" customHeight="false" outlineLevel="0" collapsed="false">
      <c r="B26" s="19" t="s">
        <v>735</v>
      </c>
      <c r="C26" s="20" t="n">
        <f aca="false">ROUND(2.34/FX,2)</f>
        <v>0.33</v>
      </c>
      <c r="D26" s="21" t="s">
        <v>707</v>
      </c>
      <c r="E26" s="21" t="s">
        <v>724</v>
      </c>
      <c r="F26" s="21" t="s">
        <v>725</v>
      </c>
      <c r="G26" s="21" t="s">
        <v>709</v>
      </c>
      <c r="H26" s="21" t="s">
        <v>736</v>
      </c>
    </row>
    <row r="27" customFormat="false" ht="15" hidden="false" customHeight="false" outlineLevel="0" collapsed="false">
      <c r="B27" s="19" t="s">
        <v>737</v>
      </c>
      <c r="C27" s="20" t="n">
        <f aca="false">ROUND(23.4/FX,2)</f>
        <v>3.25</v>
      </c>
      <c r="D27" s="21" t="s">
        <v>707</v>
      </c>
      <c r="E27" s="21" t="s">
        <v>724</v>
      </c>
      <c r="F27" s="21" t="s">
        <v>725</v>
      </c>
      <c r="G27" s="21" t="s">
        <v>729</v>
      </c>
      <c r="H27" s="21" t="s">
        <v>736</v>
      </c>
    </row>
    <row r="28" customFormat="false" ht="15" hidden="false" customHeight="false" outlineLevel="0" collapsed="false">
      <c r="B28" s="19" t="s">
        <v>738</v>
      </c>
      <c r="C28" s="20" t="n">
        <f aca="false">ROUND(234/FX,2)</f>
        <v>32.5</v>
      </c>
      <c r="D28" s="21" t="s">
        <v>707</v>
      </c>
      <c r="E28" s="21" t="s">
        <v>724</v>
      </c>
      <c r="F28" s="21" t="s">
        <v>725</v>
      </c>
      <c r="G28" s="21" t="s">
        <v>739</v>
      </c>
      <c r="H28" s="21" t="s">
        <v>736</v>
      </c>
    </row>
    <row r="29" customFormat="false" ht="15" hidden="false" customHeight="false" outlineLevel="0" collapsed="false">
      <c r="B29" s="19" t="s">
        <v>740</v>
      </c>
      <c r="C29" s="20" t="n">
        <f aca="false">ROUND(46.8/FX,2)</f>
        <v>6.5</v>
      </c>
      <c r="D29" s="21" t="s">
        <v>707</v>
      </c>
      <c r="E29" s="21" t="s">
        <v>724</v>
      </c>
      <c r="F29" s="21" t="s">
        <v>725</v>
      </c>
      <c r="G29" s="21" t="s">
        <v>741</v>
      </c>
      <c r="H29" s="21" t="s">
        <v>736</v>
      </c>
    </row>
    <row r="30" customFormat="false" ht="15" hidden="false" customHeight="false" outlineLevel="0" collapsed="false">
      <c r="B30" s="19" t="s">
        <v>742</v>
      </c>
      <c r="C30" s="20" t="n">
        <f aca="false">ROUND(11.7/FX,2)</f>
        <v>1.63</v>
      </c>
      <c r="D30" s="21" t="s">
        <v>707</v>
      </c>
      <c r="E30" s="21" t="s">
        <v>724</v>
      </c>
      <c r="F30" s="21" t="s">
        <v>725</v>
      </c>
      <c r="G30" s="21" t="s">
        <v>731</v>
      </c>
      <c r="H30" s="21" t="s">
        <v>736</v>
      </c>
    </row>
    <row r="31" customFormat="false" ht="15" hidden="false" customHeight="false" outlineLevel="0" collapsed="false">
      <c r="B31" s="19" t="s">
        <v>743</v>
      </c>
      <c r="C31" s="20" t="n">
        <f aca="false">ROUND(16.9/FX,2)</f>
        <v>2.35</v>
      </c>
      <c r="D31" s="21" t="s">
        <v>707</v>
      </c>
      <c r="E31" s="21" t="s">
        <v>724</v>
      </c>
      <c r="F31" s="21" t="s">
        <v>744</v>
      </c>
      <c r="G31" s="21" t="s">
        <v>709</v>
      </c>
      <c r="H31" s="21" t="s">
        <v>734</v>
      </c>
    </row>
    <row r="32" customFormat="false" ht="15" hidden="false" customHeight="false" outlineLevel="0" collapsed="false">
      <c r="B32" s="19" t="s">
        <v>745</v>
      </c>
      <c r="C32" s="20" t="n">
        <f aca="false">ROUND(7.02/FX,2)</f>
        <v>0.98</v>
      </c>
      <c r="D32" s="21" t="s">
        <v>707</v>
      </c>
      <c r="E32" s="21" t="s">
        <v>724</v>
      </c>
      <c r="F32" s="21" t="s">
        <v>712</v>
      </c>
      <c r="G32" s="21" t="s">
        <v>709</v>
      </c>
      <c r="H32" s="21" t="s">
        <v>734</v>
      </c>
    </row>
    <row r="33" customFormat="false" ht="15" hidden="false" customHeight="false" outlineLevel="0" collapsed="false">
      <c r="B33" s="19" t="s">
        <v>746</v>
      </c>
      <c r="C33" s="20" t="n">
        <f aca="false">ROUND(4.94/FX,2)</f>
        <v>0.69</v>
      </c>
      <c r="D33" s="21" t="s">
        <v>707</v>
      </c>
      <c r="E33" s="21" t="s">
        <v>724</v>
      </c>
      <c r="F33" s="21" t="s">
        <v>708</v>
      </c>
      <c r="G33" s="21" t="s">
        <v>709</v>
      </c>
      <c r="H33" s="21" t="s">
        <v>734</v>
      </c>
    </row>
    <row r="34" customFormat="false" ht="15" hidden="false" customHeight="false" outlineLevel="0" collapsed="false">
      <c r="B34" s="19" t="s">
        <v>747</v>
      </c>
      <c r="C34" s="20" t="n">
        <f aca="false">ROUND(19.76/FX,2)</f>
        <v>2.74</v>
      </c>
      <c r="D34" s="21" t="s">
        <v>707</v>
      </c>
      <c r="E34" s="21" t="s">
        <v>724</v>
      </c>
      <c r="F34" s="21" t="s">
        <v>708</v>
      </c>
      <c r="G34" s="21" t="s">
        <v>748</v>
      </c>
      <c r="H34" s="21" t="s">
        <v>734</v>
      </c>
    </row>
    <row r="35" customFormat="false" ht="15" hidden="false" customHeight="false" outlineLevel="0" collapsed="false">
      <c r="B35" s="19" t="s">
        <v>749</v>
      </c>
      <c r="C35" s="20" t="n">
        <f aca="false">ROUND(5.07/FX,2)</f>
        <v>0.7</v>
      </c>
      <c r="D35" s="21" t="s">
        <v>707</v>
      </c>
      <c r="E35" s="21" t="s">
        <v>724</v>
      </c>
      <c r="F35" s="21" t="s">
        <v>708</v>
      </c>
      <c r="G35" s="21" t="s">
        <v>709</v>
      </c>
      <c r="H35" s="21" t="s">
        <v>736</v>
      </c>
    </row>
    <row r="36" customFormat="false" ht="28.35" hidden="false" customHeight="false" outlineLevel="0" collapsed="false">
      <c r="B36" s="19" t="s">
        <v>750</v>
      </c>
      <c r="C36" s="20" t="n">
        <f aca="false">ROUND(2.73/FX,2)</f>
        <v>0.38</v>
      </c>
      <c r="D36" s="21" t="s">
        <v>707</v>
      </c>
      <c r="E36" s="21" t="s">
        <v>751</v>
      </c>
      <c r="F36" s="21" t="s">
        <v>725</v>
      </c>
      <c r="G36" s="21" t="s">
        <v>709</v>
      </c>
      <c r="H36" s="21" t="s">
        <v>752</v>
      </c>
    </row>
    <row r="37" customFormat="false" ht="28.35" hidden="false" customHeight="false" outlineLevel="0" collapsed="false">
      <c r="B37" s="19" t="s">
        <v>753</v>
      </c>
      <c r="C37" s="20" t="n">
        <f aca="false">ROUND(13.65/FX,2)</f>
        <v>1.9</v>
      </c>
      <c r="D37" s="21" t="s">
        <v>707</v>
      </c>
      <c r="E37" s="21" t="s">
        <v>751</v>
      </c>
      <c r="F37" s="21" t="s">
        <v>725</v>
      </c>
      <c r="G37" s="21" t="s">
        <v>731</v>
      </c>
      <c r="H37" s="21" t="s">
        <v>752</v>
      </c>
    </row>
    <row r="38" customFormat="false" ht="15" hidden="false" customHeight="false" outlineLevel="0" collapsed="false">
      <c r="B38" s="19" t="s">
        <v>754</v>
      </c>
      <c r="C38" s="20" t="n">
        <f aca="false">ROUND(2.34/FX,2)</f>
        <v>0.33</v>
      </c>
      <c r="D38" s="21" t="s">
        <v>707</v>
      </c>
      <c r="E38" s="21" t="s">
        <v>751</v>
      </c>
      <c r="F38" s="21" t="s">
        <v>725</v>
      </c>
      <c r="G38" s="21" t="s">
        <v>709</v>
      </c>
      <c r="H38" s="21" t="s">
        <v>736</v>
      </c>
    </row>
    <row r="39" customFormat="false" ht="15" hidden="false" customHeight="false" outlineLevel="0" collapsed="false">
      <c r="B39" s="19" t="s">
        <v>755</v>
      </c>
      <c r="C39" s="20" t="n">
        <f aca="false">ROUND(2.34/FX,2)</f>
        <v>0.33</v>
      </c>
      <c r="D39" s="21" t="s">
        <v>707</v>
      </c>
      <c r="E39" s="21" t="s">
        <v>751</v>
      </c>
      <c r="F39" s="21" t="s">
        <v>725</v>
      </c>
      <c r="G39" s="21" t="s">
        <v>756</v>
      </c>
      <c r="H39" s="21" t="s">
        <v>736</v>
      </c>
    </row>
    <row r="40" customFormat="false" ht="15" hidden="false" customHeight="false" outlineLevel="0" collapsed="false">
      <c r="B40" s="19" t="s">
        <v>757</v>
      </c>
      <c r="C40" s="20" t="n">
        <f aca="false">ROUND(23.4/FX,2)</f>
        <v>3.25</v>
      </c>
      <c r="D40" s="21" t="s">
        <v>707</v>
      </c>
      <c r="E40" s="21" t="s">
        <v>751</v>
      </c>
      <c r="F40" s="21" t="s">
        <v>725</v>
      </c>
      <c r="G40" s="21" t="s">
        <v>729</v>
      </c>
      <c r="H40" s="21" t="s">
        <v>736</v>
      </c>
    </row>
    <row r="41" customFormat="false" ht="15" hidden="false" customHeight="false" outlineLevel="0" collapsed="false">
      <c r="B41" s="19" t="s">
        <v>758</v>
      </c>
      <c r="C41" s="20" t="n">
        <f aca="false">ROUND(46.8/FX,2)</f>
        <v>6.5</v>
      </c>
      <c r="D41" s="21" t="s">
        <v>707</v>
      </c>
      <c r="E41" s="21" t="s">
        <v>751</v>
      </c>
      <c r="F41" s="21" t="s">
        <v>725</v>
      </c>
      <c r="G41" s="21" t="s">
        <v>741</v>
      </c>
      <c r="H41" s="21" t="s">
        <v>736</v>
      </c>
    </row>
    <row r="42" customFormat="false" ht="15" hidden="false" customHeight="false" outlineLevel="0" collapsed="false">
      <c r="B42" s="19" t="s">
        <v>759</v>
      </c>
      <c r="C42" s="20" t="n">
        <f aca="false">ROUND(11.7/FX,2)</f>
        <v>1.63</v>
      </c>
      <c r="D42" s="21" t="s">
        <v>707</v>
      </c>
      <c r="E42" s="21" t="s">
        <v>751</v>
      </c>
      <c r="F42" s="21" t="s">
        <v>725</v>
      </c>
      <c r="G42" s="21" t="s">
        <v>731</v>
      </c>
      <c r="H42" s="21" t="s">
        <v>736</v>
      </c>
    </row>
    <row r="43" customFormat="false" ht="15" hidden="false" customHeight="false" outlineLevel="0" collapsed="false">
      <c r="B43" s="19" t="s">
        <v>760</v>
      </c>
      <c r="C43" s="20" t="n">
        <f aca="false">ROUND(8.84/FX,2)</f>
        <v>1.23</v>
      </c>
      <c r="D43" s="21" t="s">
        <v>761</v>
      </c>
      <c r="E43" s="21" t="s">
        <v>724</v>
      </c>
      <c r="F43" s="21" t="s">
        <v>712</v>
      </c>
      <c r="G43" s="21" t="s">
        <v>709</v>
      </c>
      <c r="H43" s="21" t="s">
        <v>734</v>
      </c>
    </row>
    <row r="44" customFormat="false" ht="15" hidden="false" customHeight="false" outlineLevel="0" collapsed="false">
      <c r="B44" s="19" t="s">
        <v>762</v>
      </c>
      <c r="C44" s="20" t="n">
        <f aca="false">ROUND(4.1/FX,2)</f>
        <v>0.57</v>
      </c>
      <c r="D44" s="21" t="s">
        <v>714</v>
      </c>
      <c r="E44" s="21" t="s">
        <v>724</v>
      </c>
      <c r="F44" s="21" t="s">
        <v>725</v>
      </c>
      <c r="G44" s="21" t="s">
        <v>709</v>
      </c>
      <c r="H44" s="21" t="s">
        <v>726</v>
      </c>
    </row>
    <row r="45" customFormat="false" ht="15" hidden="false" customHeight="false" outlineLevel="0" collapsed="false">
      <c r="B45" s="19" t="s">
        <v>763</v>
      </c>
      <c r="C45" s="20" t="n">
        <f aca="false">ROUND(4.88/FX,2)</f>
        <v>0.68</v>
      </c>
      <c r="D45" s="21" t="s">
        <v>714</v>
      </c>
      <c r="E45" s="21" t="s">
        <v>724</v>
      </c>
      <c r="F45" s="21" t="s">
        <v>733</v>
      </c>
      <c r="G45" s="21" t="s">
        <v>709</v>
      </c>
      <c r="H45" s="21" t="s">
        <v>734</v>
      </c>
    </row>
    <row r="46" customFormat="false" ht="15" hidden="false" customHeight="false" outlineLevel="0" collapsed="false">
      <c r="B46" s="19" t="s">
        <v>764</v>
      </c>
      <c r="C46" s="20" t="n">
        <f aca="false">ROUND(3.51/FX,2)</f>
        <v>0.49</v>
      </c>
      <c r="D46" s="21" t="s">
        <v>714</v>
      </c>
      <c r="E46" s="21" t="s">
        <v>724</v>
      </c>
      <c r="F46" s="21" t="s">
        <v>725</v>
      </c>
      <c r="G46" s="21" t="s">
        <v>709</v>
      </c>
      <c r="H46" s="21" t="s">
        <v>736</v>
      </c>
    </row>
    <row r="47" customFormat="false" ht="15" hidden="false" customHeight="false" outlineLevel="0" collapsed="false">
      <c r="B47" s="19" t="s">
        <v>765</v>
      </c>
      <c r="C47" s="20" t="n">
        <f aca="false">ROUND(3.51/FX,2)</f>
        <v>0.49</v>
      </c>
      <c r="D47" s="21" t="s">
        <v>714</v>
      </c>
      <c r="E47" s="21" t="s">
        <v>724</v>
      </c>
      <c r="F47" s="21" t="s">
        <v>725</v>
      </c>
      <c r="G47" s="21" t="s">
        <v>756</v>
      </c>
      <c r="H47" s="21" t="s">
        <v>736</v>
      </c>
    </row>
    <row r="48" customFormat="false" ht="15" hidden="false" customHeight="false" outlineLevel="0" collapsed="false">
      <c r="B48" s="19" t="s">
        <v>766</v>
      </c>
      <c r="C48" s="20" t="n">
        <f aca="false">ROUND(35.1/FX,2)</f>
        <v>4.88</v>
      </c>
      <c r="D48" s="21" t="s">
        <v>714</v>
      </c>
      <c r="E48" s="21" t="s">
        <v>724</v>
      </c>
      <c r="F48" s="21" t="s">
        <v>725</v>
      </c>
      <c r="G48" s="21" t="s">
        <v>729</v>
      </c>
      <c r="H48" s="21" t="s">
        <v>736</v>
      </c>
    </row>
    <row r="49" customFormat="false" ht="15" hidden="false" customHeight="false" outlineLevel="0" collapsed="false">
      <c r="B49" s="19" t="s">
        <v>767</v>
      </c>
      <c r="C49" s="20" t="n">
        <f aca="false">ROUND(351/FX,2)</f>
        <v>48.75</v>
      </c>
      <c r="D49" s="21" t="s">
        <v>714</v>
      </c>
      <c r="E49" s="21" t="s">
        <v>724</v>
      </c>
      <c r="F49" s="21" t="s">
        <v>725</v>
      </c>
      <c r="G49" s="21" t="s">
        <v>739</v>
      </c>
      <c r="H49" s="21" t="s">
        <v>736</v>
      </c>
    </row>
    <row r="50" customFormat="false" ht="15" hidden="false" customHeight="false" outlineLevel="0" collapsed="false">
      <c r="B50" s="19" t="s">
        <v>768</v>
      </c>
      <c r="C50" s="20" t="n">
        <f aca="false">ROUND(70.2/FX,2)</f>
        <v>9.75</v>
      </c>
      <c r="D50" s="21" t="s">
        <v>714</v>
      </c>
      <c r="E50" s="21" t="s">
        <v>724</v>
      </c>
      <c r="F50" s="21" t="s">
        <v>725</v>
      </c>
      <c r="G50" s="21" t="s">
        <v>741</v>
      </c>
      <c r="H50" s="21" t="s">
        <v>736</v>
      </c>
    </row>
    <row r="51" customFormat="false" ht="15" hidden="false" customHeight="false" outlineLevel="0" collapsed="false">
      <c r="B51" s="19" t="s">
        <v>769</v>
      </c>
      <c r="C51" s="20" t="n">
        <f aca="false">ROUND(17.55/FX,2)</f>
        <v>2.44</v>
      </c>
      <c r="D51" s="21" t="s">
        <v>714</v>
      </c>
      <c r="E51" s="21" t="s">
        <v>724</v>
      </c>
      <c r="F51" s="21" t="s">
        <v>725</v>
      </c>
      <c r="G51" s="21" t="s">
        <v>731</v>
      </c>
      <c r="H51" s="21" t="s">
        <v>736</v>
      </c>
    </row>
    <row r="52" customFormat="false" ht="15" hidden="false" customHeight="false" outlineLevel="0" collapsed="false">
      <c r="B52" s="19" t="s">
        <v>770</v>
      </c>
      <c r="C52" s="20" t="n">
        <f aca="false">ROUND(10.08/FX,2)</f>
        <v>1.4</v>
      </c>
      <c r="D52" s="21" t="s">
        <v>714</v>
      </c>
      <c r="E52" s="21" t="s">
        <v>724</v>
      </c>
      <c r="F52" s="21" t="s">
        <v>712</v>
      </c>
      <c r="G52" s="21" t="s">
        <v>709</v>
      </c>
      <c r="H52" s="21" t="s">
        <v>734</v>
      </c>
    </row>
    <row r="53" customFormat="false" ht="15" hidden="false" customHeight="false" outlineLevel="0" collapsed="false">
      <c r="B53" s="19" t="s">
        <v>771</v>
      </c>
      <c r="C53" s="20" t="n">
        <f aca="false">ROUND(7.8/FX,2)</f>
        <v>1.08</v>
      </c>
      <c r="D53" s="21" t="s">
        <v>714</v>
      </c>
      <c r="E53" s="21" t="s">
        <v>724</v>
      </c>
      <c r="F53" s="21" t="s">
        <v>708</v>
      </c>
      <c r="G53" s="21" t="s">
        <v>709</v>
      </c>
      <c r="H53" s="21" t="s">
        <v>734</v>
      </c>
    </row>
    <row r="54" customFormat="false" ht="15" hidden="false" customHeight="false" outlineLevel="0" collapsed="false">
      <c r="B54" s="19" t="s">
        <v>772</v>
      </c>
      <c r="C54" s="20" t="n">
        <f aca="false">ROUND(7.8/FX,2)</f>
        <v>1.08</v>
      </c>
      <c r="D54" s="21" t="s">
        <v>714</v>
      </c>
      <c r="E54" s="21" t="s">
        <v>724</v>
      </c>
      <c r="F54" s="21" t="s">
        <v>708</v>
      </c>
      <c r="G54" s="21" t="s">
        <v>709</v>
      </c>
      <c r="H54" s="21" t="s">
        <v>736</v>
      </c>
    </row>
    <row r="55" customFormat="false" ht="28.35" hidden="false" customHeight="false" outlineLevel="0" collapsed="false">
      <c r="B55" s="19" t="s">
        <v>773</v>
      </c>
      <c r="C55" s="20" t="n">
        <f aca="false">ROUND(4.1/FX,2)</f>
        <v>0.57</v>
      </c>
      <c r="D55" s="21" t="s">
        <v>714</v>
      </c>
      <c r="E55" s="21" t="s">
        <v>751</v>
      </c>
      <c r="F55" s="21" t="s">
        <v>725</v>
      </c>
      <c r="G55" s="21" t="s">
        <v>709</v>
      </c>
      <c r="H55" s="21" t="s">
        <v>752</v>
      </c>
    </row>
    <row r="56" customFormat="false" ht="15" hidden="false" customHeight="false" outlineLevel="0" collapsed="false">
      <c r="B56" s="19" t="s">
        <v>774</v>
      </c>
      <c r="C56" s="20" t="n">
        <f aca="false">ROUND(4.88/FX,2)</f>
        <v>0.68</v>
      </c>
      <c r="D56" s="21" t="s">
        <v>714</v>
      </c>
      <c r="E56" s="21" t="s">
        <v>751</v>
      </c>
      <c r="F56" s="21" t="s">
        <v>733</v>
      </c>
      <c r="G56" s="21" t="s">
        <v>709</v>
      </c>
      <c r="H56" s="21" t="s">
        <v>734</v>
      </c>
    </row>
    <row r="57" customFormat="false" ht="15" hidden="false" customHeight="false" outlineLevel="0" collapsed="false">
      <c r="B57" s="19" t="s">
        <v>775</v>
      </c>
      <c r="C57" s="20" t="n">
        <f aca="false">ROUND(488/FX,2)</f>
        <v>67.78</v>
      </c>
      <c r="D57" s="21" t="s">
        <v>714</v>
      </c>
      <c r="E57" s="21" t="s">
        <v>751</v>
      </c>
      <c r="F57" s="21" t="s">
        <v>733</v>
      </c>
      <c r="G57" s="21" t="s">
        <v>739</v>
      </c>
      <c r="H57" s="21" t="s">
        <v>734</v>
      </c>
    </row>
    <row r="58" customFormat="false" ht="15" hidden="false" customHeight="false" outlineLevel="0" collapsed="false">
      <c r="B58" s="19" t="s">
        <v>776</v>
      </c>
      <c r="C58" s="20" t="n">
        <f aca="false">ROUND(9.75/FX,2)</f>
        <v>1.35</v>
      </c>
      <c r="D58" s="21" t="s">
        <v>714</v>
      </c>
      <c r="E58" s="21" t="s">
        <v>751</v>
      </c>
      <c r="F58" s="21" t="s">
        <v>733</v>
      </c>
      <c r="G58" s="21" t="s">
        <v>777</v>
      </c>
      <c r="H58" s="21" t="s">
        <v>734</v>
      </c>
    </row>
    <row r="59" customFormat="false" ht="15" hidden="false" customHeight="false" outlineLevel="0" collapsed="false">
      <c r="B59" s="19" t="s">
        <v>778</v>
      </c>
      <c r="C59" s="20" t="n">
        <f aca="false">ROUND(13/FX,2)</f>
        <v>1.81</v>
      </c>
      <c r="D59" s="21" t="s">
        <v>714</v>
      </c>
      <c r="E59" s="21" t="s">
        <v>751</v>
      </c>
      <c r="F59" s="21" t="s">
        <v>733</v>
      </c>
      <c r="G59" s="21" t="s">
        <v>731</v>
      </c>
      <c r="H59" s="21" t="s">
        <v>734</v>
      </c>
    </row>
    <row r="60" customFormat="false" ht="15" hidden="false" customHeight="false" outlineLevel="0" collapsed="false">
      <c r="B60" s="19" t="s">
        <v>779</v>
      </c>
      <c r="C60" s="20" t="n">
        <f aca="false">ROUND(3.51/FX,2)</f>
        <v>0.49</v>
      </c>
      <c r="D60" s="21" t="s">
        <v>714</v>
      </c>
      <c r="E60" s="21" t="s">
        <v>751</v>
      </c>
      <c r="F60" s="21" t="s">
        <v>725</v>
      </c>
      <c r="G60" s="21" t="s">
        <v>709</v>
      </c>
      <c r="H60" s="21" t="s">
        <v>736</v>
      </c>
    </row>
    <row r="61" customFormat="false" ht="15" hidden="false" customHeight="false" outlineLevel="0" collapsed="false">
      <c r="B61" s="19" t="s">
        <v>780</v>
      </c>
      <c r="C61" s="20" t="n">
        <f aca="false">ROUND(35.1/FX,2)</f>
        <v>4.88</v>
      </c>
      <c r="D61" s="21" t="s">
        <v>714</v>
      </c>
      <c r="E61" s="21" t="s">
        <v>751</v>
      </c>
      <c r="F61" s="21" t="s">
        <v>725</v>
      </c>
      <c r="G61" s="21" t="s">
        <v>729</v>
      </c>
      <c r="H61" s="21" t="s">
        <v>736</v>
      </c>
    </row>
    <row r="62" customFormat="false" ht="15" hidden="false" customHeight="false" outlineLevel="0" collapsed="false">
      <c r="B62" s="19" t="s">
        <v>781</v>
      </c>
      <c r="C62" s="20" t="n">
        <f aca="false">ROUND(70.2/FX,2)</f>
        <v>9.75</v>
      </c>
      <c r="D62" s="21" t="s">
        <v>714</v>
      </c>
      <c r="E62" s="21" t="s">
        <v>751</v>
      </c>
      <c r="F62" s="21" t="s">
        <v>725</v>
      </c>
      <c r="G62" s="21" t="s">
        <v>741</v>
      </c>
      <c r="H62" s="21" t="s">
        <v>736</v>
      </c>
    </row>
    <row r="63" customFormat="false" ht="15" hidden="false" customHeight="false" outlineLevel="0" collapsed="false">
      <c r="B63" s="19" t="s">
        <v>782</v>
      </c>
      <c r="C63" s="20" t="n">
        <f aca="false">ROUND(17.55/FX,2)</f>
        <v>2.44</v>
      </c>
      <c r="D63" s="21" t="s">
        <v>714</v>
      </c>
      <c r="E63" s="21" t="s">
        <v>751</v>
      </c>
      <c r="F63" s="21" t="s">
        <v>725</v>
      </c>
      <c r="G63" s="21" t="s">
        <v>731</v>
      </c>
      <c r="H63" s="21" t="s">
        <v>736</v>
      </c>
    </row>
    <row r="64" customFormat="false" ht="15" hidden="false" customHeight="false" outlineLevel="0" collapsed="false">
      <c r="B64" s="19" t="s">
        <v>783</v>
      </c>
      <c r="C64" s="20" t="n">
        <f aca="false">ROUND(70.2/FX,2)</f>
        <v>9.75</v>
      </c>
      <c r="D64" s="21" t="s">
        <v>784</v>
      </c>
      <c r="E64" s="21" t="s">
        <v>724</v>
      </c>
      <c r="F64" s="21" t="s">
        <v>725</v>
      </c>
      <c r="G64" s="21" t="s">
        <v>729</v>
      </c>
      <c r="H64" s="21" t="s">
        <v>734</v>
      </c>
    </row>
    <row r="65" customFormat="false" ht="15" hidden="false" customHeight="false" outlineLevel="0" collapsed="false">
      <c r="B65" s="19" t="s">
        <v>785</v>
      </c>
      <c r="C65" s="20" t="n">
        <f aca="false">ROUND(9.1/FX,2)</f>
        <v>1.26</v>
      </c>
      <c r="D65" s="21" t="s">
        <v>784</v>
      </c>
      <c r="E65" s="21" t="s">
        <v>724</v>
      </c>
      <c r="F65" s="21" t="s">
        <v>725</v>
      </c>
      <c r="G65" s="21" t="s">
        <v>709</v>
      </c>
      <c r="H65" s="21" t="s">
        <v>736</v>
      </c>
    </row>
    <row r="66" customFormat="false" ht="15" hidden="false" customHeight="false" outlineLevel="0" collapsed="false">
      <c r="B66" s="19" t="s">
        <v>786</v>
      </c>
      <c r="C66" s="20" t="n">
        <f aca="false">ROUND(13/FX,2)</f>
        <v>1.81</v>
      </c>
      <c r="D66" s="21" t="s">
        <v>784</v>
      </c>
      <c r="E66" s="21" t="s">
        <v>724</v>
      </c>
      <c r="F66" s="21" t="s">
        <v>708</v>
      </c>
      <c r="G66" s="21" t="s">
        <v>709</v>
      </c>
      <c r="H66" s="21" t="s">
        <v>736</v>
      </c>
    </row>
    <row r="67" customFormat="false" ht="15" hidden="false" customHeight="false" outlineLevel="0" collapsed="false">
      <c r="B67" s="19" t="s">
        <v>787</v>
      </c>
      <c r="C67" s="20" t="n">
        <f aca="false">ROUND(9.1/FX,2)</f>
        <v>1.26</v>
      </c>
      <c r="D67" s="21" t="s">
        <v>784</v>
      </c>
      <c r="E67" s="21" t="s">
        <v>751</v>
      </c>
      <c r="F67" s="21" t="s">
        <v>725</v>
      </c>
      <c r="G67" s="21" t="s">
        <v>709</v>
      </c>
      <c r="H67" s="21" t="s">
        <v>736</v>
      </c>
    </row>
    <row r="68" customFormat="false" ht="15" hidden="false" customHeight="false" outlineLevel="0" collapsed="false">
      <c r="B68" s="19" t="s">
        <v>788</v>
      </c>
      <c r="C68" s="20" t="n">
        <f aca="false">ROUND(1.95/FX,2)</f>
        <v>0.27</v>
      </c>
      <c r="D68" s="21" t="s">
        <v>789</v>
      </c>
      <c r="E68" s="21" t="s">
        <v>724</v>
      </c>
      <c r="F68" s="21" t="s">
        <v>725</v>
      </c>
      <c r="G68" s="21" t="s">
        <v>709</v>
      </c>
      <c r="H68" s="21" t="s">
        <v>736</v>
      </c>
    </row>
    <row r="69" customFormat="false" ht="15" hidden="false" customHeight="false" outlineLevel="0" collapsed="false">
      <c r="B69" s="19" t="s">
        <v>790</v>
      </c>
      <c r="C69" s="20" t="n">
        <f aca="false">ROUND(195/FX,2)</f>
        <v>27.08</v>
      </c>
      <c r="D69" s="21" t="s">
        <v>789</v>
      </c>
      <c r="E69" s="21" t="s">
        <v>724</v>
      </c>
      <c r="F69" s="21" t="s">
        <v>725</v>
      </c>
      <c r="G69" s="21" t="s">
        <v>739</v>
      </c>
      <c r="H69" s="21" t="s">
        <v>736</v>
      </c>
    </row>
    <row r="70" customFormat="false" ht="15" hidden="false" customHeight="false" outlineLevel="0" collapsed="false">
      <c r="B70" s="19" t="s">
        <v>791</v>
      </c>
      <c r="C70" s="20" t="n">
        <f aca="false">ROUND(9.75/FX,2)</f>
        <v>1.35</v>
      </c>
      <c r="D70" s="21" t="s">
        <v>789</v>
      </c>
      <c r="E70" s="21" t="s">
        <v>724</v>
      </c>
      <c r="F70" s="21" t="s">
        <v>725</v>
      </c>
      <c r="G70" s="21" t="s">
        <v>731</v>
      </c>
      <c r="H70" s="21" t="s">
        <v>736</v>
      </c>
    </row>
    <row r="71" customFormat="false" ht="15" hidden="false" customHeight="false" outlineLevel="0" collapsed="false">
      <c r="B71" s="19" t="s">
        <v>792</v>
      </c>
      <c r="C71" s="20" t="n">
        <f aca="false">ROUND(4.42/FX,2)</f>
        <v>0.61</v>
      </c>
      <c r="D71" s="21" t="s">
        <v>789</v>
      </c>
      <c r="E71" s="21" t="s">
        <v>724</v>
      </c>
      <c r="F71" s="21" t="s">
        <v>712</v>
      </c>
      <c r="G71" s="21" t="s">
        <v>709</v>
      </c>
      <c r="H71" s="21" t="s">
        <v>734</v>
      </c>
    </row>
    <row r="72" customFormat="false" ht="15" hidden="false" customHeight="false" outlineLevel="0" collapsed="false">
      <c r="B72" s="19" t="s">
        <v>793</v>
      </c>
      <c r="C72" s="20" t="n">
        <f aca="false">ROUND(2.73/FX,2)</f>
        <v>0.38</v>
      </c>
      <c r="D72" s="21" t="s">
        <v>789</v>
      </c>
      <c r="E72" s="21" t="s">
        <v>724</v>
      </c>
      <c r="F72" s="21" t="s">
        <v>708</v>
      </c>
      <c r="G72" s="21" t="s">
        <v>709</v>
      </c>
      <c r="H72" s="21" t="s">
        <v>736</v>
      </c>
    </row>
    <row r="73" customFormat="false" ht="15" hidden="false" customHeight="false" outlineLevel="0" collapsed="false">
      <c r="B73" s="19" t="s">
        <v>794</v>
      </c>
      <c r="C73" s="20" t="n">
        <f aca="false">ROUND(1.95/FX,2)</f>
        <v>0.27</v>
      </c>
      <c r="D73" s="21" t="s">
        <v>789</v>
      </c>
      <c r="E73" s="21" t="s">
        <v>751</v>
      </c>
      <c r="F73" s="21" t="s">
        <v>725</v>
      </c>
      <c r="G73" s="21" t="s">
        <v>709</v>
      </c>
      <c r="H73" s="21" t="s">
        <v>736</v>
      </c>
    </row>
    <row r="74" customFormat="false" ht="15" hidden="false" customHeight="false" outlineLevel="0" collapsed="false">
      <c r="B74" s="19" t="s">
        <v>795</v>
      </c>
      <c r="C74" s="20" t="n">
        <f aca="false">ROUND(19.5/FX,2)</f>
        <v>2.71</v>
      </c>
      <c r="D74" s="21" t="s">
        <v>789</v>
      </c>
      <c r="E74" s="21" t="s">
        <v>751</v>
      </c>
      <c r="F74" s="21" t="s">
        <v>725</v>
      </c>
      <c r="G74" s="21" t="s">
        <v>729</v>
      </c>
      <c r="H74" s="21" t="s">
        <v>736</v>
      </c>
    </row>
    <row r="75" customFormat="false" ht="15" hidden="false" customHeight="false" outlineLevel="0" collapsed="false">
      <c r="B75" s="19" t="s">
        <v>796</v>
      </c>
      <c r="C75" s="20" t="n">
        <f aca="false">ROUND(195/FX,2)</f>
        <v>27.08</v>
      </c>
      <c r="D75" s="21" t="s">
        <v>789</v>
      </c>
      <c r="E75" s="21" t="s">
        <v>751</v>
      </c>
      <c r="F75" s="21" t="s">
        <v>725</v>
      </c>
      <c r="G75" s="21" t="s">
        <v>739</v>
      </c>
      <c r="H75" s="21" t="s">
        <v>736</v>
      </c>
    </row>
    <row r="76" customFormat="false" ht="15" hidden="false" customHeight="false" outlineLevel="0" collapsed="false">
      <c r="B76" s="19" t="s">
        <v>797</v>
      </c>
      <c r="C76" s="20" t="n">
        <f aca="false">ROUND(9.75/FX,2)</f>
        <v>1.35</v>
      </c>
      <c r="D76" s="21" t="s">
        <v>789</v>
      </c>
      <c r="E76" s="21" t="s">
        <v>751</v>
      </c>
      <c r="F76" s="21" t="s">
        <v>725</v>
      </c>
      <c r="G76" s="21" t="s">
        <v>731</v>
      </c>
      <c r="H76" s="21" t="s">
        <v>736</v>
      </c>
    </row>
    <row r="77" customFormat="false" ht="15" hidden="false" customHeight="false" outlineLevel="0" collapsed="false">
      <c r="B77" s="19" t="s">
        <v>798</v>
      </c>
      <c r="C77" s="20" t="n">
        <f aca="false">ROUND(97.5/FX,2)</f>
        <v>13.54</v>
      </c>
      <c r="D77" s="21" t="s">
        <v>789</v>
      </c>
      <c r="E77" s="21" t="s">
        <v>751</v>
      </c>
      <c r="F77" s="21" t="s">
        <v>725</v>
      </c>
      <c r="G77" s="21" t="s">
        <v>799</v>
      </c>
      <c r="H77" s="21" t="s">
        <v>736</v>
      </c>
    </row>
    <row r="78" customFormat="false" ht="15" hidden="false" customHeight="false" outlineLevel="0" collapsed="false">
      <c r="B78" s="19" t="s">
        <v>800</v>
      </c>
      <c r="C78" s="20" t="n">
        <f aca="false">ROUND(2.73/FX,2)</f>
        <v>0.38</v>
      </c>
      <c r="D78" s="21" t="s">
        <v>716</v>
      </c>
      <c r="E78" s="21" t="s">
        <v>724</v>
      </c>
      <c r="F78" s="21" t="s">
        <v>725</v>
      </c>
      <c r="G78" s="21" t="s">
        <v>709</v>
      </c>
      <c r="H78" s="21" t="s">
        <v>726</v>
      </c>
    </row>
    <row r="79" customFormat="false" ht="15" hidden="false" customHeight="false" outlineLevel="0" collapsed="false">
      <c r="B79" s="19" t="s">
        <v>801</v>
      </c>
      <c r="C79" s="20" t="n">
        <f aca="false">ROUND(11.7/FX,2)</f>
        <v>1.63</v>
      </c>
      <c r="D79" s="21" t="s">
        <v>716</v>
      </c>
      <c r="E79" s="21" t="s">
        <v>724</v>
      </c>
      <c r="F79" s="21" t="s">
        <v>725</v>
      </c>
      <c r="G79" s="21" t="s">
        <v>731</v>
      </c>
      <c r="H79" s="21" t="s">
        <v>726</v>
      </c>
    </row>
    <row r="80" customFormat="false" ht="15" hidden="false" customHeight="false" outlineLevel="0" collapsed="false">
      <c r="B80" s="19" t="s">
        <v>802</v>
      </c>
      <c r="C80" s="20" t="n">
        <f aca="false">ROUND(3.25/FX,2)</f>
        <v>0.45</v>
      </c>
      <c r="D80" s="21" t="s">
        <v>716</v>
      </c>
      <c r="E80" s="21" t="s">
        <v>724</v>
      </c>
      <c r="F80" s="21" t="s">
        <v>733</v>
      </c>
      <c r="G80" s="21" t="s">
        <v>709</v>
      </c>
      <c r="H80" s="21" t="s">
        <v>734</v>
      </c>
    </row>
    <row r="81" customFormat="false" ht="15" hidden="false" customHeight="false" outlineLevel="0" collapsed="false">
      <c r="B81" s="19" t="s">
        <v>803</v>
      </c>
      <c r="C81" s="20" t="n">
        <f aca="false">ROUND(1.69/FX,2)</f>
        <v>0.23</v>
      </c>
      <c r="D81" s="21" t="s">
        <v>716</v>
      </c>
      <c r="E81" s="21" t="s">
        <v>724</v>
      </c>
      <c r="F81" s="21" t="s">
        <v>725</v>
      </c>
      <c r="G81" s="21" t="s">
        <v>709</v>
      </c>
      <c r="H81" s="21" t="s">
        <v>734</v>
      </c>
    </row>
    <row r="82" customFormat="false" ht="15" hidden="false" customHeight="false" outlineLevel="0" collapsed="false">
      <c r="B82" s="19" t="s">
        <v>804</v>
      </c>
      <c r="C82" s="20" t="n">
        <f aca="false">ROUND(1.95/FX,2)</f>
        <v>0.27</v>
      </c>
      <c r="D82" s="21" t="s">
        <v>716</v>
      </c>
      <c r="E82" s="21" t="s">
        <v>724</v>
      </c>
      <c r="F82" s="21" t="s">
        <v>725</v>
      </c>
      <c r="G82" s="21" t="s">
        <v>709</v>
      </c>
      <c r="H82" s="21" t="s">
        <v>736</v>
      </c>
    </row>
    <row r="83" customFormat="false" ht="15" hidden="false" customHeight="false" outlineLevel="0" collapsed="false">
      <c r="B83" s="19" t="s">
        <v>805</v>
      </c>
      <c r="C83" s="20" t="n">
        <f aca="false">ROUND(19.5/FX,2)</f>
        <v>2.71</v>
      </c>
      <c r="D83" s="21" t="s">
        <v>716</v>
      </c>
      <c r="E83" s="21" t="s">
        <v>724</v>
      </c>
      <c r="F83" s="21" t="s">
        <v>725</v>
      </c>
      <c r="G83" s="21" t="s">
        <v>729</v>
      </c>
      <c r="H83" s="21" t="s">
        <v>736</v>
      </c>
    </row>
    <row r="84" customFormat="false" ht="15" hidden="false" customHeight="false" outlineLevel="0" collapsed="false">
      <c r="B84" s="19" t="s">
        <v>806</v>
      </c>
      <c r="C84" s="20" t="n">
        <f aca="false">ROUND(9.75/FX,2)</f>
        <v>1.35</v>
      </c>
      <c r="D84" s="21" t="s">
        <v>716</v>
      </c>
      <c r="E84" s="21" t="s">
        <v>724</v>
      </c>
      <c r="F84" s="21" t="s">
        <v>725</v>
      </c>
      <c r="G84" s="21" t="s">
        <v>731</v>
      </c>
      <c r="H84" s="21" t="s">
        <v>736</v>
      </c>
    </row>
    <row r="85" customFormat="false" ht="15" hidden="false" customHeight="false" outlineLevel="0" collapsed="false">
      <c r="B85" s="19" t="s">
        <v>807</v>
      </c>
      <c r="C85" s="20" t="n">
        <f aca="false">ROUND(4.29/FX,2)</f>
        <v>0.6</v>
      </c>
      <c r="D85" s="21" t="s">
        <v>716</v>
      </c>
      <c r="E85" s="21" t="s">
        <v>724</v>
      </c>
      <c r="F85" s="21" t="s">
        <v>712</v>
      </c>
      <c r="G85" s="21" t="s">
        <v>709</v>
      </c>
      <c r="H85" s="21" t="s">
        <v>734</v>
      </c>
    </row>
    <row r="86" customFormat="false" ht="15" hidden="false" customHeight="false" outlineLevel="0" collapsed="false">
      <c r="B86" s="19" t="s">
        <v>808</v>
      </c>
      <c r="C86" s="20" t="n">
        <f aca="false">ROUND(2.99/FX,2)</f>
        <v>0.42</v>
      </c>
      <c r="D86" s="21" t="s">
        <v>716</v>
      </c>
      <c r="E86" s="21" t="s">
        <v>724</v>
      </c>
      <c r="F86" s="21" t="s">
        <v>708</v>
      </c>
      <c r="G86" s="21" t="s">
        <v>709</v>
      </c>
      <c r="H86" s="21" t="s">
        <v>734</v>
      </c>
    </row>
    <row r="87" customFormat="false" ht="15" hidden="false" customHeight="false" outlineLevel="0" collapsed="false">
      <c r="B87" s="19" t="s">
        <v>809</v>
      </c>
      <c r="C87" s="20" t="n">
        <f aca="false">ROUND(2.99/FX,2)</f>
        <v>0.42</v>
      </c>
      <c r="D87" s="21" t="s">
        <v>716</v>
      </c>
      <c r="E87" s="21" t="s">
        <v>724</v>
      </c>
      <c r="F87" s="21" t="s">
        <v>708</v>
      </c>
      <c r="G87" s="21" t="s">
        <v>709</v>
      </c>
      <c r="H87" s="21" t="s">
        <v>736</v>
      </c>
    </row>
    <row r="88" customFormat="false" ht="28.35" hidden="false" customHeight="false" outlineLevel="0" collapsed="false">
      <c r="B88" s="19" t="s">
        <v>810</v>
      </c>
      <c r="C88" s="20" t="n">
        <f aca="false">ROUND(2.73/FX,2)</f>
        <v>0.38</v>
      </c>
      <c r="D88" s="21" t="s">
        <v>716</v>
      </c>
      <c r="E88" s="21" t="s">
        <v>751</v>
      </c>
      <c r="F88" s="21" t="s">
        <v>725</v>
      </c>
      <c r="G88" s="21" t="s">
        <v>709</v>
      </c>
      <c r="H88" s="21" t="s">
        <v>752</v>
      </c>
    </row>
    <row r="89" customFormat="false" ht="15" hidden="false" customHeight="false" outlineLevel="0" collapsed="false">
      <c r="B89" s="19" t="s">
        <v>811</v>
      </c>
      <c r="C89" s="20" t="n">
        <f aca="false">ROUND(1.95/FX,2)</f>
        <v>0.27</v>
      </c>
      <c r="D89" s="21" t="s">
        <v>716</v>
      </c>
      <c r="E89" s="21" t="s">
        <v>751</v>
      </c>
      <c r="F89" s="21" t="s">
        <v>725</v>
      </c>
      <c r="G89" s="21" t="s">
        <v>709</v>
      </c>
      <c r="H89" s="21" t="s">
        <v>736</v>
      </c>
    </row>
    <row r="90" customFormat="false" ht="15" hidden="false" customHeight="false" outlineLevel="0" collapsed="false">
      <c r="B90" s="19" t="s">
        <v>812</v>
      </c>
      <c r="C90" s="20" t="n">
        <f aca="false">ROUND(19.5/FX,2)</f>
        <v>2.71</v>
      </c>
      <c r="D90" s="21" t="s">
        <v>716</v>
      </c>
      <c r="E90" s="21" t="s">
        <v>751</v>
      </c>
      <c r="F90" s="21" t="s">
        <v>725</v>
      </c>
      <c r="G90" s="21" t="s">
        <v>729</v>
      </c>
      <c r="H90" s="21" t="s">
        <v>736</v>
      </c>
    </row>
    <row r="91" customFormat="false" ht="15" hidden="false" customHeight="false" outlineLevel="0" collapsed="false">
      <c r="B91" s="19" t="s">
        <v>813</v>
      </c>
      <c r="C91" s="20" t="n">
        <f aca="false">ROUND(9.75/FX,2)</f>
        <v>1.35</v>
      </c>
      <c r="D91" s="21" t="s">
        <v>716</v>
      </c>
      <c r="E91" s="21" t="s">
        <v>751</v>
      </c>
      <c r="F91" s="21" t="s">
        <v>725</v>
      </c>
      <c r="G91" s="21" t="s">
        <v>731</v>
      </c>
      <c r="H91" s="21" t="s">
        <v>736</v>
      </c>
    </row>
    <row r="92" customFormat="false" ht="15" hidden="false" customHeight="false" outlineLevel="0" collapsed="false">
      <c r="B92" s="19" t="s">
        <v>814</v>
      </c>
      <c r="C92" s="20" t="n">
        <f aca="false">ROUND(2.11/FX,2)</f>
        <v>0.29</v>
      </c>
      <c r="D92" s="21" t="s">
        <v>719</v>
      </c>
      <c r="E92" s="21" t="s">
        <v>724</v>
      </c>
      <c r="F92" s="21" t="s">
        <v>725</v>
      </c>
      <c r="G92" s="21" t="s">
        <v>709</v>
      </c>
      <c r="H92" s="21" t="s">
        <v>736</v>
      </c>
    </row>
    <row r="93" customFormat="false" ht="15" hidden="false" customHeight="false" outlineLevel="0" collapsed="false">
      <c r="B93" s="19" t="s">
        <v>815</v>
      </c>
      <c r="C93" s="20" t="n">
        <f aca="false">ROUND(2.11/FX,2)</f>
        <v>0.29</v>
      </c>
      <c r="D93" s="21" t="s">
        <v>719</v>
      </c>
      <c r="E93" s="21" t="s">
        <v>724</v>
      </c>
      <c r="F93" s="21" t="s">
        <v>725</v>
      </c>
      <c r="G93" s="21" t="s">
        <v>756</v>
      </c>
      <c r="H93" s="21" t="s">
        <v>736</v>
      </c>
    </row>
    <row r="94" customFormat="false" ht="15" hidden="false" customHeight="false" outlineLevel="0" collapsed="false">
      <c r="B94" s="19" t="s">
        <v>816</v>
      </c>
      <c r="C94" s="20" t="n">
        <f aca="false">ROUND(21.06/FX,2)</f>
        <v>2.93</v>
      </c>
      <c r="D94" s="21" t="s">
        <v>719</v>
      </c>
      <c r="E94" s="21" t="s">
        <v>724</v>
      </c>
      <c r="F94" s="21" t="s">
        <v>725</v>
      </c>
      <c r="G94" s="21" t="s">
        <v>729</v>
      </c>
      <c r="H94" s="21" t="s">
        <v>736</v>
      </c>
    </row>
    <row r="95" customFormat="false" ht="15" hidden="false" customHeight="false" outlineLevel="0" collapsed="false">
      <c r="B95" s="19" t="s">
        <v>817</v>
      </c>
      <c r="C95" s="20" t="n">
        <f aca="false">ROUND(10.53/FX,2)</f>
        <v>1.46</v>
      </c>
      <c r="D95" s="21" t="s">
        <v>719</v>
      </c>
      <c r="E95" s="21" t="s">
        <v>724</v>
      </c>
      <c r="F95" s="21" t="s">
        <v>725</v>
      </c>
      <c r="G95" s="21" t="s">
        <v>731</v>
      </c>
      <c r="H95" s="21" t="s">
        <v>736</v>
      </c>
    </row>
    <row r="96" customFormat="false" ht="15" hidden="false" customHeight="false" outlineLevel="0" collapsed="false">
      <c r="B96" s="19" t="s">
        <v>818</v>
      </c>
      <c r="C96" s="20" t="n">
        <f aca="false">ROUND(13.91/FX,2)</f>
        <v>1.93</v>
      </c>
      <c r="D96" s="21" t="s">
        <v>719</v>
      </c>
      <c r="E96" s="21" t="s">
        <v>724</v>
      </c>
      <c r="F96" s="21" t="s">
        <v>744</v>
      </c>
      <c r="G96" s="21" t="s">
        <v>709</v>
      </c>
      <c r="H96" s="21" t="s">
        <v>734</v>
      </c>
    </row>
    <row r="97" customFormat="false" ht="15" hidden="false" customHeight="false" outlineLevel="0" collapsed="false">
      <c r="B97" s="19" t="s">
        <v>819</v>
      </c>
      <c r="C97" s="20" t="n">
        <f aca="false">ROUND(69.55/FX,2)</f>
        <v>9.66</v>
      </c>
      <c r="D97" s="21" t="s">
        <v>719</v>
      </c>
      <c r="E97" s="21" t="s">
        <v>724</v>
      </c>
      <c r="F97" s="21" t="s">
        <v>744</v>
      </c>
      <c r="G97" s="21" t="s">
        <v>731</v>
      </c>
      <c r="H97" s="21" t="s">
        <v>734</v>
      </c>
    </row>
    <row r="98" customFormat="false" ht="15" hidden="false" customHeight="false" outlineLevel="0" collapsed="false">
      <c r="B98" s="19" t="s">
        <v>820</v>
      </c>
      <c r="C98" s="20" t="n">
        <f aca="false">ROUND(6.63/FX,2)</f>
        <v>0.92</v>
      </c>
      <c r="D98" s="21" t="s">
        <v>719</v>
      </c>
      <c r="E98" s="21" t="s">
        <v>724</v>
      </c>
      <c r="F98" s="21" t="s">
        <v>712</v>
      </c>
      <c r="G98" s="21" t="s">
        <v>709</v>
      </c>
      <c r="H98" s="21" t="s">
        <v>734</v>
      </c>
    </row>
    <row r="99" customFormat="false" ht="15" hidden="false" customHeight="false" outlineLevel="0" collapsed="false">
      <c r="B99" s="19" t="s">
        <v>821</v>
      </c>
      <c r="C99" s="20" t="n">
        <f aca="false">ROUND(4.49/FX,2)</f>
        <v>0.62</v>
      </c>
      <c r="D99" s="21" t="s">
        <v>719</v>
      </c>
      <c r="E99" s="21" t="s">
        <v>724</v>
      </c>
      <c r="F99" s="21" t="s">
        <v>708</v>
      </c>
      <c r="G99" s="21" t="s">
        <v>709</v>
      </c>
      <c r="H99" s="21" t="s">
        <v>734</v>
      </c>
    </row>
    <row r="100" customFormat="false" ht="15" hidden="false" customHeight="false" outlineLevel="0" collapsed="false">
      <c r="B100" s="19" t="s">
        <v>822</v>
      </c>
      <c r="C100" s="20" t="n">
        <f aca="false">ROUND(4.49/FX,2)</f>
        <v>0.62</v>
      </c>
      <c r="D100" s="21" t="s">
        <v>719</v>
      </c>
      <c r="E100" s="21" t="s">
        <v>724</v>
      </c>
      <c r="F100" s="21" t="s">
        <v>708</v>
      </c>
      <c r="G100" s="21" t="s">
        <v>756</v>
      </c>
      <c r="H100" s="21" t="s">
        <v>734</v>
      </c>
    </row>
    <row r="101" customFormat="false" ht="15" hidden="false" customHeight="false" outlineLevel="0" collapsed="false">
      <c r="B101" s="19" t="s">
        <v>823</v>
      </c>
      <c r="C101" s="20" t="n">
        <f aca="false">ROUND(13.47/FX,2)</f>
        <v>1.87</v>
      </c>
      <c r="D101" s="21" t="s">
        <v>719</v>
      </c>
      <c r="E101" s="21" t="s">
        <v>724</v>
      </c>
      <c r="F101" s="21" t="s">
        <v>708</v>
      </c>
      <c r="G101" s="21" t="s">
        <v>824</v>
      </c>
      <c r="H101" s="21" t="s">
        <v>734</v>
      </c>
    </row>
    <row r="102" customFormat="false" ht="15" hidden="false" customHeight="false" outlineLevel="0" collapsed="false">
      <c r="B102" s="19" t="s">
        <v>825</v>
      </c>
      <c r="C102" s="20" t="n">
        <f aca="false">ROUND(4.49/FX,2)</f>
        <v>0.62</v>
      </c>
      <c r="D102" s="21" t="s">
        <v>719</v>
      </c>
      <c r="E102" s="21" t="s">
        <v>724</v>
      </c>
      <c r="F102" s="21" t="s">
        <v>708</v>
      </c>
      <c r="G102" s="21" t="s">
        <v>709</v>
      </c>
      <c r="H102" s="21" t="s">
        <v>736</v>
      </c>
    </row>
    <row r="103" customFormat="false" ht="15" hidden="false" customHeight="false" outlineLevel="0" collapsed="false">
      <c r="B103" s="19" t="s">
        <v>826</v>
      </c>
      <c r="C103" s="20" t="n">
        <f aca="false">ROUND(2.6/FX,2)</f>
        <v>0.36</v>
      </c>
      <c r="D103" s="21" t="s">
        <v>719</v>
      </c>
      <c r="E103" s="21" t="s">
        <v>751</v>
      </c>
      <c r="F103" s="21" t="s">
        <v>725</v>
      </c>
      <c r="G103" s="21" t="s">
        <v>709</v>
      </c>
      <c r="H103" s="21" t="s">
        <v>736</v>
      </c>
    </row>
    <row r="104" customFormat="false" ht="15" hidden="false" customHeight="false" outlineLevel="0" collapsed="false">
      <c r="B104" s="19" t="s">
        <v>827</v>
      </c>
      <c r="C104" s="20" t="n">
        <f aca="false">ROUND(21.06/FX,2)</f>
        <v>2.93</v>
      </c>
      <c r="D104" s="21" t="s">
        <v>719</v>
      </c>
      <c r="E104" s="21" t="s">
        <v>751</v>
      </c>
      <c r="F104" s="21" t="s">
        <v>725</v>
      </c>
      <c r="G104" s="21" t="s">
        <v>729</v>
      </c>
      <c r="H104" s="21" t="s">
        <v>736</v>
      </c>
    </row>
    <row r="105" customFormat="false" ht="15" hidden="false" customHeight="false" outlineLevel="0" collapsed="false">
      <c r="B105" s="19" t="s">
        <v>828</v>
      </c>
      <c r="C105" s="20" t="n">
        <f aca="false">ROUND(10.53/FX,2)</f>
        <v>1.46</v>
      </c>
      <c r="D105" s="21" t="s">
        <v>719</v>
      </c>
      <c r="E105" s="21" t="s">
        <v>751</v>
      </c>
      <c r="F105" s="21" t="s">
        <v>725</v>
      </c>
      <c r="G105" s="21" t="s">
        <v>731</v>
      </c>
      <c r="H105" s="21" t="s">
        <v>736</v>
      </c>
    </row>
    <row r="108" customFormat="false" ht="61.5" hidden="false" customHeight="true" outlineLevel="0" collapsed="false">
      <c r="A108" s="9"/>
      <c r="B108" s="10" t="s">
        <v>829</v>
      </c>
      <c r="C108" s="10"/>
      <c r="D108" s="10"/>
      <c r="E108" s="10"/>
      <c r="F108" s="10"/>
      <c r="G108" s="10"/>
    </row>
    <row r="109" customFormat="false" ht="15" hidden="false" customHeight="false" outlineLevel="0" collapsed="false">
      <c r="A109" s="12" t="s">
        <v>700</v>
      </c>
      <c r="B109" s="13" t="s">
        <v>701</v>
      </c>
      <c r="C109" s="13" t="s">
        <v>702</v>
      </c>
      <c r="D109" s="13" t="s">
        <v>830</v>
      </c>
      <c r="E109" s="13" t="s">
        <v>703</v>
      </c>
      <c r="F109" s="13" t="s">
        <v>722</v>
      </c>
      <c r="G109" s="13" t="s">
        <v>831</v>
      </c>
    </row>
    <row r="110" customFormat="false" ht="30" hidden="false" customHeight="true" outlineLevel="0" collapsed="false">
      <c r="A110" s="14" t="s">
        <v>706</v>
      </c>
      <c r="B110" s="15" t="str">
        <f aca="false">IF(COUNTIFS($D$113:$D$900,IF(D110="","*",D110),$E$113:$E$900,IF(E110="","*",E110),$F$113:$F$900,IF(F110="","*",F110),$G$113:$G$900,IF(G110="","*",G110))=1,INDEX($B:$B,SUMPRODUCT(((D110="")+($D$113:$D$900=D110)&gt;0)*((E110="")+($E$113:$E$900=E110)&gt;0)*((F110="")+($F$113:$F$900=F110)&gt;0)*((G110="")+($G$113:$G$900=G110)&gt;0)*ROW($B$113:$B$900))),IF(COUNTIFS($D$113:$D$900,IF(D110="","*",D110),$E$113:$E$900,IF(E110="","*",E110),$F$113:$F$900,IF(F110="","*",F110),$G$113:$G$900,IF(G110="","*",G110))=0,"Not available",COUNTIFS($D$113:$D$900,IF(D110="","*",D110),$E$113:$E$900,IF(E110="","*",E110),$F$113:$F$900,IF(F110="","*",F110),$G$113:$G$900,IF(G110="","*",G110))&amp;" match, keep choosing"))</f>
        <v>2GT-162-10</v>
      </c>
      <c r="C110" s="16" t="n">
        <f aca="false">IF(COUNTIFS($D$113:$D$900,IF(D110="","*",D110),$E$113:$E$900,IF(E110="","*",E110),$F$113:$F$900,IF(F110="","*",F110),$G$113:$G$900,IF(G110="","*",G110))=1,INDEX($C:$C,SUMPRODUCT(((D110="")+($D$113:$D$900=D110)&gt;0)*((E110="")+($E$113:$E$900=E110)&gt;0)*((F110="")+($F$113:$F$900=F110)&gt;0)*((G110="")+($G$113:$G$900=G110)&gt;0)*ROW($B$113:$B$900))),"")</f>
        <v>0.19</v>
      </c>
      <c r="D110" s="17" t="s">
        <v>832</v>
      </c>
      <c r="E110" s="17" t="s">
        <v>707</v>
      </c>
      <c r="F110" s="17" t="s">
        <v>724</v>
      </c>
      <c r="G110" s="17" t="s">
        <v>833</v>
      </c>
    </row>
    <row r="112" customFormat="false" ht="15" hidden="false" customHeight="false" outlineLevel="0" collapsed="false">
      <c r="B112" s="18" t="s">
        <v>701</v>
      </c>
      <c r="C112" s="18" t="s">
        <v>702</v>
      </c>
      <c r="D112" s="18" t="s">
        <v>830</v>
      </c>
      <c r="E112" s="18" t="s">
        <v>703</v>
      </c>
      <c r="F112" s="18" t="s">
        <v>722</v>
      </c>
      <c r="G112" s="18" t="s">
        <v>831</v>
      </c>
    </row>
    <row r="113" customFormat="false" ht="15" hidden="false" customHeight="false" outlineLevel="0" collapsed="false">
      <c r="B113" s="19" t="s">
        <v>834</v>
      </c>
      <c r="C113" s="20" t="n">
        <f aca="false">ROUND(1.4/FX,2)</f>
        <v>0.19</v>
      </c>
      <c r="D113" s="21" t="s">
        <v>832</v>
      </c>
      <c r="E113" s="21" t="s">
        <v>707</v>
      </c>
      <c r="F113" s="21" t="s">
        <v>724</v>
      </c>
      <c r="G113" s="21" t="s">
        <v>833</v>
      </c>
    </row>
    <row r="114" customFormat="false" ht="15" hidden="false" customHeight="false" outlineLevel="0" collapsed="false">
      <c r="B114" s="19" t="s">
        <v>835</v>
      </c>
      <c r="C114" s="20" t="n">
        <f aca="false">ROUND(3.58/FX,2)</f>
        <v>0.5</v>
      </c>
      <c r="D114" s="21" t="s">
        <v>832</v>
      </c>
      <c r="E114" s="21" t="s">
        <v>714</v>
      </c>
      <c r="F114" s="21" t="s">
        <v>724</v>
      </c>
      <c r="G114" s="21" t="s">
        <v>833</v>
      </c>
    </row>
    <row r="115" customFormat="false" ht="15" hidden="false" customHeight="false" outlineLevel="0" collapsed="false">
      <c r="B115" s="19" t="s">
        <v>836</v>
      </c>
      <c r="C115" s="20" t="n">
        <f aca="false">ROUND(0.65/FX,2)</f>
        <v>0.09</v>
      </c>
      <c r="D115" s="21" t="s">
        <v>832</v>
      </c>
      <c r="E115" s="21" t="s">
        <v>837</v>
      </c>
      <c r="F115" s="21" t="s">
        <v>724</v>
      </c>
      <c r="G115" s="21" t="s">
        <v>833</v>
      </c>
    </row>
    <row r="116" customFormat="false" ht="15" hidden="false" customHeight="false" outlineLevel="0" collapsed="false">
      <c r="B116" s="19" t="s">
        <v>838</v>
      </c>
      <c r="C116" s="20" t="n">
        <f aca="false">ROUND(0.59/FX,2)</f>
        <v>0.08</v>
      </c>
      <c r="D116" s="21" t="s">
        <v>832</v>
      </c>
      <c r="E116" s="21" t="s">
        <v>839</v>
      </c>
      <c r="F116" s="21" t="s">
        <v>724</v>
      </c>
      <c r="G116" s="21" t="s">
        <v>833</v>
      </c>
    </row>
    <row r="117" customFormat="false" ht="15" hidden="false" customHeight="false" outlineLevel="0" collapsed="false">
      <c r="B117" s="19" t="s">
        <v>840</v>
      </c>
      <c r="C117" s="20" t="n">
        <f aca="false">ROUND(1.14/FX,2)</f>
        <v>0.16</v>
      </c>
      <c r="D117" s="21" t="s">
        <v>832</v>
      </c>
      <c r="E117" s="21" t="s">
        <v>841</v>
      </c>
      <c r="F117" s="21" t="s">
        <v>724</v>
      </c>
      <c r="G117" s="21" t="s">
        <v>833</v>
      </c>
    </row>
    <row r="118" customFormat="false" ht="15" hidden="false" customHeight="false" outlineLevel="0" collapsed="false">
      <c r="B118" s="19" t="s">
        <v>842</v>
      </c>
      <c r="C118" s="20" t="n">
        <f aca="false">ROUND(0.7/FX,2)</f>
        <v>0.1</v>
      </c>
      <c r="D118" s="21" t="s">
        <v>832</v>
      </c>
      <c r="E118" s="21" t="s">
        <v>789</v>
      </c>
      <c r="F118" s="21" t="s">
        <v>724</v>
      </c>
      <c r="G118" s="21" t="s">
        <v>833</v>
      </c>
    </row>
    <row r="119" customFormat="false" ht="15" hidden="false" customHeight="false" outlineLevel="0" collapsed="false">
      <c r="B119" s="19" t="s">
        <v>843</v>
      </c>
      <c r="C119" s="20" t="n">
        <f aca="false">ROUND(0.85/FX,2)</f>
        <v>0.12</v>
      </c>
      <c r="D119" s="21" t="s">
        <v>832</v>
      </c>
      <c r="E119" s="21" t="s">
        <v>716</v>
      </c>
      <c r="F119" s="21" t="s">
        <v>724</v>
      </c>
      <c r="G119" s="21" t="s">
        <v>833</v>
      </c>
    </row>
    <row r="120" customFormat="false" ht="15" hidden="false" customHeight="false" outlineLevel="0" collapsed="false">
      <c r="B120" s="19" t="s">
        <v>844</v>
      </c>
      <c r="C120" s="20" t="n">
        <f aca="false">ROUND(1.14/FX,2)</f>
        <v>0.16</v>
      </c>
      <c r="D120" s="21" t="s">
        <v>832</v>
      </c>
      <c r="E120" s="21" t="s">
        <v>845</v>
      </c>
      <c r="F120" s="21" t="s">
        <v>724</v>
      </c>
      <c r="G120" s="21" t="s">
        <v>833</v>
      </c>
    </row>
    <row r="121" customFormat="false" ht="15" hidden="false" customHeight="false" outlineLevel="0" collapsed="false">
      <c r="B121" s="19" t="s">
        <v>846</v>
      </c>
      <c r="C121" s="20" t="n">
        <f aca="false">ROUND(1.14/FX,2)</f>
        <v>0.16</v>
      </c>
      <c r="D121" s="21" t="s">
        <v>832</v>
      </c>
      <c r="E121" s="21" t="s">
        <v>847</v>
      </c>
      <c r="F121" s="21" t="s">
        <v>724</v>
      </c>
      <c r="G121" s="21" t="s">
        <v>833</v>
      </c>
    </row>
    <row r="122" customFormat="false" ht="15" hidden="false" customHeight="false" outlineLevel="0" collapsed="false">
      <c r="B122" s="19" t="s">
        <v>848</v>
      </c>
      <c r="C122" s="20" t="n">
        <f aca="false">ROUND(2.73/FX,2)</f>
        <v>0.38</v>
      </c>
      <c r="D122" s="21" t="s">
        <v>832</v>
      </c>
      <c r="E122" s="21" t="s">
        <v>719</v>
      </c>
      <c r="F122" s="21" t="s">
        <v>724</v>
      </c>
      <c r="G122" s="21" t="s">
        <v>833</v>
      </c>
    </row>
    <row r="123" customFormat="false" ht="15" hidden="false" customHeight="false" outlineLevel="0" collapsed="false">
      <c r="B123" s="19" t="s">
        <v>849</v>
      </c>
      <c r="C123" s="20" t="n">
        <f aca="false">ROUND(1.82/FX,2)</f>
        <v>0.25</v>
      </c>
      <c r="D123" s="21" t="s">
        <v>850</v>
      </c>
      <c r="E123" s="21" t="s">
        <v>707</v>
      </c>
      <c r="F123" s="21" t="s">
        <v>724</v>
      </c>
      <c r="G123" s="21" t="s">
        <v>833</v>
      </c>
    </row>
    <row r="124" customFormat="false" ht="15" hidden="false" customHeight="false" outlineLevel="0" collapsed="false">
      <c r="B124" s="19" t="s">
        <v>851</v>
      </c>
      <c r="C124" s="20" t="n">
        <f aca="false">ROUND(3.58/FX,2)</f>
        <v>0.5</v>
      </c>
      <c r="D124" s="21" t="s">
        <v>850</v>
      </c>
      <c r="E124" s="21" t="s">
        <v>714</v>
      </c>
      <c r="F124" s="21" t="s">
        <v>724</v>
      </c>
      <c r="G124" s="21" t="s">
        <v>833</v>
      </c>
    </row>
    <row r="125" customFormat="false" ht="15" hidden="false" customHeight="false" outlineLevel="0" collapsed="false">
      <c r="B125" s="19" t="s">
        <v>852</v>
      </c>
      <c r="C125" s="20" t="n">
        <f aca="false">ROUND(0.65/FX,2)</f>
        <v>0.09</v>
      </c>
      <c r="D125" s="21" t="s">
        <v>850</v>
      </c>
      <c r="E125" s="21" t="s">
        <v>837</v>
      </c>
      <c r="F125" s="21" t="s">
        <v>724</v>
      </c>
      <c r="G125" s="21" t="s">
        <v>833</v>
      </c>
    </row>
    <row r="126" customFormat="false" ht="15" hidden="false" customHeight="false" outlineLevel="0" collapsed="false">
      <c r="B126" s="19" t="s">
        <v>853</v>
      </c>
      <c r="C126" s="20" t="n">
        <f aca="false">ROUND(1.13/FX,2)</f>
        <v>0.16</v>
      </c>
      <c r="D126" s="21" t="s">
        <v>850</v>
      </c>
      <c r="E126" s="21" t="s">
        <v>839</v>
      </c>
      <c r="F126" s="21" t="s">
        <v>724</v>
      </c>
      <c r="G126" s="21" t="s">
        <v>833</v>
      </c>
    </row>
    <row r="127" customFormat="false" ht="15" hidden="false" customHeight="false" outlineLevel="0" collapsed="false">
      <c r="B127" s="19" t="s">
        <v>854</v>
      </c>
      <c r="C127" s="20" t="n">
        <f aca="false">ROUND(0.73/FX,2)</f>
        <v>0.1</v>
      </c>
      <c r="D127" s="21" t="s">
        <v>850</v>
      </c>
      <c r="E127" s="21" t="s">
        <v>841</v>
      </c>
      <c r="F127" s="21" t="s">
        <v>724</v>
      </c>
      <c r="G127" s="21" t="s">
        <v>833</v>
      </c>
    </row>
    <row r="128" customFormat="false" ht="15" hidden="false" customHeight="false" outlineLevel="0" collapsed="false">
      <c r="B128" s="19" t="s">
        <v>855</v>
      </c>
      <c r="C128" s="20" t="n">
        <f aca="false">ROUND(0.98/FX,2)</f>
        <v>0.14</v>
      </c>
      <c r="D128" s="21" t="s">
        <v>850</v>
      </c>
      <c r="E128" s="21" t="s">
        <v>789</v>
      </c>
      <c r="F128" s="21" t="s">
        <v>724</v>
      </c>
      <c r="G128" s="21" t="s">
        <v>833</v>
      </c>
    </row>
    <row r="129" customFormat="false" ht="15" hidden="false" customHeight="false" outlineLevel="0" collapsed="false">
      <c r="B129" s="19" t="s">
        <v>856</v>
      </c>
      <c r="C129" s="20" t="n">
        <f aca="false">ROUND(0.84/FX,2)</f>
        <v>0.12</v>
      </c>
      <c r="D129" s="21" t="s">
        <v>850</v>
      </c>
      <c r="E129" s="21" t="s">
        <v>716</v>
      </c>
      <c r="F129" s="21" t="s">
        <v>724</v>
      </c>
      <c r="G129" s="21" t="s">
        <v>833</v>
      </c>
    </row>
    <row r="130" customFormat="false" ht="15" hidden="false" customHeight="false" outlineLevel="0" collapsed="false">
      <c r="B130" s="19" t="s">
        <v>857</v>
      </c>
      <c r="C130" s="20" t="n">
        <f aca="false">ROUND(1.14/FX,2)</f>
        <v>0.16</v>
      </c>
      <c r="D130" s="21" t="s">
        <v>850</v>
      </c>
      <c r="E130" s="21" t="s">
        <v>845</v>
      </c>
      <c r="F130" s="21" t="s">
        <v>724</v>
      </c>
      <c r="G130" s="21" t="s">
        <v>833</v>
      </c>
    </row>
    <row r="131" customFormat="false" ht="15" hidden="false" customHeight="false" outlineLevel="0" collapsed="false">
      <c r="B131" s="19" t="s">
        <v>858</v>
      </c>
      <c r="C131" s="20" t="n">
        <f aca="false">ROUND(1.14/FX,2)</f>
        <v>0.16</v>
      </c>
      <c r="D131" s="21" t="s">
        <v>850</v>
      </c>
      <c r="E131" s="21" t="s">
        <v>847</v>
      </c>
      <c r="F131" s="21" t="s">
        <v>724</v>
      </c>
      <c r="G131" s="21" t="s">
        <v>833</v>
      </c>
    </row>
    <row r="132" customFormat="false" ht="15" hidden="false" customHeight="false" outlineLevel="0" collapsed="false">
      <c r="B132" s="19" t="s">
        <v>859</v>
      </c>
      <c r="C132" s="20" t="n">
        <f aca="false">ROUND(1.65/FX,2)</f>
        <v>0.23</v>
      </c>
      <c r="D132" s="21" t="s">
        <v>850</v>
      </c>
      <c r="E132" s="21" t="s">
        <v>719</v>
      </c>
      <c r="F132" s="21" t="s">
        <v>724</v>
      </c>
      <c r="G132" s="21" t="s">
        <v>833</v>
      </c>
    </row>
    <row r="133" customFormat="false" ht="15" hidden="false" customHeight="false" outlineLevel="0" collapsed="false">
      <c r="B133" s="19" t="s">
        <v>860</v>
      </c>
      <c r="C133" s="20" t="n">
        <f aca="false">ROUND(1.63/FX,2)</f>
        <v>0.23</v>
      </c>
      <c r="D133" s="21" t="s">
        <v>861</v>
      </c>
      <c r="E133" s="21" t="s">
        <v>707</v>
      </c>
      <c r="F133" s="21" t="s">
        <v>724</v>
      </c>
      <c r="G133" s="21" t="s">
        <v>833</v>
      </c>
    </row>
    <row r="134" customFormat="false" ht="15" hidden="false" customHeight="false" outlineLevel="0" collapsed="false">
      <c r="B134" s="19" t="s">
        <v>862</v>
      </c>
      <c r="C134" s="20" t="n">
        <f aca="false">ROUND(2.86/FX,2)</f>
        <v>0.4</v>
      </c>
      <c r="D134" s="21" t="s">
        <v>861</v>
      </c>
      <c r="E134" s="21" t="s">
        <v>714</v>
      </c>
      <c r="F134" s="21" t="s">
        <v>724</v>
      </c>
      <c r="G134" s="21" t="s">
        <v>833</v>
      </c>
    </row>
    <row r="135" customFormat="false" ht="15" hidden="false" customHeight="false" outlineLevel="0" collapsed="false">
      <c r="B135" s="19" t="s">
        <v>863</v>
      </c>
      <c r="C135" s="20" t="n">
        <f aca="false">ROUND(0.65/FX,2)</f>
        <v>0.09</v>
      </c>
      <c r="D135" s="21" t="s">
        <v>861</v>
      </c>
      <c r="E135" s="21" t="s">
        <v>837</v>
      </c>
      <c r="F135" s="21" t="s">
        <v>724</v>
      </c>
      <c r="G135" s="21" t="s">
        <v>833</v>
      </c>
    </row>
    <row r="136" customFormat="false" ht="15" hidden="false" customHeight="false" outlineLevel="0" collapsed="false">
      <c r="B136" s="19" t="s">
        <v>864</v>
      </c>
      <c r="C136" s="20" t="n">
        <f aca="false">ROUND(0.63/FX,2)</f>
        <v>0.09</v>
      </c>
      <c r="D136" s="21" t="s">
        <v>861</v>
      </c>
      <c r="E136" s="21" t="s">
        <v>839</v>
      </c>
      <c r="F136" s="21" t="s">
        <v>724</v>
      </c>
      <c r="G136" s="21" t="s">
        <v>833</v>
      </c>
    </row>
    <row r="137" customFormat="false" ht="15" hidden="false" customHeight="false" outlineLevel="0" collapsed="false">
      <c r="B137" s="19" t="s">
        <v>865</v>
      </c>
      <c r="C137" s="20" t="n">
        <f aca="false">ROUND(1.14/FX,2)</f>
        <v>0.16</v>
      </c>
      <c r="D137" s="21" t="s">
        <v>861</v>
      </c>
      <c r="E137" s="21" t="s">
        <v>841</v>
      </c>
      <c r="F137" s="21" t="s">
        <v>724</v>
      </c>
      <c r="G137" s="21" t="s">
        <v>833</v>
      </c>
    </row>
    <row r="138" customFormat="false" ht="15" hidden="false" customHeight="false" outlineLevel="0" collapsed="false">
      <c r="B138" s="19" t="s">
        <v>866</v>
      </c>
      <c r="C138" s="20" t="n">
        <f aca="false">ROUND(0.98/FX,2)</f>
        <v>0.14</v>
      </c>
      <c r="D138" s="21" t="s">
        <v>861</v>
      </c>
      <c r="E138" s="21" t="s">
        <v>789</v>
      </c>
      <c r="F138" s="21" t="s">
        <v>724</v>
      </c>
      <c r="G138" s="21" t="s">
        <v>833</v>
      </c>
    </row>
    <row r="139" customFormat="false" ht="15" hidden="false" customHeight="false" outlineLevel="0" collapsed="false">
      <c r="B139" s="19" t="s">
        <v>867</v>
      </c>
      <c r="C139" s="20" t="n">
        <f aca="false">ROUND(0.98/FX,2)</f>
        <v>0.14</v>
      </c>
      <c r="D139" s="21" t="s">
        <v>861</v>
      </c>
      <c r="E139" s="21" t="s">
        <v>716</v>
      </c>
      <c r="F139" s="21" t="s">
        <v>724</v>
      </c>
      <c r="G139" s="21" t="s">
        <v>833</v>
      </c>
    </row>
    <row r="140" customFormat="false" ht="15" hidden="false" customHeight="false" outlineLevel="0" collapsed="false">
      <c r="B140" s="19" t="s">
        <v>868</v>
      </c>
      <c r="C140" s="20" t="n">
        <f aca="false">ROUND(1.14/FX,2)</f>
        <v>0.16</v>
      </c>
      <c r="D140" s="21" t="s">
        <v>861</v>
      </c>
      <c r="E140" s="21" t="s">
        <v>845</v>
      </c>
      <c r="F140" s="21" t="s">
        <v>724</v>
      </c>
      <c r="G140" s="21" t="s">
        <v>833</v>
      </c>
    </row>
    <row r="141" customFormat="false" ht="15" hidden="false" customHeight="false" outlineLevel="0" collapsed="false">
      <c r="B141" s="19" t="s">
        <v>869</v>
      </c>
      <c r="C141" s="20" t="n">
        <f aca="false">ROUND(1.14/FX,2)</f>
        <v>0.16</v>
      </c>
      <c r="D141" s="21" t="s">
        <v>861</v>
      </c>
      <c r="E141" s="21" t="s">
        <v>847</v>
      </c>
      <c r="F141" s="21" t="s">
        <v>724</v>
      </c>
      <c r="G141" s="21" t="s">
        <v>833</v>
      </c>
    </row>
    <row r="142" customFormat="false" ht="15" hidden="false" customHeight="false" outlineLevel="0" collapsed="false">
      <c r="B142" s="19" t="s">
        <v>870</v>
      </c>
      <c r="C142" s="20" t="n">
        <f aca="false">ROUND(1.65/FX,2)</f>
        <v>0.23</v>
      </c>
      <c r="D142" s="21" t="s">
        <v>861</v>
      </c>
      <c r="E142" s="21" t="s">
        <v>719</v>
      </c>
      <c r="F142" s="21" t="s">
        <v>724</v>
      </c>
      <c r="G142" s="21" t="s">
        <v>833</v>
      </c>
    </row>
    <row r="143" customFormat="false" ht="15" hidden="false" customHeight="false" outlineLevel="0" collapsed="false">
      <c r="B143" s="19" t="s">
        <v>871</v>
      </c>
      <c r="C143" s="20" t="n">
        <f aca="false">ROUND(1.82/FX,2)</f>
        <v>0.25</v>
      </c>
      <c r="D143" s="21" t="s">
        <v>872</v>
      </c>
      <c r="E143" s="21" t="s">
        <v>707</v>
      </c>
      <c r="F143" s="21" t="s">
        <v>724</v>
      </c>
      <c r="G143" s="21" t="s">
        <v>833</v>
      </c>
    </row>
    <row r="144" customFormat="false" ht="15" hidden="false" customHeight="false" outlineLevel="0" collapsed="false">
      <c r="B144" s="19" t="s">
        <v>873</v>
      </c>
      <c r="C144" s="20" t="n">
        <f aca="false">ROUND(3.58/FX,2)</f>
        <v>0.5</v>
      </c>
      <c r="D144" s="21" t="s">
        <v>872</v>
      </c>
      <c r="E144" s="21" t="s">
        <v>714</v>
      </c>
      <c r="F144" s="21" t="s">
        <v>724</v>
      </c>
      <c r="G144" s="21" t="s">
        <v>833</v>
      </c>
    </row>
    <row r="145" customFormat="false" ht="15" hidden="false" customHeight="false" outlineLevel="0" collapsed="false">
      <c r="B145" s="19" t="s">
        <v>874</v>
      </c>
      <c r="C145" s="20" t="n">
        <f aca="false">ROUND(0.65/FX,2)</f>
        <v>0.09</v>
      </c>
      <c r="D145" s="21" t="s">
        <v>872</v>
      </c>
      <c r="E145" s="21" t="s">
        <v>837</v>
      </c>
      <c r="F145" s="21" t="s">
        <v>724</v>
      </c>
      <c r="G145" s="21" t="s">
        <v>833</v>
      </c>
    </row>
    <row r="146" customFormat="false" ht="15" hidden="false" customHeight="false" outlineLevel="0" collapsed="false">
      <c r="B146" s="19" t="s">
        <v>875</v>
      </c>
      <c r="C146" s="20" t="n">
        <f aca="false">ROUND(1.14/FX,2)</f>
        <v>0.16</v>
      </c>
      <c r="D146" s="21" t="s">
        <v>872</v>
      </c>
      <c r="E146" s="21" t="s">
        <v>839</v>
      </c>
      <c r="F146" s="21" t="s">
        <v>724</v>
      </c>
      <c r="G146" s="21" t="s">
        <v>833</v>
      </c>
    </row>
    <row r="147" customFormat="false" ht="15" hidden="false" customHeight="false" outlineLevel="0" collapsed="false">
      <c r="B147" s="19" t="s">
        <v>876</v>
      </c>
      <c r="C147" s="20" t="n">
        <f aca="false">ROUND(1.14/FX,2)</f>
        <v>0.16</v>
      </c>
      <c r="D147" s="21" t="s">
        <v>872</v>
      </c>
      <c r="E147" s="21" t="s">
        <v>841</v>
      </c>
      <c r="F147" s="21" t="s">
        <v>724</v>
      </c>
      <c r="G147" s="21" t="s">
        <v>833</v>
      </c>
    </row>
    <row r="148" customFormat="false" ht="15" hidden="false" customHeight="false" outlineLevel="0" collapsed="false">
      <c r="B148" s="19" t="s">
        <v>877</v>
      </c>
      <c r="C148" s="20" t="n">
        <f aca="false">ROUND(0.98/FX,2)</f>
        <v>0.14</v>
      </c>
      <c r="D148" s="21" t="s">
        <v>872</v>
      </c>
      <c r="E148" s="21" t="s">
        <v>789</v>
      </c>
      <c r="F148" s="21" t="s">
        <v>724</v>
      </c>
      <c r="G148" s="21" t="s">
        <v>833</v>
      </c>
    </row>
    <row r="149" customFormat="false" ht="15" hidden="false" customHeight="false" outlineLevel="0" collapsed="false">
      <c r="B149" s="19" t="s">
        <v>878</v>
      </c>
      <c r="C149" s="20" t="n">
        <f aca="false">ROUND(0.85/FX,2)</f>
        <v>0.12</v>
      </c>
      <c r="D149" s="21" t="s">
        <v>872</v>
      </c>
      <c r="E149" s="21" t="s">
        <v>716</v>
      </c>
      <c r="F149" s="21" t="s">
        <v>724</v>
      </c>
      <c r="G149" s="21" t="s">
        <v>833</v>
      </c>
    </row>
    <row r="150" customFormat="false" ht="15" hidden="false" customHeight="false" outlineLevel="0" collapsed="false">
      <c r="B150" s="19" t="s">
        <v>879</v>
      </c>
      <c r="C150" s="20" t="n">
        <f aca="false">ROUND(1.14/FX,2)</f>
        <v>0.16</v>
      </c>
      <c r="D150" s="21" t="s">
        <v>872</v>
      </c>
      <c r="E150" s="21" t="s">
        <v>845</v>
      </c>
      <c r="F150" s="21" t="s">
        <v>724</v>
      </c>
      <c r="G150" s="21" t="s">
        <v>833</v>
      </c>
    </row>
    <row r="151" customFormat="false" ht="15" hidden="false" customHeight="false" outlineLevel="0" collapsed="false">
      <c r="B151" s="19" t="s">
        <v>880</v>
      </c>
      <c r="C151" s="20" t="n">
        <f aca="false">ROUND(1.14/FX,2)</f>
        <v>0.16</v>
      </c>
      <c r="D151" s="21" t="s">
        <v>872</v>
      </c>
      <c r="E151" s="21" t="s">
        <v>847</v>
      </c>
      <c r="F151" s="21" t="s">
        <v>724</v>
      </c>
      <c r="G151" s="21" t="s">
        <v>833</v>
      </c>
    </row>
    <row r="152" customFormat="false" ht="15" hidden="false" customHeight="false" outlineLevel="0" collapsed="false">
      <c r="B152" s="19" t="s">
        <v>881</v>
      </c>
      <c r="C152" s="20" t="n">
        <f aca="false">ROUND(2.73/FX,2)</f>
        <v>0.38</v>
      </c>
      <c r="D152" s="21" t="s">
        <v>872</v>
      </c>
      <c r="E152" s="21" t="s">
        <v>719</v>
      </c>
      <c r="F152" s="21" t="s">
        <v>724</v>
      </c>
      <c r="G152" s="21" t="s">
        <v>833</v>
      </c>
    </row>
    <row r="153" customFormat="false" ht="15" hidden="false" customHeight="false" outlineLevel="0" collapsed="false">
      <c r="B153" s="19" t="s">
        <v>882</v>
      </c>
      <c r="C153" s="20" t="n">
        <f aca="false">ROUND(1.39/FX,2)</f>
        <v>0.19</v>
      </c>
      <c r="D153" s="21" t="s">
        <v>883</v>
      </c>
      <c r="E153" s="21" t="s">
        <v>707</v>
      </c>
      <c r="F153" s="21" t="s">
        <v>724</v>
      </c>
      <c r="G153" s="21" t="s">
        <v>833</v>
      </c>
    </row>
    <row r="154" customFormat="false" ht="15" hidden="false" customHeight="false" outlineLevel="0" collapsed="false">
      <c r="B154" s="19" t="s">
        <v>884</v>
      </c>
      <c r="C154" s="20" t="n">
        <f aca="false">ROUND(1.4/FX,2)</f>
        <v>0.19</v>
      </c>
      <c r="D154" s="21" t="s">
        <v>883</v>
      </c>
      <c r="E154" s="21" t="s">
        <v>714</v>
      </c>
      <c r="F154" s="21" t="s">
        <v>724</v>
      </c>
      <c r="G154" s="21" t="s">
        <v>833</v>
      </c>
    </row>
    <row r="155" customFormat="false" ht="15" hidden="false" customHeight="false" outlineLevel="0" collapsed="false">
      <c r="B155" s="19" t="s">
        <v>885</v>
      </c>
      <c r="C155" s="20" t="n">
        <f aca="false">ROUND(0.65/FX,2)</f>
        <v>0.09</v>
      </c>
      <c r="D155" s="21" t="s">
        <v>883</v>
      </c>
      <c r="E155" s="21" t="s">
        <v>837</v>
      </c>
      <c r="F155" s="21" t="s">
        <v>724</v>
      </c>
      <c r="G155" s="21" t="s">
        <v>833</v>
      </c>
    </row>
    <row r="156" customFormat="false" ht="15" hidden="false" customHeight="false" outlineLevel="0" collapsed="false">
      <c r="B156" s="19" t="s">
        <v>886</v>
      </c>
      <c r="C156" s="20" t="n">
        <f aca="false">ROUND(1.14/FX,2)</f>
        <v>0.16</v>
      </c>
      <c r="D156" s="21" t="s">
        <v>883</v>
      </c>
      <c r="E156" s="21" t="s">
        <v>839</v>
      </c>
      <c r="F156" s="21" t="s">
        <v>724</v>
      </c>
      <c r="G156" s="21" t="s">
        <v>833</v>
      </c>
    </row>
    <row r="157" customFormat="false" ht="15" hidden="false" customHeight="false" outlineLevel="0" collapsed="false">
      <c r="B157" s="19" t="s">
        <v>887</v>
      </c>
      <c r="C157" s="20" t="n">
        <f aca="false">ROUND(1.14/FX,2)</f>
        <v>0.16</v>
      </c>
      <c r="D157" s="21" t="s">
        <v>883</v>
      </c>
      <c r="E157" s="21" t="s">
        <v>841</v>
      </c>
      <c r="F157" s="21" t="s">
        <v>724</v>
      </c>
      <c r="G157" s="21" t="s">
        <v>833</v>
      </c>
    </row>
    <row r="158" customFormat="false" ht="15" hidden="false" customHeight="false" outlineLevel="0" collapsed="false">
      <c r="B158" s="19" t="s">
        <v>888</v>
      </c>
      <c r="C158" s="20" t="n">
        <f aca="false">ROUND(0.98/FX,2)</f>
        <v>0.14</v>
      </c>
      <c r="D158" s="21" t="s">
        <v>883</v>
      </c>
      <c r="E158" s="21" t="s">
        <v>789</v>
      </c>
      <c r="F158" s="21" t="s">
        <v>724</v>
      </c>
      <c r="G158" s="21" t="s">
        <v>833</v>
      </c>
    </row>
    <row r="159" customFormat="false" ht="15" hidden="false" customHeight="false" outlineLevel="0" collapsed="false">
      <c r="B159" s="19" t="s">
        <v>889</v>
      </c>
      <c r="C159" s="20" t="n">
        <f aca="false">ROUND(0.84/FX,2)</f>
        <v>0.12</v>
      </c>
      <c r="D159" s="21" t="s">
        <v>883</v>
      </c>
      <c r="E159" s="21" t="s">
        <v>716</v>
      </c>
      <c r="F159" s="21" t="s">
        <v>724</v>
      </c>
      <c r="G159" s="21" t="s">
        <v>833</v>
      </c>
    </row>
    <row r="160" customFormat="false" ht="15" hidden="false" customHeight="false" outlineLevel="0" collapsed="false">
      <c r="B160" s="19" t="s">
        <v>890</v>
      </c>
      <c r="C160" s="20" t="n">
        <f aca="false">ROUND(1.14/FX,2)</f>
        <v>0.16</v>
      </c>
      <c r="D160" s="21" t="s">
        <v>883</v>
      </c>
      <c r="E160" s="21" t="s">
        <v>845</v>
      </c>
      <c r="F160" s="21" t="s">
        <v>724</v>
      </c>
      <c r="G160" s="21" t="s">
        <v>833</v>
      </c>
    </row>
    <row r="161" customFormat="false" ht="15" hidden="false" customHeight="false" outlineLevel="0" collapsed="false">
      <c r="B161" s="19" t="s">
        <v>891</v>
      </c>
      <c r="C161" s="20" t="n">
        <f aca="false">ROUND(1.14/FX,2)</f>
        <v>0.16</v>
      </c>
      <c r="D161" s="21" t="s">
        <v>883</v>
      </c>
      <c r="E161" s="21" t="s">
        <v>847</v>
      </c>
      <c r="F161" s="21" t="s">
        <v>724</v>
      </c>
      <c r="G161" s="21" t="s">
        <v>833</v>
      </c>
    </row>
    <row r="162" customFormat="false" ht="15" hidden="false" customHeight="false" outlineLevel="0" collapsed="false">
      <c r="B162" s="19" t="s">
        <v>892</v>
      </c>
      <c r="C162" s="20" t="n">
        <f aca="false">ROUND(1.63/FX,2)</f>
        <v>0.23</v>
      </c>
      <c r="D162" s="21" t="s">
        <v>883</v>
      </c>
      <c r="E162" s="21" t="s">
        <v>719</v>
      </c>
      <c r="F162" s="21" t="s">
        <v>724</v>
      </c>
      <c r="G162" s="21" t="s">
        <v>833</v>
      </c>
    </row>
    <row r="163" customFormat="false" ht="15" hidden="false" customHeight="false" outlineLevel="0" collapsed="false">
      <c r="B163" s="19" t="s">
        <v>893</v>
      </c>
      <c r="C163" s="20" t="n">
        <f aca="false">ROUND(1.4/FX,2)</f>
        <v>0.19</v>
      </c>
      <c r="D163" s="21" t="s">
        <v>894</v>
      </c>
      <c r="E163" s="21" t="s">
        <v>707</v>
      </c>
      <c r="F163" s="21" t="s">
        <v>724</v>
      </c>
      <c r="G163" s="21" t="s">
        <v>833</v>
      </c>
    </row>
    <row r="164" customFormat="false" ht="15" hidden="false" customHeight="false" outlineLevel="0" collapsed="false">
      <c r="B164" s="19" t="s">
        <v>895</v>
      </c>
      <c r="C164" s="20" t="n">
        <f aca="false">ROUND(2.86/FX,2)</f>
        <v>0.4</v>
      </c>
      <c r="D164" s="21" t="s">
        <v>894</v>
      </c>
      <c r="E164" s="21" t="s">
        <v>714</v>
      </c>
      <c r="F164" s="21" t="s">
        <v>724</v>
      </c>
      <c r="G164" s="21" t="s">
        <v>833</v>
      </c>
    </row>
    <row r="165" customFormat="false" ht="15" hidden="false" customHeight="false" outlineLevel="0" collapsed="false">
      <c r="B165" s="19" t="s">
        <v>896</v>
      </c>
      <c r="C165" s="20" t="n">
        <f aca="false">ROUND(0.65/FX,2)</f>
        <v>0.09</v>
      </c>
      <c r="D165" s="21" t="s">
        <v>894</v>
      </c>
      <c r="E165" s="21" t="s">
        <v>837</v>
      </c>
      <c r="F165" s="21" t="s">
        <v>724</v>
      </c>
      <c r="G165" s="21" t="s">
        <v>833</v>
      </c>
    </row>
    <row r="166" customFormat="false" ht="15" hidden="false" customHeight="false" outlineLevel="0" collapsed="false">
      <c r="B166" s="19" t="s">
        <v>897</v>
      </c>
      <c r="C166" s="20" t="n">
        <f aca="false">ROUND(1.14/FX,2)</f>
        <v>0.16</v>
      </c>
      <c r="D166" s="21" t="s">
        <v>894</v>
      </c>
      <c r="E166" s="21" t="s">
        <v>839</v>
      </c>
      <c r="F166" s="21" t="s">
        <v>724</v>
      </c>
      <c r="G166" s="21" t="s">
        <v>833</v>
      </c>
    </row>
    <row r="167" customFormat="false" ht="15" hidden="false" customHeight="false" outlineLevel="0" collapsed="false">
      <c r="B167" s="19" t="s">
        <v>898</v>
      </c>
      <c r="C167" s="20" t="n">
        <f aca="false">ROUND(1.14/FX,2)</f>
        <v>0.16</v>
      </c>
      <c r="D167" s="21" t="s">
        <v>894</v>
      </c>
      <c r="E167" s="21" t="s">
        <v>841</v>
      </c>
      <c r="F167" s="21" t="s">
        <v>724</v>
      </c>
      <c r="G167" s="21" t="s">
        <v>833</v>
      </c>
    </row>
    <row r="168" customFormat="false" ht="15" hidden="false" customHeight="false" outlineLevel="0" collapsed="false">
      <c r="B168" s="19" t="s">
        <v>899</v>
      </c>
      <c r="C168" s="20" t="n">
        <f aca="false">ROUND(0.98/FX,2)</f>
        <v>0.14</v>
      </c>
      <c r="D168" s="21" t="s">
        <v>894</v>
      </c>
      <c r="E168" s="21" t="s">
        <v>789</v>
      </c>
      <c r="F168" s="21" t="s">
        <v>724</v>
      </c>
      <c r="G168" s="21" t="s">
        <v>833</v>
      </c>
    </row>
    <row r="169" customFormat="false" ht="15" hidden="false" customHeight="false" outlineLevel="0" collapsed="false">
      <c r="B169" s="19" t="s">
        <v>900</v>
      </c>
      <c r="C169" s="20" t="n">
        <f aca="false">ROUND(0.84/FX,2)</f>
        <v>0.12</v>
      </c>
      <c r="D169" s="21" t="s">
        <v>894</v>
      </c>
      <c r="E169" s="21" t="s">
        <v>716</v>
      </c>
      <c r="F169" s="21" t="s">
        <v>724</v>
      </c>
      <c r="G169" s="21" t="s">
        <v>833</v>
      </c>
    </row>
    <row r="170" customFormat="false" ht="15" hidden="false" customHeight="false" outlineLevel="0" collapsed="false">
      <c r="B170" s="19" t="s">
        <v>901</v>
      </c>
      <c r="C170" s="20" t="n">
        <f aca="false">ROUND(1.14/FX,2)</f>
        <v>0.16</v>
      </c>
      <c r="D170" s="21" t="s">
        <v>894</v>
      </c>
      <c r="E170" s="21" t="s">
        <v>845</v>
      </c>
      <c r="F170" s="21" t="s">
        <v>724</v>
      </c>
      <c r="G170" s="21" t="s">
        <v>833</v>
      </c>
    </row>
    <row r="171" customFormat="false" ht="15" hidden="false" customHeight="false" outlineLevel="0" collapsed="false">
      <c r="B171" s="19" t="s">
        <v>902</v>
      </c>
      <c r="C171" s="20" t="n">
        <f aca="false">ROUND(1.14/FX,2)</f>
        <v>0.16</v>
      </c>
      <c r="D171" s="21" t="s">
        <v>894</v>
      </c>
      <c r="E171" s="21" t="s">
        <v>847</v>
      </c>
      <c r="F171" s="21" t="s">
        <v>724</v>
      </c>
      <c r="G171" s="21" t="s">
        <v>833</v>
      </c>
    </row>
    <row r="172" customFormat="false" ht="15" hidden="false" customHeight="false" outlineLevel="0" collapsed="false">
      <c r="B172" s="19" t="s">
        <v>903</v>
      </c>
      <c r="C172" s="20" t="n">
        <f aca="false">ROUND(2.73/FX,2)</f>
        <v>0.38</v>
      </c>
      <c r="D172" s="21" t="s">
        <v>894</v>
      </c>
      <c r="E172" s="21" t="s">
        <v>719</v>
      </c>
      <c r="F172" s="21" t="s">
        <v>724</v>
      </c>
      <c r="G172" s="21" t="s">
        <v>833</v>
      </c>
    </row>
    <row r="173" customFormat="false" ht="15" hidden="false" customHeight="false" outlineLevel="0" collapsed="false">
      <c r="B173" s="19" t="s">
        <v>904</v>
      </c>
      <c r="C173" s="20" t="n">
        <f aca="false">ROUND(1.63/FX,2)</f>
        <v>0.23</v>
      </c>
      <c r="D173" s="21" t="s">
        <v>905</v>
      </c>
      <c r="E173" s="21" t="s">
        <v>707</v>
      </c>
      <c r="F173" s="21" t="s">
        <v>724</v>
      </c>
      <c r="G173" s="21" t="s">
        <v>833</v>
      </c>
    </row>
    <row r="174" customFormat="false" ht="15" hidden="false" customHeight="false" outlineLevel="0" collapsed="false">
      <c r="B174" s="19" t="s">
        <v>906</v>
      </c>
      <c r="C174" s="20" t="n">
        <f aca="false">ROUND(2.93/FX,2)</f>
        <v>0.41</v>
      </c>
      <c r="D174" s="21" t="s">
        <v>905</v>
      </c>
      <c r="E174" s="21" t="s">
        <v>714</v>
      </c>
      <c r="F174" s="21" t="s">
        <v>724</v>
      </c>
      <c r="G174" s="21" t="s">
        <v>833</v>
      </c>
    </row>
    <row r="175" customFormat="false" ht="15" hidden="false" customHeight="false" outlineLevel="0" collapsed="false">
      <c r="B175" s="19" t="s">
        <v>907</v>
      </c>
      <c r="C175" s="20" t="n">
        <f aca="false">ROUND(0.65/FX,2)</f>
        <v>0.09</v>
      </c>
      <c r="D175" s="21" t="s">
        <v>905</v>
      </c>
      <c r="E175" s="21" t="s">
        <v>837</v>
      </c>
      <c r="F175" s="21" t="s">
        <v>724</v>
      </c>
      <c r="G175" s="21" t="s">
        <v>833</v>
      </c>
    </row>
    <row r="176" customFormat="false" ht="15" hidden="false" customHeight="false" outlineLevel="0" collapsed="false">
      <c r="B176" s="19" t="s">
        <v>908</v>
      </c>
      <c r="C176" s="20" t="n">
        <f aca="false">ROUND(1.14/FX,2)</f>
        <v>0.16</v>
      </c>
      <c r="D176" s="21" t="s">
        <v>905</v>
      </c>
      <c r="E176" s="21" t="s">
        <v>839</v>
      </c>
      <c r="F176" s="21" t="s">
        <v>724</v>
      </c>
      <c r="G176" s="21" t="s">
        <v>833</v>
      </c>
    </row>
    <row r="177" customFormat="false" ht="15" hidden="false" customHeight="false" outlineLevel="0" collapsed="false">
      <c r="B177" s="19" t="s">
        <v>909</v>
      </c>
      <c r="C177" s="20" t="n">
        <f aca="false">ROUND(1.14/FX,2)</f>
        <v>0.16</v>
      </c>
      <c r="D177" s="21" t="s">
        <v>905</v>
      </c>
      <c r="E177" s="21" t="s">
        <v>841</v>
      </c>
      <c r="F177" s="21" t="s">
        <v>724</v>
      </c>
      <c r="G177" s="21" t="s">
        <v>833</v>
      </c>
    </row>
    <row r="178" customFormat="false" ht="15" hidden="false" customHeight="false" outlineLevel="0" collapsed="false">
      <c r="B178" s="19" t="s">
        <v>910</v>
      </c>
      <c r="C178" s="20" t="n">
        <f aca="false">ROUND(0.98/FX,2)</f>
        <v>0.14</v>
      </c>
      <c r="D178" s="21" t="s">
        <v>905</v>
      </c>
      <c r="E178" s="21" t="s">
        <v>789</v>
      </c>
      <c r="F178" s="21" t="s">
        <v>724</v>
      </c>
      <c r="G178" s="21" t="s">
        <v>833</v>
      </c>
    </row>
    <row r="179" customFormat="false" ht="15" hidden="false" customHeight="false" outlineLevel="0" collapsed="false">
      <c r="B179" s="19" t="s">
        <v>911</v>
      </c>
      <c r="C179" s="20" t="n">
        <f aca="false">ROUND(0.98/FX,2)</f>
        <v>0.14</v>
      </c>
      <c r="D179" s="21" t="s">
        <v>905</v>
      </c>
      <c r="E179" s="21" t="s">
        <v>716</v>
      </c>
      <c r="F179" s="21" t="s">
        <v>724</v>
      </c>
      <c r="G179" s="21" t="s">
        <v>833</v>
      </c>
    </row>
    <row r="180" customFormat="false" ht="15" hidden="false" customHeight="false" outlineLevel="0" collapsed="false">
      <c r="B180" s="19" t="s">
        <v>912</v>
      </c>
      <c r="C180" s="20" t="n">
        <f aca="false">ROUND(1.14/FX,2)</f>
        <v>0.16</v>
      </c>
      <c r="D180" s="21" t="s">
        <v>905</v>
      </c>
      <c r="E180" s="21" t="s">
        <v>845</v>
      </c>
      <c r="F180" s="21" t="s">
        <v>724</v>
      </c>
      <c r="G180" s="21" t="s">
        <v>833</v>
      </c>
    </row>
    <row r="181" customFormat="false" ht="15" hidden="false" customHeight="false" outlineLevel="0" collapsed="false">
      <c r="B181" s="19" t="s">
        <v>913</v>
      </c>
      <c r="C181" s="20" t="n">
        <f aca="false">ROUND(1.14/FX,2)</f>
        <v>0.16</v>
      </c>
      <c r="D181" s="21" t="s">
        <v>905</v>
      </c>
      <c r="E181" s="21" t="s">
        <v>847</v>
      </c>
      <c r="F181" s="21" t="s">
        <v>724</v>
      </c>
      <c r="G181" s="21" t="s">
        <v>833</v>
      </c>
    </row>
    <row r="182" customFormat="false" ht="15" hidden="false" customHeight="false" outlineLevel="0" collapsed="false">
      <c r="B182" s="19" t="s">
        <v>914</v>
      </c>
      <c r="C182" s="20" t="n">
        <f aca="false">ROUND(2.73/FX,2)</f>
        <v>0.38</v>
      </c>
      <c r="D182" s="21" t="s">
        <v>905</v>
      </c>
      <c r="E182" s="21" t="s">
        <v>719</v>
      </c>
      <c r="F182" s="21" t="s">
        <v>724</v>
      </c>
      <c r="G182" s="21" t="s">
        <v>833</v>
      </c>
    </row>
    <row r="183" customFormat="false" ht="15" hidden="false" customHeight="false" outlineLevel="0" collapsed="false">
      <c r="B183" s="19" t="s">
        <v>915</v>
      </c>
      <c r="C183" s="20" t="n">
        <f aca="false">ROUND(1.4/FX,2)</f>
        <v>0.19</v>
      </c>
      <c r="D183" s="21" t="s">
        <v>916</v>
      </c>
      <c r="E183" s="21" t="s">
        <v>707</v>
      </c>
      <c r="F183" s="21" t="s">
        <v>724</v>
      </c>
      <c r="G183" s="21" t="s">
        <v>833</v>
      </c>
    </row>
    <row r="184" customFormat="false" ht="15" hidden="false" customHeight="false" outlineLevel="0" collapsed="false">
      <c r="B184" s="19" t="s">
        <v>917</v>
      </c>
      <c r="C184" s="20" t="n">
        <f aca="false">ROUND(3.25/FX,2)</f>
        <v>0.45</v>
      </c>
      <c r="D184" s="21" t="s">
        <v>916</v>
      </c>
      <c r="E184" s="21" t="s">
        <v>714</v>
      </c>
      <c r="F184" s="21" t="s">
        <v>724</v>
      </c>
      <c r="G184" s="21" t="s">
        <v>833</v>
      </c>
    </row>
    <row r="185" customFormat="false" ht="15" hidden="false" customHeight="false" outlineLevel="0" collapsed="false">
      <c r="B185" s="19" t="s">
        <v>918</v>
      </c>
      <c r="C185" s="20" t="n">
        <f aca="false">ROUND(0.65/FX,2)</f>
        <v>0.09</v>
      </c>
      <c r="D185" s="21" t="s">
        <v>916</v>
      </c>
      <c r="E185" s="21" t="s">
        <v>837</v>
      </c>
      <c r="F185" s="21" t="s">
        <v>724</v>
      </c>
      <c r="G185" s="21" t="s">
        <v>833</v>
      </c>
    </row>
    <row r="186" customFormat="false" ht="15" hidden="false" customHeight="false" outlineLevel="0" collapsed="false">
      <c r="B186" s="19" t="s">
        <v>919</v>
      </c>
      <c r="C186" s="20" t="n">
        <f aca="false">ROUND(1.14/FX,2)</f>
        <v>0.16</v>
      </c>
      <c r="D186" s="21" t="s">
        <v>916</v>
      </c>
      <c r="E186" s="21" t="s">
        <v>839</v>
      </c>
      <c r="F186" s="21" t="s">
        <v>724</v>
      </c>
      <c r="G186" s="21" t="s">
        <v>833</v>
      </c>
    </row>
    <row r="187" customFormat="false" ht="15" hidden="false" customHeight="false" outlineLevel="0" collapsed="false">
      <c r="B187" s="19" t="s">
        <v>920</v>
      </c>
      <c r="C187" s="20" t="n">
        <f aca="false">ROUND(1.14/FX,2)</f>
        <v>0.16</v>
      </c>
      <c r="D187" s="21" t="s">
        <v>916</v>
      </c>
      <c r="E187" s="21" t="s">
        <v>841</v>
      </c>
      <c r="F187" s="21" t="s">
        <v>724</v>
      </c>
      <c r="G187" s="21" t="s">
        <v>833</v>
      </c>
    </row>
    <row r="188" customFormat="false" ht="15" hidden="false" customHeight="false" outlineLevel="0" collapsed="false">
      <c r="B188" s="19" t="s">
        <v>921</v>
      </c>
      <c r="C188" s="20" t="n">
        <f aca="false">ROUND(0.98/FX,2)</f>
        <v>0.14</v>
      </c>
      <c r="D188" s="21" t="s">
        <v>916</v>
      </c>
      <c r="E188" s="21" t="s">
        <v>789</v>
      </c>
      <c r="F188" s="21" t="s">
        <v>724</v>
      </c>
      <c r="G188" s="21" t="s">
        <v>833</v>
      </c>
    </row>
    <row r="189" customFormat="false" ht="15" hidden="false" customHeight="false" outlineLevel="0" collapsed="false">
      <c r="B189" s="19" t="s">
        <v>922</v>
      </c>
      <c r="C189" s="20" t="n">
        <f aca="false">ROUND(1.11/FX,2)</f>
        <v>0.15</v>
      </c>
      <c r="D189" s="21" t="s">
        <v>916</v>
      </c>
      <c r="E189" s="21" t="s">
        <v>716</v>
      </c>
      <c r="F189" s="21" t="s">
        <v>724</v>
      </c>
      <c r="G189" s="21" t="s">
        <v>833</v>
      </c>
    </row>
    <row r="190" customFormat="false" ht="15" hidden="false" customHeight="false" outlineLevel="0" collapsed="false">
      <c r="B190" s="19" t="s">
        <v>923</v>
      </c>
      <c r="C190" s="20" t="n">
        <f aca="false">ROUND(1.14/FX,2)</f>
        <v>0.16</v>
      </c>
      <c r="D190" s="21" t="s">
        <v>916</v>
      </c>
      <c r="E190" s="21" t="s">
        <v>845</v>
      </c>
      <c r="F190" s="21" t="s">
        <v>724</v>
      </c>
      <c r="G190" s="21" t="s">
        <v>833</v>
      </c>
    </row>
    <row r="191" customFormat="false" ht="15" hidden="false" customHeight="false" outlineLevel="0" collapsed="false">
      <c r="B191" s="19" t="s">
        <v>924</v>
      </c>
      <c r="C191" s="20" t="n">
        <f aca="false">ROUND(1.14/FX,2)</f>
        <v>0.16</v>
      </c>
      <c r="D191" s="21" t="s">
        <v>916</v>
      </c>
      <c r="E191" s="21" t="s">
        <v>847</v>
      </c>
      <c r="F191" s="21" t="s">
        <v>724</v>
      </c>
      <c r="G191" s="21" t="s">
        <v>833</v>
      </c>
    </row>
    <row r="192" customFormat="false" ht="15" hidden="false" customHeight="false" outlineLevel="0" collapsed="false">
      <c r="B192" s="19" t="s">
        <v>925</v>
      </c>
      <c r="C192" s="20" t="n">
        <f aca="false">ROUND(2.73/FX,2)</f>
        <v>0.38</v>
      </c>
      <c r="D192" s="21" t="s">
        <v>916</v>
      </c>
      <c r="E192" s="21" t="s">
        <v>719</v>
      </c>
      <c r="F192" s="21" t="s">
        <v>724</v>
      </c>
      <c r="G192" s="21" t="s">
        <v>833</v>
      </c>
    </row>
    <row r="193" customFormat="false" ht="15" hidden="false" customHeight="false" outlineLevel="0" collapsed="false">
      <c r="B193" s="19" t="s">
        <v>926</v>
      </c>
      <c r="C193" s="20" t="n">
        <f aca="false">ROUND(1.39/FX,2)</f>
        <v>0.19</v>
      </c>
      <c r="D193" s="21" t="s">
        <v>927</v>
      </c>
      <c r="E193" s="21" t="s">
        <v>707</v>
      </c>
      <c r="F193" s="21" t="s">
        <v>724</v>
      </c>
      <c r="G193" s="21" t="s">
        <v>833</v>
      </c>
    </row>
    <row r="194" customFormat="false" ht="15" hidden="false" customHeight="false" outlineLevel="0" collapsed="false">
      <c r="B194" s="19" t="s">
        <v>928</v>
      </c>
      <c r="C194" s="20" t="n">
        <f aca="false">ROUND(2.93/FX,2)</f>
        <v>0.41</v>
      </c>
      <c r="D194" s="21" t="s">
        <v>927</v>
      </c>
      <c r="E194" s="21" t="s">
        <v>714</v>
      </c>
      <c r="F194" s="21" t="s">
        <v>724</v>
      </c>
      <c r="G194" s="21" t="s">
        <v>833</v>
      </c>
    </row>
    <row r="195" customFormat="false" ht="15" hidden="false" customHeight="false" outlineLevel="0" collapsed="false">
      <c r="B195" s="19" t="s">
        <v>929</v>
      </c>
      <c r="C195" s="20" t="n">
        <f aca="false">ROUND(0.65/FX,2)</f>
        <v>0.09</v>
      </c>
      <c r="D195" s="21" t="s">
        <v>927</v>
      </c>
      <c r="E195" s="21" t="s">
        <v>837</v>
      </c>
      <c r="F195" s="21" t="s">
        <v>724</v>
      </c>
      <c r="G195" s="21" t="s">
        <v>833</v>
      </c>
    </row>
    <row r="196" customFormat="false" ht="15" hidden="false" customHeight="false" outlineLevel="0" collapsed="false">
      <c r="B196" s="19" t="s">
        <v>930</v>
      </c>
      <c r="C196" s="20" t="n">
        <f aca="false">ROUND(1.14/FX,2)</f>
        <v>0.16</v>
      </c>
      <c r="D196" s="21" t="s">
        <v>927</v>
      </c>
      <c r="E196" s="21" t="s">
        <v>839</v>
      </c>
      <c r="F196" s="21" t="s">
        <v>724</v>
      </c>
      <c r="G196" s="21" t="s">
        <v>833</v>
      </c>
    </row>
    <row r="197" customFormat="false" ht="15" hidden="false" customHeight="false" outlineLevel="0" collapsed="false">
      <c r="B197" s="19" t="s">
        <v>931</v>
      </c>
      <c r="C197" s="20" t="n">
        <f aca="false">ROUND(1.14/FX,2)</f>
        <v>0.16</v>
      </c>
      <c r="D197" s="21" t="s">
        <v>927</v>
      </c>
      <c r="E197" s="21" t="s">
        <v>841</v>
      </c>
      <c r="F197" s="21" t="s">
        <v>724</v>
      </c>
      <c r="G197" s="21" t="s">
        <v>833</v>
      </c>
    </row>
    <row r="198" customFormat="false" ht="15" hidden="false" customHeight="false" outlineLevel="0" collapsed="false">
      <c r="B198" s="19" t="s">
        <v>932</v>
      </c>
      <c r="C198" s="20" t="n">
        <f aca="false">ROUND(0.98/FX,2)</f>
        <v>0.14</v>
      </c>
      <c r="D198" s="21" t="s">
        <v>927</v>
      </c>
      <c r="E198" s="21" t="s">
        <v>789</v>
      </c>
      <c r="F198" s="21" t="s">
        <v>724</v>
      </c>
      <c r="G198" s="21" t="s">
        <v>833</v>
      </c>
    </row>
    <row r="199" customFormat="false" ht="15" hidden="false" customHeight="false" outlineLevel="0" collapsed="false">
      <c r="B199" s="19" t="s">
        <v>933</v>
      </c>
      <c r="C199" s="20" t="n">
        <f aca="false">ROUND(0.84/FX,2)</f>
        <v>0.12</v>
      </c>
      <c r="D199" s="21" t="s">
        <v>927</v>
      </c>
      <c r="E199" s="21" t="s">
        <v>716</v>
      </c>
      <c r="F199" s="21" t="s">
        <v>724</v>
      </c>
      <c r="G199" s="21" t="s">
        <v>833</v>
      </c>
    </row>
    <row r="200" customFormat="false" ht="15" hidden="false" customHeight="false" outlineLevel="0" collapsed="false">
      <c r="B200" s="19" t="s">
        <v>934</v>
      </c>
      <c r="C200" s="20" t="n">
        <f aca="false">ROUND(1.14/FX,2)</f>
        <v>0.16</v>
      </c>
      <c r="D200" s="21" t="s">
        <v>927</v>
      </c>
      <c r="E200" s="21" t="s">
        <v>845</v>
      </c>
      <c r="F200" s="21" t="s">
        <v>724</v>
      </c>
      <c r="G200" s="21" t="s">
        <v>833</v>
      </c>
    </row>
    <row r="201" customFormat="false" ht="15" hidden="false" customHeight="false" outlineLevel="0" collapsed="false">
      <c r="B201" s="19" t="s">
        <v>935</v>
      </c>
      <c r="C201" s="20" t="n">
        <f aca="false">ROUND(1.14/FX,2)</f>
        <v>0.16</v>
      </c>
      <c r="D201" s="21" t="s">
        <v>927</v>
      </c>
      <c r="E201" s="21" t="s">
        <v>847</v>
      </c>
      <c r="F201" s="21" t="s">
        <v>724</v>
      </c>
      <c r="G201" s="21" t="s">
        <v>833</v>
      </c>
    </row>
    <row r="202" customFormat="false" ht="15" hidden="false" customHeight="false" outlineLevel="0" collapsed="false">
      <c r="B202" s="19" t="s">
        <v>936</v>
      </c>
      <c r="C202" s="20" t="n">
        <f aca="false">ROUND(2.73/FX,2)</f>
        <v>0.38</v>
      </c>
      <c r="D202" s="21" t="s">
        <v>927</v>
      </c>
      <c r="E202" s="21" t="s">
        <v>719</v>
      </c>
      <c r="F202" s="21" t="s">
        <v>724</v>
      </c>
      <c r="G202" s="21" t="s">
        <v>833</v>
      </c>
    </row>
    <row r="203" customFormat="false" ht="15" hidden="false" customHeight="false" outlineLevel="0" collapsed="false">
      <c r="B203" s="19" t="s">
        <v>937</v>
      </c>
      <c r="C203" s="20" t="n">
        <f aca="false">ROUND(1.4/FX,2)</f>
        <v>0.19</v>
      </c>
      <c r="D203" s="21" t="s">
        <v>938</v>
      </c>
      <c r="E203" s="21" t="s">
        <v>707</v>
      </c>
      <c r="F203" s="21" t="s">
        <v>724</v>
      </c>
      <c r="G203" s="21" t="s">
        <v>833</v>
      </c>
    </row>
    <row r="204" customFormat="false" ht="15" hidden="false" customHeight="false" outlineLevel="0" collapsed="false">
      <c r="B204" s="19" t="s">
        <v>939</v>
      </c>
      <c r="C204" s="20" t="n">
        <f aca="false">ROUND(2.1/FX,2)</f>
        <v>0.29</v>
      </c>
      <c r="D204" s="21" t="s">
        <v>938</v>
      </c>
      <c r="E204" s="21" t="s">
        <v>714</v>
      </c>
      <c r="F204" s="21" t="s">
        <v>724</v>
      </c>
      <c r="G204" s="21" t="s">
        <v>833</v>
      </c>
    </row>
    <row r="205" customFormat="false" ht="15" hidden="false" customHeight="false" outlineLevel="0" collapsed="false">
      <c r="B205" s="19" t="s">
        <v>940</v>
      </c>
      <c r="C205" s="20" t="n">
        <f aca="false">ROUND(0.65/FX,2)</f>
        <v>0.09</v>
      </c>
      <c r="D205" s="21" t="s">
        <v>938</v>
      </c>
      <c r="E205" s="21" t="s">
        <v>837</v>
      </c>
      <c r="F205" s="21" t="s">
        <v>724</v>
      </c>
      <c r="G205" s="21" t="s">
        <v>833</v>
      </c>
    </row>
    <row r="206" customFormat="false" ht="15" hidden="false" customHeight="false" outlineLevel="0" collapsed="false">
      <c r="B206" s="19" t="s">
        <v>941</v>
      </c>
      <c r="C206" s="20" t="n">
        <f aca="false">ROUND(1.14/FX,2)</f>
        <v>0.16</v>
      </c>
      <c r="D206" s="21" t="s">
        <v>938</v>
      </c>
      <c r="E206" s="21" t="s">
        <v>839</v>
      </c>
      <c r="F206" s="21" t="s">
        <v>724</v>
      </c>
      <c r="G206" s="21" t="s">
        <v>833</v>
      </c>
    </row>
    <row r="207" customFormat="false" ht="15" hidden="false" customHeight="false" outlineLevel="0" collapsed="false">
      <c r="B207" s="19" t="s">
        <v>942</v>
      </c>
      <c r="C207" s="20" t="n">
        <f aca="false">ROUND(0.78/FX,2)</f>
        <v>0.11</v>
      </c>
      <c r="D207" s="21" t="s">
        <v>938</v>
      </c>
      <c r="E207" s="21" t="s">
        <v>841</v>
      </c>
      <c r="F207" s="21" t="s">
        <v>724</v>
      </c>
      <c r="G207" s="21" t="s">
        <v>833</v>
      </c>
    </row>
    <row r="208" customFormat="false" ht="15" hidden="false" customHeight="false" outlineLevel="0" collapsed="false">
      <c r="B208" s="19" t="s">
        <v>943</v>
      </c>
      <c r="C208" s="20" t="n">
        <f aca="false">ROUND(0.98/FX,2)</f>
        <v>0.14</v>
      </c>
      <c r="D208" s="21" t="s">
        <v>938</v>
      </c>
      <c r="E208" s="21" t="s">
        <v>789</v>
      </c>
      <c r="F208" s="21" t="s">
        <v>724</v>
      </c>
      <c r="G208" s="21" t="s">
        <v>833</v>
      </c>
    </row>
    <row r="209" customFormat="false" ht="15" hidden="false" customHeight="false" outlineLevel="0" collapsed="false">
      <c r="B209" s="19" t="s">
        <v>944</v>
      </c>
      <c r="C209" s="20" t="n">
        <f aca="false">ROUND(0.84/FX,2)</f>
        <v>0.12</v>
      </c>
      <c r="D209" s="21" t="s">
        <v>938</v>
      </c>
      <c r="E209" s="21" t="s">
        <v>716</v>
      </c>
      <c r="F209" s="21" t="s">
        <v>724</v>
      </c>
      <c r="G209" s="21" t="s">
        <v>833</v>
      </c>
    </row>
    <row r="210" customFormat="false" ht="15" hidden="false" customHeight="false" outlineLevel="0" collapsed="false">
      <c r="B210" s="19" t="s">
        <v>945</v>
      </c>
      <c r="C210" s="20" t="n">
        <f aca="false">ROUND(1.14/FX,2)</f>
        <v>0.16</v>
      </c>
      <c r="D210" s="21" t="s">
        <v>938</v>
      </c>
      <c r="E210" s="21" t="s">
        <v>845</v>
      </c>
      <c r="F210" s="21" t="s">
        <v>724</v>
      </c>
      <c r="G210" s="21" t="s">
        <v>833</v>
      </c>
    </row>
    <row r="211" customFormat="false" ht="15" hidden="false" customHeight="false" outlineLevel="0" collapsed="false">
      <c r="B211" s="19" t="s">
        <v>946</v>
      </c>
      <c r="C211" s="20" t="n">
        <f aca="false">ROUND(1.14/FX,2)</f>
        <v>0.16</v>
      </c>
      <c r="D211" s="21" t="s">
        <v>938</v>
      </c>
      <c r="E211" s="21" t="s">
        <v>847</v>
      </c>
      <c r="F211" s="21" t="s">
        <v>724</v>
      </c>
      <c r="G211" s="21" t="s">
        <v>833</v>
      </c>
    </row>
    <row r="212" customFormat="false" ht="15" hidden="false" customHeight="false" outlineLevel="0" collapsed="false">
      <c r="B212" s="19" t="s">
        <v>947</v>
      </c>
      <c r="C212" s="20" t="n">
        <f aca="false">ROUND(1.76/FX,2)</f>
        <v>0.24</v>
      </c>
      <c r="D212" s="21" t="s">
        <v>938</v>
      </c>
      <c r="E212" s="21" t="s">
        <v>719</v>
      </c>
      <c r="F212" s="21" t="s">
        <v>724</v>
      </c>
      <c r="G212" s="21" t="s">
        <v>833</v>
      </c>
    </row>
    <row r="213" customFormat="false" ht="15" hidden="false" customHeight="false" outlineLevel="0" collapsed="false">
      <c r="B213" s="19" t="s">
        <v>948</v>
      </c>
      <c r="C213" s="20" t="n">
        <f aca="false">ROUND(1.82/FX,2)</f>
        <v>0.25</v>
      </c>
      <c r="D213" s="21" t="s">
        <v>949</v>
      </c>
      <c r="E213" s="21" t="s">
        <v>707</v>
      </c>
      <c r="F213" s="21" t="s">
        <v>724</v>
      </c>
      <c r="G213" s="21" t="s">
        <v>833</v>
      </c>
    </row>
    <row r="214" customFormat="false" ht="15" hidden="false" customHeight="false" outlineLevel="0" collapsed="false">
      <c r="B214" s="19" t="s">
        <v>950</v>
      </c>
      <c r="C214" s="20" t="n">
        <f aca="false">ROUND(3.25/FX,2)</f>
        <v>0.45</v>
      </c>
      <c r="D214" s="21" t="s">
        <v>949</v>
      </c>
      <c r="E214" s="21" t="s">
        <v>714</v>
      </c>
      <c r="F214" s="21" t="s">
        <v>724</v>
      </c>
      <c r="G214" s="21" t="s">
        <v>833</v>
      </c>
    </row>
    <row r="215" customFormat="false" ht="15" hidden="false" customHeight="false" outlineLevel="0" collapsed="false">
      <c r="B215" s="19" t="s">
        <v>951</v>
      </c>
      <c r="C215" s="20" t="n">
        <f aca="false">ROUND(0.65/FX,2)</f>
        <v>0.09</v>
      </c>
      <c r="D215" s="21" t="s">
        <v>949</v>
      </c>
      <c r="E215" s="21" t="s">
        <v>837</v>
      </c>
      <c r="F215" s="21" t="s">
        <v>724</v>
      </c>
      <c r="G215" s="21" t="s">
        <v>833</v>
      </c>
    </row>
    <row r="216" customFormat="false" ht="15" hidden="false" customHeight="false" outlineLevel="0" collapsed="false">
      <c r="B216" s="19" t="s">
        <v>952</v>
      </c>
      <c r="C216" s="20" t="n">
        <f aca="false">ROUND(0.65/FX,2)</f>
        <v>0.09</v>
      </c>
      <c r="D216" s="21" t="s">
        <v>949</v>
      </c>
      <c r="E216" s="21" t="s">
        <v>839</v>
      </c>
      <c r="F216" s="21" t="s">
        <v>724</v>
      </c>
      <c r="G216" s="21" t="s">
        <v>833</v>
      </c>
    </row>
    <row r="217" customFormat="false" ht="15" hidden="false" customHeight="false" outlineLevel="0" collapsed="false">
      <c r="B217" s="19" t="s">
        <v>953</v>
      </c>
      <c r="C217" s="20" t="n">
        <f aca="false">ROUND(1.14/FX,2)</f>
        <v>0.16</v>
      </c>
      <c r="D217" s="21" t="s">
        <v>949</v>
      </c>
      <c r="E217" s="21" t="s">
        <v>841</v>
      </c>
      <c r="F217" s="21" t="s">
        <v>724</v>
      </c>
      <c r="G217" s="21" t="s">
        <v>833</v>
      </c>
    </row>
    <row r="218" customFormat="false" ht="15" hidden="false" customHeight="false" outlineLevel="0" collapsed="false">
      <c r="B218" s="19" t="s">
        <v>954</v>
      </c>
      <c r="C218" s="20" t="n">
        <f aca="false">ROUND(0.98/FX,2)</f>
        <v>0.14</v>
      </c>
      <c r="D218" s="21" t="s">
        <v>949</v>
      </c>
      <c r="E218" s="21" t="s">
        <v>789</v>
      </c>
      <c r="F218" s="21" t="s">
        <v>724</v>
      </c>
      <c r="G218" s="21" t="s">
        <v>833</v>
      </c>
    </row>
    <row r="219" customFormat="false" ht="15" hidden="false" customHeight="false" outlineLevel="0" collapsed="false">
      <c r="B219" s="19" t="s">
        <v>955</v>
      </c>
      <c r="C219" s="20" t="n">
        <f aca="false">ROUND(0.98/FX,2)</f>
        <v>0.14</v>
      </c>
      <c r="D219" s="21" t="s">
        <v>949</v>
      </c>
      <c r="E219" s="21" t="s">
        <v>716</v>
      </c>
      <c r="F219" s="21" t="s">
        <v>724</v>
      </c>
      <c r="G219" s="21" t="s">
        <v>833</v>
      </c>
    </row>
    <row r="220" customFormat="false" ht="15" hidden="false" customHeight="false" outlineLevel="0" collapsed="false">
      <c r="B220" s="19" t="s">
        <v>956</v>
      </c>
      <c r="C220" s="20" t="n">
        <f aca="false">ROUND(1.14/FX,2)</f>
        <v>0.16</v>
      </c>
      <c r="D220" s="21" t="s">
        <v>949</v>
      </c>
      <c r="E220" s="21" t="s">
        <v>845</v>
      </c>
      <c r="F220" s="21" t="s">
        <v>724</v>
      </c>
      <c r="G220" s="21" t="s">
        <v>833</v>
      </c>
    </row>
    <row r="221" customFormat="false" ht="15" hidden="false" customHeight="false" outlineLevel="0" collapsed="false">
      <c r="B221" s="19" t="s">
        <v>957</v>
      </c>
      <c r="C221" s="20" t="n">
        <f aca="false">ROUND(1.14/FX,2)</f>
        <v>0.16</v>
      </c>
      <c r="D221" s="21" t="s">
        <v>949</v>
      </c>
      <c r="E221" s="21" t="s">
        <v>847</v>
      </c>
      <c r="F221" s="21" t="s">
        <v>724</v>
      </c>
      <c r="G221" s="21" t="s">
        <v>833</v>
      </c>
    </row>
    <row r="222" customFormat="false" ht="15" hidden="false" customHeight="false" outlineLevel="0" collapsed="false">
      <c r="B222" s="19" t="s">
        <v>958</v>
      </c>
      <c r="C222" s="20" t="n">
        <f aca="false">ROUND(2.73/FX,2)</f>
        <v>0.38</v>
      </c>
      <c r="D222" s="21" t="s">
        <v>949</v>
      </c>
      <c r="E222" s="21" t="s">
        <v>719</v>
      </c>
      <c r="F222" s="21" t="s">
        <v>724</v>
      </c>
      <c r="G222" s="21" t="s">
        <v>833</v>
      </c>
    </row>
    <row r="223" customFormat="false" ht="15" hidden="false" customHeight="false" outlineLevel="0" collapsed="false">
      <c r="B223" s="19" t="s">
        <v>959</v>
      </c>
      <c r="C223" s="20" t="n">
        <f aca="false">ROUND(1.4/FX,2)</f>
        <v>0.19</v>
      </c>
      <c r="D223" s="21" t="s">
        <v>960</v>
      </c>
      <c r="E223" s="21" t="s">
        <v>707</v>
      </c>
      <c r="F223" s="21" t="s">
        <v>724</v>
      </c>
      <c r="G223" s="21" t="s">
        <v>833</v>
      </c>
    </row>
    <row r="224" customFormat="false" ht="15" hidden="false" customHeight="false" outlineLevel="0" collapsed="false">
      <c r="B224" s="19" t="s">
        <v>961</v>
      </c>
      <c r="C224" s="20" t="n">
        <f aca="false">ROUND(3.25/FX,2)</f>
        <v>0.45</v>
      </c>
      <c r="D224" s="21" t="s">
        <v>960</v>
      </c>
      <c r="E224" s="21" t="s">
        <v>714</v>
      </c>
      <c r="F224" s="21" t="s">
        <v>724</v>
      </c>
      <c r="G224" s="21" t="s">
        <v>833</v>
      </c>
    </row>
    <row r="225" customFormat="false" ht="15" hidden="false" customHeight="false" outlineLevel="0" collapsed="false">
      <c r="B225" s="19" t="s">
        <v>962</v>
      </c>
      <c r="C225" s="20" t="n">
        <f aca="false">ROUND(0.65/FX,2)</f>
        <v>0.09</v>
      </c>
      <c r="D225" s="21" t="s">
        <v>960</v>
      </c>
      <c r="E225" s="21" t="s">
        <v>837</v>
      </c>
      <c r="F225" s="21" t="s">
        <v>724</v>
      </c>
      <c r="G225" s="21" t="s">
        <v>833</v>
      </c>
    </row>
    <row r="226" customFormat="false" ht="15" hidden="false" customHeight="false" outlineLevel="0" collapsed="false">
      <c r="B226" s="19" t="s">
        <v>963</v>
      </c>
      <c r="C226" s="20" t="n">
        <f aca="false">ROUND(1.14/FX,2)</f>
        <v>0.16</v>
      </c>
      <c r="D226" s="21" t="s">
        <v>960</v>
      </c>
      <c r="E226" s="21" t="s">
        <v>839</v>
      </c>
      <c r="F226" s="21" t="s">
        <v>724</v>
      </c>
      <c r="G226" s="21" t="s">
        <v>833</v>
      </c>
    </row>
    <row r="227" customFormat="false" ht="15" hidden="false" customHeight="false" outlineLevel="0" collapsed="false">
      <c r="B227" s="19" t="s">
        <v>964</v>
      </c>
      <c r="C227" s="20" t="n">
        <f aca="false">ROUND(1.14/FX,2)</f>
        <v>0.16</v>
      </c>
      <c r="D227" s="21" t="s">
        <v>960</v>
      </c>
      <c r="E227" s="21" t="s">
        <v>841</v>
      </c>
      <c r="F227" s="21" t="s">
        <v>724</v>
      </c>
      <c r="G227" s="21" t="s">
        <v>833</v>
      </c>
    </row>
    <row r="228" customFormat="false" ht="15" hidden="false" customHeight="false" outlineLevel="0" collapsed="false">
      <c r="B228" s="19" t="s">
        <v>965</v>
      </c>
      <c r="C228" s="20" t="n">
        <f aca="false">ROUND(0.98/FX,2)</f>
        <v>0.14</v>
      </c>
      <c r="D228" s="21" t="s">
        <v>960</v>
      </c>
      <c r="E228" s="21" t="s">
        <v>789</v>
      </c>
      <c r="F228" s="21" t="s">
        <v>724</v>
      </c>
      <c r="G228" s="21" t="s">
        <v>833</v>
      </c>
    </row>
    <row r="229" customFormat="false" ht="15" hidden="false" customHeight="false" outlineLevel="0" collapsed="false">
      <c r="B229" s="19" t="s">
        <v>966</v>
      </c>
      <c r="C229" s="20" t="n">
        <f aca="false">ROUND(1.11/FX,2)</f>
        <v>0.15</v>
      </c>
      <c r="D229" s="21" t="s">
        <v>960</v>
      </c>
      <c r="E229" s="21" t="s">
        <v>716</v>
      </c>
      <c r="F229" s="21" t="s">
        <v>724</v>
      </c>
      <c r="G229" s="21" t="s">
        <v>833</v>
      </c>
    </row>
    <row r="230" customFormat="false" ht="15" hidden="false" customHeight="false" outlineLevel="0" collapsed="false">
      <c r="B230" s="19" t="s">
        <v>967</v>
      </c>
      <c r="C230" s="20" t="n">
        <f aca="false">ROUND(1.14/FX,2)</f>
        <v>0.16</v>
      </c>
      <c r="D230" s="21" t="s">
        <v>960</v>
      </c>
      <c r="E230" s="21" t="s">
        <v>845</v>
      </c>
      <c r="F230" s="21" t="s">
        <v>724</v>
      </c>
      <c r="G230" s="21" t="s">
        <v>833</v>
      </c>
    </row>
    <row r="231" customFormat="false" ht="15" hidden="false" customHeight="false" outlineLevel="0" collapsed="false">
      <c r="B231" s="19" t="s">
        <v>968</v>
      </c>
      <c r="C231" s="20" t="n">
        <f aca="false">ROUND(1.14/FX,2)</f>
        <v>0.16</v>
      </c>
      <c r="D231" s="21" t="s">
        <v>960</v>
      </c>
      <c r="E231" s="21" t="s">
        <v>847</v>
      </c>
      <c r="F231" s="21" t="s">
        <v>724</v>
      </c>
      <c r="G231" s="21" t="s">
        <v>833</v>
      </c>
    </row>
    <row r="232" customFormat="false" ht="15" hidden="false" customHeight="false" outlineLevel="0" collapsed="false">
      <c r="B232" s="19" t="s">
        <v>969</v>
      </c>
      <c r="C232" s="20" t="n">
        <f aca="false">ROUND(1.63/FX,2)</f>
        <v>0.23</v>
      </c>
      <c r="D232" s="21" t="s">
        <v>960</v>
      </c>
      <c r="E232" s="21" t="s">
        <v>719</v>
      </c>
      <c r="F232" s="21" t="s">
        <v>724</v>
      </c>
      <c r="G232" s="21" t="s">
        <v>833</v>
      </c>
    </row>
    <row r="233" customFormat="false" ht="15" hidden="false" customHeight="false" outlineLevel="0" collapsed="false">
      <c r="B233" s="19" t="s">
        <v>970</v>
      </c>
      <c r="C233" s="20" t="n">
        <f aca="false">ROUND(1.82/FX,2)</f>
        <v>0.25</v>
      </c>
      <c r="D233" s="21" t="s">
        <v>971</v>
      </c>
      <c r="E233" s="21" t="s">
        <v>707</v>
      </c>
      <c r="F233" s="21" t="s">
        <v>724</v>
      </c>
      <c r="G233" s="21" t="s">
        <v>833</v>
      </c>
    </row>
    <row r="234" customFormat="false" ht="15" hidden="false" customHeight="false" outlineLevel="0" collapsed="false">
      <c r="B234" s="19" t="s">
        <v>972</v>
      </c>
      <c r="C234" s="20" t="n">
        <f aca="false">ROUND(3.25/FX,2)</f>
        <v>0.45</v>
      </c>
      <c r="D234" s="21" t="s">
        <v>971</v>
      </c>
      <c r="E234" s="21" t="s">
        <v>714</v>
      </c>
      <c r="F234" s="21" t="s">
        <v>724</v>
      </c>
      <c r="G234" s="21" t="s">
        <v>833</v>
      </c>
    </row>
    <row r="235" customFormat="false" ht="15" hidden="false" customHeight="false" outlineLevel="0" collapsed="false">
      <c r="B235" s="19" t="s">
        <v>973</v>
      </c>
      <c r="C235" s="20" t="n">
        <f aca="false">ROUND(0.65/FX,2)</f>
        <v>0.09</v>
      </c>
      <c r="D235" s="21" t="s">
        <v>971</v>
      </c>
      <c r="E235" s="21" t="s">
        <v>837</v>
      </c>
      <c r="F235" s="21" t="s">
        <v>724</v>
      </c>
      <c r="G235" s="21" t="s">
        <v>833</v>
      </c>
    </row>
    <row r="236" customFormat="false" ht="15" hidden="false" customHeight="false" outlineLevel="0" collapsed="false">
      <c r="B236" s="19" t="s">
        <v>974</v>
      </c>
      <c r="C236" s="20" t="n">
        <f aca="false">ROUND(1.14/FX,2)</f>
        <v>0.16</v>
      </c>
      <c r="D236" s="21" t="s">
        <v>971</v>
      </c>
      <c r="E236" s="21" t="s">
        <v>839</v>
      </c>
      <c r="F236" s="21" t="s">
        <v>724</v>
      </c>
      <c r="G236" s="21" t="s">
        <v>833</v>
      </c>
    </row>
    <row r="237" customFormat="false" ht="15" hidden="false" customHeight="false" outlineLevel="0" collapsed="false">
      <c r="B237" s="19" t="s">
        <v>975</v>
      </c>
      <c r="C237" s="20" t="n">
        <f aca="false">ROUND(1.14/FX,2)</f>
        <v>0.16</v>
      </c>
      <c r="D237" s="21" t="s">
        <v>971</v>
      </c>
      <c r="E237" s="21" t="s">
        <v>841</v>
      </c>
      <c r="F237" s="21" t="s">
        <v>724</v>
      </c>
      <c r="G237" s="21" t="s">
        <v>833</v>
      </c>
    </row>
    <row r="238" customFormat="false" ht="15" hidden="false" customHeight="false" outlineLevel="0" collapsed="false">
      <c r="B238" s="19" t="s">
        <v>976</v>
      </c>
      <c r="C238" s="20" t="n">
        <f aca="false">ROUND(0.98/FX,2)</f>
        <v>0.14</v>
      </c>
      <c r="D238" s="21" t="s">
        <v>971</v>
      </c>
      <c r="E238" s="21" t="s">
        <v>789</v>
      </c>
      <c r="F238" s="21" t="s">
        <v>724</v>
      </c>
      <c r="G238" s="21" t="s">
        <v>833</v>
      </c>
    </row>
    <row r="239" customFormat="false" ht="15" hidden="false" customHeight="false" outlineLevel="0" collapsed="false">
      <c r="B239" s="19" t="s">
        <v>977</v>
      </c>
      <c r="C239" s="20" t="n">
        <f aca="false">ROUND(0.84/FX,2)</f>
        <v>0.12</v>
      </c>
      <c r="D239" s="21" t="s">
        <v>971</v>
      </c>
      <c r="E239" s="21" t="s">
        <v>716</v>
      </c>
      <c r="F239" s="21" t="s">
        <v>724</v>
      </c>
      <c r="G239" s="21" t="s">
        <v>833</v>
      </c>
    </row>
    <row r="240" customFormat="false" ht="15" hidden="false" customHeight="false" outlineLevel="0" collapsed="false">
      <c r="B240" s="19" t="s">
        <v>978</v>
      </c>
      <c r="C240" s="20" t="n">
        <f aca="false">ROUND(1.14/FX,2)</f>
        <v>0.16</v>
      </c>
      <c r="D240" s="21" t="s">
        <v>971</v>
      </c>
      <c r="E240" s="21" t="s">
        <v>845</v>
      </c>
      <c r="F240" s="21" t="s">
        <v>724</v>
      </c>
      <c r="G240" s="21" t="s">
        <v>833</v>
      </c>
    </row>
    <row r="241" customFormat="false" ht="15" hidden="false" customHeight="false" outlineLevel="0" collapsed="false">
      <c r="B241" s="19" t="s">
        <v>979</v>
      </c>
      <c r="C241" s="20" t="n">
        <f aca="false">ROUND(1.14/FX,2)</f>
        <v>0.16</v>
      </c>
      <c r="D241" s="21" t="s">
        <v>971</v>
      </c>
      <c r="E241" s="21" t="s">
        <v>847</v>
      </c>
      <c r="F241" s="21" t="s">
        <v>724</v>
      </c>
      <c r="G241" s="21" t="s">
        <v>833</v>
      </c>
    </row>
    <row r="242" customFormat="false" ht="15" hidden="false" customHeight="false" outlineLevel="0" collapsed="false">
      <c r="B242" s="19" t="s">
        <v>980</v>
      </c>
      <c r="C242" s="20" t="n">
        <f aca="false">ROUND(2.73/FX,2)</f>
        <v>0.38</v>
      </c>
      <c r="D242" s="21" t="s">
        <v>971</v>
      </c>
      <c r="E242" s="21" t="s">
        <v>719</v>
      </c>
      <c r="F242" s="21" t="s">
        <v>724</v>
      </c>
      <c r="G242" s="21" t="s">
        <v>833</v>
      </c>
    </row>
    <row r="243" customFormat="false" ht="15" hidden="false" customHeight="false" outlineLevel="0" collapsed="false">
      <c r="B243" s="19" t="s">
        <v>981</v>
      </c>
      <c r="C243" s="20" t="n">
        <f aca="false">ROUND(1.41/FX,2)</f>
        <v>0.2</v>
      </c>
      <c r="D243" s="21" t="s">
        <v>982</v>
      </c>
      <c r="E243" s="21" t="s">
        <v>707</v>
      </c>
      <c r="F243" s="21" t="s">
        <v>724</v>
      </c>
      <c r="G243" s="21" t="s">
        <v>833</v>
      </c>
    </row>
    <row r="244" customFormat="false" ht="15" hidden="false" customHeight="false" outlineLevel="0" collapsed="false">
      <c r="B244" s="19" t="s">
        <v>983</v>
      </c>
      <c r="C244" s="20" t="n">
        <f aca="false">ROUND(3.25/FX,2)</f>
        <v>0.45</v>
      </c>
      <c r="D244" s="21" t="s">
        <v>982</v>
      </c>
      <c r="E244" s="21" t="s">
        <v>714</v>
      </c>
      <c r="F244" s="21" t="s">
        <v>724</v>
      </c>
      <c r="G244" s="21" t="s">
        <v>833</v>
      </c>
    </row>
    <row r="245" customFormat="false" ht="15" hidden="false" customHeight="false" outlineLevel="0" collapsed="false">
      <c r="B245" s="19" t="s">
        <v>984</v>
      </c>
      <c r="C245" s="20" t="n">
        <f aca="false">ROUND(0.65/FX,2)</f>
        <v>0.09</v>
      </c>
      <c r="D245" s="21" t="s">
        <v>982</v>
      </c>
      <c r="E245" s="21" t="s">
        <v>837</v>
      </c>
      <c r="F245" s="21" t="s">
        <v>724</v>
      </c>
      <c r="G245" s="21" t="s">
        <v>833</v>
      </c>
    </row>
    <row r="246" customFormat="false" ht="15" hidden="false" customHeight="false" outlineLevel="0" collapsed="false">
      <c r="B246" s="19" t="s">
        <v>985</v>
      </c>
      <c r="C246" s="20" t="n">
        <f aca="false">ROUND(1.14/FX,2)</f>
        <v>0.16</v>
      </c>
      <c r="D246" s="21" t="s">
        <v>982</v>
      </c>
      <c r="E246" s="21" t="s">
        <v>839</v>
      </c>
      <c r="F246" s="21" t="s">
        <v>724</v>
      </c>
      <c r="G246" s="21" t="s">
        <v>833</v>
      </c>
    </row>
    <row r="247" customFormat="false" ht="15" hidden="false" customHeight="false" outlineLevel="0" collapsed="false">
      <c r="B247" s="19" t="s">
        <v>986</v>
      </c>
      <c r="C247" s="20" t="n">
        <f aca="false">ROUND(1.14/FX,2)</f>
        <v>0.16</v>
      </c>
      <c r="D247" s="21" t="s">
        <v>982</v>
      </c>
      <c r="E247" s="21" t="s">
        <v>841</v>
      </c>
      <c r="F247" s="21" t="s">
        <v>724</v>
      </c>
      <c r="G247" s="21" t="s">
        <v>833</v>
      </c>
    </row>
    <row r="248" customFormat="false" ht="15" hidden="false" customHeight="false" outlineLevel="0" collapsed="false">
      <c r="B248" s="19" t="s">
        <v>987</v>
      </c>
      <c r="C248" s="20" t="n">
        <f aca="false">ROUND(0.98/FX,2)</f>
        <v>0.14</v>
      </c>
      <c r="D248" s="21" t="s">
        <v>982</v>
      </c>
      <c r="E248" s="21" t="s">
        <v>789</v>
      </c>
      <c r="F248" s="21" t="s">
        <v>724</v>
      </c>
      <c r="G248" s="21" t="s">
        <v>833</v>
      </c>
    </row>
    <row r="249" customFormat="false" ht="15" hidden="false" customHeight="false" outlineLevel="0" collapsed="false">
      <c r="B249" s="19" t="s">
        <v>988</v>
      </c>
      <c r="C249" s="20" t="n">
        <f aca="false">ROUND(0.84/FX,2)</f>
        <v>0.12</v>
      </c>
      <c r="D249" s="21" t="s">
        <v>982</v>
      </c>
      <c r="E249" s="21" t="s">
        <v>716</v>
      </c>
      <c r="F249" s="21" t="s">
        <v>724</v>
      </c>
      <c r="G249" s="21" t="s">
        <v>833</v>
      </c>
    </row>
    <row r="250" customFormat="false" ht="15" hidden="false" customHeight="false" outlineLevel="0" collapsed="false">
      <c r="B250" s="19" t="s">
        <v>989</v>
      </c>
      <c r="C250" s="20" t="n">
        <f aca="false">ROUND(1.14/FX,2)</f>
        <v>0.16</v>
      </c>
      <c r="D250" s="21" t="s">
        <v>982</v>
      </c>
      <c r="E250" s="21" t="s">
        <v>845</v>
      </c>
      <c r="F250" s="21" t="s">
        <v>724</v>
      </c>
      <c r="G250" s="21" t="s">
        <v>833</v>
      </c>
    </row>
    <row r="251" customFormat="false" ht="15" hidden="false" customHeight="false" outlineLevel="0" collapsed="false">
      <c r="B251" s="19" t="s">
        <v>990</v>
      </c>
      <c r="C251" s="20" t="n">
        <f aca="false">ROUND(1.14/FX,2)</f>
        <v>0.16</v>
      </c>
      <c r="D251" s="21" t="s">
        <v>982</v>
      </c>
      <c r="E251" s="21" t="s">
        <v>847</v>
      </c>
      <c r="F251" s="21" t="s">
        <v>724</v>
      </c>
      <c r="G251" s="21" t="s">
        <v>833</v>
      </c>
    </row>
    <row r="252" customFormat="false" ht="15" hidden="false" customHeight="false" outlineLevel="0" collapsed="false">
      <c r="B252" s="19" t="s">
        <v>991</v>
      </c>
      <c r="C252" s="20" t="n">
        <f aca="false">ROUND(2.73/FX,2)</f>
        <v>0.38</v>
      </c>
      <c r="D252" s="21" t="s">
        <v>982</v>
      </c>
      <c r="E252" s="21" t="s">
        <v>719</v>
      </c>
      <c r="F252" s="21" t="s">
        <v>724</v>
      </c>
      <c r="G252" s="21" t="s">
        <v>833</v>
      </c>
    </row>
    <row r="253" customFormat="false" ht="15" hidden="false" customHeight="false" outlineLevel="0" collapsed="false">
      <c r="B253" s="19" t="s">
        <v>992</v>
      </c>
      <c r="C253" s="20" t="n">
        <f aca="false">ROUND(1.4/FX,2)</f>
        <v>0.19</v>
      </c>
      <c r="D253" s="21" t="s">
        <v>993</v>
      </c>
      <c r="E253" s="21" t="s">
        <v>707</v>
      </c>
      <c r="F253" s="21" t="s">
        <v>724</v>
      </c>
      <c r="G253" s="21" t="s">
        <v>833</v>
      </c>
    </row>
    <row r="254" customFormat="false" ht="15" hidden="false" customHeight="false" outlineLevel="0" collapsed="false">
      <c r="B254" s="19" t="s">
        <v>994</v>
      </c>
      <c r="C254" s="20" t="n">
        <f aca="false">ROUND(2.12/FX,2)</f>
        <v>0.29</v>
      </c>
      <c r="D254" s="21" t="s">
        <v>993</v>
      </c>
      <c r="E254" s="21" t="s">
        <v>714</v>
      </c>
      <c r="F254" s="21" t="s">
        <v>724</v>
      </c>
      <c r="G254" s="21" t="s">
        <v>833</v>
      </c>
    </row>
    <row r="255" customFormat="false" ht="15" hidden="false" customHeight="false" outlineLevel="0" collapsed="false">
      <c r="B255" s="19" t="s">
        <v>995</v>
      </c>
      <c r="C255" s="20" t="n">
        <f aca="false">ROUND(0.65/FX,2)</f>
        <v>0.09</v>
      </c>
      <c r="D255" s="21" t="s">
        <v>993</v>
      </c>
      <c r="E255" s="21" t="s">
        <v>837</v>
      </c>
      <c r="F255" s="21" t="s">
        <v>724</v>
      </c>
      <c r="G255" s="21" t="s">
        <v>833</v>
      </c>
    </row>
    <row r="256" customFormat="false" ht="15" hidden="false" customHeight="false" outlineLevel="0" collapsed="false">
      <c r="B256" s="19" t="s">
        <v>996</v>
      </c>
      <c r="C256" s="20" t="n">
        <f aca="false">ROUND(1.14/FX,2)</f>
        <v>0.16</v>
      </c>
      <c r="D256" s="21" t="s">
        <v>993</v>
      </c>
      <c r="E256" s="21" t="s">
        <v>839</v>
      </c>
      <c r="F256" s="21" t="s">
        <v>724</v>
      </c>
      <c r="G256" s="21" t="s">
        <v>833</v>
      </c>
    </row>
    <row r="257" customFormat="false" ht="15" hidden="false" customHeight="false" outlineLevel="0" collapsed="false">
      <c r="B257" s="19" t="s">
        <v>997</v>
      </c>
      <c r="C257" s="20" t="n">
        <f aca="false">ROUND(1.14/FX,2)</f>
        <v>0.16</v>
      </c>
      <c r="D257" s="21" t="s">
        <v>993</v>
      </c>
      <c r="E257" s="21" t="s">
        <v>841</v>
      </c>
      <c r="F257" s="21" t="s">
        <v>724</v>
      </c>
      <c r="G257" s="21" t="s">
        <v>833</v>
      </c>
    </row>
    <row r="258" customFormat="false" ht="15" hidden="false" customHeight="false" outlineLevel="0" collapsed="false">
      <c r="B258" s="19" t="s">
        <v>998</v>
      </c>
      <c r="C258" s="20" t="n">
        <f aca="false">ROUND(0.98/FX,2)</f>
        <v>0.14</v>
      </c>
      <c r="D258" s="21" t="s">
        <v>993</v>
      </c>
      <c r="E258" s="21" t="s">
        <v>789</v>
      </c>
      <c r="F258" s="21" t="s">
        <v>724</v>
      </c>
      <c r="G258" s="21" t="s">
        <v>833</v>
      </c>
    </row>
    <row r="259" customFormat="false" ht="15" hidden="false" customHeight="false" outlineLevel="0" collapsed="false">
      <c r="B259" s="19" t="s">
        <v>999</v>
      </c>
      <c r="C259" s="20" t="n">
        <f aca="false">ROUND(0.85/FX,2)</f>
        <v>0.12</v>
      </c>
      <c r="D259" s="21" t="s">
        <v>993</v>
      </c>
      <c r="E259" s="21" t="s">
        <v>716</v>
      </c>
      <c r="F259" s="21" t="s">
        <v>724</v>
      </c>
      <c r="G259" s="21" t="s">
        <v>833</v>
      </c>
    </row>
    <row r="260" customFormat="false" ht="15" hidden="false" customHeight="false" outlineLevel="0" collapsed="false">
      <c r="B260" s="19" t="s">
        <v>1000</v>
      </c>
      <c r="C260" s="20" t="n">
        <f aca="false">ROUND(1.14/FX,2)</f>
        <v>0.16</v>
      </c>
      <c r="D260" s="21" t="s">
        <v>993</v>
      </c>
      <c r="E260" s="21" t="s">
        <v>845</v>
      </c>
      <c r="F260" s="21" t="s">
        <v>724</v>
      </c>
      <c r="G260" s="21" t="s">
        <v>833</v>
      </c>
    </row>
    <row r="261" customFormat="false" ht="15" hidden="false" customHeight="false" outlineLevel="0" collapsed="false">
      <c r="B261" s="19" t="s">
        <v>1001</v>
      </c>
      <c r="C261" s="20" t="n">
        <f aca="false">ROUND(1.14/FX,2)</f>
        <v>0.16</v>
      </c>
      <c r="D261" s="21" t="s">
        <v>993</v>
      </c>
      <c r="E261" s="21" t="s">
        <v>847</v>
      </c>
      <c r="F261" s="21" t="s">
        <v>724</v>
      </c>
      <c r="G261" s="21" t="s">
        <v>833</v>
      </c>
    </row>
    <row r="262" customFormat="false" ht="15" hidden="false" customHeight="false" outlineLevel="0" collapsed="false">
      <c r="B262" s="19" t="s">
        <v>1002</v>
      </c>
      <c r="C262" s="20" t="n">
        <f aca="false">ROUND(2.73/FX,2)</f>
        <v>0.38</v>
      </c>
      <c r="D262" s="21" t="s">
        <v>993</v>
      </c>
      <c r="E262" s="21" t="s">
        <v>719</v>
      </c>
      <c r="F262" s="21" t="s">
        <v>724</v>
      </c>
      <c r="G262" s="21" t="s">
        <v>833</v>
      </c>
    </row>
    <row r="263" customFormat="false" ht="15" hidden="false" customHeight="false" outlineLevel="0" collapsed="false">
      <c r="B263" s="19" t="s">
        <v>1003</v>
      </c>
      <c r="C263" s="20" t="n">
        <f aca="false">ROUND(1.4/FX,2)</f>
        <v>0.19</v>
      </c>
      <c r="D263" s="21" t="s">
        <v>1004</v>
      </c>
      <c r="E263" s="21" t="s">
        <v>707</v>
      </c>
      <c r="F263" s="21" t="s">
        <v>724</v>
      </c>
      <c r="G263" s="21" t="s">
        <v>833</v>
      </c>
    </row>
    <row r="264" customFormat="false" ht="15" hidden="false" customHeight="false" outlineLevel="0" collapsed="false">
      <c r="B264" s="19" t="s">
        <v>1005</v>
      </c>
      <c r="C264" s="20" t="n">
        <f aca="false">ROUND(2.86/FX,2)</f>
        <v>0.4</v>
      </c>
      <c r="D264" s="21" t="s">
        <v>1004</v>
      </c>
      <c r="E264" s="21" t="s">
        <v>714</v>
      </c>
      <c r="F264" s="21" t="s">
        <v>724</v>
      </c>
      <c r="G264" s="21" t="s">
        <v>833</v>
      </c>
    </row>
    <row r="265" customFormat="false" ht="15" hidden="false" customHeight="false" outlineLevel="0" collapsed="false">
      <c r="B265" s="19" t="s">
        <v>1006</v>
      </c>
      <c r="C265" s="20" t="n">
        <f aca="false">ROUND(0.65/FX,2)</f>
        <v>0.09</v>
      </c>
      <c r="D265" s="21" t="s">
        <v>1004</v>
      </c>
      <c r="E265" s="21" t="s">
        <v>837</v>
      </c>
      <c r="F265" s="21" t="s">
        <v>724</v>
      </c>
      <c r="G265" s="21" t="s">
        <v>833</v>
      </c>
    </row>
    <row r="266" customFormat="false" ht="15" hidden="false" customHeight="false" outlineLevel="0" collapsed="false">
      <c r="B266" s="19" t="s">
        <v>1007</v>
      </c>
      <c r="C266" s="20" t="n">
        <f aca="false">ROUND(1.14/FX,2)</f>
        <v>0.16</v>
      </c>
      <c r="D266" s="21" t="s">
        <v>1004</v>
      </c>
      <c r="E266" s="21" t="s">
        <v>839</v>
      </c>
      <c r="F266" s="21" t="s">
        <v>724</v>
      </c>
      <c r="G266" s="21" t="s">
        <v>833</v>
      </c>
    </row>
    <row r="267" customFormat="false" ht="15" hidden="false" customHeight="false" outlineLevel="0" collapsed="false">
      <c r="B267" s="19" t="s">
        <v>1008</v>
      </c>
      <c r="C267" s="20" t="n">
        <f aca="false">ROUND(0.75/FX,2)</f>
        <v>0.1</v>
      </c>
      <c r="D267" s="21" t="s">
        <v>1004</v>
      </c>
      <c r="E267" s="21" t="s">
        <v>841</v>
      </c>
      <c r="F267" s="21" t="s">
        <v>724</v>
      </c>
      <c r="G267" s="21" t="s">
        <v>833</v>
      </c>
    </row>
    <row r="268" customFormat="false" ht="15" hidden="false" customHeight="false" outlineLevel="0" collapsed="false">
      <c r="B268" s="19" t="s">
        <v>1009</v>
      </c>
      <c r="C268" s="20" t="n">
        <f aca="false">ROUND(0.98/FX,2)</f>
        <v>0.14</v>
      </c>
      <c r="D268" s="21" t="s">
        <v>1004</v>
      </c>
      <c r="E268" s="21" t="s">
        <v>789</v>
      </c>
      <c r="F268" s="21" t="s">
        <v>724</v>
      </c>
      <c r="G268" s="21" t="s">
        <v>833</v>
      </c>
    </row>
    <row r="269" customFormat="false" ht="15" hidden="false" customHeight="false" outlineLevel="0" collapsed="false">
      <c r="B269" s="19" t="s">
        <v>1010</v>
      </c>
      <c r="C269" s="20" t="n">
        <f aca="false">ROUND(0.89/FX,2)</f>
        <v>0.12</v>
      </c>
      <c r="D269" s="21" t="s">
        <v>1004</v>
      </c>
      <c r="E269" s="21" t="s">
        <v>716</v>
      </c>
      <c r="F269" s="21" t="s">
        <v>724</v>
      </c>
      <c r="G269" s="21" t="s">
        <v>833</v>
      </c>
    </row>
    <row r="270" customFormat="false" ht="15" hidden="false" customHeight="false" outlineLevel="0" collapsed="false">
      <c r="B270" s="19" t="s">
        <v>1011</v>
      </c>
      <c r="C270" s="20" t="n">
        <f aca="false">ROUND(1.14/FX,2)</f>
        <v>0.16</v>
      </c>
      <c r="D270" s="21" t="s">
        <v>1004</v>
      </c>
      <c r="E270" s="21" t="s">
        <v>845</v>
      </c>
      <c r="F270" s="21" t="s">
        <v>724</v>
      </c>
      <c r="G270" s="21" t="s">
        <v>833</v>
      </c>
    </row>
    <row r="271" customFormat="false" ht="15" hidden="false" customHeight="false" outlineLevel="0" collapsed="false">
      <c r="B271" s="19" t="s">
        <v>1012</v>
      </c>
      <c r="C271" s="20" t="n">
        <f aca="false">ROUND(1.14/FX,2)</f>
        <v>0.16</v>
      </c>
      <c r="D271" s="21" t="s">
        <v>1004</v>
      </c>
      <c r="E271" s="21" t="s">
        <v>847</v>
      </c>
      <c r="F271" s="21" t="s">
        <v>724</v>
      </c>
      <c r="G271" s="21" t="s">
        <v>833</v>
      </c>
    </row>
    <row r="272" customFormat="false" ht="15" hidden="false" customHeight="false" outlineLevel="0" collapsed="false">
      <c r="B272" s="19" t="s">
        <v>1013</v>
      </c>
      <c r="C272" s="20" t="n">
        <f aca="false">ROUND(2.73/FX,2)</f>
        <v>0.38</v>
      </c>
      <c r="D272" s="21" t="s">
        <v>1004</v>
      </c>
      <c r="E272" s="21" t="s">
        <v>719</v>
      </c>
      <c r="F272" s="21" t="s">
        <v>724</v>
      </c>
      <c r="G272" s="21" t="s">
        <v>833</v>
      </c>
    </row>
    <row r="273" customFormat="false" ht="15" hidden="false" customHeight="false" outlineLevel="0" collapsed="false">
      <c r="B273" s="19" t="s">
        <v>1014</v>
      </c>
      <c r="C273" s="20" t="n">
        <f aca="false">ROUND(1.54/FX,2)</f>
        <v>0.21</v>
      </c>
      <c r="D273" s="21" t="s">
        <v>1015</v>
      </c>
      <c r="E273" s="21" t="s">
        <v>707</v>
      </c>
      <c r="F273" s="21" t="s">
        <v>724</v>
      </c>
      <c r="G273" s="21" t="s">
        <v>833</v>
      </c>
    </row>
    <row r="274" customFormat="false" ht="15" hidden="false" customHeight="false" outlineLevel="0" collapsed="false">
      <c r="B274" s="19" t="s">
        <v>1016</v>
      </c>
      <c r="C274" s="20" t="n">
        <f aca="false">ROUND(3.25/FX,2)</f>
        <v>0.45</v>
      </c>
      <c r="D274" s="21" t="s">
        <v>1015</v>
      </c>
      <c r="E274" s="21" t="s">
        <v>714</v>
      </c>
      <c r="F274" s="21" t="s">
        <v>724</v>
      </c>
      <c r="G274" s="21" t="s">
        <v>833</v>
      </c>
    </row>
    <row r="275" customFormat="false" ht="15" hidden="false" customHeight="false" outlineLevel="0" collapsed="false">
      <c r="B275" s="19" t="s">
        <v>1017</v>
      </c>
      <c r="C275" s="20" t="n">
        <f aca="false">ROUND(0.56/FX,2)</f>
        <v>0.08</v>
      </c>
      <c r="D275" s="21" t="s">
        <v>1015</v>
      </c>
      <c r="E275" s="21" t="s">
        <v>837</v>
      </c>
      <c r="F275" s="21" t="s">
        <v>724</v>
      </c>
      <c r="G275" s="21" t="s">
        <v>833</v>
      </c>
    </row>
    <row r="276" customFormat="false" ht="15" hidden="false" customHeight="false" outlineLevel="0" collapsed="false">
      <c r="B276" s="19" t="s">
        <v>1018</v>
      </c>
      <c r="C276" s="20" t="n">
        <f aca="false">ROUND(1.14/FX,2)</f>
        <v>0.16</v>
      </c>
      <c r="D276" s="21" t="s">
        <v>1015</v>
      </c>
      <c r="E276" s="21" t="s">
        <v>839</v>
      </c>
      <c r="F276" s="21" t="s">
        <v>724</v>
      </c>
      <c r="G276" s="21" t="s">
        <v>833</v>
      </c>
    </row>
    <row r="277" customFormat="false" ht="15" hidden="false" customHeight="false" outlineLevel="0" collapsed="false">
      <c r="B277" s="19" t="s">
        <v>1019</v>
      </c>
      <c r="C277" s="20" t="n">
        <f aca="false">ROUND(1.14/FX,2)</f>
        <v>0.16</v>
      </c>
      <c r="D277" s="21" t="s">
        <v>1015</v>
      </c>
      <c r="E277" s="21" t="s">
        <v>841</v>
      </c>
      <c r="F277" s="21" t="s">
        <v>724</v>
      </c>
      <c r="G277" s="21" t="s">
        <v>833</v>
      </c>
    </row>
    <row r="278" customFormat="false" ht="15" hidden="false" customHeight="false" outlineLevel="0" collapsed="false">
      <c r="B278" s="19" t="s">
        <v>1020</v>
      </c>
      <c r="C278" s="20" t="n">
        <f aca="false">ROUND(0.98/FX,2)</f>
        <v>0.14</v>
      </c>
      <c r="D278" s="21" t="s">
        <v>1015</v>
      </c>
      <c r="E278" s="21" t="s">
        <v>789</v>
      </c>
      <c r="F278" s="21" t="s">
        <v>724</v>
      </c>
      <c r="G278" s="21" t="s">
        <v>833</v>
      </c>
    </row>
    <row r="279" customFormat="false" ht="15" hidden="false" customHeight="false" outlineLevel="0" collapsed="false">
      <c r="B279" s="19" t="s">
        <v>1021</v>
      </c>
      <c r="C279" s="20" t="n">
        <f aca="false">ROUND(1.01/FX,2)</f>
        <v>0.14</v>
      </c>
      <c r="D279" s="21" t="s">
        <v>1015</v>
      </c>
      <c r="E279" s="21" t="s">
        <v>716</v>
      </c>
      <c r="F279" s="21" t="s">
        <v>724</v>
      </c>
      <c r="G279" s="21" t="s">
        <v>833</v>
      </c>
    </row>
    <row r="280" customFormat="false" ht="15" hidden="false" customHeight="false" outlineLevel="0" collapsed="false">
      <c r="B280" s="19" t="s">
        <v>1022</v>
      </c>
      <c r="C280" s="20" t="n">
        <f aca="false">ROUND(1.37/FX,2)</f>
        <v>0.19</v>
      </c>
      <c r="D280" s="21" t="s">
        <v>1015</v>
      </c>
      <c r="E280" s="21" t="s">
        <v>845</v>
      </c>
      <c r="F280" s="21" t="s">
        <v>724</v>
      </c>
      <c r="G280" s="21" t="s">
        <v>833</v>
      </c>
    </row>
    <row r="281" customFormat="false" ht="15" hidden="false" customHeight="false" outlineLevel="0" collapsed="false">
      <c r="B281" s="19" t="s">
        <v>1023</v>
      </c>
      <c r="C281" s="20" t="n">
        <f aca="false">ROUND(1.64/FX,2)</f>
        <v>0.23</v>
      </c>
      <c r="D281" s="21" t="s">
        <v>1015</v>
      </c>
      <c r="E281" s="21" t="s">
        <v>847</v>
      </c>
      <c r="F281" s="21" t="s">
        <v>724</v>
      </c>
      <c r="G281" s="21" t="s">
        <v>833</v>
      </c>
    </row>
    <row r="282" customFormat="false" ht="15" hidden="false" customHeight="false" outlineLevel="0" collapsed="false">
      <c r="B282" s="19" t="s">
        <v>1024</v>
      </c>
      <c r="C282" s="20" t="n">
        <f aca="false">ROUND(2.73/FX,2)</f>
        <v>0.38</v>
      </c>
      <c r="D282" s="21" t="s">
        <v>1015</v>
      </c>
      <c r="E282" s="21" t="s">
        <v>719</v>
      </c>
      <c r="F282" s="21" t="s">
        <v>724</v>
      </c>
      <c r="G282" s="21" t="s">
        <v>833</v>
      </c>
    </row>
    <row r="283" customFormat="false" ht="15" hidden="false" customHeight="false" outlineLevel="0" collapsed="false">
      <c r="B283" s="19" t="s">
        <v>1025</v>
      </c>
      <c r="C283" s="20" t="n">
        <f aca="false">ROUND(1.47/FX,2)</f>
        <v>0.2</v>
      </c>
      <c r="D283" s="21" t="s">
        <v>1026</v>
      </c>
      <c r="E283" s="21" t="s">
        <v>707</v>
      </c>
      <c r="F283" s="21" t="s">
        <v>724</v>
      </c>
      <c r="G283" s="21" t="s">
        <v>833</v>
      </c>
    </row>
    <row r="284" customFormat="false" ht="15" hidden="false" customHeight="false" outlineLevel="0" collapsed="false">
      <c r="B284" s="19" t="s">
        <v>1027</v>
      </c>
      <c r="C284" s="20" t="n">
        <f aca="false">ROUND(3.25/FX,2)</f>
        <v>0.45</v>
      </c>
      <c r="D284" s="21" t="s">
        <v>1026</v>
      </c>
      <c r="E284" s="21" t="s">
        <v>714</v>
      </c>
      <c r="F284" s="21" t="s">
        <v>724</v>
      </c>
      <c r="G284" s="21" t="s">
        <v>833</v>
      </c>
    </row>
    <row r="285" customFormat="false" ht="15" hidden="false" customHeight="false" outlineLevel="0" collapsed="false">
      <c r="B285" s="19" t="s">
        <v>1028</v>
      </c>
      <c r="C285" s="20" t="n">
        <f aca="false">ROUND(0.65/FX,2)</f>
        <v>0.09</v>
      </c>
      <c r="D285" s="21" t="s">
        <v>1026</v>
      </c>
      <c r="E285" s="21" t="s">
        <v>837</v>
      </c>
      <c r="F285" s="21" t="s">
        <v>724</v>
      </c>
      <c r="G285" s="21" t="s">
        <v>833</v>
      </c>
    </row>
    <row r="286" customFormat="false" ht="15" hidden="false" customHeight="false" outlineLevel="0" collapsed="false">
      <c r="B286" s="19" t="s">
        <v>1029</v>
      </c>
      <c r="C286" s="20" t="n">
        <f aca="false">ROUND(1.14/FX,2)</f>
        <v>0.16</v>
      </c>
      <c r="D286" s="21" t="s">
        <v>1026</v>
      </c>
      <c r="E286" s="21" t="s">
        <v>839</v>
      </c>
      <c r="F286" s="21" t="s">
        <v>724</v>
      </c>
      <c r="G286" s="21" t="s">
        <v>833</v>
      </c>
    </row>
    <row r="287" customFormat="false" ht="15" hidden="false" customHeight="false" outlineLevel="0" collapsed="false">
      <c r="B287" s="19" t="s">
        <v>1030</v>
      </c>
      <c r="C287" s="20" t="n">
        <f aca="false">ROUND(1.14/FX,2)</f>
        <v>0.16</v>
      </c>
      <c r="D287" s="21" t="s">
        <v>1026</v>
      </c>
      <c r="E287" s="21" t="s">
        <v>841</v>
      </c>
      <c r="F287" s="21" t="s">
        <v>724</v>
      </c>
      <c r="G287" s="21" t="s">
        <v>833</v>
      </c>
    </row>
    <row r="288" customFormat="false" ht="15" hidden="false" customHeight="false" outlineLevel="0" collapsed="false">
      <c r="B288" s="19" t="s">
        <v>1031</v>
      </c>
      <c r="C288" s="20" t="n">
        <f aca="false">ROUND(1.04/FX,2)</f>
        <v>0.14</v>
      </c>
      <c r="D288" s="21" t="s">
        <v>1026</v>
      </c>
      <c r="E288" s="21" t="s">
        <v>789</v>
      </c>
      <c r="F288" s="21" t="s">
        <v>724</v>
      </c>
      <c r="G288" s="21" t="s">
        <v>833</v>
      </c>
    </row>
    <row r="289" customFormat="false" ht="15" hidden="false" customHeight="false" outlineLevel="0" collapsed="false">
      <c r="B289" s="19" t="s">
        <v>1032</v>
      </c>
      <c r="C289" s="20" t="n">
        <f aca="false">ROUND(1.24/FX,2)</f>
        <v>0.17</v>
      </c>
      <c r="D289" s="21" t="s">
        <v>1026</v>
      </c>
      <c r="E289" s="21" t="s">
        <v>716</v>
      </c>
      <c r="F289" s="21" t="s">
        <v>724</v>
      </c>
      <c r="G289" s="21" t="s">
        <v>833</v>
      </c>
    </row>
    <row r="290" customFormat="false" ht="15" hidden="false" customHeight="false" outlineLevel="0" collapsed="false">
      <c r="B290" s="19" t="s">
        <v>1033</v>
      </c>
      <c r="C290" s="20" t="n">
        <f aca="false">ROUND(1.14/FX,2)</f>
        <v>0.16</v>
      </c>
      <c r="D290" s="21" t="s">
        <v>1026</v>
      </c>
      <c r="E290" s="21" t="s">
        <v>845</v>
      </c>
      <c r="F290" s="21" t="s">
        <v>724</v>
      </c>
      <c r="G290" s="21" t="s">
        <v>833</v>
      </c>
    </row>
    <row r="291" customFormat="false" ht="15" hidden="false" customHeight="false" outlineLevel="0" collapsed="false">
      <c r="B291" s="19" t="s">
        <v>1034</v>
      </c>
      <c r="C291" s="20" t="n">
        <f aca="false">ROUND(1.14/FX,2)</f>
        <v>0.16</v>
      </c>
      <c r="D291" s="21" t="s">
        <v>1026</v>
      </c>
      <c r="E291" s="21" t="s">
        <v>847</v>
      </c>
      <c r="F291" s="21" t="s">
        <v>724</v>
      </c>
      <c r="G291" s="21" t="s">
        <v>833</v>
      </c>
    </row>
    <row r="292" customFormat="false" ht="15" hidden="false" customHeight="false" outlineLevel="0" collapsed="false">
      <c r="B292" s="19" t="s">
        <v>1035</v>
      </c>
      <c r="C292" s="20" t="n">
        <f aca="false">ROUND(2.73/FX,2)</f>
        <v>0.38</v>
      </c>
      <c r="D292" s="21" t="s">
        <v>1026</v>
      </c>
      <c r="E292" s="21" t="s">
        <v>719</v>
      </c>
      <c r="F292" s="21" t="s">
        <v>724</v>
      </c>
      <c r="G292" s="21" t="s">
        <v>833</v>
      </c>
    </row>
    <row r="293" customFormat="false" ht="15" hidden="false" customHeight="false" outlineLevel="0" collapsed="false">
      <c r="B293" s="19" t="s">
        <v>1036</v>
      </c>
      <c r="C293" s="20" t="n">
        <f aca="false">ROUND(1.47/FX,2)</f>
        <v>0.2</v>
      </c>
      <c r="D293" s="21" t="s">
        <v>1037</v>
      </c>
      <c r="E293" s="21" t="s">
        <v>707</v>
      </c>
      <c r="F293" s="21" t="s">
        <v>724</v>
      </c>
      <c r="G293" s="21" t="s">
        <v>833</v>
      </c>
    </row>
    <row r="294" customFormat="false" ht="15" hidden="false" customHeight="false" outlineLevel="0" collapsed="false">
      <c r="B294" s="19" t="s">
        <v>1038</v>
      </c>
      <c r="C294" s="20" t="n">
        <f aca="false">ROUND(3.25/FX,2)</f>
        <v>0.45</v>
      </c>
      <c r="D294" s="21" t="s">
        <v>1037</v>
      </c>
      <c r="E294" s="21" t="s">
        <v>714</v>
      </c>
      <c r="F294" s="21" t="s">
        <v>724</v>
      </c>
      <c r="G294" s="21" t="s">
        <v>833</v>
      </c>
    </row>
    <row r="295" customFormat="false" ht="15" hidden="false" customHeight="false" outlineLevel="0" collapsed="false">
      <c r="B295" s="19" t="s">
        <v>1039</v>
      </c>
      <c r="C295" s="20" t="n">
        <f aca="false">ROUND(0.65/FX,2)</f>
        <v>0.09</v>
      </c>
      <c r="D295" s="21" t="s">
        <v>1037</v>
      </c>
      <c r="E295" s="21" t="s">
        <v>837</v>
      </c>
      <c r="F295" s="21" t="s">
        <v>724</v>
      </c>
      <c r="G295" s="21" t="s">
        <v>833</v>
      </c>
    </row>
    <row r="296" customFormat="false" ht="15" hidden="false" customHeight="false" outlineLevel="0" collapsed="false">
      <c r="B296" s="19" t="s">
        <v>1040</v>
      </c>
      <c r="C296" s="20" t="n">
        <f aca="false">ROUND(1.14/FX,2)</f>
        <v>0.16</v>
      </c>
      <c r="D296" s="21" t="s">
        <v>1037</v>
      </c>
      <c r="E296" s="21" t="s">
        <v>839</v>
      </c>
      <c r="F296" s="21" t="s">
        <v>724</v>
      </c>
      <c r="G296" s="21" t="s">
        <v>833</v>
      </c>
    </row>
    <row r="297" customFormat="false" ht="15" hidden="false" customHeight="false" outlineLevel="0" collapsed="false">
      <c r="B297" s="19" t="s">
        <v>1041</v>
      </c>
      <c r="C297" s="20" t="n">
        <f aca="false">ROUND(1.14/FX,2)</f>
        <v>0.16</v>
      </c>
      <c r="D297" s="21" t="s">
        <v>1037</v>
      </c>
      <c r="E297" s="21" t="s">
        <v>841</v>
      </c>
      <c r="F297" s="21" t="s">
        <v>724</v>
      </c>
      <c r="G297" s="21" t="s">
        <v>833</v>
      </c>
    </row>
    <row r="298" customFormat="false" ht="15" hidden="false" customHeight="false" outlineLevel="0" collapsed="false">
      <c r="B298" s="19" t="s">
        <v>1042</v>
      </c>
      <c r="C298" s="20" t="n">
        <f aca="false">ROUND(0.98/FX,2)</f>
        <v>0.14</v>
      </c>
      <c r="D298" s="21" t="s">
        <v>1037</v>
      </c>
      <c r="E298" s="21" t="s">
        <v>789</v>
      </c>
      <c r="F298" s="21" t="s">
        <v>724</v>
      </c>
      <c r="G298" s="21" t="s">
        <v>833</v>
      </c>
    </row>
    <row r="299" customFormat="false" ht="15" hidden="false" customHeight="false" outlineLevel="0" collapsed="false">
      <c r="B299" s="19" t="s">
        <v>1043</v>
      </c>
      <c r="C299" s="20" t="n">
        <f aca="false">ROUND(1.24/FX,2)</f>
        <v>0.17</v>
      </c>
      <c r="D299" s="21" t="s">
        <v>1037</v>
      </c>
      <c r="E299" s="21" t="s">
        <v>716</v>
      </c>
      <c r="F299" s="21" t="s">
        <v>724</v>
      </c>
      <c r="G299" s="21" t="s">
        <v>833</v>
      </c>
    </row>
    <row r="300" customFormat="false" ht="15" hidden="false" customHeight="false" outlineLevel="0" collapsed="false">
      <c r="B300" s="19" t="s">
        <v>1044</v>
      </c>
      <c r="C300" s="20" t="n">
        <f aca="false">ROUND(1.14/FX,2)</f>
        <v>0.16</v>
      </c>
      <c r="D300" s="21" t="s">
        <v>1037</v>
      </c>
      <c r="E300" s="21" t="s">
        <v>845</v>
      </c>
      <c r="F300" s="21" t="s">
        <v>724</v>
      </c>
      <c r="G300" s="21" t="s">
        <v>833</v>
      </c>
    </row>
    <row r="301" customFormat="false" ht="15" hidden="false" customHeight="false" outlineLevel="0" collapsed="false">
      <c r="B301" s="19" t="s">
        <v>1045</v>
      </c>
      <c r="C301" s="20" t="n">
        <f aca="false">ROUND(1.14/FX,2)</f>
        <v>0.16</v>
      </c>
      <c r="D301" s="21" t="s">
        <v>1037</v>
      </c>
      <c r="E301" s="21" t="s">
        <v>847</v>
      </c>
      <c r="F301" s="21" t="s">
        <v>724</v>
      </c>
      <c r="G301" s="21" t="s">
        <v>833</v>
      </c>
    </row>
    <row r="302" customFormat="false" ht="15" hidden="false" customHeight="false" outlineLevel="0" collapsed="false">
      <c r="B302" s="19" t="s">
        <v>1046</v>
      </c>
      <c r="C302" s="20" t="n">
        <f aca="false">ROUND(2.73/FX,2)</f>
        <v>0.38</v>
      </c>
      <c r="D302" s="21" t="s">
        <v>1037</v>
      </c>
      <c r="E302" s="21" t="s">
        <v>719</v>
      </c>
      <c r="F302" s="21" t="s">
        <v>724</v>
      </c>
      <c r="G302" s="21" t="s">
        <v>833</v>
      </c>
    </row>
    <row r="303" customFormat="false" ht="15" hidden="false" customHeight="false" outlineLevel="0" collapsed="false">
      <c r="B303" s="19" t="s">
        <v>1047</v>
      </c>
      <c r="C303" s="20" t="n">
        <f aca="false">ROUND(1.4/FX,2)</f>
        <v>0.19</v>
      </c>
      <c r="D303" s="21" t="s">
        <v>1048</v>
      </c>
      <c r="E303" s="21" t="s">
        <v>707</v>
      </c>
      <c r="F303" s="21" t="s">
        <v>724</v>
      </c>
      <c r="G303" s="21" t="s">
        <v>833</v>
      </c>
    </row>
    <row r="304" customFormat="false" ht="15" hidden="false" customHeight="false" outlineLevel="0" collapsed="false">
      <c r="B304" s="19" t="s">
        <v>1049</v>
      </c>
      <c r="C304" s="20" t="n">
        <f aca="false">ROUND(2.11/FX,2)</f>
        <v>0.29</v>
      </c>
      <c r="D304" s="21" t="s">
        <v>1048</v>
      </c>
      <c r="E304" s="21" t="s">
        <v>714</v>
      </c>
      <c r="F304" s="21" t="s">
        <v>724</v>
      </c>
      <c r="G304" s="21" t="s">
        <v>833</v>
      </c>
    </row>
    <row r="305" customFormat="false" ht="15" hidden="false" customHeight="false" outlineLevel="0" collapsed="false">
      <c r="B305" s="19" t="s">
        <v>1050</v>
      </c>
      <c r="C305" s="20" t="n">
        <f aca="false">ROUND(0.65/FX,2)</f>
        <v>0.09</v>
      </c>
      <c r="D305" s="21" t="s">
        <v>1048</v>
      </c>
      <c r="E305" s="21" t="s">
        <v>837</v>
      </c>
      <c r="F305" s="21" t="s">
        <v>724</v>
      </c>
      <c r="G305" s="21" t="s">
        <v>833</v>
      </c>
    </row>
    <row r="306" customFormat="false" ht="15" hidden="false" customHeight="false" outlineLevel="0" collapsed="false">
      <c r="B306" s="19" t="s">
        <v>1051</v>
      </c>
      <c r="C306" s="20" t="n">
        <f aca="false">ROUND(1.14/FX,2)</f>
        <v>0.16</v>
      </c>
      <c r="D306" s="21" t="s">
        <v>1048</v>
      </c>
      <c r="E306" s="21" t="s">
        <v>839</v>
      </c>
      <c r="F306" s="21" t="s">
        <v>724</v>
      </c>
      <c r="G306" s="21" t="s">
        <v>833</v>
      </c>
    </row>
    <row r="307" customFormat="false" ht="15" hidden="false" customHeight="false" outlineLevel="0" collapsed="false">
      <c r="B307" s="19" t="s">
        <v>1052</v>
      </c>
      <c r="C307" s="20" t="n">
        <f aca="false">ROUND(0.78/FX,2)</f>
        <v>0.11</v>
      </c>
      <c r="D307" s="21" t="s">
        <v>1048</v>
      </c>
      <c r="E307" s="21" t="s">
        <v>841</v>
      </c>
      <c r="F307" s="21" t="s">
        <v>724</v>
      </c>
      <c r="G307" s="21" t="s">
        <v>833</v>
      </c>
    </row>
    <row r="308" customFormat="false" ht="15" hidden="false" customHeight="false" outlineLevel="0" collapsed="false">
      <c r="B308" s="19" t="s">
        <v>1053</v>
      </c>
      <c r="C308" s="20" t="n">
        <f aca="false">ROUND(0.98/FX,2)</f>
        <v>0.14</v>
      </c>
      <c r="D308" s="21" t="s">
        <v>1048</v>
      </c>
      <c r="E308" s="21" t="s">
        <v>789</v>
      </c>
      <c r="F308" s="21" t="s">
        <v>724</v>
      </c>
      <c r="G308" s="21" t="s">
        <v>833</v>
      </c>
    </row>
    <row r="309" customFormat="false" ht="15" hidden="false" customHeight="false" outlineLevel="0" collapsed="false">
      <c r="B309" s="19" t="s">
        <v>1054</v>
      </c>
      <c r="C309" s="20" t="n">
        <f aca="false">ROUND(0.85/FX,2)</f>
        <v>0.12</v>
      </c>
      <c r="D309" s="21" t="s">
        <v>1048</v>
      </c>
      <c r="E309" s="21" t="s">
        <v>716</v>
      </c>
      <c r="F309" s="21" t="s">
        <v>724</v>
      </c>
      <c r="G309" s="21" t="s">
        <v>833</v>
      </c>
    </row>
    <row r="310" customFormat="false" ht="15" hidden="false" customHeight="false" outlineLevel="0" collapsed="false">
      <c r="B310" s="19" t="s">
        <v>1055</v>
      </c>
      <c r="C310" s="20" t="n">
        <f aca="false">ROUND(1.14/FX,2)</f>
        <v>0.16</v>
      </c>
      <c r="D310" s="21" t="s">
        <v>1048</v>
      </c>
      <c r="E310" s="21" t="s">
        <v>845</v>
      </c>
      <c r="F310" s="21" t="s">
        <v>724</v>
      </c>
      <c r="G310" s="21" t="s">
        <v>833</v>
      </c>
    </row>
    <row r="311" customFormat="false" ht="15" hidden="false" customHeight="false" outlineLevel="0" collapsed="false">
      <c r="B311" s="19" t="s">
        <v>1056</v>
      </c>
      <c r="C311" s="20" t="n">
        <f aca="false">ROUND(1.14/FX,2)</f>
        <v>0.16</v>
      </c>
      <c r="D311" s="21" t="s">
        <v>1048</v>
      </c>
      <c r="E311" s="21" t="s">
        <v>847</v>
      </c>
      <c r="F311" s="21" t="s">
        <v>724</v>
      </c>
      <c r="G311" s="21" t="s">
        <v>833</v>
      </c>
    </row>
    <row r="312" customFormat="false" ht="15" hidden="false" customHeight="false" outlineLevel="0" collapsed="false">
      <c r="B312" s="19" t="s">
        <v>1057</v>
      </c>
      <c r="C312" s="20" t="n">
        <f aca="false">ROUND(1.27/FX,2)</f>
        <v>0.18</v>
      </c>
      <c r="D312" s="21" t="s">
        <v>1048</v>
      </c>
      <c r="E312" s="21" t="s">
        <v>719</v>
      </c>
      <c r="F312" s="21" t="s">
        <v>724</v>
      </c>
      <c r="G312" s="21" t="s">
        <v>833</v>
      </c>
    </row>
    <row r="313" customFormat="false" ht="15" hidden="false" customHeight="false" outlineLevel="0" collapsed="false">
      <c r="B313" s="19" t="s">
        <v>1058</v>
      </c>
      <c r="C313" s="20" t="n">
        <f aca="false">ROUND(1.47/FX,2)</f>
        <v>0.2</v>
      </c>
      <c r="D313" s="21" t="s">
        <v>1059</v>
      </c>
      <c r="E313" s="21" t="s">
        <v>707</v>
      </c>
      <c r="F313" s="21" t="s">
        <v>724</v>
      </c>
      <c r="G313" s="21" t="s">
        <v>833</v>
      </c>
    </row>
    <row r="314" customFormat="false" ht="15" hidden="false" customHeight="false" outlineLevel="0" collapsed="false">
      <c r="B314" s="19" t="s">
        <v>1060</v>
      </c>
      <c r="C314" s="20" t="n">
        <f aca="false">ROUND(3.25/FX,2)</f>
        <v>0.45</v>
      </c>
      <c r="D314" s="21" t="s">
        <v>1059</v>
      </c>
      <c r="E314" s="21" t="s">
        <v>714</v>
      </c>
      <c r="F314" s="21" t="s">
        <v>724</v>
      </c>
      <c r="G314" s="21" t="s">
        <v>833</v>
      </c>
    </row>
    <row r="315" customFormat="false" ht="15" hidden="false" customHeight="false" outlineLevel="0" collapsed="false">
      <c r="B315" s="19" t="s">
        <v>1061</v>
      </c>
      <c r="C315" s="20" t="n">
        <f aca="false">ROUND(0.65/FX,2)</f>
        <v>0.09</v>
      </c>
      <c r="D315" s="21" t="s">
        <v>1059</v>
      </c>
      <c r="E315" s="21" t="s">
        <v>837</v>
      </c>
      <c r="F315" s="21" t="s">
        <v>724</v>
      </c>
      <c r="G315" s="21" t="s">
        <v>833</v>
      </c>
    </row>
    <row r="316" customFormat="false" ht="15" hidden="false" customHeight="false" outlineLevel="0" collapsed="false">
      <c r="B316" s="19" t="s">
        <v>1062</v>
      </c>
      <c r="C316" s="20" t="n">
        <f aca="false">ROUND(1.14/FX,2)</f>
        <v>0.16</v>
      </c>
      <c r="D316" s="21" t="s">
        <v>1059</v>
      </c>
      <c r="E316" s="21" t="s">
        <v>839</v>
      </c>
      <c r="F316" s="21" t="s">
        <v>724</v>
      </c>
      <c r="G316" s="21" t="s">
        <v>833</v>
      </c>
    </row>
    <row r="317" customFormat="false" ht="15" hidden="false" customHeight="false" outlineLevel="0" collapsed="false">
      <c r="B317" s="19" t="s">
        <v>1063</v>
      </c>
      <c r="C317" s="20" t="n">
        <f aca="false">ROUND(0.65/FX,2)</f>
        <v>0.09</v>
      </c>
      <c r="D317" s="21" t="s">
        <v>1059</v>
      </c>
      <c r="E317" s="21" t="s">
        <v>841</v>
      </c>
      <c r="F317" s="21" t="s">
        <v>724</v>
      </c>
      <c r="G317" s="21" t="s">
        <v>833</v>
      </c>
    </row>
    <row r="318" customFormat="false" ht="15" hidden="false" customHeight="false" outlineLevel="0" collapsed="false">
      <c r="B318" s="19" t="s">
        <v>1064</v>
      </c>
      <c r="C318" s="20" t="n">
        <f aca="false">ROUND(0.98/FX,2)</f>
        <v>0.14</v>
      </c>
      <c r="D318" s="21" t="s">
        <v>1059</v>
      </c>
      <c r="E318" s="21" t="s">
        <v>789</v>
      </c>
      <c r="F318" s="21" t="s">
        <v>724</v>
      </c>
      <c r="G318" s="21" t="s">
        <v>833</v>
      </c>
    </row>
    <row r="319" customFormat="false" ht="15" hidden="false" customHeight="false" outlineLevel="0" collapsed="false">
      <c r="B319" s="19" t="s">
        <v>1065</v>
      </c>
      <c r="C319" s="20" t="n">
        <f aca="false">ROUND(0.98/FX,2)</f>
        <v>0.14</v>
      </c>
      <c r="D319" s="21" t="s">
        <v>1059</v>
      </c>
      <c r="E319" s="21" t="s">
        <v>716</v>
      </c>
      <c r="F319" s="21" t="s">
        <v>724</v>
      </c>
      <c r="G319" s="21" t="s">
        <v>833</v>
      </c>
    </row>
    <row r="320" customFormat="false" ht="15" hidden="false" customHeight="false" outlineLevel="0" collapsed="false">
      <c r="B320" s="19" t="s">
        <v>1066</v>
      </c>
      <c r="C320" s="20" t="n">
        <f aca="false">ROUND(1.14/FX,2)</f>
        <v>0.16</v>
      </c>
      <c r="D320" s="21" t="s">
        <v>1059</v>
      </c>
      <c r="E320" s="21" t="s">
        <v>845</v>
      </c>
      <c r="F320" s="21" t="s">
        <v>724</v>
      </c>
      <c r="G320" s="21" t="s">
        <v>833</v>
      </c>
    </row>
    <row r="321" customFormat="false" ht="15" hidden="false" customHeight="false" outlineLevel="0" collapsed="false">
      <c r="B321" s="19" t="s">
        <v>1067</v>
      </c>
      <c r="C321" s="20" t="n">
        <f aca="false">ROUND(1.14/FX,2)</f>
        <v>0.16</v>
      </c>
      <c r="D321" s="21" t="s">
        <v>1059</v>
      </c>
      <c r="E321" s="21" t="s">
        <v>847</v>
      </c>
      <c r="F321" s="21" t="s">
        <v>724</v>
      </c>
      <c r="G321" s="21" t="s">
        <v>833</v>
      </c>
    </row>
    <row r="322" customFormat="false" ht="15" hidden="false" customHeight="false" outlineLevel="0" collapsed="false">
      <c r="B322" s="19" t="s">
        <v>1068</v>
      </c>
      <c r="C322" s="20" t="n">
        <f aca="false">ROUND(1.33/FX,2)</f>
        <v>0.18</v>
      </c>
      <c r="D322" s="21" t="s">
        <v>1059</v>
      </c>
      <c r="E322" s="21" t="s">
        <v>719</v>
      </c>
      <c r="F322" s="21" t="s">
        <v>724</v>
      </c>
      <c r="G322" s="21" t="s">
        <v>833</v>
      </c>
    </row>
    <row r="323" customFormat="false" ht="15" hidden="false" customHeight="false" outlineLevel="0" collapsed="false">
      <c r="B323" s="19" t="s">
        <v>1069</v>
      </c>
      <c r="C323" s="20" t="n">
        <f aca="false">ROUND(1.82/FX,2)</f>
        <v>0.25</v>
      </c>
      <c r="D323" s="21" t="s">
        <v>1070</v>
      </c>
      <c r="E323" s="21" t="s">
        <v>707</v>
      </c>
      <c r="F323" s="21" t="s">
        <v>724</v>
      </c>
      <c r="G323" s="21" t="s">
        <v>833</v>
      </c>
    </row>
    <row r="324" customFormat="false" ht="15" hidden="false" customHeight="false" outlineLevel="0" collapsed="false">
      <c r="B324" s="19" t="s">
        <v>1071</v>
      </c>
      <c r="C324" s="20" t="n">
        <f aca="false">ROUND(3.25/FX,2)</f>
        <v>0.45</v>
      </c>
      <c r="D324" s="21" t="s">
        <v>1070</v>
      </c>
      <c r="E324" s="21" t="s">
        <v>714</v>
      </c>
      <c r="F324" s="21" t="s">
        <v>724</v>
      </c>
      <c r="G324" s="21" t="s">
        <v>833</v>
      </c>
    </row>
    <row r="325" customFormat="false" ht="15" hidden="false" customHeight="false" outlineLevel="0" collapsed="false">
      <c r="B325" s="19" t="s">
        <v>1072</v>
      </c>
      <c r="C325" s="20" t="n">
        <f aca="false">ROUND(0.65/FX,2)</f>
        <v>0.09</v>
      </c>
      <c r="D325" s="21" t="s">
        <v>1070</v>
      </c>
      <c r="E325" s="21" t="s">
        <v>837</v>
      </c>
      <c r="F325" s="21" t="s">
        <v>724</v>
      </c>
      <c r="G325" s="21" t="s">
        <v>833</v>
      </c>
    </row>
    <row r="326" customFormat="false" ht="15" hidden="false" customHeight="false" outlineLevel="0" collapsed="false">
      <c r="B326" s="19" t="s">
        <v>1073</v>
      </c>
      <c r="C326" s="20" t="n">
        <f aca="false">ROUND(0.65/FX,2)</f>
        <v>0.09</v>
      </c>
      <c r="D326" s="21" t="s">
        <v>1070</v>
      </c>
      <c r="E326" s="21" t="s">
        <v>839</v>
      </c>
      <c r="F326" s="21" t="s">
        <v>724</v>
      </c>
      <c r="G326" s="21" t="s">
        <v>833</v>
      </c>
    </row>
    <row r="327" customFormat="false" ht="15" hidden="false" customHeight="false" outlineLevel="0" collapsed="false">
      <c r="B327" s="19" t="s">
        <v>1074</v>
      </c>
      <c r="C327" s="20" t="n">
        <f aca="false">ROUND(0.78/FX,2)</f>
        <v>0.11</v>
      </c>
      <c r="D327" s="21" t="s">
        <v>1070</v>
      </c>
      <c r="E327" s="21" t="s">
        <v>841</v>
      </c>
      <c r="F327" s="21" t="s">
        <v>724</v>
      </c>
      <c r="G327" s="21" t="s">
        <v>833</v>
      </c>
    </row>
    <row r="328" customFormat="false" ht="15" hidden="false" customHeight="false" outlineLevel="0" collapsed="false">
      <c r="B328" s="19" t="s">
        <v>1075</v>
      </c>
      <c r="C328" s="20" t="n">
        <f aca="false">ROUND(0.98/FX,2)</f>
        <v>0.14</v>
      </c>
      <c r="D328" s="21" t="s">
        <v>1070</v>
      </c>
      <c r="E328" s="21" t="s">
        <v>789</v>
      </c>
      <c r="F328" s="21" t="s">
        <v>724</v>
      </c>
      <c r="G328" s="21" t="s">
        <v>833</v>
      </c>
    </row>
    <row r="329" customFormat="false" ht="15" hidden="false" customHeight="false" outlineLevel="0" collapsed="false">
      <c r="B329" s="19" t="s">
        <v>1076</v>
      </c>
      <c r="C329" s="20" t="n">
        <f aca="false">ROUND(1.07/FX,2)</f>
        <v>0.15</v>
      </c>
      <c r="D329" s="21" t="s">
        <v>1070</v>
      </c>
      <c r="E329" s="21" t="s">
        <v>716</v>
      </c>
      <c r="F329" s="21" t="s">
        <v>724</v>
      </c>
      <c r="G329" s="21" t="s">
        <v>833</v>
      </c>
    </row>
    <row r="330" customFormat="false" ht="15" hidden="false" customHeight="false" outlineLevel="0" collapsed="false">
      <c r="B330" s="19" t="s">
        <v>1077</v>
      </c>
      <c r="C330" s="20" t="n">
        <f aca="false">ROUND(1.14/FX,2)</f>
        <v>0.16</v>
      </c>
      <c r="D330" s="21" t="s">
        <v>1070</v>
      </c>
      <c r="E330" s="21" t="s">
        <v>845</v>
      </c>
      <c r="F330" s="21" t="s">
        <v>724</v>
      </c>
      <c r="G330" s="21" t="s">
        <v>833</v>
      </c>
    </row>
    <row r="331" customFormat="false" ht="15" hidden="false" customHeight="false" outlineLevel="0" collapsed="false">
      <c r="B331" s="19" t="s">
        <v>1078</v>
      </c>
      <c r="C331" s="20" t="n">
        <f aca="false">ROUND(1.56/FX,2)</f>
        <v>0.22</v>
      </c>
      <c r="D331" s="21" t="s">
        <v>1070</v>
      </c>
      <c r="E331" s="21" t="s">
        <v>847</v>
      </c>
      <c r="F331" s="21" t="s">
        <v>724</v>
      </c>
      <c r="G331" s="21" t="s">
        <v>833</v>
      </c>
    </row>
    <row r="332" customFormat="false" ht="15" hidden="false" customHeight="false" outlineLevel="0" collapsed="false">
      <c r="B332" s="19" t="s">
        <v>1079</v>
      </c>
      <c r="C332" s="20" t="n">
        <f aca="false">ROUND(2.73/FX,2)</f>
        <v>0.38</v>
      </c>
      <c r="D332" s="21" t="s">
        <v>1070</v>
      </c>
      <c r="E332" s="21" t="s">
        <v>719</v>
      </c>
      <c r="F332" s="21" t="s">
        <v>724</v>
      </c>
      <c r="G332" s="21" t="s">
        <v>833</v>
      </c>
    </row>
    <row r="333" customFormat="false" ht="15" hidden="false" customHeight="false" outlineLevel="0" collapsed="false">
      <c r="B333" s="19" t="s">
        <v>1080</v>
      </c>
      <c r="C333" s="20" t="n">
        <f aca="false">ROUND(1.47/FX,2)</f>
        <v>0.2</v>
      </c>
      <c r="D333" s="21" t="s">
        <v>1081</v>
      </c>
      <c r="E333" s="21" t="s">
        <v>707</v>
      </c>
      <c r="F333" s="21" t="s">
        <v>724</v>
      </c>
      <c r="G333" s="21" t="s">
        <v>833</v>
      </c>
    </row>
    <row r="334" customFormat="false" ht="15" hidden="false" customHeight="false" outlineLevel="0" collapsed="false">
      <c r="B334" s="19" t="s">
        <v>1082</v>
      </c>
      <c r="C334" s="20" t="n">
        <f aca="false">ROUND(2.93/FX,2)</f>
        <v>0.41</v>
      </c>
      <c r="D334" s="21" t="s">
        <v>1081</v>
      </c>
      <c r="E334" s="21" t="s">
        <v>714</v>
      </c>
      <c r="F334" s="21" t="s">
        <v>724</v>
      </c>
      <c r="G334" s="21" t="s">
        <v>833</v>
      </c>
    </row>
    <row r="335" customFormat="false" ht="15" hidden="false" customHeight="false" outlineLevel="0" collapsed="false">
      <c r="B335" s="19" t="s">
        <v>1083</v>
      </c>
      <c r="C335" s="20" t="n">
        <f aca="false">ROUND(0.65/FX,2)</f>
        <v>0.09</v>
      </c>
      <c r="D335" s="21" t="s">
        <v>1081</v>
      </c>
      <c r="E335" s="21" t="s">
        <v>837</v>
      </c>
      <c r="F335" s="21" t="s">
        <v>724</v>
      </c>
      <c r="G335" s="21" t="s">
        <v>833</v>
      </c>
    </row>
    <row r="336" customFormat="false" ht="15" hidden="false" customHeight="false" outlineLevel="0" collapsed="false">
      <c r="B336" s="19" t="s">
        <v>1084</v>
      </c>
      <c r="C336" s="20" t="n">
        <f aca="false">ROUND(1.14/FX,2)</f>
        <v>0.16</v>
      </c>
      <c r="D336" s="21" t="s">
        <v>1081</v>
      </c>
      <c r="E336" s="21" t="s">
        <v>839</v>
      </c>
      <c r="F336" s="21" t="s">
        <v>724</v>
      </c>
      <c r="G336" s="21" t="s">
        <v>833</v>
      </c>
    </row>
    <row r="337" customFormat="false" ht="15" hidden="false" customHeight="false" outlineLevel="0" collapsed="false">
      <c r="B337" s="19" t="s">
        <v>1085</v>
      </c>
      <c r="C337" s="20" t="n">
        <f aca="false">ROUND(0.87/FX,2)</f>
        <v>0.12</v>
      </c>
      <c r="D337" s="21" t="s">
        <v>1081</v>
      </c>
      <c r="E337" s="21" t="s">
        <v>841</v>
      </c>
      <c r="F337" s="21" t="s">
        <v>724</v>
      </c>
      <c r="G337" s="21" t="s">
        <v>833</v>
      </c>
    </row>
    <row r="338" customFormat="false" ht="15" hidden="false" customHeight="false" outlineLevel="0" collapsed="false">
      <c r="B338" s="19" t="s">
        <v>1086</v>
      </c>
      <c r="C338" s="20" t="n">
        <f aca="false">ROUND(0.98/FX,2)</f>
        <v>0.14</v>
      </c>
      <c r="D338" s="21" t="s">
        <v>1081</v>
      </c>
      <c r="E338" s="21" t="s">
        <v>789</v>
      </c>
      <c r="F338" s="21" t="s">
        <v>724</v>
      </c>
      <c r="G338" s="21" t="s">
        <v>833</v>
      </c>
    </row>
    <row r="339" customFormat="false" ht="15" hidden="false" customHeight="false" outlineLevel="0" collapsed="false">
      <c r="B339" s="19" t="s">
        <v>1087</v>
      </c>
      <c r="C339" s="20" t="n">
        <f aca="false">ROUND(0.98/FX,2)</f>
        <v>0.14</v>
      </c>
      <c r="D339" s="21" t="s">
        <v>1081</v>
      </c>
      <c r="E339" s="21" t="s">
        <v>716</v>
      </c>
      <c r="F339" s="21" t="s">
        <v>724</v>
      </c>
      <c r="G339" s="21" t="s">
        <v>833</v>
      </c>
    </row>
    <row r="340" customFormat="false" ht="15" hidden="false" customHeight="false" outlineLevel="0" collapsed="false">
      <c r="B340" s="19" t="s">
        <v>1088</v>
      </c>
      <c r="C340" s="20" t="n">
        <f aca="false">ROUND(1.14/FX,2)</f>
        <v>0.16</v>
      </c>
      <c r="D340" s="21" t="s">
        <v>1081</v>
      </c>
      <c r="E340" s="21" t="s">
        <v>845</v>
      </c>
      <c r="F340" s="21" t="s">
        <v>724</v>
      </c>
      <c r="G340" s="21" t="s">
        <v>833</v>
      </c>
    </row>
    <row r="341" customFormat="false" ht="15" hidden="false" customHeight="false" outlineLevel="0" collapsed="false">
      <c r="B341" s="19" t="s">
        <v>1089</v>
      </c>
      <c r="C341" s="20" t="n">
        <f aca="false">ROUND(1.14/FX,2)</f>
        <v>0.16</v>
      </c>
      <c r="D341" s="21" t="s">
        <v>1081</v>
      </c>
      <c r="E341" s="21" t="s">
        <v>847</v>
      </c>
      <c r="F341" s="21" t="s">
        <v>724</v>
      </c>
      <c r="G341" s="21" t="s">
        <v>833</v>
      </c>
    </row>
    <row r="342" customFormat="false" ht="15" hidden="false" customHeight="false" outlineLevel="0" collapsed="false">
      <c r="B342" s="19" t="s">
        <v>1090</v>
      </c>
      <c r="C342" s="20" t="n">
        <f aca="false">ROUND(2.73/FX,2)</f>
        <v>0.38</v>
      </c>
      <c r="D342" s="21" t="s">
        <v>1081</v>
      </c>
      <c r="E342" s="21" t="s">
        <v>719</v>
      </c>
      <c r="F342" s="21" t="s">
        <v>724</v>
      </c>
      <c r="G342" s="21" t="s">
        <v>833</v>
      </c>
    </row>
    <row r="343" customFormat="false" ht="15" hidden="false" customHeight="false" outlineLevel="0" collapsed="false">
      <c r="B343" s="19" t="s">
        <v>1091</v>
      </c>
      <c r="C343" s="20" t="n">
        <f aca="false">ROUND(1.47/FX,2)</f>
        <v>0.2</v>
      </c>
      <c r="D343" s="21" t="s">
        <v>1092</v>
      </c>
      <c r="E343" s="21" t="s">
        <v>707</v>
      </c>
      <c r="F343" s="21" t="s">
        <v>724</v>
      </c>
      <c r="G343" s="21" t="s">
        <v>833</v>
      </c>
    </row>
    <row r="344" customFormat="false" ht="15" hidden="false" customHeight="false" outlineLevel="0" collapsed="false">
      <c r="B344" s="19" t="s">
        <v>1093</v>
      </c>
      <c r="C344" s="20" t="n">
        <f aca="false">ROUND(2.21/FX,2)</f>
        <v>0.31</v>
      </c>
      <c r="D344" s="21" t="s">
        <v>1092</v>
      </c>
      <c r="E344" s="21" t="s">
        <v>714</v>
      </c>
      <c r="F344" s="21" t="s">
        <v>724</v>
      </c>
      <c r="G344" s="21" t="s">
        <v>833</v>
      </c>
    </row>
    <row r="345" customFormat="false" ht="15" hidden="false" customHeight="false" outlineLevel="0" collapsed="false">
      <c r="B345" s="19" t="s">
        <v>1094</v>
      </c>
      <c r="C345" s="20" t="n">
        <f aca="false">ROUND(0.65/FX,2)</f>
        <v>0.09</v>
      </c>
      <c r="D345" s="21" t="s">
        <v>1092</v>
      </c>
      <c r="E345" s="21" t="s">
        <v>837</v>
      </c>
      <c r="F345" s="21" t="s">
        <v>724</v>
      </c>
      <c r="G345" s="21" t="s">
        <v>833</v>
      </c>
    </row>
    <row r="346" customFormat="false" ht="15" hidden="false" customHeight="false" outlineLevel="0" collapsed="false">
      <c r="B346" s="19" t="s">
        <v>1095</v>
      </c>
      <c r="C346" s="20" t="n">
        <f aca="false">ROUND(1.14/FX,2)</f>
        <v>0.16</v>
      </c>
      <c r="D346" s="21" t="s">
        <v>1092</v>
      </c>
      <c r="E346" s="21" t="s">
        <v>839</v>
      </c>
      <c r="F346" s="21" t="s">
        <v>724</v>
      </c>
      <c r="G346" s="21" t="s">
        <v>833</v>
      </c>
    </row>
    <row r="347" customFormat="false" ht="15" hidden="false" customHeight="false" outlineLevel="0" collapsed="false">
      <c r="B347" s="19" t="s">
        <v>1096</v>
      </c>
      <c r="C347" s="20" t="n">
        <f aca="false">ROUND(0.59/FX,2)</f>
        <v>0.08</v>
      </c>
      <c r="D347" s="21" t="s">
        <v>1092</v>
      </c>
      <c r="E347" s="21" t="s">
        <v>841</v>
      </c>
      <c r="F347" s="21" t="s">
        <v>724</v>
      </c>
      <c r="G347" s="21" t="s">
        <v>833</v>
      </c>
    </row>
    <row r="348" customFormat="false" ht="15" hidden="false" customHeight="false" outlineLevel="0" collapsed="false">
      <c r="B348" s="19" t="s">
        <v>1097</v>
      </c>
      <c r="C348" s="20" t="n">
        <f aca="false">ROUND(0.98/FX,2)</f>
        <v>0.14</v>
      </c>
      <c r="D348" s="21" t="s">
        <v>1092</v>
      </c>
      <c r="E348" s="21" t="s">
        <v>789</v>
      </c>
      <c r="F348" s="21" t="s">
        <v>724</v>
      </c>
      <c r="G348" s="21" t="s">
        <v>833</v>
      </c>
    </row>
    <row r="349" customFormat="false" ht="15" hidden="false" customHeight="false" outlineLevel="0" collapsed="false">
      <c r="B349" s="19" t="s">
        <v>1098</v>
      </c>
      <c r="C349" s="20" t="n">
        <f aca="false">ROUND(0.88/FX,2)</f>
        <v>0.12</v>
      </c>
      <c r="D349" s="21" t="s">
        <v>1092</v>
      </c>
      <c r="E349" s="21" t="s">
        <v>716</v>
      </c>
      <c r="F349" s="21" t="s">
        <v>724</v>
      </c>
      <c r="G349" s="21" t="s">
        <v>833</v>
      </c>
    </row>
    <row r="350" customFormat="false" ht="15" hidden="false" customHeight="false" outlineLevel="0" collapsed="false">
      <c r="B350" s="19" t="s">
        <v>1099</v>
      </c>
      <c r="C350" s="20" t="n">
        <f aca="false">ROUND(1.14/FX,2)</f>
        <v>0.16</v>
      </c>
      <c r="D350" s="21" t="s">
        <v>1092</v>
      </c>
      <c r="E350" s="21" t="s">
        <v>845</v>
      </c>
      <c r="F350" s="21" t="s">
        <v>724</v>
      </c>
      <c r="G350" s="21" t="s">
        <v>833</v>
      </c>
    </row>
    <row r="351" customFormat="false" ht="15" hidden="false" customHeight="false" outlineLevel="0" collapsed="false">
      <c r="B351" s="19" t="s">
        <v>1100</v>
      </c>
      <c r="C351" s="20" t="n">
        <f aca="false">ROUND(1.14/FX,2)</f>
        <v>0.16</v>
      </c>
      <c r="D351" s="21" t="s">
        <v>1092</v>
      </c>
      <c r="E351" s="21" t="s">
        <v>847</v>
      </c>
      <c r="F351" s="21" t="s">
        <v>724</v>
      </c>
      <c r="G351" s="21" t="s">
        <v>833</v>
      </c>
    </row>
    <row r="352" customFormat="false" ht="15" hidden="false" customHeight="false" outlineLevel="0" collapsed="false">
      <c r="B352" s="19" t="s">
        <v>1101</v>
      </c>
      <c r="C352" s="20" t="n">
        <f aca="false">ROUND(2.73/FX,2)</f>
        <v>0.38</v>
      </c>
      <c r="D352" s="21" t="s">
        <v>1092</v>
      </c>
      <c r="E352" s="21" t="s">
        <v>719</v>
      </c>
      <c r="F352" s="21" t="s">
        <v>724</v>
      </c>
      <c r="G352" s="21" t="s">
        <v>833</v>
      </c>
    </row>
    <row r="353" customFormat="false" ht="15" hidden="false" customHeight="false" outlineLevel="0" collapsed="false">
      <c r="B353" s="19" t="s">
        <v>1102</v>
      </c>
      <c r="C353" s="20" t="n">
        <f aca="false">ROUND(1.63/FX,2)</f>
        <v>0.23</v>
      </c>
      <c r="D353" s="21" t="s">
        <v>1103</v>
      </c>
      <c r="E353" s="21" t="s">
        <v>707</v>
      </c>
      <c r="F353" s="21" t="s">
        <v>724</v>
      </c>
      <c r="G353" s="21" t="s">
        <v>833</v>
      </c>
    </row>
    <row r="354" customFormat="false" ht="15" hidden="false" customHeight="false" outlineLevel="0" collapsed="false">
      <c r="B354" s="19" t="s">
        <v>1104</v>
      </c>
      <c r="C354" s="20" t="n">
        <f aca="false">ROUND(1.14/FX,2)</f>
        <v>0.16</v>
      </c>
      <c r="D354" s="21" t="s">
        <v>1103</v>
      </c>
      <c r="E354" s="21" t="s">
        <v>714</v>
      </c>
      <c r="F354" s="21" t="s">
        <v>724</v>
      </c>
      <c r="G354" s="21" t="s">
        <v>833</v>
      </c>
    </row>
    <row r="355" customFormat="false" ht="15" hidden="false" customHeight="false" outlineLevel="0" collapsed="false">
      <c r="B355" s="19" t="s">
        <v>1105</v>
      </c>
      <c r="C355" s="20" t="n">
        <f aca="false">ROUND(0.65/FX,2)</f>
        <v>0.09</v>
      </c>
      <c r="D355" s="21" t="s">
        <v>1103</v>
      </c>
      <c r="E355" s="21" t="s">
        <v>837</v>
      </c>
      <c r="F355" s="21" t="s">
        <v>724</v>
      </c>
      <c r="G355" s="21" t="s">
        <v>833</v>
      </c>
    </row>
    <row r="356" customFormat="false" ht="15" hidden="false" customHeight="false" outlineLevel="0" collapsed="false">
      <c r="B356" s="19" t="s">
        <v>1106</v>
      </c>
      <c r="C356" s="20" t="n">
        <f aca="false">ROUND(1.14/FX,2)</f>
        <v>0.16</v>
      </c>
      <c r="D356" s="21" t="s">
        <v>1103</v>
      </c>
      <c r="E356" s="21" t="s">
        <v>839</v>
      </c>
      <c r="F356" s="21" t="s">
        <v>724</v>
      </c>
      <c r="G356" s="21" t="s">
        <v>833</v>
      </c>
    </row>
    <row r="357" customFormat="false" ht="15" hidden="false" customHeight="false" outlineLevel="0" collapsed="false">
      <c r="B357" s="19" t="s">
        <v>1107</v>
      </c>
      <c r="C357" s="20" t="n">
        <f aca="false">ROUND(1.14/FX,2)</f>
        <v>0.16</v>
      </c>
      <c r="D357" s="21" t="s">
        <v>1103</v>
      </c>
      <c r="E357" s="21" t="s">
        <v>841</v>
      </c>
      <c r="F357" s="21" t="s">
        <v>724</v>
      </c>
      <c r="G357" s="21" t="s">
        <v>833</v>
      </c>
    </row>
    <row r="358" customFormat="false" ht="15" hidden="false" customHeight="false" outlineLevel="0" collapsed="false">
      <c r="B358" s="19" t="s">
        <v>1108</v>
      </c>
      <c r="C358" s="20" t="n">
        <f aca="false">ROUND(1.14/FX,2)</f>
        <v>0.16</v>
      </c>
      <c r="D358" s="21" t="s">
        <v>1103</v>
      </c>
      <c r="E358" s="21" t="s">
        <v>789</v>
      </c>
      <c r="F358" s="21" t="s">
        <v>724</v>
      </c>
      <c r="G358" s="21" t="s">
        <v>833</v>
      </c>
    </row>
    <row r="359" customFormat="false" ht="15" hidden="false" customHeight="false" outlineLevel="0" collapsed="false">
      <c r="B359" s="19" t="s">
        <v>1109</v>
      </c>
      <c r="C359" s="20" t="n">
        <f aca="false">ROUND(0.98/FX,2)</f>
        <v>0.14</v>
      </c>
      <c r="D359" s="21" t="s">
        <v>1103</v>
      </c>
      <c r="E359" s="21" t="s">
        <v>716</v>
      </c>
      <c r="F359" s="21" t="s">
        <v>724</v>
      </c>
      <c r="G359" s="21" t="s">
        <v>833</v>
      </c>
    </row>
    <row r="360" customFormat="false" ht="15" hidden="false" customHeight="false" outlineLevel="0" collapsed="false">
      <c r="B360" s="19" t="s">
        <v>1110</v>
      </c>
      <c r="C360" s="20" t="n">
        <f aca="false">ROUND(1.14/FX,2)</f>
        <v>0.16</v>
      </c>
      <c r="D360" s="21" t="s">
        <v>1103</v>
      </c>
      <c r="E360" s="21" t="s">
        <v>845</v>
      </c>
      <c r="F360" s="21" t="s">
        <v>724</v>
      </c>
      <c r="G360" s="21" t="s">
        <v>833</v>
      </c>
    </row>
    <row r="361" customFormat="false" ht="15" hidden="false" customHeight="false" outlineLevel="0" collapsed="false">
      <c r="B361" s="19" t="s">
        <v>1111</v>
      </c>
      <c r="C361" s="20" t="n">
        <f aca="false">ROUND(1.14/FX,2)</f>
        <v>0.16</v>
      </c>
      <c r="D361" s="21" t="s">
        <v>1103</v>
      </c>
      <c r="E361" s="21" t="s">
        <v>847</v>
      </c>
      <c r="F361" s="21" t="s">
        <v>724</v>
      </c>
      <c r="G361" s="21" t="s">
        <v>833</v>
      </c>
    </row>
    <row r="362" customFormat="false" ht="15" hidden="false" customHeight="false" outlineLevel="0" collapsed="false">
      <c r="B362" s="19" t="s">
        <v>1112</v>
      </c>
      <c r="C362" s="20" t="n">
        <f aca="false">ROUND(1.14/FX,2)</f>
        <v>0.16</v>
      </c>
      <c r="D362" s="21" t="s">
        <v>1103</v>
      </c>
      <c r="E362" s="21" t="s">
        <v>719</v>
      </c>
      <c r="F362" s="21" t="s">
        <v>724</v>
      </c>
      <c r="G362" s="21" t="s">
        <v>833</v>
      </c>
    </row>
    <row r="363" customFormat="false" ht="15" hidden="false" customHeight="false" outlineLevel="0" collapsed="false">
      <c r="B363" s="19" t="s">
        <v>1113</v>
      </c>
      <c r="C363" s="20" t="n">
        <f aca="false">ROUND(1.63/FX,2)</f>
        <v>0.23</v>
      </c>
      <c r="D363" s="21" t="s">
        <v>1114</v>
      </c>
      <c r="E363" s="21" t="s">
        <v>707</v>
      </c>
      <c r="F363" s="21" t="s">
        <v>724</v>
      </c>
      <c r="G363" s="21" t="s">
        <v>833</v>
      </c>
    </row>
    <row r="364" customFormat="false" ht="15" hidden="false" customHeight="false" outlineLevel="0" collapsed="false">
      <c r="B364" s="19" t="s">
        <v>1115</v>
      </c>
      <c r="C364" s="20" t="n">
        <f aca="false">ROUND(1.14/FX,2)</f>
        <v>0.16</v>
      </c>
      <c r="D364" s="21" t="s">
        <v>1114</v>
      </c>
      <c r="E364" s="21" t="s">
        <v>714</v>
      </c>
      <c r="F364" s="21" t="s">
        <v>724</v>
      </c>
      <c r="G364" s="21" t="s">
        <v>833</v>
      </c>
    </row>
    <row r="365" customFormat="false" ht="15" hidden="false" customHeight="false" outlineLevel="0" collapsed="false">
      <c r="B365" s="19" t="s">
        <v>1116</v>
      </c>
      <c r="C365" s="20" t="n">
        <f aca="false">ROUND(0.65/FX,2)</f>
        <v>0.09</v>
      </c>
      <c r="D365" s="21" t="s">
        <v>1114</v>
      </c>
      <c r="E365" s="21" t="s">
        <v>837</v>
      </c>
      <c r="F365" s="21" t="s">
        <v>724</v>
      </c>
      <c r="G365" s="21" t="s">
        <v>833</v>
      </c>
    </row>
    <row r="366" customFormat="false" ht="15" hidden="false" customHeight="false" outlineLevel="0" collapsed="false">
      <c r="B366" s="19" t="s">
        <v>1117</v>
      </c>
      <c r="C366" s="20" t="n">
        <f aca="false">ROUND(1.14/FX,2)</f>
        <v>0.16</v>
      </c>
      <c r="D366" s="21" t="s">
        <v>1114</v>
      </c>
      <c r="E366" s="21" t="s">
        <v>839</v>
      </c>
      <c r="F366" s="21" t="s">
        <v>724</v>
      </c>
      <c r="G366" s="21" t="s">
        <v>833</v>
      </c>
    </row>
    <row r="367" customFormat="false" ht="15" hidden="false" customHeight="false" outlineLevel="0" collapsed="false">
      <c r="B367" s="19" t="s">
        <v>1118</v>
      </c>
      <c r="C367" s="20" t="n">
        <f aca="false">ROUND(1.14/FX,2)</f>
        <v>0.16</v>
      </c>
      <c r="D367" s="21" t="s">
        <v>1114</v>
      </c>
      <c r="E367" s="21" t="s">
        <v>841</v>
      </c>
      <c r="F367" s="21" t="s">
        <v>724</v>
      </c>
      <c r="G367" s="21" t="s">
        <v>833</v>
      </c>
    </row>
    <row r="368" customFormat="false" ht="15" hidden="false" customHeight="false" outlineLevel="0" collapsed="false">
      <c r="B368" s="19" t="s">
        <v>1119</v>
      </c>
      <c r="C368" s="20" t="n">
        <f aca="false">ROUND(1.14/FX,2)</f>
        <v>0.16</v>
      </c>
      <c r="D368" s="21" t="s">
        <v>1114</v>
      </c>
      <c r="E368" s="21" t="s">
        <v>789</v>
      </c>
      <c r="F368" s="21" t="s">
        <v>724</v>
      </c>
      <c r="G368" s="21" t="s">
        <v>833</v>
      </c>
    </row>
    <row r="369" customFormat="false" ht="15" hidden="false" customHeight="false" outlineLevel="0" collapsed="false">
      <c r="B369" s="19" t="s">
        <v>1120</v>
      </c>
      <c r="C369" s="20" t="n">
        <f aca="false">ROUND(1.03/FX,2)</f>
        <v>0.14</v>
      </c>
      <c r="D369" s="21" t="s">
        <v>1114</v>
      </c>
      <c r="E369" s="21" t="s">
        <v>716</v>
      </c>
      <c r="F369" s="21" t="s">
        <v>724</v>
      </c>
      <c r="G369" s="21" t="s">
        <v>833</v>
      </c>
    </row>
    <row r="370" customFormat="false" ht="15" hidden="false" customHeight="false" outlineLevel="0" collapsed="false">
      <c r="B370" s="19" t="s">
        <v>1121</v>
      </c>
      <c r="C370" s="20" t="n">
        <f aca="false">ROUND(1.14/FX,2)</f>
        <v>0.16</v>
      </c>
      <c r="D370" s="21" t="s">
        <v>1114</v>
      </c>
      <c r="E370" s="21" t="s">
        <v>845</v>
      </c>
      <c r="F370" s="21" t="s">
        <v>724</v>
      </c>
      <c r="G370" s="21" t="s">
        <v>833</v>
      </c>
    </row>
    <row r="371" customFormat="false" ht="15" hidden="false" customHeight="false" outlineLevel="0" collapsed="false">
      <c r="B371" s="19" t="s">
        <v>1122</v>
      </c>
      <c r="C371" s="20" t="n">
        <f aca="false">ROUND(1.14/FX,2)</f>
        <v>0.16</v>
      </c>
      <c r="D371" s="21" t="s">
        <v>1114</v>
      </c>
      <c r="E371" s="21" t="s">
        <v>847</v>
      </c>
      <c r="F371" s="21" t="s">
        <v>724</v>
      </c>
      <c r="G371" s="21" t="s">
        <v>833</v>
      </c>
    </row>
    <row r="372" customFormat="false" ht="15" hidden="false" customHeight="false" outlineLevel="0" collapsed="false">
      <c r="B372" s="19" t="s">
        <v>1123</v>
      </c>
      <c r="C372" s="20" t="n">
        <f aca="false">ROUND(1.14/FX,2)</f>
        <v>0.16</v>
      </c>
      <c r="D372" s="21" t="s">
        <v>1114</v>
      </c>
      <c r="E372" s="21" t="s">
        <v>719</v>
      </c>
      <c r="F372" s="21" t="s">
        <v>724</v>
      </c>
      <c r="G372" s="21" t="s">
        <v>833</v>
      </c>
    </row>
    <row r="373" customFormat="false" ht="15" hidden="false" customHeight="false" outlineLevel="0" collapsed="false">
      <c r="B373" s="19" t="s">
        <v>1124</v>
      </c>
      <c r="C373" s="20" t="n">
        <f aca="false">ROUND(1.63/FX,2)</f>
        <v>0.23</v>
      </c>
      <c r="D373" s="21" t="s">
        <v>1125</v>
      </c>
      <c r="E373" s="21" t="s">
        <v>707</v>
      </c>
      <c r="F373" s="21" t="s">
        <v>724</v>
      </c>
      <c r="G373" s="21" t="s">
        <v>833</v>
      </c>
    </row>
    <row r="374" customFormat="false" ht="15" hidden="false" customHeight="false" outlineLevel="0" collapsed="false">
      <c r="B374" s="19" t="s">
        <v>1126</v>
      </c>
      <c r="C374" s="20" t="n">
        <f aca="false">ROUND(1.14/FX,2)</f>
        <v>0.16</v>
      </c>
      <c r="D374" s="21" t="s">
        <v>1125</v>
      </c>
      <c r="E374" s="21" t="s">
        <v>714</v>
      </c>
      <c r="F374" s="21" t="s">
        <v>724</v>
      </c>
      <c r="G374" s="21" t="s">
        <v>833</v>
      </c>
    </row>
    <row r="375" customFormat="false" ht="15" hidden="false" customHeight="false" outlineLevel="0" collapsed="false">
      <c r="B375" s="19" t="s">
        <v>1127</v>
      </c>
      <c r="C375" s="20" t="n">
        <f aca="false">ROUND(0.65/FX,2)</f>
        <v>0.09</v>
      </c>
      <c r="D375" s="21" t="s">
        <v>1125</v>
      </c>
      <c r="E375" s="21" t="s">
        <v>837</v>
      </c>
      <c r="F375" s="21" t="s">
        <v>724</v>
      </c>
      <c r="G375" s="21" t="s">
        <v>833</v>
      </c>
    </row>
    <row r="376" customFormat="false" ht="15" hidden="false" customHeight="false" outlineLevel="0" collapsed="false">
      <c r="B376" s="19" t="s">
        <v>1128</v>
      </c>
      <c r="C376" s="20" t="n">
        <f aca="false">ROUND(0.65/FX,2)</f>
        <v>0.09</v>
      </c>
      <c r="D376" s="21" t="s">
        <v>1125</v>
      </c>
      <c r="E376" s="21" t="s">
        <v>839</v>
      </c>
      <c r="F376" s="21" t="s">
        <v>724</v>
      </c>
      <c r="G376" s="21" t="s">
        <v>833</v>
      </c>
    </row>
    <row r="377" customFormat="false" ht="15" hidden="false" customHeight="false" outlineLevel="0" collapsed="false">
      <c r="B377" s="19" t="s">
        <v>1129</v>
      </c>
      <c r="C377" s="20" t="n">
        <f aca="false">ROUND(1.14/FX,2)</f>
        <v>0.16</v>
      </c>
      <c r="D377" s="21" t="s">
        <v>1125</v>
      </c>
      <c r="E377" s="21" t="s">
        <v>841</v>
      </c>
      <c r="F377" s="21" t="s">
        <v>724</v>
      </c>
      <c r="G377" s="21" t="s">
        <v>833</v>
      </c>
    </row>
    <row r="378" customFormat="false" ht="15" hidden="false" customHeight="false" outlineLevel="0" collapsed="false">
      <c r="B378" s="19" t="s">
        <v>1130</v>
      </c>
      <c r="C378" s="20" t="n">
        <f aca="false">ROUND(1.14/FX,2)</f>
        <v>0.16</v>
      </c>
      <c r="D378" s="21" t="s">
        <v>1125</v>
      </c>
      <c r="E378" s="21" t="s">
        <v>789</v>
      </c>
      <c r="F378" s="21" t="s">
        <v>724</v>
      </c>
      <c r="G378" s="21" t="s">
        <v>833</v>
      </c>
    </row>
    <row r="379" customFormat="false" ht="15" hidden="false" customHeight="false" outlineLevel="0" collapsed="false">
      <c r="B379" s="19" t="s">
        <v>1131</v>
      </c>
      <c r="C379" s="20" t="n">
        <f aca="false">ROUND(0.98/FX,2)</f>
        <v>0.14</v>
      </c>
      <c r="D379" s="21" t="s">
        <v>1125</v>
      </c>
      <c r="E379" s="21" t="s">
        <v>716</v>
      </c>
      <c r="F379" s="21" t="s">
        <v>724</v>
      </c>
      <c r="G379" s="21" t="s">
        <v>833</v>
      </c>
    </row>
    <row r="380" customFormat="false" ht="15" hidden="false" customHeight="false" outlineLevel="0" collapsed="false">
      <c r="B380" s="19" t="s">
        <v>1132</v>
      </c>
      <c r="C380" s="20" t="n">
        <f aca="false">ROUND(1.14/FX,2)</f>
        <v>0.16</v>
      </c>
      <c r="D380" s="21" t="s">
        <v>1125</v>
      </c>
      <c r="E380" s="21" t="s">
        <v>845</v>
      </c>
      <c r="F380" s="21" t="s">
        <v>724</v>
      </c>
      <c r="G380" s="21" t="s">
        <v>833</v>
      </c>
    </row>
    <row r="381" customFormat="false" ht="15" hidden="false" customHeight="false" outlineLevel="0" collapsed="false">
      <c r="B381" s="19" t="s">
        <v>1133</v>
      </c>
      <c r="C381" s="20" t="n">
        <f aca="false">ROUND(1.14/FX,2)</f>
        <v>0.16</v>
      </c>
      <c r="D381" s="21" t="s">
        <v>1125</v>
      </c>
      <c r="E381" s="21" t="s">
        <v>847</v>
      </c>
      <c r="F381" s="21" t="s">
        <v>724</v>
      </c>
      <c r="G381" s="21" t="s">
        <v>833</v>
      </c>
    </row>
    <row r="382" customFormat="false" ht="15" hidden="false" customHeight="false" outlineLevel="0" collapsed="false">
      <c r="B382" s="19" t="s">
        <v>1134</v>
      </c>
      <c r="C382" s="20" t="n">
        <f aca="false">ROUND(1.14/FX,2)</f>
        <v>0.16</v>
      </c>
      <c r="D382" s="21" t="s">
        <v>1125</v>
      </c>
      <c r="E382" s="21" t="s">
        <v>719</v>
      </c>
      <c r="F382" s="21" t="s">
        <v>724</v>
      </c>
      <c r="G382" s="21" t="s">
        <v>833</v>
      </c>
    </row>
    <row r="383" customFormat="false" ht="15" hidden="false" customHeight="false" outlineLevel="0" collapsed="false">
      <c r="B383" s="19" t="s">
        <v>1135</v>
      </c>
      <c r="C383" s="20" t="n">
        <f aca="false">ROUND(1.14/FX,2)</f>
        <v>0.16</v>
      </c>
      <c r="D383" s="21" t="s">
        <v>1136</v>
      </c>
      <c r="E383" s="21" t="s">
        <v>707</v>
      </c>
      <c r="F383" s="21" t="s">
        <v>724</v>
      </c>
      <c r="G383" s="21" t="s">
        <v>833</v>
      </c>
    </row>
    <row r="384" customFormat="false" ht="15" hidden="false" customHeight="false" outlineLevel="0" collapsed="false">
      <c r="B384" s="19" t="s">
        <v>1137</v>
      </c>
      <c r="C384" s="20" t="n">
        <f aca="false">ROUND(1.14/FX,2)</f>
        <v>0.16</v>
      </c>
      <c r="D384" s="21" t="s">
        <v>1136</v>
      </c>
      <c r="E384" s="21" t="s">
        <v>714</v>
      </c>
      <c r="F384" s="21" t="s">
        <v>724</v>
      </c>
      <c r="G384" s="21" t="s">
        <v>833</v>
      </c>
    </row>
    <row r="385" customFormat="false" ht="15" hidden="false" customHeight="false" outlineLevel="0" collapsed="false">
      <c r="B385" s="19" t="s">
        <v>1138</v>
      </c>
      <c r="C385" s="20" t="n">
        <f aca="false">ROUND(0.65/FX,2)</f>
        <v>0.09</v>
      </c>
      <c r="D385" s="21" t="s">
        <v>1136</v>
      </c>
      <c r="E385" s="21" t="s">
        <v>837</v>
      </c>
      <c r="F385" s="21" t="s">
        <v>724</v>
      </c>
      <c r="G385" s="21" t="s">
        <v>833</v>
      </c>
    </row>
    <row r="386" customFormat="false" ht="15" hidden="false" customHeight="false" outlineLevel="0" collapsed="false">
      <c r="B386" s="19" t="s">
        <v>1139</v>
      </c>
      <c r="C386" s="20" t="n">
        <f aca="false">ROUND(1.14/FX,2)</f>
        <v>0.16</v>
      </c>
      <c r="D386" s="21" t="s">
        <v>1136</v>
      </c>
      <c r="E386" s="21" t="s">
        <v>839</v>
      </c>
      <c r="F386" s="21" t="s">
        <v>724</v>
      </c>
      <c r="G386" s="21" t="s">
        <v>833</v>
      </c>
    </row>
    <row r="387" customFormat="false" ht="15" hidden="false" customHeight="false" outlineLevel="0" collapsed="false">
      <c r="B387" s="19" t="s">
        <v>1140</v>
      </c>
      <c r="C387" s="20" t="n">
        <f aca="false">ROUND(0.85/FX,2)</f>
        <v>0.12</v>
      </c>
      <c r="D387" s="21" t="s">
        <v>1136</v>
      </c>
      <c r="E387" s="21" t="s">
        <v>841</v>
      </c>
      <c r="F387" s="21" t="s">
        <v>724</v>
      </c>
      <c r="G387" s="21" t="s">
        <v>833</v>
      </c>
    </row>
    <row r="388" customFormat="false" ht="15" hidden="false" customHeight="false" outlineLevel="0" collapsed="false">
      <c r="B388" s="19" t="s">
        <v>1141</v>
      </c>
      <c r="C388" s="20" t="n">
        <f aca="false">ROUND(1.14/FX,2)</f>
        <v>0.16</v>
      </c>
      <c r="D388" s="21" t="s">
        <v>1136</v>
      </c>
      <c r="E388" s="21" t="s">
        <v>789</v>
      </c>
      <c r="F388" s="21" t="s">
        <v>724</v>
      </c>
      <c r="G388" s="21" t="s">
        <v>833</v>
      </c>
    </row>
    <row r="389" customFormat="false" ht="15" hidden="false" customHeight="false" outlineLevel="0" collapsed="false">
      <c r="B389" s="19" t="s">
        <v>1142</v>
      </c>
      <c r="C389" s="20" t="n">
        <f aca="false">ROUND(1.12/FX,2)</f>
        <v>0.16</v>
      </c>
      <c r="D389" s="21" t="s">
        <v>1136</v>
      </c>
      <c r="E389" s="21" t="s">
        <v>716</v>
      </c>
      <c r="F389" s="21" t="s">
        <v>724</v>
      </c>
      <c r="G389" s="21" t="s">
        <v>833</v>
      </c>
    </row>
    <row r="390" customFormat="false" ht="15" hidden="false" customHeight="false" outlineLevel="0" collapsed="false">
      <c r="B390" s="19" t="s">
        <v>1143</v>
      </c>
      <c r="C390" s="20" t="n">
        <f aca="false">ROUND(1.14/FX,2)</f>
        <v>0.16</v>
      </c>
      <c r="D390" s="21" t="s">
        <v>1136</v>
      </c>
      <c r="E390" s="21" t="s">
        <v>845</v>
      </c>
      <c r="F390" s="21" t="s">
        <v>724</v>
      </c>
      <c r="G390" s="21" t="s">
        <v>833</v>
      </c>
    </row>
    <row r="391" customFormat="false" ht="15" hidden="false" customHeight="false" outlineLevel="0" collapsed="false">
      <c r="B391" s="19" t="s">
        <v>1144</v>
      </c>
      <c r="C391" s="20" t="n">
        <f aca="false">ROUND(1.14/FX,2)</f>
        <v>0.16</v>
      </c>
      <c r="D391" s="21" t="s">
        <v>1136</v>
      </c>
      <c r="E391" s="21" t="s">
        <v>847</v>
      </c>
      <c r="F391" s="21" t="s">
        <v>724</v>
      </c>
      <c r="G391" s="21" t="s">
        <v>833</v>
      </c>
    </row>
    <row r="392" customFormat="false" ht="15" hidden="false" customHeight="false" outlineLevel="0" collapsed="false">
      <c r="B392" s="19" t="s">
        <v>1145</v>
      </c>
      <c r="C392" s="20" t="n">
        <f aca="false">ROUND(1.14/FX,2)</f>
        <v>0.16</v>
      </c>
      <c r="D392" s="21" t="s">
        <v>1136</v>
      </c>
      <c r="E392" s="21" t="s">
        <v>719</v>
      </c>
      <c r="F392" s="21" t="s">
        <v>724</v>
      </c>
      <c r="G392" s="21" t="s">
        <v>833</v>
      </c>
    </row>
    <row r="393" customFormat="false" ht="15" hidden="false" customHeight="false" outlineLevel="0" collapsed="false">
      <c r="B393" s="19" t="s">
        <v>1146</v>
      </c>
      <c r="C393" s="20" t="n">
        <f aca="false">ROUND(1.7/FX,2)</f>
        <v>0.24</v>
      </c>
      <c r="D393" s="21" t="s">
        <v>1147</v>
      </c>
      <c r="E393" s="21" t="s">
        <v>707</v>
      </c>
      <c r="F393" s="21" t="s">
        <v>724</v>
      </c>
      <c r="G393" s="21" t="s">
        <v>833</v>
      </c>
    </row>
    <row r="394" customFormat="false" ht="15" hidden="false" customHeight="false" outlineLevel="0" collapsed="false">
      <c r="B394" s="19" t="s">
        <v>1148</v>
      </c>
      <c r="C394" s="20" t="n">
        <f aca="false">ROUND(1.14/FX,2)</f>
        <v>0.16</v>
      </c>
      <c r="D394" s="21" t="s">
        <v>1147</v>
      </c>
      <c r="E394" s="21" t="s">
        <v>714</v>
      </c>
      <c r="F394" s="21" t="s">
        <v>724</v>
      </c>
      <c r="G394" s="21" t="s">
        <v>833</v>
      </c>
    </row>
    <row r="395" customFormat="false" ht="15" hidden="false" customHeight="false" outlineLevel="0" collapsed="false">
      <c r="B395" s="19" t="s">
        <v>1149</v>
      </c>
      <c r="C395" s="20" t="n">
        <f aca="false">ROUND(0.65/FX,2)</f>
        <v>0.09</v>
      </c>
      <c r="D395" s="21" t="s">
        <v>1147</v>
      </c>
      <c r="E395" s="21" t="s">
        <v>837</v>
      </c>
      <c r="F395" s="21" t="s">
        <v>724</v>
      </c>
      <c r="G395" s="21" t="s">
        <v>833</v>
      </c>
    </row>
    <row r="396" customFormat="false" ht="15" hidden="false" customHeight="false" outlineLevel="0" collapsed="false">
      <c r="B396" s="19" t="s">
        <v>1150</v>
      </c>
      <c r="C396" s="20" t="n">
        <f aca="false">ROUND(1.14/FX,2)</f>
        <v>0.16</v>
      </c>
      <c r="D396" s="21" t="s">
        <v>1147</v>
      </c>
      <c r="E396" s="21" t="s">
        <v>839</v>
      </c>
      <c r="F396" s="21" t="s">
        <v>724</v>
      </c>
      <c r="G396" s="21" t="s">
        <v>833</v>
      </c>
    </row>
    <row r="397" customFormat="false" ht="15" hidden="false" customHeight="false" outlineLevel="0" collapsed="false">
      <c r="B397" s="19" t="s">
        <v>1151</v>
      </c>
      <c r="C397" s="20" t="n">
        <f aca="false">ROUND(1.14/FX,2)</f>
        <v>0.16</v>
      </c>
      <c r="D397" s="21" t="s">
        <v>1147</v>
      </c>
      <c r="E397" s="21" t="s">
        <v>841</v>
      </c>
      <c r="F397" s="21" t="s">
        <v>724</v>
      </c>
      <c r="G397" s="21" t="s">
        <v>833</v>
      </c>
    </row>
    <row r="398" customFormat="false" ht="15" hidden="false" customHeight="false" outlineLevel="0" collapsed="false">
      <c r="B398" s="19" t="s">
        <v>1152</v>
      </c>
      <c r="C398" s="20" t="n">
        <f aca="false">ROUND(1.14/FX,2)</f>
        <v>0.16</v>
      </c>
      <c r="D398" s="21" t="s">
        <v>1147</v>
      </c>
      <c r="E398" s="21" t="s">
        <v>789</v>
      </c>
      <c r="F398" s="21" t="s">
        <v>724</v>
      </c>
      <c r="G398" s="21" t="s">
        <v>833</v>
      </c>
    </row>
    <row r="399" customFormat="false" ht="15" hidden="false" customHeight="false" outlineLevel="0" collapsed="false">
      <c r="B399" s="19" t="s">
        <v>1153</v>
      </c>
      <c r="C399" s="20" t="n">
        <f aca="false">ROUND(0.98/FX,2)</f>
        <v>0.14</v>
      </c>
      <c r="D399" s="21" t="s">
        <v>1147</v>
      </c>
      <c r="E399" s="21" t="s">
        <v>716</v>
      </c>
      <c r="F399" s="21" t="s">
        <v>724</v>
      </c>
      <c r="G399" s="21" t="s">
        <v>833</v>
      </c>
    </row>
    <row r="400" customFormat="false" ht="15" hidden="false" customHeight="false" outlineLevel="0" collapsed="false">
      <c r="B400" s="19" t="s">
        <v>1154</v>
      </c>
      <c r="C400" s="20" t="n">
        <f aca="false">ROUND(1.14/FX,2)</f>
        <v>0.16</v>
      </c>
      <c r="D400" s="21" t="s">
        <v>1147</v>
      </c>
      <c r="E400" s="21" t="s">
        <v>845</v>
      </c>
      <c r="F400" s="21" t="s">
        <v>724</v>
      </c>
      <c r="G400" s="21" t="s">
        <v>833</v>
      </c>
    </row>
    <row r="401" customFormat="false" ht="15" hidden="false" customHeight="false" outlineLevel="0" collapsed="false">
      <c r="B401" s="19" t="s">
        <v>1155</v>
      </c>
      <c r="C401" s="20" t="n">
        <f aca="false">ROUND(1.14/FX,2)</f>
        <v>0.16</v>
      </c>
      <c r="D401" s="21" t="s">
        <v>1147</v>
      </c>
      <c r="E401" s="21" t="s">
        <v>847</v>
      </c>
      <c r="F401" s="21" t="s">
        <v>724</v>
      </c>
      <c r="G401" s="21" t="s">
        <v>833</v>
      </c>
    </row>
    <row r="402" customFormat="false" ht="15" hidden="false" customHeight="false" outlineLevel="0" collapsed="false">
      <c r="B402" s="19" t="s">
        <v>1156</v>
      </c>
      <c r="C402" s="20" t="n">
        <f aca="false">ROUND(1.46/FX,2)</f>
        <v>0.2</v>
      </c>
      <c r="D402" s="21" t="s">
        <v>1147</v>
      </c>
      <c r="E402" s="21" t="s">
        <v>719</v>
      </c>
      <c r="F402" s="21" t="s">
        <v>724</v>
      </c>
      <c r="G402" s="21" t="s">
        <v>833</v>
      </c>
    </row>
    <row r="403" customFormat="false" ht="15" hidden="false" customHeight="false" outlineLevel="0" collapsed="false">
      <c r="B403" s="19" t="s">
        <v>1157</v>
      </c>
      <c r="C403" s="20" t="n">
        <f aca="false">ROUND(1.73/FX,2)</f>
        <v>0.24</v>
      </c>
      <c r="D403" s="21" t="s">
        <v>1158</v>
      </c>
      <c r="E403" s="21" t="s">
        <v>707</v>
      </c>
      <c r="F403" s="21" t="s">
        <v>724</v>
      </c>
      <c r="G403" s="21" t="s">
        <v>833</v>
      </c>
    </row>
    <row r="404" customFormat="false" ht="15" hidden="false" customHeight="false" outlineLevel="0" collapsed="false">
      <c r="B404" s="19" t="s">
        <v>1159</v>
      </c>
      <c r="C404" s="20" t="n">
        <f aca="false">ROUND(2.63/FX,2)</f>
        <v>0.37</v>
      </c>
      <c r="D404" s="21" t="s">
        <v>1158</v>
      </c>
      <c r="E404" s="21" t="s">
        <v>714</v>
      </c>
      <c r="F404" s="21" t="s">
        <v>724</v>
      </c>
      <c r="G404" s="21" t="s">
        <v>833</v>
      </c>
    </row>
    <row r="405" customFormat="false" ht="15" hidden="false" customHeight="false" outlineLevel="0" collapsed="false">
      <c r="B405" s="19" t="s">
        <v>1160</v>
      </c>
      <c r="C405" s="20" t="n">
        <f aca="false">ROUND(0.65/FX,2)</f>
        <v>0.09</v>
      </c>
      <c r="D405" s="21" t="s">
        <v>1158</v>
      </c>
      <c r="E405" s="21" t="s">
        <v>837</v>
      </c>
      <c r="F405" s="21" t="s">
        <v>724</v>
      </c>
      <c r="G405" s="21" t="s">
        <v>833</v>
      </c>
    </row>
    <row r="406" customFormat="false" ht="15" hidden="false" customHeight="false" outlineLevel="0" collapsed="false">
      <c r="B406" s="19" t="s">
        <v>1161</v>
      </c>
      <c r="C406" s="20" t="n">
        <f aca="false">ROUND(1.14/FX,2)</f>
        <v>0.16</v>
      </c>
      <c r="D406" s="21" t="s">
        <v>1158</v>
      </c>
      <c r="E406" s="21" t="s">
        <v>839</v>
      </c>
      <c r="F406" s="21" t="s">
        <v>724</v>
      </c>
      <c r="G406" s="21" t="s">
        <v>833</v>
      </c>
    </row>
    <row r="407" customFormat="false" ht="15" hidden="false" customHeight="false" outlineLevel="0" collapsed="false">
      <c r="B407" s="19" t="s">
        <v>1162</v>
      </c>
      <c r="C407" s="20" t="n">
        <f aca="false">ROUND(1.14/FX,2)</f>
        <v>0.16</v>
      </c>
      <c r="D407" s="21" t="s">
        <v>1158</v>
      </c>
      <c r="E407" s="21" t="s">
        <v>841</v>
      </c>
      <c r="F407" s="21" t="s">
        <v>724</v>
      </c>
      <c r="G407" s="21" t="s">
        <v>833</v>
      </c>
    </row>
    <row r="408" customFormat="false" ht="15" hidden="false" customHeight="false" outlineLevel="0" collapsed="false">
      <c r="B408" s="19" t="s">
        <v>1163</v>
      </c>
      <c r="C408" s="20" t="n">
        <f aca="false">ROUND(1.14/FX,2)</f>
        <v>0.16</v>
      </c>
      <c r="D408" s="21" t="s">
        <v>1158</v>
      </c>
      <c r="E408" s="21" t="s">
        <v>789</v>
      </c>
      <c r="F408" s="21" t="s">
        <v>724</v>
      </c>
      <c r="G408" s="21" t="s">
        <v>833</v>
      </c>
    </row>
    <row r="409" customFormat="false" ht="15" hidden="false" customHeight="false" outlineLevel="0" collapsed="false">
      <c r="B409" s="19" t="s">
        <v>1164</v>
      </c>
      <c r="C409" s="20" t="n">
        <f aca="false">ROUND(1.04/FX,2)</f>
        <v>0.14</v>
      </c>
      <c r="D409" s="21" t="s">
        <v>1158</v>
      </c>
      <c r="E409" s="21" t="s">
        <v>716</v>
      </c>
      <c r="F409" s="21" t="s">
        <v>724</v>
      </c>
      <c r="G409" s="21" t="s">
        <v>833</v>
      </c>
    </row>
    <row r="410" customFormat="false" ht="15" hidden="false" customHeight="false" outlineLevel="0" collapsed="false">
      <c r="B410" s="19" t="s">
        <v>1165</v>
      </c>
      <c r="C410" s="20" t="n">
        <f aca="false">ROUND(1.14/FX,2)</f>
        <v>0.16</v>
      </c>
      <c r="D410" s="21" t="s">
        <v>1158</v>
      </c>
      <c r="E410" s="21" t="s">
        <v>845</v>
      </c>
      <c r="F410" s="21" t="s">
        <v>724</v>
      </c>
      <c r="G410" s="21" t="s">
        <v>833</v>
      </c>
    </row>
    <row r="411" customFormat="false" ht="15" hidden="false" customHeight="false" outlineLevel="0" collapsed="false">
      <c r="B411" s="19" t="s">
        <v>1166</v>
      </c>
      <c r="C411" s="20" t="n">
        <f aca="false">ROUND(1.14/FX,2)</f>
        <v>0.16</v>
      </c>
      <c r="D411" s="21" t="s">
        <v>1158</v>
      </c>
      <c r="E411" s="21" t="s">
        <v>847</v>
      </c>
      <c r="F411" s="21" t="s">
        <v>724</v>
      </c>
      <c r="G411" s="21" t="s">
        <v>833</v>
      </c>
    </row>
    <row r="412" customFormat="false" ht="15" hidden="false" customHeight="false" outlineLevel="0" collapsed="false">
      <c r="B412" s="19" t="s">
        <v>1167</v>
      </c>
      <c r="C412" s="20" t="n">
        <f aca="false">ROUND(1.14/FX,2)</f>
        <v>0.16</v>
      </c>
      <c r="D412" s="21" t="s">
        <v>1158</v>
      </c>
      <c r="E412" s="21" t="s">
        <v>719</v>
      </c>
      <c r="F412" s="21" t="s">
        <v>724</v>
      </c>
      <c r="G412" s="21" t="s">
        <v>833</v>
      </c>
    </row>
    <row r="413" customFormat="false" ht="15" hidden="false" customHeight="false" outlineLevel="0" collapsed="false">
      <c r="B413" s="19" t="s">
        <v>1168</v>
      </c>
      <c r="C413" s="20" t="n">
        <f aca="false">ROUND(2.28/FX,2)</f>
        <v>0.32</v>
      </c>
      <c r="D413" s="21" t="s">
        <v>1169</v>
      </c>
      <c r="E413" s="21" t="s">
        <v>707</v>
      </c>
      <c r="F413" s="21" t="s">
        <v>724</v>
      </c>
      <c r="G413" s="21" t="s">
        <v>833</v>
      </c>
    </row>
    <row r="414" customFormat="false" ht="15" hidden="false" customHeight="false" outlineLevel="0" collapsed="false">
      <c r="B414" s="19" t="s">
        <v>1170</v>
      </c>
      <c r="C414" s="20" t="n">
        <f aca="false">ROUND(1.14/FX,2)</f>
        <v>0.16</v>
      </c>
      <c r="D414" s="21" t="s">
        <v>1169</v>
      </c>
      <c r="E414" s="21" t="s">
        <v>714</v>
      </c>
      <c r="F414" s="21" t="s">
        <v>724</v>
      </c>
      <c r="G414" s="21" t="s">
        <v>833</v>
      </c>
    </row>
    <row r="415" customFormat="false" ht="15" hidden="false" customHeight="false" outlineLevel="0" collapsed="false">
      <c r="B415" s="19" t="s">
        <v>1171</v>
      </c>
      <c r="C415" s="20" t="n">
        <f aca="false">ROUND(0.65/FX,2)</f>
        <v>0.09</v>
      </c>
      <c r="D415" s="21" t="s">
        <v>1169</v>
      </c>
      <c r="E415" s="21" t="s">
        <v>837</v>
      </c>
      <c r="F415" s="21" t="s">
        <v>724</v>
      </c>
      <c r="G415" s="21" t="s">
        <v>833</v>
      </c>
    </row>
    <row r="416" customFormat="false" ht="15" hidden="false" customHeight="false" outlineLevel="0" collapsed="false">
      <c r="B416" s="19" t="s">
        <v>1172</v>
      </c>
      <c r="C416" s="20" t="n">
        <f aca="false">ROUND(1.14/FX,2)</f>
        <v>0.16</v>
      </c>
      <c r="D416" s="21" t="s">
        <v>1169</v>
      </c>
      <c r="E416" s="21" t="s">
        <v>839</v>
      </c>
      <c r="F416" s="21" t="s">
        <v>724</v>
      </c>
      <c r="G416" s="21" t="s">
        <v>833</v>
      </c>
    </row>
    <row r="417" customFormat="false" ht="15" hidden="false" customHeight="false" outlineLevel="0" collapsed="false">
      <c r="B417" s="19" t="s">
        <v>1173</v>
      </c>
      <c r="C417" s="20" t="n">
        <f aca="false">ROUND(1.14/FX,2)</f>
        <v>0.16</v>
      </c>
      <c r="D417" s="21" t="s">
        <v>1169</v>
      </c>
      <c r="E417" s="21" t="s">
        <v>841</v>
      </c>
      <c r="F417" s="21" t="s">
        <v>724</v>
      </c>
      <c r="G417" s="21" t="s">
        <v>833</v>
      </c>
    </row>
    <row r="418" customFormat="false" ht="15" hidden="false" customHeight="false" outlineLevel="0" collapsed="false">
      <c r="B418" s="19" t="s">
        <v>1174</v>
      </c>
      <c r="C418" s="20" t="n">
        <f aca="false">ROUND(1.14/FX,2)</f>
        <v>0.16</v>
      </c>
      <c r="D418" s="21" t="s">
        <v>1169</v>
      </c>
      <c r="E418" s="21" t="s">
        <v>789</v>
      </c>
      <c r="F418" s="21" t="s">
        <v>724</v>
      </c>
      <c r="G418" s="21" t="s">
        <v>833</v>
      </c>
    </row>
    <row r="419" customFormat="false" ht="15" hidden="false" customHeight="false" outlineLevel="0" collapsed="false">
      <c r="B419" s="19" t="s">
        <v>1175</v>
      </c>
      <c r="C419" s="20" t="n">
        <f aca="false">ROUND(1.07/FX,2)</f>
        <v>0.15</v>
      </c>
      <c r="D419" s="21" t="s">
        <v>1169</v>
      </c>
      <c r="E419" s="21" t="s">
        <v>716</v>
      </c>
      <c r="F419" s="21" t="s">
        <v>724</v>
      </c>
      <c r="G419" s="21" t="s">
        <v>833</v>
      </c>
    </row>
    <row r="420" customFormat="false" ht="15" hidden="false" customHeight="false" outlineLevel="0" collapsed="false">
      <c r="B420" s="19" t="s">
        <v>1176</v>
      </c>
      <c r="C420" s="20" t="n">
        <f aca="false">ROUND(1.14/FX,2)</f>
        <v>0.16</v>
      </c>
      <c r="D420" s="21" t="s">
        <v>1169</v>
      </c>
      <c r="E420" s="21" t="s">
        <v>845</v>
      </c>
      <c r="F420" s="21" t="s">
        <v>724</v>
      </c>
      <c r="G420" s="21" t="s">
        <v>833</v>
      </c>
    </row>
    <row r="421" customFormat="false" ht="15" hidden="false" customHeight="false" outlineLevel="0" collapsed="false">
      <c r="B421" s="19" t="s">
        <v>1177</v>
      </c>
      <c r="C421" s="20" t="n">
        <f aca="false">ROUND(1.14/FX,2)</f>
        <v>0.16</v>
      </c>
      <c r="D421" s="21" t="s">
        <v>1169</v>
      </c>
      <c r="E421" s="21" t="s">
        <v>847</v>
      </c>
      <c r="F421" s="21" t="s">
        <v>724</v>
      </c>
      <c r="G421" s="21" t="s">
        <v>833</v>
      </c>
    </row>
    <row r="422" customFormat="false" ht="15" hidden="false" customHeight="false" outlineLevel="0" collapsed="false">
      <c r="B422" s="19" t="s">
        <v>1178</v>
      </c>
      <c r="C422" s="20" t="n">
        <f aca="false">ROUND(1.14/FX,2)</f>
        <v>0.16</v>
      </c>
      <c r="D422" s="21" t="s">
        <v>1169</v>
      </c>
      <c r="E422" s="21" t="s">
        <v>719</v>
      </c>
      <c r="F422" s="21" t="s">
        <v>724</v>
      </c>
      <c r="G422" s="21" t="s">
        <v>833</v>
      </c>
    </row>
    <row r="423" customFormat="false" ht="15" hidden="false" customHeight="false" outlineLevel="0" collapsed="false">
      <c r="B423" s="19" t="s">
        <v>1179</v>
      </c>
      <c r="C423" s="20" t="n">
        <f aca="false">ROUND(1.73/FX,2)</f>
        <v>0.24</v>
      </c>
      <c r="D423" s="21" t="s">
        <v>1180</v>
      </c>
      <c r="E423" s="21" t="s">
        <v>707</v>
      </c>
      <c r="F423" s="21" t="s">
        <v>724</v>
      </c>
      <c r="G423" s="21" t="s">
        <v>833</v>
      </c>
    </row>
    <row r="424" customFormat="false" ht="15" hidden="false" customHeight="false" outlineLevel="0" collapsed="false">
      <c r="B424" s="19" t="s">
        <v>1181</v>
      </c>
      <c r="C424" s="20" t="n">
        <f aca="false">ROUND(1.14/FX,2)</f>
        <v>0.16</v>
      </c>
      <c r="D424" s="21" t="s">
        <v>1180</v>
      </c>
      <c r="E424" s="21" t="s">
        <v>714</v>
      </c>
      <c r="F424" s="21" t="s">
        <v>724</v>
      </c>
      <c r="G424" s="21" t="s">
        <v>833</v>
      </c>
    </row>
    <row r="425" customFormat="false" ht="15" hidden="false" customHeight="false" outlineLevel="0" collapsed="false">
      <c r="B425" s="19" t="s">
        <v>1182</v>
      </c>
      <c r="C425" s="20" t="n">
        <f aca="false">ROUND(0.65/FX,2)</f>
        <v>0.09</v>
      </c>
      <c r="D425" s="21" t="s">
        <v>1180</v>
      </c>
      <c r="E425" s="21" t="s">
        <v>837</v>
      </c>
      <c r="F425" s="21" t="s">
        <v>724</v>
      </c>
      <c r="G425" s="21" t="s">
        <v>833</v>
      </c>
    </row>
    <row r="426" customFormat="false" ht="15" hidden="false" customHeight="false" outlineLevel="0" collapsed="false">
      <c r="B426" s="19" t="s">
        <v>1183</v>
      </c>
      <c r="C426" s="20" t="n">
        <f aca="false">ROUND(1.14/FX,2)</f>
        <v>0.16</v>
      </c>
      <c r="D426" s="21" t="s">
        <v>1180</v>
      </c>
      <c r="E426" s="21" t="s">
        <v>839</v>
      </c>
      <c r="F426" s="21" t="s">
        <v>724</v>
      </c>
      <c r="G426" s="21" t="s">
        <v>833</v>
      </c>
    </row>
    <row r="427" customFormat="false" ht="15" hidden="false" customHeight="false" outlineLevel="0" collapsed="false">
      <c r="B427" s="19" t="s">
        <v>1184</v>
      </c>
      <c r="C427" s="20" t="n">
        <f aca="false">ROUND(1.14/FX,2)</f>
        <v>0.16</v>
      </c>
      <c r="D427" s="21" t="s">
        <v>1180</v>
      </c>
      <c r="E427" s="21" t="s">
        <v>841</v>
      </c>
      <c r="F427" s="21" t="s">
        <v>724</v>
      </c>
      <c r="G427" s="21" t="s">
        <v>833</v>
      </c>
    </row>
    <row r="428" customFormat="false" ht="15" hidden="false" customHeight="false" outlineLevel="0" collapsed="false">
      <c r="B428" s="19" t="s">
        <v>1185</v>
      </c>
      <c r="C428" s="20" t="n">
        <f aca="false">ROUND(1.14/FX,2)</f>
        <v>0.16</v>
      </c>
      <c r="D428" s="21" t="s">
        <v>1180</v>
      </c>
      <c r="E428" s="21" t="s">
        <v>789</v>
      </c>
      <c r="F428" s="21" t="s">
        <v>724</v>
      </c>
      <c r="G428" s="21" t="s">
        <v>833</v>
      </c>
    </row>
    <row r="429" customFormat="false" ht="15" hidden="false" customHeight="false" outlineLevel="0" collapsed="false">
      <c r="B429" s="19" t="s">
        <v>1186</v>
      </c>
      <c r="C429" s="20" t="n">
        <f aca="false">ROUND(1.04/FX,2)</f>
        <v>0.14</v>
      </c>
      <c r="D429" s="21" t="s">
        <v>1180</v>
      </c>
      <c r="E429" s="21" t="s">
        <v>716</v>
      </c>
      <c r="F429" s="21" t="s">
        <v>724</v>
      </c>
      <c r="G429" s="21" t="s">
        <v>833</v>
      </c>
    </row>
    <row r="430" customFormat="false" ht="15" hidden="false" customHeight="false" outlineLevel="0" collapsed="false">
      <c r="B430" s="19" t="s">
        <v>1187</v>
      </c>
      <c r="C430" s="20" t="n">
        <f aca="false">ROUND(1.14/FX,2)</f>
        <v>0.16</v>
      </c>
      <c r="D430" s="21" t="s">
        <v>1180</v>
      </c>
      <c r="E430" s="21" t="s">
        <v>845</v>
      </c>
      <c r="F430" s="21" t="s">
        <v>724</v>
      </c>
      <c r="G430" s="21" t="s">
        <v>833</v>
      </c>
    </row>
    <row r="431" customFormat="false" ht="15" hidden="false" customHeight="false" outlineLevel="0" collapsed="false">
      <c r="B431" s="19" t="s">
        <v>1188</v>
      </c>
      <c r="C431" s="20" t="n">
        <f aca="false">ROUND(1.14/FX,2)</f>
        <v>0.16</v>
      </c>
      <c r="D431" s="21" t="s">
        <v>1180</v>
      </c>
      <c r="E431" s="21" t="s">
        <v>847</v>
      </c>
      <c r="F431" s="21" t="s">
        <v>724</v>
      </c>
      <c r="G431" s="21" t="s">
        <v>833</v>
      </c>
    </row>
    <row r="432" customFormat="false" ht="15" hidden="false" customHeight="false" outlineLevel="0" collapsed="false">
      <c r="B432" s="19" t="s">
        <v>1189</v>
      </c>
      <c r="C432" s="20" t="n">
        <f aca="false">ROUND(1.14/FX,2)</f>
        <v>0.16</v>
      </c>
      <c r="D432" s="21" t="s">
        <v>1180</v>
      </c>
      <c r="E432" s="21" t="s">
        <v>719</v>
      </c>
      <c r="F432" s="21" t="s">
        <v>724</v>
      </c>
      <c r="G432" s="21" t="s">
        <v>833</v>
      </c>
    </row>
    <row r="433" customFormat="false" ht="15" hidden="false" customHeight="false" outlineLevel="0" collapsed="false">
      <c r="B433" s="19" t="s">
        <v>1190</v>
      </c>
      <c r="C433" s="20" t="n">
        <f aca="false">ROUND(1.73/FX,2)</f>
        <v>0.24</v>
      </c>
      <c r="D433" s="21" t="s">
        <v>1191</v>
      </c>
      <c r="E433" s="21" t="s">
        <v>707</v>
      </c>
      <c r="F433" s="21" t="s">
        <v>724</v>
      </c>
      <c r="G433" s="21" t="s">
        <v>833</v>
      </c>
    </row>
    <row r="434" customFormat="false" ht="15" hidden="false" customHeight="false" outlineLevel="0" collapsed="false">
      <c r="B434" s="19" t="s">
        <v>1192</v>
      </c>
      <c r="C434" s="20" t="n">
        <f aca="false">ROUND(1.14/FX,2)</f>
        <v>0.16</v>
      </c>
      <c r="D434" s="21" t="s">
        <v>1191</v>
      </c>
      <c r="E434" s="21" t="s">
        <v>714</v>
      </c>
      <c r="F434" s="21" t="s">
        <v>724</v>
      </c>
      <c r="G434" s="21" t="s">
        <v>833</v>
      </c>
    </row>
    <row r="435" customFormat="false" ht="15" hidden="false" customHeight="false" outlineLevel="0" collapsed="false">
      <c r="B435" s="19" t="s">
        <v>1193</v>
      </c>
      <c r="C435" s="20" t="n">
        <f aca="false">ROUND(0.65/FX,2)</f>
        <v>0.09</v>
      </c>
      <c r="D435" s="21" t="s">
        <v>1191</v>
      </c>
      <c r="E435" s="21" t="s">
        <v>837</v>
      </c>
      <c r="F435" s="21" t="s">
        <v>724</v>
      </c>
      <c r="G435" s="21" t="s">
        <v>833</v>
      </c>
    </row>
    <row r="436" customFormat="false" ht="15" hidden="false" customHeight="false" outlineLevel="0" collapsed="false">
      <c r="B436" s="19" t="s">
        <v>1194</v>
      </c>
      <c r="C436" s="20" t="n">
        <f aca="false">ROUND(1.14/FX,2)</f>
        <v>0.16</v>
      </c>
      <c r="D436" s="21" t="s">
        <v>1191</v>
      </c>
      <c r="E436" s="21" t="s">
        <v>839</v>
      </c>
      <c r="F436" s="21" t="s">
        <v>724</v>
      </c>
      <c r="G436" s="21" t="s">
        <v>833</v>
      </c>
    </row>
    <row r="437" customFormat="false" ht="15" hidden="false" customHeight="false" outlineLevel="0" collapsed="false">
      <c r="B437" s="19" t="s">
        <v>1195</v>
      </c>
      <c r="C437" s="20" t="n">
        <f aca="false">ROUND(1.14/FX,2)</f>
        <v>0.16</v>
      </c>
      <c r="D437" s="21" t="s">
        <v>1191</v>
      </c>
      <c r="E437" s="21" t="s">
        <v>841</v>
      </c>
      <c r="F437" s="21" t="s">
        <v>724</v>
      </c>
      <c r="G437" s="21" t="s">
        <v>833</v>
      </c>
    </row>
    <row r="438" customFormat="false" ht="15" hidden="false" customHeight="false" outlineLevel="0" collapsed="false">
      <c r="B438" s="19" t="s">
        <v>1196</v>
      </c>
      <c r="C438" s="20" t="n">
        <f aca="false">ROUND(1.14/FX,2)</f>
        <v>0.16</v>
      </c>
      <c r="D438" s="21" t="s">
        <v>1191</v>
      </c>
      <c r="E438" s="21" t="s">
        <v>789</v>
      </c>
      <c r="F438" s="21" t="s">
        <v>724</v>
      </c>
      <c r="G438" s="21" t="s">
        <v>833</v>
      </c>
    </row>
    <row r="439" customFormat="false" ht="15" hidden="false" customHeight="false" outlineLevel="0" collapsed="false">
      <c r="B439" s="19" t="s">
        <v>1197</v>
      </c>
      <c r="C439" s="20" t="n">
        <f aca="false">ROUND(1.04/FX,2)</f>
        <v>0.14</v>
      </c>
      <c r="D439" s="21" t="s">
        <v>1191</v>
      </c>
      <c r="E439" s="21" t="s">
        <v>716</v>
      </c>
      <c r="F439" s="21" t="s">
        <v>724</v>
      </c>
      <c r="G439" s="21" t="s">
        <v>833</v>
      </c>
    </row>
    <row r="440" customFormat="false" ht="15" hidden="false" customHeight="false" outlineLevel="0" collapsed="false">
      <c r="B440" s="19" t="s">
        <v>1198</v>
      </c>
      <c r="C440" s="20" t="n">
        <f aca="false">ROUND(1.14/FX,2)</f>
        <v>0.16</v>
      </c>
      <c r="D440" s="21" t="s">
        <v>1191</v>
      </c>
      <c r="E440" s="21" t="s">
        <v>845</v>
      </c>
      <c r="F440" s="21" t="s">
        <v>724</v>
      </c>
      <c r="G440" s="21" t="s">
        <v>833</v>
      </c>
    </row>
    <row r="441" customFormat="false" ht="15" hidden="false" customHeight="false" outlineLevel="0" collapsed="false">
      <c r="B441" s="19" t="s">
        <v>1199</v>
      </c>
      <c r="C441" s="20" t="n">
        <f aca="false">ROUND(1.69/FX,2)</f>
        <v>0.23</v>
      </c>
      <c r="D441" s="21" t="s">
        <v>1191</v>
      </c>
      <c r="E441" s="21" t="s">
        <v>847</v>
      </c>
      <c r="F441" s="21" t="s">
        <v>724</v>
      </c>
      <c r="G441" s="21" t="s">
        <v>833</v>
      </c>
    </row>
    <row r="442" customFormat="false" ht="15" hidden="false" customHeight="false" outlineLevel="0" collapsed="false">
      <c r="B442" s="19" t="s">
        <v>1200</v>
      </c>
      <c r="C442" s="20" t="n">
        <f aca="false">ROUND(1.14/FX,2)</f>
        <v>0.16</v>
      </c>
      <c r="D442" s="21" t="s">
        <v>1191</v>
      </c>
      <c r="E442" s="21" t="s">
        <v>719</v>
      </c>
      <c r="F442" s="21" t="s">
        <v>724</v>
      </c>
      <c r="G442" s="21" t="s">
        <v>833</v>
      </c>
    </row>
    <row r="443" customFormat="false" ht="15" hidden="false" customHeight="false" outlineLevel="0" collapsed="false">
      <c r="B443" s="19" t="s">
        <v>1201</v>
      </c>
      <c r="C443" s="20" t="n">
        <f aca="false">ROUND(1.73/FX,2)</f>
        <v>0.24</v>
      </c>
      <c r="D443" s="21" t="s">
        <v>1202</v>
      </c>
      <c r="E443" s="21" t="s">
        <v>707</v>
      </c>
      <c r="F443" s="21" t="s">
        <v>724</v>
      </c>
      <c r="G443" s="21" t="s">
        <v>833</v>
      </c>
    </row>
    <row r="444" customFormat="false" ht="15" hidden="false" customHeight="false" outlineLevel="0" collapsed="false">
      <c r="B444" s="19" t="s">
        <v>1203</v>
      </c>
      <c r="C444" s="20" t="n">
        <f aca="false">ROUND(1.14/FX,2)</f>
        <v>0.16</v>
      </c>
      <c r="D444" s="21" t="s">
        <v>1202</v>
      </c>
      <c r="E444" s="21" t="s">
        <v>714</v>
      </c>
      <c r="F444" s="21" t="s">
        <v>724</v>
      </c>
      <c r="G444" s="21" t="s">
        <v>833</v>
      </c>
    </row>
    <row r="445" customFormat="false" ht="15" hidden="false" customHeight="false" outlineLevel="0" collapsed="false">
      <c r="B445" s="19" t="s">
        <v>1204</v>
      </c>
      <c r="C445" s="20" t="n">
        <f aca="false">ROUND(0.65/FX,2)</f>
        <v>0.09</v>
      </c>
      <c r="D445" s="21" t="s">
        <v>1202</v>
      </c>
      <c r="E445" s="21" t="s">
        <v>837</v>
      </c>
      <c r="F445" s="21" t="s">
        <v>724</v>
      </c>
      <c r="G445" s="21" t="s">
        <v>833</v>
      </c>
    </row>
    <row r="446" customFormat="false" ht="15" hidden="false" customHeight="false" outlineLevel="0" collapsed="false">
      <c r="B446" s="19" t="s">
        <v>1205</v>
      </c>
      <c r="C446" s="20" t="n">
        <f aca="false">ROUND(1.14/FX,2)</f>
        <v>0.16</v>
      </c>
      <c r="D446" s="21" t="s">
        <v>1202</v>
      </c>
      <c r="E446" s="21" t="s">
        <v>839</v>
      </c>
      <c r="F446" s="21" t="s">
        <v>724</v>
      </c>
      <c r="G446" s="21" t="s">
        <v>833</v>
      </c>
    </row>
    <row r="447" customFormat="false" ht="15" hidden="false" customHeight="false" outlineLevel="0" collapsed="false">
      <c r="B447" s="19" t="s">
        <v>1206</v>
      </c>
      <c r="C447" s="20" t="n">
        <f aca="false">ROUND(1.14/FX,2)</f>
        <v>0.16</v>
      </c>
      <c r="D447" s="21" t="s">
        <v>1202</v>
      </c>
      <c r="E447" s="21" t="s">
        <v>841</v>
      </c>
      <c r="F447" s="21" t="s">
        <v>724</v>
      </c>
      <c r="G447" s="21" t="s">
        <v>833</v>
      </c>
    </row>
    <row r="448" customFormat="false" ht="15" hidden="false" customHeight="false" outlineLevel="0" collapsed="false">
      <c r="B448" s="19" t="s">
        <v>1207</v>
      </c>
      <c r="C448" s="20" t="n">
        <f aca="false">ROUND(1.14/FX,2)</f>
        <v>0.16</v>
      </c>
      <c r="D448" s="21" t="s">
        <v>1202</v>
      </c>
      <c r="E448" s="21" t="s">
        <v>789</v>
      </c>
      <c r="F448" s="21" t="s">
        <v>724</v>
      </c>
      <c r="G448" s="21" t="s">
        <v>833</v>
      </c>
    </row>
    <row r="449" customFormat="false" ht="15" hidden="false" customHeight="false" outlineLevel="0" collapsed="false">
      <c r="B449" s="19" t="s">
        <v>1208</v>
      </c>
      <c r="C449" s="20" t="n">
        <f aca="false">ROUND(1.04/FX,2)</f>
        <v>0.14</v>
      </c>
      <c r="D449" s="21" t="s">
        <v>1202</v>
      </c>
      <c r="E449" s="21" t="s">
        <v>716</v>
      </c>
      <c r="F449" s="21" t="s">
        <v>724</v>
      </c>
      <c r="G449" s="21" t="s">
        <v>833</v>
      </c>
    </row>
    <row r="450" customFormat="false" ht="15" hidden="false" customHeight="false" outlineLevel="0" collapsed="false">
      <c r="B450" s="19" t="s">
        <v>1209</v>
      </c>
      <c r="C450" s="20" t="n">
        <f aca="false">ROUND(1.14/FX,2)</f>
        <v>0.16</v>
      </c>
      <c r="D450" s="21" t="s">
        <v>1202</v>
      </c>
      <c r="E450" s="21" t="s">
        <v>845</v>
      </c>
      <c r="F450" s="21" t="s">
        <v>724</v>
      </c>
      <c r="G450" s="21" t="s">
        <v>833</v>
      </c>
    </row>
    <row r="451" customFormat="false" ht="15" hidden="false" customHeight="false" outlineLevel="0" collapsed="false">
      <c r="B451" s="19" t="s">
        <v>1210</v>
      </c>
      <c r="C451" s="20" t="n">
        <f aca="false">ROUND(1.14/FX,2)</f>
        <v>0.16</v>
      </c>
      <c r="D451" s="21" t="s">
        <v>1202</v>
      </c>
      <c r="E451" s="21" t="s">
        <v>847</v>
      </c>
      <c r="F451" s="21" t="s">
        <v>724</v>
      </c>
      <c r="G451" s="21" t="s">
        <v>833</v>
      </c>
    </row>
    <row r="452" customFormat="false" ht="15" hidden="false" customHeight="false" outlineLevel="0" collapsed="false">
      <c r="B452" s="19" t="s">
        <v>1211</v>
      </c>
      <c r="C452" s="20" t="n">
        <f aca="false">ROUND(1.14/FX,2)</f>
        <v>0.16</v>
      </c>
      <c r="D452" s="21" t="s">
        <v>1202</v>
      </c>
      <c r="E452" s="21" t="s">
        <v>719</v>
      </c>
      <c r="F452" s="21" t="s">
        <v>724</v>
      </c>
      <c r="G452" s="21" t="s">
        <v>833</v>
      </c>
    </row>
    <row r="453" customFormat="false" ht="15" hidden="false" customHeight="false" outlineLevel="0" collapsed="false">
      <c r="B453" s="19" t="s">
        <v>1212</v>
      </c>
      <c r="C453" s="20" t="n">
        <f aca="false">ROUND(2.15/FX,2)</f>
        <v>0.3</v>
      </c>
      <c r="D453" s="21" t="s">
        <v>1213</v>
      </c>
      <c r="E453" s="21" t="s">
        <v>707</v>
      </c>
      <c r="F453" s="21" t="s">
        <v>724</v>
      </c>
      <c r="G453" s="21" t="s">
        <v>833</v>
      </c>
    </row>
    <row r="454" customFormat="false" ht="15" hidden="false" customHeight="false" outlineLevel="0" collapsed="false">
      <c r="B454" s="19" t="s">
        <v>1214</v>
      </c>
      <c r="C454" s="20" t="n">
        <f aca="false">ROUND(1.14/FX,2)</f>
        <v>0.16</v>
      </c>
      <c r="D454" s="21" t="s">
        <v>1213</v>
      </c>
      <c r="E454" s="21" t="s">
        <v>714</v>
      </c>
      <c r="F454" s="21" t="s">
        <v>724</v>
      </c>
      <c r="G454" s="21" t="s">
        <v>833</v>
      </c>
    </row>
    <row r="455" customFormat="false" ht="15" hidden="false" customHeight="false" outlineLevel="0" collapsed="false">
      <c r="B455" s="19" t="s">
        <v>1215</v>
      </c>
      <c r="C455" s="20" t="n">
        <f aca="false">ROUND(0.65/FX,2)</f>
        <v>0.09</v>
      </c>
      <c r="D455" s="21" t="s">
        <v>1213</v>
      </c>
      <c r="E455" s="21" t="s">
        <v>837</v>
      </c>
      <c r="F455" s="21" t="s">
        <v>724</v>
      </c>
      <c r="G455" s="21" t="s">
        <v>833</v>
      </c>
    </row>
    <row r="456" customFormat="false" ht="15" hidden="false" customHeight="false" outlineLevel="0" collapsed="false">
      <c r="B456" s="19" t="s">
        <v>1216</v>
      </c>
      <c r="C456" s="20" t="n">
        <f aca="false">ROUND(1.14/FX,2)</f>
        <v>0.16</v>
      </c>
      <c r="D456" s="21" t="s">
        <v>1213</v>
      </c>
      <c r="E456" s="21" t="s">
        <v>839</v>
      </c>
      <c r="F456" s="21" t="s">
        <v>724</v>
      </c>
      <c r="G456" s="21" t="s">
        <v>833</v>
      </c>
    </row>
    <row r="457" customFormat="false" ht="15" hidden="false" customHeight="false" outlineLevel="0" collapsed="false">
      <c r="B457" s="19" t="s">
        <v>1217</v>
      </c>
      <c r="C457" s="20" t="n">
        <f aca="false">ROUND(1.14/FX,2)</f>
        <v>0.16</v>
      </c>
      <c r="D457" s="21" t="s">
        <v>1213</v>
      </c>
      <c r="E457" s="21" t="s">
        <v>841</v>
      </c>
      <c r="F457" s="21" t="s">
        <v>724</v>
      </c>
      <c r="G457" s="21" t="s">
        <v>833</v>
      </c>
    </row>
    <row r="458" customFormat="false" ht="15" hidden="false" customHeight="false" outlineLevel="0" collapsed="false">
      <c r="B458" s="19" t="s">
        <v>1218</v>
      </c>
      <c r="C458" s="20" t="n">
        <f aca="false">ROUND(1.14/FX,2)</f>
        <v>0.16</v>
      </c>
      <c r="D458" s="21" t="s">
        <v>1213</v>
      </c>
      <c r="E458" s="21" t="s">
        <v>789</v>
      </c>
      <c r="F458" s="21" t="s">
        <v>724</v>
      </c>
      <c r="G458" s="21" t="s">
        <v>833</v>
      </c>
    </row>
    <row r="459" customFormat="false" ht="15" hidden="false" customHeight="false" outlineLevel="0" collapsed="false">
      <c r="B459" s="19" t="s">
        <v>1219</v>
      </c>
      <c r="C459" s="20" t="n">
        <f aca="false">ROUND(1.27/FX,2)</f>
        <v>0.18</v>
      </c>
      <c r="D459" s="21" t="s">
        <v>1213</v>
      </c>
      <c r="E459" s="21" t="s">
        <v>716</v>
      </c>
      <c r="F459" s="21" t="s">
        <v>724</v>
      </c>
      <c r="G459" s="21" t="s">
        <v>833</v>
      </c>
    </row>
    <row r="460" customFormat="false" ht="15" hidden="false" customHeight="false" outlineLevel="0" collapsed="false">
      <c r="B460" s="19" t="s">
        <v>1220</v>
      </c>
      <c r="C460" s="20" t="n">
        <f aca="false">ROUND(1.14/FX,2)</f>
        <v>0.16</v>
      </c>
      <c r="D460" s="21" t="s">
        <v>1213</v>
      </c>
      <c r="E460" s="21" t="s">
        <v>845</v>
      </c>
      <c r="F460" s="21" t="s">
        <v>724</v>
      </c>
      <c r="G460" s="21" t="s">
        <v>833</v>
      </c>
    </row>
    <row r="461" customFormat="false" ht="15" hidden="false" customHeight="false" outlineLevel="0" collapsed="false">
      <c r="B461" s="19" t="s">
        <v>1221</v>
      </c>
      <c r="C461" s="20" t="n">
        <f aca="false">ROUND(1.14/FX,2)</f>
        <v>0.16</v>
      </c>
      <c r="D461" s="21" t="s">
        <v>1213</v>
      </c>
      <c r="E461" s="21" t="s">
        <v>847</v>
      </c>
      <c r="F461" s="21" t="s">
        <v>724</v>
      </c>
      <c r="G461" s="21" t="s">
        <v>833</v>
      </c>
    </row>
    <row r="462" customFormat="false" ht="15" hidden="false" customHeight="false" outlineLevel="0" collapsed="false">
      <c r="B462" s="19" t="s">
        <v>1222</v>
      </c>
      <c r="C462" s="20" t="n">
        <f aca="false">ROUND(1.14/FX,2)</f>
        <v>0.16</v>
      </c>
      <c r="D462" s="21" t="s">
        <v>1213</v>
      </c>
      <c r="E462" s="21" t="s">
        <v>719</v>
      </c>
      <c r="F462" s="21" t="s">
        <v>724</v>
      </c>
      <c r="G462" s="21" t="s">
        <v>833</v>
      </c>
    </row>
    <row r="463" customFormat="false" ht="15" hidden="false" customHeight="false" outlineLevel="0" collapsed="false">
      <c r="B463" s="19" t="s">
        <v>1223</v>
      </c>
      <c r="C463" s="20" t="n">
        <f aca="false">ROUND(1.82/FX,2)</f>
        <v>0.25</v>
      </c>
      <c r="D463" s="21" t="s">
        <v>1224</v>
      </c>
      <c r="E463" s="21" t="s">
        <v>707</v>
      </c>
      <c r="F463" s="21" t="s">
        <v>724</v>
      </c>
      <c r="G463" s="21" t="s">
        <v>833</v>
      </c>
    </row>
    <row r="464" customFormat="false" ht="15" hidden="false" customHeight="false" outlineLevel="0" collapsed="false">
      <c r="B464" s="19" t="s">
        <v>1225</v>
      </c>
      <c r="C464" s="20" t="n">
        <f aca="false">ROUND(1.14/FX,2)</f>
        <v>0.16</v>
      </c>
      <c r="D464" s="21" t="s">
        <v>1224</v>
      </c>
      <c r="E464" s="21" t="s">
        <v>714</v>
      </c>
      <c r="F464" s="21" t="s">
        <v>724</v>
      </c>
      <c r="G464" s="21" t="s">
        <v>833</v>
      </c>
    </row>
    <row r="465" customFormat="false" ht="15" hidden="false" customHeight="false" outlineLevel="0" collapsed="false">
      <c r="B465" s="19" t="s">
        <v>1226</v>
      </c>
      <c r="C465" s="20" t="n">
        <f aca="false">ROUND(0.65/FX,2)</f>
        <v>0.09</v>
      </c>
      <c r="D465" s="21" t="s">
        <v>1224</v>
      </c>
      <c r="E465" s="21" t="s">
        <v>837</v>
      </c>
      <c r="F465" s="21" t="s">
        <v>724</v>
      </c>
      <c r="G465" s="21" t="s">
        <v>833</v>
      </c>
    </row>
    <row r="466" customFormat="false" ht="15" hidden="false" customHeight="false" outlineLevel="0" collapsed="false">
      <c r="B466" s="19" t="s">
        <v>1227</v>
      </c>
      <c r="C466" s="20" t="n">
        <f aca="false">ROUND(1.14/FX,2)</f>
        <v>0.16</v>
      </c>
      <c r="D466" s="21" t="s">
        <v>1224</v>
      </c>
      <c r="E466" s="21" t="s">
        <v>839</v>
      </c>
      <c r="F466" s="21" t="s">
        <v>724</v>
      </c>
      <c r="G466" s="21" t="s">
        <v>833</v>
      </c>
    </row>
    <row r="467" customFormat="false" ht="15" hidden="false" customHeight="false" outlineLevel="0" collapsed="false">
      <c r="B467" s="19" t="s">
        <v>1228</v>
      </c>
      <c r="C467" s="20" t="n">
        <f aca="false">ROUND(1.14/FX,2)</f>
        <v>0.16</v>
      </c>
      <c r="D467" s="21" t="s">
        <v>1224</v>
      </c>
      <c r="E467" s="21" t="s">
        <v>841</v>
      </c>
      <c r="F467" s="21" t="s">
        <v>724</v>
      </c>
      <c r="G467" s="21" t="s">
        <v>833</v>
      </c>
    </row>
    <row r="468" customFormat="false" ht="15" hidden="false" customHeight="false" outlineLevel="0" collapsed="false">
      <c r="B468" s="19" t="s">
        <v>1229</v>
      </c>
      <c r="C468" s="20" t="n">
        <f aca="false">ROUND(1.14/FX,2)</f>
        <v>0.16</v>
      </c>
      <c r="D468" s="21" t="s">
        <v>1224</v>
      </c>
      <c r="E468" s="21" t="s">
        <v>789</v>
      </c>
      <c r="F468" s="21" t="s">
        <v>724</v>
      </c>
      <c r="G468" s="21" t="s">
        <v>833</v>
      </c>
    </row>
    <row r="469" customFormat="false" ht="15" hidden="false" customHeight="false" outlineLevel="0" collapsed="false">
      <c r="B469" s="19" t="s">
        <v>1230</v>
      </c>
      <c r="C469" s="20" t="n">
        <f aca="false">ROUND(1.11/FX,2)</f>
        <v>0.15</v>
      </c>
      <c r="D469" s="21" t="s">
        <v>1224</v>
      </c>
      <c r="E469" s="21" t="s">
        <v>716</v>
      </c>
      <c r="F469" s="21" t="s">
        <v>724</v>
      </c>
      <c r="G469" s="21" t="s">
        <v>833</v>
      </c>
    </row>
    <row r="470" customFormat="false" ht="15" hidden="false" customHeight="false" outlineLevel="0" collapsed="false">
      <c r="B470" s="19" t="s">
        <v>1231</v>
      </c>
      <c r="C470" s="20" t="n">
        <f aca="false">ROUND(1.14/FX,2)</f>
        <v>0.16</v>
      </c>
      <c r="D470" s="21" t="s">
        <v>1224</v>
      </c>
      <c r="E470" s="21" t="s">
        <v>845</v>
      </c>
      <c r="F470" s="21" t="s">
        <v>724</v>
      </c>
      <c r="G470" s="21" t="s">
        <v>833</v>
      </c>
    </row>
    <row r="471" customFormat="false" ht="15" hidden="false" customHeight="false" outlineLevel="0" collapsed="false">
      <c r="B471" s="19" t="s">
        <v>1232</v>
      </c>
      <c r="C471" s="20" t="n">
        <f aca="false">ROUND(1.14/FX,2)</f>
        <v>0.16</v>
      </c>
      <c r="D471" s="21" t="s">
        <v>1224</v>
      </c>
      <c r="E471" s="21" t="s">
        <v>847</v>
      </c>
      <c r="F471" s="21" t="s">
        <v>724</v>
      </c>
      <c r="G471" s="21" t="s">
        <v>833</v>
      </c>
    </row>
    <row r="472" customFormat="false" ht="15" hidden="false" customHeight="false" outlineLevel="0" collapsed="false">
      <c r="B472" s="19" t="s">
        <v>1233</v>
      </c>
      <c r="C472" s="20" t="n">
        <f aca="false">ROUND(1.14/FX,2)</f>
        <v>0.16</v>
      </c>
      <c r="D472" s="21" t="s">
        <v>1224</v>
      </c>
      <c r="E472" s="21" t="s">
        <v>719</v>
      </c>
      <c r="F472" s="21" t="s">
        <v>724</v>
      </c>
      <c r="G472" s="21" t="s">
        <v>833</v>
      </c>
    </row>
    <row r="473" customFormat="false" ht="15" hidden="false" customHeight="false" outlineLevel="0" collapsed="false">
      <c r="B473" s="19" t="s">
        <v>1234</v>
      </c>
      <c r="C473" s="20" t="n">
        <f aca="false">ROUND(1.83/FX,2)</f>
        <v>0.25</v>
      </c>
      <c r="D473" s="21" t="s">
        <v>1235</v>
      </c>
      <c r="E473" s="21" t="s">
        <v>707</v>
      </c>
      <c r="F473" s="21" t="s">
        <v>724</v>
      </c>
      <c r="G473" s="21" t="s">
        <v>833</v>
      </c>
    </row>
    <row r="474" customFormat="false" ht="15" hidden="false" customHeight="false" outlineLevel="0" collapsed="false">
      <c r="B474" s="19" t="s">
        <v>1236</v>
      </c>
      <c r="C474" s="20" t="n">
        <f aca="false">ROUND(1.14/FX,2)</f>
        <v>0.16</v>
      </c>
      <c r="D474" s="21" t="s">
        <v>1235</v>
      </c>
      <c r="E474" s="21" t="s">
        <v>714</v>
      </c>
      <c r="F474" s="21" t="s">
        <v>724</v>
      </c>
      <c r="G474" s="21" t="s">
        <v>833</v>
      </c>
    </row>
    <row r="475" customFormat="false" ht="15" hidden="false" customHeight="false" outlineLevel="0" collapsed="false">
      <c r="B475" s="19" t="s">
        <v>1237</v>
      </c>
      <c r="C475" s="20" t="n">
        <f aca="false">ROUND(0.65/FX,2)</f>
        <v>0.09</v>
      </c>
      <c r="D475" s="21" t="s">
        <v>1235</v>
      </c>
      <c r="E475" s="21" t="s">
        <v>837</v>
      </c>
      <c r="F475" s="21" t="s">
        <v>724</v>
      </c>
      <c r="G475" s="21" t="s">
        <v>833</v>
      </c>
    </row>
    <row r="476" customFormat="false" ht="15" hidden="false" customHeight="false" outlineLevel="0" collapsed="false">
      <c r="B476" s="19" t="s">
        <v>1238</v>
      </c>
      <c r="C476" s="20" t="n">
        <f aca="false">ROUND(1.14/FX,2)</f>
        <v>0.16</v>
      </c>
      <c r="D476" s="21" t="s">
        <v>1235</v>
      </c>
      <c r="E476" s="21" t="s">
        <v>839</v>
      </c>
      <c r="F476" s="21" t="s">
        <v>724</v>
      </c>
      <c r="G476" s="21" t="s">
        <v>833</v>
      </c>
    </row>
    <row r="477" customFormat="false" ht="15" hidden="false" customHeight="false" outlineLevel="0" collapsed="false">
      <c r="B477" s="19" t="s">
        <v>1239</v>
      </c>
      <c r="C477" s="20" t="n">
        <f aca="false">ROUND(1.14/FX,2)</f>
        <v>0.16</v>
      </c>
      <c r="D477" s="21" t="s">
        <v>1235</v>
      </c>
      <c r="E477" s="21" t="s">
        <v>841</v>
      </c>
      <c r="F477" s="21" t="s">
        <v>724</v>
      </c>
      <c r="G477" s="21" t="s">
        <v>833</v>
      </c>
    </row>
    <row r="478" customFormat="false" ht="15" hidden="false" customHeight="false" outlineLevel="0" collapsed="false">
      <c r="B478" s="19" t="s">
        <v>1240</v>
      </c>
      <c r="C478" s="20" t="n">
        <f aca="false">ROUND(1.14/FX,2)</f>
        <v>0.16</v>
      </c>
      <c r="D478" s="21" t="s">
        <v>1235</v>
      </c>
      <c r="E478" s="21" t="s">
        <v>789</v>
      </c>
      <c r="F478" s="21" t="s">
        <v>724</v>
      </c>
      <c r="G478" s="21" t="s">
        <v>833</v>
      </c>
    </row>
    <row r="479" customFormat="false" ht="15" hidden="false" customHeight="false" outlineLevel="0" collapsed="false">
      <c r="B479" s="19" t="s">
        <v>1241</v>
      </c>
      <c r="C479" s="20" t="n">
        <f aca="false">ROUND(1.12/FX,2)</f>
        <v>0.16</v>
      </c>
      <c r="D479" s="21" t="s">
        <v>1235</v>
      </c>
      <c r="E479" s="21" t="s">
        <v>716</v>
      </c>
      <c r="F479" s="21" t="s">
        <v>724</v>
      </c>
      <c r="G479" s="21" t="s">
        <v>833</v>
      </c>
    </row>
    <row r="480" customFormat="false" ht="15" hidden="false" customHeight="false" outlineLevel="0" collapsed="false">
      <c r="B480" s="19" t="s">
        <v>1242</v>
      </c>
      <c r="C480" s="20" t="n">
        <f aca="false">ROUND(1.14/FX,2)</f>
        <v>0.16</v>
      </c>
      <c r="D480" s="21" t="s">
        <v>1235</v>
      </c>
      <c r="E480" s="21" t="s">
        <v>845</v>
      </c>
      <c r="F480" s="21" t="s">
        <v>724</v>
      </c>
      <c r="G480" s="21" t="s">
        <v>833</v>
      </c>
    </row>
    <row r="481" customFormat="false" ht="15" hidden="false" customHeight="false" outlineLevel="0" collapsed="false">
      <c r="B481" s="19" t="s">
        <v>1243</v>
      </c>
      <c r="C481" s="20" t="n">
        <f aca="false">ROUND(1.14/FX,2)</f>
        <v>0.16</v>
      </c>
      <c r="D481" s="21" t="s">
        <v>1235</v>
      </c>
      <c r="E481" s="21" t="s">
        <v>847</v>
      </c>
      <c r="F481" s="21" t="s">
        <v>724</v>
      </c>
      <c r="G481" s="21" t="s">
        <v>833</v>
      </c>
    </row>
    <row r="482" customFormat="false" ht="15" hidden="false" customHeight="false" outlineLevel="0" collapsed="false">
      <c r="B482" s="19" t="s">
        <v>1244</v>
      </c>
      <c r="C482" s="20" t="n">
        <f aca="false">ROUND(1.14/FX,2)</f>
        <v>0.16</v>
      </c>
      <c r="D482" s="21" t="s">
        <v>1235</v>
      </c>
      <c r="E482" s="21" t="s">
        <v>719</v>
      </c>
      <c r="F482" s="21" t="s">
        <v>724</v>
      </c>
      <c r="G482" s="21" t="s">
        <v>833</v>
      </c>
    </row>
    <row r="483" customFormat="false" ht="15" hidden="false" customHeight="false" outlineLevel="0" collapsed="false">
      <c r="B483" s="19" t="s">
        <v>1245</v>
      </c>
      <c r="C483" s="20" t="n">
        <f aca="false">ROUND(1.83/FX,2)</f>
        <v>0.25</v>
      </c>
      <c r="D483" s="21" t="s">
        <v>1246</v>
      </c>
      <c r="E483" s="21" t="s">
        <v>707</v>
      </c>
      <c r="F483" s="21" t="s">
        <v>724</v>
      </c>
      <c r="G483" s="21" t="s">
        <v>833</v>
      </c>
    </row>
    <row r="484" customFormat="false" ht="15" hidden="false" customHeight="false" outlineLevel="0" collapsed="false">
      <c r="B484" s="19" t="s">
        <v>1247</v>
      </c>
      <c r="C484" s="20" t="n">
        <f aca="false">ROUND(1.14/FX,2)</f>
        <v>0.16</v>
      </c>
      <c r="D484" s="21" t="s">
        <v>1246</v>
      </c>
      <c r="E484" s="21" t="s">
        <v>714</v>
      </c>
      <c r="F484" s="21" t="s">
        <v>724</v>
      </c>
      <c r="G484" s="21" t="s">
        <v>833</v>
      </c>
    </row>
    <row r="485" customFormat="false" ht="15" hidden="false" customHeight="false" outlineLevel="0" collapsed="false">
      <c r="B485" s="19" t="s">
        <v>1248</v>
      </c>
      <c r="C485" s="20" t="n">
        <f aca="false">ROUND(0.65/FX,2)</f>
        <v>0.09</v>
      </c>
      <c r="D485" s="21" t="s">
        <v>1246</v>
      </c>
      <c r="E485" s="21" t="s">
        <v>837</v>
      </c>
      <c r="F485" s="21" t="s">
        <v>724</v>
      </c>
      <c r="G485" s="21" t="s">
        <v>833</v>
      </c>
    </row>
    <row r="486" customFormat="false" ht="15" hidden="false" customHeight="false" outlineLevel="0" collapsed="false">
      <c r="B486" s="19" t="s">
        <v>1249</v>
      </c>
      <c r="C486" s="20" t="n">
        <f aca="false">ROUND(0.65/FX,2)</f>
        <v>0.09</v>
      </c>
      <c r="D486" s="21" t="s">
        <v>1246</v>
      </c>
      <c r="E486" s="21" t="s">
        <v>839</v>
      </c>
      <c r="F486" s="21" t="s">
        <v>724</v>
      </c>
      <c r="G486" s="21" t="s">
        <v>833</v>
      </c>
    </row>
    <row r="487" customFormat="false" ht="15" hidden="false" customHeight="false" outlineLevel="0" collapsed="false">
      <c r="B487" s="19" t="s">
        <v>1250</v>
      </c>
      <c r="C487" s="20" t="n">
        <f aca="false">ROUND(1.14/FX,2)</f>
        <v>0.16</v>
      </c>
      <c r="D487" s="21" t="s">
        <v>1246</v>
      </c>
      <c r="E487" s="21" t="s">
        <v>841</v>
      </c>
      <c r="F487" s="21" t="s">
        <v>724</v>
      </c>
      <c r="G487" s="21" t="s">
        <v>833</v>
      </c>
    </row>
    <row r="488" customFormat="false" ht="15" hidden="false" customHeight="false" outlineLevel="0" collapsed="false">
      <c r="B488" s="19" t="s">
        <v>1251</v>
      </c>
      <c r="C488" s="20" t="n">
        <f aca="false">ROUND(1.14/FX,2)</f>
        <v>0.16</v>
      </c>
      <c r="D488" s="21" t="s">
        <v>1246</v>
      </c>
      <c r="E488" s="21" t="s">
        <v>789</v>
      </c>
      <c r="F488" s="21" t="s">
        <v>724</v>
      </c>
      <c r="G488" s="21" t="s">
        <v>833</v>
      </c>
    </row>
    <row r="489" customFormat="false" ht="15" hidden="false" customHeight="false" outlineLevel="0" collapsed="false">
      <c r="B489" s="19" t="s">
        <v>1252</v>
      </c>
      <c r="C489" s="20" t="n">
        <f aca="false">ROUND(1.11/FX,2)</f>
        <v>0.15</v>
      </c>
      <c r="D489" s="21" t="s">
        <v>1246</v>
      </c>
      <c r="E489" s="21" t="s">
        <v>716</v>
      </c>
      <c r="F489" s="21" t="s">
        <v>724</v>
      </c>
      <c r="G489" s="21" t="s">
        <v>833</v>
      </c>
    </row>
    <row r="490" customFormat="false" ht="15" hidden="false" customHeight="false" outlineLevel="0" collapsed="false">
      <c r="B490" s="19" t="s">
        <v>1253</v>
      </c>
      <c r="C490" s="20" t="n">
        <f aca="false">ROUND(1.14/FX,2)</f>
        <v>0.16</v>
      </c>
      <c r="D490" s="21" t="s">
        <v>1246</v>
      </c>
      <c r="E490" s="21" t="s">
        <v>845</v>
      </c>
      <c r="F490" s="21" t="s">
        <v>724</v>
      </c>
      <c r="G490" s="21" t="s">
        <v>833</v>
      </c>
    </row>
    <row r="491" customFormat="false" ht="15" hidden="false" customHeight="false" outlineLevel="0" collapsed="false">
      <c r="B491" s="19" t="s">
        <v>1254</v>
      </c>
      <c r="C491" s="20" t="n">
        <f aca="false">ROUND(1.14/FX,2)</f>
        <v>0.16</v>
      </c>
      <c r="D491" s="21" t="s">
        <v>1246</v>
      </c>
      <c r="E491" s="21" t="s">
        <v>847</v>
      </c>
      <c r="F491" s="21" t="s">
        <v>724</v>
      </c>
      <c r="G491" s="21" t="s">
        <v>833</v>
      </c>
    </row>
    <row r="492" customFormat="false" ht="15" hidden="false" customHeight="false" outlineLevel="0" collapsed="false">
      <c r="B492" s="19" t="s">
        <v>1255</v>
      </c>
      <c r="C492" s="20" t="n">
        <f aca="false">ROUND(1.14/FX,2)</f>
        <v>0.16</v>
      </c>
      <c r="D492" s="21" t="s">
        <v>1246</v>
      </c>
      <c r="E492" s="21" t="s">
        <v>719</v>
      </c>
      <c r="F492" s="21" t="s">
        <v>724</v>
      </c>
      <c r="G492" s="21" t="s">
        <v>833</v>
      </c>
    </row>
    <row r="493" customFormat="false" ht="15" hidden="false" customHeight="false" outlineLevel="0" collapsed="false">
      <c r="B493" s="19" t="s">
        <v>1256</v>
      </c>
      <c r="C493" s="20" t="n">
        <f aca="false">ROUND(1.83/FX,2)</f>
        <v>0.25</v>
      </c>
      <c r="D493" s="21" t="s">
        <v>1257</v>
      </c>
      <c r="E493" s="21" t="s">
        <v>707</v>
      </c>
      <c r="F493" s="21" t="s">
        <v>724</v>
      </c>
      <c r="G493" s="21" t="s">
        <v>833</v>
      </c>
    </row>
    <row r="494" customFormat="false" ht="15" hidden="false" customHeight="false" outlineLevel="0" collapsed="false">
      <c r="B494" s="19" t="s">
        <v>1258</v>
      </c>
      <c r="C494" s="20" t="n">
        <f aca="false">ROUND(3.25/FX,2)</f>
        <v>0.45</v>
      </c>
      <c r="D494" s="21" t="s">
        <v>1257</v>
      </c>
      <c r="E494" s="21" t="s">
        <v>714</v>
      </c>
      <c r="F494" s="21" t="s">
        <v>724</v>
      </c>
      <c r="G494" s="21" t="s">
        <v>833</v>
      </c>
    </row>
    <row r="495" customFormat="false" ht="15" hidden="false" customHeight="false" outlineLevel="0" collapsed="false">
      <c r="B495" s="19" t="s">
        <v>1259</v>
      </c>
      <c r="C495" s="20" t="n">
        <f aca="false">ROUND(0.65/FX,2)</f>
        <v>0.09</v>
      </c>
      <c r="D495" s="21" t="s">
        <v>1257</v>
      </c>
      <c r="E495" s="21" t="s">
        <v>837</v>
      </c>
      <c r="F495" s="21" t="s">
        <v>724</v>
      </c>
      <c r="G495" s="21" t="s">
        <v>833</v>
      </c>
    </row>
    <row r="496" customFormat="false" ht="15" hidden="false" customHeight="false" outlineLevel="0" collapsed="false">
      <c r="B496" s="19" t="s">
        <v>1260</v>
      </c>
      <c r="C496" s="20" t="n">
        <f aca="false">ROUND(1.14/FX,2)</f>
        <v>0.16</v>
      </c>
      <c r="D496" s="21" t="s">
        <v>1257</v>
      </c>
      <c r="E496" s="21" t="s">
        <v>839</v>
      </c>
      <c r="F496" s="21" t="s">
        <v>724</v>
      </c>
      <c r="G496" s="21" t="s">
        <v>833</v>
      </c>
    </row>
    <row r="497" customFormat="false" ht="15" hidden="false" customHeight="false" outlineLevel="0" collapsed="false">
      <c r="B497" s="19" t="s">
        <v>1261</v>
      </c>
      <c r="C497" s="20" t="n">
        <f aca="false">ROUND(1.14/FX,2)</f>
        <v>0.16</v>
      </c>
      <c r="D497" s="21" t="s">
        <v>1257</v>
      </c>
      <c r="E497" s="21" t="s">
        <v>841</v>
      </c>
      <c r="F497" s="21" t="s">
        <v>724</v>
      </c>
      <c r="G497" s="21" t="s">
        <v>833</v>
      </c>
    </row>
    <row r="498" customFormat="false" ht="15" hidden="false" customHeight="false" outlineLevel="0" collapsed="false">
      <c r="B498" s="19" t="s">
        <v>1262</v>
      </c>
      <c r="C498" s="20" t="n">
        <f aca="false">ROUND(1.14/FX,2)</f>
        <v>0.16</v>
      </c>
      <c r="D498" s="21" t="s">
        <v>1257</v>
      </c>
      <c r="E498" s="21" t="s">
        <v>789</v>
      </c>
      <c r="F498" s="21" t="s">
        <v>724</v>
      </c>
      <c r="G498" s="21" t="s">
        <v>833</v>
      </c>
    </row>
    <row r="499" customFormat="false" ht="15" hidden="false" customHeight="false" outlineLevel="0" collapsed="false">
      <c r="B499" s="19" t="s">
        <v>1263</v>
      </c>
      <c r="C499" s="20" t="n">
        <f aca="false">ROUND(1.3/FX,2)</f>
        <v>0.18</v>
      </c>
      <c r="D499" s="21" t="s">
        <v>1257</v>
      </c>
      <c r="E499" s="21" t="s">
        <v>716</v>
      </c>
      <c r="F499" s="21" t="s">
        <v>724</v>
      </c>
      <c r="G499" s="21" t="s">
        <v>833</v>
      </c>
    </row>
    <row r="500" customFormat="false" ht="15" hidden="false" customHeight="false" outlineLevel="0" collapsed="false">
      <c r="B500" s="19" t="s">
        <v>1264</v>
      </c>
      <c r="C500" s="20" t="n">
        <f aca="false">ROUND(1.14/FX,2)</f>
        <v>0.16</v>
      </c>
      <c r="D500" s="21" t="s">
        <v>1257</v>
      </c>
      <c r="E500" s="21" t="s">
        <v>845</v>
      </c>
      <c r="F500" s="21" t="s">
        <v>724</v>
      </c>
      <c r="G500" s="21" t="s">
        <v>833</v>
      </c>
    </row>
    <row r="501" customFormat="false" ht="15" hidden="false" customHeight="false" outlineLevel="0" collapsed="false">
      <c r="B501" s="19" t="s">
        <v>1265</v>
      </c>
      <c r="C501" s="20" t="n">
        <f aca="false">ROUND(1.14/FX,2)</f>
        <v>0.16</v>
      </c>
      <c r="D501" s="21" t="s">
        <v>1257</v>
      </c>
      <c r="E501" s="21" t="s">
        <v>847</v>
      </c>
      <c r="F501" s="21" t="s">
        <v>724</v>
      </c>
      <c r="G501" s="21" t="s">
        <v>833</v>
      </c>
    </row>
    <row r="502" customFormat="false" ht="15" hidden="false" customHeight="false" outlineLevel="0" collapsed="false">
      <c r="B502" s="19" t="s">
        <v>1266</v>
      </c>
      <c r="C502" s="20" t="n">
        <f aca="false">ROUND(1.14/FX,2)</f>
        <v>0.16</v>
      </c>
      <c r="D502" s="21" t="s">
        <v>1257</v>
      </c>
      <c r="E502" s="21" t="s">
        <v>719</v>
      </c>
      <c r="F502" s="21" t="s">
        <v>724</v>
      </c>
      <c r="G502" s="21" t="s">
        <v>833</v>
      </c>
    </row>
    <row r="503" customFormat="false" ht="15" hidden="false" customHeight="false" outlineLevel="0" collapsed="false">
      <c r="B503" s="19" t="s">
        <v>1267</v>
      </c>
      <c r="C503" s="20" t="n">
        <f aca="false">ROUND(1.85/FX,2)</f>
        <v>0.26</v>
      </c>
      <c r="D503" s="21" t="s">
        <v>1268</v>
      </c>
      <c r="E503" s="21" t="s">
        <v>707</v>
      </c>
      <c r="F503" s="21" t="s">
        <v>724</v>
      </c>
      <c r="G503" s="21" t="s">
        <v>833</v>
      </c>
    </row>
    <row r="504" customFormat="false" ht="15" hidden="false" customHeight="false" outlineLevel="0" collapsed="false">
      <c r="B504" s="19" t="s">
        <v>1269</v>
      </c>
      <c r="C504" s="20" t="n">
        <f aca="false">ROUND(3.25/FX,2)</f>
        <v>0.45</v>
      </c>
      <c r="D504" s="21" t="s">
        <v>1268</v>
      </c>
      <c r="E504" s="21" t="s">
        <v>714</v>
      </c>
      <c r="F504" s="21" t="s">
        <v>724</v>
      </c>
      <c r="G504" s="21" t="s">
        <v>833</v>
      </c>
    </row>
    <row r="505" customFormat="false" ht="15" hidden="false" customHeight="false" outlineLevel="0" collapsed="false">
      <c r="B505" s="19" t="s">
        <v>1270</v>
      </c>
      <c r="C505" s="20" t="n">
        <f aca="false">ROUND(0.65/FX,2)</f>
        <v>0.09</v>
      </c>
      <c r="D505" s="21" t="s">
        <v>1268</v>
      </c>
      <c r="E505" s="21" t="s">
        <v>837</v>
      </c>
      <c r="F505" s="21" t="s">
        <v>724</v>
      </c>
      <c r="G505" s="21" t="s">
        <v>833</v>
      </c>
    </row>
    <row r="506" customFormat="false" ht="15" hidden="false" customHeight="false" outlineLevel="0" collapsed="false">
      <c r="B506" s="19" t="s">
        <v>1271</v>
      </c>
      <c r="C506" s="20" t="n">
        <f aca="false">ROUND(0.65/FX,2)</f>
        <v>0.09</v>
      </c>
      <c r="D506" s="21" t="s">
        <v>1268</v>
      </c>
      <c r="E506" s="21" t="s">
        <v>839</v>
      </c>
      <c r="F506" s="21" t="s">
        <v>724</v>
      </c>
      <c r="G506" s="21" t="s">
        <v>833</v>
      </c>
    </row>
    <row r="507" customFormat="false" ht="15" hidden="false" customHeight="false" outlineLevel="0" collapsed="false">
      <c r="B507" s="19" t="s">
        <v>1272</v>
      </c>
      <c r="C507" s="20" t="n">
        <f aca="false">ROUND(0.65/FX,2)</f>
        <v>0.09</v>
      </c>
      <c r="D507" s="21" t="s">
        <v>1268</v>
      </c>
      <c r="E507" s="21" t="s">
        <v>841</v>
      </c>
      <c r="F507" s="21" t="s">
        <v>724</v>
      </c>
      <c r="G507" s="21" t="s">
        <v>833</v>
      </c>
    </row>
    <row r="508" customFormat="false" ht="15" hidden="false" customHeight="false" outlineLevel="0" collapsed="false">
      <c r="B508" s="19" t="s">
        <v>1273</v>
      </c>
      <c r="C508" s="20" t="n">
        <f aca="false">ROUND(1.14/FX,2)</f>
        <v>0.16</v>
      </c>
      <c r="D508" s="21" t="s">
        <v>1268</v>
      </c>
      <c r="E508" s="21" t="s">
        <v>789</v>
      </c>
      <c r="F508" s="21" t="s">
        <v>724</v>
      </c>
      <c r="G508" s="21" t="s">
        <v>833</v>
      </c>
    </row>
    <row r="509" customFormat="false" ht="15" hidden="false" customHeight="false" outlineLevel="0" collapsed="false">
      <c r="B509" s="19" t="s">
        <v>1274</v>
      </c>
      <c r="C509" s="20" t="n">
        <f aca="false">ROUND(1.11/FX,2)</f>
        <v>0.15</v>
      </c>
      <c r="D509" s="21" t="s">
        <v>1268</v>
      </c>
      <c r="E509" s="21" t="s">
        <v>716</v>
      </c>
      <c r="F509" s="21" t="s">
        <v>724</v>
      </c>
      <c r="G509" s="21" t="s">
        <v>833</v>
      </c>
    </row>
    <row r="510" customFormat="false" ht="15" hidden="false" customHeight="false" outlineLevel="0" collapsed="false">
      <c r="B510" s="19" t="s">
        <v>1275</v>
      </c>
      <c r="C510" s="20" t="n">
        <f aca="false">ROUND(1.14/FX,2)</f>
        <v>0.16</v>
      </c>
      <c r="D510" s="21" t="s">
        <v>1268</v>
      </c>
      <c r="E510" s="21" t="s">
        <v>845</v>
      </c>
      <c r="F510" s="21" t="s">
        <v>724</v>
      </c>
      <c r="G510" s="21" t="s">
        <v>833</v>
      </c>
    </row>
    <row r="511" customFormat="false" ht="15" hidden="false" customHeight="false" outlineLevel="0" collapsed="false">
      <c r="B511" s="19" t="s">
        <v>1276</v>
      </c>
      <c r="C511" s="20" t="n">
        <f aca="false">ROUND(1.14/FX,2)</f>
        <v>0.16</v>
      </c>
      <c r="D511" s="21" t="s">
        <v>1268</v>
      </c>
      <c r="E511" s="21" t="s">
        <v>847</v>
      </c>
      <c r="F511" s="21" t="s">
        <v>724</v>
      </c>
      <c r="G511" s="21" t="s">
        <v>833</v>
      </c>
    </row>
    <row r="512" customFormat="false" ht="15" hidden="false" customHeight="false" outlineLevel="0" collapsed="false">
      <c r="B512" s="19" t="s">
        <v>1277</v>
      </c>
      <c r="C512" s="20" t="n">
        <f aca="false">ROUND(1.66/FX,2)</f>
        <v>0.23</v>
      </c>
      <c r="D512" s="21" t="s">
        <v>1268</v>
      </c>
      <c r="E512" s="21" t="s">
        <v>719</v>
      </c>
      <c r="F512" s="21" t="s">
        <v>724</v>
      </c>
      <c r="G512" s="21" t="s">
        <v>833</v>
      </c>
    </row>
    <row r="513" customFormat="false" ht="15" hidden="false" customHeight="false" outlineLevel="0" collapsed="false">
      <c r="B513" s="19" t="s">
        <v>1278</v>
      </c>
      <c r="C513" s="20" t="n">
        <f aca="false">ROUND(1.14/FX,2)</f>
        <v>0.16</v>
      </c>
      <c r="D513" s="21" t="s">
        <v>1279</v>
      </c>
      <c r="E513" s="21" t="s">
        <v>707</v>
      </c>
      <c r="F513" s="21" t="s">
        <v>724</v>
      </c>
      <c r="G513" s="21" t="s">
        <v>833</v>
      </c>
    </row>
    <row r="514" customFormat="false" ht="15" hidden="false" customHeight="false" outlineLevel="0" collapsed="false">
      <c r="B514" s="19" t="s">
        <v>1280</v>
      </c>
      <c r="C514" s="20" t="n">
        <f aca="false">ROUND(1.14/FX,2)</f>
        <v>0.16</v>
      </c>
      <c r="D514" s="21" t="s">
        <v>1279</v>
      </c>
      <c r="E514" s="21" t="s">
        <v>714</v>
      </c>
      <c r="F514" s="21" t="s">
        <v>724</v>
      </c>
      <c r="G514" s="21" t="s">
        <v>833</v>
      </c>
    </row>
    <row r="515" customFormat="false" ht="15" hidden="false" customHeight="false" outlineLevel="0" collapsed="false">
      <c r="B515" s="19" t="s">
        <v>1281</v>
      </c>
      <c r="C515" s="20" t="n">
        <f aca="false">ROUND(0.65/FX,2)</f>
        <v>0.09</v>
      </c>
      <c r="D515" s="21" t="s">
        <v>1279</v>
      </c>
      <c r="E515" s="21" t="s">
        <v>837</v>
      </c>
      <c r="F515" s="21" t="s">
        <v>724</v>
      </c>
      <c r="G515" s="21" t="s">
        <v>833</v>
      </c>
    </row>
    <row r="516" customFormat="false" ht="15" hidden="false" customHeight="false" outlineLevel="0" collapsed="false">
      <c r="B516" s="19" t="s">
        <v>1282</v>
      </c>
      <c r="C516" s="20" t="n">
        <f aca="false">ROUND(1.14/FX,2)</f>
        <v>0.16</v>
      </c>
      <c r="D516" s="21" t="s">
        <v>1279</v>
      </c>
      <c r="E516" s="21" t="s">
        <v>839</v>
      </c>
      <c r="F516" s="21" t="s">
        <v>724</v>
      </c>
      <c r="G516" s="21" t="s">
        <v>833</v>
      </c>
    </row>
    <row r="517" customFormat="false" ht="15" hidden="false" customHeight="false" outlineLevel="0" collapsed="false">
      <c r="B517" s="19" t="s">
        <v>1283</v>
      </c>
      <c r="C517" s="20" t="n">
        <f aca="false">ROUND(1.14/FX,2)</f>
        <v>0.16</v>
      </c>
      <c r="D517" s="21" t="s">
        <v>1279</v>
      </c>
      <c r="E517" s="21" t="s">
        <v>841</v>
      </c>
      <c r="F517" s="21" t="s">
        <v>724</v>
      </c>
      <c r="G517" s="21" t="s">
        <v>833</v>
      </c>
    </row>
    <row r="518" customFormat="false" ht="15" hidden="false" customHeight="false" outlineLevel="0" collapsed="false">
      <c r="B518" s="19" t="s">
        <v>1284</v>
      </c>
      <c r="C518" s="20" t="n">
        <f aca="false">ROUND(1.14/FX,2)</f>
        <v>0.16</v>
      </c>
      <c r="D518" s="21" t="s">
        <v>1279</v>
      </c>
      <c r="E518" s="21" t="s">
        <v>789</v>
      </c>
      <c r="F518" s="21" t="s">
        <v>724</v>
      </c>
      <c r="G518" s="21" t="s">
        <v>833</v>
      </c>
    </row>
    <row r="519" customFormat="false" ht="15" hidden="false" customHeight="false" outlineLevel="0" collapsed="false">
      <c r="B519" s="19" t="s">
        <v>1285</v>
      </c>
      <c r="C519" s="20" t="n">
        <f aca="false">ROUND(1.3/FX,2)</f>
        <v>0.18</v>
      </c>
      <c r="D519" s="21" t="s">
        <v>1279</v>
      </c>
      <c r="E519" s="21" t="s">
        <v>716</v>
      </c>
      <c r="F519" s="21" t="s">
        <v>724</v>
      </c>
      <c r="G519" s="21" t="s">
        <v>833</v>
      </c>
    </row>
    <row r="520" customFormat="false" ht="15" hidden="false" customHeight="false" outlineLevel="0" collapsed="false">
      <c r="B520" s="19" t="s">
        <v>1286</v>
      </c>
      <c r="C520" s="20" t="n">
        <f aca="false">ROUND(1.14/FX,2)</f>
        <v>0.16</v>
      </c>
      <c r="D520" s="21" t="s">
        <v>1279</v>
      </c>
      <c r="E520" s="21" t="s">
        <v>845</v>
      </c>
      <c r="F520" s="21" t="s">
        <v>724</v>
      </c>
      <c r="G520" s="21" t="s">
        <v>833</v>
      </c>
    </row>
    <row r="521" customFormat="false" ht="15" hidden="false" customHeight="false" outlineLevel="0" collapsed="false">
      <c r="B521" s="19" t="s">
        <v>1287</v>
      </c>
      <c r="C521" s="20" t="n">
        <f aca="false">ROUND(1.14/FX,2)</f>
        <v>0.16</v>
      </c>
      <c r="D521" s="21" t="s">
        <v>1279</v>
      </c>
      <c r="E521" s="21" t="s">
        <v>847</v>
      </c>
      <c r="F521" s="21" t="s">
        <v>724</v>
      </c>
      <c r="G521" s="21" t="s">
        <v>833</v>
      </c>
    </row>
    <row r="522" customFormat="false" ht="15" hidden="false" customHeight="false" outlineLevel="0" collapsed="false">
      <c r="B522" s="19" t="s">
        <v>1288</v>
      </c>
      <c r="C522" s="20" t="n">
        <f aca="false">ROUND(1.14/FX,2)</f>
        <v>0.16</v>
      </c>
      <c r="D522" s="21" t="s">
        <v>1279</v>
      </c>
      <c r="E522" s="21" t="s">
        <v>719</v>
      </c>
      <c r="F522" s="21" t="s">
        <v>724</v>
      </c>
      <c r="G522" s="21" t="s">
        <v>833</v>
      </c>
    </row>
    <row r="523" customFormat="false" ht="15" hidden="false" customHeight="false" outlineLevel="0" collapsed="false">
      <c r="B523" s="19" t="s">
        <v>1289</v>
      </c>
      <c r="C523" s="20" t="n">
        <f aca="false">ROUND(2.15/FX,2)</f>
        <v>0.3</v>
      </c>
      <c r="D523" s="21" t="s">
        <v>1290</v>
      </c>
      <c r="E523" s="21" t="s">
        <v>707</v>
      </c>
      <c r="F523" s="21" t="s">
        <v>724</v>
      </c>
      <c r="G523" s="21" t="s">
        <v>833</v>
      </c>
    </row>
    <row r="524" customFormat="false" ht="15" hidden="false" customHeight="false" outlineLevel="0" collapsed="false">
      <c r="B524" s="19" t="s">
        <v>1291</v>
      </c>
      <c r="C524" s="20" t="n">
        <f aca="false">ROUND(2.77/FX,2)</f>
        <v>0.38</v>
      </c>
      <c r="D524" s="21" t="s">
        <v>1290</v>
      </c>
      <c r="E524" s="21" t="s">
        <v>714</v>
      </c>
      <c r="F524" s="21" t="s">
        <v>724</v>
      </c>
      <c r="G524" s="21" t="s">
        <v>833</v>
      </c>
    </row>
    <row r="525" customFormat="false" ht="15" hidden="false" customHeight="false" outlineLevel="0" collapsed="false">
      <c r="B525" s="19" t="s">
        <v>1292</v>
      </c>
      <c r="C525" s="20" t="n">
        <f aca="false">ROUND(0.65/FX,2)</f>
        <v>0.09</v>
      </c>
      <c r="D525" s="21" t="s">
        <v>1290</v>
      </c>
      <c r="E525" s="21" t="s">
        <v>837</v>
      </c>
      <c r="F525" s="21" t="s">
        <v>724</v>
      </c>
      <c r="G525" s="21" t="s">
        <v>833</v>
      </c>
    </row>
    <row r="526" customFormat="false" ht="15" hidden="false" customHeight="false" outlineLevel="0" collapsed="false">
      <c r="B526" s="19" t="s">
        <v>1293</v>
      </c>
      <c r="C526" s="20" t="n">
        <f aca="false">ROUND(1.14/FX,2)</f>
        <v>0.16</v>
      </c>
      <c r="D526" s="21" t="s">
        <v>1290</v>
      </c>
      <c r="E526" s="21" t="s">
        <v>839</v>
      </c>
      <c r="F526" s="21" t="s">
        <v>724</v>
      </c>
      <c r="G526" s="21" t="s">
        <v>833</v>
      </c>
    </row>
    <row r="527" customFormat="false" ht="15" hidden="false" customHeight="false" outlineLevel="0" collapsed="false">
      <c r="B527" s="19" t="s">
        <v>1294</v>
      </c>
      <c r="C527" s="20" t="n">
        <f aca="false">ROUND(1.14/FX,2)</f>
        <v>0.16</v>
      </c>
      <c r="D527" s="21" t="s">
        <v>1290</v>
      </c>
      <c r="E527" s="21" t="s">
        <v>841</v>
      </c>
      <c r="F527" s="21" t="s">
        <v>724</v>
      </c>
      <c r="G527" s="21" t="s">
        <v>833</v>
      </c>
    </row>
    <row r="528" customFormat="false" ht="15" hidden="false" customHeight="false" outlineLevel="0" collapsed="false">
      <c r="B528" s="19" t="s">
        <v>1295</v>
      </c>
      <c r="C528" s="20" t="n">
        <f aca="false">ROUND(1.14/FX,2)</f>
        <v>0.16</v>
      </c>
      <c r="D528" s="21" t="s">
        <v>1290</v>
      </c>
      <c r="E528" s="21" t="s">
        <v>789</v>
      </c>
      <c r="F528" s="21" t="s">
        <v>724</v>
      </c>
      <c r="G528" s="21" t="s">
        <v>833</v>
      </c>
    </row>
    <row r="529" customFormat="false" ht="15" hidden="false" customHeight="false" outlineLevel="0" collapsed="false">
      <c r="B529" s="19" t="s">
        <v>1296</v>
      </c>
      <c r="C529" s="20" t="n">
        <f aca="false">ROUND(1.56/FX,2)</f>
        <v>0.22</v>
      </c>
      <c r="D529" s="21" t="s">
        <v>1290</v>
      </c>
      <c r="E529" s="21" t="s">
        <v>716</v>
      </c>
      <c r="F529" s="21" t="s">
        <v>724</v>
      </c>
      <c r="G529" s="21" t="s">
        <v>833</v>
      </c>
    </row>
    <row r="530" customFormat="false" ht="15" hidden="false" customHeight="false" outlineLevel="0" collapsed="false">
      <c r="B530" s="19" t="s">
        <v>1297</v>
      </c>
      <c r="C530" s="20" t="n">
        <f aca="false">ROUND(1.14/FX,2)</f>
        <v>0.16</v>
      </c>
      <c r="D530" s="21" t="s">
        <v>1290</v>
      </c>
      <c r="E530" s="21" t="s">
        <v>845</v>
      </c>
      <c r="F530" s="21" t="s">
        <v>724</v>
      </c>
      <c r="G530" s="21" t="s">
        <v>833</v>
      </c>
    </row>
    <row r="531" customFormat="false" ht="15" hidden="false" customHeight="false" outlineLevel="0" collapsed="false">
      <c r="B531" s="19" t="s">
        <v>1298</v>
      </c>
      <c r="C531" s="20" t="n">
        <f aca="false">ROUND(1.14/FX,2)</f>
        <v>0.16</v>
      </c>
      <c r="D531" s="21" t="s">
        <v>1290</v>
      </c>
      <c r="E531" s="21" t="s">
        <v>847</v>
      </c>
      <c r="F531" s="21" t="s">
        <v>724</v>
      </c>
      <c r="G531" s="21" t="s">
        <v>833</v>
      </c>
    </row>
    <row r="532" customFormat="false" ht="15" hidden="false" customHeight="false" outlineLevel="0" collapsed="false">
      <c r="B532" s="19" t="s">
        <v>1299</v>
      </c>
      <c r="C532" s="20" t="n">
        <f aca="false">ROUND(1.14/FX,2)</f>
        <v>0.16</v>
      </c>
      <c r="D532" s="21" t="s">
        <v>1290</v>
      </c>
      <c r="E532" s="21" t="s">
        <v>719</v>
      </c>
      <c r="F532" s="21" t="s">
        <v>724</v>
      </c>
      <c r="G532" s="21" t="s">
        <v>833</v>
      </c>
    </row>
    <row r="533" customFormat="false" ht="15" hidden="false" customHeight="false" outlineLevel="0" collapsed="false">
      <c r="B533" s="19" t="s">
        <v>1300</v>
      </c>
      <c r="C533" s="20" t="n">
        <f aca="false">ROUND(1.14/FX,2)</f>
        <v>0.16</v>
      </c>
      <c r="D533" s="21" t="s">
        <v>1301</v>
      </c>
      <c r="E533" s="21" t="s">
        <v>707</v>
      </c>
      <c r="F533" s="21" t="s">
        <v>724</v>
      </c>
      <c r="G533" s="21" t="s">
        <v>833</v>
      </c>
    </row>
    <row r="534" customFormat="false" ht="15" hidden="false" customHeight="false" outlineLevel="0" collapsed="false">
      <c r="B534" s="19" t="s">
        <v>1302</v>
      </c>
      <c r="C534" s="20" t="n">
        <f aca="false">ROUND(1.14/FX,2)</f>
        <v>0.16</v>
      </c>
      <c r="D534" s="21" t="s">
        <v>1301</v>
      </c>
      <c r="E534" s="21" t="s">
        <v>714</v>
      </c>
      <c r="F534" s="21" t="s">
        <v>724</v>
      </c>
      <c r="G534" s="21" t="s">
        <v>833</v>
      </c>
    </row>
    <row r="535" customFormat="false" ht="15" hidden="false" customHeight="false" outlineLevel="0" collapsed="false">
      <c r="B535" s="19" t="s">
        <v>1303</v>
      </c>
      <c r="C535" s="20" t="n">
        <f aca="false">ROUND(0.65/FX,2)</f>
        <v>0.09</v>
      </c>
      <c r="D535" s="21" t="s">
        <v>1301</v>
      </c>
      <c r="E535" s="21" t="s">
        <v>837</v>
      </c>
      <c r="F535" s="21" t="s">
        <v>724</v>
      </c>
      <c r="G535" s="21" t="s">
        <v>833</v>
      </c>
    </row>
    <row r="536" customFormat="false" ht="15" hidden="false" customHeight="false" outlineLevel="0" collapsed="false">
      <c r="B536" s="19" t="s">
        <v>1304</v>
      </c>
      <c r="C536" s="20" t="n">
        <f aca="false">ROUND(1.14/FX,2)</f>
        <v>0.16</v>
      </c>
      <c r="D536" s="21" t="s">
        <v>1301</v>
      </c>
      <c r="E536" s="21" t="s">
        <v>839</v>
      </c>
      <c r="F536" s="21" t="s">
        <v>724</v>
      </c>
      <c r="G536" s="21" t="s">
        <v>833</v>
      </c>
    </row>
    <row r="537" customFormat="false" ht="15" hidden="false" customHeight="false" outlineLevel="0" collapsed="false">
      <c r="B537" s="19" t="s">
        <v>1305</v>
      </c>
      <c r="C537" s="20" t="n">
        <f aca="false">ROUND(1.14/FX,2)</f>
        <v>0.16</v>
      </c>
      <c r="D537" s="21" t="s">
        <v>1301</v>
      </c>
      <c r="E537" s="21" t="s">
        <v>841</v>
      </c>
      <c r="F537" s="21" t="s">
        <v>724</v>
      </c>
      <c r="G537" s="21" t="s">
        <v>833</v>
      </c>
    </row>
    <row r="538" customFormat="false" ht="15" hidden="false" customHeight="false" outlineLevel="0" collapsed="false">
      <c r="B538" s="19" t="s">
        <v>1306</v>
      </c>
      <c r="C538" s="20" t="n">
        <f aca="false">ROUND(1.14/FX,2)</f>
        <v>0.16</v>
      </c>
      <c r="D538" s="21" t="s">
        <v>1301</v>
      </c>
      <c r="E538" s="21" t="s">
        <v>789</v>
      </c>
      <c r="F538" s="21" t="s">
        <v>724</v>
      </c>
      <c r="G538" s="21" t="s">
        <v>833</v>
      </c>
    </row>
    <row r="539" customFormat="false" ht="15" hidden="false" customHeight="false" outlineLevel="0" collapsed="false">
      <c r="B539" s="19" t="s">
        <v>1307</v>
      </c>
      <c r="C539" s="20" t="n">
        <f aca="false">ROUND(1.3/FX,2)</f>
        <v>0.18</v>
      </c>
      <c r="D539" s="21" t="s">
        <v>1301</v>
      </c>
      <c r="E539" s="21" t="s">
        <v>716</v>
      </c>
      <c r="F539" s="21" t="s">
        <v>724</v>
      </c>
      <c r="G539" s="21" t="s">
        <v>833</v>
      </c>
    </row>
    <row r="540" customFormat="false" ht="15" hidden="false" customHeight="false" outlineLevel="0" collapsed="false">
      <c r="B540" s="19" t="s">
        <v>1308</v>
      </c>
      <c r="C540" s="20" t="n">
        <f aca="false">ROUND(1.14/FX,2)</f>
        <v>0.16</v>
      </c>
      <c r="D540" s="21" t="s">
        <v>1301</v>
      </c>
      <c r="E540" s="21" t="s">
        <v>845</v>
      </c>
      <c r="F540" s="21" t="s">
        <v>724</v>
      </c>
      <c r="G540" s="21" t="s">
        <v>833</v>
      </c>
    </row>
    <row r="541" customFormat="false" ht="15" hidden="false" customHeight="false" outlineLevel="0" collapsed="false">
      <c r="B541" s="19" t="s">
        <v>1309</v>
      </c>
      <c r="C541" s="20" t="n">
        <f aca="false">ROUND(1.14/FX,2)</f>
        <v>0.16</v>
      </c>
      <c r="D541" s="21" t="s">
        <v>1301</v>
      </c>
      <c r="E541" s="21" t="s">
        <v>847</v>
      </c>
      <c r="F541" s="21" t="s">
        <v>724</v>
      </c>
      <c r="G541" s="21" t="s">
        <v>833</v>
      </c>
    </row>
    <row r="542" customFormat="false" ht="15" hidden="false" customHeight="false" outlineLevel="0" collapsed="false">
      <c r="B542" s="19" t="s">
        <v>1310</v>
      </c>
      <c r="C542" s="20" t="n">
        <f aca="false">ROUND(1.14/FX,2)</f>
        <v>0.16</v>
      </c>
      <c r="D542" s="21" t="s">
        <v>1301</v>
      </c>
      <c r="E542" s="21" t="s">
        <v>719</v>
      </c>
      <c r="F542" s="21" t="s">
        <v>724</v>
      </c>
      <c r="G542" s="21" t="s">
        <v>833</v>
      </c>
    </row>
    <row r="543" customFormat="false" ht="15" hidden="false" customHeight="false" outlineLevel="0" collapsed="false">
      <c r="B543" s="19" t="s">
        <v>1311</v>
      </c>
      <c r="C543" s="20" t="n">
        <f aca="false">ROUND(2.12/FX,2)</f>
        <v>0.29</v>
      </c>
      <c r="D543" s="21" t="s">
        <v>1312</v>
      </c>
      <c r="E543" s="21" t="s">
        <v>707</v>
      </c>
      <c r="F543" s="21" t="s">
        <v>724</v>
      </c>
      <c r="G543" s="21" t="s">
        <v>833</v>
      </c>
    </row>
    <row r="544" customFormat="false" ht="15" hidden="false" customHeight="false" outlineLevel="0" collapsed="false">
      <c r="B544" s="19" t="s">
        <v>1313</v>
      </c>
      <c r="C544" s="20" t="n">
        <f aca="false">ROUND(1.14/FX,2)</f>
        <v>0.16</v>
      </c>
      <c r="D544" s="21" t="s">
        <v>1312</v>
      </c>
      <c r="E544" s="21" t="s">
        <v>714</v>
      </c>
      <c r="F544" s="21" t="s">
        <v>724</v>
      </c>
      <c r="G544" s="21" t="s">
        <v>833</v>
      </c>
    </row>
    <row r="545" customFormat="false" ht="15" hidden="false" customHeight="false" outlineLevel="0" collapsed="false">
      <c r="B545" s="19" t="s">
        <v>1314</v>
      </c>
      <c r="C545" s="20" t="n">
        <f aca="false">ROUND(0.65/FX,2)</f>
        <v>0.09</v>
      </c>
      <c r="D545" s="21" t="s">
        <v>1312</v>
      </c>
      <c r="E545" s="21" t="s">
        <v>837</v>
      </c>
      <c r="F545" s="21" t="s">
        <v>724</v>
      </c>
      <c r="G545" s="21" t="s">
        <v>833</v>
      </c>
    </row>
    <row r="546" customFormat="false" ht="15" hidden="false" customHeight="false" outlineLevel="0" collapsed="false">
      <c r="B546" s="19" t="s">
        <v>1315</v>
      </c>
      <c r="C546" s="20" t="n">
        <f aca="false">ROUND(1.14/FX,2)</f>
        <v>0.16</v>
      </c>
      <c r="D546" s="21" t="s">
        <v>1312</v>
      </c>
      <c r="E546" s="21" t="s">
        <v>839</v>
      </c>
      <c r="F546" s="21" t="s">
        <v>724</v>
      </c>
      <c r="G546" s="21" t="s">
        <v>833</v>
      </c>
    </row>
    <row r="547" customFormat="false" ht="15" hidden="false" customHeight="false" outlineLevel="0" collapsed="false">
      <c r="B547" s="19" t="s">
        <v>1316</v>
      </c>
      <c r="C547" s="20" t="n">
        <f aca="false">ROUND(1.14/FX,2)</f>
        <v>0.16</v>
      </c>
      <c r="D547" s="21" t="s">
        <v>1312</v>
      </c>
      <c r="E547" s="21" t="s">
        <v>841</v>
      </c>
      <c r="F547" s="21" t="s">
        <v>724</v>
      </c>
      <c r="G547" s="21" t="s">
        <v>833</v>
      </c>
    </row>
    <row r="548" customFormat="false" ht="15" hidden="false" customHeight="false" outlineLevel="0" collapsed="false">
      <c r="B548" s="19" t="s">
        <v>1317</v>
      </c>
      <c r="C548" s="20" t="n">
        <f aca="false">ROUND(1.14/FX,2)</f>
        <v>0.16</v>
      </c>
      <c r="D548" s="21" t="s">
        <v>1312</v>
      </c>
      <c r="E548" s="21" t="s">
        <v>789</v>
      </c>
      <c r="F548" s="21" t="s">
        <v>724</v>
      </c>
      <c r="G548" s="21" t="s">
        <v>833</v>
      </c>
    </row>
    <row r="549" customFormat="false" ht="15" hidden="false" customHeight="false" outlineLevel="0" collapsed="false">
      <c r="B549" s="19" t="s">
        <v>1318</v>
      </c>
      <c r="C549" s="20" t="n">
        <f aca="false">ROUND(1.11/FX,2)</f>
        <v>0.15</v>
      </c>
      <c r="D549" s="21" t="s">
        <v>1312</v>
      </c>
      <c r="E549" s="21" t="s">
        <v>716</v>
      </c>
      <c r="F549" s="21" t="s">
        <v>724</v>
      </c>
      <c r="G549" s="21" t="s">
        <v>833</v>
      </c>
    </row>
    <row r="550" customFormat="false" ht="15" hidden="false" customHeight="false" outlineLevel="0" collapsed="false">
      <c r="B550" s="19" t="s">
        <v>1319</v>
      </c>
      <c r="C550" s="20" t="n">
        <f aca="false">ROUND(1.14/FX,2)</f>
        <v>0.16</v>
      </c>
      <c r="D550" s="21" t="s">
        <v>1312</v>
      </c>
      <c r="E550" s="21" t="s">
        <v>845</v>
      </c>
      <c r="F550" s="21" t="s">
        <v>724</v>
      </c>
      <c r="G550" s="21" t="s">
        <v>833</v>
      </c>
    </row>
    <row r="551" customFormat="false" ht="15" hidden="false" customHeight="false" outlineLevel="0" collapsed="false">
      <c r="B551" s="19" t="s">
        <v>1320</v>
      </c>
      <c r="C551" s="20" t="n">
        <f aca="false">ROUND(1.14/FX,2)</f>
        <v>0.16</v>
      </c>
      <c r="D551" s="21" t="s">
        <v>1312</v>
      </c>
      <c r="E551" s="21" t="s">
        <v>847</v>
      </c>
      <c r="F551" s="21" t="s">
        <v>724</v>
      </c>
      <c r="G551" s="21" t="s">
        <v>833</v>
      </c>
    </row>
    <row r="552" customFormat="false" ht="15" hidden="false" customHeight="false" outlineLevel="0" collapsed="false">
      <c r="B552" s="19" t="s">
        <v>1321</v>
      </c>
      <c r="C552" s="20" t="n">
        <f aca="false">ROUND(1.14/FX,2)</f>
        <v>0.16</v>
      </c>
      <c r="D552" s="21" t="s">
        <v>1312</v>
      </c>
      <c r="E552" s="21" t="s">
        <v>719</v>
      </c>
      <c r="F552" s="21" t="s">
        <v>724</v>
      </c>
      <c r="G552" s="21" t="s">
        <v>833</v>
      </c>
    </row>
    <row r="553" customFormat="false" ht="15" hidden="false" customHeight="false" outlineLevel="0" collapsed="false">
      <c r="B553" s="19" t="s">
        <v>1322</v>
      </c>
      <c r="C553" s="20" t="n">
        <f aca="false">ROUND(1.95/FX,2)</f>
        <v>0.27</v>
      </c>
      <c r="D553" s="21" t="s">
        <v>1323</v>
      </c>
      <c r="E553" s="21" t="s">
        <v>707</v>
      </c>
      <c r="F553" s="21" t="s">
        <v>724</v>
      </c>
      <c r="G553" s="21" t="s">
        <v>833</v>
      </c>
    </row>
    <row r="554" customFormat="false" ht="15" hidden="false" customHeight="false" outlineLevel="0" collapsed="false">
      <c r="B554" s="19" t="s">
        <v>1324</v>
      </c>
      <c r="C554" s="20" t="n">
        <f aca="false">ROUND(2.93/FX,2)</f>
        <v>0.41</v>
      </c>
      <c r="D554" s="21" t="s">
        <v>1323</v>
      </c>
      <c r="E554" s="21" t="s">
        <v>714</v>
      </c>
      <c r="F554" s="21" t="s">
        <v>724</v>
      </c>
      <c r="G554" s="21" t="s">
        <v>833</v>
      </c>
    </row>
    <row r="555" customFormat="false" ht="15" hidden="false" customHeight="false" outlineLevel="0" collapsed="false">
      <c r="B555" s="19" t="s">
        <v>1325</v>
      </c>
      <c r="C555" s="20" t="n">
        <f aca="false">ROUND(0.65/FX,2)</f>
        <v>0.09</v>
      </c>
      <c r="D555" s="21" t="s">
        <v>1323</v>
      </c>
      <c r="E555" s="21" t="s">
        <v>837</v>
      </c>
      <c r="F555" s="21" t="s">
        <v>724</v>
      </c>
      <c r="G555" s="21" t="s">
        <v>833</v>
      </c>
    </row>
    <row r="556" customFormat="false" ht="15" hidden="false" customHeight="false" outlineLevel="0" collapsed="false">
      <c r="B556" s="19" t="s">
        <v>1326</v>
      </c>
      <c r="C556" s="20" t="n">
        <f aca="false">ROUND(1.14/FX,2)</f>
        <v>0.16</v>
      </c>
      <c r="D556" s="21" t="s">
        <v>1323</v>
      </c>
      <c r="E556" s="21" t="s">
        <v>839</v>
      </c>
      <c r="F556" s="21" t="s">
        <v>724</v>
      </c>
      <c r="G556" s="21" t="s">
        <v>833</v>
      </c>
    </row>
    <row r="557" customFormat="false" ht="15" hidden="false" customHeight="false" outlineLevel="0" collapsed="false">
      <c r="B557" s="19" t="s">
        <v>1327</v>
      </c>
      <c r="C557" s="20" t="n">
        <f aca="false">ROUND(1.14/FX,2)</f>
        <v>0.16</v>
      </c>
      <c r="D557" s="21" t="s">
        <v>1323</v>
      </c>
      <c r="E557" s="21" t="s">
        <v>841</v>
      </c>
      <c r="F557" s="21" t="s">
        <v>724</v>
      </c>
      <c r="G557" s="21" t="s">
        <v>833</v>
      </c>
    </row>
    <row r="558" customFormat="false" ht="15" hidden="false" customHeight="false" outlineLevel="0" collapsed="false">
      <c r="B558" s="19" t="s">
        <v>1328</v>
      </c>
      <c r="C558" s="20" t="n">
        <f aca="false">ROUND(1.14/FX,2)</f>
        <v>0.16</v>
      </c>
      <c r="D558" s="21" t="s">
        <v>1323</v>
      </c>
      <c r="E558" s="21" t="s">
        <v>789</v>
      </c>
      <c r="F558" s="21" t="s">
        <v>724</v>
      </c>
      <c r="G558" s="21" t="s">
        <v>833</v>
      </c>
    </row>
    <row r="559" customFormat="false" ht="15" hidden="false" customHeight="false" outlineLevel="0" collapsed="false">
      <c r="B559" s="19" t="s">
        <v>1329</v>
      </c>
      <c r="C559" s="20" t="n">
        <f aca="false">ROUND(1.17/FX,2)</f>
        <v>0.16</v>
      </c>
      <c r="D559" s="21" t="s">
        <v>1323</v>
      </c>
      <c r="E559" s="21" t="s">
        <v>716</v>
      </c>
      <c r="F559" s="21" t="s">
        <v>724</v>
      </c>
      <c r="G559" s="21" t="s">
        <v>833</v>
      </c>
    </row>
    <row r="560" customFormat="false" ht="15" hidden="false" customHeight="false" outlineLevel="0" collapsed="false">
      <c r="B560" s="19" t="s">
        <v>1330</v>
      </c>
      <c r="C560" s="20" t="n">
        <f aca="false">ROUND(1.14/FX,2)</f>
        <v>0.16</v>
      </c>
      <c r="D560" s="21" t="s">
        <v>1323</v>
      </c>
      <c r="E560" s="21" t="s">
        <v>845</v>
      </c>
      <c r="F560" s="21" t="s">
        <v>724</v>
      </c>
      <c r="G560" s="21" t="s">
        <v>833</v>
      </c>
    </row>
    <row r="561" customFormat="false" ht="15" hidden="false" customHeight="false" outlineLevel="0" collapsed="false">
      <c r="B561" s="19" t="s">
        <v>1331</v>
      </c>
      <c r="C561" s="20" t="n">
        <f aca="false">ROUND(1.14/FX,2)</f>
        <v>0.16</v>
      </c>
      <c r="D561" s="21" t="s">
        <v>1323</v>
      </c>
      <c r="E561" s="21" t="s">
        <v>847</v>
      </c>
      <c r="F561" s="21" t="s">
        <v>724</v>
      </c>
      <c r="G561" s="21" t="s">
        <v>833</v>
      </c>
    </row>
    <row r="562" customFormat="false" ht="15" hidden="false" customHeight="false" outlineLevel="0" collapsed="false">
      <c r="B562" s="19" t="s">
        <v>1332</v>
      </c>
      <c r="C562" s="20" t="n">
        <f aca="false">ROUND(2.54/FX,2)</f>
        <v>0.35</v>
      </c>
      <c r="D562" s="21" t="s">
        <v>1323</v>
      </c>
      <c r="E562" s="21" t="s">
        <v>719</v>
      </c>
      <c r="F562" s="21" t="s">
        <v>724</v>
      </c>
      <c r="G562" s="21" t="s">
        <v>833</v>
      </c>
    </row>
    <row r="563" customFormat="false" ht="15" hidden="false" customHeight="false" outlineLevel="0" collapsed="false">
      <c r="B563" s="19" t="s">
        <v>1333</v>
      </c>
      <c r="C563" s="20" t="n">
        <f aca="false">ROUND(2.21/FX,2)</f>
        <v>0.31</v>
      </c>
      <c r="D563" s="21" t="s">
        <v>1334</v>
      </c>
      <c r="E563" s="21" t="s">
        <v>707</v>
      </c>
      <c r="F563" s="21" t="s">
        <v>724</v>
      </c>
      <c r="G563" s="21" t="s">
        <v>833</v>
      </c>
    </row>
    <row r="564" customFormat="false" ht="15" hidden="false" customHeight="false" outlineLevel="0" collapsed="false">
      <c r="B564" s="19" t="s">
        <v>1335</v>
      </c>
      <c r="C564" s="20" t="n">
        <f aca="false">ROUND(1.14/FX,2)</f>
        <v>0.16</v>
      </c>
      <c r="D564" s="21" t="s">
        <v>1334</v>
      </c>
      <c r="E564" s="21" t="s">
        <v>714</v>
      </c>
      <c r="F564" s="21" t="s">
        <v>724</v>
      </c>
      <c r="G564" s="21" t="s">
        <v>833</v>
      </c>
    </row>
    <row r="565" customFormat="false" ht="15" hidden="false" customHeight="false" outlineLevel="0" collapsed="false">
      <c r="B565" s="19" t="s">
        <v>1336</v>
      </c>
      <c r="C565" s="20" t="n">
        <f aca="false">ROUND(0.65/FX,2)</f>
        <v>0.09</v>
      </c>
      <c r="D565" s="21" t="s">
        <v>1334</v>
      </c>
      <c r="E565" s="21" t="s">
        <v>837</v>
      </c>
      <c r="F565" s="21" t="s">
        <v>724</v>
      </c>
      <c r="G565" s="21" t="s">
        <v>833</v>
      </c>
    </row>
    <row r="566" customFormat="false" ht="15" hidden="false" customHeight="false" outlineLevel="0" collapsed="false">
      <c r="B566" s="19" t="s">
        <v>1337</v>
      </c>
      <c r="C566" s="20" t="n">
        <f aca="false">ROUND(1.14/FX,2)</f>
        <v>0.16</v>
      </c>
      <c r="D566" s="21" t="s">
        <v>1334</v>
      </c>
      <c r="E566" s="21" t="s">
        <v>839</v>
      </c>
      <c r="F566" s="21" t="s">
        <v>724</v>
      </c>
      <c r="G566" s="21" t="s">
        <v>833</v>
      </c>
    </row>
    <row r="567" customFormat="false" ht="15" hidden="false" customHeight="false" outlineLevel="0" collapsed="false">
      <c r="B567" s="19" t="s">
        <v>1338</v>
      </c>
      <c r="C567" s="20" t="n">
        <f aca="false">ROUND(1.14/FX,2)</f>
        <v>0.16</v>
      </c>
      <c r="D567" s="21" t="s">
        <v>1334</v>
      </c>
      <c r="E567" s="21" t="s">
        <v>841</v>
      </c>
      <c r="F567" s="21" t="s">
        <v>724</v>
      </c>
      <c r="G567" s="21" t="s">
        <v>833</v>
      </c>
    </row>
    <row r="568" customFormat="false" ht="15" hidden="false" customHeight="false" outlineLevel="0" collapsed="false">
      <c r="B568" s="19" t="s">
        <v>1339</v>
      </c>
      <c r="C568" s="20" t="n">
        <f aca="false">ROUND(1.14/FX,2)</f>
        <v>0.16</v>
      </c>
      <c r="D568" s="21" t="s">
        <v>1334</v>
      </c>
      <c r="E568" s="21" t="s">
        <v>789</v>
      </c>
      <c r="F568" s="21" t="s">
        <v>724</v>
      </c>
      <c r="G568" s="21" t="s">
        <v>833</v>
      </c>
    </row>
    <row r="569" customFormat="false" ht="15" hidden="false" customHeight="false" outlineLevel="0" collapsed="false">
      <c r="B569" s="19" t="s">
        <v>1340</v>
      </c>
      <c r="C569" s="20" t="n">
        <f aca="false">ROUND(1.17/FX,2)</f>
        <v>0.16</v>
      </c>
      <c r="D569" s="21" t="s">
        <v>1334</v>
      </c>
      <c r="E569" s="21" t="s">
        <v>716</v>
      </c>
      <c r="F569" s="21" t="s">
        <v>724</v>
      </c>
      <c r="G569" s="21" t="s">
        <v>833</v>
      </c>
    </row>
    <row r="570" customFormat="false" ht="15" hidden="false" customHeight="false" outlineLevel="0" collapsed="false">
      <c r="B570" s="19" t="s">
        <v>1341</v>
      </c>
      <c r="C570" s="20" t="n">
        <f aca="false">ROUND(1.14/FX,2)</f>
        <v>0.16</v>
      </c>
      <c r="D570" s="21" t="s">
        <v>1334</v>
      </c>
      <c r="E570" s="21" t="s">
        <v>845</v>
      </c>
      <c r="F570" s="21" t="s">
        <v>724</v>
      </c>
      <c r="G570" s="21" t="s">
        <v>833</v>
      </c>
    </row>
    <row r="571" customFormat="false" ht="15" hidden="false" customHeight="false" outlineLevel="0" collapsed="false">
      <c r="B571" s="19" t="s">
        <v>1342</v>
      </c>
      <c r="C571" s="20" t="n">
        <f aca="false">ROUND(1.14/FX,2)</f>
        <v>0.16</v>
      </c>
      <c r="D571" s="21" t="s">
        <v>1334</v>
      </c>
      <c r="E571" s="21" t="s">
        <v>847</v>
      </c>
      <c r="F571" s="21" t="s">
        <v>724</v>
      </c>
      <c r="G571" s="21" t="s">
        <v>833</v>
      </c>
    </row>
    <row r="572" customFormat="false" ht="15" hidden="false" customHeight="false" outlineLevel="0" collapsed="false">
      <c r="B572" s="19" t="s">
        <v>1343</v>
      </c>
      <c r="C572" s="20" t="n">
        <f aca="false">ROUND(1.76/FX,2)</f>
        <v>0.24</v>
      </c>
      <c r="D572" s="21" t="s">
        <v>1334</v>
      </c>
      <c r="E572" s="21" t="s">
        <v>719</v>
      </c>
      <c r="F572" s="21" t="s">
        <v>724</v>
      </c>
      <c r="G572" s="21" t="s">
        <v>833</v>
      </c>
    </row>
    <row r="573" customFormat="false" ht="15" hidden="false" customHeight="false" outlineLevel="0" collapsed="false">
      <c r="B573" s="19" t="s">
        <v>1344</v>
      </c>
      <c r="C573" s="20" t="n">
        <f aca="false">ROUND(2.15/FX,2)</f>
        <v>0.3</v>
      </c>
      <c r="D573" s="21" t="s">
        <v>1345</v>
      </c>
      <c r="E573" s="21" t="s">
        <v>707</v>
      </c>
      <c r="F573" s="21" t="s">
        <v>724</v>
      </c>
      <c r="G573" s="21" t="s">
        <v>833</v>
      </c>
    </row>
    <row r="574" customFormat="false" ht="15" hidden="false" customHeight="false" outlineLevel="0" collapsed="false">
      <c r="B574" s="19" t="s">
        <v>1346</v>
      </c>
      <c r="C574" s="20" t="n">
        <f aca="false">ROUND(1.14/FX,2)</f>
        <v>0.16</v>
      </c>
      <c r="D574" s="21" t="s">
        <v>1345</v>
      </c>
      <c r="E574" s="21" t="s">
        <v>714</v>
      </c>
      <c r="F574" s="21" t="s">
        <v>724</v>
      </c>
      <c r="G574" s="21" t="s">
        <v>833</v>
      </c>
    </row>
    <row r="575" customFormat="false" ht="15" hidden="false" customHeight="false" outlineLevel="0" collapsed="false">
      <c r="B575" s="19" t="s">
        <v>1347</v>
      </c>
      <c r="C575" s="20" t="n">
        <f aca="false">ROUND(0.65/FX,2)</f>
        <v>0.09</v>
      </c>
      <c r="D575" s="21" t="s">
        <v>1345</v>
      </c>
      <c r="E575" s="21" t="s">
        <v>837</v>
      </c>
      <c r="F575" s="21" t="s">
        <v>724</v>
      </c>
      <c r="G575" s="21" t="s">
        <v>833</v>
      </c>
    </row>
    <row r="576" customFormat="false" ht="15" hidden="false" customHeight="false" outlineLevel="0" collapsed="false">
      <c r="B576" s="19" t="s">
        <v>1348</v>
      </c>
      <c r="C576" s="20" t="n">
        <f aca="false">ROUND(1.14/FX,2)</f>
        <v>0.16</v>
      </c>
      <c r="D576" s="21" t="s">
        <v>1345</v>
      </c>
      <c r="E576" s="21" t="s">
        <v>839</v>
      </c>
      <c r="F576" s="21" t="s">
        <v>724</v>
      </c>
      <c r="G576" s="21" t="s">
        <v>833</v>
      </c>
    </row>
    <row r="577" customFormat="false" ht="15" hidden="false" customHeight="false" outlineLevel="0" collapsed="false">
      <c r="B577" s="19" t="s">
        <v>1349</v>
      </c>
      <c r="C577" s="20" t="n">
        <f aca="false">ROUND(1.14/FX,2)</f>
        <v>0.16</v>
      </c>
      <c r="D577" s="21" t="s">
        <v>1345</v>
      </c>
      <c r="E577" s="21" t="s">
        <v>841</v>
      </c>
      <c r="F577" s="21" t="s">
        <v>724</v>
      </c>
      <c r="G577" s="21" t="s">
        <v>833</v>
      </c>
    </row>
    <row r="578" customFormat="false" ht="15" hidden="false" customHeight="false" outlineLevel="0" collapsed="false">
      <c r="B578" s="19" t="s">
        <v>1350</v>
      </c>
      <c r="C578" s="20" t="n">
        <f aca="false">ROUND(1.14/FX,2)</f>
        <v>0.16</v>
      </c>
      <c r="D578" s="21" t="s">
        <v>1345</v>
      </c>
      <c r="E578" s="21" t="s">
        <v>789</v>
      </c>
      <c r="F578" s="21" t="s">
        <v>724</v>
      </c>
      <c r="G578" s="21" t="s">
        <v>833</v>
      </c>
    </row>
    <row r="579" customFormat="false" ht="15" hidden="false" customHeight="false" outlineLevel="0" collapsed="false">
      <c r="B579" s="19" t="s">
        <v>1351</v>
      </c>
      <c r="C579" s="20" t="n">
        <f aca="false">ROUND(1.69/FX,2)</f>
        <v>0.23</v>
      </c>
      <c r="D579" s="21" t="s">
        <v>1345</v>
      </c>
      <c r="E579" s="21" t="s">
        <v>716</v>
      </c>
      <c r="F579" s="21" t="s">
        <v>724</v>
      </c>
      <c r="G579" s="21" t="s">
        <v>833</v>
      </c>
    </row>
    <row r="580" customFormat="false" ht="15" hidden="false" customHeight="false" outlineLevel="0" collapsed="false">
      <c r="B580" s="19" t="s">
        <v>1352</v>
      </c>
      <c r="C580" s="20" t="n">
        <f aca="false">ROUND(1.14/FX,2)</f>
        <v>0.16</v>
      </c>
      <c r="D580" s="21" t="s">
        <v>1345</v>
      </c>
      <c r="E580" s="21" t="s">
        <v>845</v>
      </c>
      <c r="F580" s="21" t="s">
        <v>724</v>
      </c>
      <c r="G580" s="21" t="s">
        <v>833</v>
      </c>
    </row>
    <row r="581" customFormat="false" ht="15" hidden="false" customHeight="false" outlineLevel="0" collapsed="false">
      <c r="B581" s="19" t="s">
        <v>1353</v>
      </c>
      <c r="C581" s="20" t="n">
        <f aca="false">ROUND(1.14/FX,2)</f>
        <v>0.16</v>
      </c>
      <c r="D581" s="21" t="s">
        <v>1345</v>
      </c>
      <c r="E581" s="21" t="s">
        <v>847</v>
      </c>
      <c r="F581" s="21" t="s">
        <v>724</v>
      </c>
      <c r="G581" s="21" t="s">
        <v>833</v>
      </c>
    </row>
    <row r="582" customFormat="false" ht="15" hidden="false" customHeight="false" outlineLevel="0" collapsed="false">
      <c r="B582" s="19" t="s">
        <v>1354</v>
      </c>
      <c r="C582" s="20" t="n">
        <f aca="false">ROUND(1.14/FX,2)</f>
        <v>0.16</v>
      </c>
      <c r="D582" s="21" t="s">
        <v>1345</v>
      </c>
      <c r="E582" s="21" t="s">
        <v>719</v>
      </c>
      <c r="F582" s="21" t="s">
        <v>724</v>
      </c>
      <c r="G582" s="21" t="s">
        <v>833</v>
      </c>
    </row>
    <row r="583" customFormat="false" ht="15" hidden="false" customHeight="false" outlineLevel="0" collapsed="false">
      <c r="B583" s="19" t="s">
        <v>1355</v>
      </c>
      <c r="C583" s="20" t="n">
        <f aca="false">ROUND(1.95/FX,2)</f>
        <v>0.27</v>
      </c>
      <c r="D583" s="21" t="s">
        <v>1356</v>
      </c>
      <c r="E583" s="21" t="s">
        <v>707</v>
      </c>
      <c r="F583" s="21" t="s">
        <v>724</v>
      </c>
      <c r="G583" s="21" t="s">
        <v>833</v>
      </c>
    </row>
    <row r="584" customFormat="false" ht="15" hidden="false" customHeight="false" outlineLevel="0" collapsed="false">
      <c r="B584" s="19" t="s">
        <v>1357</v>
      </c>
      <c r="C584" s="20" t="n">
        <f aca="false">ROUND(1.14/FX,2)</f>
        <v>0.16</v>
      </c>
      <c r="D584" s="21" t="s">
        <v>1356</v>
      </c>
      <c r="E584" s="21" t="s">
        <v>714</v>
      </c>
      <c r="F584" s="21" t="s">
        <v>724</v>
      </c>
      <c r="G584" s="21" t="s">
        <v>833</v>
      </c>
    </row>
    <row r="585" customFormat="false" ht="15" hidden="false" customHeight="false" outlineLevel="0" collapsed="false">
      <c r="B585" s="19" t="s">
        <v>1358</v>
      </c>
      <c r="C585" s="20" t="n">
        <f aca="false">ROUND(0.65/FX,2)</f>
        <v>0.09</v>
      </c>
      <c r="D585" s="21" t="s">
        <v>1356</v>
      </c>
      <c r="E585" s="21" t="s">
        <v>837</v>
      </c>
      <c r="F585" s="21" t="s">
        <v>724</v>
      </c>
      <c r="G585" s="21" t="s">
        <v>833</v>
      </c>
    </row>
    <row r="586" customFormat="false" ht="15" hidden="false" customHeight="false" outlineLevel="0" collapsed="false">
      <c r="B586" s="19" t="s">
        <v>1359</v>
      </c>
      <c r="C586" s="20" t="n">
        <f aca="false">ROUND(1.14/FX,2)</f>
        <v>0.16</v>
      </c>
      <c r="D586" s="21" t="s">
        <v>1356</v>
      </c>
      <c r="E586" s="21" t="s">
        <v>839</v>
      </c>
      <c r="F586" s="21" t="s">
        <v>724</v>
      </c>
      <c r="G586" s="21" t="s">
        <v>833</v>
      </c>
    </row>
    <row r="587" customFormat="false" ht="15" hidden="false" customHeight="false" outlineLevel="0" collapsed="false">
      <c r="B587" s="19" t="s">
        <v>1360</v>
      </c>
      <c r="C587" s="20" t="n">
        <f aca="false">ROUND(1.14/FX,2)</f>
        <v>0.16</v>
      </c>
      <c r="D587" s="21" t="s">
        <v>1356</v>
      </c>
      <c r="E587" s="21" t="s">
        <v>841</v>
      </c>
      <c r="F587" s="21" t="s">
        <v>724</v>
      </c>
      <c r="G587" s="21" t="s">
        <v>833</v>
      </c>
    </row>
    <row r="588" customFormat="false" ht="15" hidden="false" customHeight="false" outlineLevel="0" collapsed="false">
      <c r="B588" s="19" t="s">
        <v>1361</v>
      </c>
      <c r="C588" s="20" t="n">
        <f aca="false">ROUND(1.14/FX,2)</f>
        <v>0.16</v>
      </c>
      <c r="D588" s="21" t="s">
        <v>1356</v>
      </c>
      <c r="E588" s="21" t="s">
        <v>789</v>
      </c>
      <c r="F588" s="21" t="s">
        <v>724</v>
      </c>
      <c r="G588" s="21" t="s">
        <v>833</v>
      </c>
    </row>
    <row r="589" customFormat="false" ht="15" hidden="false" customHeight="false" outlineLevel="0" collapsed="false">
      <c r="B589" s="19" t="s">
        <v>1362</v>
      </c>
      <c r="C589" s="20" t="n">
        <f aca="false">ROUND(1.69/FX,2)</f>
        <v>0.23</v>
      </c>
      <c r="D589" s="21" t="s">
        <v>1356</v>
      </c>
      <c r="E589" s="21" t="s">
        <v>716</v>
      </c>
      <c r="F589" s="21" t="s">
        <v>724</v>
      </c>
      <c r="G589" s="21" t="s">
        <v>833</v>
      </c>
    </row>
    <row r="590" customFormat="false" ht="15" hidden="false" customHeight="false" outlineLevel="0" collapsed="false">
      <c r="B590" s="19" t="s">
        <v>1363</v>
      </c>
      <c r="C590" s="20" t="n">
        <f aca="false">ROUND(1.14/FX,2)</f>
        <v>0.16</v>
      </c>
      <c r="D590" s="21" t="s">
        <v>1356</v>
      </c>
      <c r="E590" s="21" t="s">
        <v>845</v>
      </c>
      <c r="F590" s="21" t="s">
        <v>724</v>
      </c>
      <c r="G590" s="21" t="s">
        <v>833</v>
      </c>
    </row>
    <row r="591" customFormat="false" ht="15" hidden="false" customHeight="false" outlineLevel="0" collapsed="false">
      <c r="B591" s="19" t="s">
        <v>1364</v>
      </c>
      <c r="C591" s="20" t="n">
        <f aca="false">ROUND(1.14/FX,2)</f>
        <v>0.16</v>
      </c>
      <c r="D591" s="21" t="s">
        <v>1356</v>
      </c>
      <c r="E591" s="21" t="s">
        <v>847</v>
      </c>
      <c r="F591" s="21" t="s">
        <v>724</v>
      </c>
      <c r="G591" s="21" t="s">
        <v>833</v>
      </c>
    </row>
    <row r="592" customFormat="false" ht="15" hidden="false" customHeight="false" outlineLevel="0" collapsed="false">
      <c r="B592" s="19" t="s">
        <v>1365</v>
      </c>
      <c r="C592" s="20" t="n">
        <f aca="false">ROUND(1.14/FX,2)</f>
        <v>0.16</v>
      </c>
      <c r="D592" s="21" t="s">
        <v>1356</v>
      </c>
      <c r="E592" s="21" t="s">
        <v>719</v>
      </c>
      <c r="F592" s="21" t="s">
        <v>724</v>
      </c>
      <c r="G592" s="21" t="s">
        <v>833</v>
      </c>
    </row>
    <row r="593" customFormat="false" ht="15" hidden="false" customHeight="false" outlineLevel="0" collapsed="false">
      <c r="B593" s="19" t="s">
        <v>1366</v>
      </c>
      <c r="C593" s="20" t="n">
        <f aca="false">ROUND(1.95/FX,2)</f>
        <v>0.27</v>
      </c>
      <c r="D593" s="21" t="s">
        <v>1367</v>
      </c>
      <c r="E593" s="21" t="s">
        <v>707</v>
      </c>
      <c r="F593" s="21" t="s">
        <v>724</v>
      </c>
      <c r="G593" s="21" t="s">
        <v>833</v>
      </c>
    </row>
    <row r="594" customFormat="false" ht="15" hidden="false" customHeight="false" outlineLevel="0" collapsed="false">
      <c r="B594" s="19" t="s">
        <v>1368</v>
      </c>
      <c r="C594" s="20" t="n">
        <f aca="false">ROUND(1.14/FX,2)</f>
        <v>0.16</v>
      </c>
      <c r="D594" s="21" t="s">
        <v>1367</v>
      </c>
      <c r="E594" s="21" t="s">
        <v>714</v>
      </c>
      <c r="F594" s="21" t="s">
        <v>724</v>
      </c>
      <c r="G594" s="21" t="s">
        <v>833</v>
      </c>
    </row>
    <row r="595" customFormat="false" ht="15" hidden="false" customHeight="false" outlineLevel="0" collapsed="false">
      <c r="B595" s="19" t="s">
        <v>1369</v>
      </c>
      <c r="C595" s="20" t="n">
        <f aca="false">ROUND(0.65/FX,2)</f>
        <v>0.09</v>
      </c>
      <c r="D595" s="21" t="s">
        <v>1367</v>
      </c>
      <c r="E595" s="21" t="s">
        <v>837</v>
      </c>
      <c r="F595" s="21" t="s">
        <v>724</v>
      </c>
      <c r="G595" s="21" t="s">
        <v>833</v>
      </c>
    </row>
    <row r="596" customFormat="false" ht="15" hidden="false" customHeight="false" outlineLevel="0" collapsed="false">
      <c r="B596" s="19" t="s">
        <v>1370</v>
      </c>
      <c r="C596" s="20" t="n">
        <f aca="false">ROUND(1.14/FX,2)</f>
        <v>0.16</v>
      </c>
      <c r="D596" s="21" t="s">
        <v>1367</v>
      </c>
      <c r="E596" s="21" t="s">
        <v>839</v>
      </c>
      <c r="F596" s="21" t="s">
        <v>724</v>
      </c>
      <c r="G596" s="21" t="s">
        <v>833</v>
      </c>
    </row>
    <row r="597" customFormat="false" ht="15" hidden="false" customHeight="false" outlineLevel="0" collapsed="false">
      <c r="B597" s="19" t="s">
        <v>1371</v>
      </c>
      <c r="C597" s="20" t="n">
        <f aca="false">ROUND(1.14/FX,2)</f>
        <v>0.16</v>
      </c>
      <c r="D597" s="21" t="s">
        <v>1367</v>
      </c>
      <c r="E597" s="21" t="s">
        <v>841</v>
      </c>
      <c r="F597" s="21" t="s">
        <v>724</v>
      </c>
      <c r="G597" s="21" t="s">
        <v>833</v>
      </c>
    </row>
    <row r="598" customFormat="false" ht="15" hidden="false" customHeight="false" outlineLevel="0" collapsed="false">
      <c r="B598" s="19" t="s">
        <v>1372</v>
      </c>
      <c r="C598" s="20" t="n">
        <f aca="false">ROUND(0.98/FX,2)</f>
        <v>0.14</v>
      </c>
      <c r="D598" s="21" t="s">
        <v>1367</v>
      </c>
      <c r="E598" s="21" t="s">
        <v>789</v>
      </c>
      <c r="F598" s="21" t="s">
        <v>724</v>
      </c>
      <c r="G598" s="21" t="s">
        <v>833</v>
      </c>
    </row>
    <row r="599" customFormat="false" ht="15" hidden="false" customHeight="false" outlineLevel="0" collapsed="false">
      <c r="B599" s="19" t="s">
        <v>1373</v>
      </c>
      <c r="C599" s="20" t="n">
        <f aca="false">ROUND(1.69/FX,2)</f>
        <v>0.23</v>
      </c>
      <c r="D599" s="21" t="s">
        <v>1367</v>
      </c>
      <c r="E599" s="21" t="s">
        <v>716</v>
      </c>
      <c r="F599" s="21" t="s">
        <v>724</v>
      </c>
      <c r="G599" s="21" t="s">
        <v>833</v>
      </c>
    </row>
    <row r="600" customFormat="false" ht="15" hidden="false" customHeight="false" outlineLevel="0" collapsed="false">
      <c r="B600" s="19" t="s">
        <v>1374</v>
      </c>
      <c r="C600" s="20" t="n">
        <f aca="false">ROUND(1.14/FX,2)</f>
        <v>0.16</v>
      </c>
      <c r="D600" s="21" t="s">
        <v>1367</v>
      </c>
      <c r="E600" s="21" t="s">
        <v>845</v>
      </c>
      <c r="F600" s="21" t="s">
        <v>724</v>
      </c>
      <c r="G600" s="21" t="s">
        <v>833</v>
      </c>
    </row>
    <row r="601" customFormat="false" ht="15" hidden="false" customHeight="false" outlineLevel="0" collapsed="false">
      <c r="B601" s="19" t="s">
        <v>1375</v>
      </c>
      <c r="C601" s="20" t="n">
        <f aca="false">ROUND(1.14/FX,2)</f>
        <v>0.16</v>
      </c>
      <c r="D601" s="21" t="s">
        <v>1367</v>
      </c>
      <c r="E601" s="21" t="s">
        <v>847</v>
      </c>
      <c r="F601" s="21" t="s">
        <v>724</v>
      </c>
      <c r="G601" s="21" t="s">
        <v>833</v>
      </c>
    </row>
    <row r="602" customFormat="false" ht="15" hidden="false" customHeight="false" outlineLevel="0" collapsed="false">
      <c r="B602" s="19" t="s">
        <v>1376</v>
      </c>
      <c r="C602" s="20" t="n">
        <f aca="false">ROUND(1.14/FX,2)</f>
        <v>0.16</v>
      </c>
      <c r="D602" s="21" t="s">
        <v>1367</v>
      </c>
      <c r="E602" s="21" t="s">
        <v>719</v>
      </c>
      <c r="F602" s="21" t="s">
        <v>724</v>
      </c>
      <c r="G602" s="21" t="s">
        <v>833</v>
      </c>
    </row>
    <row r="603" customFormat="false" ht="15" hidden="false" customHeight="false" outlineLevel="0" collapsed="false">
      <c r="B603" s="19" t="s">
        <v>1377</v>
      </c>
      <c r="C603" s="20" t="n">
        <f aca="false">ROUND(1.95/FX,2)</f>
        <v>0.27</v>
      </c>
      <c r="D603" s="21" t="s">
        <v>1378</v>
      </c>
      <c r="E603" s="21" t="s">
        <v>707</v>
      </c>
      <c r="F603" s="21" t="s">
        <v>724</v>
      </c>
      <c r="G603" s="21" t="s">
        <v>833</v>
      </c>
    </row>
    <row r="604" customFormat="false" ht="15" hidden="false" customHeight="false" outlineLevel="0" collapsed="false">
      <c r="B604" s="19" t="s">
        <v>1379</v>
      </c>
      <c r="C604" s="20" t="n">
        <f aca="false">ROUND(4.21/FX,2)</f>
        <v>0.58</v>
      </c>
      <c r="D604" s="21" t="s">
        <v>1378</v>
      </c>
      <c r="E604" s="21" t="s">
        <v>714</v>
      </c>
      <c r="F604" s="21" t="s">
        <v>724</v>
      </c>
      <c r="G604" s="21" t="s">
        <v>833</v>
      </c>
    </row>
    <row r="605" customFormat="false" ht="15" hidden="false" customHeight="false" outlineLevel="0" collapsed="false">
      <c r="B605" s="19" t="s">
        <v>1380</v>
      </c>
      <c r="C605" s="20" t="n">
        <f aca="false">ROUND(0.65/FX,2)</f>
        <v>0.09</v>
      </c>
      <c r="D605" s="21" t="s">
        <v>1378</v>
      </c>
      <c r="E605" s="21" t="s">
        <v>837</v>
      </c>
      <c r="F605" s="21" t="s">
        <v>724</v>
      </c>
      <c r="G605" s="21" t="s">
        <v>833</v>
      </c>
    </row>
    <row r="606" customFormat="false" ht="15" hidden="false" customHeight="false" outlineLevel="0" collapsed="false">
      <c r="B606" s="19" t="s">
        <v>1381</v>
      </c>
      <c r="C606" s="20" t="n">
        <f aca="false">ROUND(1.14/FX,2)</f>
        <v>0.16</v>
      </c>
      <c r="D606" s="21" t="s">
        <v>1378</v>
      </c>
      <c r="E606" s="21" t="s">
        <v>839</v>
      </c>
      <c r="F606" s="21" t="s">
        <v>724</v>
      </c>
      <c r="G606" s="21" t="s">
        <v>833</v>
      </c>
    </row>
    <row r="607" customFormat="false" ht="15" hidden="false" customHeight="false" outlineLevel="0" collapsed="false">
      <c r="B607" s="19" t="s">
        <v>1382</v>
      </c>
      <c r="C607" s="20" t="n">
        <f aca="false">ROUND(1.14/FX,2)</f>
        <v>0.16</v>
      </c>
      <c r="D607" s="21" t="s">
        <v>1378</v>
      </c>
      <c r="E607" s="21" t="s">
        <v>841</v>
      </c>
      <c r="F607" s="21" t="s">
        <v>724</v>
      </c>
      <c r="G607" s="21" t="s">
        <v>833</v>
      </c>
    </row>
    <row r="608" customFormat="false" ht="15" hidden="false" customHeight="false" outlineLevel="0" collapsed="false">
      <c r="B608" s="19" t="s">
        <v>1383</v>
      </c>
      <c r="C608" s="20" t="n">
        <f aca="false">ROUND(1.14/FX,2)</f>
        <v>0.16</v>
      </c>
      <c r="D608" s="21" t="s">
        <v>1378</v>
      </c>
      <c r="E608" s="21" t="s">
        <v>789</v>
      </c>
      <c r="F608" s="21" t="s">
        <v>724</v>
      </c>
      <c r="G608" s="21" t="s">
        <v>833</v>
      </c>
    </row>
    <row r="609" customFormat="false" ht="15" hidden="false" customHeight="false" outlineLevel="0" collapsed="false">
      <c r="B609" s="19" t="s">
        <v>1384</v>
      </c>
      <c r="C609" s="20" t="n">
        <f aca="false">ROUND(1.17/FX,2)</f>
        <v>0.16</v>
      </c>
      <c r="D609" s="21" t="s">
        <v>1378</v>
      </c>
      <c r="E609" s="21" t="s">
        <v>716</v>
      </c>
      <c r="F609" s="21" t="s">
        <v>724</v>
      </c>
      <c r="G609" s="21" t="s">
        <v>833</v>
      </c>
    </row>
    <row r="610" customFormat="false" ht="15" hidden="false" customHeight="false" outlineLevel="0" collapsed="false">
      <c r="B610" s="19" t="s">
        <v>1385</v>
      </c>
      <c r="C610" s="20" t="n">
        <f aca="false">ROUND(1.14/FX,2)</f>
        <v>0.16</v>
      </c>
      <c r="D610" s="21" t="s">
        <v>1378</v>
      </c>
      <c r="E610" s="21" t="s">
        <v>845</v>
      </c>
      <c r="F610" s="21" t="s">
        <v>724</v>
      </c>
      <c r="G610" s="21" t="s">
        <v>833</v>
      </c>
    </row>
    <row r="611" customFormat="false" ht="15" hidden="false" customHeight="false" outlineLevel="0" collapsed="false">
      <c r="B611" s="19" t="s">
        <v>1386</v>
      </c>
      <c r="C611" s="20" t="n">
        <f aca="false">ROUND(1.14/FX,2)</f>
        <v>0.16</v>
      </c>
      <c r="D611" s="21" t="s">
        <v>1378</v>
      </c>
      <c r="E611" s="21" t="s">
        <v>847</v>
      </c>
      <c r="F611" s="21" t="s">
        <v>724</v>
      </c>
      <c r="G611" s="21" t="s">
        <v>833</v>
      </c>
    </row>
    <row r="612" customFormat="false" ht="15" hidden="false" customHeight="false" outlineLevel="0" collapsed="false">
      <c r="B612" s="19" t="s">
        <v>1387</v>
      </c>
      <c r="C612" s="20" t="n">
        <f aca="false">ROUND(1.14/FX,2)</f>
        <v>0.16</v>
      </c>
      <c r="D612" s="21" t="s">
        <v>1378</v>
      </c>
      <c r="E612" s="21" t="s">
        <v>719</v>
      </c>
      <c r="F612" s="21" t="s">
        <v>724</v>
      </c>
      <c r="G612" s="21" t="s">
        <v>833</v>
      </c>
    </row>
    <row r="613" customFormat="false" ht="15" hidden="false" customHeight="false" outlineLevel="0" collapsed="false">
      <c r="B613" s="19" t="s">
        <v>1388</v>
      </c>
      <c r="C613" s="20" t="n">
        <f aca="false">ROUND(1.14/FX,2)</f>
        <v>0.16</v>
      </c>
      <c r="D613" s="21" t="s">
        <v>1389</v>
      </c>
      <c r="E613" s="21" t="s">
        <v>707</v>
      </c>
      <c r="F613" s="21" t="s">
        <v>724</v>
      </c>
      <c r="G613" s="21" t="s">
        <v>833</v>
      </c>
    </row>
    <row r="614" customFormat="false" ht="15" hidden="false" customHeight="false" outlineLevel="0" collapsed="false">
      <c r="B614" s="19" t="s">
        <v>1390</v>
      </c>
      <c r="C614" s="20" t="n">
        <f aca="false">ROUND(1.14/FX,2)</f>
        <v>0.16</v>
      </c>
      <c r="D614" s="21" t="s">
        <v>1389</v>
      </c>
      <c r="E614" s="21" t="s">
        <v>714</v>
      </c>
      <c r="F614" s="21" t="s">
        <v>724</v>
      </c>
      <c r="G614" s="21" t="s">
        <v>833</v>
      </c>
    </row>
    <row r="615" customFormat="false" ht="15" hidden="false" customHeight="false" outlineLevel="0" collapsed="false">
      <c r="B615" s="19" t="s">
        <v>1391</v>
      </c>
      <c r="C615" s="20" t="n">
        <f aca="false">ROUND(0.65/FX,2)</f>
        <v>0.09</v>
      </c>
      <c r="D615" s="21" t="s">
        <v>1389</v>
      </c>
      <c r="E615" s="21" t="s">
        <v>837</v>
      </c>
      <c r="F615" s="21" t="s">
        <v>724</v>
      </c>
      <c r="G615" s="21" t="s">
        <v>833</v>
      </c>
    </row>
    <row r="616" customFormat="false" ht="15" hidden="false" customHeight="false" outlineLevel="0" collapsed="false">
      <c r="B616" s="19" t="s">
        <v>1392</v>
      </c>
      <c r="C616" s="20" t="n">
        <f aca="false">ROUND(1.14/FX,2)</f>
        <v>0.16</v>
      </c>
      <c r="D616" s="21" t="s">
        <v>1389</v>
      </c>
      <c r="E616" s="21" t="s">
        <v>839</v>
      </c>
      <c r="F616" s="21" t="s">
        <v>724</v>
      </c>
      <c r="G616" s="21" t="s">
        <v>833</v>
      </c>
    </row>
    <row r="617" customFormat="false" ht="15" hidden="false" customHeight="false" outlineLevel="0" collapsed="false">
      <c r="B617" s="19" t="s">
        <v>1393</v>
      </c>
      <c r="C617" s="20" t="n">
        <f aca="false">ROUND(1.14/FX,2)</f>
        <v>0.16</v>
      </c>
      <c r="D617" s="21" t="s">
        <v>1389</v>
      </c>
      <c r="E617" s="21" t="s">
        <v>841</v>
      </c>
      <c r="F617" s="21" t="s">
        <v>724</v>
      </c>
      <c r="G617" s="21" t="s">
        <v>833</v>
      </c>
    </row>
    <row r="618" customFormat="false" ht="15" hidden="false" customHeight="false" outlineLevel="0" collapsed="false">
      <c r="B618" s="19" t="s">
        <v>1394</v>
      </c>
      <c r="C618" s="20" t="n">
        <f aca="false">ROUND(1.14/FX,2)</f>
        <v>0.16</v>
      </c>
      <c r="D618" s="21" t="s">
        <v>1389</v>
      </c>
      <c r="E618" s="21" t="s">
        <v>789</v>
      </c>
      <c r="F618" s="21" t="s">
        <v>724</v>
      </c>
      <c r="G618" s="21" t="s">
        <v>833</v>
      </c>
    </row>
    <row r="619" customFormat="false" ht="15" hidden="false" customHeight="false" outlineLevel="0" collapsed="false">
      <c r="B619" s="19" t="s">
        <v>1395</v>
      </c>
      <c r="C619" s="20" t="n">
        <f aca="false">ROUND(1.69/FX,2)</f>
        <v>0.23</v>
      </c>
      <c r="D619" s="21" t="s">
        <v>1389</v>
      </c>
      <c r="E619" s="21" t="s">
        <v>716</v>
      </c>
      <c r="F619" s="21" t="s">
        <v>724</v>
      </c>
      <c r="G619" s="21" t="s">
        <v>833</v>
      </c>
    </row>
    <row r="620" customFormat="false" ht="15" hidden="false" customHeight="false" outlineLevel="0" collapsed="false">
      <c r="B620" s="19" t="s">
        <v>1396</v>
      </c>
      <c r="C620" s="20" t="n">
        <f aca="false">ROUND(1.14/FX,2)</f>
        <v>0.16</v>
      </c>
      <c r="D620" s="21" t="s">
        <v>1389</v>
      </c>
      <c r="E620" s="21" t="s">
        <v>845</v>
      </c>
      <c r="F620" s="21" t="s">
        <v>724</v>
      </c>
      <c r="G620" s="21" t="s">
        <v>833</v>
      </c>
    </row>
    <row r="621" customFormat="false" ht="15" hidden="false" customHeight="false" outlineLevel="0" collapsed="false">
      <c r="B621" s="19" t="s">
        <v>1397</v>
      </c>
      <c r="C621" s="20" t="n">
        <f aca="false">ROUND(1.14/FX,2)</f>
        <v>0.16</v>
      </c>
      <c r="D621" s="21" t="s">
        <v>1389</v>
      </c>
      <c r="E621" s="21" t="s">
        <v>847</v>
      </c>
      <c r="F621" s="21" t="s">
        <v>724</v>
      </c>
      <c r="G621" s="21" t="s">
        <v>833</v>
      </c>
    </row>
    <row r="622" customFormat="false" ht="15" hidden="false" customHeight="false" outlineLevel="0" collapsed="false">
      <c r="B622" s="19" t="s">
        <v>1398</v>
      </c>
      <c r="C622" s="20" t="n">
        <f aca="false">ROUND(1.14/FX,2)</f>
        <v>0.16</v>
      </c>
      <c r="D622" s="21" t="s">
        <v>1389</v>
      </c>
      <c r="E622" s="21" t="s">
        <v>719</v>
      </c>
      <c r="F622" s="21" t="s">
        <v>724</v>
      </c>
      <c r="G622" s="21" t="s">
        <v>833</v>
      </c>
    </row>
    <row r="623" customFormat="false" ht="15" hidden="false" customHeight="false" outlineLevel="0" collapsed="false">
      <c r="B623" s="19" t="s">
        <v>1399</v>
      </c>
      <c r="C623" s="20" t="n">
        <f aca="false">ROUND(1.95/FX,2)</f>
        <v>0.27</v>
      </c>
      <c r="D623" s="21" t="s">
        <v>1400</v>
      </c>
      <c r="E623" s="21" t="s">
        <v>707</v>
      </c>
      <c r="F623" s="21" t="s">
        <v>724</v>
      </c>
      <c r="G623" s="21" t="s">
        <v>833</v>
      </c>
    </row>
    <row r="624" customFormat="false" ht="15" hidden="false" customHeight="false" outlineLevel="0" collapsed="false">
      <c r="B624" s="19" t="s">
        <v>1401</v>
      </c>
      <c r="C624" s="20" t="n">
        <f aca="false">ROUND(4.23/FX,2)</f>
        <v>0.59</v>
      </c>
      <c r="D624" s="21" t="s">
        <v>1400</v>
      </c>
      <c r="E624" s="21" t="s">
        <v>714</v>
      </c>
      <c r="F624" s="21" t="s">
        <v>724</v>
      </c>
      <c r="G624" s="21" t="s">
        <v>833</v>
      </c>
    </row>
    <row r="625" customFormat="false" ht="15" hidden="false" customHeight="false" outlineLevel="0" collapsed="false">
      <c r="B625" s="19" t="s">
        <v>1402</v>
      </c>
      <c r="C625" s="20" t="n">
        <f aca="false">ROUND(0.65/FX,2)</f>
        <v>0.09</v>
      </c>
      <c r="D625" s="21" t="s">
        <v>1400</v>
      </c>
      <c r="E625" s="21" t="s">
        <v>837</v>
      </c>
      <c r="F625" s="21" t="s">
        <v>724</v>
      </c>
      <c r="G625" s="21" t="s">
        <v>833</v>
      </c>
    </row>
    <row r="626" customFormat="false" ht="15" hidden="false" customHeight="false" outlineLevel="0" collapsed="false">
      <c r="B626" s="19" t="s">
        <v>1403</v>
      </c>
      <c r="C626" s="20" t="n">
        <f aca="false">ROUND(1.14/FX,2)</f>
        <v>0.16</v>
      </c>
      <c r="D626" s="21" t="s">
        <v>1400</v>
      </c>
      <c r="E626" s="21" t="s">
        <v>839</v>
      </c>
      <c r="F626" s="21" t="s">
        <v>724</v>
      </c>
      <c r="G626" s="21" t="s">
        <v>833</v>
      </c>
    </row>
    <row r="627" customFormat="false" ht="15" hidden="false" customHeight="false" outlineLevel="0" collapsed="false">
      <c r="B627" s="19" t="s">
        <v>1404</v>
      </c>
      <c r="C627" s="20" t="n">
        <f aca="false">ROUND(1.14/FX,2)</f>
        <v>0.16</v>
      </c>
      <c r="D627" s="21" t="s">
        <v>1400</v>
      </c>
      <c r="E627" s="21" t="s">
        <v>841</v>
      </c>
      <c r="F627" s="21" t="s">
        <v>724</v>
      </c>
      <c r="G627" s="21" t="s">
        <v>833</v>
      </c>
    </row>
    <row r="628" customFormat="false" ht="15" hidden="false" customHeight="false" outlineLevel="0" collapsed="false">
      <c r="B628" s="19" t="s">
        <v>1405</v>
      </c>
      <c r="C628" s="20" t="n">
        <f aca="false">ROUND(1.14/FX,2)</f>
        <v>0.16</v>
      </c>
      <c r="D628" s="21" t="s">
        <v>1400</v>
      </c>
      <c r="E628" s="21" t="s">
        <v>789</v>
      </c>
      <c r="F628" s="21" t="s">
        <v>724</v>
      </c>
      <c r="G628" s="21" t="s">
        <v>833</v>
      </c>
    </row>
    <row r="629" customFormat="false" ht="15" hidden="false" customHeight="false" outlineLevel="0" collapsed="false">
      <c r="B629" s="19" t="s">
        <v>1406</v>
      </c>
      <c r="C629" s="20" t="n">
        <f aca="false">ROUND(1.17/FX,2)</f>
        <v>0.16</v>
      </c>
      <c r="D629" s="21" t="s">
        <v>1400</v>
      </c>
      <c r="E629" s="21" t="s">
        <v>716</v>
      </c>
      <c r="F629" s="21" t="s">
        <v>724</v>
      </c>
      <c r="G629" s="21" t="s">
        <v>833</v>
      </c>
    </row>
    <row r="630" customFormat="false" ht="15" hidden="false" customHeight="false" outlineLevel="0" collapsed="false">
      <c r="B630" s="19" t="s">
        <v>1407</v>
      </c>
      <c r="C630" s="20" t="n">
        <f aca="false">ROUND(1.14/FX,2)</f>
        <v>0.16</v>
      </c>
      <c r="D630" s="21" t="s">
        <v>1400</v>
      </c>
      <c r="E630" s="21" t="s">
        <v>845</v>
      </c>
      <c r="F630" s="21" t="s">
        <v>724</v>
      </c>
      <c r="G630" s="21" t="s">
        <v>833</v>
      </c>
    </row>
    <row r="631" customFormat="false" ht="15" hidden="false" customHeight="false" outlineLevel="0" collapsed="false">
      <c r="B631" s="19" t="s">
        <v>1408</v>
      </c>
      <c r="C631" s="20" t="n">
        <f aca="false">ROUND(1.14/FX,2)</f>
        <v>0.16</v>
      </c>
      <c r="D631" s="21" t="s">
        <v>1400</v>
      </c>
      <c r="E631" s="21" t="s">
        <v>847</v>
      </c>
      <c r="F631" s="21" t="s">
        <v>724</v>
      </c>
      <c r="G631" s="21" t="s">
        <v>833</v>
      </c>
    </row>
    <row r="632" customFormat="false" ht="15" hidden="false" customHeight="false" outlineLevel="0" collapsed="false">
      <c r="B632" s="19" t="s">
        <v>1409</v>
      </c>
      <c r="C632" s="20" t="n">
        <f aca="false">ROUND(1.14/FX,2)</f>
        <v>0.16</v>
      </c>
      <c r="D632" s="21" t="s">
        <v>1400</v>
      </c>
      <c r="E632" s="21" t="s">
        <v>719</v>
      </c>
      <c r="F632" s="21" t="s">
        <v>724</v>
      </c>
      <c r="G632" s="21" t="s">
        <v>833</v>
      </c>
    </row>
    <row r="633" customFormat="false" ht="15" hidden="false" customHeight="false" outlineLevel="0" collapsed="false">
      <c r="B633" s="19" t="s">
        <v>1410</v>
      </c>
      <c r="C633" s="20" t="n">
        <f aca="false">ROUND(1.14/FX,2)</f>
        <v>0.16</v>
      </c>
      <c r="D633" s="21" t="s">
        <v>1411</v>
      </c>
      <c r="E633" s="21" t="s">
        <v>707</v>
      </c>
      <c r="F633" s="21" t="s">
        <v>724</v>
      </c>
      <c r="G633" s="21" t="s">
        <v>833</v>
      </c>
    </row>
    <row r="634" customFormat="false" ht="15" hidden="false" customHeight="false" outlineLevel="0" collapsed="false">
      <c r="B634" s="19" t="s">
        <v>1412</v>
      </c>
      <c r="C634" s="20" t="n">
        <f aca="false">ROUND(1.14/FX,2)</f>
        <v>0.16</v>
      </c>
      <c r="D634" s="21" t="s">
        <v>1411</v>
      </c>
      <c r="E634" s="21" t="s">
        <v>714</v>
      </c>
      <c r="F634" s="21" t="s">
        <v>724</v>
      </c>
      <c r="G634" s="21" t="s">
        <v>833</v>
      </c>
    </row>
    <row r="635" customFormat="false" ht="15" hidden="false" customHeight="false" outlineLevel="0" collapsed="false">
      <c r="B635" s="19" t="s">
        <v>1413</v>
      </c>
      <c r="C635" s="20" t="n">
        <f aca="false">ROUND(0.65/FX,2)</f>
        <v>0.09</v>
      </c>
      <c r="D635" s="21" t="s">
        <v>1411</v>
      </c>
      <c r="E635" s="21" t="s">
        <v>837</v>
      </c>
      <c r="F635" s="21" t="s">
        <v>724</v>
      </c>
      <c r="G635" s="21" t="s">
        <v>833</v>
      </c>
    </row>
    <row r="636" customFormat="false" ht="15" hidden="false" customHeight="false" outlineLevel="0" collapsed="false">
      <c r="B636" s="19" t="s">
        <v>1414</v>
      </c>
      <c r="C636" s="20" t="n">
        <f aca="false">ROUND(1.14/FX,2)</f>
        <v>0.16</v>
      </c>
      <c r="D636" s="21" t="s">
        <v>1411</v>
      </c>
      <c r="E636" s="21" t="s">
        <v>839</v>
      </c>
      <c r="F636" s="21" t="s">
        <v>724</v>
      </c>
      <c r="G636" s="21" t="s">
        <v>833</v>
      </c>
    </row>
    <row r="637" customFormat="false" ht="15" hidden="false" customHeight="false" outlineLevel="0" collapsed="false">
      <c r="B637" s="19" t="s">
        <v>1415</v>
      </c>
      <c r="C637" s="20" t="n">
        <f aca="false">ROUND(1.14/FX,2)</f>
        <v>0.16</v>
      </c>
      <c r="D637" s="21" t="s">
        <v>1411</v>
      </c>
      <c r="E637" s="21" t="s">
        <v>841</v>
      </c>
      <c r="F637" s="21" t="s">
        <v>724</v>
      </c>
      <c r="G637" s="21" t="s">
        <v>833</v>
      </c>
    </row>
    <row r="638" customFormat="false" ht="15" hidden="false" customHeight="false" outlineLevel="0" collapsed="false">
      <c r="B638" s="19" t="s">
        <v>1416</v>
      </c>
      <c r="C638" s="20" t="n">
        <f aca="false">ROUND(1.14/FX,2)</f>
        <v>0.16</v>
      </c>
      <c r="D638" s="21" t="s">
        <v>1411</v>
      </c>
      <c r="E638" s="21" t="s">
        <v>789</v>
      </c>
      <c r="F638" s="21" t="s">
        <v>724</v>
      </c>
      <c r="G638" s="21" t="s">
        <v>833</v>
      </c>
    </row>
    <row r="639" customFormat="false" ht="15" hidden="false" customHeight="false" outlineLevel="0" collapsed="false">
      <c r="B639" s="19" t="s">
        <v>1417</v>
      </c>
      <c r="C639" s="20" t="n">
        <f aca="false">ROUND(1.17/FX,2)</f>
        <v>0.16</v>
      </c>
      <c r="D639" s="21" t="s">
        <v>1411</v>
      </c>
      <c r="E639" s="21" t="s">
        <v>716</v>
      </c>
      <c r="F639" s="21" t="s">
        <v>724</v>
      </c>
      <c r="G639" s="21" t="s">
        <v>833</v>
      </c>
    </row>
    <row r="640" customFormat="false" ht="15" hidden="false" customHeight="false" outlineLevel="0" collapsed="false">
      <c r="B640" s="19" t="s">
        <v>1418</v>
      </c>
      <c r="C640" s="20" t="n">
        <f aca="false">ROUND(1.14/FX,2)</f>
        <v>0.16</v>
      </c>
      <c r="D640" s="21" t="s">
        <v>1411</v>
      </c>
      <c r="E640" s="21" t="s">
        <v>845</v>
      </c>
      <c r="F640" s="21" t="s">
        <v>724</v>
      </c>
      <c r="G640" s="21" t="s">
        <v>833</v>
      </c>
    </row>
    <row r="641" customFormat="false" ht="15" hidden="false" customHeight="false" outlineLevel="0" collapsed="false">
      <c r="B641" s="19" t="s">
        <v>1419</v>
      </c>
      <c r="C641" s="20" t="n">
        <f aca="false">ROUND(1.14/FX,2)</f>
        <v>0.16</v>
      </c>
      <c r="D641" s="21" t="s">
        <v>1411</v>
      </c>
      <c r="E641" s="21" t="s">
        <v>847</v>
      </c>
      <c r="F641" s="21" t="s">
        <v>724</v>
      </c>
      <c r="G641" s="21" t="s">
        <v>833</v>
      </c>
    </row>
    <row r="642" customFormat="false" ht="15" hidden="false" customHeight="false" outlineLevel="0" collapsed="false">
      <c r="B642" s="19" t="s">
        <v>1420</v>
      </c>
      <c r="C642" s="20" t="n">
        <f aca="false">ROUND(1.14/FX,2)</f>
        <v>0.16</v>
      </c>
      <c r="D642" s="21" t="s">
        <v>1411</v>
      </c>
      <c r="E642" s="21" t="s">
        <v>719</v>
      </c>
      <c r="F642" s="21" t="s">
        <v>724</v>
      </c>
      <c r="G642" s="21" t="s">
        <v>833</v>
      </c>
    </row>
    <row r="643" customFormat="false" ht="15" hidden="false" customHeight="false" outlineLevel="0" collapsed="false">
      <c r="B643" s="19" t="s">
        <v>1421</v>
      </c>
      <c r="C643" s="20" t="n">
        <f aca="false">ROUND(1.14/FX,2)</f>
        <v>0.16</v>
      </c>
      <c r="D643" s="21" t="s">
        <v>1422</v>
      </c>
      <c r="E643" s="21" t="s">
        <v>707</v>
      </c>
      <c r="F643" s="21" t="s">
        <v>724</v>
      </c>
      <c r="G643" s="21" t="s">
        <v>833</v>
      </c>
    </row>
    <row r="644" customFormat="false" ht="15" hidden="false" customHeight="false" outlineLevel="0" collapsed="false">
      <c r="B644" s="19" t="s">
        <v>1423</v>
      </c>
      <c r="C644" s="20" t="n">
        <f aca="false">ROUND(1.14/FX,2)</f>
        <v>0.16</v>
      </c>
      <c r="D644" s="21" t="s">
        <v>1422</v>
      </c>
      <c r="E644" s="21" t="s">
        <v>714</v>
      </c>
      <c r="F644" s="21" t="s">
        <v>724</v>
      </c>
      <c r="G644" s="21" t="s">
        <v>833</v>
      </c>
    </row>
    <row r="645" customFormat="false" ht="15" hidden="false" customHeight="false" outlineLevel="0" collapsed="false">
      <c r="B645" s="19" t="s">
        <v>1424</v>
      </c>
      <c r="C645" s="20" t="n">
        <f aca="false">ROUND(0.65/FX,2)</f>
        <v>0.09</v>
      </c>
      <c r="D645" s="21" t="s">
        <v>1422</v>
      </c>
      <c r="E645" s="21" t="s">
        <v>837</v>
      </c>
      <c r="F645" s="21" t="s">
        <v>724</v>
      </c>
      <c r="G645" s="21" t="s">
        <v>833</v>
      </c>
    </row>
    <row r="646" customFormat="false" ht="15" hidden="false" customHeight="false" outlineLevel="0" collapsed="false">
      <c r="B646" s="19" t="s">
        <v>1425</v>
      </c>
      <c r="C646" s="20" t="n">
        <f aca="false">ROUND(1.14/FX,2)</f>
        <v>0.16</v>
      </c>
      <c r="D646" s="21" t="s">
        <v>1422</v>
      </c>
      <c r="E646" s="21" t="s">
        <v>839</v>
      </c>
      <c r="F646" s="21" t="s">
        <v>724</v>
      </c>
      <c r="G646" s="21" t="s">
        <v>833</v>
      </c>
    </row>
    <row r="647" customFormat="false" ht="15" hidden="false" customHeight="false" outlineLevel="0" collapsed="false">
      <c r="B647" s="19" t="s">
        <v>1426</v>
      </c>
      <c r="C647" s="20" t="n">
        <f aca="false">ROUND(1.14/FX,2)</f>
        <v>0.16</v>
      </c>
      <c r="D647" s="21" t="s">
        <v>1422</v>
      </c>
      <c r="E647" s="21" t="s">
        <v>841</v>
      </c>
      <c r="F647" s="21" t="s">
        <v>724</v>
      </c>
      <c r="G647" s="21" t="s">
        <v>833</v>
      </c>
    </row>
    <row r="648" customFormat="false" ht="15" hidden="false" customHeight="false" outlineLevel="0" collapsed="false">
      <c r="B648" s="19" t="s">
        <v>1427</v>
      </c>
      <c r="C648" s="20" t="n">
        <f aca="false">ROUND(1.14/FX,2)</f>
        <v>0.16</v>
      </c>
      <c r="D648" s="21" t="s">
        <v>1422</v>
      </c>
      <c r="E648" s="21" t="s">
        <v>789</v>
      </c>
      <c r="F648" s="21" t="s">
        <v>724</v>
      </c>
      <c r="G648" s="21" t="s">
        <v>833</v>
      </c>
    </row>
    <row r="649" customFormat="false" ht="15" hidden="false" customHeight="false" outlineLevel="0" collapsed="false">
      <c r="B649" s="19" t="s">
        <v>1428</v>
      </c>
      <c r="C649" s="20" t="n">
        <f aca="false">ROUND(1.3/FX,2)</f>
        <v>0.18</v>
      </c>
      <c r="D649" s="21" t="s">
        <v>1422</v>
      </c>
      <c r="E649" s="21" t="s">
        <v>716</v>
      </c>
      <c r="F649" s="21" t="s">
        <v>724</v>
      </c>
      <c r="G649" s="21" t="s">
        <v>833</v>
      </c>
    </row>
    <row r="650" customFormat="false" ht="15" hidden="false" customHeight="false" outlineLevel="0" collapsed="false">
      <c r="B650" s="19" t="s">
        <v>1429</v>
      </c>
      <c r="C650" s="20" t="n">
        <f aca="false">ROUND(1.14/FX,2)</f>
        <v>0.16</v>
      </c>
      <c r="D650" s="21" t="s">
        <v>1422</v>
      </c>
      <c r="E650" s="21" t="s">
        <v>845</v>
      </c>
      <c r="F650" s="21" t="s">
        <v>724</v>
      </c>
      <c r="G650" s="21" t="s">
        <v>833</v>
      </c>
    </row>
    <row r="651" customFormat="false" ht="15" hidden="false" customHeight="false" outlineLevel="0" collapsed="false">
      <c r="B651" s="19" t="s">
        <v>1430</v>
      </c>
      <c r="C651" s="20" t="n">
        <f aca="false">ROUND(1.14/FX,2)</f>
        <v>0.16</v>
      </c>
      <c r="D651" s="21" t="s">
        <v>1422</v>
      </c>
      <c r="E651" s="21" t="s">
        <v>847</v>
      </c>
      <c r="F651" s="21" t="s">
        <v>724</v>
      </c>
      <c r="G651" s="21" t="s">
        <v>833</v>
      </c>
    </row>
    <row r="652" customFormat="false" ht="15" hidden="false" customHeight="false" outlineLevel="0" collapsed="false">
      <c r="B652" s="19" t="s">
        <v>1431</v>
      </c>
      <c r="C652" s="20" t="n">
        <f aca="false">ROUND(1.14/FX,2)</f>
        <v>0.16</v>
      </c>
      <c r="D652" s="21" t="s">
        <v>1422</v>
      </c>
      <c r="E652" s="21" t="s">
        <v>719</v>
      </c>
      <c r="F652" s="21" t="s">
        <v>724</v>
      </c>
      <c r="G652" s="21" t="s">
        <v>833</v>
      </c>
    </row>
    <row r="653" customFormat="false" ht="15" hidden="false" customHeight="false" outlineLevel="0" collapsed="false">
      <c r="B653" s="19" t="s">
        <v>1432</v>
      </c>
      <c r="C653" s="20" t="n">
        <f aca="false">ROUND(2.34/FX,2)</f>
        <v>0.33</v>
      </c>
      <c r="D653" s="21" t="s">
        <v>1433</v>
      </c>
      <c r="E653" s="21" t="s">
        <v>707</v>
      </c>
      <c r="F653" s="21" t="s">
        <v>724</v>
      </c>
      <c r="G653" s="21" t="s">
        <v>833</v>
      </c>
    </row>
    <row r="654" customFormat="false" ht="15" hidden="false" customHeight="false" outlineLevel="0" collapsed="false">
      <c r="B654" s="19" t="s">
        <v>1434</v>
      </c>
      <c r="C654" s="20" t="n">
        <f aca="false">ROUND(1.14/FX,2)</f>
        <v>0.16</v>
      </c>
      <c r="D654" s="21" t="s">
        <v>1433</v>
      </c>
      <c r="E654" s="21" t="s">
        <v>714</v>
      </c>
      <c r="F654" s="21" t="s">
        <v>724</v>
      </c>
      <c r="G654" s="21" t="s">
        <v>833</v>
      </c>
    </row>
    <row r="655" customFormat="false" ht="15" hidden="false" customHeight="false" outlineLevel="0" collapsed="false">
      <c r="B655" s="19" t="s">
        <v>1435</v>
      </c>
      <c r="C655" s="20" t="n">
        <f aca="false">ROUND(0.65/FX,2)</f>
        <v>0.09</v>
      </c>
      <c r="D655" s="21" t="s">
        <v>1433</v>
      </c>
      <c r="E655" s="21" t="s">
        <v>837</v>
      </c>
      <c r="F655" s="21" t="s">
        <v>724</v>
      </c>
      <c r="G655" s="21" t="s">
        <v>833</v>
      </c>
    </row>
    <row r="656" customFormat="false" ht="15" hidden="false" customHeight="false" outlineLevel="0" collapsed="false">
      <c r="B656" s="19" t="s">
        <v>1436</v>
      </c>
      <c r="C656" s="20" t="n">
        <f aca="false">ROUND(1.14/FX,2)</f>
        <v>0.16</v>
      </c>
      <c r="D656" s="21" t="s">
        <v>1433</v>
      </c>
      <c r="E656" s="21" t="s">
        <v>839</v>
      </c>
      <c r="F656" s="21" t="s">
        <v>724</v>
      </c>
      <c r="G656" s="21" t="s">
        <v>833</v>
      </c>
    </row>
    <row r="657" customFormat="false" ht="15" hidden="false" customHeight="false" outlineLevel="0" collapsed="false">
      <c r="B657" s="19" t="s">
        <v>1437</v>
      </c>
      <c r="C657" s="20" t="n">
        <f aca="false">ROUND(1.14/FX,2)</f>
        <v>0.16</v>
      </c>
      <c r="D657" s="21" t="s">
        <v>1433</v>
      </c>
      <c r="E657" s="21" t="s">
        <v>841</v>
      </c>
      <c r="F657" s="21" t="s">
        <v>724</v>
      </c>
      <c r="G657" s="21" t="s">
        <v>833</v>
      </c>
    </row>
    <row r="658" customFormat="false" ht="15" hidden="false" customHeight="false" outlineLevel="0" collapsed="false">
      <c r="B658" s="19" t="s">
        <v>1438</v>
      </c>
      <c r="C658" s="20" t="n">
        <f aca="false">ROUND(1.14/FX,2)</f>
        <v>0.16</v>
      </c>
      <c r="D658" s="21" t="s">
        <v>1433</v>
      </c>
      <c r="E658" s="21" t="s">
        <v>789</v>
      </c>
      <c r="F658" s="21" t="s">
        <v>724</v>
      </c>
      <c r="G658" s="21" t="s">
        <v>833</v>
      </c>
    </row>
    <row r="659" customFormat="false" ht="15" hidden="false" customHeight="false" outlineLevel="0" collapsed="false">
      <c r="B659" s="19" t="s">
        <v>1439</v>
      </c>
      <c r="C659" s="20" t="n">
        <f aca="false">ROUND(1.26/FX,2)</f>
        <v>0.18</v>
      </c>
      <c r="D659" s="21" t="s">
        <v>1433</v>
      </c>
      <c r="E659" s="21" t="s">
        <v>716</v>
      </c>
      <c r="F659" s="21" t="s">
        <v>724</v>
      </c>
      <c r="G659" s="21" t="s">
        <v>833</v>
      </c>
    </row>
    <row r="660" customFormat="false" ht="15" hidden="false" customHeight="false" outlineLevel="0" collapsed="false">
      <c r="B660" s="19" t="s">
        <v>1440</v>
      </c>
      <c r="C660" s="20" t="n">
        <f aca="false">ROUND(1.14/FX,2)</f>
        <v>0.16</v>
      </c>
      <c r="D660" s="21" t="s">
        <v>1433</v>
      </c>
      <c r="E660" s="21" t="s">
        <v>845</v>
      </c>
      <c r="F660" s="21" t="s">
        <v>724</v>
      </c>
      <c r="G660" s="21" t="s">
        <v>833</v>
      </c>
    </row>
    <row r="661" customFormat="false" ht="15" hidden="false" customHeight="false" outlineLevel="0" collapsed="false">
      <c r="B661" s="19" t="s">
        <v>1441</v>
      </c>
      <c r="C661" s="20" t="n">
        <f aca="false">ROUND(1.14/FX,2)</f>
        <v>0.16</v>
      </c>
      <c r="D661" s="21" t="s">
        <v>1433</v>
      </c>
      <c r="E661" s="21" t="s">
        <v>847</v>
      </c>
      <c r="F661" s="21" t="s">
        <v>724</v>
      </c>
      <c r="G661" s="21" t="s">
        <v>833</v>
      </c>
    </row>
    <row r="662" customFormat="false" ht="15" hidden="false" customHeight="false" outlineLevel="0" collapsed="false">
      <c r="B662" s="19" t="s">
        <v>1442</v>
      </c>
      <c r="C662" s="20" t="n">
        <f aca="false">ROUND(1.14/FX,2)</f>
        <v>0.16</v>
      </c>
      <c r="D662" s="21" t="s">
        <v>1433</v>
      </c>
      <c r="E662" s="21" t="s">
        <v>719</v>
      </c>
      <c r="F662" s="21" t="s">
        <v>724</v>
      </c>
      <c r="G662" s="21" t="s">
        <v>833</v>
      </c>
    </row>
    <row r="663" customFormat="false" ht="15" hidden="false" customHeight="false" outlineLevel="0" collapsed="false">
      <c r="B663" s="19" t="s">
        <v>1443</v>
      </c>
      <c r="C663" s="20" t="n">
        <f aca="false">ROUND(2.17/FX,2)</f>
        <v>0.3</v>
      </c>
      <c r="D663" s="21" t="s">
        <v>1444</v>
      </c>
      <c r="E663" s="21" t="s">
        <v>707</v>
      </c>
      <c r="F663" s="21" t="s">
        <v>724</v>
      </c>
      <c r="G663" s="21" t="s">
        <v>833</v>
      </c>
    </row>
    <row r="664" customFormat="false" ht="15" hidden="false" customHeight="false" outlineLevel="0" collapsed="false">
      <c r="B664" s="19" t="s">
        <v>1445</v>
      </c>
      <c r="C664" s="20" t="n">
        <f aca="false">ROUND(1.14/FX,2)</f>
        <v>0.16</v>
      </c>
      <c r="D664" s="21" t="s">
        <v>1444</v>
      </c>
      <c r="E664" s="21" t="s">
        <v>714</v>
      </c>
      <c r="F664" s="21" t="s">
        <v>724</v>
      </c>
      <c r="G664" s="21" t="s">
        <v>833</v>
      </c>
    </row>
    <row r="665" customFormat="false" ht="15" hidden="false" customHeight="false" outlineLevel="0" collapsed="false">
      <c r="B665" s="19" t="s">
        <v>1446</v>
      </c>
      <c r="C665" s="20" t="n">
        <f aca="false">ROUND(0.65/FX,2)</f>
        <v>0.09</v>
      </c>
      <c r="D665" s="21" t="s">
        <v>1444</v>
      </c>
      <c r="E665" s="21" t="s">
        <v>837</v>
      </c>
      <c r="F665" s="21" t="s">
        <v>724</v>
      </c>
      <c r="G665" s="21" t="s">
        <v>833</v>
      </c>
    </row>
    <row r="666" customFormat="false" ht="15" hidden="false" customHeight="false" outlineLevel="0" collapsed="false">
      <c r="B666" s="19" t="s">
        <v>1447</v>
      </c>
      <c r="C666" s="20" t="n">
        <f aca="false">ROUND(1.14/FX,2)</f>
        <v>0.16</v>
      </c>
      <c r="D666" s="21" t="s">
        <v>1444</v>
      </c>
      <c r="E666" s="21" t="s">
        <v>839</v>
      </c>
      <c r="F666" s="21" t="s">
        <v>724</v>
      </c>
      <c r="G666" s="21" t="s">
        <v>833</v>
      </c>
    </row>
    <row r="667" customFormat="false" ht="15" hidden="false" customHeight="false" outlineLevel="0" collapsed="false">
      <c r="B667" s="19" t="s">
        <v>1448</v>
      </c>
      <c r="C667" s="20" t="n">
        <f aca="false">ROUND(1.14/FX,2)</f>
        <v>0.16</v>
      </c>
      <c r="D667" s="21" t="s">
        <v>1444</v>
      </c>
      <c r="E667" s="21" t="s">
        <v>841</v>
      </c>
      <c r="F667" s="21" t="s">
        <v>724</v>
      </c>
      <c r="G667" s="21" t="s">
        <v>833</v>
      </c>
    </row>
    <row r="668" customFormat="false" ht="15" hidden="false" customHeight="false" outlineLevel="0" collapsed="false">
      <c r="B668" s="19" t="s">
        <v>1449</v>
      </c>
      <c r="C668" s="20" t="n">
        <f aca="false">ROUND(1.14/FX,2)</f>
        <v>0.16</v>
      </c>
      <c r="D668" s="21" t="s">
        <v>1444</v>
      </c>
      <c r="E668" s="21" t="s">
        <v>789</v>
      </c>
      <c r="F668" s="21" t="s">
        <v>724</v>
      </c>
      <c r="G668" s="21" t="s">
        <v>833</v>
      </c>
    </row>
    <row r="669" customFormat="false" ht="15" hidden="false" customHeight="false" outlineLevel="0" collapsed="false">
      <c r="B669" s="19" t="s">
        <v>1450</v>
      </c>
      <c r="C669" s="20" t="n">
        <f aca="false">ROUND(1.43/FX,2)</f>
        <v>0.2</v>
      </c>
      <c r="D669" s="21" t="s">
        <v>1444</v>
      </c>
      <c r="E669" s="21" t="s">
        <v>716</v>
      </c>
      <c r="F669" s="21" t="s">
        <v>724</v>
      </c>
      <c r="G669" s="21" t="s">
        <v>833</v>
      </c>
    </row>
    <row r="670" customFormat="false" ht="15" hidden="false" customHeight="false" outlineLevel="0" collapsed="false">
      <c r="B670" s="19" t="s">
        <v>1451</v>
      </c>
      <c r="C670" s="20" t="n">
        <f aca="false">ROUND(1.14/FX,2)</f>
        <v>0.16</v>
      </c>
      <c r="D670" s="21" t="s">
        <v>1444</v>
      </c>
      <c r="E670" s="21" t="s">
        <v>845</v>
      </c>
      <c r="F670" s="21" t="s">
        <v>724</v>
      </c>
      <c r="G670" s="21" t="s">
        <v>833</v>
      </c>
    </row>
    <row r="671" customFormat="false" ht="15" hidden="false" customHeight="false" outlineLevel="0" collapsed="false">
      <c r="B671" s="19" t="s">
        <v>1452</v>
      </c>
      <c r="C671" s="20" t="n">
        <f aca="false">ROUND(1.14/FX,2)</f>
        <v>0.16</v>
      </c>
      <c r="D671" s="21" t="s">
        <v>1444</v>
      </c>
      <c r="E671" s="21" t="s">
        <v>847</v>
      </c>
      <c r="F671" s="21" t="s">
        <v>724</v>
      </c>
      <c r="G671" s="21" t="s">
        <v>833</v>
      </c>
    </row>
    <row r="672" customFormat="false" ht="15" hidden="false" customHeight="false" outlineLevel="0" collapsed="false">
      <c r="B672" s="19" t="s">
        <v>1453</v>
      </c>
      <c r="C672" s="20" t="n">
        <f aca="false">ROUND(1.14/FX,2)</f>
        <v>0.16</v>
      </c>
      <c r="D672" s="21" t="s">
        <v>1444</v>
      </c>
      <c r="E672" s="21" t="s">
        <v>719</v>
      </c>
      <c r="F672" s="21" t="s">
        <v>724</v>
      </c>
      <c r="G672" s="21" t="s">
        <v>833</v>
      </c>
    </row>
    <row r="673" customFormat="false" ht="15" hidden="false" customHeight="false" outlineLevel="0" collapsed="false">
      <c r="B673" s="19" t="s">
        <v>1454</v>
      </c>
      <c r="C673" s="20" t="n">
        <f aca="false">ROUND(2.05/FX,2)</f>
        <v>0.28</v>
      </c>
      <c r="D673" s="21" t="s">
        <v>1455</v>
      </c>
      <c r="E673" s="21" t="s">
        <v>707</v>
      </c>
      <c r="F673" s="21" t="s">
        <v>724</v>
      </c>
      <c r="G673" s="21" t="s">
        <v>833</v>
      </c>
    </row>
    <row r="674" customFormat="false" ht="15" hidden="false" customHeight="false" outlineLevel="0" collapsed="false">
      <c r="B674" s="19" t="s">
        <v>1456</v>
      </c>
      <c r="C674" s="20" t="n">
        <f aca="false">ROUND(2.93/FX,2)</f>
        <v>0.41</v>
      </c>
      <c r="D674" s="21" t="s">
        <v>1455</v>
      </c>
      <c r="E674" s="21" t="s">
        <v>714</v>
      </c>
      <c r="F674" s="21" t="s">
        <v>724</v>
      </c>
      <c r="G674" s="21" t="s">
        <v>833</v>
      </c>
    </row>
    <row r="675" customFormat="false" ht="15" hidden="false" customHeight="false" outlineLevel="0" collapsed="false">
      <c r="B675" s="19" t="s">
        <v>1457</v>
      </c>
      <c r="C675" s="20" t="n">
        <f aca="false">ROUND(1.24/FX,2)</f>
        <v>0.17</v>
      </c>
      <c r="D675" s="21" t="s">
        <v>1455</v>
      </c>
      <c r="E675" s="21" t="s">
        <v>716</v>
      </c>
      <c r="F675" s="21" t="s">
        <v>724</v>
      </c>
      <c r="G675" s="21" t="s">
        <v>833</v>
      </c>
    </row>
    <row r="676" customFormat="false" ht="15" hidden="false" customHeight="false" outlineLevel="0" collapsed="false">
      <c r="B676" s="19" t="s">
        <v>1458</v>
      </c>
      <c r="C676" s="20" t="n">
        <f aca="false">ROUND(1.43/FX,2)</f>
        <v>0.2</v>
      </c>
      <c r="D676" s="21" t="s">
        <v>1455</v>
      </c>
      <c r="E676" s="21" t="s">
        <v>719</v>
      </c>
      <c r="F676" s="21" t="s">
        <v>724</v>
      </c>
      <c r="G676" s="21" t="s">
        <v>833</v>
      </c>
    </row>
    <row r="677" customFormat="false" ht="15" hidden="false" customHeight="false" outlineLevel="0" collapsed="false">
      <c r="B677" s="19" t="s">
        <v>1459</v>
      </c>
      <c r="C677" s="20" t="n">
        <f aca="false">ROUND(2.11/FX,2)</f>
        <v>0.29</v>
      </c>
      <c r="D677" s="21" t="s">
        <v>1460</v>
      </c>
      <c r="E677" s="21" t="s">
        <v>707</v>
      </c>
      <c r="F677" s="21" t="s">
        <v>724</v>
      </c>
      <c r="G677" s="21" t="s">
        <v>833</v>
      </c>
    </row>
    <row r="678" customFormat="false" ht="15" hidden="false" customHeight="false" outlineLevel="0" collapsed="false">
      <c r="B678" s="19" t="s">
        <v>1461</v>
      </c>
      <c r="C678" s="20" t="n">
        <f aca="false">ROUND(2.93/FX,2)</f>
        <v>0.41</v>
      </c>
      <c r="D678" s="21" t="s">
        <v>1460</v>
      </c>
      <c r="E678" s="21" t="s">
        <v>714</v>
      </c>
      <c r="F678" s="21" t="s">
        <v>724</v>
      </c>
      <c r="G678" s="21" t="s">
        <v>833</v>
      </c>
    </row>
    <row r="679" customFormat="false" ht="15" hidden="false" customHeight="false" outlineLevel="0" collapsed="false">
      <c r="B679" s="19" t="s">
        <v>1462</v>
      </c>
      <c r="C679" s="20" t="n">
        <f aca="false">ROUND(1.82/FX,2)</f>
        <v>0.25</v>
      </c>
      <c r="D679" s="21" t="s">
        <v>1460</v>
      </c>
      <c r="E679" s="21" t="s">
        <v>716</v>
      </c>
      <c r="F679" s="21" t="s">
        <v>724</v>
      </c>
      <c r="G679" s="21" t="s">
        <v>833</v>
      </c>
    </row>
    <row r="680" customFormat="false" ht="15" hidden="false" customHeight="false" outlineLevel="0" collapsed="false">
      <c r="B680" s="19" t="s">
        <v>1463</v>
      </c>
      <c r="C680" s="20" t="n">
        <f aca="false">ROUND(1.43/FX,2)</f>
        <v>0.2</v>
      </c>
      <c r="D680" s="21" t="s">
        <v>1460</v>
      </c>
      <c r="E680" s="21" t="s">
        <v>719</v>
      </c>
      <c r="F680" s="21" t="s">
        <v>724</v>
      </c>
      <c r="G680" s="21" t="s">
        <v>833</v>
      </c>
    </row>
    <row r="681" customFormat="false" ht="15" hidden="false" customHeight="false" outlineLevel="0" collapsed="false">
      <c r="B681" s="19" t="s">
        <v>1464</v>
      </c>
      <c r="C681" s="20" t="n">
        <f aca="false">ROUND(2.99/FX,2)</f>
        <v>0.42</v>
      </c>
      <c r="D681" s="21" t="s">
        <v>1465</v>
      </c>
      <c r="E681" s="21" t="s">
        <v>707</v>
      </c>
      <c r="F681" s="21" t="s">
        <v>724</v>
      </c>
      <c r="G681" s="21" t="s">
        <v>833</v>
      </c>
    </row>
    <row r="682" customFormat="false" ht="15" hidden="false" customHeight="false" outlineLevel="0" collapsed="false">
      <c r="B682" s="19" t="s">
        <v>1466</v>
      </c>
      <c r="C682" s="20" t="n">
        <f aca="false">ROUND(4.55/FX,2)</f>
        <v>0.63</v>
      </c>
      <c r="D682" s="21" t="s">
        <v>1465</v>
      </c>
      <c r="E682" s="21" t="s">
        <v>714</v>
      </c>
      <c r="F682" s="21" t="s">
        <v>724</v>
      </c>
      <c r="G682" s="21" t="s">
        <v>833</v>
      </c>
    </row>
    <row r="683" customFormat="false" ht="15" hidden="false" customHeight="false" outlineLevel="0" collapsed="false">
      <c r="B683" s="19" t="s">
        <v>1467</v>
      </c>
      <c r="C683" s="20" t="n">
        <f aca="false">ROUND(1.43/FX,2)</f>
        <v>0.2</v>
      </c>
      <c r="D683" s="21" t="s">
        <v>1465</v>
      </c>
      <c r="E683" s="21" t="s">
        <v>716</v>
      </c>
      <c r="F683" s="21" t="s">
        <v>724</v>
      </c>
      <c r="G683" s="21" t="s">
        <v>833</v>
      </c>
    </row>
    <row r="684" customFormat="false" ht="15" hidden="false" customHeight="false" outlineLevel="0" collapsed="false">
      <c r="B684" s="19" t="s">
        <v>1468</v>
      </c>
      <c r="C684" s="20" t="n">
        <f aca="false">ROUND(1.43/FX,2)</f>
        <v>0.2</v>
      </c>
      <c r="D684" s="21" t="s">
        <v>1465</v>
      </c>
      <c r="E684" s="21" t="s">
        <v>719</v>
      </c>
      <c r="F684" s="21" t="s">
        <v>724</v>
      </c>
      <c r="G684" s="21" t="s">
        <v>833</v>
      </c>
    </row>
    <row r="685" customFormat="false" ht="15" hidden="false" customHeight="false" outlineLevel="0" collapsed="false">
      <c r="B685" s="19" t="s">
        <v>1469</v>
      </c>
      <c r="C685" s="20" t="n">
        <f aca="false">ROUND(2.06/FX,2)</f>
        <v>0.29</v>
      </c>
      <c r="D685" s="21" t="s">
        <v>1470</v>
      </c>
      <c r="E685" s="21" t="s">
        <v>707</v>
      </c>
      <c r="F685" s="21" t="s">
        <v>724</v>
      </c>
      <c r="G685" s="21" t="s">
        <v>833</v>
      </c>
    </row>
    <row r="686" customFormat="false" ht="15" hidden="false" customHeight="false" outlineLevel="0" collapsed="false">
      <c r="B686" s="19" t="s">
        <v>1471</v>
      </c>
      <c r="C686" s="20" t="n">
        <f aca="false">ROUND(3.58/FX,2)</f>
        <v>0.5</v>
      </c>
      <c r="D686" s="21" t="s">
        <v>1470</v>
      </c>
      <c r="E686" s="21" t="s">
        <v>714</v>
      </c>
      <c r="F686" s="21" t="s">
        <v>724</v>
      </c>
      <c r="G686" s="21" t="s">
        <v>833</v>
      </c>
    </row>
    <row r="687" customFormat="false" ht="15" hidden="false" customHeight="false" outlineLevel="0" collapsed="false">
      <c r="B687" s="19" t="s">
        <v>1472</v>
      </c>
      <c r="C687" s="20" t="n">
        <f aca="false">ROUND(1.24/FX,2)</f>
        <v>0.17</v>
      </c>
      <c r="D687" s="21" t="s">
        <v>1470</v>
      </c>
      <c r="E687" s="21" t="s">
        <v>716</v>
      </c>
      <c r="F687" s="21" t="s">
        <v>724</v>
      </c>
      <c r="G687" s="21" t="s">
        <v>833</v>
      </c>
    </row>
    <row r="688" customFormat="false" ht="15" hidden="false" customHeight="false" outlineLevel="0" collapsed="false">
      <c r="B688" s="19" t="s">
        <v>1473</v>
      </c>
      <c r="C688" s="20" t="n">
        <f aca="false">ROUND(1.43/FX,2)</f>
        <v>0.2</v>
      </c>
      <c r="D688" s="21" t="s">
        <v>1470</v>
      </c>
      <c r="E688" s="21" t="s">
        <v>719</v>
      </c>
      <c r="F688" s="21" t="s">
        <v>724</v>
      </c>
      <c r="G688" s="21" t="s">
        <v>833</v>
      </c>
    </row>
    <row r="689" customFormat="false" ht="15" hidden="false" customHeight="false" outlineLevel="0" collapsed="false">
      <c r="B689" s="19" t="s">
        <v>1474</v>
      </c>
      <c r="C689" s="20" t="n">
        <f aca="false">ROUND(1.95/FX,2)</f>
        <v>0.27</v>
      </c>
      <c r="D689" s="21" t="s">
        <v>1475</v>
      </c>
      <c r="E689" s="21" t="s">
        <v>707</v>
      </c>
      <c r="F689" s="21" t="s">
        <v>724</v>
      </c>
      <c r="G689" s="21" t="s">
        <v>833</v>
      </c>
    </row>
    <row r="690" customFormat="false" ht="15" hidden="false" customHeight="false" outlineLevel="0" collapsed="false">
      <c r="B690" s="19" t="s">
        <v>1476</v>
      </c>
      <c r="C690" s="20" t="n">
        <f aca="false">ROUND(2.93/FX,2)</f>
        <v>0.41</v>
      </c>
      <c r="D690" s="21" t="s">
        <v>1475</v>
      </c>
      <c r="E690" s="21" t="s">
        <v>714</v>
      </c>
      <c r="F690" s="21" t="s">
        <v>724</v>
      </c>
      <c r="G690" s="21" t="s">
        <v>833</v>
      </c>
    </row>
    <row r="691" customFormat="false" ht="15" hidden="false" customHeight="false" outlineLevel="0" collapsed="false">
      <c r="B691" s="19" t="s">
        <v>1477</v>
      </c>
      <c r="C691" s="20" t="n">
        <f aca="false">ROUND(1.82/FX,2)</f>
        <v>0.25</v>
      </c>
      <c r="D691" s="21" t="s">
        <v>1475</v>
      </c>
      <c r="E691" s="21" t="s">
        <v>716</v>
      </c>
      <c r="F691" s="21" t="s">
        <v>724</v>
      </c>
      <c r="G691" s="21" t="s">
        <v>833</v>
      </c>
    </row>
    <row r="692" customFormat="false" ht="15" hidden="false" customHeight="false" outlineLevel="0" collapsed="false">
      <c r="B692" s="19" t="s">
        <v>1478</v>
      </c>
      <c r="C692" s="20" t="n">
        <f aca="false">ROUND(1.43/FX,2)</f>
        <v>0.2</v>
      </c>
      <c r="D692" s="21" t="s">
        <v>1475</v>
      </c>
      <c r="E692" s="21" t="s">
        <v>719</v>
      </c>
      <c r="F692" s="21" t="s">
        <v>724</v>
      </c>
      <c r="G692" s="21" t="s">
        <v>833</v>
      </c>
    </row>
    <row r="693" customFormat="false" ht="15" hidden="false" customHeight="false" outlineLevel="0" collapsed="false">
      <c r="B693" s="19" t="s">
        <v>1479</v>
      </c>
      <c r="C693" s="20" t="n">
        <f aca="false">ROUND(2.38/FX,2)</f>
        <v>0.33</v>
      </c>
      <c r="D693" s="21" t="s">
        <v>1480</v>
      </c>
      <c r="E693" s="21" t="s">
        <v>707</v>
      </c>
      <c r="F693" s="21" t="s">
        <v>724</v>
      </c>
      <c r="G693" s="21" t="s">
        <v>833</v>
      </c>
    </row>
    <row r="694" customFormat="false" ht="15" hidden="false" customHeight="false" outlineLevel="0" collapsed="false">
      <c r="B694" s="19" t="s">
        <v>1481</v>
      </c>
      <c r="C694" s="20" t="n">
        <f aca="false">ROUND(2.99/FX,2)</f>
        <v>0.42</v>
      </c>
      <c r="D694" s="21" t="s">
        <v>1480</v>
      </c>
      <c r="E694" s="21" t="s">
        <v>714</v>
      </c>
      <c r="F694" s="21" t="s">
        <v>724</v>
      </c>
      <c r="G694" s="21" t="s">
        <v>833</v>
      </c>
    </row>
    <row r="695" customFormat="false" ht="15" hidden="false" customHeight="false" outlineLevel="0" collapsed="false">
      <c r="B695" s="19" t="s">
        <v>1482</v>
      </c>
      <c r="C695" s="20" t="n">
        <f aca="false">ROUND(1.5/FX,2)</f>
        <v>0.21</v>
      </c>
      <c r="D695" s="21" t="s">
        <v>1480</v>
      </c>
      <c r="E695" s="21" t="s">
        <v>716</v>
      </c>
      <c r="F695" s="21" t="s">
        <v>724</v>
      </c>
      <c r="G695" s="21" t="s">
        <v>833</v>
      </c>
    </row>
    <row r="696" customFormat="false" ht="15" hidden="false" customHeight="false" outlineLevel="0" collapsed="false">
      <c r="B696" s="19" t="s">
        <v>1483</v>
      </c>
      <c r="C696" s="20" t="n">
        <f aca="false">ROUND(1.43/FX,2)</f>
        <v>0.2</v>
      </c>
      <c r="D696" s="21" t="s">
        <v>1480</v>
      </c>
      <c r="E696" s="21" t="s">
        <v>719</v>
      </c>
      <c r="F696" s="21" t="s">
        <v>724</v>
      </c>
      <c r="G696" s="21" t="s">
        <v>833</v>
      </c>
    </row>
    <row r="697" customFormat="false" ht="15" hidden="false" customHeight="false" outlineLevel="0" collapsed="false">
      <c r="B697" s="19" t="s">
        <v>1484</v>
      </c>
      <c r="C697" s="20" t="n">
        <f aca="false">ROUND(2.38/FX,2)</f>
        <v>0.33</v>
      </c>
      <c r="D697" s="21" t="s">
        <v>1485</v>
      </c>
      <c r="E697" s="21" t="s">
        <v>707</v>
      </c>
      <c r="F697" s="21" t="s">
        <v>724</v>
      </c>
      <c r="G697" s="21" t="s">
        <v>833</v>
      </c>
    </row>
    <row r="698" customFormat="false" ht="15" hidden="false" customHeight="false" outlineLevel="0" collapsed="false">
      <c r="B698" s="19" t="s">
        <v>1486</v>
      </c>
      <c r="C698" s="20" t="n">
        <f aca="false">ROUND(2.93/FX,2)</f>
        <v>0.41</v>
      </c>
      <c r="D698" s="21" t="s">
        <v>1485</v>
      </c>
      <c r="E698" s="21" t="s">
        <v>714</v>
      </c>
      <c r="F698" s="21" t="s">
        <v>724</v>
      </c>
      <c r="G698" s="21" t="s">
        <v>833</v>
      </c>
    </row>
    <row r="699" customFormat="false" ht="15" hidden="false" customHeight="false" outlineLevel="0" collapsed="false">
      <c r="B699" s="19" t="s">
        <v>1487</v>
      </c>
      <c r="C699" s="20" t="n">
        <f aca="false">ROUND(1.82/FX,2)</f>
        <v>0.25</v>
      </c>
      <c r="D699" s="21" t="s">
        <v>1485</v>
      </c>
      <c r="E699" s="21" t="s">
        <v>716</v>
      </c>
      <c r="F699" s="21" t="s">
        <v>724</v>
      </c>
      <c r="G699" s="21" t="s">
        <v>833</v>
      </c>
    </row>
    <row r="700" customFormat="false" ht="15" hidden="false" customHeight="false" outlineLevel="0" collapsed="false">
      <c r="B700" s="19" t="s">
        <v>1488</v>
      </c>
      <c r="C700" s="20" t="n">
        <f aca="false">ROUND(1.43/FX,2)</f>
        <v>0.2</v>
      </c>
      <c r="D700" s="21" t="s">
        <v>1485</v>
      </c>
      <c r="E700" s="21" t="s">
        <v>719</v>
      </c>
      <c r="F700" s="21" t="s">
        <v>724</v>
      </c>
      <c r="G700" s="21" t="s">
        <v>833</v>
      </c>
    </row>
    <row r="701" customFormat="false" ht="15" hidden="false" customHeight="false" outlineLevel="0" collapsed="false">
      <c r="B701" s="19" t="s">
        <v>1489</v>
      </c>
      <c r="C701" s="20" t="n">
        <f aca="false">ROUND(1.95/FX,2)</f>
        <v>0.27</v>
      </c>
      <c r="D701" s="21" t="s">
        <v>1490</v>
      </c>
      <c r="E701" s="21" t="s">
        <v>707</v>
      </c>
      <c r="F701" s="21" t="s">
        <v>724</v>
      </c>
      <c r="G701" s="21" t="s">
        <v>833</v>
      </c>
    </row>
    <row r="702" customFormat="false" ht="15" hidden="false" customHeight="false" outlineLevel="0" collapsed="false">
      <c r="B702" s="19" t="s">
        <v>1491</v>
      </c>
      <c r="C702" s="20" t="n">
        <f aca="false">ROUND(2.93/FX,2)</f>
        <v>0.41</v>
      </c>
      <c r="D702" s="21" t="s">
        <v>1490</v>
      </c>
      <c r="E702" s="21" t="s">
        <v>714</v>
      </c>
      <c r="F702" s="21" t="s">
        <v>724</v>
      </c>
      <c r="G702" s="21" t="s">
        <v>833</v>
      </c>
    </row>
    <row r="703" customFormat="false" ht="15" hidden="false" customHeight="false" outlineLevel="0" collapsed="false">
      <c r="B703" s="19" t="s">
        <v>1492</v>
      </c>
      <c r="C703" s="20" t="n">
        <f aca="false">ROUND(1.3/FX,2)</f>
        <v>0.18</v>
      </c>
      <c r="D703" s="21" t="s">
        <v>1490</v>
      </c>
      <c r="E703" s="21" t="s">
        <v>716</v>
      </c>
      <c r="F703" s="21" t="s">
        <v>724</v>
      </c>
      <c r="G703" s="21" t="s">
        <v>833</v>
      </c>
    </row>
    <row r="704" customFormat="false" ht="15" hidden="false" customHeight="false" outlineLevel="0" collapsed="false">
      <c r="B704" s="19" t="s">
        <v>1493</v>
      </c>
      <c r="C704" s="20" t="n">
        <f aca="false">ROUND(1.43/FX,2)</f>
        <v>0.2</v>
      </c>
      <c r="D704" s="21" t="s">
        <v>1490</v>
      </c>
      <c r="E704" s="21" t="s">
        <v>719</v>
      </c>
      <c r="F704" s="21" t="s">
        <v>724</v>
      </c>
      <c r="G704" s="21" t="s">
        <v>833</v>
      </c>
    </row>
    <row r="705" customFormat="false" ht="15" hidden="false" customHeight="false" outlineLevel="0" collapsed="false">
      <c r="B705" s="19" t="s">
        <v>1494</v>
      </c>
      <c r="C705" s="20" t="n">
        <f aca="false">ROUND(2.17/FX,2)</f>
        <v>0.3</v>
      </c>
      <c r="D705" s="21" t="s">
        <v>1495</v>
      </c>
      <c r="E705" s="21" t="s">
        <v>707</v>
      </c>
      <c r="F705" s="21" t="s">
        <v>724</v>
      </c>
      <c r="G705" s="21" t="s">
        <v>833</v>
      </c>
    </row>
    <row r="706" customFormat="false" ht="15" hidden="false" customHeight="false" outlineLevel="0" collapsed="false">
      <c r="B706" s="19" t="s">
        <v>1496</v>
      </c>
      <c r="C706" s="20" t="n">
        <f aca="false">ROUND(2.93/FX,2)</f>
        <v>0.41</v>
      </c>
      <c r="D706" s="21" t="s">
        <v>1495</v>
      </c>
      <c r="E706" s="21" t="s">
        <v>714</v>
      </c>
      <c r="F706" s="21" t="s">
        <v>724</v>
      </c>
      <c r="G706" s="21" t="s">
        <v>833</v>
      </c>
    </row>
    <row r="707" customFormat="false" ht="15" hidden="false" customHeight="false" outlineLevel="0" collapsed="false">
      <c r="B707" s="19" t="s">
        <v>1497</v>
      </c>
      <c r="C707" s="20" t="n">
        <f aca="false">ROUND(1.5/FX,2)</f>
        <v>0.21</v>
      </c>
      <c r="D707" s="21" t="s">
        <v>1495</v>
      </c>
      <c r="E707" s="21" t="s">
        <v>716</v>
      </c>
      <c r="F707" s="21" t="s">
        <v>724</v>
      </c>
      <c r="G707" s="21" t="s">
        <v>833</v>
      </c>
    </row>
    <row r="708" customFormat="false" ht="15" hidden="false" customHeight="false" outlineLevel="0" collapsed="false">
      <c r="B708" s="19" t="s">
        <v>1498</v>
      </c>
      <c r="C708" s="20" t="n">
        <f aca="false">ROUND(1.43/FX,2)</f>
        <v>0.2</v>
      </c>
      <c r="D708" s="21" t="s">
        <v>1495</v>
      </c>
      <c r="E708" s="21" t="s">
        <v>719</v>
      </c>
      <c r="F708" s="21" t="s">
        <v>724</v>
      </c>
      <c r="G708" s="21" t="s">
        <v>833</v>
      </c>
    </row>
    <row r="709" customFormat="false" ht="15" hidden="false" customHeight="false" outlineLevel="0" collapsed="false">
      <c r="B709" s="19" t="s">
        <v>1499</v>
      </c>
      <c r="C709" s="20" t="n">
        <f aca="false">ROUND(1.95/FX,2)</f>
        <v>0.27</v>
      </c>
      <c r="D709" s="21" t="s">
        <v>1500</v>
      </c>
      <c r="E709" s="21" t="s">
        <v>707</v>
      </c>
      <c r="F709" s="21" t="s">
        <v>724</v>
      </c>
      <c r="G709" s="21" t="s">
        <v>833</v>
      </c>
    </row>
    <row r="710" customFormat="false" ht="15" hidden="false" customHeight="false" outlineLevel="0" collapsed="false">
      <c r="B710" s="19" t="s">
        <v>1501</v>
      </c>
      <c r="C710" s="20" t="n">
        <f aca="false">ROUND(3.71/FX,2)</f>
        <v>0.52</v>
      </c>
      <c r="D710" s="21" t="s">
        <v>1500</v>
      </c>
      <c r="E710" s="21" t="s">
        <v>714</v>
      </c>
      <c r="F710" s="21" t="s">
        <v>724</v>
      </c>
      <c r="G710" s="21" t="s">
        <v>833</v>
      </c>
    </row>
    <row r="711" customFormat="false" ht="15" hidden="false" customHeight="false" outlineLevel="0" collapsed="false">
      <c r="B711" s="19" t="s">
        <v>1502</v>
      </c>
      <c r="C711" s="20" t="n">
        <f aca="false">ROUND(1.43/FX,2)</f>
        <v>0.2</v>
      </c>
      <c r="D711" s="21" t="s">
        <v>1500</v>
      </c>
      <c r="E711" s="21" t="s">
        <v>716</v>
      </c>
      <c r="F711" s="21" t="s">
        <v>724</v>
      </c>
      <c r="G711" s="21" t="s">
        <v>833</v>
      </c>
    </row>
    <row r="712" customFormat="false" ht="15" hidden="false" customHeight="false" outlineLevel="0" collapsed="false">
      <c r="B712" s="19" t="s">
        <v>1503</v>
      </c>
      <c r="C712" s="20" t="n">
        <f aca="false">ROUND(1.43/FX,2)</f>
        <v>0.2</v>
      </c>
      <c r="D712" s="21" t="s">
        <v>1500</v>
      </c>
      <c r="E712" s="21" t="s">
        <v>719</v>
      </c>
      <c r="F712" s="21" t="s">
        <v>724</v>
      </c>
      <c r="G712" s="21" t="s">
        <v>833</v>
      </c>
    </row>
    <row r="713" customFormat="false" ht="15" hidden="false" customHeight="false" outlineLevel="0" collapsed="false">
      <c r="B713" s="19" t="s">
        <v>1504</v>
      </c>
      <c r="C713" s="20" t="n">
        <f aca="false">ROUND(2.17/FX,2)</f>
        <v>0.3</v>
      </c>
      <c r="D713" s="21" t="s">
        <v>1505</v>
      </c>
      <c r="E713" s="21" t="s">
        <v>707</v>
      </c>
      <c r="F713" s="21" t="s">
        <v>724</v>
      </c>
      <c r="G713" s="21" t="s">
        <v>833</v>
      </c>
    </row>
    <row r="714" customFormat="false" ht="15" hidden="false" customHeight="false" outlineLevel="0" collapsed="false">
      <c r="B714" s="19" t="s">
        <v>1506</v>
      </c>
      <c r="C714" s="20" t="n">
        <f aca="false">ROUND(3.9/FX,2)</f>
        <v>0.54</v>
      </c>
      <c r="D714" s="21" t="s">
        <v>1505</v>
      </c>
      <c r="E714" s="21" t="s">
        <v>714</v>
      </c>
      <c r="F714" s="21" t="s">
        <v>724</v>
      </c>
      <c r="G714" s="21" t="s">
        <v>833</v>
      </c>
    </row>
    <row r="715" customFormat="false" ht="15" hidden="false" customHeight="false" outlineLevel="0" collapsed="false">
      <c r="B715" s="19" t="s">
        <v>1507</v>
      </c>
      <c r="C715" s="20" t="n">
        <f aca="false">ROUND(1.3/FX,2)</f>
        <v>0.18</v>
      </c>
      <c r="D715" s="21" t="s">
        <v>1505</v>
      </c>
      <c r="E715" s="21" t="s">
        <v>716</v>
      </c>
      <c r="F715" s="21" t="s">
        <v>724</v>
      </c>
      <c r="G715" s="21" t="s">
        <v>833</v>
      </c>
    </row>
    <row r="716" customFormat="false" ht="15" hidden="false" customHeight="false" outlineLevel="0" collapsed="false">
      <c r="B716" s="19" t="s">
        <v>1508</v>
      </c>
      <c r="C716" s="20" t="n">
        <f aca="false">ROUND(1.43/FX,2)</f>
        <v>0.2</v>
      </c>
      <c r="D716" s="21" t="s">
        <v>1505</v>
      </c>
      <c r="E716" s="21" t="s">
        <v>719</v>
      </c>
      <c r="F716" s="21" t="s">
        <v>724</v>
      </c>
      <c r="G716" s="21" t="s">
        <v>833</v>
      </c>
    </row>
    <row r="717" customFormat="false" ht="15" hidden="false" customHeight="false" outlineLevel="0" collapsed="false">
      <c r="B717" s="19" t="s">
        <v>1509</v>
      </c>
      <c r="C717" s="20" t="n">
        <f aca="false">ROUND(2.41/FX,2)</f>
        <v>0.33</v>
      </c>
      <c r="D717" s="21" t="s">
        <v>1510</v>
      </c>
      <c r="E717" s="21" t="s">
        <v>707</v>
      </c>
      <c r="F717" s="21" t="s">
        <v>724</v>
      </c>
      <c r="G717" s="21" t="s">
        <v>833</v>
      </c>
    </row>
    <row r="718" customFormat="false" ht="15" hidden="false" customHeight="false" outlineLevel="0" collapsed="false">
      <c r="B718" s="19" t="s">
        <v>1511</v>
      </c>
      <c r="C718" s="20" t="n">
        <f aca="false">ROUND(2.93/FX,2)</f>
        <v>0.41</v>
      </c>
      <c r="D718" s="21" t="s">
        <v>1510</v>
      </c>
      <c r="E718" s="21" t="s">
        <v>714</v>
      </c>
      <c r="F718" s="21" t="s">
        <v>724</v>
      </c>
      <c r="G718" s="21" t="s">
        <v>833</v>
      </c>
    </row>
    <row r="719" customFormat="false" ht="15" hidden="false" customHeight="false" outlineLevel="0" collapsed="false">
      <c r="B719" s="19" t="s">
        <v>1512</v>
      </c>
      <c r="C719" s="20" t="n">
        <f aca="false">ROUND(1.3/FX,2)</f>
        <v>0.18</v>
      </c>
      <c r="D719" s="21" t="s">
        <v>1510</v>
      </c>
      <c r="E719" s="21" t="s">
        <v>716</v>
      </c>
      <c r="F719" s="21" t="s">
        <v>724</v>
      </c>
      <c r="G719" s="21" t="s">
        <v>833</v>
      </c>
    </row>
    <row r="720" customFormat="false" ht="15" hidden="false" customHeight="false" outlineLevel="0" collapsed="false">
      <c r="B720" s="19" t="s">
        <v>1513</v>
      </c>
      <c r="C720" s="20" t="n">
        <f aca="false">ROUND(1.43/FX,2)</f>
        <v>0.2</v>
      </c>
      <c r="D720" s="21" t="s">
        <v>1510</v>
      </c>
      <c r="E720" s="21" t="s">
        <v>719</v>
      </c>
      <c r="F720" s="21" t="s">
        <v>724</v>
      </c>
      <c r="G720" s="21" t="s">
        <v>833</v>
      </c>
    </row>
    <row r="721" customFormat="false" ht="15" hidden="false" customHeight="false" outlineLevel="0" collapsed="false">
      <c r="B721" s="19" t="s">
        <v>1514</v>
      </c>
      <c r="C721" s="20" t="n">
        <f aca="false">ROUND(1.95/FX,2)</f>
        <v>0.27</v>
      </c>
      <c r="D721" s="21" t="s">
        <v>1515</v>
      </c>
      <c r="E721" s="21" t="s">
        <v>707</v>
      </c>
      <c r="F721" s="21" t="s">
        <v>724</v>
      </c>
      <c r="G721" s="21" t="s">
        <v>833</v>
      </c>
    </row>
    <row r="722" customFormat="false" ht="15" hidden="false" customHeight="false" outlineLevel="0" collapsed="false">
      <c r="B722" s="19" t="s">
        <v>1516</v>
      </c>
      <c r="C722" s="20" t="n">
        <f aca="false">ROUND(2.93/FX,2)</f>
        <v>0.41</v>
      </c>
      <c r="D722" s="21" t="s">
        <v>1515</v>
      </c>
      <c r="E722" s="21" t="s">
        <v>714</v>
      </c>
      <c r="F722" s="21" t="s">
        <v>724</v>
      </c>
      <c r="G722" s="21" t="s">
        <v>833</v>
      </c>
    </row>
    <row r="723" customFormat="false" ht="15" hidden="false" customHeight="false" outlineLevel="0" collapsed="false">
      <c r="B723" s="19" t="s">
        <v>1517</v>
      </c>
      <c r="C723" s="20" t="n">
        <f aca="false">ROUND(1.5/FX,2)</f>
        <v>0.21</v>
      </c>
      <c r="D723" s="21" t="s">
        <v>1515</v>
      </c>
      <c r="E723" s="21" t="s">
        <v>716</v>
      </c>
      <c r="F723" s="21" t="s">
        <v>724</v>
      </c>
      <c r="G723" s="21" t="s">
        <v>833</v>
      </c>
    </row>
    <row r="724" customFormat="false" ht="15" hidden="false" customHeight="false" outlineLevel="0" collapsed="false">
      <c r="B724" s="19" t="s">
        <v>1518</v>
      </c>
      <c r="C724" s="20" t="n">
        <f aca="false">ROUND(1.43/FX,2)</f>
        <v>0.2</v>
      </c>
      <c r="D724" s="21" t="s">
        <v>1515</v>
      </c>
      <c r="E724" s="21" t="s">
        <v>719</v>
      </c>
      <c r="F724" s="21" t="s">
        <v>724</v>
      </c>
      <c r="G724" s="21" t="s">
        <v>833</v>
      </c>
    </row>
    <row r="725" customFormat="false" ht="15" hidden="false" customHeight="false" outlineLevel="0" collapsed="false">
      <c r="B725" s="19" t="s">
        <v>1519</v>
      </c>
      <c r="C725" s="20" t="n">
        <f aca="false">ROUND(2.15/FX,2)</f>
        <v>0.3</v>
      </c>
      <c r="D725" s="21" t="s">
        <v>1520</v>
      </c>
      <c r="E725" s="21" t="s">
        <v>707</v>
      </c>
      <c r="F725" s="21" t="s">
        <v>724</v>
      </c>
      <c r="G725" s="21" t="s">
        <v>833</v>
      </c>
    </row>
    <row r="726" customFormat="false" ht="15" hidden="false" customHeight="false" outlineLevel="0" collapsed="false">
      <c r="B726" s="19" t="s">
        <v>1521</v>
      </c>
      <c r="C726" s="20" t="n">
        <f aca="false">ROUND(3.25/FX,2)</f>
        <v>0.45</v>
      </c>
      <c r="D726" s="21" t="s">
        <v>1520</v>
      </c>
      <c r="E726" s="21" t="s">
        <v>714</v>
      </c>
      <c r="F726" s="21" t="s">
        <v>724</v>
      </c>
      <c r="G726" s="21" t="s">
        <v>833</v>
      </c>
    </row>
    <row r="727" customFormat="false" ht="15" hidden="false" customHeight="false" outlineLevel="0" collapsed="false">
      <c r="B727" s="19" t="s">
        <v>1522</v>
      </c>
      <c r="C727" s="20" t="n">
        <f aca="false">ROUND(1.3/FX,2)</f>
        <v>0.18</v>
      </c>
      <c r="D727" s="21" t="s">
        <v>1520</v>
      </c>
      <c r="E727" s="21" t="s">
        <v>716</v>
      </c>
      <c r="F727" s="21" t="s">
        <v>724</v>
      </c>
      <c r="G727" s="21" t="s">
        <v>833</v>
      </c>
    </row>
    <row r="728" customFormat="false" ht="15" hidden="false" customHeight="false" outlineLevel="0" collapsed="false">
      <c r="B728" s="19" t="s">
        <v>1523</v>
      </c>
      <c r="C728" s="20" t="n">
        <f aca="false">ROUND(1.95/FX,2)</f>
        <v>0.27</v>
      </c>
      <c r="D728" s="21" t="s">
        <v>1520</v>
      </c>
      <c r="E728" s="21" t="s">
        <v>719</v>
      </c>
      <c r="F728" s="21" t="s">
        <v>724</v>
      </c>
      <c r="G728" s="21" t="s">
        <v>833</v>
      </c>
    </row>
    <row r="729" customFormat="false" ht="15" hidden="false" customHeight="false" outlineLevel="0" collapsed="false">
      <c r="B729" s="19" t="s">
        <v>1524</v>
      </c>
      <c r="C729" s="20" t="n">
        <f aca="false">ROUND(3.25/FX,2)</f>
        <v>0.45</v>
      </c>
      <c r="D729" s="21" t="s">
        <v>1525</v>
      </c>
      <c r="E729" s="21" t="s">
        <v>707</v>
      </c>
      <c r="F729" s="21" t="s">
        <v>724</v>
      </c>
      <c r="G729" s="21" t="s">
        <v>833</v>
      </c>
    </row>
    <row r="730" customFormat="false" ht="15" hidden="false" customHeight="false" outlineLevel="0" collapsed="false">
      <c r="B730" s="19" t="s">
        <v>1526</v>
      </c>
      <c r="C730" s="20" t="n">
        <f aca="false">ROUND(2.86/FX,2)</f>
        <v>0.4</v>
      </c>
      <c r="D730" s="21" t="s">
        <v>1525</v>
      </c>
      <c r="E730" s="21" t="s">
        <v>714</v>
      </c>
      <c r="F730" s="21" t="s">
        <v>724</v>
      </c>
      <c r="G730" s="21" t="s">
        <v>833</v>
      </c>
    </row>
    <row r="731" customFormat="false" ht="15" hidden="false" customHeight="false" outlineLevel="0" collapsed="false">
      <c r="B731" s="19" t="s">
        <v>1527</v>
      </c>
      <c r="C731" s="20" t="n">
        <f aca="false">ROUND(1.43/FX,2)</f>
        <v>0.2</v>
      </c>
      <c r="D731" s="21" t="s">
        <v>1525</v>
      </c>
      <c r="E731" s="21" t="s">
        <v>716</v>
      </c>
      <c r="F731" s="21" t="s">
        <v>724</v>
      </c>
      <c r="G731" s="21" t="s">
        <v>833</v>
      </c>
    </row>
    <row r="732" customFormat="false" ht="15" hidden="false" customHeight="false" outlineLevel="0" collapsed="false">
      <c r="B732" s="19" t="s">
        <v>1528</v>
      </c>
      <c r="C732" s="20" t="n">
        <f aca="false">ROUND(1.43/FX,2)</f>
        <v>0.2</v>
      </c>
      <c r="D732" s="21" t="s">
        <v>1525</v>
      </c>
      <c r="E732" s="21" t="s">
        <v>719</v>
      </c>
      <c r="F732" s="21" t="s">
        <v>724</v>
      </c>
      <c r="G732" s="21" t="s">
        <v>833</v>
      </c>
    </row>
    <row r="733" customFormat="false" ht="15" hidden="false" customHeight="false" outlineLevel="0" collapsed="false">
      <c r="B733" s="19" t="s">
        <v>1529</v>
      </c>
      <c r="C733" s="20" t="n">
        <f aca="false">ROUND(1.95/FX,2)</f>
        <v>0.27</v>
      </c>
      <c r="D733" s="21" t="s">
        <v>1530</v>
      </c>
      <c r="E733" s="21" t="s">
        <v>707</v>
      </c>
      <c r="F733" s="21" t="s">
        <v>724</v>
      </c>
      <c r="G733" s="21" t="s">
        <v>833</v>
      </c>
    </row>
    <row r="734" customFormat="false" ht="15" hidden="false" customHeight="false" outlineLevel="0" collapsed="false">
      <c r="B734" s="19" t="s">
        <v>1531</v>
      </c>
      <c r="C734" s="20" t="n">
        <f aca="false">ROUND(2.93/FX,2)</f>
        <v>0.41</v>
      </c>
      <c r="D734" s="21" t="s">
        <v>1530</v>
      </c>
      <c r="E734" s="21" t="s">
        <v>714</v>
      </c>
      <c r="F734" s="21" t="s">
        <v>724</v>
      </c>
      <c r="G734" s="21" t="s">
        <v>833</v>
      </c>
    </row>
    <row r="735" customFormat="false" ht="15" hidden="false" customHeight="false" outlineLevel="0" collapsed="false">
      <c r="B735" s="19" t="s">
        <v>1532</v>
      </c>
      <c r="C735" s="20" t="n">
        <f aca="false">ROUND(1.3/FX,2)</f>
        <v>0.18</v>
      </c>
      <c r="D735" s="21" t="s">
        <v>1530</v>
      </c>
      <c r="E735" s="21" t="s">
        <v>716</v>
      </c>
      <c r="F735" s="21" t="s">
        <v>724</v>
      </c>
      <c r="G735" s="21" t="s">
        <v>833</v>
      </c>
    </row>
    <row r="736" customFormat="false" ht="15" hidden="false" customHeight="false" outlineLevel="0" collapsed="false">
      <c r="B736" s="19" t="s">
        <v>1533</v>
      </c>
      <c r="C736" s="20" t="n">
        <f aca="false">ROUND(1.43/FX,2)</f>
        <v>0.2</v>
      </c>
      <c r="D736" s="21" t="s">
        <v>1530</v>
      </c>
      <c r="E736" s="21" t="s">
        <v>719</v>
      </c>
      <c r="F736" s="21" t="s">
        <v>724</v>
      </c>
      <c r="G736" s="21" t="s">
        <v>833</v>
      </c>
    </row>
    <row r="737" customFormat="false" ht="15" hidden="false" customHeight="false" outlineLevel="0" collapsed="false">
      <c r="B737" s="19" t="s">
        <v>1534</v>
      </c>
      <c r="C737" s="20" t="n">
        <f aca="false">ROUND(2.6/FX,2)</f>
        <v>0.36</v>
      </c>
      <c r="D737" s="21" t="s">
        <v>1535</v>
      </c>
      <c r="E737" s="21" t="s">
        <v>707</v>
      </c>
      <c r="F737" s="21" t="s">
        <v>724</v>
      </c>
      <c r="G737" s="21" t="s">
        <v>833</v>
      </c>
    </row>
    <row r="738" customFormat="false" ht="15" hidden="false" customHeight="false" outlineLevel="0" collapsed="false">
      <c r="B738" s="19" t="s">
        <v>1536</v>
      </c>
      <c r="C738" s="20" t="n">
        <f aca="false">ROUND(2.93/FX,2)</f>
        <v>0.41</v>
      </c>
      <c r="D738" s="21" t="s">
        <v>1535</v>
      </c>
      <c r="E738" s="21" t="s">
        <v>714</v>
      </c>
      <c r="F738" s="21" t="s">
        <v>724</v>
      </c>
      <c r="G738" s="21" t="s">
        <v>833</v>
      </c>
    </row>
    <row r="739" customFormat="false" ht="15" hidden="false" customHeight="false" outlineLevel="0" collapsed="false">
      <c r="B739" s="19" t="s">
        <v>1537</v>
      </c>
      <c r="C739" s="20" t="n">
        <f aca="false">ROUND(1.37/FX,2)</f>
        <v>0.19</v>
      </c>
      <c r="D739" s="21" t="s">
        <v>1535</v>
      </c>
      <c r="E739" s="21" t="s">
        <v>716</v>
      </c>
      <c r="F739" s="21" t="s">
        <v>724</v>
      </c>
      <c r="G739" s="21" t="s">
        <v>833</v>
      </c>
    </row>
    <row r="740" customFormat="false" ht="15" hidden="false" customHeight="false" outlineLevel="0" collapsed="false">
      <c r="B740" s="19" t="s">
        <v>1538</v>
      </c>
      <c r="C740" s="20" t="n">
        <f aca="false">ROUND(1.43/FX,2)</f>
        <v>0.2</v>
      </c>
      <c r="D740" s="21" t="s">
        <v>1535</v>
      </c>
      <c r="E740" s="21" t="s">
        <v>719</v>
      </c>
      <c r="F740" s="21" t="s">
        <v>724</v>
      </c>
      <c r="G740" s="21" t="s">
        <v>833</v>
      </c>
    </row>
    <row r="741" customFormat="false" ht="15" hidden="false" customHeight="false" outlineLevel="0" collapsed="false">
      <c r="B741" s="19" t="s">
        <v>1539</v>
      </c>
      <c r="C741" s="20" t="n">
        <f aca="false">ROUND(2.47/FX,2)</f>
        <v>0.34</v>
      </c>
      <c r="D741" s="21" t="s">
        <v>1540</v>
      </c>
      <c r="E741" s="21" t="s">
        <v>707</v>
      </c>
      <c r="F741" s="21" t="s">
        <v>724</v>
      </c>
      <c r="G741" s="21" t="s">
        <v>833</v>
      </c>
    </row>
    <row r="742" customFormat="false" ht="15" hidden="false" customHeight="false" outlineLevel="0" collapsed="false">
      <c r="B742" s="19" t="s">
        <v>1541</v>
      </c>
      <c r="C742" s="20" t="n">
        <f aca="false">ROUND(2.93/FX,2)</f>
        <v>0.41</v>
      </c>
      <c r="D742" s="21" t="s">
        <v>1540</v>
      </c>
      <c r="E742" s="21" t="s">
        <v>714</v>
      </c>
      <c r="F742" s="21" t="s">
        <v>724</v>
      </c>
      <c r="G742" s="21" t="s">
        <v>833</v>
      </c>
    </row>
    <row r="743" customFormat="false" ht="15" hidden="false" customHeight="false" outlineLevel="0" collapsed="false">
      <c r="B743" s="19" t="s">
        <v>1542</v>
      </c>
      <c r="C743" s="20" t="n">
        <f aca="false">ROUND(1.37/FX,2)</f>
        <v>0.19</v>
      </c>
      <c r="D743" s="21" t="s">
        <v>1540</v>
      </c>
      <c r="E743" s="21" t="s">
        <v>716</v>
      </c>
      <c r="F743" s="21" t="s">
        <v>724</v>
      </c>
      <c r="G743" s="21" t="s">
        <v>833</v>
      </c>
    </row>
    <row r="744" customFormat="false" ht="15" hidden="false" customHeight="false" outlineLevel="0" collapsed="false">
      <c r="B744" s="19" t="s">
        <v>1543</v>
      </c>
      <c r="C744" s="20" t="n">
        <f aca="false">ROUND(1.43/FX,2)</f>
        <v>0.2</v>
      </c>
      <c r="D744" s="21" t="s">
        <v>1540</v>
      </c>
      <c r="E744" s="21" t="s">
        <v>719</v>
      </c>
      <c r="F744" s="21" t="s">
        <v>724</v>
      </c>
      <c r="G744" s="21" t="s">
        <v>833</v>
      </c>
    </row>
    <row r="745" customFormat="false" ht="15" hidden="false" customHeight="false" outlineLevel="0" collapsed="false">
      <c r="B745" s="19" t="s">
        <v>1544</v>
      </c>
      <c r="C745" s="20" t="n">
        <f aca="false">ROUND(2.67/FX,2)</f>
        <v>0.37</v>
      </c>
      <c r="D745" s="21" t="s">
        <v>1545</v>
      </c>
      <c r="E745" s="21" t="s">
        <v>707</v>
      </c>
      <c r="F745" s="21" t="s">
        <v>724</v>
      </c>
      <c r="G745" s="21" t="s">
        <v>833</v>
      </c>
    </row>
    <row r="746" customFormat="false" ht="15" hidden="false" customHeight="false" outlineLevel="0" collapsed="false">
      <c r="B746" s="19" t="s">
        <v>1546</v>
      </c>
      <c r="C746" s="20" t="n">
        <f aca="false">ROUND(2.93/FX,2)</f>
        <v>0.41</v>
      </c>
      <c r="D746" s="21" t="s">
        <v>1545</v>
      </c>
      <c r="E746" s="21" t="s">
        <v>714</v>
      </c>
      <c r="F746" s="21" t="s">
        <v>724</v>
      </c>
      <c r="G746" s="21" t="s">
        <v>833</v>
      </c>
    </row>
    <row r="747" customFormat="false" ht="15" hidden="false" customHeight="false" outlineLevel="0" collapsed="false">
      <c r="B747" s="19" t="s">
        <v>1547</v>
      </c>
      <c r="C747" s="20" t="n">
        <f aca="false">ROUND(1.37/FX,2)</f>
        <v>0.19</v>
      </c>
      <c r="D747" s="21" t="s">
        <v>1545</v>
      </c>
      <c r="E747" s="21" t="s">
        <v>716</v>
      </c>
      <c r="F747" s="21" t="s">
        <v>724</v>
      </c>
      <c r="G747" s="21" t="s">
        <v>833</v>
      </c>
    </row>
    <row r="748" customFormat="false" ht="15" hidden="false" customHeight="false" outlineLevel="0" collapsed="false">
      <c r="B748" s="19" t="s">
        <v>1548</v>
      </c>
      <c r="C748" s="20" t="n">
        <f aca="false">ROUND(1.43/FX,2)</f>
        <v>0.2</v>
      </c>
      <c r="D748" s="21" t="s">
        <v>1545</v>
      </c>
      <c r="E748" s="21" t="s">
        <v>719</v>
      </c>
      <c r="F748" s="21" t="s">
        <v>724</v>
      </c>
      <c r="G748" s="21" t="s">
        <v>833</v>
      </c>
    </row>
    <row r="749" customFormat="false" ht="15" hidden="false" customHeight="false" outlineLevel="0" collapsed="false">
      <c r="B749" s="19" t="s">
        <v>1549</v>
      </c>
      <c r="C749" s="20" t="n">
        <f aca="false">ROUND(2.28/FX,2)</f>
        <v>0.32</v>
      </c>
      <c r="D749" s="21" t="s">
        <v>1550</v>
      </c>
      <c r="E749" s="21" t="s">
        <v>707</v>
      </c>
      <c r="F749" s="21" t="s">
        <v>724</v>
      </c>
      <c r="G749" s="21" t="s">
        <v>833</v>
      </c>
    </row>
    <row r="750" customFormat="false" ht="15" hidden="false" customHeight="false" outlineLevel="0" collapsed="false">
      <c r="B750" s="19" t="s">
        <v>1551</v>
      </c>
      <c r="C750" s="20" t="n">
        <f aca="false">ROUND(2.93/FX,2)</f>
        <v>0.41</v>
      </c>
      <c r="D750" s="21" t="s">
        <v>1550</v>
      </c>
      <c r="E750" s="21" t="s">
        <v>714</v>
      </c>
      <c r="F750" s="21" t="s">
        <v>724</v>
      </c>
      <c r="G750" s="21" t="s">
        <v>833</v>
      </c>
    </row>
    <row r="751" customFormat="false" ht="15" hidden="false" customHeight="false" outlineLevel="0" collapsed="false">
      <c r="B751" s="19" t="s">
        <v>1552</v>
      </c>
      <c r="C751" s="20" t="n">
        <f aca="false">ROUND(1.38/FX,2)</f>
        <v>0.19</v>
      </c>
      <c r="D751" s="21" t="s">
        <v>1550</v>
      </c>
      <c r="E751" s="21" t="s">
        <v>716</v>
      </c>
      <c r="F751" s="21" t="s">
        <v>724</v>
      </c>
      <c r="G751" s="21" t="s">
        <v>833</v>
      </c>
    </row>
    <row r="752" customFormat="false" ht="15" hidden="false" customHeight="false" outlineLevel="0" collapsed="false">
      <c r="B752" s="19" t="s">
        <v>1553</v>
      </c>
      <c r="C752" s="20" t="n">
        <f aca="false">ROUND(1.43/FX,2)</f>
        <v>0.2</v>
      </c>
      <c r="D752" s="21" t="s">
        <v>1550</v>
      </c>
      <c r="E752" s="21" t="s">
        <v>719</v>
      </c>
      <c r="F752" s="21" t="s">
        <v>724</v>
      </c>
      <c r="G752" s="21" t="s">
        <v>833</v>
      </c>
    </row>
    <row r="753" customFormat="false" ht="15" hidden="false" customHeight="false" outlineLevel="0" collapsed="false">
      <c r="B753" s="19" t="s">
        <v>1554</v>
      </c>
      <c r="C753" s="20" t="n">
        <f aca="false">ROUND(2.32/FX,2)</f>
        <v>0.32</v>
      </c>
      <c r="D753" s="21" t="s">
        <v>1555</v>
      </c>
      <c r="E753" s="21" t="s">
        <v>707</v>
      </c>
      <c r="F753" s="21" t="s">
        <v>724</v>
      </c>
      <c r="G753" s="21" t="s">
        <v>833</v>
      </c>
    </row>
    <row r="754" customFormat="false" ht="15" hidden="false" customHeight="false" outlineLevel="0" collapsed="false">
      <c r="B754" s="19" t="s">
        <v>1556</v>
      </c>
      <c r="C754" s="20" t="n">
        <f aca="false">ROUND(1.43/FX,2)</f>
        <v>0.2</v>
      </c>
      <c r="D754" s="21" t="s">
        <v>1555</v>
      </c>
      <c r="E754" s="21" t="s">
        <v>714</v>
      </c>
      <c r="F754" s="21" t="s">
        <v>724</v>
      </c>
      <c r="G754" s="21" t="s">
        <v>833</v>
      </c>
    </row>
    <row r="755" customFormat="false" ht="15" hidden="false" customHeight="false" outlineLevel="0" collapsed="false">
      <c r="B755" s="19" t="s">
        <v>1557</v>
      </c>
      <c r="C755" s="20" t="n">
        <f aca="false">ROUND(1.39/FX,2)</f>
        <v>0.19</v>
      </c>
      <c r="D755" s="21" t="s">
        <v>1555</v>
      </c>
      <c r="E755" s="21" t="s">
        <v>716</v>
      </c>
      <c r="F755" s="21" t="s">
        <v>724</v>
      </c>
      <c r="G755" s="21" t="s">
        <v>833</v>
      </c>
    </row>
    <row r="756" customFormat="false" ht="15" hidden="false" customHeight="false" outlineLevel="0" collapsed="false">
      <c r="B756" s="19" t="s">
        <v>1558</v>
      </c>
      <c r="C756" s="20" t="n">
        <f aca="false">ROUND(1.43/FX,2)</f>
        <v>0.2</v>
      </c>
      <c r="D756" s="21" t="s">
        <v>1555</v>
      </c>
      <c r="E756" s="21" t="s">
        <v>719</v>
      </c>
      <c r="F756" s="21" t="s">
        <v>724</v>
      </c>
      <c r="G756" s="21" t="s">
        <v>833</v>
      </c>
    </row>
    <row r="757" customFormat="false" ht="15" hidden="false" customHeight="false" outlineLevel="0" collapsed="false">
      <c r="B757" s="19" t="s">
        <v>1559</v>
      </c>
      <c r="C757" s="20" t="n">
        <f aca="false">ROUND(1.43/FX,2)</f>
        <v>0.2</v>
      </c>
      <c r="D757" s="21" t="s">
        <v>1560</v>
      </c>
      <c r="E757" s="21" t="s">
        <v>707</v>
      </c>
      <c r="F757" s="21" t="s">
        <v>724</v>
      </c>
      <c r="G757" s="21" t="s">
        <v>833</v>
      </c>
    </row>
    <row r="758" customFormat="false" ht="15" hidden="false" customHeight="false" outlineLevel="0" collapsed="false">
      <c r="B758" s="19" t="s">
        <v>1561</v>
      </c>
      <c r="C758" s="20" t="n">
        <f aca="false">ROUND(1.43/FX,2)</f>
        <v>0.2</v>
      </c>
      <c r="D758" s="21" t="s">
        <v>1560</v>
      </c>
      <c r="E758" s="21" t="s">
        <v>714</v>
      </c>
      <c r="F758" s="21" t="s">
        <v>724</v>
      </c>
      <c r="G758" s="21" t="s">
        <v>833</v>
      </c>
    </row>
    <row r="759" customFormat="false" ht="15" hidden="false" customHeight="false" outlineLevel="0" collapsed="false">
      <c r="B759" s="19" t="s">
        <v>1562</v>
      </c>
      <c r="C759" s="20" t="n">
        <f aca="false">ROUND(1.43/FX,2)</f>
        <v>0.2</v>
      </c>
      <c r="D759" s="21" t="s">
        <v>1560</v>
      </c>
      <c r="E759" s="21" t="s">
        <v>716</v>
      </c>
      <c r="F759" s="21" t="s">
        <v>724</v>
      </c>
      <c r="G759" s="21" t="s">
        <v>833</v>
      </c>
    </row>
    <row r="760" customFormat="false" ht="15" hidden="false" customHeight="false" outlineLevel="0" collapsed="false">
      <c r="B760" s="19" t="s">
        <v>1563</v>
      </c>
      <c r="C760" s="20" t="n">
        <f aca="false">ROUND(1.43/FX,2)</f>
        <v>0.2</v>
      </c>
      <c r="D760" s="21" t="s">
        <v>1560</v>
      </c>
      <c r="E760" s="21" t="s">
        <v>719</v>
      </c>
      <c r="F760" s="21" t="s">
        <v>724</v>
      </c>
      <c r="G760" s="21" t="s">
        <v>833</v>
      </c>
    </row>
    <row r="761" customFormat="false" ht="15" hidden="false" customHeight="false" outlineLevel="0" collapsed="false">
      <c r="B761" s="19" t="s">
        <v>1564</v>
      </c>
      <c r="C761" s="20" t="n">
        <f aca="false">ROUND(2.32/FX,2)</f>
        <v>0.32</v>
      </c>
      <c r="D761" s="21" t="s">
        <v>1565</v>
      </c>
      <c r="E761" s="21" t="s">
        <v>707</v>
      </c>
      <c r="F761" s="21" t="s">
        <v>724</v>
      </c>
      <c r="G761" s="21" t="s">
        <v>833</v>
      </c>
    </row>
    <row r="762" customFormat="false" ht="15" hidden="false" customHeight="false" outlineLevel="0" collapsed="false">
      <c r="B762" s="19" t="s">
        <v>1566</v>
      </c>
      <c r="C762" s="20" t="n">
        <f aca="false">ROUND(1.39/FX,2)</f>
        <v>0.19</v>
      </c>
      <c r="D762" s="21" t="s">
        <v>1565</v>
      </c>
      <c r="E762" s="21" t="s">
        <v>714</v>
      </c>
      <c r="F762" s="21" t="s">
        <v>724</v>
      </c>
      <c r="G762" s="21" t="s">
        <v>833</v>
      </c>
    </row>
    <row r="763" customFormat="false" ht="15" hidden="false" customHeight="false" outlineLevel="0" collapsed="false">
      <c r="B763" s="19" t="s">
        <v>1567</v>
      </c>
      <c r="C763" s="20" t="n">
        <f aca="false">ROUND(1.39/FX,2)</f>
        <v>0.19</v>
      </c>
      <c r="D763" s="21" t="s">
        <v>1565</v>
      </c>
      <c r="E763" s="21" t="s">
        <v>716</v>
      </c>
      <c r="F763" s="21" t="s">
        <v>724</v>
      </c>
      <c r="G763" s="21" t="s">
        <v>833</v>
      </c>
    </row>
    <row r="764" customFormat="false" ht="15" hidden="false" customHeight="false" outlineLevel="0" collapsed="false">
      <c r="B764" s="19" t="s">
        <v>1568</v>
      </c>
      <c r="C764" s="20" t="n">
        <f aca="false">ROUND(1.39/FX,2)</f>
        <v>0.19</v>
      </c>
      <c r="D764" s="21" t="s">
        <v>1565</v>
      </c>
      <c r="E764" s="21" t="s">
        <v>719</v>
      </c>
      <c r="F764" s="21" t="s">
        <v>724</v>
      </c>
      <c r="G764" s="21" t="s">
        <v>833</v>
      </c>
    </row>
    <row r="765" customFormat="false" ht="15" hidden="false" customHeight="false" outlineLevel="0" collapsed="false">
      <c r="B765" s="19" t="s">
        <v>1569</v>
      </c>
      <c r="C765" s="20" t="n">
        <f aca="false">ROUND(2.28/FX,2)</f>
        <v>0.32</v>
      </c>
      <c r="D765" s="21" t="s">
        <v>1570</v>
      </c>
      <c r="E765" s="21" t="s">
        <v>707</v>
      </c>
      <c r="F765" s="21" t="s">
        <v>724</v>
      </c>
      <c r="G765" s="21" t="s">
        <v>833</v>
      </c>
    </row>
    <row r="766" customFormat="false" ht="15" hidden="false" customHeight="false" outlineLevel="0" collapsed="false">
      <c r="B766" s="19" t="s">
        <v>1571</v>
      </c>
      <c r="C766" s="20" t="n">
        <f aca="false">ROUND(3.51/FX,2)</f>
        <v>0.49</v>
      </c>
      <c r="D766" s="21" t="s">
        <v>1570</v>
      </c>
      <c r="E766" s="21" t="s">
        <v>714</v>
      </c>
      <c r="F766" s="21" t="s">
        <v>724</v>
      </c>
      <c r="G766" s="21" t="s">
        <v>833</v>
      </c>
    </row>
    <row r="767" customFormat="false" ht="15" hidden="false" customHeight="false" outlineLevel="0" collapsed="false">
      <c r="B767" s="19" t="s">
        <v>1572</v>
      </c>
      <c r="C767" s="20" t="n">
        <f aca="false">ROUND(1.39/FX,2)</f>
        <v>0.19</v>
      </c>
      <c r="D767" s="21" t="s">
        <v>1570</v>
      </c>
      <c r="E767" s="21" t="s">
        <v>716</v>
      </c>
      <c r="F767" s="21" t="s">
        <v>724</v>
      </c>
      <c r="G767" s="21" t="s">
        <v>833</v>
      </c>
    </row>
    <row r="768" customFormat="false" ht="15" hidden="false" customHeight="false" outlineLevel="0" collapsed="false">
      <c r="B768" s="19" t="s">
        <v>1573</v>
      </c>
      <c r="C768" s="20" t="n">
        <f aca="false">ROUND(1.43/FX,2)</f>
        <v>0.2</v>
      </c>
      <c r="D768" s="21" t="s">
        <v>1570</v>
      </c>
      <c r="E768" s="21" t="s">
        <v>719</v>
      </c>
      <c r="F768" s="21" t="s">
        <v>724</v>
      </c>
      <c r="G768" s="21" t="s">
        <v>833</v>
      </c>
    </row>
    <row r="769" customFormat="false" ht="15" hidden="false" customHeight="false" outlineLevel="0" collapsed="false">
      <c r="B769" s="19" t="s">
        <v>1574</v>
      </c>
      <c r="C769" s="20" t="n">
        <f aca="false">ROUND(1.82/FX,2)</f>
        <v>0.25</v>
      </c>
      <c r="D769" s="21" t="s">
        <v>1575</v>
      </c>
      <c r="E769" s="21" t="s">
        <v>707</v>
      </c>
      <c r="F769" s="21" t="s">
        <v>724</v>
      </c>
      <c r="G769" s="21" t="s">
        <v>833</v>
      </c>
    </row>
    <row r="770" customFormat="false" ht="15" hidden="false" customHeight="false" outlineLevel="0" collapsed="false">
      <c r="B770" s="19" t="s">
        <v>1576</v>
      </c>
      <c r="C770" s="20" t="n">
        <f aca="false">ROUND(2.93/FX,2)</f>
        <v>0.41</v>
      </c>
      <c r="D770" s="21" t="s">
        <v>1575</v>
      </c>
      <c r="E770" s="21" t="s">
        <v>714</v>
      </c>
      <c r="F770" s="21" t="s">
        <v>724</v>
      </c>
      <c r="G770" s="21" t="s">
        <v>833</v>
      </c>
    </row>
    <row r="771" customFormat="false" ht="15" hidden="false" customHeight="false" outlineLevel="0" collapsed="false">
      <c r="B771" s="19" t="s">
        <v>1577</v>
      </c>
      <c r="C771" s="20" t="n">
        <f aca="false">ROUND(1.4/FX,2)</f>
        <v>0.19</v>
      </c>
      <c r="D771" s="21" t="s">
        <v>1575</v>
      </c>
      <c r="E771" s="21" t="s">
        <v>716</v>
      </c>
      <c r="F771" s="21" t="s">
        <v>724</v>
      </c>
      <c r="G771" s="21" t="s">
        <v>833</v>
      </c>
    </row>
    <row r="772" customFormat="false" ht="15" hidden="false" customHeight="false" outlineLevel="0" collapsed="false">
      <c r="B772" s="19" t="s">
        <v>1578</v>
      </c>
      <c r="C772" s="20" t="n">
        <f aca="false">ROUND(1.43/FX,2)</f>
        <v>0.2</v>
      </c>
      <c r="D772" s="21" t="s">
        <v>1575</v>
      </c>
      <c r="E772" s="21" t="s">
        <v>719</v>
      </c>
      <c r="F772" s="21" t="s">
        <v>724</v>
      </c>
      <c r="G772" s="21" t="s">
        <v>833</v>
      </c>
    </row>
    <row r="773" customFormat="false" ht="15" hidden="false" customHeight="false" outlineLevel="0" collapsed="false">
      <c r="B773" s="19" t="s">
        <v>1579</v>
      </c>
      <c r="C773" s="20" t="n">
        <f aca="false">ROUND(1.95/FX,2)</f>
        <v>0.27</v>
      </c>
      <c r="D773" s="21" t="s">
        <v>1580</v>
      </c>
      <c r="E773" s="21" t="s">
        <v>707</v>
      </c>
      <c r="F773" s="21" t="s">
        <v>724</v>
      </c>
      <c r="G773" s="21" t="s">
        <v>833</v>
      </c>
    </row>
    <row r="774" customFormat="false" ht="15" hidden="false" customHeight="false" outlineLevel="0" collapsed="false">
      <c r="B774" s="19" t="s">
        <v>1581</v>
      </c>
      <c r="C774" s="20" t="n">
        <f aca="false">ROUND(2.93/FX,2)</f>
        <v>0.41</v>
      </c>
      <c r="D774" s="21" t="s">
        <v>1580</v>
      </c>
      <c r="E774" s="21" t="s">
        <v>714</v>
      </c>
      <c r="F774" s="21" t="s">
        <v>724</v>
      </c>
      <c r="G774" s="21" t="s">
        <v>833</v>
      </c>
    </row>
    <row r="775" customFormat="false" ht="15" hidden="false" customHeight="false" outlineLevel="0" collapsed="false">
      <c r="B775" s="19" t="s">
        <v>1582</v>
      </c>
      <c r="C775" s="20" t="n">
        <f aca="false">ROUND(1.4/FX,2)</f>
        <v>0.19</v>
      </c>
      <c r="D775" s="21" t="s">
        <v>1580</v>
      </c>
      <c r="E775" s="21" t="s">
        <v>716</v>
      </c>
      <c r="F775" s="21" t="s">
        <v>724</v>
      </c>
      <c r="G775" s="21" t="s">
        <v>833</v>
      </c>
    </row>
    <row r="776" customFormat="false" ht="15" hidden="false" customHeight="false" outlineLevel="0" collapsed="false">
      <c r="B776" s="19" t="s">
        <v>1583</v>
      </c>
      <c r="C776" s="20" t="n">
        <f aca="false">ROUND(1.43/FX,2)</f>
        <v>0.2</v>
      </c>
      <c r="D776" s="21" t="s">
        <v>1580</v>
      </c>
      <c r="E776" s="21" t="s">
        <v>719</v>
      </c>
      <c r="F776" s="21" t="s">
        <v>724</v>
      </c>
      <c r="G776" s="21" t="s">
        <v>833</v>
      </c>
    </row>
    <row r="777" customFormat="false" ht="15" hidden="false" customHeight="false" outlineLevel="0" collapsed="false">
      <c r="B777" s="19" t="s">
        <v>1584</v>
      </c>
      <c r="C777" s="20" t="n">
        <f aca="false">ROUND(2.05/FX,2)</f>
        <v>0.28</v>
      </c>
      <c r="D777" s="21" t="s">
        <v>1585</v>
      </c>
      <c r="E777" s="21" t="s">
        <v>707</v>
      </c>
      <c r="F777" s="21" t="s">
        <v>724</v>
      </c>
      <c r="G777" s="21" t="s">
        <v>833</v>
      </c>
    </row>
    <row r="778" customFormat="false" ht="15" hidden="false" customHeight="false" outlineLevel="0" collapsed="false">
      <c r="B778" s="19" t="s">
        <v>1586</v>
      </c>
      <c r="C778" s="20" t="n">
        <f aca="false">ROUND(3.08/FX,2)</f>
        <v>0.43</v>
      </c>
      <c r="D778" s="21" t="s">
        <v>1585</v>
      </c>
      <c r="E778" s="21" t="s">
        <v>714</v>
      </c>
      <c r="F778" s="21" t="s">
        <v>724</v>
      </c>
      <c r="G778" s="21" t="s">
        <v>833</v>
      </c>
    </row>
    <row r="779" customFormat="false" ht="15" hidden="false" customHeight="false" outlineLevel="0" collapsed="false">
      <c r="B779" s="19" t="s">
        <v>1587</v>
      </c>
      <c r="C779" s="20" t="n">
        <f aca="false">ROUND(1.69/FX,2)</f>
        <v>0.23</v>
      </c>
      <c r="D779" s="21" t="s">
        <v>1585</v>
      </c>
      <c r="E779" s="21" t="s">
        <v>716</v>
      </c>
      <c r="F779" s="21" t="s">
        <v>724</v>
      </c>
      <c r="G779" s="21" t="s">
        <v>833</v>
      </c>
    </row>
    <row r="780" customFormat="false" ht="15" hidden="false" customHeight="false" outlineLevel="0" collapsed="false">
      <c r="B780" s="19" t="s">
        <v>1588</v>
      </c>
      <c r="C780" s="20" t="n">
        <f aca="false">ROUND(1.43/FX,2)</f>
        <v>0.2</v>
      </c>
      <c r="D780" s="21" t="s">
        <v>1585</v>
      </c>
      <c r="E780" s="21" t="s">
        <v>719</v>
      </c>
      <c r="F780" s="21" t="s">
        <v>724</v>
      </c>
      <c r="G780" s="21" t="s">
        <v>833</v>
      </c>
    </row>
    <row r="781" customFormat="false" ht="15" hidden="false" customHeight="false" outlineLevel="0" collapsed="false">
      <c r="B781" s="19" t="s">
        <v>1589</v>
      </c>
      <c r="C781" s="20" t="n">
        <f aca="false">ROUND(2.38/FX,2)</f>
        <v>0.33</v>
      </c>
      <c r="D781" s="21" t="s">
        <v>1590</v>
      </c>
      <c r="E781" s="21" t="s">
        <v>707</v>
      </c>
      <c r="F781" s="21" t="s">
        <v>724</v>
      </c>
      <c r="G781" s="21" t="s">
        <v>833</v>
      </c>
    </row>
    <row r="782" customFormat="false" ht="15" hidden="false" customHeight="false" outlineLevel="0" collapsed="false">
      <c r="B782" s="19" t="s">
        <v>1591</v>
      </c>
      <c r="C782" s="20" t="n">
        <f aca="false">ROUND(1.14/FX,2)</f>
        <v>0.16</v>
      </c>
      <c r="D782" s="21" t="s">
        <v>1590</v>
      </c>
      <c r="E782" s="21" t="s">
        <v>714</v>
      </c>
      <c r="F782" s="21" t="s">
        <v>724</v>
      </c>
      <c r="G782" s="21" t="s">
        <v>833</v>
      </c>
    </row>
    <row r="783" customFormat="false" ht="15" hidden="false" customHeight="false" outlineLevel="0" collapsed="false">
      <c r="B783" s="19" t="s">
        <v>1592</v>
      </c>
      <c r="C783" s="20" t="n">
        <f aca="false">ROUND(1.69/FX,2)</f>
        <v>0.23</v>
      </c>
      <c r="D783" s="21" t="s">
        <v>1590</v>
      </c>
      <c r="E783" s="21" t="s">
        <v>716</v>
      </c>
      <c r="F783" s="21" t="s">
        <v>724</v>
      </c>
      <c r="G783" s="21" t="s">
        <v>833</v>
      </c>
    </row>
    <row r="784" customFormat="false" ht="15" hidden="false" customHeight="false" outlineLevel="0" collapsed="false">
      <c r="B784" s="19" t="s">
        <v>1593</v>
      </c>
      <c r="C784" s="20" t="n">
        <f aca="false">ROUND(1.43/FX,2)</f>
        <v>0.2</v>
      </c>
      <c r="D784" s="21" t="s">
        <v>1590</v>
      </c>
      <c r="E784" s="21" t="s">
        <v>719</v>
      </c>
      <c r="F784" s="21" t="s">
        <v>724</v>
      </c>
      <c r="G784" s="21" t="s">
        <v>833</v>
      </c>
    </row>
    <row r="785" customFormat="false" ht="15" hidden="false" customHeight="false" outlineLevel="0" collapsed="false">
      <c r="B785" s="19" t="s">
        <v>1594</v>
      </c>
      <c r="C785" s="20" t="n">
        <f aca="false">ROUND(2.38/FX,2)</f>
        <v>0.33</v>
      </c>
      <c r="D785" s="21" t="s">
        <v>1595</v>
      </c>
      <c r="E785" s="21" t="s">
        <v>707</v>
      </c>
      <c r="F785" s="21" t="s">
        <v>724</v>
      </c>
      <c r="G785" s="21" t="s">
        <v>833</v>
      </c>
    </row>
    <row r="786" customFormat="false" ht="15" hidden="false" customHeight="false" outlineLevel="0" collapsed="false">
      <c r="B786" s="19" t="s">
        <v>1596</v>
      </c>
      <c r="C786" s="20" t="n">
        <f aca="false">ROUND(5.2/FX,2)</f>
        <v>0.72</v>
      </c>
      <c r="D786" s="21" t="s">
        <v>1595</v>
      </c>
      <c r="E786" s="21" t="s">
        <v>714</v>
      </c>
      <c r="F786" s="21" t="s">
        <v>724</v>
      </c>
      <c r="G786" s="21" t="s">
        <v>833</v>
      </c>
    </row>
    <row r="787" customFormat="false" ht="15" hidden="false" customHeight="false" outlineLevel="0" collapsed="false">
      <c r="B787" s="19" t="s">
        <v>1597</v>
      </c>
      <c r="C787" s="20" t="n">
        <f aca="false">ROUND(1.43/FX,2)</f>
        <v>0.2</v>
      </c>
      <c r="D787" s="21" t="s">
        <v>1595</v>
      </c>
      <c r="E787" s="21" t="s">
        <v>716</v>
      </c>
      <c r="F787" s="21" t="s">
        <v>724</v>
      </c>
      <c r="G787" s="21" t="s">
        <v>833</v>
      </c>
    </row>
    <row r="788" customFormat="false" ht="15" hidden="false" customHeight="false" outlineLevel="0" collapsed="false">
      <c r="B788" s="19" t="s">
        <v>1598</v>
      </c>
      <c r="C788" s="20" t="n">
        <f aca="false">ROUND(1.43/FX,2)</f>
        <v>0.2</v>
      </c>
      <c r="D788" s="21" t="s">
        <v>1595</v>
      </c>
      <c r="E788" s="21" t="s">
        <v>719</v>
      </c>
      <c r="F788" s="21" t="s">
        <v>724</v>
      </c>
      <c r="G788" s="21" t="s">
        <v>833</v>
      </c>
    </row>
    <row r="789" customFormat="false" ht="15" hidden="false" customHeight="false" outlineLevel="0" collapsed="false">
      <c r="B789" s="19" t="s">
        <v>1599</v>
      </c>
      <c r="C789" s="20" t="n">
        <f aca="false">ROUND(1.14/FX,2)</f>
        <v>0.16</v>
      </c>
      <c r="D789" s="21" t="s">
        <v>1600</v>
      </c>
      <c r="E789" s="21" t="s">
        <v>707</v>
      </c>
      <c r="F789" s="21" t="s">
        <v>724</v>
      </c>
      <c r="G789" s="21" t="s">
        <v>833</v>
      </c>
    </row>
    <row r="790" customFormat="false" ht="15" hidden="false" customHeight="false" outlineLevel="0" collapsed="false">
      <c r="B790" s="19" t="s">
        <v>1601</v>
      </c>
      <c r="C790" s="20" t="n">
        <f aca="false">ROUND(1.14/FX,2)</f>
        <v>0.16</v>
      </c>
      <c r="D790" s="21" t="s">
        <v>1600</v>
      </c>
      <c r="E790" s="21" t="s">
        <v>714</v>
      </c>
      <c r="F790" s="21" t="s">
        <v>724</v>
      </c>
      <c r="G790" s="21" t="s">
        <v>833</v>
      </c>
    </row>
    <row r="791" customFormat="false" ht="15" hidden="false" customHeight="false" outlineLevel="0" collapsed="false">
      <c r="B791" s="19" t="s">
        <v>1602</v>
      </c>
      <c r="C791" s="20" t="n">
        <f aca="false">ROUND(1.69/FX,2)</f>
        <v>0.23</v>
      </c>
      <c r="D791" s="21" t="s">
        <v>1600</v>
      </c>
      <c r="E791" s="21" t="s">
        <v>716</v>
      </c>
      <c r="F791" s="21" t="s">
        <v>724</v>
      </c>
      <c r="G791" s="21" t="s">
        <v>833</v>
      </c>
    </row>
    <row r="792" customFormat="false" ht="15" hidden="false" customHeight="false" outlineLevel="0" collapsed="false">
      <c r="B792" s="19" t="s">
        <v>1603</v>
      </c>
      <c r="C792" s="20" t="n">
        <f aca="false">ROUND(1.43/FX,2)</f>
        <v>0.2</v>
      </c>
      <c r="D792" s="21" t="s">
        <v>1600</v>
      </c>
      <c r="E792" s="21" t="s">
        <v>719</v>
      </c>
      <c r="F792" s="21" t="s">
        <v>724</v>
      </c>
      <c r="G792" s="21" t="s">
        <v>833</v>
      </c>
    </row>
    <row r="793" customFormat="false" ht="15" hidden="false" customHeight="false" outlineLevel="0" collapsed="false">
      <c r="B793" s="19" t="s">
        <v>1604</v>
      </c>
      <c r="C793" s="20" t="n">
        <f aca="false">ROUND(2.43/FX,2)</f>
        <v>0.34</v>
      </c>
      <c r="D793" s="21" t="s">
        <v>1605</v>
      </c>
      <c r="E793" s="21" t="s">
        <v>707</v>
      </c>
      <c r="F793" s="21" t="s">
        <v>724</v>
      </c>
      <c r="G793" s="21" t="s">
        <v>833</v>
      </c>
    </row>
    <row r="794" customFormat="false" ht="15" hidden="false" customHeight="false" outlineLevel="0" collapsed="false">
      <c r="B794" s="19" t="s">
        <v>1606</v>
      </c>
      <c r="C794" s="20" t="n">
        <f aca="false">ROUND(5.2/FX,2)</f>
        <v>0.72</v>
      </c>
      <c r="D794" s="21" t="s">
        <v>1605</v>
      </c>
      <c r="E794" s="21" t="s">
        <v>714</v>
      </c>
      <c r="F794" s="21" t="s">
        <v>724</v>
      </c>
      <c r="G794" s="21" t="s">
        <v>833</v>
      </c>
    </row>
    <row r="795" customFormat="false" ht="15" hidden="false" customHeight="false" outlineLevel="0" collapsed="false">
      <c r="B795" s="19" t="s">
        <v>1607</v>
      </c>
      <c r="C795" s="20" t="n">
        <f aca="false">ROUND(1.54/FX,2)</f>
        <v>0.21</v>
      </c>
      <c r="D795" s="21" t="s">
        <v>1605</v>
      </c>
      <c r="E795" s="21" t="s">
        <v>716</v>
      </c>
      <c r="F795" s="21" t="s">
        <v>724</v>
      </c>
      <c r="G795" s="21" t="s">
        <v>833</v>
      </c>
    </row>
    <row r="796" customFormat="false" ht="15" hidden="false" customHeight="false" outlineLevel="0" collapsed="false">
      <c r="B796" s="19" t="s">
        <v>1608</v>
      </c>
      <c r="C796" s="20" t="n">
        <f aca="false">ROUND(1.43/FX,2)</f>
        <v>0.2</v>
      </c>
      <c r="D796" s="21" t="s">
        <v>1605</v>
      </c>
      <c r="E796" s="21" t="s">
        <v>719</v>
      </c>
      <c r="F796" s="21" t="s">
        <v>724</v>
      </c>
      <c r="G796" s="21" t="s">
        <v>833</v>
      </c>
    </row>
    <row r="797" customFormat="false" ht="15" hidden="false" customHeight="false" outlineLevel="0" collapsed="false">
      <c r="B797" s="19" t="s">
        <v>1609</v>
      </c>
      <c r="C797" s="20" t="n">
        <f aca="false">ROUND(1.14/FX,2)</f>
        <v>0.16</v>
      </c>
      <c r="D797" s="21" t="s">
        <v>1610</v>
      </c>
      <c r="E797" s="21" t="s">
        <v>707</v>
      </c>
      <c r="F797" s="21" t="s">
        <v>724</v>
      </c>
      <c r="G797" s="21" t="s">
        <v>833</v>
      </c>
    </row>
    <row r="798" customFormat="false" ht="15" hidden="false" customHeight="false" outlineLevel="0" collapsed="false">
      <c r="B798" s="19" t="s">
        <v>1611</v>
      </c>
      <c r="C798" s="20" t="n">
        <f aca="false">ROUND(1.14/FX,2)</f>
        <v>0.16</v>
      </c>
      <c r="D798" s="21" t="s">
        <v>1610</v>
      </c>
      <c r="E798" s="21" t="s">
        <v>714</v>
      </c>
      <c r="F798" s="21" t="s">
        <v>724</v>
      </c>
      <c r="G798" s="21" t="s">
        <v>833</v>
      </c>
    </row>
    <row r="799" customFormat="false" ht="15" hidden="false" customHeight="false" outlineLevel="0" collapsed="false">
      <c r="B799" s="19" t="s">
        <v>1612</v>
      </c>
      <c r="C799" s="20" t="n">
        <f aca="false">ROUND(1.46/FX,2)</f>
        <v>0.2</v>
      </c>
      <c r="D799" s="21" t="s">
        <v>1610</v>
      </c>
      <c r="E799" s="21" t="s">
        <v>716</v>
      </c>
      <c r="F799" s="21" t="s">
        <v>724</v>
      </c>
      <c r="G799" s="21" t="s">
        <v>833</v>
      </c>
    </row>
    <row r="800" customFormat="false" ht="15" hidden="false" customHeight="false" outlineLevel="0" collapsed="false">
      <c r="B800" s="19" t="s">
        <v>1613</v>
      </c>
      <c r="C800" s="20" t="n">
        <f aca="false">ROUND(1.43/FX,2)</f>
        <v>0.2</v>
      </c>
      <c r="D800" s="21" t="s">
        <v>1610</v>
      </c>
      <c r="E800" s="21" t="s">
        <v>719</v>
      </c>
      <c r="F800" s="21" t="s">
        <v>724</v>
      </c>
      <c r="G800" s="21" t="s">
        <v>833</v>
      </c>
    </row>
    <row r="801" customFormat="false" ht="15" hidden="false" customHeight="false" outlineLevel="0" collapsed="false">
      <c r="B801" s="19" t="s">
        <v>1614</v>
      </c>
      <c r="C801" s="20" t="n">
        <f aca="false">ROUND(2.47/FX,2)</f>
        <v>0.34</v>
      </c>
      <c r="D801" s="21" t="s">
        <v>1615</v>
      </c>
      <c r="E801" s="21" t="s">
        <v>707</v>
      </c>
      <c r="F801" s="21" t="s">
        <v>724</v>
      </c>
      <c r="G801" s="21" t="s">
        <v>833</v>
      </c>
    </row>
    <row r="802" customFormat="false" ht="15" hidden="false" customHeight="false" outlineLevel="0" collapsed="false">
      <c r="B802" s="19" t="s">
        <v>1616</v>
      </c>
      <c r="C802" s="20" t="n">
        <f aca="false">ROUND(1.14/FX,2)</f>
        <v>0.16</v>
      </c>
      <c r="D802" s="21" t="s">
        <v>1615</v>
      </c>
      <c r="E802" s="21" t="s">
        <v>714</v>
      </c>
      <c r="F802" s="21" t="s">
        <v>724</v>
      </c>
      <c r="G802" s="21" t="s">
        <v>833</v>
      </c>
    </row>
    <row r="803" customFormat="false" ht="15" hidden="false" customHeight="false" outlineLevel="0" collapsed="false">
      <c r="B803" s="19" t="s">
        <v>1617</v>
      </c>
      <c r="C803" s="20" t="n">
        <f aca="false">ROUND(1.48/FX,2)</f>
        <v>0.21</v>
      </c>
      <c r="D803" s="21" t="s">
        <v>1615</v>
      </c>
      <c r="E803" s="21" t="s">
        <v>716</v>
      </c>
      <c r="F803" s="21" t="s">
        <v>724</v>
      </c>
      <c r="G803" s="21" t="s">
        <v>833</v>
      </c>
    </row>
    <row r="804" customFormat="false" ht="15" hidden="false" customHeight="false" outlineLevel="0" collapsed="false">
      <c r="B804" s="19" t="s">
        <v>1618</v>
      </c>
      <c r="C804" s="20" t="n">
        <f aca="false">ROUND(1.43/FX,2)</f>
        <v>0.2</v>
      </c>
      <c r="D804" s="21" t="s">
        <v>1615</v>
      </c>
      <c r="E804" s="21" t="s">
        <v>719</v>
      </c>
      <c r="F804" s="21" t="s">
        <v>724</v>
      </c>
      <c r="G804" s="21" t="s">
        <v>833</v>
      </c>
    </row>
    <row r="805" customFormat="false" ht="15" hidden="false" customHeight="false" outlineLevel="0" collapsed="false">
      <c r="B805" s="19" t="s">
        <v>1619</v>
      </c>
      <c r="C805" s="20" t="n">
        <f aca="false">ROUND(1.14/FX,2)</f>
        <v>0.16</v>
      </c>
      <c r="D805" s="21" t="s">
        <v>1620</v>
      </c>
      <c r="E805" s="21" t="s">
        <v>707</v>
      </c>
      <c r="F805" s="21" t="s">
        <v>724</v>
      </c>
      <c r="G805" s="21" t="s">
        <v>833</v>
      </c>
    </row>
    <row r="806" customFormat="false" ht="15" hidden="false" customHeight="false" outlineLevel="0" collapsed="false">
      <c r="B806" s="19" t="s">
        <v>1621</v>
      </c>
      <c r="C806" s="20" t="n">
        <f aca="false">ROUND(1.14/FX,2)</f>
        <v>0.16</v>
      </c>
      <c r="D806" s="21" t="s">
        <v>1620</v>
      </c>
      <c r="E806" s="21" t="s">
        <v>714</v>
      </c>
      <c r="F806" s="21" t="s">
        <v>724</v>
      </c>
      <c r="G806" s="21" t="s">
        <v>833</v>
      </c>
    </row>
    <row r="807" customFormat="false" ht="15" hidden="false" customHeight="false" outlineLevel="0" collapsed="false">
      <c r="B807" s="19" t="s">
        <v>1622</v>
      </c>
      <c r="C807" s="20" t="n">
        <f aca="false">ROUND(1.48/FX,2)</f>
        <v>0.21</v>
      </c>
      <c r="D807" s="21" t="s">
        <v>1620</v>
      </c>
      <c r="E807" s="21" t="s">
        <v>716</v>
      </c>
      <c r="F807" s="21" t="s">
        <v>724</v>
      </c>
      <c r="G807" s="21" t="s">
        <v>833</v>
      </c>
    </row>
    <row r="808" customFormat="false" ht="15" hidden="false" customHeight="false" outlineLevel="0" collapsed="false">
      <c r="B808" s="19" t="s">
        <v>1623</v>
      </c>
      <c r="C808" s="20" t="n">
        <f aca="false">ROUND(1.43/FX,2)</f>
        <v>0.2</v>
      </c>
      <c r="D808" s="21" t="s">
        <v>1620</v>
      </c>
      <c r="E808" s="21" t="s">
        <v>719</v>
      </c>
      <c r="F808" s="21" t="s">
        <v>724</v>
      </c>
      <c r="G808" s="21" t="s">
        <v>833</v>
      </c>
    </row>
    <row r="809" customFormat="false" ht="15" hidden="false" customHeight="false" outlineLevel="0" collapsed="false">
      <c r="B809" s="19" t="s">
        <v>1624</v>
      </c>
      <c r="C809" s="20" t="n">
        <f aca="false">ROUND(1.14/FX,2)</f>
        <v>0.16</v>
      </c>
      <c r="D809" s="21" t="s">
        <v>1625</v>
      </c>
      <c r="E809" s="21" t="s">
        <v>707</v>
      </c>
      <c r="F809" s="21" t="s">
        <v>724</v>
      </c>
      <c r="G809" s="21" t="s">
        <v>833</v>
      </c>
    </row>
    <row r="810" customFormat="false" ht="15" hidden="false" customHeight="false" outlineLevel="0" collapsed="false">
      <c r="B810" s="19" t="s">
        <v>1626</v>
      </c>
      <c r="C810" s="20" t="n">
        <f aca="false">ROUND(1.14/FX,2)</f>
        <v>0.16</v>
      </c>
      <c r="D810" s="21" t="s">
        <v>1625</v>
      </c>
      <c r="E810" s="21" t="s">
        <v>714</v>
      </c>
      <c r="F810" s="21" t="s">
        <v>724</v>
      </c>
      <c r="G810" s="21" t="s">
        <v>833</v>
      </c>
    </row>
    <row r="811" customFormat="false" ht="15" hidden="false" customHeight="false" outlineLevel="0" collapsed="false">
      <c r="B811" s="19" t="s">
        <v>1627</v>
      </c>
      <c r="C811" s="20" t="n">
        <f aca="false">ROUND(1.69/FX,2)</f>
        <v>0.23</v>
      </c>
      <c r="D811" s="21" t="s">
        <v>1625</v>
      </c>
      <c r="E811" s="21" t="s">
        <v>716</v>
      </c>
      <c r="F811" s="21" t="s">
        <v>724</v>
      </c>
      <c r="G811" s="21" t="s">
        <v>833</v>
      </c>
    </row>
    <row r="812" customFormat="false" ht="15" hidden="false" customHeight="false" outlineLevel="0" collapsed="false">
      <c r="B812" s="19" t="s">
        <v>1628</v>
      </c>
      <c r="C812" s="20" t="n">
        <f aca="false">ROUND(1.43/FX,2)</f>
        <v>0.2</v>
      </c>
      <c r="D812" s="21" t="s">
        <v>1625</v>
      </c>
      <c r="E812" s="21" t="s">
        <v>719</v>
      </c>
      <c r="F812" s="21" t="s">
        <v>724</v>
      </c>
      <c r="G812" s="21" t="s">
        <v>833</v>
      </c>
    </row>
    <row r="813" customFormat="false" ht="15" hidden="false" customHeight="false" outlineLevel="0" collapsed="false">
      <c r="B813" s="19" t="s">
        <v>1629</v>
      </c>
      <c r="C813" s="20" t="n">
        <f aca="false">ROUND(1.14/FX,2)</f>
        <v>0.16</v>
      </c>
      <c r="D813" s="21" t="s">
        <v>1630</v>
      </c>
      <c r="E813" s="21" t="s">
        <v>707</v>
      </c>
      <c r="F813" s="21" t="s">
        <v>724</v>
      </c>
      <c r="G813" s="21" t="s">
        <v>833</v>
      </c>
    </row>
    <row r="814" customFormat="false" ht="15" hidden="false" customHeight="false" outlineLevel="0" collapsed="false">
      <c r="B814" s="19" t="s">
        <v>1631</v>
      </c>
      <c r="C814" s="20" t="n">
        <f aca="false">ROUND(1.14/FX,2)</f>
        <v>0.16</v>
      </c>
      <c r="D814" s="21" t="s">
        <v>1630</v>
      </c>
      <c r="E814" s="21" t="s">
        <v>714</v>
      </c>
      <c r="F814" s="21" t="s">
        <v>724</v>
      </c>
      <c r="G814" s="21" t="s">
        <v>833</v>
      </c>
    </row>
    <row r="815" customFormat="false" ht="15" hidden="false" customHeight="false" outlineLevel="0" collapsed="false">
      <c r="B815" s="19" t="s">
        <v>1632</v>
      </c>
      <c r="C815" s="20" t="n">
        <f aca="false">ROUND(2.34/FX,2)</f>
        <v>0.33</v>
      </c>
      <c r="D815" s="21" t="s">
        <v>1630</v>
      </c>
      <c r="E815" s="21" t="s">
        <v>716</v>
      </c>
      <c r="F815" s="21" t="s">
        <v>724</v>
      </c>
      <c r="G815" s="21" t="s">
        <v>833</v>
      </c>
    </row>
    <row r="816" customFormat="false" ht="15" hidden="false" customHeight="false" outlineLevel="0" collapsed="false">
      <c r="B816" s="19" t="s">
        <v>1633</v>
      </c>
      <c r="C816" s="20" t="n">
        <f aca="false">ROUND(1.43/FX,2)</f>
        <v>0.2</v>
      </c>
      <c r="D816" s="21" t="s">
        <v>1630</v>
      </c>
      <c r="E816" s="21" t="s">
        <v>719</v>
      </c>
      <c r="F816" s="21" t="s">
        <v>724</v>
      </c>
      <c r="G816" s="21" t="s">
        <v>833</v>
      </c>
    </row>
    <row r="817" customFormat="false" ht="15" hidden="false" customHeight="false" outlineLevel="0" collapsed="false">
      <c r="B817" s="19" t="s">
        <v>1634</v>
      </c>
      <c r="C817" s="20" t="n">
        <f aca="false">ROUND(2.54/FX,2)</f>
        <v>0.35</v>
      </c>
      <c r="D817" s="21" t="s">
        <v>1635</v>
      </c>
      <c r="E817" s="21" t="s">
        <v>707</v>
      </c>
      <c r="F817" s="21" t="s">
        <v>724</v>
      </c>
      <c r="G817" s="21" t="s">
        <v>833</v>
      </c>
    </row>
    <row r="818" customFormat="false" ht="15" hidden="false" customHeight="false" outlineLevel="0" collapsed="false">
      <c r="B818" s="19" t="s">
        <v>1636</v>
      </c>
      <c r="C818" s="20" t="n">
        <f aca="false">ROUND(5.85/FX,2)</f>
        <v>0.81</v>
      </c>
      <c r="D818" s="21" t="s">
        <v>1635</v>
      </c>
      <c r="E818" s="21" t="s">
        <v>714</v>
      </c>
      <c r="F818" s="21" t="s">
        <v>724</v>
      </c>
      <c r="G818" s="21" t="s">
        <v>833</v>
      </c>
    </row>
    <row r="819" customFormat="false" ht="15" hidden="false" customHeight="false" outlineLevel="0" collapsed="false">
      <c r="B819" s="19" t="s">
        <v>1637</v>
      </c>
      <c r="C819" s="20" t="n">
        <f aca="false">ROUND(1.47/FX,2)</f>
        <v>0.2</v>
      </c>
      <c r="D819" s="21" t="s">
        <v>1635</v>
      </c>
      <c r="E819" s="21" t="s">
        <v>716</v>
      </c>
      <c r="F819" s="21" t="s">
        <v>724</v>
      </c>
      <c r="G819" s="21" t="s">
        <v>833</v>
      </c>
    </row>
    <row r="820" customFormat="false" ht="15" hidden="false" customHeight="false" outlineLevel="0" collapsed="false">
      <c r="B820" s="19" t="s">
        <v>1638</v>
      </c>
      <c r="C820" s="20" t="n">
        <f aca="false">ROUND(1.43/FX,2)</f>
        <v>0.2</v>
      </c>
      <c r="D820" s="21" t="s">
        <v>1635</v>
      </c>
      <c r="E820" s="21" t="s">
        <v>719</v>
      </c>
      <c r="F820" s="21" t="s">
        <v>724</v>
      </c>
      <c r="G820" s="21" t="s">
        <v>833</v>
      </c>
    </row>
    <row r="821" customFormat="false" ht="15" hidden="false" customHeight="false" outlineLevel="0" collapsed="false">
      <c r="B821" s="19" t="s">
        <v>1639</v>
      </c>
      <c r="C821" s="20" t="n">
        <f aca="false">ROUND(2.6/FX,2)</f>
        <v>0.36</v>
      </c>
      <c r="D821" s="21" t="s">
        <v>1640</v>
      </c>
      <c r="E821" s="21" t="s">
        <v>707</v>
      </c>
      <c r="F821" s="21" t="s">
        <v>724</v>
      </c>
      <c r="G821" s="21" t="s">
        <v>833</v>
      </c>
    </row>
    <row r="822" customFormat="false" ht="15" hidden="false" customHeight="false" outlineLevel="0" collapsed="false">
      <c r="B822" s="19" t="s">
        <v>1641</v>
      </c>
      <c r="C822" s="20" t="n">
        <f aca="false">ROUND(1.14/FX,2)</f>
        <v>0.16</v>
      </c>
      <c r="D822" s="21" t="s">
        <v>1640</v>
      </c>
      <c r="E822" s="21" t="s">
        <v>714</v>
      </c>
      <c r="F822" s="21" t="s">
        <v>724</v>
      </c>
      <c r="G822" s="21" t="s">
        <v>833</v>
      </c>
    </row>
    <row r="823" customFormat="false" ht="15" hidden="false" customHeight="false" outlineLevel="0" collapsed="false">
      <c r="B823" s="19" t="s">
        <v>1642</v>
      </c>
      <c r="C823" s="20" t="n">
        <f aca="false">ROUND(1.47/FX,2)</f>
        <v>0.2</v>
      </c>
      <c r="D823" s="21" t="s">
        <v>1640</v>
      </c>
      <c r="E823" s="21" t="s">
        <v>716</v>
      </c>
      <c r="F823" s="21" t="s">
        <v>724</v>
      </c>
      <c r="G823" s="21" t="s">
        <v>833</v>
      </c>
    </row>
    <row r="824" customFormat="false" ht="15" hidden="false" customHeight="false" outlineLevel="0" collapsed="false">
      <c r="B824" s="19" t="s">
        <v>1643</v>
      </c>
      <c r="C824" s="20" t="n">
        <f aca="false">ROUND(1.43/FX,2)</f>
        <v>0.2</v>
      </c>
      <c r="D824" s="21" t="s">
        <v>1640</v>
      </c>
      <c r="E824" s="21" t="s">
        <v>719</v>
      </c>
      <c r="F824" s="21" t="s">
        <v>724</v>
      </c>
      <c r="G824" s="21" t="s">
        <v>833</v>
      </c>
    </row>
    <row r="825" customFormat="false" ht="15" hidden="false" customHeight="false" outlineLevel="0" collapsed="false">
      <c r="B825" s="19" t="s">
        <v>1644</v>
      </c>
      <c r="C825" s="20" t="n">
        <f aca="false">ROUND(1.14/FX,2)</f>
        <v>0.16</v>
      </c>
      <c r="D825" s="21" t="s">
        <v>1645</v>
      </c>
      <c r="E825" s="21" t="s">
        <v>707</v>
      </c>
      <c r="F825" s="21" t="s">
        <v>724</v>
      </c>
      <c r="G825" s="21" t="s">
        <v>833</v>
      </c>
    </row>
    <row r="826" customFormat="false" ht="15" hidden="false" customHeight="false" outlineLevel="0" collapsed="false">
      <c r="B826" s="19" t="s">
        <v>1646</v>
      </c>
      <c r="C826" s="20" t="n">
        <f aca="false">ROUND(1.14/FX,2)</f>
        <v>0.16</v>
      </c>
      <c r="D826" s="21" t="s">
        <v>1645</v>
      </c>
      <c r="E826" s="21" t="s">
        <v>714</v>
      </c>
      <c r="F826" s="21" t="s">
        <v>724</v>
      </c>
      <c r="G826" s="21" t="s">
        <v>833</v>
      </c>
    </row>
    <row r="827" customFormat="false" ht="15" hidden="false" customHeight="false" outlineLevel="0" collapsed="false">
      <c r="B827" s="19" t="s">
        <v>1647</v>
      </c>
      <c r="C827" s="20" t="n">
        <f aca="false">ROUND(1.54/FX,2)</f>
        <v>0.21</v>
      </c>
      <c r="D827" s="21" t="s">
        <v>1645</v>
      </c>
      <c r="E827" s="21" t="s">
        <v>716</v>
      </c>
      <c r="F827" s="21" t="s">
        <v>724</v>
      </c>
      <c r="G827" s="21" t="s">
        <v>833</v>
      </c>
    </row>
    <row r="828" customFormat="false" ht="15" hidden="false" customHeight="false" outlineLevel="0" collapsed="false">
      <c r="B828" s="19" t="s">
        <v>1648</v>
      </c>
      <c r="C828" s="20" t="n">
        <f aca="false">ROUND(1.43/FX,2)</f>
        <v>0.2</v>
      </c>
      <c r="D828" s="21" t="s">
        <v>1645</v>
      </c>
      <c r="E828" s="21" t="s">
        <v>719</v>
      </c>
      <c r="F828" s="21" t="s">
        <v>724</v>
      </c>
      <c r="G828" s="21" t="s">
        <v>833</v>
      </c>
    </row>
    <row r="829" customFormat="false" ht="15" hidden="false" customHeight="false" outlineLevel="0" collapsed="false">
      <c r="B829" s="19" t="s">
        <v>1649</v>
      </c>
      <c r="C829" s="20" t="n">
        <f aca="false">ROUND(1.14/FX,2)</f>
        <v>0.16</v>
      </c>
      <c r="D829" s="21" t="s">
        <v>1650</v>
      </c>
      <c r="E829" s="21" t="s">
        <v>707</v>
      </c>
      <c r="F829" s="21" t="s">
        <v>724</v>
      </c>
      <c r="G829" s="21" t="s">
        <v>833</v>
      </c>
    </row>
    <row r="830" customFormat="false" ht="15" hidden="false" customHeight="false" outlineLevel="0" collapsed="false">
      <c r="B830" s="19" t="s">
        <v>1651</v>
      </c>
      <c r="C830" s="20" t="n">
        <f aca="false">ROUND(1.14/FX,2)</f>
        <v>0.16</v>
      </c>
      <c r="D830" s="21" t="s">
        <v>1650</v>
      </c>
      <c r="E830" s="21" t="s">
        <v>714</v>
      </c>
      <c r="F830" s="21" t="s">
        <v>724</v>
      </c>
      <c r="G830" s="21" t="s">
        <v>833</v>
      </c>
    </row>
    <row r="831" customFormat="false" ht="15" hidden="false" customHeight="false" outlineLevel="0" collapsed="false">
      <c r="B831" s="19" t="s">
        <v>1652</v>
      </c>
      <c r="C831" s="20" t="n">
        <f aca="false">ROUND(2.34/FX,2)</f>
        <v>0.33</v>
      </c>
      <c r="D831" s="21" t="s">
        <v>1650</v>
      </c>
      <c r="E831" s="21" t="s">
        <v>716</v>
      </c>
      <c r="F831" s="21" t="s">
        <v>724</v>
      </c>
      <c r="G831" s="21" t="s">
        <v>833</v>
      </c>
    </row>
    <row r="832" customFormat="false" ht="15" hidden="false" customHeight="false" outlineLevel="0" collapsed="false">
      <c r="B832" s="19" t="s">
        <v>1653</v>
      </c>
      <c r="C832" s="20" t="n">
        <f aca="false">ROUND(1.43/FX,2)</f>
        <v>0.2</v>
      </c>
      <c r="D832" s="21" t="s">
        <v>1650</v>
      </c>
      <c r="E832" s="21" t="s">
        <v>719</v>
      </c>
      <c r="F832" s="21" t="s">
        <v>724</v>
      </c>
      <c r="G832" s="21" t="s">
        <v>833</v>
      </c>
    </row>
    <row r="833" customFormat="false" ht="15" hidden="false" customHeight="false" outlineLevel="0" collapsed="false">
      <c r="B833" s="19" t="s">
        <v>1654</v>
      </c>
      <c r="C833" s="20" t="n">
        <f aca="false">ROUND(2.6/FX,2)</f>
        <v>0.36</v>
      </c>
      <c r="D833" s="21" t="s">
        <v>1655</v>
      </c>
      <c r="E833" s="21" t="s">
        <v>707</v>
      </c>
      <c r="F833" s="21" t="s">
        <v>724</v>
      </c>
      <c r="G833" s="21" t="s">
        <v>833</v>
      </c>
    </row>
    <row r="834" customFormat="false" ht="15" hidden="false" customHeight="false" outlineLevel="0" collapsed="false">
      <c r="B834" s="19" t="s">
        <v>1656</v>
      </c>
      <c r="C834" s="20" t="n">
        <f aca="false">ROUND(5.85/FX,2)</f>
        <v>0.81</v>
      </c>
      <c r="D834" s="21" t="s">
        <v>1655</v>
      </c>
      <c r="E834" s="21" t="s">
        <v>714</v>
      </c>
      <c r="F834" s="21" t="s">
        <v>724</v>
      </c>
      <c r="G834" s="21" t="s">
        <v>833</v>
      </c>
    </row>
    <row r="835" customFormat="false" ht="15" hidden="false" customHeight="false" outlineLevel="0" collapsed="false">
      <c r="B835" s="19" t="s">
        <v>1657</v>
      </c>
      <c r="C835" s="20" t="n">
        <f aca="false">ROUND(1.56/FX,2)</f>
        <v>0.22</v>
      </c>
      <c r="D835" s="21" t="s">
        <v>1655</v>
      </c>
      <c r="E835" s="21" t="s">
        <v>716</v>
      </c>
      <c r="F835" s="21" t="s">
        <v>724</v>
      </c>
      <c r="G835" s="21" t="s">
        <v>833</v>
      </c>
    </row>
    <row r="836" customFormat="false" ht="15" hidden="false" customHeight="false" outlineLevel="0" collapsed="false">
      <c r="B836" s="19" t="s">
        <v>1658</v>
      </c>
      <c r="C836" s="20" t="n">
        <f aca="false">ROUND(1.43/FX,2)</f>
        <v>0.2</v>
      </c>
      <c r="D836" s="21" t="s">
        <v>1655</v>
      </c>
      <c r="E836" s="21" t="s">
        <v>719</v>
      </c>
      <c r="F836" s="21" t="s">
        <v>724</v>
      </c>
      <c r="G836" s="21" t="s">
        <v>833</v>
      </c>
    </row>
    <row r="837" customFormat="false" ht="15" hidden="false" customHeight="false" outlineLevel="0" collapsed="false">
      <c r="B837" s="19" t="s">
        <v>1659</v>
      </c>
      <c r="C837" s="20" t="n">
        <f aca="false">ROUND(1.14/FX,2)</f>
        <v>0.16</v>
      </c>
      <c r="D837" s="21" t="s">
        <v>1660</v>
      </c>
      <c r="E837" s="21" t="s">
        <v>707</v>
      </c>
      <c r="F837" s="21" t="s">
        <v>724</v>
      </c>
      <c r="G837" s="21" t="s">
        <v>833</v>
      </c>
    </row>
    <row r="838" customFormat="false" ht="15" hidden="false" customHeight="false" outlineLevel="0" collapsed="false">
      <c r="B838" s="19" t="s">
        <v>1661</v>
      </c>
      <c r="C838" s="20" t="n">
        <f aca="false">ROUND(1.14/FX,2)</f>
        <v>0.16</v>
      </c>
      <c r="D838" s="21" t="s">
        <v>1660</v>
      </c>
      <c r="E838" s="21" t="s">
        <v>714</v>
      </c>
      <c r="F838" s="21" t="s">
        <v>724</v>
      </c>
      <c r="G838" s="21" t="s">
        <v>833</v>
      </c>
    </row>
    <row r="839" customFormat="false" ht="15" hidden="false" customHeight="false" outlineLevel="0" collapsed="false">
      <c r="B839" s="19" t="s">
        <v>1662</v>
      </c>
      <c r="C839" s="20" t="n">
        <f aca="false">ROUND(1.82/FX,2)</f>
        <v>0.25</v>
      </c>
      <c r="D839" s="21" t="s">
        <v>1660</v>
      </c>
      <c r="E839" s="21" t="s">
        <v>716</v>
      </c>
      <c r="F839" s="21" t="s">
        <v>724</v>
      </c>
      <c r="G839" s="21" t="s">
        <v>833</v>
      </c>
    </row>
    <row r="840" customFormat="false" ht="15" hidden="false" customHeight="false" outlineLevel="0" collapsed="false">
      <c r="B840" s="19" t="s">
        <v>1663</v>
      </c>
      <c r="C840" s="20" t="n">
        <f aca="false">ROUND(1.43/FX,2)</f>
        <v>0.2</v>
      </c>
      <c r="D840" s="21" t="s">
        <v>1660</v>
      </c>
      <c r="E840" s="21" t="s">
        <v>719</v>
      </c>
      <c r="F840" s="21" t="s">
        <v>724</v>
      </c>
      <c r="G840" s="21" t="s">
        <v>833</v>
      </c>
    </row>
    <row r="841" customFormat="false" ht="15" hidden="false" customHeight="false" outlineLevel="0" collapsed="false">
      <c r="B841" s="19" t="s">
        <v>1664</v>
      </c>
      <c r="C841" s="20" t="n">
        <f aca="false">ROUND(1.14/FX,2)</f>
        <v>0.16</v>
      </c>
      <c r="D841" s="21" t="s">
        <v>1665</v>
      </c>
      <c r="E841" s="21" t="s">
        <v>707</v>
      </c>
      <c r="F841" s="21" t="s">
        <v>724</v>
      </c>
      <c r="G841" s="21" t="s">
        <v>833</v>
      </c>
    </row>
    <row r="842" customFormat="false" ht="15" hidden="false" customHeight="false" outlineLevel="0" collapsed="false">
      <c r="B842" s="19" t="s">
        <v>1666</v>
      </c>
      <c r="C842" s="20" t="n">
        <f aca="false">ROUND(1.14/FX,2)</f>
        <v>0.16</v>
      </c>
      <c r="D842" s="21" t="s">
        <v>1665</v>
      </c>
      <c r="E842" s="21" t="s">
        <v>714</v>
      </c>
      <c r="F842" s="21" t="s">
        <v>724</v>
      </c>
      <c r="G842" s="21" t="s">
        <v>833</v>
      </c>
    </row>
    <row r="843" customFormat="false" ht="15" hidden="false" customHeight="false" outlineLevel="0" collapsed="false">
      <c r="B843" s="19" t="s">
        <v>1667</v>
      </c>
      <c r="C843" s="20" t="n">
        <f aca="false">ROUND(1.89/FX,2)</f>
        <v>0.26</v>
      </c>
      <c r="D843" s="21" t="s">
        <v>1665</v>
      </c>
      <c r="E843" s="21" t="s">
        <v>716</v>
      </c>
      <c r="F843" s="21" t="s">
        <v>724</v>
      </c>
      <c r="G843" s="21" t="s">
        <v>833</v>
      </c>
    </row>
    <row r="844" customFormat="false" ht="15" hidden="false" customHeight="false" outlineLevel="0" collapsed="false">
      <c r="B844" s="19" t="s">
        <v>1668</v>
      </c>
      <c r="C844" s="20" t="n">
        <f aca="false">ROUND(1.43/FX,2)</f>
        <v>0.2</v>
      </c>
      <c r="D844" s="21" t="s">
        <v>1665</v>
      </c>
      <c r="E844" s="21" t="s">
        <v>719</v>
      </c>
      <c r="F844" s="21" t="s">
        <v>724</v>
      </c>
      <c r="G844" s="21" t="s">
        <v>833</v>
      </c>
    </row>
    <row r="845" customFormat="false" ht="15" hidden="false" customHeight="false" outlineLevel="0" collapsed="false">
      <c r="B845" s="19" t="s">
        <v>1669</v>
      </c>
      <c r="C845" s="20" t="n">
        <f aca="false">ROUND(3.06/FX,2)</f>
        <v>0.43</v>
      </c>
      <c r="D845" s="21" t="s">
        <v>1670</v>
      </c>
      <c r="E845" s="21" t="s">
        <v>707</v>
      </c>
      <c r="F845" s="21" t="s">
        <v>724</v>
      </c>
      <c r="G845" s="21" t="s">
        <v>833</v>
      </c>
    </row>
    <row r="846" customFormat="false" ht="15" hidden="false" customHeight="false" outlineLevel="0" collapsed="false">
      <c r="B846" s="19" t="s">
        <v>1671</v>
      </c>
      <c r="C846" s="20" t="n">
        <f aca="false">ROUND(1.14/FX,2)</f>
        <v>0.16</v>
      </c>
      <c r="D846" s="21" t="s">
        <v>1670</v>
      </c>
      <c r="E846" s="21" t="s">
        <v>714</v>
      </c>
      <c r="F846" s="21" t="s">
        <v>724</v>
      </c>
      <c r="G846" s="21" t="s">
        <v>833</v>
      </c>
    </row>
    <row r="847" customFormat="false" ht="15" hidden="false" customHeight="false" outlineLevel="0" collapsed="false">
      <c r="B847" s="19" t="s">
        <v>1672</v>
      </c>
      <c r="C847" s="20" t="n">
        <f aca="false">ROUND(1.56/FX,2)</f>
        <v>0.22</v>
      </c>
      <c r="D847" s="21" t="s">
        <v>1670</v>
      </c>
      <c r="E847" s="21" t="s">
        <v>716</v>
      </c>
      <c r="F847" s="21" t="s">
        <v>724</v>
      </c>
      <c r="G847" s="21" t="s">
        <v>833</v>
      </c>
    </row>
    <row r="848" customFormat="false" ht="15" hidden="false" customHeight="false" outlineLevel="0" collapsed="false">
      <c r="B848" s="19" t="s">
        <v>1673</v>
      </c>
      <c r="C848" s="20" t="n">
        <f aca="false">ROUND(1.43/FX,2)</f>
        <v>0.2</v>
      </c>
      <c r="D848" s="21" t="s">
        <v>1670</v>
      </c>
      <c r="E848" s="21" t="s">
        <v>719</v>
      </c>
      <c r="F848" s="21" t="s">
        <v>724</v>
      </c>
      <c r="G848" s="21" t="s">
        <v>833</v>
      </c>
    </row>
    <row r="849" customFormat="false" ht="15" hidden="false" customHeight="false" outlineLevel="0" collapsed="false">
      <c r="B849" s="19" t="s">
        <v>1674</v>
      </c>
      <c r="C849" s="20" t="n">
        <f aca="false">ROUND(1.14/FX,2)</f>
        <v>0.16</v>
      </c>
      <c r="D849" s="21" t="s">
        <v>1675</v>
      </c>
      <c r="E849" s="21" t="s">
        <v>707</v>
      </c>
      <c r="F849" s="21" t="s">
        <v>724</v>
      </c>
      <c r="G849" s="21" t="s">
        <v>833</v>
      </c>
    </row>
    <row r="850" customFormat="false" ht="15" hidden="false" customHeight="false" outlineLevel="0" collapsed="false">
      <c r="B850" s="19" t="s">
        <v>1676</v>
      </c>
      <c r="C850" s="20" t="n">
        <f aca="false">ROUND(1.14/FX,2)</f>
        <v>0.16</v>
      </c>
      <c r="D850" s="21" t="s">
        <v>1675</v>
      </c>
      <c r="E850" s="21" t="s">
        <v>714</v>
      </c>
      <c r="F850" s="21" t="s">
        <v>724</v>
      </c>
      <c r="G850" s="21" t="s">
        <v>833</v>
      </c>
    </row>
    <row r="851" customFormat="false" ht="15" hidden="false" customHeight="false" outlineLevel="0" collapsed="false">
      <c r="B851" s="19" t="s">
        <v>1677</v>
      </c>
      <c r="C851" s="20" t="n">
        <f aca="false">ROUND(1.95/FX,2)</f>
        <v>0.27</v>
      </c>
      <c r="D851" s="21" t="s">
        <v>1675</v>
      </c>
      <c r="E851" s="21" t="s">
        <v>716</v>
      </c>
      <c r="F851" s="21" t="s">
        <v>724</v>
      </c>
      <c r="G851" s="21" t="s">
        <v>833</v>
      </c>
    </row>
    <row r="852" customFormat="false" ht="15" hidden="false" customHeight="false" outlineLevel="0" collapsed="false">
      <c r="B852" s="19" t="s">
        <v>1678</v>
      </c>
      <c r="C852" s="20" t="n">
        <f aca="false">ROUND(1.43/FX,2)</f>
        <v>0.2</v>
      </c>
      <c r="D852" s="21" t="s">
        <v>1675</v>
      </c>
      <c r="E852" s="21" t="s">
        <v>719</v>
      </c>
      <c r="F852" s="21" t="s">
        <v>724</v>
      </c>
      <c r="G852" s="21" t="s">
        <v>833</v>
      </c>
    </row>
    <row r="853" customFormat="false" ht="15" hidden="false" customHeight="false" outlineLevel="0" collapsed="false">
      <c r="B853" s="19" t="s">
        <v>1679</v>
      </c>
      <c r="C853" s="20" t="n">
        <f aca="false">ROUND(2.67/FX,2)</f>
        <v>0.37</v>
      </c>
      <c r="D853" s="21" t="s">
        <v>1680</v>
      </c>
      <c r="E853" s="21" t="s">
        <v>707</v>
      </c>
      <c r="F853" s="21" t="s">
        <v>724</v>
      </c>
      <c r="G853" s="21" t="s">
        <v>833</v>
      </c>
    </row>
    <row r="854" customFormat="false" ht="15" hidden="false" customHeight="false" outlineLevel="0" collapsed="false">
      <c r="B854" s="19" t="s">
        <v>1681</v>
      </c>
      <c r="C854" s="20" t="n">
        <f aca="false">ROUND(6.18/FX,2)</f>
        <v>0.86</v>
      </c>
      <c r="D854" s="21" t="s">
        <v>1680</v>
      </c>
      <c r="E854" s="21" t="s">
        <v>714</v>
      </c>
      <c r="F854" s="21" t="s">
        <v>724</v>
      </c>
      <c r="G854" s="21" t="s">
        <v>833</v>
      </c>
    </row>
    <row r="855" customFormat="false" ht="15" hidden="false" customHeight="false" outlineLevel="0" collapsed="false">
      <c r="B855" s="19" t="s">
        <v>1682</v>
      </c>
      <c r="C855" s="20" t="n">
        <f aca="false">ROUND(1.69/FX,2)</f>
        <v>0.23</v>
      </c>
      <c r="D855" s="21" t="s">
        <v>1680</v>
      </c>
      <c r="E855" s="21" t="s">
        <v>716</v>
      </c>
      <c r="F855" s="21" t="s">
        <v>724</v>
      </c>
      <c r="G855" s="21" t="s">
        <v>833</v>
      </c>
    </row>
    <row r="856" customFormat="false" ht="15" hidden="false" customHeight="false" outlineLevel="0" collapsed="false">
      <c r="B856" s="19" t="s">
        <v>1683</v>
      </c>
      <c r="C856" s="20" t="n">
        <f aca="false">ROUND(1.43/FX,2)</f>
        <v>0.2</v>
      </c>
      <c r="D856" s="21" t="s">
        <v>1680</v>
      </c>
      <c r="E856" s="21" t="s">
        <v>719</v>
      </c>
      <c r="F856" s="21" t="s">
        <v>724</v>
      </c>
      <c r="G856" s="21" t="s">
        <v>833</v>
      </c>
    </row>
    <row r="857" customFormat="false" ht="15" hidden="false" customHeight="false" outlineLevel="0" collapsed="false">
      <c r="B857" s="19" t="s">
        <v>1684</v>
      </c>
      <c r="C857" s="20" t="n">
        <f aca="false">ROUND(2.73/FX,2)</f>
        <v>0.38</v>
      </c>
      <c r="D857" s="21" t="s">
        <v>1685</v>
      </c>
      <c r="E857" s="21" t="s">
        <v>707</v>
      </c>
      <c r="F857" s="21" t="s">
        <v>724</v>
      </c>
      <c r="G857" s="21" t="s">
        <v>833</v>
      </c>
    </row>
    <row r="858" customFormat="false" ht="15" hidden="false" customHeight="false" outlineLevel="0" collapsed="false">
      <c r="B858" s="19" t="s">
        <v>1686</v>
      </c>
      <c r="C858" s="20" t="n">
        <f aca="false">ROUND(1.14/FX,2)</f>
        <v>0.16</v>
      </c>
      <c r="D858" s="21" t="s">
        <v>1685</v>
      </c>
      <c r="E858" s="21" t="s">
        <v>714</v>
      </c>
      <c r="F858" s="21" t="s">
        <v>724</v>
      </c>
      <c r="G858" s="21" t="s">
        <v>833</v>
      </c>
    </row>
    <row r="859" customFormat="false" ht="15" hidden="false" customHeight="false" outlineLevel="0" collapsed="false">
      <c r="B859" s="19" t="s">
        <v>1687</v>
      </c>
      <c r="C859" s="20" t="n">
        <f aca="false">ROUND(1.95/FX,2)</f>
        <v>0.27</v>
      </c>
      <c r="D859" s="21" t="s">
        <v>1685</v>
      </c>
      <c r="E859" s="21" t="s">
        <v>716</v>
      </c>
      <c r="F859" s="21" t="s">
        <v>724</v>
      </c>
      <c r="G859" s="21" t="s">
        <v>833</v>
      </c>
    </row>
    <row r="860" customFormat="false" ht="15" hidden="false" customHeight="false" outlineLevel="0" collapsed="false">
      <c r="B860" s="19" t="s">
        <v>1688</v>
      </c>
      <c r="C860" s="20" t="n">
        <f aca="false">ROUND(1.43/FX,2)</f>
        <v>0.2</v>
      </c>
      <c r="D860" s="21" t="s">
        <v>1685</v>
      </c>
      <c r="E860" s="21" t="s">
        <v>719</v>
      </c>
      <c r="F860" s="21" t="s">
        <v>724</v>
      </c>
      <c r="G860" s="21" t="s">
        <v>833</v>
      </c>
    </row>
    <row r="861" customFormat="false" ht="15" hidden="false" customHeight="false" outlineLevel="0" collapsed="false">
      <c r="B861" s="19" t="s">
        <v>1689</v>
      </c>
      <c r="C861" s="20" t="n">
        <f aca="false">ROUND(1.14/FX,2)</f>
        <v>0.16</v>
      </c>
      <c r="D861" s="21" t="s">
        <v>1690</v>
      </c>
      <c r="E861" s="21" t="s">
        <v>707</v>
      </c>
      <c r="F861" s="21" t="s">
        <v>724</v>
      </c>
      <c r="G861" s="21" t="s">
        <v>833</v>
      </c>
    </row>
    <row r="862" customFormat="false" ht="15" hidden="false" customHeight="false" outlineLevel="0" collapsed="false">
      <c r="B862" s="19" t="s">
        <v>1691</v>
      </c>
      <c r="C862" s="20" t="n">
        <f aca="false">ROUND(1.14/FX,2)</f>
        <v>0.16</v>
      </c>
      <c r="D862" s="21" t="s">
        <v>1690</v>
      </c>
      <c r="E862" s="21" t="s">
        <v>714</v>
      </c>
      <c r="F862" s="21" t="s">
        <v>724</v>
      </c>
      <c r="G862" s="21" t="s">
        <v>833</v>
      </c>
    </row>
    <row r="863" customFormat="false" ht="15" hidden="false" customHeight="false" outlineLevel="0" collapsed="false">
      <c r="B863" s="19" t="s">
        <v>1692</v>
      </c>
      <c r="C863" s="20" t="n">
        <f aca="false">ROUND(1.67/FX,2)</f>
        <v>0.23</v>
      </c>
      <c r="D863" s="21" t="s">
        <v>1690</v>
      </c>
      <c r="E863" s="21" t="s">
        <v>716</v>
      </c>
      <c r="F863" s="21" t="s">
        <v>724</v>
      </c>
      <c r="G863" s="21" t="s">
        <v>833</v>
      </c>
    </row>
    <row r="864" customFormat="false" ht="15" hidden="false" customHeight="false" outlineLevel="0" collapsed="false">
      <c r="B864" s="19" t="s">
        <v>1693</v>
      </c>
      <c r="C864" s="20" t="n">
        <f aca="false">ROUND(1.43/FX,2)</f>
        <v>0.2</v>
      </c>
      <c r="D864" s="21" t="s">
        <v>1690</v>
      </c>
      <c r="E864" s="21" t="s">
        <v>719</v>
      </c>
      <c r="F864" s="21" t="s">
        <v>724</v>
      </c>
      <c r="G864" s="21" t="s">
        <v>833</v>
      </c>
    </row>
    <row r="865" customFormat="false" ht="15" hidden="false" customHeight="false" outlineLevel="0" collapsed="false">
      <c r="B865" s="19" t="s">
        <v>1694</v>
      </c>
      <c r="C865" s="20" t="n">
        <f aca="false">ROUND(1.56/FX,2)</f>
        <v>0.22</v>
      </c>
      <c r="D865" s="21" t="s">
        <v>894</v>
      </c>
      <c r="E865" s="21" t="s">
        <v>707</v>
      </c>
      <c r="F865" s="21" t="s">
        <v>1695</v>
      </c>
      <c r="G865" s="21" t="s">
        <v>1696</v>
      </c>
    </row>
    <row r="866" customFormat="false" ht="15" hidden="false" customHeight="false" outlineLevel="0" collapsed="false">
      <c r="B866" s="19" t="s">
        <v>1697</v>
      </c>
      <c r="C866" s="20" t="n">
        <f aca="false">ROUND(1.56/FX,2)</f>
        <v>0.22</v>
      </c>
      <c r="D866" s="21" t="s">
        <v>894</v>
      </c>
      <c r="E866" s="21" t="s">
        <v>714</v>
      </c>
      <c r="F866" s="21" t="s">
        <v>1695</v>
      </c>
      <c r="G866" s="21" t="s">
        <v>1696</v>
      </c>
    </row>
    <row r="867" customFormat="false" ht="15" hidden="false" customHeight="false" outlineLevel="0" collapsed="false">
      <c r="B867" s="19" t="s">
        <v>1698</v>
      </c>
      <c r="C867" s="20" t="n">
        <f aca="false">ROUND(1.18/FX,2)</f>
        <v>0.16</v>
      </c>
      <c r="D867" s="21" t="s">
        <v>894</v>
      </c>
      <c r="E867" s="21" t="s">
        <v>716</v>
      </c>
      <c r="F867" s="21" t="s">
        <v>1695</v>
      </c>
      <c r="G867" s="21" t="s">
        <v>1696</v>
      </c>
    </row>
    <row r="868" customFormat="false" ht="15" hidden="false" customHeight="false" outlineLevel="0" collapsed="false">
      <c r="B868" s="19" t="s">
        <v>1699</v>
      </c>
      <c r="C868" s="20" t="n">
        <f aca="false">ROUND(1.56/FX,2)</f>
        <v>0.22</v>
      </c>
      <c r="D868" s="21" t="s">
        <v>894</v>
      </c>
      <c r="E868" s="21" t="s">
        <v>719</v>
      </c>
      <c r="F868" s="21" t="s">
        <v>1695</v>
      </c>
      <c r="G868" s="21" t="s">
        <v>1696</v>
      </c>
    </row>
    <row r="869" customFormat="false" ht="15" hidden="false" customHeight="false" outlineLevel="0" collapsed="false">
      <c r="B869" s="19" t="s">
        <v>1700</v>
      </c>
      <c r="C869" s="20" t="n">
        <f aca="false">ROUND(1.56/FX,2)</f>
        <v>0.22</v>
      </c>
      <c r="D869" s="21" t="s">
        <v>938</v>
      </c>
      <c r="E869" s="21" t="s">
        <v>707</v>
      </c>
      <c r="F869" s="21" t="s">
        <v>1695</v>
      </c>
      <c r="G869" s="21" t="s">
        <v>1696</v>
      </c>
    </row>
    <row r="870" customFormat="false" ht="15" hidden="false" customHeight="false" outlineLevel="0" collapsed="false">
      <c r="B870" s="19" t="s">
        <v>1701</v>
      </c>
      <c r="C870" s="20" t="n">
        <f aca="false">ROUND(1.56/FX,2)</f>
        <v>0.22</v>
      </c>
      <c r="D870" s="21" t="s">
        <v>938</v>
      </c>
      <c r="E870" s="21" t="s">
        <v>714</v>
      </c>
      <c r="F870" s="21" t="s">
        <v>1695</v>
      </c>
      <c r="G870" s="21" t="s">
        <v>1696</v>
      </c>
    </row>
    <row r="871" customFormat="false" ht="15" hidden="false" customHeight="false" outlineLevel="0" collapsed="false">
      <c r="B871" s="19" t="s">
        <v>1702</v>
      </c>
      <c r="C871" s="20" t="n">
        <f aca="false">ROUND(1.56/FX,2)</f>
        <v>0.22</v>
      </c>
      <c r="D871" s="21" t="s">
        <v>938</v>
      </c>
      <c r="E871" s="21" t="s">
        <v>716</v>
      </c>
      <c r="F871" s="21" t="s">
        <v>1695</v>
      </c>
      <c r="G871" s="21" t="s">
        <v>1696</v>
      </c>
    </row>
    <row r="872" customFormat="false" ht="15" hidden="false" customHeight="false" outlineLevel="0" collapsed="false">
      <c r="B872" s="19" t="s">
        <v>1703</v>
      </c>
      <c r="C872" s="20" t="n">
        <f aca="false">ROUND(1.56/FX,2)</f>
        <v>0.22</v>
      </c>
      <c r="D872" s="21" t="s">
        <v>938</v>
      </c>
      <c r="E872" s="21" t="s">
        <v>719</v>
      </c>
      <c r="F872" s="21" t="s">
        <v>1695</v>
      </c>
      <c r="G872" s="21" t="s">
        <v>1696</v>
      </c>
    </row>
    <row r="873" customFormat="false" ht="15" hidden="false" customHeight="false" outlineLevel="0" collapsed="false">
      <c r="B873" s="19" t="s">
        <v>1704</v>
      </c>
      <c r="C873" s="20" t="n">
        <f aca="false">ROUND(1.56/FX,2)</f>
        <v>0.22</v>
      </c>
      <c r="D873" s="21" t="s">
        <v>982</v>
      </c>
      <c r="E873" s="21" t="s">
        <v>707</v>
      </c>
      <c r="F873" s="21" t="s">
        <v>1695</v>
      </c>
      <c r="G873" s="21" t="s">
        <v>1696</v>
      </c>
    </row>
    <row r="874" customFormat="false" ht="15" hidden="false" customHeight="false" outlineLevel="0" collapsed="false">
      <c r="B874" s="19" t="s">
        <v>1705</v>
      </c>
      <c r="C874" s="20" t="n">
        <f aca="false">ROUND(1.56/FX,2)</f>
        <v>0.22</v>
      </c>
      <c r="D874" s="21" t="s">
        <v>982</v>
      </c>
      <c r="E874" s="21" t="s">
        <v>714</v>
      </c>
      <c r="F874" s="21" t="s">
        <v>1695</v>
      </c>
      <c r="G874" s="21" t="s">
        <v>1696</v>
      </c>
    </row>
    <row r="875" customFormat="false" ht="15" hidden="false" customHeight="false" outlineLevel="0" collapsed="false">
      <c r="B875" s="19" t="s">
        <v>1706</v>
      </c>
      <c r="C875" s="20" t="n">
        <f aca="false">ROUND(1.15/FX,2)</f>
        <v>0.16</v>
      </c>
      <c r="D875" s="21" t="s">
        <v>982</v>
      </c>
      <c r="E875" s="21" t="s">
        <v>716</v>
      </c>
      <c r="F875" s="21" t="s">
        <v>1695</v>
      </c>
      <c r="G875" s="21" t="s">
        <v>1696</v>
      </c>
    </row>
    <row r="876" customFormat="false" ht="15" hidden="false" customHeight="false" outlineLevel="0" collapsed="false">
      <c r="B876" s="19" t="s">
        <v>1707</v>
      </c>
      <c r="C876" s="20" t="n">
        <f aca="false">ROUND(1.56/FX,2)</f>
        <v>0.22</v>
      </c>
      <c r="D876" s="21" t="s">
        <v>982</v>
      </c>
      <c r="E876" s="21" t="s">
        <v>719</v>
      </c>
      <c r="F876" s="21" t="s">
        <v>1695</v>
      </c>
      <c r="G876" s="21" t="s">
        <v>1696</v>
      </c>
    </row>
    <row r="877" customFormat="false" ht="15" hidden="false" customHeight="false" outlineLevel="0" collapsed="false">
      <c r="B877" s="19" t="s">
        <v>1708</v>
      </c>
      <c r="C877" s="20" t="n">
        <f aca="false">ROUND(1.95/FX,2)</f>
        <v>0.27</v>
      </c>
      <c r="D877" s="21" t="s">
        <v>1048</v>
      </c>
      <c r="E877" s="21" t="s">
        <v>707</v>
      </c>
      <c r="F877" s="21" t="s">
        <v>1695</v>
      </c>
      <c r="G877" s="21" t="s">
        <v>1696</v>
      </c>
    </row>
    <row r="878" customFormat="false" ht="15" hidden="false" customHeight="false" outlineLevel="0" collapsed="false">
      <c r="B878" s="19" t="s">
        <v>1709</v>
      </c>
      <c r="C878" s="20" t="n">
        <f aca="false">ROUND(1.56/FX,2)</f>
        <v>0.22</v>
      </c>
      <c r="D878" s="21" t="s">
        <v>1048</v>
      </c>
      <c r="E878" s="21" t="s">
        <v>714</v>
      </c>
      <c r="F878" s="21" t="s">
        <v>1695</v>
      </c>
      <c r="G878" s="21" t="s">
        <v>1696</v>
      </c>
    </row>
    <row r="879" customFormat="false" ht="15" hidden="false" customHeight="false" outlineLevel="0" collapsed="false">
      <c r="B879" s="19" t="s">
        <v>1710</v>
      </c>
      <c r="C879" s="20" t="n">
        <f aca="false">ROUND(1.15/FX,2)</f>
        <v>0.16</v>
      </c>
      <c r="D879" s="21" t="s">
        <v>1048</v>
      </c>
      <c r="E879" s="21" t="s">
        <v>716</v>
      </c>
      <c r="F879" s="21" t="s">
        <v>1695</v>
      </c>
      <c r="G879" s="21" t="s">
        <v>1696</v>
      </c>
    </row>
    <row r="880" customFormat="false" ht="15" hidden="false" customHeight="false" outlineLevel="0" collapsed="false">
      <c r="B880" s="19" t="s">
        <v>1711</v>
      </c>
      <c r="C880" s="20" t="n">
        <f aca="false">ROUND(2.34/FX,2)</f>
        <v>0.33</v>
      </c>
      <c r="D880" s="21" t="s">
        <v>1048</v>
      </c>
      <c r="E880" s="21" t="s">
        <v>719</v>
      </c>
      <c r="F880" s="21" t="s">
        <v>1695</v>
      </c>
      <c r="G880" s="21" t="s">
        <v>1696</v>
      </c>
    </row>
    <row r="881" customFormat="false" ht="15" hidden="false" customHeight="false" outlineLevel="0" collapsed="false">
      <c r="B881" s="19" t="s">
        <v>1712</v>
      </c>
      <c r="C881" s="20" t="n">
        <f aca="false">ROUND(1.56/FX,2)</f>
        <v>0.22</v>
      </c>
      <c r="D881" s="21" t="s">
        <v>1224</v>
      </c>
      <c r="E881" s="21" t="s">
        <v>707</v>
      </c>
      <c r="F881" s="21" t="s">
        <v>1695</v>
      </c>
      <c r="G881" s="21" t="s">
        <v>1696</v>
      </c>
    </row>
    <row r="882" customFormat="false" ht="15" hidden="false" customHeight="false" outlineLevel="0" collapsed="false">
      <c r="B882" s="19" t="s">
        <v>1713</v>
      </c>
      <c r="C882" s="20" t="n">
        <f aca="false">ROUND(1.56/FX,2)</f>
        <v>0.22</v>
      </c>
      <c r="D882" s="21" t="s">
        <v>1224</v>
      </c>
      <c r="E882" s="21" t="s">
        <v>714</v>
      </c>
      <c r="F882" s="21" t="s">
        <v>1695</v>
      </c>
      <c r="G882" s="21" t="s">
        <v>1696</v>
      </c>
    </row>
    <row r="883" customFormat="false" ht="15" hidden="false" customHeight="false" outlineLevel="0" collapsed="false">
      <c r="B883" s="19" t="s">
        <v>1714</v>
      </c>
      <c r="C883" s="20" t="n">
        <f aca="false">ROUND(1.21/FX,2)</f>
        <v>0.17</v>
      </c>
      <c r="D883" s="21" t="s">
        <v>1224</v>
      </c>
      <c r="E883" s="21" t="s">
        <v>716</v>
      </c>
      <c r="F883" s="21" t="s">
        <v>1695</v>
      </c>
      <c r="G883" s="21" t="s">
        <v>1696</v>
      </c>
    </row>
    <row r="884" customFormat="false" ht="15" hidden="false" customHeight="false" outlineLevel="0" collapsed="false">
      <c r="B884" s="19" t="s">
        <v>1715</v>
      </c>
      <c r="C884" s="20" t="n">
        <f aca="false">ROUND(1.56/FX,2)</f>
        <v>0.22</v>
      </c>
      <c r="D884" s="21" t="s">
        <v>1224</v>
      </c>
      <c r="E884" s="21" t="s">
        <v>719</v>
      </c>
      <c r="F884" s="21" t="s">
        <v>1695</v>
      </c>
      <c r="G884" s="21" t="s">
        <v>1696</v>
      </c>
    </row>
    <row r="885" customFormat="false" ht="15" hidden="false" customHeight="false" outlineLevel="0" collapsed="false">
      <c r="B885" s="19" t="s">
        <v>1716</v>
      </c>
      <c r="C885" s="20" t="n">
        <f aca="false">ROUND(2.25/FX,2)</f>
        <v>0.31</v>
      </c>
      <c r="D885" s="21" t="s">
        <v>1323</v>
      </c>
      <c r="E885" s="21" t="s">
        <v>707</v>
      </c>
      <c r="F885" s="21" t="s">
        <v>1695</v>
      </c>
      <c r="G885" s="21" t="s">
        <v>1696</v>
      </c>
    </row>
    <row r="886" customFormat="false" ht="15" hidden="false" customHeight="false" outlineLevel="0" collapsed="false">
      <c r="B886" s="19" t="s">
        <v>1717</v>
      </c>
      <c r="C886" s="20" t="n">
        <f aca="false">ROUND(1.56/FX,2)</f>
        <v>0.22</v>
      </c>
      <c r="D886" s="21" t="s">
        <v>1323</v>
      </c>
      <c r="E886" s="21" t="s">
        <v>714</v>
      </c>
      <c r="F886" s="21" t="s">
        <v>1695</v>
      </c>
      <c r="G886" s="21" t="s">
        <v>1696</v>
      </c>
    </row>
    <row r="887" customFormat="false" ht="15" hidden="false" customHeight="false" outlineLevel="0" collapsed="false">
      <c r="B887" s="19" t="s">
        <v>1718</v>
      </c>
      <c r="C887" s="20" t="n">
        <f aca="false">ROUND(1.29/FX,2)</f>
        <v>0.18</v>
      </c>
      <c r="D887" s="21" t="s">
        <v>1323</v>
      </c>
      <c r="E887" s="21" t="s">
        <v>716</v>
      </c>
      <c r="F887" s="21" t="s">
        <v>1695</v>
      </c>
      <c r="G887" s="21" t="s">
        <v>1696</v>
      </c>
    </row>
    <row r="888" customFormat="false" ht="15" hidden="false" customHeight="false" outlineLevel="0" collapsed="false">
      <c r="B888" s="19" t="s">
        <v>1719</v>
      </c>
      <c r="C888" s="20" t="n">
        <f aca="false">ROUND(1.56/FX,2)</f>
        <v>0.22</v>
      </c>
      <c r="D888" s="21" t="s">
        <v>1323</v>
      </c>
      <c r="E888" s="21" t="s">
        <v>719</v>
      </c>
      <c r="F888" s="21" t="s">
        <v>1695</v>
      </c>
      <c r="G888" s="21" t="s">
        <v>1696</v>
      </c>
    </row>
    <row r="889" customFormat="false" ht="15" hidden="false" customHeight="false" outlineLevel="0" collapsed="false">
      <c r="B889" s="19" t="s">
        <v>1720</v>
      </c>
      <c r="C889" s="20" t="n">
        <f aca="false">ROUND(1.56/FX,2)</f>
        <v>0.22</v>
      </c>
      <c r="D889" s="21" t="s">
        <v>1520</v>
      </c>
      <c r="E889" s="21" t="s">
        <v>707</v>
      </c>
      <c r="F889" s="21" t="s">
        <v>1695</v>
      </c>
      <c r="G889" s="21" t="s">
        <v>1696</v>
      </c>
    </row>
    <row r="890" customFormat="false" ht="15" hidden="false" customHeight="false" outlineLevel="0" collapsed="false">
      <c r="B890" s="19" t="s">
        <v>1721</v>
      </c>
      <c r="C890" s="20" t="n">
        <f aca="false">ROUND(1.56/FX,2)</f>
        <v>0.22</v>
      </c>
      <c r="D890" s="21" t="s">
        <v>1520</v>
      </c>
      <c r="E890" s="21" t="s">
        <v>714</v>
      </c>
      <c r="F890" s="21" t="s">
        <v>1695</v>
      </c>
      <c r="G890" s="21" t="s">
        <v>1696</v>
      </c>
    </row>
    <row r="891" customFormat="false" ht="15" hidden="false" customHeight="false" outlineLevel="0" collapsed="false">
      <c r="B891" s="19" t="s">
        <v>1722</v>
      </c>
      <c r="C891" s="20" t="n">
        <f aca="false">ROUND(2.47/FX,2)</f>
        <v>0.34</v>
      </c>
      <c r="D891" s="21" t="s">
        <v>1520</v>
      </c>
      <c r="E891" s="21" t="s">
        <v>716</v>
      </c>
      <c r="F891" s="21" t="s">
        <v>1695</v>
      </c>
      <c r="G891" s="21" t="s">
        <v>1696</v>
      </c>
    </row>
    <row r="892" customFormat="false" ht="15" hidden="false" customHeight="false" outlineLevel="0" collapsed="false">
      <c r="B892" s="19" t="s">
        <v>1723</v>
      </c>
      <c r="C892" s="20" t="n">
        <f aca="false">ROUND(1.56/FX,2)</f>
        <v>0.22</v>
      </c>
      <c r="D892" s="21" t="s">
        <v>1520</v>
      </c>
      <c r="E892" s="21" t="s">
        <v>719</v>
      </c>
      <c r="F892" s="21" t="s">
        <v>1695</v>
      </c>
      <c r="G892" s="21" t="s">
        <v>1696</v>
      </c>
    </row>
    <row r="893" customFormat="false" ht="15" hidden="false" customHeight="false" outlineLevel="0" collapsed="false">
      <c r="B893" s="19" t="s">
        <v>1724</v>
      </c>
      <c r="C893" s="20" t="n">
        <f aca="false">ROUND(1.56/FX,2)</f>
        <v>0.22</v>
      </c>
      <c r="D893" s="21" t="s">
        <v>1570</v>
      </c>
      <c r="E893" s="21" t="s">
        <v>707</v>
      </c>
      <c r="F893" s="21" t="s">
        <v>1695</v>
      </c>
      <c r="G893" s="21" t="s">
        <v>1696</v>
      </c>
    </row>
    <row r="894" customFormat="false" ht="15" hidden="false" customHeight="false" outlineLevel="0" collapsed="false">
      <c r="B894" s="19" t="s">
        <v>1725</v>
      </c>
      <c r="C894" s="20" t="n">
        <f aca="false">ROUND(1.56/FX,2)</f>
        <v>0.22</v>
      </c>
      <c r="D894" s="21" t="s">
        <v>1570</v>
      </c>
      <c r="E894" s="21" t="s">
        <v>714</v>
      </c>
      <c r="F894" s="21" t="s">
        <v>1695</v>
      </c>
      <c r="G894" s="21" t="s">
        <v>1696</v>
      </c>
    </row>
    <row r="895" customFormat="false" ht="15" hidden="false" customHeight="false" outlineLevel="0" collapsed="false">
      <c r="B895" s="19" t="s">
        <v>1726</v>
      </c>
      <c r="C895" s="20" t="n">
        <f aca="false">ROUND(2.99/FX,2)</f>
        <v>0.42</v>
      </c>
      <c r="D895" s="21" t="s">
        <v>1570</v>
      </c>
      <c r="E895" s="21" t="s">
        <v>716</v>
      </c>
      <c r="F895" s="21" t="s">
        <v>1695</v>
      </c>
      <c r="G895" s="21" t="s">
        <v>1696</v>
      </c>
    </row>
    <row r="896" customFormat="false" ht="15" hidden="false" customHeight="false" outlineLevel="0" collapsed="false">
      <c r="B896" s="19" t="s">
        <v>1727</v>
      </c>
      <c r="C896" s="20" t="n">
        <f aca="false">ROUND(1.56/FX,2)</f>
        <v>0.22</v>
      </c>
      <c r="D896" s="21" t="s">
        <v>1570</v>
      </c>
      <c r="E896" s="21" t="s">
        <v>719</v>
      </c>
      <c r="F896" s="21" t="s">
        <v>1695</v>
      </c>
      <c r="G896" s="21" t="s">
        <v>1696</v>
      </c>
    </row>
    <row r="897" customFormat="false" ht="15" hidden="false" customHeight="false" outlineLevel="0" collapsed="false">
      <c r="B897" s="19" t="s">
        <v>1728</v>
      </c>
      <c r="C897" s="20" t="n">
        <f aca="false">ROUND(1.56/FX,2)</f>
        <v>0.22</v>
      </c>
      <c r="D897" s="21" t="s">
        <v>1680</v>
      </c>
      <c r="E897" s="21" t="s">
        <v>707</v>
      </c>
      <c r="F897" s="21" t="s">
        <v>1695</v>
      </c>
      <c r="G897" s="21" t="s">
        <v>1696</v>
      </c>
    </row>
    <row r="898" customFormat="false" ht="15" hidden="false" customHeight="false" outlineLevel="0" collapsed="false">
      <c r="B898" s="19" t="s">
        <v>1729</v>
      </c>
      <c r="C898" s="20" t="n">
        <f aca="false">ROUND(1.56/FX,2)</f>
        <v>0.22</v>
      </c>
      <c r="D898" s="21" t="s">
        <v>1680</v>
      </c>
      <c r="E898" s="21" t="s">
        <v>714</v>
      </c>
      <c r="F898" s="21" t="s">
        <v>1695</v>
      </c>
      <c r="G898" s="21" t="s">
        <v>1696</v>
      </c>
    </row>
    <row r="899" customFormat="false" ht="15" hidden="false" customHeight="false" outlineLevel="0" collapsed="false">
      <c r="B899" s="19" t="s">
        <v>1730</v>
      </c>
      <c r="C899" s="20" t="n">
        <f aca="false">ROUND(1.95/FX,2)</f>
        <v>0.27</v>
      </c>
      <c r="D899" s="21" t="s">
        <v>1680</v>
      </c>
      <c r="E899" s="21" t="s">
        <v>716</v>
      </c>
      <c r="F899" s="21" t="s">
        <v>1695</v>
      </c>
      <c r="G899" s="21" t="s">
        <v>1696</v>
      </c>
    </row>
    <row r="900" customFormat="false" ht="15" hidden="false" customHeight="false" outlineLevel="0" collapsed="false">
      <c r="B900" s="19" t="s">
        <v>1731</v>
      </c>
      <c r="C900" s="20" t="n">
        <f aca="false">ROUND(1.56/FX,2)</f>
        <v>0.22</v>
      </c>
      <c r="D900" s="21" t="s">
        <v>1680</v>
      </c>
      <c r="E900" s="21" t="s">
        <v>719</v>
      </c>
      <c r="F900" s="21" t="s">
        <v>1695</v>
      </c>
      <c r="G900" s="21" t="s">
        <v>1696</v>
      </c>
    </row>
    <row r="903" customFormat="false" ht="61.5" hidden="false" customHeight="true" outlineLevel="0" collapsed="false">
      <c r="A903" s="9"/>
      <c r="B903" s="10" t="s">
        <v>1732</v>
      </c>
      <c r="C903" s="10"/>
      <c r="D903" s="10"/>
      <c r="E903" s="10"/>
      <c r="F903" s="10"/>
      <c r="G903" s="10"/>
    </row>
    <row r="904" customFormat="false" ht="15" hidden="false" customHeight="false" outlineLevel="0" collapsed="false">
      <c r="A904" s="12" t="s">
        <v>700</v>
      </c>
      <c r="B904" s="13" t="s">
        <v>701</v>
      </c>
      <c r="C904" s="13" t="s">
        <v>702</v>
      </c>
      <c r="D904" s="13" t="s">
        <v>830</v>
      </c>
      <c r="E904" s="13" t="s">
        <v>703</v>
      </c>
      <c r="F904" s="13" t="s">
        <v>722</v>
      </c>
      <c r="G904" s="13" t="s">
        <v>831</v>
      </c>
    </row>
    <row r="905" customFormat="false" ht="30" hidden="false" customHeight="true" outlineLevel="0" collapsed="false">
      <c r="A905" s="14" t="s">
        <v>706</v>
      </c>
      <c r="B905" s="15" t="str">
        <f aca="false">IF(COUNTIFS($D$908:$D$1609,IF(D905="","*",D905),$E$908:$E$1609,IF(E905="","*",E905),$F$908:$F$1609,IF(F905="","*",F905),$G$908:$G$1609,IF(G905="","*",G905))=1,INDEX($B:$B,SUMPRODUCT(((D905="")+($D$908:$D$1609=D905)&gt;0)*((E905="")+($E$908:$E$1609=E905)&gt;0)*((F905="")+($F$908:$F$1609=F905)&gt;0)*((G905="")+($G$908:$G$1609=G905)&gt;0)*ROW($B$908:$B$1609))),IF(COUNTIFS($D$908:$D$1609,IF(D905="","*",D905),$E$908:$E$1609,IF(E905="","*",E905),$F$908:$F$1609,IF(F905="","*",F905),$G$908:$G$1609,IF(G905="","*",G905))=0,"Not available",COUNTIFS($D$908:$D$1609,IF(D905="","*",D905),$E$908:$E$1609,IF(E905="","*",E905),$F$908:$F$1609,IF(F905="","*",F905),$G$908:$G$1609,IF(G905="","*",G905))&amp;" match, keep choosing"))</f>
        <v>2GT-1000-10</v>
      </c>
      <c r="C905" s="16" t="n">
        <f aca="false">IF(COUNTIFS($D$908:$D$1609,IF(D905="","*",D905),$E$908:$E$1609,IF(E905="","*",E905),$F$908:$F$1609,IF(F905="","*",F905),$G$908:$G$1609,IF(G905="","*",G905))=1,INDEX($C:$C,SUMPRODUCT(((D905="")+($D$908:$D$1609=D905)&gt;0)*((E905="")+($E$908:$E$1609=E905)&gt;0)*((F905="")+($F$908:$F$1609=F905)&gt;0)*((G905="")+($G$908:$G$1609=G905)&gt;0)*ROW($B$908:$B$1609))),"")</f>
        <v>0.94</v>
      </c>
      <c r="D905" s="17" t="s">
        <v>1733</v>
      </c>
      <c r="E905" s="17" t="s">
        <v>707</v>
      </c>
      <c r="F905" s="17" t="s">
        <v>724</v>
      </c>
      <c r="G905" s="17" t="s">
        <v>833</v>
      </c>
    </row>
    <row r="907" customFormat="false" ht="15" hidden="false" customHeight="false" outlineLevel="0" collapsed="false">
      <c r="B907" s="18" t="s">
        <v>701</v>
      </c>
      <c r="C907" s="18" t="s">
        <v>702</v>
      </c>
      <c r="D907" s="18" t="s">
        <v>830</v>
      </c>
      <c r="E907" s="18" t="s">
        <v>703</v>
      </c>
      <c r="F907" s="18" t="s">
        <v>722</v>
      </c>
      <c r="G907" s="18" t="s">
        <v>831</v>
      </c>
    </row>
    <row r="908" customFormat="false" ht="15" hidden="false" customHeight="false" outlineLevel="0" collapsed="false">
      <c r="B908" s="19" t="s">
        <v>1734</v>
      </c>
      <c r="C908" s="20" t="n">
        <f aca="false">ROUND(6.8/FX,2)</f>
        <v>0.94</v>
      </c>
      <c r="D908" s="21" t="s">
        <v>1733</v>
      </c>
      <c r="E908" s="21" t="s">
        <v>707</v>
      </c>
      <c r="F908" s="21" t="s">
        <v>724</v>
      </c>
      <c r="G908" s="21" t="s">
        <v>833</v>
      </c>
    </row>
    <row r="909" customFormat="false" ht="15" hidden="false" customHeight="false" outlineLevel="0" collapsed="false">
      <c r="B909" s="19" t="s">
        <v>1735</v>
      </c>
      <c r="C909" s="20" t="n">
        <f aca="false">ROUND(11.83/FX,2)</f>
        <v>1.64</v>
      </c>
      <c r="D909" s="21" t="s">
        <v>1733</v>
      </c>
      <c r="E909" s="21" t="s">
        <v>714</v>
      </c>
      <c r="F909" s="21" t="s">
        <v>724</v>
      </c>
      <c r="G909" s="21" t="s">
        <v>833</v>
      </c>
    </row>
    <row r="910" customFormat="false" ht="15" hidden="false" customHeight="false" outlineLevel="0" collapsed="false">
      <c r="B910" s="19" t="s">
        <v>1736</v>
      </c>
      <c r="C910" s="20" t="n">
        <f aca="false">ROUND(4.55/FX,2)</f>
        <v>0.63</v>
      </c>
      <c r="D910" s="21" t="s">
        <v>1733</v>
      </c>
      <c r="E910" s="21" t="s">
        <v>841</v>
      </c>
      <c r="F910" s="21" t="s">
        <v>724</v>
      </c>
      <c r="G910" s="21" t="s">
        <v>833</v>
      </c>
    </row>
    <row r="911" customFormat="false" ht="15" hidden="false" customHeight="false" outlineLevel="0" collapsed="false">
      <c r="B911" s="19" t="s">
        <v>1737</v>
      </c>
      <c r="C911" s="20" t="n">
        <f aca="false">ROUND(4.07/FX,2)</f>
        <v>0.57</v>
      </c>
      <c r="D911" s="21" t="s">
        <v>1733</v>
      </c>
      <c r="E911" s="21" t="s">
        <v>716</v>
      </c>
      <c r="F911" s="21" t="s">
        <v>724</v>
      </c>
      <c r="G911" s="21" t="s">
        <v>833</v>
      </c>
    </row>
    <row r="912" customFormat="false" ht="15" hidden="false" customHeight="false" outlineLevel="0" collapsed="false">
      <c r="B912" s="19" t="s">
        <v>1738</v>
      </c>
      <c r="C912" s="20" t="n">
        <f aca="false">ROUND(2.73/FX,2)</f>
        <v>0.38</v>
      </c>
      <c r="D912" s="21" t="s">
        <v>1733</v>
      </c>
      <c r="E912" s="21" t="s">
        <v>719</v>
      </c>
      <c r="F912" s="21" t="s">
        <v>724</v>
      </c>
      <c r="G912" s="21" t="s">
        <v>833</v>
      </c>
    </row>
    <row r="913" customFormat="false" ht="15" hidden="false" customHeight="false" outlineLevel="0" collapsed="false">
      <c r="B913" s="19" t="s">
        <v>1739</v>
      </c>
      <c r="C913" s="20" t="n">
        <f aca="false">ROUND(7.58/FX,2)</f>
        <v>1.05</v>
      </c>
      <c r="D913" s="21" t="s">
        <v>1740</v>
      </c>
      <c r="E913" s="21" t="s">
        <v>707</v>
      </c>
      <c r="F913" s="21" t="s">
        <v>724</v>
      </c>
      <c r="G913" s="21" t="s">
        <v>833</v>
      </c>
    </row>
    <row r="914" customFormat="false" ht="15" hidden="false" customHeight="false" outlineLevel="0" collapsed="false">
      <c r="B914" s="19" t="s">
        <v>1741</v>
      </c>
      <c r="C914" s="20" t="n">
        <f aca="false">ROUND(6.83/FX,2)</f>
        <v>0.95</v>
      </c>
      <c r="D914" s="21" t="s">
        <v>1740</v>
      </c>
      <c r="E914" s="21" t="s">
        <v>714</v>
      </c>
      <c r="F914" s="21" t="s">
        <v>724</v>
      </c>
      <c r="G914" s="21" t="s">
        <v>833</v>
      </c>
    </row>
    <row r="915" customFormat="false" ht="15" hidden="false" customHeight="false" outlineLevel="0" collapsed="false">
      <c r="B915" s="19" t="s">
        <v>1742</v>
      </c>
      <c r="C915" s="20" t="n">
        <f aca="false">ROUND(4.55/FX,2)</f>
        <v>0.63</v>
      </c>
      <c r="D915" s="21" t="s">
        <v>1740</v>
      </c>
      <c r="E915" s="21" t="s">
        <v>841</v>
      </c>
      <c r="F915" s="21" t="s">
        <v>724</v>
      </c>
      <c r="G915" s="21" t="s">
        <v>833</v>
      </c>
    </row>
    <row r="916" customFormat="false" ht="15" hidden="false" customHeight="false" outlineLevel="0" collapsed="false">
      <c r="B916" s="19" t="s">
        <v>1743</v>
      </c>
      <c r="C916" s="20" t="n">
        <f aca="false">ROUND(4.88/FX,2)</f>
        <v>0.68</v>
      </c>
      <c r="D916" s="21" t="s">
        <v>1740</v>
      </c>
      <c r="E916" s="21" t="s">
        <v>716</v>
      </c>
      <c r="F916" s="21" t="s">
        <v>724</v>
      </c>
      <c r="G916" s="21" t="s">
        <v>833</v>
      </c>
    </row>
    <row r="917" customFormat="false" ht="15" hidden="false" customHeight="false" outlineLevel="0" collapsed="false">
      <c r="B917" s="19" t="s">
        <v>1744</v>
      </c>
      <c r="C917" s="20" t="n">
        <f aca="false">ROUND(7.28/FX,2)</f>
        <v>1.01</v>
      </c>
      <c r="D917" s="21" t="s">
        <v>1740</v>
      </c>
      <c r="E917" s="21" t="s">
        <v>719</v>
      </c>
      <c r="F917" s="21" t="s">
        <v>724</v>
      </c>
      <c r="G917" s="21" t="s">
        <v>833</v>
      </c>
    </row>
    <row r="918" customFormat="false" ht="15" hidden="false" customHeight="false" outlineLevel="0" collapsed="false">
      <c r="B918" s="19" t="s">
        <v>1745</v>
      </c>
      <c r="C918" s="20" t="n">
        <f aca="false">ROUND(4.55/FX,2)</f>
        <v>0.63</v>
      </c>
      <c r="D918" s="21" t="s">
        <v>1746</v>
      </c>
      <c r="E918" s="21" t="s">
        <v>707</v>
      </c>
      <c r="F918" s="21" t="s">
        <v>724</v>
      </c>
      <c r="G918" s="21" t="s">
        <v>833</v>
      </c>
    </row>
    <row r="919" customFormat="false" ht="15" hidden="false" customHeight="false" outlineLevel="0" collapsed="false">
      <c r="B919" s="19" t="s">
        <v>1747</v>
      </c>
      <c r="C919" s="20" t="n">
        <f aca="false">ROUND(4.55/FX,2)</f>
        <v>0.63</v>
      </c>
      <c r="D919" s="21" t="s">
        <v>1746</v>
      </c>
      <c r="E919" s="21" t="s">
        <v>714</v>
      </c>
      <c r="F919" s="21" t="s">
        <v>724</v>
      </c>
      <c r="G919" s="21" t="s">
        <v>833</v>
      </c>
    </row>
    <row r="920" customFormat="false" ht="15" hidden="false" customHeight="false" outlineLevel="0" collapsed="false">
      <c r="B920" s="19" t="s">
        <v>1748</v>
      </c>
      <c r="C920" s="20" t="n">
        <f aca="false">ROUND(4.55/FX,2)</f>
        <v>0.63</v>
      </c>
      <c r="D920" s="21" t="s">
        <v>1746</v>
      </c>
      <c r="E920" s="21" t="s">
        <v>841</v>
      </c>
      <c r="F920" s="21" t="s">
        <v>724</v>
      </c>
      <c r="G920" s="21" t="s">
        <v>833</v>
      </c>
    </row>
    <row r="921" customFormat="false" ht="15" hidden="false" customHeight="false" outlineLevel="0" collapsed="false">
      <c r="B921" s="19" t="s">
        <v>1749</v>
      </c>
      <c r="C921" s="20" t="n">
        <f aca="false">ROUND(4.8/FX,2)</f>
        <v>0.67</v>
      </c>
      <c r="D921" s="21" t="s">
        <v>1746</v>
      </c>
      <c r="E921" s="21" t="s">
        <v>716</v>
      </c>
      <c r="F921" s="21" t="s">
        <v>724</v>
      </c>
      <c r="G921" s="21" t="s">
        <v>833</v>
      </c>
    </row>
    <row r="922" customFormat="false" ht="15" hidden="false" customHeight="false" outlineLevel="0" collapsed="false">
      <c r="B922" s="19" t="s">
        <v>1750</v>
      </c>
      <c r="C922" s="20" t="n">
        <f aca="false">ROUND(4.55/FX,2)</f>
        <v>0.63</v>
      </c>
      <c r="D922" s="21" t="s">
        <v>1746</v>
      </c>
      <c r="E922" s="21" t="s">
        <v>719</v>
      </c>
      <c r="F922" s="21" t="s">
        <v>724</v>
      </c>
      <c r="G922" s="21" t="s">
        <v>833</v>
      </c>
    </row>
    <row r="923" customFormat="false" ht="15" hidden="false" customHeight="false" outlineLevel="0" collapsed="false">
      <c r="B923" s="19" t="s">
        <v>1751</v>
      </c>
      <c r="C923" s="20" t="n">
        <f aca="false">ROUND(4.94/FX,2)</f>
        <v>0.69</v>
      </c>
      <c r="D923" s="21" t="s">
        <v>1752</v>
      </c>
      <c r="E923" s="21" t="s">
        <v>707</v>
      </c>
      <c r="F923" s="21" t="s">
        <v>724</v>
      </c>
      <c r="G923" s="21" t="s">
        <v>833</v>
      </c>
    </row>
    <row r="924" customFormat="false" ht="15" hidden="false" customHeight="false" outlineLevel="0" collapsed="false">
      <c r="B924" s="19" t="s">
        <v>1753</v>
      </c>
      <c r="C924" s="20" t="n">
        <f aca="false">ROUND(5.02/FX,2)</f>
        <v>0.7</v>
      </c>
      <c r="D924" s="21" t="s">
        <v>1752</v>
      </c>
      <c r="E924" s="21" t="s">
        <v>716</v>
      </c>
      <c r="F924" s="21" t="s">
        <v>724</v>
      </c>
      <c r="G924" s="21" t="s">
        <v>833</v>
      </c>
    </row>
    <row r="925" customFormat="false" ht="15" hidden="false" customHeight="false" outlineLevel="0" collapsed="false">
      <c r="B925" s="19" t="s">
        <v>1754</v>
      </c>
      <c r="C925" s="20" t="n">
        <f aca="false">ROUND(4.94/FX,2)</f>
        <v>0.69</v>
      </c>
      <c r="D925" s="21" t="s">
        <v>1752</v>
      </c>
      <c r="E925" s="21" t="s">
        <v>719</v>
      </c>
      <c r="F925" s="21" t="s">
        <v>724</v>
      </c>
      <c r="G925" s="21" t="s">
        <v>833</v>
      </c>
    </row>
    <row r="926" customFormat="false" ht="15" hidden="false" customHeight="false" outlineLevel="0" collapsed="false">
      <c r="B926" s="19" t="s">
        <v>1755</v>
      </c>
      <c r="C926" s="20" t="n">
        <f aca="false">ROUND(4.94/FX,2)</f>
        <v>0.69</v>
      </c>
      <c r="D926" s="21" t="s">
        <v>1756</v>
      </c>
      <c r="E926" s="21" t="s">
        <v>707</v>
      </c>
      <c r="F926" s="21" t="s">
        <v>724</v>
      </c>
      <c r="G926" s="21" t="s">
        <v>833</v>
      </c>
    </row>
    <row r="927" customFormat="false" ht="15" hidden="false" customHeight="false" outlineLevel="0" collapsed="false">
      <c r="B927" s="19" t="s">
        <v>1757</v>
      </c>
      <c r="C927" s="20" t="n">
        <f aca="false">ROUND(4.36/FX,2)</f>
        <v>0.61</v>
      </c>
      <c r="D927" s="21" t="s">
        <v>1756</v>
      </c>
      <c r="E927" s="21" t="s">
        <v>716</v>
      </c>
      <c r="F927" s="21" t="s">
        <v>724</v>
      </c>
      <c r="G927" s="21" t="s">
        <v>833</v>
      </c>
    </row>
    <row r="928" customFormat="false" ht="15" hidden="false" customHeight="false" outlineLevel="0" collapsed="false">
      <c r="B928" s="19" t="s">
        <v>1758</v>
      </c>
      <c r="C928" s="20" t="n">
        <f aca="false">ROUND(7.41/FX,2)</f>
        <v>1.03</v>
      </c>
      <c r="D928" s="21" t="s">
        <v>1756</v>
      </c>
      <c r="E928" s="21" t="s">
        <v>719</v>
      </c>
      <c r="F928" s="21" t="s">
        <v>724</v>
      </c>
      <c r="G928" s="21" t="s">
        <v>833</v>
      </c>
    </row>
    <row r="929" customFormat="false" ht="15" hidden="false" customHeight="false" outlineLevel="0" collapsed="false">
      <c r="B929" s="19" t="s">
        <v>1759</v>
      </c>
      <c r="C929" s="20" t="n">
        <f aca="false">ROUND(4.81/FX,2)</f>
        <v>0.67</v>
      </c>
      <c r="D929" s="21" t="s">
        <v>1760</v>
      </c>
      <c r="E929" s="21" t="s">
        <v>707</v>
      </c>
      <c r="F929" s="21" t="s">
        <v>724</v>
      </c>
      <c r="G929" s="21" t="s">
        <v>833</v>
      </c>
    </row>
    <row r="930" customFormat="false" ht="15" hidden="false" customHeight="false" outlineLevel="0" collapsed="false">
      <c r="B930" s="19" t="s">
        <v>1761</v>
      </c>
      <c r="C930" s="20" t="n">
        <f aca="false">ROUND(3.9/FX,2)</f>
        <v>0.54</v>
      </c>
      <c r="D930" s="21" t="s">
        <v>1760</v>
      </c>
      <c r="E930" s="21" t="s">
        <v>716</v>
      </c>
      <c r="F930" s="21" t="s">
        <v>724</v>
      </c>
      <c r="G930" s="21" t="s">
        <v>833</v>
      </c>
    </row>
    <row r="931" customFormat="false" ht="15" hidden="false" customHeight="false" outlineLevel="0" collapsed="false">
      <c r="B931" s="19" t="s">
        <v>1762</v>
      </c>
      <c r="C931" s="20" t="n">
        <f aca="false">ROUND(4.81/FX,2)</f>
        <v>0.67</v>
      </c>
      <c r="D931" s="21" t="s">
        <v>1760</v>
      </c>
      <c r="E931" s="21" t="s">
        <v>719</v>
      </c>
      <c r="F931" s="21" t="s">
        <v>724</v>
      </c>
      <c r="G931" s="21" t="s">
        <v>833</v>
      </c>
    </row>
    <row r="932" customFormat="false" ht="15" hidden="false" customHeight="false" outlineLevel="0" collapsed="false">
      <c r="B932" s="19" t="s">
        <v>1763</v>
      </c>
      <c r="C932" s="20" t="n">
        <f aca="false">ROUND(4.94/FX,2)</f>
        <v>0.69</v>
      </c>
      <c r="D932" s="21" t="s">
        <v>1764</v>
      </c>
      <c r="E932" s="21" t="s">
        <v>707</v>
      </c>
      <c r="F932" s="21" t="s">
        <v>724</v>
      </c>
      <c r="G932" s="21" t="s">
        <v>833</v>
      </c>
    </row>
    <row r="933" customFormat="false" ht="15" hidden="false" customHeight="false" outlineLevel="0" collapsed="false">
      <c r="B933" s="19" t="s">
        <v>1765</v>
      </c>
      <c r="C933" s="20" t="n">
        <f aca="false">ROUND(5.14/FX,2)</f>
        <v>0.71</v>
      </c>
      <c r="D933" s="21" t="s">
        <v>1764</v>
      </c>
      <c r="E933" s="21" t="s">
        <v>716</v>
      </c>
      <c r="F933" s="21" t="s">
        <v>724</v>
      </c>
      <c r="G933" s="21" t="s">
        <v>833</v>
      </c>
    </row>
    <row r="934" customFormat="false" ht="15" hidden="false" customHeight="false" outlineLevel="0" collapsed="false">
      <c r="B934" s="19" t="s">
        <v>1766</v>
      </c>
      <c r="C934" s="20" t="n">
        <f aca="false">ROUND(4.94/FX,2)</f>
        <v>0.69</v>
      </c>
      <c r="D934" s="21" t="s">
        <v>1764</v>
      </c>
      <c r="E934" s="21" t="s">
        <v>719</v>
      </c>
      <c r="F934" s="21" t="s">
        <v>724</v>
      </c>
      <c r="G934" s="21" t="s">
        <v>833</v>
      </c>
    </row>
    <row r="935" customFormat="false" ht="15" hidden="false" customHeight="false" outlineLevel="0" collapsed="false">
      <c r="B935" s="19" t="s">
        <v>1767</v>
      </c>
      <c r="C935" s="20" t="n">
        <f aca="false">ROUND(4.94/FX,2)</f>
        <v>0.69</v>
      </c>
      <c r="D935" s="21" t="s">
        <v>1768</v>
      </c>
      <c r="E935" s="21" t="s">
        <v>707</v>
      </c>
      <c r="F935" s="21" t="s">
        <v>724</v>
      </c>
      <c r="G935" s="21" t="s">
        <v>833</v>
      </c>
    </row>
    <row r="936" customFormat="false" ht="15" hidden="false" customHeight="false" outlineLevel="0" collapsed="false">
      <c r="B936" s="19" t="s">
        <v>1769</v>
      </c>
      <c r="C936" s="20" t="n">
        <f aca="false">ROUND(4.47/FX,2)</f>
        <v>0.62</v>
      </c>
      <c r="D936" s="21" t="s">
        <v>1768</v>
      </c>
      <c r="E936" s="21" t="s">
        <v>716</v>
      </c>
      <c r="F936" s="21" t="s">
        <v>724</v>
      </c>
      <c r="G936" s="21" t="s">
        <v>833</v>
      </c>
    </row>
    <row r="937" customFormat="false" ht="15" hidden="false" customHeight="false" outlineLevel="0" collapsed="false">
      <c r="B937" s="19" t="s">
        <v>1770</v>
      </c>
      <c r="C937" s="20" t="n">
        <f aca="false">ROUND(7.61/FX,2)</f>
        <v>1.06</v>
      </c>
      <c r="D937" s="21" t="s">
        <v>1768</v>
      </c>
      <c r="E937" s="21" t="s">
        <v>719</v>
      </c>
      <c r="F937" s="21" t="s">
        <v>724</v>
      </c>
      <c r="G937" s="21" t="s">
        <v>833</v>
      </c>
    </row>
    <row r="938" customFormat="false" ht="15" hidden="false" customHeight="false" outlineLevel="0" collapsed="false">
      <c r="B938" s="19" t="s">
        <v>1771</v>
      </c>
      <c r="C938" s="20" t="n">
        <f aca="false">ROUND(4.94/FX,2)</f>
        <v>0.69</v>
      </c>
      <c r="D938" s="21" t="s">
        <v>1772</v>
      </c>
      <c r="E938" s="21" t="s">
        <v>707</v>
      </c>
      <c r="F938" s="21" t="s">
        <v>724</v>
      </c>
      <c r="G938" s="21" t="s">
        <v>833</v>
      </c>
    </row>
    <row r="939" customFormat="false" ht="15" hidden="false" customHeight="false" outlineLevel="0" collapsed="false">
      <c r="B939" s="19" t="s">
        <v>1773</v>
      </c>
      <c r="C939" s="20" t="n">
        <f aca="false">ROUND(5.14/FX,2)</f>
        <v>0.71</v>
      </c>
      <c r="D939" s="21" t="s">
        <v>1772</v>
      </c>
      <c r="E939" s="21" t="s">
        <v>716</v>
      </c>
      <c r="F939" s="21" t="s">
        <v>724</v>
      </c>
      <c r="G939" s="21" t="s">
        <v>833</v>
      </c>
    </row>
    <row r="940" customFormat="false" ht="15" hidden="false" customHeight="false" outlineLevel="0" collapsed="false">
      <c r="B940" s="19" t="s">
        <v>1774</v>
      </c>
      <c r="C940" s="20" t="n">
        <f aca="false">ROUND(3.48/FX,2)</f>
        <v>0.48</v>
      </c>
      <c r="D940" s="21" t="s">
        <v>1772</v>
      </c>
      <c r="E940" s="21" t="s">
        <v>719</v>
      </c>
      <c r="F940" s="21" t="s">
        <v>724</v>
      </c>
      <c r="G940" s="21" t="s">
        <v>833</v>
      </c>
    </row>
    <row r="941" customFormat="false" ht="15" hidden="false" customHeight="false" outlineLevel="0" collapsed="false">
      <c r="B941" s="19" t="s">
        <v>1775</v>
      </c>
      <c r="C941" s="20" t="n">
        <f aca="false">ROUND(8.19/FX,2)</f>
        <v>1.14</v>
      </c>
      <c r="D941" s="21" t="s">
        <v>1776</v>
      </c>
      <c r="E941" s="21" t="s">
        <v>707</v>
      </c>
      <c r="F941" s="21" t="s">
        <v>724</v>
      </c>
      <c r="G941" s="21" t="s">
        <v>833</v>
      </c>
    </row>
    <row r="942" customFormat="false" ht="15" hidden="false" customHeight="false" outlineLevel="0" collapsed="false">
      <c r="B942" s="19" t="s">
        <v>1777</v>
      </c>
      <c r="C942" s="20" t="n">
        <f aca="false">ROUND(4.62/FX,2)</f>
        <v>0.64</v>
      </c>
      <c r="D942" s="21" t="s">
        <v>1776</v>
      </c>
      <c r="E942" s="21" t="s">
        <v>716</v>
      </c>
      <c r="F942" s="21" t="s">
        <v>724</v>
      </c>
      <c r="G942" s="21" t="s">
        <v>833</v>
      </c>
    </row>
    <row r="943" customFormat="false" ht="15" hidden="false" customHeight="false" outlineLevel="0" collapsed="false">
      <c r="B943" s="19" t="s">
        <v>1778</v>
      </c>
      <c r="C943" s="20" t="n">
        <f aca="false">ROUND(3.48/FX,2)</f>
        <v>0.48</v>
      </c>
      <c r="D943" s="21" t="s">
        <v>1776</v>
      </c>
      <c r="E943" s="21" t="s">
        <v>719</v>
      </c>
      <c r="F943" s="21" t="s">
        <v>724</v>
      </c>
      <c r="G943" s="21" t="s">
        <v>833</v>
      </c>
    </row>
    <row r="944" customFormat="false" ht="15" hidden="false" customHeight="false" outlineLevel="0" collapsed="false">
      <c r="B944" s="19" t="s">
        <v>1779</v>
      </c>
      <c r="C944" s="20" t="n">
        <f aca="false">ROUND(8.19/FX,2)</f>
        <v>1.14</v>
      </c>
      <c r="D944" s="21" t="s">
        <v>1780</v>
      </c>
      <c r="E944" s="21" t="s">
        <v>707</v>
      </c>
      <c r="F944" s="21" t="s">
        <v>724</v>
      </c>
      <c r="G944" s="21" t="s">
        <v>833</v>
      </c>
    </row>
    <row r="945" customFormat="false" ht="15" hidden="false" customHeight="false" outlineLevel="0" collapsed="false">
      <c r="B945" s="19" t="s">
        <v>1781</v>
      </c>
      <c r="C945" s="20" t="n">
        <f aca="false">ROUND(4.55/FX,2)</f>
        <v>0.63</v>
      </c>
      <c r="D945" s="21" t="s">
        <v>1780</v>
      </c>
      <c r="E945" s="21" t="s">
        <v>716</v>
      </c>
      <c r="F945" s="21" t="s">
        <v>724</v>
      </c>
      <c r="G945" s="21" t="s">
        <v>833</v>
      </c>
    </row>
    <row r="946" customFormat="false" ht="15" hidden="false" customHeight="false" outlineLevel="0" collapsed="false">
      <c r="B946" s="19" t="s">
        <v>1782</v>
      </c>
      <c r="C946" s="20" t="n">
        <f aca="false">ROUND(3.48/FX,2)</f>
        <v>0.48</v>
      </c>
      <c r="D946" s="21" t="s">
        <v>1780</v>
      </c>
      <c r="E946" s="21" t="s">
        <v>719</v>
      </c>
      <c r="F946" s="21" t="s">
        <v>724</v>
      </c>
      <c r="G946" s="21" t="s">
        <v>833</v>
      </c>
    </row>
    <row r="947" customFormat="false" ht="15" hidden="false" customHeight="false" outlineLevel="0" collapsed="false">
      <c r="B947" s="19" t="s">
        <v>1783</v>
      </c>
      <c r="C947" s="20" t="n">
        <f aca="false">ROUND(8.19/FX,2)</f>
        <v>1.14</v>
      </c>
      <c r="D947" s="21" t="s">
        <v>1784</v>
      </c>
      <c r="E947" s="21" t="s">
        <v>707</v>
      </c>
      <c r="F947" s="21" t="s">
        <v>724</v>
      </c>
      <c r="G947" s="21" t="s">
        <v>833</v>
      </c>
    </row>
    <row r="948" customFormat="false" ht="15" hidden="false" customHeight="false" outlineLevel="0" collapsed="false">
      <c r="B948" s="19" t="s">
        <v>1785</v>
      </c>
      <c r="C948" s="20" t="n">
        <f aca="false">ROUND(4.94/FX,2)</f>
        <v>0.69</v>
      </c>
      <c r="D948" s="21" t="s">
        <v>1784</v>
      </c>
      <c r="E948" s="21" t="s">
        <v>716</v>
      </c>
      <c r="F948" s="21" t="s">
        <v>724</v>
      </c>
      <c r="G948" s="21" t="s">
        <v>833</v>
      </c>
    </row>
    <row r="949" customFormat="false" ht="15" hidden="false" customHeight="false" outlineLevel="0" collapsed="false">
      <c r="B949" s="19" t="s">
        <v>1786</v>
      </c>
      <c r="C949" s="20" t="n">
        <f aca="false">ROUND(3.48/FX,2)</f>
        <v>0.48</v>
      </c>
      <c r="D949" s="21" t="s">
        <v>1784</v>
      </c>
      <c r="E949" s="21" t="s">
        <v>719</v>
      </c>
      <c r="F949" s="21" t="s">
        <v>724</v>
      </c>
      <c r="G949" s="21" t="s">
        <v>833</v>
      </c>
    </row>
    <row r="950" customFormat="false" ht="15" hidden="false" customHeight="false" outlineLevel="0" collapsed="false">
      <c r="B950" s="19" t="s">
        <v>1787</v>
      </c>
      <c r="C950" s="20" t="n">
        <f aca="false">ROUND(8.84/FX,2)</f>
        <v>1.23</v>
      </c>
      <c r="D950" s="21" t="s">
        <v>1788</v>
      </c>
      <c r="E950" s="21" t="s">
        <v>707</v>
      </c>
      <c r="F950" s="21" t="s">
        <v>724</v>
      </c>
      <c r="G950" s="21" t="s">
        <v>833</v>
      </c>
    </row>
    <row r="951" customFormat="false" ht="15" hidden="false" customHeight="false" outlineLevel="0" collapsed="false">
      <c r="B951" s="19" t="s">
        <v>1789</v>
      </c>
      <c r="C951" s="20" t="n">
        <f aca="false">ROUND(5.59/FX,2)</f>
        <v>0.78</v>
      </c>
      <c r="D951" s="21" t="s">
        <v>1788</v>
      </c>
      <c r="E951" s="21" t="s">
        <v>716</v>
      </c>
      <c r="F951" s="21" t="s">
        <v>724</v>
      </c>
      <c r="G951" s="21" t="s">
        <v>833</v>
      </c>
    </row>
    <row r="952" customFormat="false" ht="15" hidden="false" customHeight="false" outlineLevel="0" collapsed="false">
      <c r="B952" s="19" t="s">
        <v>1790</v>
      </c>
      <c r="C952" s="20" t="n">
        <f aca="false">ROUND(8/FX,2)</f>
        <v>1.11</v>
      </c>
      <c r="D952" s="21" t="s">
        <v>1788</v>
      </c>
      <c r="E952" s="21" t="s">
        <v>719</v>
      </c>
      <c r="F952" s="21" t="s">
        <v>724</v>
      </c>
      <c r="G952" s="21" t="s">
        <v>833</v>
      </c>
    </row>
    <row r="953" customFormat="false" ht="15" hidden="false" customHeight="false" outlineLevel="0" collapsed="false">
      <c r="B953" s="19" t="s">
        <v>1791</v>
      </c>
      <c r="C953" s="20" t="n">
        <f aca="false">ROUND(10.79/FX,2)</f>
        <v>1.5</v>
      </c>
      <c r="D953" s="21" t="s">
        <v>1792</v>
      </c>
      <c r="E953" s="21" t="s">
        <v>707</v>
      </c>
      <c r="F953" s="21" t="s">
        <v>724</v>
      </c>
      <c r="G953" s="21" t="s">
        <v>833</v>
      </c>
    </row>
    <row r="954" customFormat="false" ht="15" hidden="false" customHeight="false" outlineLevel="0" collapsed="false">
      <c r="B954" s="19" t="s">
        <v>1793</v>
      </c>
      <c r="C954" s="20" t="n">
        <f aca="false">ROUND(5.33/FX,2)</f>
        <v>0.74</v>
      </c>
      <c r="D954" s="21" t="s">
        <v>1792</v>
      </c>
      <c r="E954" s="21" t="s">
        <v>841</v>
      </c>
      <c r="F954" s="21" t="s">
        <v>724</v>
      </c>
      <c r="G954" s="21" t="s">
        <v>833</v>
      </c>
    </row>
    <row r="955" customFormat="false" ht="15" hidden="false" customHeight="false" outlineLevel="0" collapsed="false">
      <c r="B955" s="19" t="s">
        <v>1794</v>
      </c>
      <c r="C955" s="20" t="n">
        <f aca="false">ROUND(5.33/FX,2)</f>
        <v>0.74</v>
      </c>
      <c r="D955" s="21" t="s">
        <v>1792</v>
      </c>
      <c r="E955" s="21" t="s">
        <v>716</v>
      </c>
      <c r="F955" s="21" t="s">
        <v>724</v>
      </c>
      <c r="G955" s="21" t="s">
        <v>833</v>
      </c>
    </row>
    <row r="956" customFormat="false" ht="15" hidden="false" customHeight="false" outlineLevel="0" collapsed="false">
      <c r="B956" s="19" t="s">
        <v>1795</v>
      </c>
      <c r="C956" s="20" t="n">
        <f aca="false">ROUND(3.25/FX,2)</f>
        <v>0.45</v>
      </c>
      <c r="D956" s="21" t="s">
        <v>1792</v>
      </c>
      <c r="E956" s="21" t="s">
        <v>719</v>
      </c>
      <c r="F956" s="21" t="s">
        <v>724</v>
      </c>
      <c r="G956" s="21" t="s">
        <v>833</v>
      </c>
    </row>
    <row r="957" customFormat="false" ht="15" hidden="false" customHeight="false" outlineLevel="0" collapsed="false">
      <c r="B957" s="19" t="s">
        <v>1796</v>
      </c>
      <c r="C957" s="20" t="n">
        <f aca="false">ROUND(5.42/FX,2)</f>
        <v>0.75</v>
      </c>
      <c r="D957" s="21" t="s">
        <v>1797</v>
      </c>
      <c r="E957" s="21" t="s">
        <v>707</v>
      </c>
      <c r="F957" s="21" t="s">
        <v>724</v>
      </c>
      <c r="G957" s="21" t="s">
        <v>833</v>
      </c>
    </row>
    <row r="958" customFormat="false" ht="15" hidden="false" customHeight="false" outlineLevel="0" collapsed="false">
      <c r="B958" s="19" t="s">
        <v>1798</v>
      </c>
      <c r="C958" s="20" t="n">
        <f aca="false">ROUND(4.03/FX,2)</f>
        <v>0.56</v>
      </c>
      <c r="D958" s="21" t="s">
        <v>1797</v>
      </c>
      <c r="E958" s="21" t="s">
        <v>841</v>
      </c>
      <c r="F958" s="21" t="s">
        <v>724</v>
      </c>
      <c r="G958" s="21" t="s">
        <v>833</v>
      </c>
    </row>
    <row r="959" customFormat="false" ht="15" hidden="false" customHeight="false" outlineLevel="0" collapsed="false">
      <c r="B959" s="19" t="s">
        <v>1799</v>
      </c>
      <c r="C959" s="20" t="n">
        <f aca="false">ROUND(6.05/FX,2)</f>
        <v>0.84</v>
      </c>
      <c r="D959" s="21" t="s">
        <v>1797</v>
      </c>
      <c r="E959" s="21" t="s">
        <v>716</v>
      </c>
      <c r="F959" s="21" t="s">
        <v>724</v>
      </c>
      <c r="G959" s="21" t="s">
        <v>833</v>
      </c>
    </row>
    <row r="960" customFormat="false" ht="15" hidden="false" customHeight="false" outlineLevel="0" collapsed="false">
      <c r="B960" s="19" t="s">
        <v>1800</v>
      </c>
      <c r="C960" s="20" t="n">
        <f aca="false">ROUND(3.25/FX,2)</f>
        <v>0.45</v>
      </c>
      <c r="D960" s="21" t="s">
        <v>1797</v>
      </c>
      <c r="E960" s="21" t="s">
        <v>719</v>
      </c>
      <c r="F960" s="21" t="s">
        <v>724</v>
      </c>
      <c r="G960" s="21" t="s">
        <v>833</v>
      </c>
    </row>
    <row r="961" customFormat="false" ht="15" hidden="false" customHeight="false" outlineLevel="0" collapsed="false">
      <c r="B961" s="19" t="s">
        <v>1801</v>
      </c>
      <c r="C961" s="20" t="n">
        <f aca="false">ROUND(5.42/FX,2)</f>
        <v>0.75</v>
      </c>
      <c r="D961" s="21" t="s">
        <v>1802</v>
      </c>
      <c r="E961" s="21" t="s">
        <v>707</v>
      </c>
      <c r="F961" s="21" t="s">
        <v>724</v>
      </c>
      <c r="G961" s="21" t="s">
        <v>833</v>
      </c>
    </row>
    <row r="962" customFormat="false" ht="15" hidden="false" customHeight="false" outlineLevel="0" collapsed="false">
      <c r="B962" s="19" t="s">
        <v>1803</v>
      </c>
      <c r="C962" s="20" t="n">
        <f aca="false">ROUND(3.25/FX,2)</f>
        <v>0.45</v>
      </c>
      <c r="D962" s="21" t="s">
        <v>1802</v>
      </c>
      <c r="E962" s="21" t="s">
        <v>841</v>
      </c>
      <c r="F962" s="21" t="s">
        <v>724</v>
      </c>
      <c r="G962" s="21" t="s">
        <v>833</v>
      </c>
    </row>
    <row r="963" customFormat="false" ht="15" hidden="false" customHeight="false" outlineLevel="0" collapsed="false">
      <c r="B963" s="19" t="s">
        <v>1804</v>
      </c>
      <c r="C963" s="20" t="n">
        <f aca="false">ROUND(6.63/FX,2)</f>
        <v>0.92</v>
      </c>
      <c r="D963" s="21" t="s">
        <v>1802</v>
      </c>
      <c r="E963" s="21" t="s">
        <v>716</v>
      </c>
      <c r="F963" s="21" t="s">
        <v>724</v>
      </c>
      <c r="G963" s="21" t="s">
        <v>833</v>
      </c>
    </row>
    <row r="964" customFormat="false" ht="15" hidden="false" customHeight="false" outlineLevel="0" collapsed="false">
      <c r="B964" s="19" t="s">
        <v>1805</v>
      </c>
      <c r="C964" s="20" t="n">
        <f aca="false">ROUND(9.95/FX,2)</f>
        <v>1.38</v>
      </c>
      <c r="D964" s="21" t="s">
        <v>1802</v>
      </c>
      <c r="E964" s="21" t="s">
        <v>719</v>
      </c>
      <c r="F964" s="21" t="s">
        <v>724</v>
      </c>
      <c r="G964" s="21" t="s">
        <v>833</v>
      </c>
    </row>
    <row r="965" customFormat="false" ht="15" hidden="false" customHeight="false" outlineLevel="0" collapsed="false">
      <c r="B965" s="19" t="s">
        <v>1806</v>
      </c>
      <c r="C965" s="20" t="n">
        <f aca="false">ROUND(8.71/FX,2)</f>
        <v>1.21</v>
      </c>
      <c r="D965" s="21" t="s">
        <v>1807</v>
      </c>
      <c r="E965" s="21" t="s">
        <v>707</v>
      </c>
      <c r="F965" s="21" t="s">
        <v>724</v>
      </c>
      <c r="G965" s="21" t="s">
        <v>833</v>
      </c>
    </row>
    <row r="966" customFormat="false" ht="15" hidden="false" customHeight="false" outlineLevel="0" collapsed="false">
      <c r="B966" s="19" t="s">
        <v>1808</v>
      </c>
      <c r="C966" s="20" t="n">
        <f aca="false">ROUND(3.25/FX,2)</f>
        <v>0.45</v>
      </c>
      <c r="D966" s="21" t="s">
        <v>1807</v>
      </c>
      <c r="E966" s="21" t="s">
        <v>841</v>
      </c>
      <c r="F966" s="21" t="s">
        <v>724</v>
      </c>
      <c r="G966" s="21" t="s">
        <v>833</v>
      </c>
    </row>
    <row r="967" customFormat="false" ht="15" hidden="false" customHeight="false" outlineLevel="0" collapsed="false">
      <c r="B967" s="19" t="s">
        <v>1809</v>
      </c>
      <c r="C967" s="20" t="n">
        <f aca="false">ROUND(4.97/FX,2)</f>
        <v>0.69</v>
      </c>
      <c r="D967" s="21" t="s">
        <v>1807</v>
      </c>
      <c r="E967" s="21" t="s">
        <v>716</v>
      </c>
      <c r="F967" s="21" t="s">
        <v>724</v>
      </c>
      <c r="G967" s="21" t="s">
        <v>833</v>
      </c>
    </row>
    <row r="968" customFormat="false" ht="15" hidden="false" customHeight="false" outlineLevel="0" collapsed="false">
      <c r="B968" s="19" t="s">
        <v>1810</v>
      </c>
      <c r="C968" s="20" t="n">
        <f aca="false">ROUND(3.25/FX,2)</f>
        <v>0.45</v>
      </c>
      <c r="D968" s="21" t="s">
        <v>1807</v>
      </c>
      <c r="E968" s="21" t="s">
        <v>719</v>
      </c>
      <c r="F968" s="21" t="s">
        <v>724</v>
      </c>
      <c r="G968" s="21" t="s">
        <v>833</v>
      </c>
    </row>
    <row r="969" customFormat="false" ht="15" hidden="false" customHeight="false" outlineLevel="0" collapsed="false">
      <c r="B969" s="19" t="s">
        <v>1811</v>
      </c>
      <c r="C969" s="20" t="n">
        <f aca="false">ROUND(4.03/FX,2)</f>
        <v>0.56</v>
      </c>
      <c r="D969" s="21" t="s">
        <v>1812</v>
      </c>
      <c r="E969" s="21" t="s">
        <v>707</v>
      </c>
      <c r="F969" s="21" t="s">
        <v>724</v>
      </c>
      <c r="G969" s="21" t="s">
        <v>833</v>
      </c>
    </row>
    <row r="970" customFormat="false" ht="15" hidden="false" customHeight="false" outlineLevel="0" collapsed="false">
      <c r="B970" s="19" t="s">
        <v>1813</v>
      </c>
      <c r="C970" s="20" t="n">
        <f aca="false">ROUND(4.03/FX,2)</f>
        <v>0.56</v>
      </c>
      <c r="D970" s="21" t="s">
        <v>1812</v>
      </c>
      <c r="E970" s="21" t="s">
        <v>841</v>
      </c>
      <c r="F970" s="21" t="s">
        <v>724</v>
      </c>
      <c r="G970" s="21" t="s">
        <v>833</v>
      </c>
    </row>
    <row r="971" customFormat="false" ht="15" hidden="false" customHeight="false" outlineLevel="0" collapsed="false">
      <c r="B971" s="19" t="s">
        <v>1814</v>
      </c>
      <c r="C971" s="20" t="n">
        <f aca="false">ROUND(5.14/FX,2)</f>
        <v>0.71</v>
      </c>
      <c r="D971" s="21" t="s">
        <v>1812</v>
      </c>
      <c r="E971" s="21" t="s">
        <v>716</v>
      </c>
      <c r="F971" s="21" t="s">
        <v>724</v>
      </c>
      <c r="G971" s="21" t="s">
        <v>833</v>
      </c>
    </row>
    <row r="972" customFormat="false" ht="15" hidden="false" customHeight="false" outlineLevel="0" collapsed="false">
      <c r="B972" s="19" t="s">
        <v>1815</v>
      </c>
      <c r="C972" s="20" t="n">
        <f aca="false">ROUND(4.03/FX,2)</f>
        <v>0.56</v>
      </c>
      <c r="D972" s="21" t="s">
        <v>1812</v>
      </c>
      <c r="E972" s="21" t="s">
        <v>719</v>
      </c>
      <c r="F972" s="21" t="s">
        <v>724</v>
      </c>
      <c r="G972" s="21" t="s">
        <v>833</v>
      </c>
    </row>
    <row r="973" customFormat="false" ht="15" hidden="false" customHeight="false" outlineLevel="0" collapsed="false">
      <c r="B973" s="19" t="s">
        <v>1816</v>
      </c>
      <c r="C973" s="20" t="n">
        <f aca="false">ROUND(11.44/FX,2)</f>
        <v>1.59</v>
      </c>
      <c r="D973" s="21" t="s">
        <v>1817</v>
      </c>
      <c r="E973" s="21" t="s">
        <v>707</v>
      </c>
      <c r="F973" s="21" t="s">
        <v>724</v>
      </c>
      <c r="G973" s="21" t="s">
        <v>833</v>
      </c>
    </row>
    <row r="974" customFormat="false" ht="15" hidden="false" customHeight="false" outlineLevel="0" collapsed="false">
      <c r="B974" s="19" t="s">
        <v>1818</v>
      </c>
      <c r="C974" s="20" t="n">
        <f aca="false">ROUND(3.25/FX,2)</f>
        <v>0.45</v>
      </c>
      <c r="D974" s="21" t="s">
        <v>1817</v>
      </c>
      <c r="E974" s="21" t="s">
        <v>841</v>
      </c>
      <c r="F974" s="21" t="s">
        <v>724</v>
      </c>
      <c r="G974" s="21" t="s">
        <v>833</v>
      </c>
    </row>
    <row r="975" customFormat="false" ht="15" hidden="false" customHeight="false" outlineLevel="0" collapsed="false">
      <c r="B975" s="19" t="s">
        <v>1819</v>
      </c>
      <c r="C975" s="20" t="n">
        <f aca="false">ROUND(6.89/FX,2)</f>
        <v>0.96</v>
      </c>
      <c r="D975" s="21" t="s">
        <v>1817</v>
      </c>
      <c r="E975" s="21" t="s">
        <v>716</v>
      </c>
      <c r="F975" s="21" t="s">
        <v>724</v>
      </c>
      <c r="G975" s="21" t="s">
        <v>833</v>
      </c>
    </row>
    <row r="976" customFormat="false" ht="15" hidden="false" customHeight="false" outlineLevel="0" collapsed="false">
      <c r="B976" s="19" t="s">
        <v>1820</v>
      </c>
      <c r="C976" s="20" t="n">
        <f aca="false">ROUND(10.34/FX,2)</f>
        <v>1.44</v>
      </c>
      <c r="D976" s="21" t="s">
        <v>1817</v>
      </c>
      <c r="E976" s="21" t="s">
        <v>719</v>
      </c>
      <c r="F976" s="21" t="s">
        <v>724</v>
      </c>
      <c r="G976" s="21" t="s">
        <v>833</v>
      </c>
    </row>
    <row r="977" customFormat="false" ht="15" hidden="false" customHeight="false" outlineLevel="0" collapsed="false">
      <c r="B977" s="19" t="s">
        <v>1821</v>
      </c>
      <c r="C977" s="20" t="n">
        <f aca="false">ROUND(9.75/FX,2)</f>
        <v>1.35</v>
      </c>
      <c r="D977" s="21" t="s">
        <v>1822</v>
      </c>
      <c r="E977" s="21" t="s">
        <v>707</v>
      </c>
      <c r="F977" s="21" t="s">
        <v>724</v>
      </c>
      <c r="G977" s="21" t="s">
        <v>833</v>
      </c>
    </row>
    <row r="978" customFormat="false" ht="15" hidden="false" customHeight="false" outlineLevel="0" collapsed="false">
      <c r="B978" s="19" t="s">
        <v>1823</v>
      </c>
      <c r="C978" s="20" t="n">
        <f aca="false">ROUND(3.25/FX,2)</f>
        <v>0.45</v>
      </c>
      <c r="D978" s="21" t="s">
        <v>1822</v>
      </c>
      <c r="E978" s="21" t="s">
        <v>841</v>
      </c>
      <c r="F978" s="21" t="s">
        <v>724</v>
      </c>
      <c r="G978" s="21" t="s">
        <v>833</v>
      </c>
    </row>
    <row r="979" customFormat="false" ht="15" hidden="false" customHeight="false" outlineLevel="0" collapsed="false">
      <c r="B979" s="19" t="s">
        <v>1824</v>
      </c>
      <c r="C979" s="20" t="n">
        <f aca="false">ROUND(5.46/FX,2)</f>
        <v>0.76</v>
      </c>
      <c r="D979" s="21" t="s">
        <v>1822</v>
      </c>
      <c r="E979" s="21" t="s">
        <v>716</v>
      </c>
      <c r="F979" s="21" t="s">
        <v>724</v>
      </c>
      <c r="G979" s="21" t="s">
        <v>833</v>
      </c>
    </row>
    <row r="980" customFormat="false" ht="15" hidden="false" customHeight="false" outlineLevel="0" collapsed="false">
      <c r="B980" s="19" t="s">
        <v>1825</v>
      </c>
      <c r="C980" s="20" t="n">
        <f aca="false">ROUND(3.25/FX,2)</f>
        <v>0.45</v>
      </c>
      <c r="D980" s="21" t="s">
        <v>1822</v>
      </c>
      <c r="E980" s="21" t="s">
        <v>719</v>
      </c>
      <c r="F980" s="21" t="s">
        <v>724</v>
      </c>
      <c r="G980" s="21" t="s">
        <v>833</v>
      </c>
    </row>
    <row r="981" customFormat="false" ht="15" hidden="false" customHeight="false" outlineLevel="0" collapsed="false">
      <c r="B981" s="19" t="s">
        <v>1826</v>
      </c>
      <c r="C981" s="20" t="n">
        <f aca="false">ROUND(5.42/FX,2)</f>
        <v>0.75</v>
      </c>
      <c r="D981" s="21" t="s">
        <v>1827</v>
      </c>
      <c r="E981" s="21" t="s">
        <v>707</v>
      </c>
      <c r="F981" s="21" t="s">
        <v>724</v>
      </c>
      <c r="G981" s="21" t="s">
        <v>833</v>
      </c>
    </row>
    <row r="982" customFormat="false" ht="15" hidden="false" customHeight="false" outlineLevel="0" collapsed="false">
      <c r="B982" s="19" t="s">
        <v>1828</v>
      </c>
      <c r="C982" s="20" t="n">
        <f aca="false">ROUND(3.25/FX,2)</f>
        <v>0.45</v>
      </c>
      <c r="D982" s="21" t="s">
        <v>1827</v>
      </c>
      <c r="E982" s="21" t="s">
        <v>841</v>
      </c>
      <c r="F982" s="21" t="s">
        <v>724</v>
      </c>
      <c r="G982" s="21" t="s">
        <v>833</v>
      </c>
    </row>
    <row r="983" customFormat="false" ht="15" hidden="false" customHeight="false" outlineLevel="0" collapsed="false">
      <c r="B983" s="19" t="s">
        <v>1829</v>
      </c>
      <c r="C983" s="20" t="n">
        <f aca="false">ROUND(5.05/FX,2)</f>
        <v>0.7</v>
      </c>
      <c r="D983" s="21" t="s">
        <v>1827</v>
      </c>
      <c r="E983" s="21" t="s">
        <v>716</v>
      </c>
      <c r="F983" s="21" t="s">
        <v>724</v>
      </c>
      <c r="G983" s="21" t="s">
        <v>833</v>
      </c>
    </row>
    <row r="984" customFormat="false" ht="15" hidden="false" customHeight="false" outlineLevel="0" collapsed="false">
      <c r="B984" s="19" t="s">
        <v>1830</v>
      </c>
      <c r="C984" s="20" t="n">
        <f aca="false">ROUND(3.25/FX,2)</f>
        <v>0.45</v>
      </c>
      <c r="D984" s="21" t="s">
        <v>1827</v>
      </c>
      <c r="E984" s="21" t="s">
        <v>719</v>
      </c>
      <c r="F984" s="21" t="s">
        <v>724</v>
      </c>
      <c r="G984" s="21" t="s">
        <v>833</v>
      </c>
    </row>
    <row r="985" customFormat="false" ht="15" hidden="false" customHeight="false" outlineLevel="0" collapsed="false">
      <c r="B985" s="19" t="s">
        <v>1831</v>
      </c>
      <c r="C985" s="20" t="n">
        <f aca="false">ROUND(12.09/FX,2)</f>
        <v>1.68</v>
      </c>
      <c r="D985" s="21" t="s">
        <v>1832</v>
      </c>
      <c r="E985" s="21" t="s">
        <v>707</v>
      </c>
      <c r="F985" s="21" t="s">
        <v>724</v>
      </c>
      <c r="G985" s="21" t="s">
        <v>833</v>
      </c>
    </row>
    <row r="986" customFormat="false" ht="15" hidden="false" customHeight="false" outlineLevel="0" collapsed="false">
      <c r="B986" s="19" t="s">
        <v>1833</v>
      </c>
      <c r="C986" s="20" t="n">
        <f aca="false">ROUND(7.28/FX,2)</f>
        <v>1.01</v>
      </c>
      <c r="D986" s="21" t="s">
        <v>1832</v>
      </c>
      <c r="E986" s="21" t="s">
        <v>716</v>
      </c>
      <c r="F986" s="21" t="s">
        <v>724</v>
      </c>
      <c r="G986" s="21" t="s">
        <v>833</v>
      </c>
    </row>
    <row r="987" customFormat="false" ht="15" hidden="false" customHeight="false" outlineLevel="0" collapsed="false">
      <c r="B987" s="19" t="s">
        <v>1834</v>
      </c>
      <c r="C987" s="20" t="n">
        <f aca="false">ROUND(10.92/FX,2)</f>
        <v>1.52</v>
      </c>
      <c r="D987" s="21" t="s">
        <v>1832</v>
      </c>
      <c r="E987" s="21" t="s">
        <v>719</v>
      </c>
      <c r="F987" s="21" t="s">
        <v>724</v>
      </c>
      <c r="G987" s="21" t="s">
        <v>833</v>
      </c>
    </row>
    <row r="988" customFormat="false" ht="15" hidden="false" customHeight="false" outlineLevel="0" collapsed="false">
      <c r="B988" s="19" t="s">
        <v>1835</v>
      </c>
      <c r="C988" s="20" t="n">
        <f aca="false">ROUND(9/FX,2)</f>
        <v>1.25</v>
      </c>
      <c r="D988" s="21" t="s">
        <v>1836</v>
      </c>
      <c r="E988" s="21" t="s">
        <v>707</v>
      </c>
      <c r="F988" s="21" t="s">
        <v>724</v>
      </c>
      <c r="G988" s="21" t="s">
        <v>833</v>
      </c>
    </row>
    <row r="989" customFormat="false" ht="15" hidden="false" customHeight="false" outlineLevel="0" collapsed="false">
      <c r="B989" s="19" t="s">
        <v>1837</v>
      </c>
      <c r="C989" s="20" t="n">
        <f aca="false">ROUND(5.85/FX,2)</f>
        <v>0.81</v>
      </c>
      <c r="D989" s="21" t="s">
        <v>1836</v>
      </c>
      <c r="E989" s="21" t="s">
        <v>716</v>
      </c>
      <c r="F989" s="21" t="s">
        <v>724</v>
      </c>
      <c r="G989" s="21" t="s">
        <v>833</v>
      </c>
    </row>
    <row r="990" customFormat="false" ht="15" hidden="false" customHeight="false" outlineLevel="0" collapsed="false">
      <c r="B990" s="19" t="s">
        <v>1838</v>
      </c>
      <c r="C990" s="20" t="n">
        <f aca="false">ROUND(10.92/FX,2)</f>
        <v>1.52</v>
      </c>
      <c r="D990" s="21" t="s">
        <v>1836</v>
      </c>
      <c r="E990" s="21" t="s">
        <v>719</v>
      </c>
      <c r="F990" s="21" t="s">
        <v>724</v>
      </c>
      <c r="G990" s="21" t="s">
        <v>833</v>
      </c>
    </row>
    <row r="991" customFormat="false" ht="15" hidden="false" customHeight="false" outlineLevel="0" collapsed="false">
      <c r="B991" s="19" t="s">
        <v>1839</v>
      </c>
      <c r="C991" s="20" t="n">
        <f aca="false">ROUND(12.35/FX,2)</f>
        <v>1.72</v>
      </c>
      <c r="D991" s="21" t="s">
        <v>1840</v>
      </c>
      <c r="E991" s="21" t="s">
        <v>707</v>
      </c>
      <c r="F991" s="21" t="s">
        <v>724</v>
      </c>
      <c r="G991" s="21" t="s">
        <v>833</v>
      </c>
    </row>
    <row r="992" customFormat="false" ht="15" hidden="false" customHeight="false" outlineLevel="0" collapsed="false">
      <c r="B992" s="19" t="s">
        <v>1841</v>
      </c>
      <c r="C992" s="20" t="n">
        <f aca="false">ROUND(5.85/FX,2)</f>
        <v>0.81</v>
      </c>
      <c r="D992" s="21" t="s">
        <v>1840</v>
      </c>
      <c r="E992" s="21" t="s">
        <v>716</v>
      </c>
      <c r="F992" s="21" t="s">
        <v>724</v>
      </c>
      <c r="G992" s="21" t="s">
        <v>833</v>
      </c>
    </row>
    <row r="993" customFormat="false" ht="15" hidden="false" customHeight="false" outlineLevel="0" collapsed="false">
      <c r="B993" s="19" t="s">
        <v>1842</v>
      </c>
      <c r="C993" s="20" t="n">
        <f aca="false">ROUND(8.06/FX,2)</f>
        <v>1.12</v>
      </c>
      <c r="D993" s="21" t="s">
        <v>1840</v>
      </c>
      <c r="E993" s="21" t="s">
        <v>719</v>
      </c>
      <c r="F993" s="21" t="s">
        <v>724</v>
      </c>
      <c r="G993" s="21" t="s">
        <v>833</v>
      </c>
    </row>
    <row r="994" customFormat="false" ht="15" hidden="false" customHeight="false" outlineLevel="0" collapsed="false">
      <c r="B994" s="19" t="s">
        <v>1843</v>
      </c>
      <c r="C994" s="20" t="n">
        <f aca="false">ROUND(5.98/FX,2)</f>
        <v>0.83</v>
      </c>
      <c r="D994" s="21" t="s">
        <v>1844</v>
      </c>
      <c r="E994" s="21" t="s">
        <v>707</v>
      </c>
      <c r="F994" s="21" t="s">
        <v>724</v>
      </c>
      <c r="G994" s="21" t="s">
        <v>833</v>
      </c>
    </row>
    <row r="995" customFormat="false" ht="15" hidden="false" customHeight="false" outlineLevel="0" collapsed="false">
      <c r="B995" s="19" t="s">
        <v>1845</v>
      </c>
      <c r="C995" s="20" t="n">
        <f aca="false">ROUND(5.49/FX,2)</f>
        <v>0.76</v>
      </c>
      <c r="D995" s="21" t="s">
        <v>1844</v>
      </c>
      <c r="E995" s="21" t="s">
        <v>716</v>
      </c>
      <c r="F995" s="21" t="s">
        <v>724</v>
      </c>
      <c r="G995" s="21" t="s">
        <v>833</v>
      </c>
    </row>
    <row r="996" customFormat="false" ht="15" hidden="false" customHeight="false" outlineLevel="0" collapsed="false">
      <c r="B996" s="19" t="s">
        <v>1846</v>
      </c>
      <c r="C996" s="20" t="n">
        <f aca="false">ROUND(8.06/FX,2)</f>
        <v>1.12</v>
      </c>
      <c r="D996" s="21" t="s">
        <v>1844</v>
      </c>
      <c r="E996" s="21" t="s">
        <v>719</v>
      </c>
      <c r="F996" s="21" t="s">
        <v>724</v>
      </c>
      <c r="G996" s="21" t="s">
        <v>833</v>
      </c>
    </row>
    <row r="997" customFormat="false" ht="15" hidden="false" customHeight="false" outlineLevel="0" collapsed="false">
      <c r="B997" s="19" t="s">
        <v>1847</v>
      </c>
      <c r="C997" s="20" t="n">
        <f aca="false">ROUND(9.2/FX,2)</f>
        <v>1.28</v>
      </c>
      <c r="D997" s="21" t="s">
        <v>1848</v>
      </c>
      <c r="E997" s="21" t="s">
        <v>707</v>
      </c>
      <c r="F997" s="21" t="s">
        <v>724</v>
      </c>
      <c r="G997" s="21" t="s">
        <v>833</v>
      </c>
    </row>
    <row r="998" customFormat="false" ht="15" hidden="false" customHeight="false" outlineLevel="0" collapsed="false">
      <c r="B998" s="19" t="s">
        <v>1849</v>
      </c>
      <c r="C998" s="20" t="n">
        <f aca="false">ROUND(5.53/FX,2)</f>
        <v>0.77</v>
      </c>
      <c r="D998" s="21" t="s">
        <v>1848</v>
      </c>
      <c r="E998" s="21" t="s">
        <v>716</v>
      </c>
      <c r="F998" s="21" t="s">
        <v>724</v>
      </c>
      <c r="G998" s="21" t="s">
        <v>833</v>
      </c>
    </row>
    <row r="999" customFormat="false" ht="15" hidden="false" customHeight="false" outlineLevel="0" collapsed="false">
      <c r="B999" s="19" t="s">
        <v>1850</v>
      </c>
      <c r="C999" s="20" t="n">
        <f aca="false">ROUND(9.1/FX,2)</f>
        <v>1.26</v>
      </c>
      <c r="D999" s="21" t="s">
        <v>1848</v>
      </c>
      <c r="E999" s="21" t="s">
        <v>719</v>
      </c>
      <c r="F999" s="21" t="s">
        <v>724</v>
      </c>
      <c r="G999" s="21" t="s">
        <v>833</v>
      </c>
    </row>
    <row r="1000" customFormat="false" ht="15" hidden="false" customHeight="false" outlineLevel="0" collapsed="false">
      <c r="B1000" s="19" t="s">
        <v>1851</v>
      </c>
      <c r="C1000" s="20" t="n">
        <f aca="false">ROUND(5.92/FX,2)</f>
        <v>0.82</v>
      </c>
      <c r="D1000" s="21" t="s">
        <v>1852</v>
      </c>
      <c r="E1000" s="21" t="s">
        <v>707</v>
      </c>
      <c r="F1000" s="21" t="s">
        <v>724</v>
      </c>
      <c r="G1000" s="21" t="s">
        <v>833</v>
      </c>
    </row>
    <row r="1001" customFormat="false" ht="15" hidden="false" customHeight="false" outlineLevel="0" collapsed="false">
      <c r="B1001" s="19" t="s">
        <v>1853</v>
      </c>
      <c r="C1001" s="20" t="n">
        <f aca="false">ROUND(5.7/FX,2)</f>
        <v>0.79</v>
      </c>
      <c r="D1001" s="21" t="s">
        <v>1852</v>
      </c>
      <c r="E1001" s="21" t="s">
        <v>716</v>
      </c>
      <c r="F1001" s="21" t="s">
        <v>724</v>
      </c>
      <c r="G1001" s="21" t="s">
        <v>833</v>
      </c>
    </row>
    <row r="1002" customFormat="false" ht="15" hidden="false" customHeight="false" outlineLevel="0" collapsed="false">
      <c r="B1002" s="19" t="s">
        <v>1854</v>
      </c>
      <c r="C1002" s="20" t="n">
        <f aca="false">ROUND(5.92/FX,2)</f>
        <v>0.82</v>
      </c>
      <c r="D1002" s="21" t="s">
        <v>1852</v>
      </c>
      <c r="E1002" s="21" t="s">
        <v>719</v>
      </c>
      <c r="F1002" s="21" t="s">
        <v>724</v>
      </c>
      <c r="G1002" s="21" t="s">
        <v>833</v>
      </c>
    </row>
    <row r="1003" customFormat="false" ht="15" hidden="false" customHeight="false" outlineLevel="0" collapsed="false">
      <c r="B1003" s="19" t="s">
        <v>1855</v>
      </c>
      <c r="C1003" s="20" t="n">
        <f aca="false">ROUND(6.24/FX,2)</f>
        <v>0.87</v>
      </c>
      <c r="D1003" s="21" t="s">
        <v>1856</v>
      </c>
      <c r="E1003" s="21" t="s">
        <v>707</v>
      </c>
      <c r="F1003" s="21" t="s">
        <v>724</v>
      </c>
      <c r="G1003" s="21" t="s">
        <v>833</v>
      </c>
    </row>
    <row r="1004" customFormat="false" ht="15" hidden="false" customHeight="false" outlineLevel="0" collapsed="false">
      <c r="B1004" s="19" t="s">
        <v>1857</v>
      </c>
      <c r="C1004" s="20" t="n">
        <f aca="false">ROUND(3.77/FX,2)</f>
        <v>0.52</v>
      </c>
      <c r="D1004" s="21" t="s">
        <v>1856</v>
      </c>
      <c r="E1004" s="21" t="s">
        <v>714</v>
      </c>
      <c r="F1004" s="21" t="s">
        <v>724</v>
      </c>
      <c r="G1004" s="21" t="s">
        <v>833</v>
      </c>
    </row>
    <row r="1005" customFormat="false" ht="15" hidden="false" customHeight="false" outlineLevel="0" collapsed="false">
      <c r="B1005" s="19" t="s">
        <v>1858</v>
      </c>
      <c r="C1005" s="20" t="n">
        <f aca="false">ROUND(7.8/FX,2)</f>
        <v>1.08</v>
      </c>
      <c r="D1005" s="21" t="s">
        <v>1856</v>
      </c>
      <c r="E1005" s="21" t="s">
        <v>716</v>
      </c>
      <c r="F1005" s="21" t="s">
        <v>724</v>
      </c>
      <c r="G1005" s="21" t="s">
        <v>833</v>
      </c>
    </row>
    <row r="1006" customFormat="false" ht="15" hidden="false" customHeight="false" outlineLevel="0" collapsed="false">
      <c r="B1006" s="19" t="s">
        <v>1859</v>
      </c>
      <c r="C1006" s="20" t="n">
        <f aca="false">ROUND(6.5/FX,2)</f>
        <v>0.9</v>
      </c>
      <c r="D1006" s="21" t="s">
        <v>1856</v>
      </c>
      <c r="E1006" s="21" t="s">
        <v>719</v>
      </c>
      <c r="F1006" s="21" t="s">
        <v>724</v>
      </c>
      <c r="G1006" s="21" t="s">
        <v>833</v>
      </c>
    </row>
    <row r="1007" customFormat="false" ht="15" hidden="false" customHeight="false" outlineLevel="0" collapsed="false">
      <c r="B1007" s="19" t="s">
        <v>1860</v>
      </c>
      <c r="C1007" s="20" t="n">
        <f aca="false">ROUND(10.4/FX,2)</f>
        <v>1.44</v>
      </c>
      <c r="D1007" s="21" t="s">
        <v>1861</v>
      </c>
      <c r="E1007" s="21" t="s">
        <v>707</v>
      </c>
      <c r="F1007" s="21" t="s">
        <v>724</v>
      </c>
      <c r="G1007" s="21" t="s">
        <v>833</v>
      </c>
    </row>
    <row r="1008" customFormat="false" ht="15" hidden="false" customHeight="false" outlineLevel="0" collapsed="false">
      <c r="B1008" s="19" t="s">
        <v>1862</v>
      </c>
      <c r="C1008" s="20" t="n">
        <f aca="false">ROUND(3.77/FX,2)</f>
        <v>0.52</v>
      </c>
      <c r="D1008" s="21" t="s">
        <v>1861</v>
      </c>
      <c r="E1008" s="21" t="s">
        <v>714</v>
      </c>
      <c r="F1008" s="21" t="s">
        <v>724</v>
      </c>
      <c r="G1008" s="21" t="s">
        <v>833</v>
      </c>
    </row>
    <row r="1009" customFormat="false" ht="15" hidden="false" customHeight="false" outlineLevel="0" collapsed="false">
      <c r="B1009" s="19" t="s">
        <v>1863</v>
      </c>
      <c r="C1009" s="20" t="n">
        <f aca="false">ROUND(6.5/FX,2)</f>
        <v>0.9</v>
      </c>
      <c r="D1009" s="21" t="s">
        <v>1861</v>
      </c>
      <c r="E1009" s="21" t="s">
        <v>716</v>
      </c>
      <c r="F1009" s="21" t="s">
        <v>724</v>
      </c>
      <c r="G1009" s="21" t="s">
        <v>833</v>
      </c>
    </row>
    <row r="1010" customFormat="false" ht="15" hidden="false" customHeight="false" outlineLevel="0" collapsed="false">
      <c r="B1010" s="19" t="s">
        <v>1864</v>
      </c>
      <c r="C1010" s="20" t="n">
        <f aca="false">ROUND(6.5/FX,2)</f>
        <v>0.9</v>
      </c>
      <c r="D1010" s="21" t="s">
        <v>1861</v>
      </c>
      <c r="E1010" s="21" t="s">
        <v>719</v>
      </c>
      <c r="F1010" s="21" t="s">
        <v>724</v>
      </c>
      <c r="G1010" s="21" t="s">
        <v>833</v>
      </c>
    </row>
    <row r="1011" customFormat="false" ht="15" hidden="false" customHeight="false" outlineLevel="0" collapsed="false">
      <c r="B1011" s="19" t="s">
        <v>1865</v>
      </c>
      <c r="C1011" s="20" t="n">
        <f aca="false">ROUND(10.4/FX,2)</f>
        <v>1.44</v>
      </c>
      <c r="D1011" s="21" t="s">
        <v>1866</v>
      </c>
      <c r="E1011" s="21" t="s">
        <v>707</v>
      </c>
      <c r="F1011" s="21" t="s">
        <v>724</v>
      </c>
      <c r="G1011" s="21" t="s">
        <v>833</v>
      </c>
    </row>
    <row r="1012" customFormat="false" ht="15" hidden="false" customHeight="false" outlineLevel="0" collapsed="false">
      <c r="B1012" s="19" t="s">
        <v>1867</v>
      </c>
      <c r="C1012" s="20" t="n">
        <f aca="false">ROUND(3.77/FX,2)</f>
        <v>0.52</v>
      </c>
      <c r="D1012" s="21" t="s">
        <v>1866</v>
      </c>
      <c r="E1012" s="21" t="s">
        <v>714</v>
      </c>
      <c r="F1012" s="21" t="s">
        <v>724</v>
      </c>
      <c r="G1012" s="21" t="s">
        <v>833</v>
      </c>
    </row>
    <row r="1013" customFormat="false" ht="15" hidden="false" customHeight="false" outlineLevel="0" collapsed="false">
      <c r="B1013" s="19" t="s">
        <v>1868</v>
      </c>
      <c r="C1013" s="20" t="n">
        <f aca="false">ROUND(6.24/FX,2)</f>
        <v>0.87</v>
      </c>
      <c r="D1013" s="21" t="s">
        <v>1866</v>
      </c>
      <c r="E1013" s="21" t="s">
        <v>716</v>
      </c>
      <c r="F1013" s="21" t="s">
        <v>724</v>
      </c>
      <c r="G1013" s="21" t="s">
        <v>833</v>
      </c>
    </row>
    <row r="1014" customFormat="false" ht="15" hidden="false" customHeight="false" outlineLevel="0" collapsed="false">
      <c r="B1014" s="19" t="s">
        <v>1869</v>
      </c>
      <c r="C1014" s="20" t="n">
        <f aca="false">ROUND(6.5/FX,2)</f>
        <v>0.9</v>
      </c>
      <c r="D1014" s="21" t="s">
        <v>1866</v>
      </c>
      <c r="E1014" s="21" t="s">
        <v>719</v>
      </c>
      <c r="F1014" s="21" t="s">
        <v>724</v>
      </c>
      <c r="G1014" s="21" t="s">
        <v>833</v>
      </c>
    </row>
    <row r="1015" customFormat="false" ht="15" hidden="false" customHeight="false" outlineLevel="0" collapsed="false">
      <c r="B1015" s="19" t="s">
        <v>1870</v>
      </c>
      <c r="C1015" s="20" t="n">
        <f aca="false">ROUND(10.4/FX,2)</f>
        <v>1.44</v>
      </c>
      <c r="D1015" s="21" t="s">
        <v>1871</v>
      </c>
      <c r="E1015" s="21" t="s">
        <v>707</v>
      </c>
      <c r="F1015" s="21" t="s">
        <v>724</v>
      </c>
      <c r="G1015" s="21" t="s">
        <v>833</v>
      </c>
    </row>
    <row r="1016" customFormat="false" ht="15" hidden="false" customHeight="false" outlineLevel="0" collapsed="false">
      <c r="B1016" s="19" t="s">
        <v>1872</v>
      </c>
      <c r="C1016" s="20" t="n">
        <f aca="false">ROUND(3.77/FX,2)</f>
        <v>0.52</v>
      </c>
      <c r="D1016" s="21" t="s">
        <v>1871</v>
      </c>
      <c r="E1016" s="21" t="s">
        <v>714</v>
      </c>
      <c r="F1016" s="21" t="s">
        <v>724</v>
      </c>
      <c r="G1016" s="21" t="s">
        <v>833</v>
      </c>
    </row>
    <row r="1017" customFormat="false" ht="15" hidden="false" customHeight="false" outlineLevel="0" collapsed="false">
      <c r="B1017" s="19" t="s">
        <v>1873</v>
      </c>
      <c r="C1017" s="20" t="n">
        <f aca="false">ROUND(6.5/FX,2)</f>
        <v>0.9</v>
      </c>
      <c r="D1017" s="21" t="s">
        <v>1871</v>
      </c>
      <c r="E1017" s="21" t="s">
        <v>716</v>
      </c>
      <c r="F1017" s="21" t="s">
        <v>724</v>
      </c>
      <c r="G1017" s="21" t="s">
        <v>833</v>
      </c>
    </row>
    <row r="1018" customFormat="false" ht="15" hidden="false" customHeight="false" outlineLevel="0" collapsed="false">
      <c r="B1018" s="19" t="s">
        <v>1874</v>
      </c>
      <c r="C1018" s="20" t="n">
        <f aca="false">ROUND(6.5/FX,2)</f>
        <v>0.9</v>
      </c>
      <c r="D1018" s="21" t="s">
        <v>1871</v>
      </c>
      <c r="E1018" s="21" t="s">
        <v>719</v>
      </c>
      <c r="F1018" s="21" t="s">
        <v>724</v>
      </c>
      <c r="G1018" s="21" t="s">
        <v>833</v>
      </c>
    </row>
    <row r="1019" customFormat="false" ht="15" hidden="false" customHeight="false" outlineLevel="0" collapsed="false">
      <c r="B1019" s="19" t="s">
        <v>1875</v>
      </c>
      <c r="C1019" s="20" t="n">
        <f aca="false">ROUND(10.53/FX,2)</f>
        <v>1.46</v>
      </c>
      <c r="D1019" s="21" t="s">
        <v>1876</v>
      </c>
      <c r="E1019" s="21" t="s">
        <v>707</v>
      </c>
      <c r="F1019" s="21" t="s">
        <v>724</v>
      </c>
      <c r="G1019" s="21" t="s">
        <v>833</v>
      </c>
    </row>
    <row r="1020" customFormat="false" ht="15" hidden="false" customHeight="false" outlineLevel="0" collapsed="false">
      <c r="B1020" s="19" t="s">
        <v>1877</v>
      </c>
      <c r="C1020" s="20" t="n">
        <f aca="false">ROUND(3.77/FX,2)</f>
        <v>0.52</v>
      </c>
      <c r="D1020" s="21" t="s">
        <v>1876</v>
      </c>
      <c r="E1020" s="21" t="s">
        <v>714</v>
      </c>
      <c r="F1020" s="21" t="s">
        <v>724</v>
      </c>
      <c r="G1020" s="21" t="s">
        <v>833</v>
      </c>
    </row>
    <row r="1021" customFormat="false" ht="15" hidden="false" customHeight="false" outlineLevel="0" collapsed="false">
      <c r="B1021" s="19" t="s">
        <v>1878</v>
      </c>
      <c r="C1021" s="20" t="n">
        <f aca="false">ROUND(6.63/FX,2)</f>
        <v>0.92</v>
      </c>
      <c r="D1021" s="21" t="s">
        <v>1876</v>
      </c>
      <c r="E1021" s="21" t="s">
        <v>716</v>
      </c>
      <c r="F1021" s="21" t="s">
        <v>724</v>
      </c>
      <c r="G1021" s="21" t="s">
        <v>833</v>
      </c>
    </row>
    <row r="1022" customFormat="false" ht="15" hidden="false" customHeight="false" outlineLevel="0" collapsed="false">
      <c r="B1022" s="19" t="s">
        <v>1879</v>
      </c>
      <c r="C1022" s="20" t="n">
        <f aca="false">ROUND(8.97/FX,2)</f>
        <v>1.25</v>
      </c>
      <c r="D1022" s="21" t="s">
        <v>1876</v>
      </c>
      <c r="E1022" s="21" t="s">
        <v>719</v>
      </c>
      <c r="F1022" s="21" t="s">
        <v>724</v>
      </c>
      <c r="G1022" s="21" t="s">
        <v>833</v>
      </c>
    </row>
    <row r="1023" customFormat="false" ht="15" hidden="false" customHeight="false" outlineLevel="0" collapsed="false">
      <c r="B1023" s="19" t="s">
        <v>1880</v>
      </c>
      <c r="C1023" s="20" t="n">
        <f aca="false">ROUND(10.18/FX,2)</f>
        <v>1.41</v>
      </c>
      <c r="D1023" s="21" t="s">
        <v>1881</v>
      </c>
      <c r="E1023" s="21" t="s">
        <v>707</v>
      </c>
      <c r="F1023" s="21" t="s">
        <v>724</v>
      </c>
      <c r="G1023" s="21" t="s">
        <v>833</v>
      </c>
    </row>
    <row r="1024" customFormat="false" ht="15" hidden="false" customHeight="false" outlineLevel="0" collapsed="false">
      <c r="B1024" s="19" t="s">
        <v>1882</v>
      </c>
      <c r="C1024" s="20" t="n">
        <f aca="false">ROUND(20.15/FX,2)</f>
        <v>2.8</v>
      </c>
      <c r="D1024" s="21" t="s">
        <v>1881</v>
      </c>
      <c r="E1024" s="21" t="s">
        <v>714</v>
      </c>
      <c r="F1024" s="21" t="s">
        <v>724</v>
      </c>
      <c r="G1024" s="21" t="s">
        <v>833</v>
      </c>
    </row>
    <row r="1025" customFormat="false" ht="15" hidden="false" customHeight="false" outlineLevel="0" collapsed="false">
      <c r="B1025" s="19" t="s">
        <v>1883</v>
      </c>
      <c r="C1025" s="20" t="n">
        <f aca="false">ROUND(5.93/FX,2)</f>
        <v>0.82</v>
      </c>
      <c r="D1025" s="21" t="s">
        <v>1881</v>
      </c>
      <c r="E1025" s="21" t="s">
        <v>716</v>
      </c>
      <c r="F1025" s="21" t="s">
        <v>724</v>
      </c>
      <c r="G1025" s="21" t="s">
        <v>833</v>
      </c>
    </row>
    <row r="1026" customFormat="false" ht="15" hidden="false" customHeight="false" outlineLevel="0" collapsed="false">
      <c r="B1026" s="19" t="s">
        <v>1884</v>
      </c>
      <c r="C1026" s="20" t="n">
        <f aca="false">ROUND(6.5/FX,2)</f>
        <v>0.9</v>
      </c>
      <c r="D1026" s="21" t="s">
        <v>1881</v>
      </c>
      <c r="E1026" s="21" t="s">
        <v>719</v>
      </c>
      <c r="F1026" s="21" t="s">
        <v>724</v>
      </c>
      <c r="G1026" s="21" t="s">
        <v>833</v>
      </c>
    </row>
    <row r="1027" customFormat="false" ht="15" hidden="false" customHeight="false" outlineLevel="0" collapsed="false">
      <c r="B1027" s="19" t="s">
        <v>1885</v>
      </c>
      <c r="C1027" s="20" t="n">
        <f aca="false">ROUND(5.2/FX,2)</f>
        <v>0.72</v>
      </c>
      <c r="D1027" s="21" t="s">
        <v>1886</v>
      </c>
      <c r="E1027" s="21" t="s">
        <v>707</v>
      </c>
      <c r="F1027" s="21" t="s">
        <v>724</v>
      </c>
      <c r="G1027" s="21" t="s">
        <v>833</v>
      </c>
    </row>
    <row r="1028" customFormat="false" ht="15" hidden="false" customHeight="false" outlineLevel="0" collapsed="false">
      <c r="B1028" s="19" t="s">
        <v>1887</v>
      </c>
      <c r="C1028" s="20" t="n">
        <f aca="false">ROUND(10.73/FX,2)</f>
        <v>1.49</v>
      </c>
      <c r="D1028" s="21" t="s">
        <v>1886</v>
      </c>
      <c r="E1028" s="21" t="s">
        <v>714</v>
      </c>
      <c r="F1028" s="21" t="s">
        <v>724</v>
      </c>
      <c r="G1028" s="21" t="s">
        <v>833</v>
      </c>
    </row>
    <row r="1029" customFormat="false" ht="15" hidden="false" customHeight="false" outlineLevel="0" collapsed="false">
      <c r="B1029" s="19" t="s">
        <v>1888</v>
      </c>
      <c r="C1029" s="20" t="n">
        <f aca="false">ROUND(7.02/FX,2)</f>
        <v>0.98</v>
      </c>
      <c r="D1029" s="21" t="s">
        <v>1886</v>
      </c>
      <c r="E1029" s="21" t="s">
        <v>716</v>
      </c>
      <c r="F1029" s="21" t="s">
        <v>724</v>
      </c>
      <c r="G1029" s="21" t="s">
        <v>833</v>
      </c>
    </row>
    <row r="1030" customFormat="false" ht="15" hidden="false" customHeight="false" outlineLevel="0" collapsed="false">
      <c r="B1030" s="19" t="s">
        <v>1889</v>
      </c>
      <c r="C1030" s="20" t="n">
        <f aca="false">ROUND(6.72/FX,2)</f>
        <v>0.93</v>
      </c>
      <c r="D1030" s="21" t="s">
        <v>1890</v>
      </c>
      <c r="E1030" s="21" t="s">
        <v>707</v>
      </c>
      <c r="F1030" s="21" t="s">
        <v>724</v>
      </c>
      <c r="G1030" s="21" t="s">
        <v>833</v>
      </c>
    </row>
    <row r="1031" customFormat="false" ht="15" hidden="false" customHeight="false" outlineLevel="0" collapsed="false">
      <c r="B1031" s="19" t="s">
        <v>1891</v>
      </c>
      <c r="C1031" s="20" t="n">
        <f aca="false">ROUND(4.16/FX,2)</f>
        <v>0.58</v>
      </c>
      <c r="D1031" s="21" t="s">
        <v>1890</v>
      </c>
      <c r="E1031" s="21" t="s">
        <v>714</v>
      </c>
      <c r="F1031" s="21" t="s">
        <v>724</v>
      </c>
      <c r="G1031" s="21" t="s">
        <v>833</v>
      </c>
    </row>
    <row r="1032" customFormat="false" ht="15" hidden="false" customHeight="false" outlineLevel="0" collapsed="false">
      <c r="B1032" s="19" t="s">
        <v>1892</v>
      </c>
      <c r="C1032" s="20" t="n">
        <f aca="false">ROUND(8.32/FX,2)</f>
        <v>1.16</v>
      </c>
      <c r="D1032" s="21" t="s">
        <v>1890</v>
      </c>
      <c r="E1032" s="21" t="s">
        <v>716</v>
      </c>
      <c r="F1032" s="21" t="s">
        <v>724</v>
      </c>
      <c r="G1032" s="21" t="s">
        <v>833</v>
      </c>
    </row>
    <row r="1033" customFormat="false" ht="15" hidden="false" customHeight="false" outlineLevel="0" collapsed="false">
      <c r="B1033" s="19" t="s">
        <v>1893</v>
      </c>
      <c r="C1033" s="20" t="n">
        <f aca="false">ROUND(6.93/FX,2)</f>
        <v>0.96</v>
      </c>
      <c r="D1033" s="21" t="s">
        <v>1894</v>
      </c>
      <c r="E1033" s="21" t="s">
        <v>707</v>
      </c>
      <c r="F1033" s="21" t="s">
        <v>724</v>
      </c>
      <c r="G1033" s="21" t="s">
        <v>833</v>
      </c>
    </row>
    <row r="1034" customFormat="false" ht="15" hidden="false" customHeight="false" outlineLevel="0" collapsed="false">
      <c r="B1034" s="19" t="s">
        <v>1895</v>
      </c>
      <c r="C1034" s="20" t="n">
        <f aca="false">ROUND(7.15/FX,2)</f>
        <v>0.99</v>
      </c>
      <c r="D1034" s="21" t="s">
        <v>1894</v>
      </c>
      <c r="E1034" s="21" t="s">
        <v>714</v>
      </c>
      <c r="F1034" s="21" t="s">
        <v>724</v>
      </c>
      <c r="G1034" s="21" t="s">
        <v>833</v>
      </c>
    </row>
    <row r="1035" customFormat="false" ht="15" hidden="false" customHeight="false" outlineLevel="0" collapsed="false">
      <c r="B1035" s="19" t="s">
        <v>1896</v>
      </c>
      <c r="C1035" s="20" t="n">
        <f aca="false">ROUND(8.45/FX,2)</f>
        <v>1.17</v>
      </c>
      <c r="D1035" s="21" t="s">
        <v>1894</v>
      </c>
      <c r="E1035" s="21" t="s">
        <v>716</v>
      </c>
      <c r="F1035" s="21" t="s">
        <v>724</v>
      </c>
      <c r="G1035" s="21" t="s">
        <v>833</v>
      </c>
    </row>
    <row r="1036" customFormat="false" ht="15" hidden="false" customHeight="false" outlineLevel="0" collapsed="false">
      <c r="B1036" s="19" t="s">
        <v>1897</v>
      </c>
      <c r="C1036" s="20" t="n">
        <f aca="false">ROUND(11.18/FX,2)</f>
        <v>1.55</v>
      </c>
      <c r="D1036" s="21" t="s">
        <v>1898</v>
      </c>
      <c r="E1036" s="21" t="s">
        <v>707</v>
      </c>
      <c r="F1036" s="21" t="s">
        <v>724</v>
      </c>
      <c r="G1036" s="21" t="s">
        <v>833</v>
      </c>
    </row>
    <row r="1037" customFormat="false" ht="15" hidden="false" customHeight="false" outlineLevel="0" collapsed="false">
      <c r="B1037" s="19" t="s">
        <v>1899</v>
      </c>
      <c r="C1037" s="20" t="n">
        <f aca="false">ROUND(10.73/FX,2)</f>
        <v>1.49</v>
      </c>
      <c r="D1037" s="21" t="s">
        <v>1898</v>
      </c>
      <c r="E1037" s="21" t="s">
        <v>714</v>
      </c>
      <c r="F1037" s="21" t="s">
        <v>724</v>
      </c>
      <c r="G1037" s="21" t="s">
        <v>833</v>
      </c>
    </row>
    <row r="1038" customFormat="false" ht="15" hidden="false" customHeight="false" outlineLevel="0" collapsed="false">
      <c r="B1038" s="19" t="s">
        <v>1900</v>
      </c>
      <c r="C1038" s="20" t="n">
        <f aca="false">ROUND(7.02/FX,2)</f>
        <v>0.98</v>
      </c>
      <c r="D1038" s="21" t="s">
        <v>1898</v>
      </c>
      <c r="E1038" s="21" t="s">
        <v>716</v>
      </c>
      <c r="F1038" s="21" t="s">
        <v>724</v>
      </c>
      <c r="G1038" s="21" t="s">
        <v>833</v>
      </c>
    </row>
    <row r="1039" customFormat="false" ht="15" hidden="false" customHeight="false" outlineLevel="0" collapsed="false">
      <c r="B1039" s="19" t="s">
        <v>1901</v>
      </c>
      <c r="C1039" s="20" t="n">
        <f aca="false">ROUND(11.18/FX,2)</f>
        <v>1.55</v>
      </c>
      <c r="D1039" s="21" t="s">
        <v>1902</v>
      </c>
      <c r="E1039" s="21" t="s">
        <v>707</v>
      </c>
      <c r="F1039" s="21" t="s">
        <v>724</v>
      </c>
      <c r="G1039" s="21" t="s">
        <v>833</v>
      </c>
    </row>
    <row r="1040" customFormat="false" ht="15" hidden="false" customHeight="false" outlineLevel="0" collapsed="false">
      <c r="B1040" s="19" t="s">
        <v>1903</v>
      </c>
      <c r="C1040" s="20" t="n">
        <f aca="false">ROUND(10.73/FX,2)</f>
        <v>1.49</v>
      </c>
      <c r="D1040" s="21" t="s">
        <v>1902</v>
      </c>
      <c r="E1040" s="21" t="s">
        <v>714</v>
      </c>
      <c r="F1040" s="21" t="s">
        <v>724</v>
      </c>
      <c r="G1040" s="21" t="s">
        <v>833</v>
      </c>
    </row>
    <row r="1041" customFormat="false" ht="15" hidden="false" customHeight="false" outlineLevel="0" collapsed="false">
      <c r="B1041" s="19" t="s">
        <v>1904</v>
      </c>
      <c r="C1041" s="20" t="n">
        <f aca="false">ROUND(8.45/FX,2)</f>
        <v>1.17</v>
      </c>
      <c r="D1041" s="21" t="s">
        <v>1902</v>
      </c>
      <c r="E1041" s="21" t="s">
        <v>716</v>
      </c>
      <c r="F1041" s="21" t="s">
        <v>724</v>
      </c>
      <c r="G1041" s="21" t="s">
        <v>833</v>
      </c>
    </row>
    <row r="1042" customFormat="false" ht="15" hidden="false" customHeight="false" outlineLevel="0" collapsed="false">
      <c r="B1042" s="19" t="s">
        <v>1905</v>
      </c>
      <c r="C1042" s="20" t="n">
        <f aca="false">ROUND(6.93/FX,2)</f>
        <v>0.96</v>
      </c>
      <c r="D1042" s="21" t="s">
        <v>1906</v>
      </c>
      <c r="E1042" s="21" t="s">
        <v>707</v>
      </c>
      <c r="F1042" s="21" t="s">
        <v>724</v>
      </c>
      <c r="G1042" s="21" t="s">
        <v>833</v>
      </c>
    </row>
    <row r="1043" customFormat="false" ht="15" hidden="false" customHeight="false" outlineLevel="0" collapsed="false">
      <c r="B1043" s="19" t="s">
        <v>1907</v>
      </c>
      <c r="C1043" s="20" t="n">
        <f aca="false">ROUND(10.73/FX,2)</f>
        <v>1.49</v>
      </c>
      <c r="D1043" s="21" t="s">
        <v>1906</v>
      </c>
      <c r="E1043" s="21" t="s">
        <v>714</v>
      </c>
      <c r="F1043" s="21" t="s">
        <v>724</v>
      </c>
      <c r="G1043" s="21" t="s">
        <v>833</v>
      </c>
    </row>
    <row r="1044" customFormat="false" ht="15" hidden="false" customHeight="false" outlineLevel="0" collapsed="false">
      <c r="B1044" s="19" t="s">
        <v>1908</v>
      </c>
      <c r="C1044" s="20" t="n">
        <f aca="false">ROUND(6.76/FX,2)</f>
        <v>0.94</v>
      </c>
      <c r="D1044" s="21" t="s">
        <v>1906</v>
      </c>
      <c r="E1044" s="21" t="s">
        <v>716</v>
      </c>
      <c r="F1044" s="21" t="s">
        <v>724</v>
      </c>
      <c r="G1044" s="21" t="s">
        <v>833</v>
      </c>
    </row>
    <row r="1045" customFormat="false" ht="15" hidden="false" customHeight="false" outlineLevel="0" collapsed="false">
      <c r="B1045" s="19" t="s">
        <v>1909</v>
      </c>
      <c r="C1045" s="20" t="n">
        <f aca="false">ROUND(10.61/FX,2)</f>
        <v>1.47</v>
      </c>
      <c r="D1045" s="21" t="s">
        <v>1910</v>
      </c>
      <c r="E1045" s="21" t="s">
        <v>707</v>
      </c>
      <c r="F1045" s="21" t="s">
        <v>724</v>
      </c>
      <c r="G1045" s="21" t="s">
        <v>833</v>
      </c>
    </row>
    <row r="1046" customFormat="false" ht="15" hidden="false" customHeight="false" outlineLevel="0" collapsed="false">
      <c r="B1046" s="19" t="s">
        <v>1911</v>
      </c>
      <c r="C1046" s="20" t="n">
        <f aca="false">ROUND(10.73/FX,2)</f>
        <v>1.49</v>
      </c>
      <c r="D1046" s="21" t="s">
        <v>1910</v>
      </c>
      <c r="E1046" s="21" t="s">
        <v>714</v>
      </c>
      <c r="F1046" s="21" t="s">
        <v>724</v>
      </c>
      <c r="G1046" s="21" t="s">
        <v>833</v>
      </c>
    </row>
    <row r="1047" customFormat="false" ht="15" hidden="false" customHeight="false" outlineLevel="0" collapsed="false">
      <c r="B1047" s="19" t="s">
        <v>1912</v>
      </c>
      <c r="C1047" s="20" t="n">
        <f aca="false">ROUND(6.37/FX,2)</f>
        <v>0.88</v>
      </c>
      <c r="D1047" s="21" t="s">
        <v>1910</v>
      </c>
      <c r="E1047" s="21" t="s">
        <v>716</v>
      </c>
      <c r="F1047" s="21" t="s">
        <v>724</v>
      </c>
      <c r="G1047" s="21" t="s">
        <v>833</v>
      </c>
    </row>
    <row r="1048" customFormat="false" ht="15" hidden="false" customHeight="false" outlineLevel="0" collapsed="false">
      <c r="B1048" s="19" t="s">
        <v>1913</v>
      </c>
      <c r="C1048" s="20" t="n">
        <f aca="false">ROUND(16.68/FX,2)</f>
        <v>2.32</v>
      </c>
      <c r="D1048" s="21" t="s">
        <v>1914</v>
      </c>
      <c r="E1048" s="21" t="s">
        <v>707</v>
      </c>
      <c r="F1048" s="21" t="s">
        <v>724</v>
      </c>
      <c r="G1048" s="21" t="s">
        <v>833</v>
      </c>
    </row>
    <row r="1049" customFormat="false" ht="15" hidden="false" customHeight="false" outlineLevel="0" collapsed="false">
      <c r="B1049" s="19" t="s">
        <v>1915</v>
      </c>
      <c r="C1049" s="20" t="n">
        <f aca="false">ROUND(25.03/FX,2)</f>
        <v>3.48</v>
      </c>
      <c r="D1049" s="21" t="s">
        <v>1914</v>
      </c>
      <c r="E1049" s="21" t="s">
        <v>714</v>
      </c>
      <c r="F1049" s="21" t="s">
        <v>724</v>
      </c>
      <c r="G1049" s="21" t="s">
        <v>833</v>
      </c>
    </row>
    <row r="1050" customFormat="false" ht="15" hidden="false" customHeight="false" outlineLevel="0" collapsed="false">
      <c r="B1050" s="19" t="s">
        <v>1916</v>
      </c>
      <c r="C1050" s="20" t="n">
        <f aca="false">ROUND(10.01/FX,2)</f>
        <v>1.39</v>
      </c>
      <c r="D1050" s="21" t="s">
        <v>1914</v>
      </c>
      <c r="E1050" s="21" t="s">
        <v>716</v>
      </c>
      <c r="F1050" s="21" t="s">
        <v>724</v>
      </c>
      <c r="G1050" s="21" t="s">
        <v>833</v>
      </c>
    </row>
    <row r="1051" customFormat="false" ht="15" hidden="false" customHeight="false" outlineLevel="0" collapsed="false">
      <c r="B1051" s="19" t="s">
        <v>1917</v>
      </c>
      <c r="C1051" s="20" t="n">
        <f aca="false">ROUND(11.31/FX,2)</f>
        <v>1.57</v>
      </c>
      <c r="D1051" s="21" t="s">
        <v>1918</v>
      </c>
      <c r="E1051" s="21" t="s">
        <v>707</v>
      </c>
      <c r="F1051" s="21" t="s">
        <v>724</v>
      </c>
      <c r="G1051" s="21" t="s">
        <v>833</v>
      </c>
    </row>
    <row r="1052" customFormat="false" ht="15" hidden="false" customHeight="false" outlineLevel="0" collapsed="false">
      <c r="B1052" s="19" t="s">
        <v>1919</v>
      </c>
      <c r="C1052" s="20" t="n">
        <f aca="false">ROUND(7.41/FX,2)</f>
        <v>1.03</v>
      </c>
      <c r="D1052" s="21" t="s">
        <v>1918</v>
      </c>
      <c r="E1052" s="21" t="s">
        <v>761</v>
      </c>
      <c r="F1052" s="21" t="s">
        <v>724</v>
      </c>
      <c r="G1052" s="21" t="s">
        <v>833</v>
      </c>
    </row>
    <row r="1053" customFormat="false" ht="15" hidden="false" customHeight="false" outlineLevel="0" collapsed="false">
      <c r="B1053" s="19" t="s">
        <v>1920</v>
      </c>
      <c r="C1053" s="20" t="n">
        <f aca="false">ROUND(16.9/FX,2)</f>
        <v>2.35</v>
      </c>
      <c r="D1053" s="21" t="s">
        <v>1918</v>
      </c>
      <c r="E1053" s="21" t="s">
        <v>714</v>
      </c>
      <c r="F1053" s="21" t="s">
        <v>724</v>
      </c>
      <c r="G1053" s="21" t="s">
        <v>833</v>
      </c>
    </row>
    <row r="1054" customFormat="false" ht="15" hidden="false" customHeight="false" outlineLevel="0" collapsed="false">
      <c r="B1054" s="19" t="s">
        <v>1921</v>
      </c>
      <c r="C1054" s="20" t="n">
        <f aca="false">ROUND(7.41/FX,2)</f>
        <v>1.03</v>
      </c>
      <c r="D1054" s="21" t="s">
        <v>1918</v>
      </c>
      <c r="E1054" s="21" t="s">
        <v>716</v>
      </c>
      <c r="F1054" s="21" t="s">
        <v>724</v>
      </c>
      <c r="G1054" s="21" t="s">
        <v>833</v>
      </c>
    </row>
    <row r="1055" customFormat="false" ht="15" hidden="false" customHeight="false" outlineLevel="0" collapsed="false">
      <c r="B1055" s="19" t="s">
        <v>1922</v>
      </c>
      <c r="C1055" s="20" t="n">
        <f aca="false">ROUND(7.41/FX,2)</f>
        <v>1.03</v>
      </c>
      <c r="D1055" s="21" t="s">
        <v>1918</v>
      </c>
      <c r="E1055" s="21" t="s">
        <v>719</v>
      </c>
      <c r="F1055" s="21" t="s">
        <v>724</v>
      </c>
      <c r="G1055" s="21" t="s">
        <v>833</v>
      </c>
    </row>
    <row r="1056" customFormat="false" ht="15" hidden="false" customHeight="false" outlineLevel="0" collapsed="false">
      <c r="B1056" s="19" t="s">
        <v>1923</v>
      </c>
      <c r="C1056" s="20" t="n">
        <f aca="false">ROUND(13/FX,2)</f>
        <v>1.81</v>
      </c>
      <c r="D1056" s="21" t="s">
        <v>1924</v>
      </c>
      <c r="E1056" s="21" t="s">
        <v>707</v>
      </c>
      <c r="F1056" s="21" t="s">
        <v>724</v>
      </c>
      <c r="G1056" s="21" t="s">
        <v>833</v>
      </c>
    </row>
    <row r="1057" customFormat="false" ht="15" hidden="false" customHeight="false" outlineLevel="0" collapsed="false">
      <c r="B1057" s="19" t="s">
        <v>1925</v>
      </c>
      <c r="C1057" s="20" t="n">
        <f aca="false">ROUND(17.94/FX,2)</f>
        <v>2.49</v>
      </c>
      <c r="D1057" s="21" t="s">
        <v>1924</v>
      </c>
      <c r="E1057" s="21" t="s">
        <v>761</v>
      </c>
      <c r="F1057" s="21" t="s">
        <v>724</v>
      </c>
      <c r="G1057" s="21" t="s">
        <v>833</v>
      </c>
    </row>
    <row r="1058" customFormat="false" ht="15" hidden="false" customHeight="false" outlineLevel="0" collapsed="false">
      <c r="B1058" s="19" t="s">
        <v>1926</v>
      </c>
      <c r="C1058" s="20" t="n">
        <f aca="false">ROUND(28.86/FX,2)</f>
        <v>4.01</v>
      </c>
      <c r="D1058" s="21" t="s">
        <v>1924</v>
      </c>
      <c r="E1058" s="21" t="s">
        <v>714</v>
      </c>
      <c r="F1058" s="21" t="s">
        <v>724</v>
      </c>
      <c r="G1058" s="21" t="s">
        <v>833</v>
      </c>
    </row>
    <row r="1059" customFormat="false" ht="15" hidden="false" customHeight="false" outlineLevel="0" collapsed="false">
      <c r="B1059" s="19" t="s">
        <v>1927</v>
      </c>
      <c r="C1059" s="20" t="n">
        <f aca="false">ROUND(11.57/FX,2)</f>
        <v>1.61</v>
      </c>
      <c r="D1059" s="21" t="s">
        <v>1924</v>
      </c>
      <c r="E1059" s="21" t="s">
        <v>716</v>
      </c>
      <c r="F1059" s="21" t="s">
        <v>724</v>
      </c>
      <c r="G1059" s="21" t="s">
        <v>833</v>
      </c>
    </row>
    <row r="1060" customFormat="false" ht="15" hidden="false" customHeight="false" outlineLevel="0" collapsed="false">
      <c r="B1060" s="19" t="s">
        <v>1928</v>
      </c>
      <c r="C1060" s="20" t="n">
        <f aca="false">ROUND(4.55/FX,2)</f>
        <v>0.63</v>
      </c>
      <c r="D1060" s="21" t="s">
        <v>1924</v>
      </c>
      <c r="E1060" s="21" t="s">
        <v>719</v>
      </c>
      <c r="F1060" s="21" t="s">
        <v>724</v>
      </c>
      <c r="G1060" s="21" t="s">
        <v>833</v>
      </c>
    </row>
    <row r="1061" customFormat="false" ht="15" hidden="false" customHeight="false" outlineLevel="0" collapsed="false">
      <c r="B1061" s="19" t="s">
        <v>1929</v>
      </c>
      <c r="C1061" s="20" t="n">
        <f aca="false">ROUND(7.41/FX,2)</f>
        <v>1.03</v>
      </c>
      <c r="D1061" s="21" t="s">
        <v>1930</v>
      </c>
      <c r="E1061" s="21" t="s">
        <v>707</v>
      </c>
      <c r="F1061" s="21" t="s">
        <v>724</v>
      </c>
      <c r="G1061" s="21" t="s">
        <v>833</v>
      </c>
    </row>
    <row r="1062" customFormat="false" ht="15" hidden="false" customHeight="false" outlineLevel="0" collapsed="false">
      <c r="B1062" s="19" t="s">
        <v>1931</v>
      </c>
      <c r="C1062" s="20" t="n">
        <f aca="false">ROUND(7.41/FX,2)</f>
        <v>1.03</v>
      </c>
      <c r="D1062" s="21" t="s">
        <v>1930</v>
      </c>
      <c r="E1062" s="21" t="s">
        <v>761</v>
      </c>
      <c r="F1062" s="21" t="s">
        <v>724</v>
      </c>
      <c r="G1062" s="21" t="s">
        <v>833</v>
      </c>
    </row>
    <row r="1063" customFormat="false" ht="15" hidden="false" customHeight="false" outlineLevel="0" collapsed="false">
      <c r="B1063" s="19" t="s">
        <v>1932</v>
      </c>
      <c r="C1063" s="20" t="n">
        <f aca="false">ROUND(7.41/FX,2)</f>
        <v>1.03</v>
      </c>
      <c r="D1063" s="21" t="s">
        <v>1930</v>
      </c>
      <c r="E1063" s="21" t="s">
        <v>714</v>
      </c>
      <c r="F1063" s="21" t="s">
        <v>724</v>
      </c>
      <c r="G1063" s="21" t="s">
        <v>833</v>
      </c>
    </row>
    <row r="1064" customFormat="false" ht="15" hidden="false" customHeight="false" outlineLevel="0" collapsed="false">
      <c r="B1064" s="19" t="s">
        <v>1933</v>
      </c>
      <c r="C1064" s="20" t="n">
        <f aca="false">ROUND(9.75/FX,2)</f>
        <v>1.35</v>
      </c>
      <c r="D1064" s="21" t="s">
        <v>1930</v>
      </c>
      <c r="E1064" s="21" t="s">
        <v>716</v>
      </c>
      <c r="F1064" s="21" t="s">
        <v>724</v>
      </c>
      <c r="G1064" s="21" t="s">
        <v>833</v>
      </c>
    </row>
    <row r="1065" customFormat="false" ht="15" hidden="false" customHeight="false" outlineLevel="0" collapsed="false">
      <c r="B1065" s="19" t="s">
        <v>1934</v>
      </c>
      <c r="C1065" s="20" t="n">
        <f aca="false">ROUND(7.41/FX,2)</f>
        <v>1.03</v>
      </c>
      <c r="D1065" s="21" t="s">
        <v>1930</v>
      </c>
      <c r="E1065" s="21" t="s">
        <v>719</v>
      </c>
      <c r="F1065" s="21" t="s">
        <v>724</v>
      </c>
      <c r="G1065" s="21" t="s">
        <v>833</v>
      </c>
    </row>
    <row r="1066" customFormat="false" ht="15" hidden="false" customHeight="false" outlineLevel="0" collapsed="false">
      <c r="B1066" s="19" t="s">
        <v>1935</v>
      </c>
      <c r="C1066" s="20" t="n">
        <f aca="false">ROUND(16.9/FX,2)</f>
        <v>2.35</v>
      </c>
      <c r="D1066" s="21" t="s">
        <v>1936</v>
      </c>
      <c r="E1066" s="21" t="s">
        <v>707</v>
      </c>
      <c r="F1066" s="21" t="s">
        <v>724</v>
      </c>
      <c r="G1066" s="21" t="s">
        <v>833</v>
      </c>
    </row>
    <row r="1067" customFormat="false" ht="15" hidden="false" customHeight="false" outlineLevel="0" collapsed="false">
      <c r="B1067" s="19" t="s">
        <v>1937</v>
      </c>
      <c r="C1067" s="20" t="n">
        <f aca="false">ROUND(7.41/FX,2)</f>
        <v>1.03</v>
      </c>
      <c r="D1067" s="21" t="s">
        <v>1936</v>
      </c>
      <c r="E1067" s="21" t="s">
        <v>761</v>
      </c>
      <c r="F1067" s="21" t="s">
        <v>724</v>
      </c>
      <c r="G1067" s="21" t="s">
        <v>833</v>
      </c>
    </row>
    <row r="1068" customFormat="false" ht="15" hidden="false" customHeight="false" outlineLevel="0" collapsed="false">
      <c r="B1068" s="19" t="s">
        <v>1938</v>
      </c>
      <c r="C1068" s="20" t="n">
        <f aca="false">ROUND(31.85/FX,2)</f>
        <v>4.42</v>
      </c>
      <c r="D1068" s="21" t="s">
        <v>1936</v>
      </c>
      <c r="E1068" s="21" t="s">
        <v>714</v>
      </c>
      <c r="F1068" s="21" t="s">
        <v>724</v>
      </c>
      <c r="G1068" s="21" t="s">
        <v>833</v>
      </c>
    </row>
    <row r="1069" customFormat="false" ht="15" hidden="false" customHeight="false" outlineLevel="0" collapsed="false">
      <c r="B1069" s="19" t="s">
        <v>1939</v>
      </c>
      <c r="C1069" s="20" t="n">
        <f aca="false">ROUND(12.74/FX,2)</f>
        <v>1.77</v>
      </c>
      <c r="D1069" s="21" t="s">
        <v>1936</v>
      </c>
      <c r="E1069" s="21" t="s">
        <v>716</v>
      </c>
      <c r="F1069" s="21" t="s">
        <v>724</v>
      </c>
      <c r="G1069" s="21" t="s">
        <v>833</v>
      </c>
    </row>
    <row r="1070" customFormat="false" ht="15" hidden="false" customHeight="false" outlineLevel="0" collapsed="false">
      <c r="B1070" s="19" t="s">
        <v>1940</v>
      </c>
      <c r="C1070" s="20" t="n">
        <f aca="false">ROUND(15.21/FX,2)</f>
        <v>2.11</v>
      </c>
      <c r="D1070" s="21" t="s">
        <v>1936</v>
      </c>
      <c r="E1070" s="21" t="s">
        <v>719</v>
      </c>
      <c r="F1070" s="21" t="s">
        <v>724</v>
      </c>
      <c r="G1070" s="21" t="s">
        <v>833</v>
      </c>
    </row>
    <row r="1071" customFormat="false" ht="15" hidden="false" customHeight="false" outlineLevel="0" collapsed="false">
      <c r="B1071" s="19" t="s">
        <v>1941</v>
      </c>
      <c r="C1071" s="20" t="n">
        <f aca="false">ROUND(16.25/FX,2)</f>
        <v>2.26</v>
      </c>
      <c r="D1071" s="21" t="s">
        <v>1942</v>
      </c>
      <c r="E1071" s="21" t="s">
        <v>707</v>
      </c>
      <c r="F1071" s="21" t="s">
        <v>724</v>
      </c>
      <c r="G1071" s="21" t="s">
        <v>833</v>
      </c>
    </row>
    <row r="1072" customFormat="false" ht="15" hidden="false" customHeight="false" outlineLevel="0" collapsed="false">
      <c r="B1072" s="19" t="s">
        <v>1943</v>
      </c>
      <c r="C1072" s="20" t="n">
        <f aca="false">ROUND(7.41/FX,2)</f>
        <v>1.03</v>
      </c>
      <c r="D1072" s="21" t="s">
        <v>1942</v>
      </c>
      <c r="E1072" s="21" t="s">
        <v>761</v>
      </c>
      <c r="F1072" s="21" t="s">
        <v>724</v>
      </c>
      <c r="G1072" s="21" t="s">
        <v>833</v>
      </c>
    </row>
    <row r="1073" customFormat="false" ht="15" hidden="false" customHeight="false" outlineLevel="0" collapsed="false">
      <c r="B1073" s="19" t="s">
        <v>1944</v>
      </c>
      <c r="C1073" s="20" t="n">
        <f aca="false">ROUND(48.75/FX,2)</f>
        <v>6.77</v>
      </c>
      <c r="D1073" s="21" t="s">
        <v>1942</v>
      </c>
      <c r="E1073" s="21" t="s">
        <v>714</v>
      </c>
      <c r="F1073" s="21" t="s">
        <v>724</v>
      </c>
      <c r="G1073" s="21" t="s">
        <v>833</v>
      </c>
    </row>
    <row r="1074" customFormat="false" ht="15" hidden="false" customHeight="false" outlineLevel="0" collapsed="false">
      <c r="B1074" s="19" t="s">
        <v>1945</v>
      </c>
      <c r="C1074" s="20" t="n">
        <f aca="false">ROUND(10.14/FX,2)</f>
        <v>1.41</v>
      </c>
      <c r="D1074" s="21" t="s">
        <v>1942</v>
      </c>
      <c r="E1074" s="21" t="s">
        <v>716</v>
      </c>
      <c r="F1074" s="21" t="s">
        <v>724</v>
      </c>
      <c r="G1074" s="21" t="s">
        <v>833</v>
      </c>
    </row>
    <row r="1075" customFormat="false" ht="15" hidden="false" customHeight="false" outlineLevel="0" collapsed="false">
      <c r="B1075" s="19" t="s">
        <v>1946</v>
      </c>
      <c r="C1075" s="20" t="n">
        <f aca="false">ROUND(4.55/FX,2)</f>
        <v>0.63</v>
      </c>
      <c r="D1075" s="21" t="s">
        <v>1942</v>
      </c>
      <c r="E1075" s="21" t="s">
        <v>719</v>
      </c>
      <c r="F1075" s="21" t="s">
        <v>724</v>
      </c>
      <c r="G1075" s="21" t="s">
        <v>833</v>
      </c>
    </row>
    <row r="1076" customFormat="false" ht="15" hidden="false" customHeight="false" outlineLevel="0" collapsed="false">
      <c r="B1076" s="19" t="s">
        <v>1947</v>
      </c>
      <c r="C1076" s="20" t="n">
        <f aca="false">ROUND(16.51/FX,2)</f>
        <v>2.29</v>
      </c>
      <c r="D1076" s="21" t="s">
        <v>1948</v>
      </c>
      <c r="E1076" s="21" t="s">
        <v>707</v>
      </c>
      <c r="F1076" s="21" t="s">
        <v>724</v>
      </c>
      <c r="G1076" s="21" t="s">
        <v>833</v>
      </c>
    </row>
    <row r="1077" customFormat="false" ht="15" hidden="false" customHeight="false" outlineLevel="0" collapsed="false">
      <c r="B1077" s="19" t="s">
        <v>1949</v>
      </c>
      <c r="C1077" s="20" t="n">
        <f aca="false">ROUND(7.41/FX,2)</f>
        <v>1.03</v>
      </c>
      <c r="D1077" s="21" t="s">
        <v>1948</v>
      </c>
      <c r="E1077" s="21" t="s">
        <v>761</v>
      </c>
      <c r="F1077" s="21" t="s">
        <v>724</v>
      </c>
      <c r="G1077" s="21" t="s">
        <v>833</v>
      </c>
    </row>
    <row r="1078" customFormat="false" ht="15" hidden="false" customHeight="false" outlineLevel="0" collapsed="false">
      <c r="B1078" s="19" t="s">
        <v>1950</v>
      </c>
      <c r="C1078" s="20" t="n">
        <f aca="false">ROUND(38.35/FX,2)</f>
        <v>5.33</v>
      </c>
      <c r="D1078" s="21" t="s">
        <v>1948</v>
      </c>
      <c r="E1078" s="21" t="s">
        <v>714</v>
      </c>
      <c r="F1078" s="21" t="s">
        <v>724</v>
      </c>
      <c r="G1078" s="21" t="s">
        <v>833</v>
      </c>
    </row>
    <row r="1079" customFormat="false" ht="15" hidden="false" customHeight="false" outlineLevel="0" collapsed="false">
      <c r="B1079" s="19" t="s">
        <v>1951</v>
      </c>
      <c r="C1079" s="20" t="n">
        <f aca="false">ROUND(9.91/FX,2)</f>
        <v>1.38</v>
      </c>
      <c r="D1079" s="21" t="s">
        <v>1948</v>
      </c>
      <c r="E1079" s="21" t="s">
        <v>716</v>
      </c>
      <c r="F1079" s="21" t="s">
        <v>724</v>
      </c>
      <c r="G1079" s="21" t="s">
        <v>833</v>
      </c>
    </row>
    <row r="1080" customFormat="false" ht="15" hidden="false" customHeight="false" outlineLevel="0" collapsed="false">
      <c r="B1080" s="19" t="s">
        <v>1952</v>
      </c>
      <c r="C1080" s="20" t="n">
        <f aca="false">ROUND(4.55/FX,2)</f>
        <v>0.63</v>
      </c>
      <c r="D1080" s="21" t="s">
        <v>1948</v>
      </c>
      <c r="E1080" s="21" t="s">
        <v>719</v>
      </c>
      <c r="F1080" s="21" t="s">
        <v>724</v>
      </c>
      <c r="G1080" s="21" t="s">
        <v>833</v>
      </c>
    </row>
    <row r="1081" customFormat="false" ht="15" hidden="false" customHeight="false" outlineLevel="0" collapsed="false">
      <c r="B1081" s="19" t="s">
        <v>1953</v>
      </c>
      <c r="C1081" s="20" t="n">
        <f aca="false">ROUND(16.25/FX,2)</f>
        <v>2.26</v>
      </c>
      <c r="D1081" s="21" t="s">
        <v>1954</v>
      </c>
      <c r="E1081" s="21" t="s">
        <v>707</v>
      </c>
      <c r="F1081" s="21" t="s">
        <v>724</v>
      </c>
      <c r="G1081" s="21" t="s">
        <v>833</v>
      </c>
    </row>
    <row r="1082" customFormat="false" ht="15" hidden="false" customHeight="false" outlineLevel="0" collapsed="false">
      <c r="B1082" s="19" t="s">
        <v>1955</v>
      </c>
      <c r="C1082" s="20" t="n">
        <f aca="false">ROUND(7.41/FX,2)</f>
        <v>1.03</v>
      </c>
      <c r="D1082" s="21" t="s">
        <v>1954</v>
      </c>
      <c r="E1082" s="21" t="s">
        <v>761</v>
      </c>
      <c r="F1082" s="21" t="s">
        <v>724</v>
      </c>
      <c r="G1082" s="21" t="s">
        <v>833</v>
      </c>
    </row>
    <row r="1083" customFormat="false" ht="15" hidden="false" customHeight="false" outlineLevel="0" collapsed="false">
      <c r="B1083" s="19" t="s">
        <v>1956</v>
      </c>
      <c r="C1083" s="20" t="n">
        <f aca="false">ROUND(27.82/FX,2)</f>
        <v>3.86</v>
      </c>
      <c r="D1083" s="21" t="s">
        <v>1954</v>
      </c>
      <c r="E1083" s="21" t="s">
        <v>714</v>
      </c>
      <c r="F1083" s="21" t="s">
        <v>724</v>
      </c>
      <c r="G1083" s="21" t="s">
        <v>833</v>
      </c>
    </row>
    <row r="1084" customFormat="false" ht="15" hidden="false" customHeight="false" outlineLevel="0" collapsed="false">
      <c r="B1084" s="19" t="s">
        <v>1957</v>
      </c>
      <c r="C1084" s="20" t="n">
        <f aca="false">ROUND(11.31/FX,2)</f>
        <v>1.57</v>
      </c>
      <c r="D1084" s="21" t="s">
        <v>1954</v>
      </c>
      <c r="E1084" s="21" t="s">
        <v>716</v>
      </c>
      <c r="F1084" s="21" t="s">
        <v>724</v>
      </c>
      <c r="G1084" s="21" t="s">
        <v>833</v>
      </c>
    </row>
    <row r="1085" customFormat="false" ht="15" hidden="false" customHeight="false" outlineLevel="0" collapsed="false">
      <c r="B1085" s="19" t="s">
        <v>1958</v>
      </c>
      <c r="C1085" s="20" t="n">
        <f aca="false">ROUND(16.97/FX,2)</f>
        <v>2.36</v>
      </c>
      <c r="D1085" s="21" t="s">
        <v>1954</v>
      </c>
      <c r="E1085" s="21" t="s">
        <v>719</v>
      </c>
      <c r="F1085" s="21" t="s">
        <v>724</v>
      </c>
      <c r="G1085" s="21" t="s">
        <v>833</v>
      </c>
    </row>
    <row r="1086" customFormat="false" ht="15" hidden="false" customHeight="false" outlineLevel="0" collapsed="false">
      <c r="B1086" s="19" t="s">
        <v>1959</v>
      </c>
      <c r="C1086" s="20" t="n">
        <f aca="false">ROUND(19.5/FX,2)</f>
        <v>2.71</v>
      </c>
      <c r="D1086" s="21" t="s">
        <v>1960</v>
      </c>
      <c r="E1086" s="21" t="s">
        <v>707</v>
      </c>
      <c r="F1086" s="21" t="s">
        <v>724</v>
      </c>
      <c r="G1086" s="21" t="s">
        <v>833</v>
      </c>
    </row>
    <row r="1087" customFormat="false" ht="15" hidden="false" customHeight="false" outlineLevel="0" collapsed="false">
      <c r="B1087" s="19" t="s">
        <v>1961</v>
      </c>
      <c r="C1087" s="20" t="n">
        <f aca="false">ROUND(7.41/FX,2)</f>
        <v>1.03</v>
      </c>
      <c r="D1087" s="21" t="s">
        <v>1960</v>
      </c>
      <c r="E1087" s="21" t="s">
        <v>761</v>
      </c>
      <c r="F1087" s="21" t="s">
        <v>724</v>
      </c>
      <c r="G1087" s="21" t="s">
        <v>833</v>
      </c>
    </row>
    <row r="1088" customFormat="false" ht="15" hidden="false" customHeight="false" outlineLevel="0" collapsed="false">
      <c r="B1088" s="19" t="s">
        <v>1962</v>
      </c>
      <c r="C1088" s="20" t="n">
        <f aca="false">ROUND(29.9/FX,2)</f>
        <v>4.15</v>
      </c>
      <c r="D1088" s="21" t="s">
        <v>1960</v>
      </c>
      <c r="E1088" s="21" t="s">
        <v>714</v>
      </c>
      <c r="F1088" s="21" t="s">
        <v>724</v>
      </c>
      <c r="G1088" s="21" t="s">
        <v>833</v>
      </c>
    </row>
    <row r="1089" customFormat="false" ht="15" hidden="false" customHeight="false" outlineLevel="0" collapsed="false">
      <c r="B1089" s="19" t="s">
        <v>1963</v>
      </c>
      <c r="C1089" s="20" t="n">
        <f aca="false">ROUND(11.7/FX,2)</f>
        <v>1.63</v>
      </c>
      <c r="D1089" s="21" t="s">
        <v>1960</v>
      </c>
      <c r="E1089" s="21" t="s">
        <v>716</v>
      </c>
      <c r="F1089" s="21" t="s">
        <v>724</v>
      </c>
      <c r="G1089" s="21" t="s">
        <v>833</v>
      </c>
    </row>
    <row r="1090" customFormat="false" ht="15" hidden="false" customHeight="false" outlineLevel="0" collapsed="false">
      <c r="B1090" s="19" t="s">
        <v>1964</v>
      </c>
      <c r="C1090" s="20" t="n">
        <f aca="false">ROUND(17.55/FX,2)</f>
        <v>2.44</v>
      </c>
      <c r="D1090" s="21" t="s">
        <v>1960</v>
      </c>
      <c r="E1090" s="21" t="s">
        <v>719</v>
      </c>
      <c r="F1090" s="21" t="s">
        <v>724</v>
      </c>
      <c r="G1090" s="21" t="s">
        <v>833</v>
      </c>
    </row>
    <row r="1091" customFormat="false" ht="15" hidden="false" customHeight="false" outlineLevel="0" collapsed="false">
      <c r="B1091" s="19" t="s">
        <v>1965</v>
      </c>
      <c r="C1091" s="20" t="n">
        <f aca="false">ROUND(39/FX,2)</f>
        <v>5.42</v>
      </c>
      <c r="D1091" s="21" t="s">
        <v>1966</v>
      </c>
      <c r="E1091" s="21" t="s">
        <v>707</v>
      </c>
      <c r="F1091" s="21" t="s">
        <v>724</v>
      </c>
      <c r="G1091" s="21" t="s">
        <v>833</v>
      </c>
    </row>
    <row r="1092" customFormat="false" ht="15" hidden="false" customHeight="false" outlineLevel="0" collapsed="false">
      <c r="B1092" s="19" t="s">
        <v>1967</v>
      </c>
      <c r="C1092" s="20" t="n">
        <f aca="false">ROUND(7.41/FX,2)</f>
        <v>1.03</v>
      </c>
      <c r="D1092" s="21" t="s">
        <v>1966</v>
      </c>
      <c r="E1092" s="21" t="s">
        <v>761</v>
      </c>
      <c r="F1092" s="21" t="s">
        <v>724</v>
      </c>
      <c r="G1092" s="21" t="s">
        <v>833</v>
      </c>
    </row>
    <row r="1093" customFormat="false" ht="15" hidden="false" customHeight="false" outlineLevel="0" collapsed="false">
      <c r="B1093" s="19" t="s">
        <v>1968</v>
      </c>
      <c r="C1093" s="20" t="n">
        <f aca="false">ROUND(58.5/FX,2)</f>
        <v>8.13</v>
      </c>
      <c r="D1093" s="21" t="s">
        <v>1966</v>
      </c>
      <c r="E1093" s="21" t="s">
        <v>714</v>
      </c>
      <c r="F1093" s="21" t="s">
        <v>724</v>
      </c>
      <c r="G1093" s="21" t="s">
        <v>833</v>
      </c>
    </row>
    <row r="1094" customFormat="false" ht="15" hidden="false" customHeight="false" outlineLevel="0" collapsed="false">
      <c r="B1094" s="19" t="s">
        <v>1969</v>
      </c>
      <c r="C1094" s="20" t="n">
        <f aca="false">ROUND(23.4/FX,2)</f>
        <v>3.25</v>
      </c>
      <c r="D1094" s="21" t="s">
        <v>1966</v>
      </c>
      <c r="E1094" s="21" t="s">
        <v>716</v>
      </c>
      <c r="F1094" s="21" t="s">
        <v>724</v>
      </c>
      <c r="G1094" s="21" t="s">
        <v>833</v>
      </c>
    </row>
    <row r="1095" customFormat="false" ht="15" hidden="false" customHeight="false" outlineLevel="0" collapsed="false">
      <c r="B1095" s="19" t="s">
        <v>1970</v>
      </c>
      <c r="C1095" s="20" t="n">
        <f aca="false">ROUND(35.1/FX,2)</f>
        <v>4.88</v>
      </c>
      <c r="D1095" s="21" t="s">
        <v>1966</v>
      </c>
      <c r="E1095" s="21" t="s">
        <v>719</v>
      </c>
      <c r="F1095" s="21" t="s">
        <v>724</v>
      </c>
      <c r="G1095" s="21" t="s">
        <v>833</v>
      </c>
    </row>
    <row r="1096" customFormat="false" ht="15" hidden="false" customHeight="false" outlineLevel="0" collapsed="false">
      <c r="B1096" s="19" t="s">
        <v>1971</v>
      </c>
      <c r="C1096" s="20" t="n">
        <f aca="false">ROUND(3.25/FX,2)</f>
        <v>0.45</v>
      </c>
      <c r="D1096" s="21" t="s">
        <v>1972</v>
      </c>
      <c r="E1096" s="21" t="s">
        <v>707</v>
      </c>
      <c r="F1096" s="21" t="s">
        <v>724</v>
      </c>
      <c r="G1096" s="21" t="s">
        <v>833</v>
      </c>
    </row>
    <row r="1097" customFormat="false" ht="15" hidden="false" customHeight="false" outlineLevel="0" collapsed="false">
      <c r="B1097" s="19" t="s">
        <v>1973</v>
      </c>
      <c r="C1097" s="20" t="n">
        <f aca="false">ROUND(3.09/FX,2)</f>
        <v>0.43</v>
      </c>
      <c r="D1097" s="21" t="s">
        <v>1972</v>
      </c>
      <c r="E1097" s="21" t="s">
        <v>714</v>
      </c>
      <c r="F1097" s="21" t="s">
        <v>724</v>
      </c>
      <c r="G1097" s="21" t="s">
        <v>833</v>
      </c>
    </row>
    <row r="1098" customFormat="false" ht="15" hidden="false" customHeight="false" outlineLevel="0" collapsed="false">
      <c r="B1098" s="19" t="s">
        <v>1974</v>
      </c>
      <c r="C1098" s="20" t="n">
        <f aca="false">ROUND(1.95/FX,2)</f>
        <v>0.27</v>
      </c>
      <c r="D1098" s="21" t="s">
        <v>1972</v>
      </c>
      <c r="E1098" s="21" t="s">
        <v>716</v>
      </c>
      <c r="F1098" s="21" t="s">
        <v>724</v>
      </c>
      <c r="G1098" s="21" t="s">
        <v>833</v>
      </c>
    </row>
    <row r="1099" customFormat="false" ht="15" hidden="false" customHeight="false" outlineLevel="0" collapsed="false">
      <c r="B1099" s="19" t="s">
        <v>1975</v>
      </c>
      <c r="C1099" s="20" t="n">
        <f aca="false">ROUND(1.86/FX,2)</f>
        <v>0.26</v>
      </c>
      <c r="D1099" s="21" t="s">
        <v>1972</v>
      </c>
      <c r="E1099" s="21" t="s">
        <v>719</v>
      </c>
      <c r="F1099" s="21" t="s">
        <v>724</v>
      </c>
      <c r="G1099" s="21" t="s">
        <v>833</v>
      </c>
    </row>
    <row r="1100" customFormat="false" ht="15" hidden="false" customHeight="false" outlineLevel="0" collapsed="false">
      <c r="B1100" s="19" t="s">
        <v>1976</v>
      </c>
      <c r="C1100" s="20" t="n">
        <f aca="false">ROUND(1.89/FX,2)</f>
        <v>0.26</v>
      </c>
      <c r="D1100" s="21" t="s">
        <v>1977</v>
      </c>
      <c r="E1100" s="21" t="s">
        <v>707</v>
      </c>
      <c r="F1100" s="21" t="s">
        <v>724</v>
      </c>
      <c r="G1100" s="21" t="s">
        <v>833</v>
      </c>
    </row>
    <row r="1101" customFormat="false" ht="15" hidden="false" customHeight="false" outlineLevel="0" collapsed="false">
      <c r="B1101" s="19" t="s">
        <v>1978</v>
      </c>
      <c r="C1101" s="20" t="n">
        <f aca="false">ROUND(3.12/FX,2)</f>
        <v>0.43</v>
      </c>
      <c r="D1101" s="21" t="s">
        <v>1977</v>
      </c>
      <c r="E1101" s="21" t="s">
        <v>714</v>
      </c>
      <c r="F1101" s="21" t="s">
        <v>724</v>
      </c>
      <c r="G1101" s="21" t="s">
        <v>833</v>
      </c>
    </row>
    <row r="1102" customFormat="false" ht="15" hidden="false" customHeight="false" outlineLevel="0" collapsed="false">
      <c r="B1102" s="19" t="s">
        <v>1979</v>
      </c>
      <c r="C1102" s="20" t="n">
        <f aca="false">ROUND(1.89/FX,2)</f>
        <v>0.26</v>
      </c>
      <c r="D1102" s="21" t="s">
        <v>1977</v>
      </c>
      <c r="E1102" s="21" t="s">
        <v>716</v>
      </c>
      <c r="F1102" s="21" t="s">
        <v>724</v>
      </c>
      <c r="G1102" s="21" t="s">
        <v>833</v>
      </c>
    </row>
    <row r="1103" customFormat="false" ht="15" hidden="false" customHeight="false" outlineLevel="0" collapsed="false">
      <c r="B1103" s="19" t="s">
        <v>1980</v>
      </c>
      <c r="C1103" s="20" t="n">
        <f aca="false">ROUND(1.86/FX,2)</f>
        <v>0.26</v>
      </c>
      <c r="D1103" s="21" t="s">
        <v>1977</v>
      </c>
      <c r="E1103" s="21" t="s">
        <v>719</v>
      </c>
      <c r="F1103" s="21" t="s">
        <v>724</v>
      </c>
      <c r="G1103" s="21" t="s">
        <v>833</v>
      </c>
    </row>
    <row r="1104" customFormat="false" ht="15" hidden="false" customHeight="false" outlineLevel="0" collapsed="false">
      <c r="B1104" s="19" t="s">
        <v>1981</v>
      </c>
      <c r="C1104" s="20" t="n">
        <f aca="false">ROUND(3.25/FX,2)</f>
        <v>0.45</v>
      </c>
      <c r="D1104" s="21" t="s">
        <v>1982</v>
      </c>
      <c r="E1104" s="21" t="s">
        <v>707</v>
      </c>
      <c r="F1104" s="21" t="s">
        <v>724</v>
      </c>
      <c r="G1104" s="21" t="s">
        <v>833</v>
      </c>
    </row>
    <row r="1105" customFormat="false" ht="15" hidden="false" customHeight="false" outlineLevel="0" collapsed="false">
      <c r="B1105" s="19" t="s">
        <v>1983</v>
      </c>
      <c r="C1105" s="20" t="n">
        <f aca="false">ROUND(3.12/FX,2)</f>
        <v>0.43</v>
      </c>
      <c r="D1105" s="21" t="s">
        <v>1982</v>
      </c>
      <c r="E1105" s="21" t="s">
        <v>714</v>
      </c>
      <c r="F1105" s="21" t="s">
        <v>724</v>
      </c>
      <c r="G1105" s="21" t="s">
        <v>833</v>
      </c>
    </row>
    <row r="1106" customFormat="false" ht="15" hidden="false" customHeight="false" outlineLevel="0" collapsed="false">
      <c r="B1106" s="19" t="s">
        <v>1984</v>
      </c>
      <c r="C1106" s="20" t="n">
        <f aca="false">ROUND(1.95/FX,2)</f>
        <v>0.27</v>
      </c>
      <c r="D1106" s="21" t="s">
        <v>1982</v>
      </c>
      <c r="E1106" s="21" t="s">
        <v>716</v>
      </c>
      <c r="F1106" s="21" t="s">
        <v>724</v>
      </c>
      <c r="G1106" s="21" t="s">
        <v>833</v>
      </c>
    </row>
    <row r="1107" customFormat="false" ht="15" hidden="false" customHeight="false" outlineLevel="0" collapsed="false">
      <c r="B1107" s="19" t="s">
        <v>1985</v>
      </c>
      <c r="C1107" s="20" t="n">
        <f aca="false">ROUND(1.86/FX,2)</f>
        <v>0.26</v>
      </c>
      <c r="D1107" s="21" t="s">
        <v>1982</v>
      </c>
      <c r="E1107" s="21" t="s">
        <v>719</v>
      </c>
      <c r="F1107" s="21" t="s">
        <v>724</v>
      </c>
      <c r="G1107" s="21" t="s">
        <v>833</v>
      </c>
    </row>
    <row r="1108" customFormat="false" ht="15" hidden="false" customHeight="false" outlineLevel="0" collapsed="false">
      <c r="B1108" s="19" t="s">
        <v>1986</v>
      </c>
      <c r="C1108" s="20" t="n">
        <f aca="false">ROUND(3.25/FX,2)</f>
        <v>0.45</v>
      </c>
      <c r="D1108" s="21" t="s">
        <v>1987</v>
      </c>
      <c r="E1108" s="21" t="s">
        <v>707</v>
      </c>
      <c r="F1108" s="21" t="s">
        <v>724</v>
      </c>
      <c r="G1108" s="21" t="s">
        <v>833</v>
      </c>
    </row>
    <row r="1109" customFormat="false" ht="15" hidden="false" customHeight="false" outlineLevel="0" collapsed="false">
      <c r="B1109" s="19" t="s">
        <v>1988</v>
      </c>
      <c r="C1109" s="20" t="n">
        <f aca="false">ROUND(3.12/FX,2)</f>
        <v>0.43</v>
      </c>
      <c r="D1109" s="21" t="s">
        <v>1987</v>
      </c>
      <c r="E1109" s="21" t="s">
        <v>714</v>
      </c>
      <c r="F1109" s="21" t="s">
        <v>724</v>
      </c>
      <c r="G1109" s="21" t="s">
        <v>833</v>
      </c>
    </row>
    <row r="1110" customFormat="false" ht="15" hidden="false" customHeight="false" outlineLevel="0" collapsed="false">
      <c r="B1110" s="19" t="s">
        <v>1989</v>
      </c>
      <c r="C1110" s="20" t="n">
        <f aca="false">ROUND(1.71/FX,2)</f>
        <v>0.24</v>
      </c>
      <c r="D1110" s="21" t="s">
        <v>1987</v>
      </c>
      <c r="E1110" s="21" t="s">
        <v>716</v>
      </c>
      <c r="F1110" s="21" t="s">
        <v>724</v>
      </c>
      <c r="G1110" s="21" t="s">
        <v>833</v>
      </c>
    </row>
    <row r="1111" customFormat="false" ht="15" hidden="false" customHeight="false" outlineLevel="0" collapsed="false">
      <c r="B1111" s="19" t="s">
        <v>1990</v>
      </c>
      <c r="C1111" s="20" t="n">
        <f aca="false">ROUND(1.86/FX,2)</f>
        <v>0.26</v>
      </c>
      <c r="D1111" s="21" t="s">
        <v>1987</v>
      </c>
      <c r="E1111" s="21" t="s">
        <v>719</v>
      </c>
      <c r="F1111" s="21" t="s">
        <v>724</v>
      </c>
      <c r="G1111" s="21" t="s">
        <v>833</v>
      </c>
    </row>
    <row r="1112" customFormat="false" ht="15" hidden="false" customHeight="false" outlineLevel="0" collapsed="false">
      <c r="B1112" s="19" t="s">
        <v>1991</v>
      </c>
      <c r="C1112" s="20" t="n">
        <f aca="false">ROUND(2.81/FX,2)</f>
        <v>0.39</v>
      </c>
      <c r="D1112" s="21" t="s">
        <v>1992</v>
      </c>
      <c r="E1112" s="21" t="s">
        <v>707</v>
      </c>
      <c r="F1112" s="21" t="s">
        <v>724</v>
      </c>
      <c r="G1112" s="21" t="s">
        <v>833</v>
      </c>
    </row>
    <row r="1113" customFormat="false" ht="15" hidden="false" customHeight="false" outlineLevel="0" collapsed="false">
      <c r="B1113" s="19" t="s">
        <v>1993</v>
      </c>
      <c r="C1113" s="20" t="n">
        <f aca="false">ROUND(3.08/FX,2)</f>
        <v>0.43</v>
      </c>
      <c r="D1113" s="21" t="s">
        <v>1992</v>
      </c>
      <c r="E1113" s="21" t="s">
        <v>714</v>
      </c>
      <c r="F1113" s="21" t="s">
        <v>724</v>
      </c>
      <c r="G1113" s="21" t="s">
        <v>833</v>
      </c>
    </row>
    <row r="1114" customFormat="false" ht="15" hidden="false" customHeight="false" outlineLevel="0" collapsed="false">
      <c r="B1114" s="19" t="s">
        <v>1994</v>
      </c>
      <c r="C1114" s="20" t="n">
        <f aca="false">ROUND(2.02/FX,2)</f>
        <v>0.28</v>
      </c>
      <c r="D1114" s="21" t="s">
        <v>1992</v>
      </c>
      <c r="E1114" s="21" t="s">
        <v>716</v>
      </c>
      <c r="F1114" s="21" t="s">
        <v>724</v>
      </c>
      <c r="G1114" s="21" t="s">
        <v>833</v>
      </c>
    </row>
    <row r="1115" customFormat="false" ht="15" hidden="false" customHeight="false" outlineLevel="0" collapsed="false">
      <c r="B1115" s="19" t="s">
        <v>1995</v>
      </c>
      <c r="C1115" s="20" t="n">
        <f aca="false">ROUND(1.86/FX,2)</f>
        <v>0.26</v>
      </c>
      <c r="D1115" s="21" t="s">
        <v>1992</v>
      </c>
      <c r="E1115" s="21" t="s">
        <v>719</v>
      </c>
      <c r="F1115" s="21" t="s">
        <v>724</v>
      </c>
      <c r="G1115" s="21" t="s">
        <v>833</v>
      </c>
    </row>
    <row r="1116" customFormat="false" ht="15" hidden="false" customHeight="false" outlineLevel="0" collapsed="false">
      <c r="B1116" s="19" t="s">
        <v>1996</v>
      </c>
      <c r="C1116" s="20" t="n">
        <f aca="false">ROUND(4.29/FX,2)</f>
        <v>0.6</v>
      </c>
      <c r="D1116" s="21" t="s">
        <v>1997</v>
      </c>
      <c r="E1116" s="21" t="s">
        <v>707</v>
      </c>
      <c r="F1116" s="21" t="s">
        <v>724</v>
      </c>
      <c r="G1116" s="21" t="s">
        <v>833</v>
      </c>
    </row>
    <row r="1117" customFormat="false" ht="15" hidden="false" customHeight="false" outlineLevel="0" collapsed="false">
      <c r="B1117" s="19" t="s">
        <v>1998</v>
      </c>
      <c r="C1117" s="20" t="n">
        <f aca="false">ROUND(3.25/FX,2)</f>
        <v>0.45</v>
      </c>
      <c r="D1117" s="21" t="s">
        <v>1997</v>
      </c>
      <c r="E1117" s="21" t="s">
        <v>714</v>
      </c>
      <c r="F1117" s="21" t="s">
        <v>724</v>
      </c>
      <c r="G1117" s="21" t="s">
        <v>833</v>
      </c>
    </row>
    <row r="1118" customFormat="false" ht="15" hidden="false" customHeight="false" outlineLevel="0" collapsed="false">
      <c r="B1118" s="19" t="s">
        <v>1999</v>
      </c>
      <c r="C1118" s="20" t="n">
        <f aca="false">ROUND(1.76/FX,2)</f>
        <v>0.24</v>
      </c>
      <c r="D1118" s="21" t="s">
        <v>1997</v>
      </c>
      <c r="E1118" s="21" t="s">
        <v>716</v>
      </c>
      <c r="F1118" s="21" t="s">
        <v>724</v>
      </c>
      <c r="G1118" s="21" t="s">
        <v>833</v>
      </c>
    </row>
    <row r="1119" customFormat="false" ht="15" hidden="false" customHeight="false" outlineLevel="0" collapsed="false">
      <c r="B1119" s="19" t="s">
        <v>2000</v>
      </c>
      <c r="C1119" s="20" t="n">
        <f aca="false">ROUND(1.86/FX,2)</f>
        <v>0.26</v>
      </c>
      <c r="D1119" s="21" t="s">
        <v>1997</v>
      </c>
      <c r="E1119" s="21" t="s">
        <v>719</v>
      </c>
      <c r="F1119" s="21" t="s">
        <v>724</v>
      </c>
      <c r="G1119" s="21" t="s">
        <v>833</v>
      </c>
    </row>
    <row r="1120" customFormat="false" ht="15" hidden="false" customHeight="false" outlineLevel="0" collapsed="false">
      <c r="B1120" s="19" t="s">
        <v>2001</v>
      </c>
      <c r="C1120" s="20" t="n">
        <f aca="false">ROUND(2.9/FX,2)</f>
        <v>0.4</v>
      </c>
      <c r="D1120" s="21" t="s">
        <v>2002</v>
      </c>
      <c r="E1120" s="21" t="s">
        <v>707</v>
      </c>
      <c r="F1120" s="21" t="s">
        <v>724</v>
      </c>
      <c r="G1120" s="21" t="s">
        <v>833</v>
      </c>
    </row>
    <row r="1121" customFormat="false" ht="15" hidden="false" customHeight="false" outlineLevel="0" collapsed="false">
      <c r="B1121" s="19" t="s">
        <v>2003</v>
      </c>
      <c r="C1121" s="20" t="n">
        <f aca="false">ROUND(4.36/FX,2)</f>
        <v>0.61</v>
      </c>
      <c r="D1121" s="21" t="s">
        <v>2002</v>
      </c>
      <c r="E1121" s="21" t="s">
        <v>714</v>
      </c>
      <c r="F1121" s="21" t="s">
        <v>724</v>
      </c>
      <c r="G1121" s="21" t="s">
        <v>833</v>
      </c>
    </row>
    <row r="1122" customFormat="false" ht="15" hidden="false" customHeight="false" outlineLevel="0" collapsed="false">
      <c r="B1122" s="19" t="s">
        <v>2004</v>
      </c>
      <c r="C1122" s="20" t="n">
        <f aca="false">ROUND(1.74/FX,2)</f>
        <v>0.24</v>
      </c>
      <c r="D1122" s="21" t="s">
        <v>2002</v>
      </c>
      <c r="E1122" s="21" t="s">
        <v>716</v>
      </c>
      <c r="F1122" s="21" t="s">
        <v>724</v>
      </c>
      <c r="G1122" s="21" t="s">
        <v>833</v>
      </c>
    </row>
    <row r="1123" customFormat="false" ht="15" hidden="false" customHeight="false" outlineLevel="0" collapsed="false">
      <c r="B1123" s="19" t="s">
        <v>2005</v>
      </c>
      <c r="C1123" s="20" t="n">
        <f aca="false">ROUND(1.86/FX,2)</f>
        <v>0.26</v>
      </c>
      <c r="D1123" s="21" t="s">
        <v>2002</v>
      </c>
      <c r="E1123" s="21" t="s">
        <v>719</v>
      </c>
      <c r="F1123" s="21" t="s">
        <v>724</v>
      </c>
      <c r="G1123" s="21" t="s">
        <v>833</v>
      </c>
    </row>
    <row r="1124" customFormat="false" ht="15" hidden="false" customHeight="false" outlineLevel="0" collapsed="false">
      <c r="B1124" s="19" t="s">
        <v>2006</v>
      </c>
      <c r="C1124" s="20" t="n">
        <f aca="false">ROUND(2.17/FX,2)</f>
        <v>0.3</v>
      </c>
      <c r="D1124" s="21" t="s">
        <v>2007</v>
      </c>
      <c r="E1124" s="21" t="s">
        <v>707</v>
      </c>
      <c r="F1124" s="21" t="s">
        <v>724</v>
      </c>
      <c r="G1124" s="21" t="s">
        <v>833</v>
      </c>
    </row>
    <row r="1125" customFormat="false" ht="15" hidden="false" customHeight="false" outlineLevel="0" collapsed="false">
      <c r="B1125" s="19" t="s">
        <v>2008</v>
      </c>
      <c r="C1125" s="20" t="n">
        <f aca="false">ROUND(3.42/FX,2)</f>
        <v>0.48</v>
      </c>
      <c r="D1125" s="21" t="s">
        <v>2007</v>
      </c>
      <c r="E1125" s="21" t="s">
        <v>714</v>
      </c>
      <c r="F1125" s="21" t="s">
        <v>724</v>
      </c>
      <c r="G1125" s="21" t="s">
        <v>833</v>
      </c>
    </row>
    <row r="1126" customFormat="false" ht="15" hidden="false" customHeight="false" outlineLevel="0" collapsed="false">
      <c r="B1126" s="19" t="s">
        <v>2009</v>
      </c>
      <c r="C1126" s="20" t="n">
        <f aca="false">ROUND(2.08/FX,2)</f>
        <v>0.29</v>
      </c>
      <c r="D1126" s="21" t="s">
        <v>2007</v>
      </c>
      <c r="E1126" s="21" t="s">
        <v>716</v>
      </c>
      <c r="F1126" s="21" t="s">
        <v>724</v>
      </c>
      <c r="G1126" s="21" t="s">
        <v>833</v>
      </c>
    </row>
    <row r="1127" customFormat="false" ht="15" hidden="false" customHeight="false" outlineLevel="0" collapsed="false">
      <c r="B1127" s="19" t="s">
        <v>2010</v>
      </c>
      <c r="C1127" s="20" t="n">
        <f aca="false">ROUND(1.86/FX,2)</f>
        <v>0.26</v>
      </c>
      <c r="D1127" s="21" t="s">
        <v>2007</v>
      </c>
      <c r="E1127" s="21" t="s">
        <v>719</v>
      </c>
      <c r="F1127" s="21" t="s">
        <v>724</v>
      </c>
      <c r="G1127" s="21" t="s">
        <v>833</v>
      </c>
    </row>
    <row r="1128" customFormat="false" ht="15" hidden="false" customHeight="false" outlineLevel="0" collapsed="false">
      <c r="B1128" s="19" t="s">
        <v>2011</v>
      </c>
      <c r="C1128" s="20" t="n">
        <f aca="false">ROUND(2.02/FX,2)</f>
        <v>0.28</v>
      </c>
      <c r="D1128" s="21" t="s">
        <v>2012</v>
      </c>
      <c r="E1128" s="21" t="s">
        <v>707</v>
      </c>
      <c r="F1128" s="21" t="s">
        <v>724</v>
      </c>
      <c r="G1128" s="21" t="s">
        <v>833</v>
      </c>
    </row>
    <row r="1129" customFormat="false" ht="15" hidden="false" customHeight="false" outlineLevel="0" collapsed="false">
      <c r="B1129" s="19" t="s">
        <v>2013</v>
      </c>
      <c r="C1129" s="20" t="n">
        <f aca="false">ROUND(3.42/FX,2)</f>
        <v>0.48</v>
      </c>
      <c r="D1129" s="21" t="s">
        <v>2012</v>
      </c>
      <c r="E1129" s="21" t="s">
        <v>714</v>
      </c>
      <c r="F1129" s="21" t="s">
        <v>724</v>
      </c>
      <c r="G1129" s="21" t="s">
        <v>833</v>
      </c>
    </row>
    <row r="1130" customFormat="false" ht="15" hidden="false" customHeight="false" outlineLevel="0" collapsed="false">
      <c r="B1130" s="19" t="s">
        <v>2014</v>
      </c>
      <c r="C1130" s="20" t="n">
        <f aca="false">ROUND(2.6/FX,2)</f>
        <v>0.36</v>
      </c>
      <c r="D1130" s="21" t="s">
        <v>2012</v>
      </c>
      <c r="E1130" s="21" t="s">
        <v>716</v>
      </c>
      <c r="F1130" s="21" t="s">
        <v>724</v>
      </c>
      <c r="G1130" s="21" t="s">
        <v>833</v>
      </c>
    </row>
    <row r="1131" customFormat="false" ht="15" hidden="false" customHeight="false" outlineLevel="0" collapsed="false">
      <c r="B1131" s="19" t="s">
        <v>2015</v>
      </c>
      <c r="C1131" s="20" t="n">
        <f aca="false">ROUND(1.86/FX,2)</f>
        <v>0.26</v>
      </c>
      <c r="D1131" s="21" t="s">
        <v>2012</v>
      </c>
      <c r="E1131" s="21" t="s">
        <v>719</v>
      </c>
      <c r="F1131" s="21" t="s">
        <v>724</v>
      </c>
      <c r="G1131" s="21" t="s">
        <v>833</v>
      </c>
    </row>
    <row r="1132" customFormat="false" ht="15" hidden="false" customHeight="false" outlineLevel="0" collapsed="false">
      <c r="B1132" s="19" t="s">
        <v>2016</v>
      </c>
      <c r="C1132" s="20" t="n">
        <f aca="false">ROUND(2.97/FX,2)</f>
        <v>0.41</v>
      </c>
      <c r="D1132" s="21" t="s">
        <v>2017</v>
      </c>
      <c r="E1132" s="21" t="s">
        <v>707</v>
      </c>
      <c r="F1132" s="21" t="s">
        <v>724</v>
      </c>
      <c r="G1132" s="21" t="s">
        <v>833</v>
      </c>
    </row>
    <row r="1133" customFormat="false" ht="15" hidden="false" customHeight="false" outlineLevel="0" collapsed="false">
      <c r="B1133" s="19" t="s">
        <v>2018</v>
      </c>
      <c r="C1133" s="20" t="n">
        <f aca="false">ROUND(3.42/FX,2)</f>
        <v>0.48</v>
      </c>
      <c r="D1133" s="21" t="s">
        <v>2017</v>
      </c>
      <c r="E1133" s="21" t="s">
        <v>714</v>
      </c>
      <c r="F1133" s="21" t="s">
        <v>724</v>
      </c>
      <c r="G1133" s="21" t="s">
        <v>833</v>
      </c>
    </row>
    <row r="1134" customFormat="false" ht="15" hidden="false" customHeight="false" outlineLevel="0" collapsed="false">
      <c r="B1134" s="19" t="s">
        <v>2019</v>
      </c>
      <c r="C1134" s="20" t="n">
        <f aca="false">ROUND(1.78/FX,2)</f>
        <v>0.25</v>
      </c>
      <c r="D1134" s="21" t="s">
        <v>2017</v>
      </c>
      <c r="E1134" s="21" t="s">
        <v>716</v>
      </c>
      <c r="F1134" s="21" t="s">
        <v>724</v>
      </c>
      <c r="G1134" s="21" t="s">
        <v>833</v>
      </c>
    </row>
    <row r="1135" customFormat="false" ht="15" hidden="false" customHeight="false" outlineLevel="0" collapsed="false">
      <c r="B1135" s="19" t="s">
        <v>2020</v>
      </c>
      <c r="C1135" s="20" t="n">
        <f aca="false">ROUND(2.67/FX,2)</f>
        <v>0.37</v>
      </c>
      <c r="D1135" s="21" t="s">
        <v>2017</v>
      </c>
      <c r="E1135" s="21" t="s">
        <v>719</v>
      </c>
      <c r="F1135" s="21" t="s">
        <v>724</v>
      </c>
      <c r="G1135" s="21" t="s">
        <v>833</v>
      </c>
    </row>
    <row r="1136" customFormat="false" ht="15" hidden="false" customHeight="false" outlineLevel="0" collapsed="false">
      <c r="B1136" s="19" t="s">
        <v>2021</v>
      </c>
      <c r="C1136" s="20" t="n">
        <f aca="false">ROUND(2.99/FX,2)</f>
        <v>0.42</v>
      </c>
      <c r="D1136" s="21" t="s">
        <v>2022</v>
      </c>
      <c r="E1136" s="21" t="s">
        <v>707</v>
      </c>
      <c r="F1136" s="21" t="s">
        <v>724</v>
      </c>
      <c r="G1136" s="21" t="s">
        <v>833</v>
      </c>
    </row>
    <row r="1137" customFormat="false" ht="15" hidden="false" customHeight="false" outlineLevel="0" collapsed="false">
      <c r="B1137" s="19" t="s">
        <v>2023</v>
      </c>
      <c r="C1137" s="20" t="n">
        <f aca="false">ROUND(4.55/FX,2)</f>
        <v>0.63</v>
      </c>
      <c r="D1137" s="21" t="s">
        <v>2022</v>
      </c>
      <c r="E1137" s="21" t="s">
        <v>714</v>
      </c>
      <c r="F1137" s="21" t="s">
        <v>724</v>
      </c>
      <c r="G1137" s="21" t="s">
        <v>833</v>
      </c>
    </row>
    <row r="1138" customFormat="false" ht="15" hidden="false" customHeight="false" outlineLevel="0" collapsed="false">
      <c r="B1138" s="19" t="s">
        <v>2024</v>
      </c>
      <c r="C1138" s="20" t="n">
        <f aca="false">ROUND(1.89/FX,2)</f>
        <v>0.26</v>
      </c>
      <c r="D1138" s="21" t="s">
        <v>2022</v>
      </c>
      <c r="E1138" s="21" t="s">
        <v>716</v>
      </c>
      <c r="F1138" s="21" t="s">
        <v>724</v>
      </c>
      <c r="G1138" s="21" t="s">
        <v>833</v>
      </c>
    </row>
    <row r="1139" customFormat="false" ht="15" hidden="false" customHeight="false" outlineLevel="0" collapsed="false">
      <c r="B1139" s="19" t="s">
        <v>2025</v>
      </c>
      <c r="C1139" s="20" t="n">
        <f aca="false">ROUND(1.86/FX,2)</f>
        <v>0.26</v>
      </c>
      <c r="D1139" s="21" t="s">
        <v>2022</v>
      </c>
      <c r="E1139" s="21" t="s">
        <v>719</v>
      </c>
      <c r="F1139" s="21" t="s">
        <v>724</v>
      </c>
      <c r="G1139" s="21" t="s">
        <v>833</v>
      </c>
    </row>
    <row r="1140" customFormat="false" ht="15" hidden="false" customHeight="false" outlineLevel="0" collapsed="false">
      <c r="B1140" s="19" t="s">
        <v>2026</v>
      </c>
      <c r="C1140" s="20" t="n">
        <f aca="false">ROUND(2.28/FX,2)</f>
        <v>0.32</v>
      </c>
      <c r="D1140" s="21" t="s">
        <v>2027</v>
      </c>
      <c r="E1140" s="21" t="s">
        <v>707</v>
      </c>
      <c r="F1140" s="21" t="s">
        <v>724</v>
      </c>
      <c r="G1140" s="21" t="s">
        <v>833</v>
      </c>
    </row>
    <row r="1141" customFormat="false" ht="15" hidden="false" customHeight="false" outlineLevel="0" collapsed="false">
      <c r="B1141" s="19" t="s">
        <v>2028</v>
      </c>
      <c r="C1141" s="20" t="n">
        <f aca="false">ROUND(3.42/FX,2)</f>
        <v>0.48</v>
      </c>
      <c r="D1141" s="21" t="s">
        <v>2027</v>
      </c>
      <c r="E1141" s="21" t="s">
        <v>714</v>
      </c>
      <c r="F1141" s="21" t="s">
        <v>724</v>
      </c>
      <c r="G1141" s="21" t="s">
        <v>833</v>
      </c>
    </row>
    <row r="1142" customFormat="false" ht="15" hidden="false" customHeight="false" outlineLevel="0" collapsed="false">
      <c r="B1142" s="19" t="s">
        <v>2029</v>
      </c>
      <c r="C1142" s="20" t="n">
        <f aca="false">ROUND(2.6/FX,2)</f>
        <v>0.36</v>
      </c>
      <c r="D1142" s="21" t="s">
        <v>2027</v>
      </c>
      <c r="E1142" s="21" t="s">
        <v>716</v>
      </c>
      <c r="F1142" s="21" t="s">
        <v>724</v>
      </c>
      <c r="G1142" s="21" t="s">
        <v>833</v>
      </c>
    </row>
    <row r="1143" customFormat="false" ht="15" hidden="false" customHeight="false" outlineLevel="0" collapsed="false">
      <c r="B1143" s="19" t="s">
        <v>2030</v>
      </c>
      <c r="C1143" s="20" t="n">
        <f aca="false">ROUND(1.86/FX,2)</f>
        <v>0.26</v>
      </c>
      <c r="D1143" s="21" t="s">
        <v>2027</v>
      </c>
      <c r="E1143" s="21" t="s">
        <v>719</v>
      </c>
      <c r="F1143" s="21" t="s">
        <v>724</v>
      </c>
      <c r="G1143" s="21" t="s">
        <v>833</v>
      </c>
    </row>
    <row r="1144" customFormat="false" ht="15" hidden="false" customHeight="false" outlineLevel="0" collapsed="false">
      <c r="B1144" s="19" t="s">
        <v>2031</v>
      </c>
      <c r="C1144" s="20" t="n">
        <f aca="false">ROUND(2.28/FX,2)</f>
        <v>0.32</v>
      </c>
      <c r="D1144" s="21" t="s">
        <v>2032</v>
      </c>
      <c r="E1144" s="21" t="s">
        <v>707</v>
      </c>
      <c r="F1144" s="21" t="s">
        <v>724</v>
      </c>
      <c r="G1144" s="21" t="s">
        <v>833</v>
      </c>
    </row>
    <row r="1145" customFormat="false" ht="15" hidden="false" customHeight="false" outlineLevel="0" collapsed="false">
      <c r="B1145" s="19" t="s">
        <v>2033</v>
      </c>
      <c r="C1145" s="20" t="n">
        <f aca="false">ROUND(3.42/FX,2)</f>
        <v>0.48</v>
      </c>
      <c r="D1145" s="21" t="s">
        <v>2032</v>
      </c>
      <c r="E1145" s="21" t="s">
        <v>714</v>
      </c>
      <c r="F1145" s="21" t="s">
        <v>724</v>
      </c>
      <c r="G1145" s="21" t="s">
        <v>833</v>
      </c>
    </row>
    <row r="1146" customFormat="false" ht="15" hidden="false" customHeight="false" outlineLevel="0" collapsed="false">
      <c r="B1146" s="19" t="s">
        <v>2034</v>
      </c>
      <c r="C1146" s="20" t="n">
        <f aca="false">ROUND(2.02/FX,2)</f>
        <v>0.28</v>
      </c>
      <c r="D1146" s="21" t="s">
        <v>2032</v>
      </c>
      <c r="E1146" s="21" t="s">
        <v>716</v>
      </c>
      <c r="F1146" s="21" t="s">
        <v>724</v>
      </c>
      <c r="G1146" s="21" t="s">
        <v>833</v>
      </c>
    </row>
    <row r="1147" customFormat="false" ht="15" hidden="false" customHeight="false" outlineLevel="0" collapsed="false">
      <c r="B1147" s="19" t="s">
        <v>2035</v>
      </c>
      <c r="C1147" s="20" t="n">
        <f aca="false">ROUND(1.86/FX,2)</f>
        <v>0.26</v>
      </c>
      <c r="D1147" s="21" t="s">
        <v>2032</v>
      </c>
      <c r="E1147" s="21" t="s">
        <v>719</v>
      </c>
      <c r="F1147" s="21" t="s">
        <v>724</v>
      </c>
      <c r="G1147" s="21" t="s">
        <v>833</v>
      </c>
    </row>
    <row r="1148" customFormat="false" ht="15" hidden="false" customHeight="false" outlineLevel="0" collapsed="false">
      <c r="B1148" s="19" t="s">
        <v>2036</v>
      </c>
      <c r="C1148" s="20" t="n">
        <f aca="false">ROUND(2.28/FX,2)</f>
        <v>0.32</v>
      </c>
      <c r="D1148" s="21" t="s">
        <v>2037</v>
      </c>
      <c r="E1148" s="21" t="s">
        <v>707</v>
      </c>
      <c r="F1148" s="21" t="s">
        <v>724</v>
      </c>
      <c r="G1148" s="21" t="s">
        <v>833</v>
      </c>
    </row>
    <row r="1149" customFormat="false" ht="15" hidden="false" customHeight="false" outlineLevel="0" collapsed="false">
      <c r="B1149" s="19" t="s">
        <v>2038</v>
      </c>
      <c r="C1149" s="20" t="n">
        <f aca="false">ROUND(3.42/FX,2)</f>
        <v>0.48</v>
      </c>
      <c r="D1149" s="21" t="s">
        <v>2037</v>
      </c>
      <c r="E1149" s="21" t="s">
        <v>714</v>
      </c>
      <c r="F1149" s="21" t="s">
        <v>724</v>
      </c>
      <c r="G1149" s="21" t="s">
        <v>833</v>
      </c>
    </row>
    <row r="1150" customFormat="false" ht="15" hidden="false" customHeight="false" outlineLevel="0" collapsed="false">
      <c r="B1150" s="19" t="s">
        <v>2039</v>
      </c>
      <c r="C1150" s="20" t="n">
        <f aca="false">ROUND(1.76/FX,2)</f>
        <v>0.24</v>
      </c>
      <c r="D1150" s="21" t="s">
        <v>2037</v>
      </c>
      <c r="E1150" s="21" t="s">
        <v>716</v>
      </c>
      <c r="F1150" s="21" t="s">
        <v>724</v>
      </c>
      <c r="G1150" s="21" t="s">
        <v>833</v>
      </c>
    </row>
    <row r="1151" customFormat="false" ht="15" hidden="false" customHeight="false" outlineLevel="0" collapsed="false">
      <c r="B1151" s="19" t="s">
        <v>2040</v>
      </c>
      <c r="C1151" s="20" t="n">
        <f aca="false">ROUND(2.05/FX,2)</f>
        <v>0.28</v>
      </c>
      <c r="D1151" s="21" t="s">
        <v>2037</v>
      </c>
      <c r="E1151" s="21" t="s">
        <v>719</v>
      </c>
      <c r="F1151" s="21" t="s">
        <v>724</v>
      </c>
      <c r="G1151" s="21" t="s">
        <v>833</v>
      </c>
    </row>
    <row r="1152" customFormat="false" ht="15" hidden="false" customHeight="false" outlineLevel="0" collapsed="false">
      <c r="B1152" s="19" t="s">
        <v>2041</v>
      </c>
      <c r="C1152" s="20" t="n">
        <f aca="false">ROUND(3.45/FX,2)</f>
        <v>0.48</v>
      </c>
      <c r="D1152" s="21" t="s">
        <v>2042</v>
      </c>
      <c r="E1152" s="21" t="s">
        <v>707</v>
      </c>
      <c r="F1152" s="21" t="s">
        <v>724</v>
      </c>
      <c r="G1152" s="21" t="s">
        <v>833</v>
      </c>
    </row>
    <row r="1153" customFormat="false" ht="15" hidden="false" customHeight="false" outlineLevel="0" collapsed="false">
      <c r="B1153" s="19" t="s">
        <v>2043</v>
      </c>
      <c r="C1153" s="20" t="n">
        <f aca="false">ROUND(6.83/FX,2)</f>
        <v>0.95</v>
      </c>
      <c r="D1153" s="21" t="s">
        <v>2042</v>
      </c>
      <c r="E1153" s="21" t="s">
        <v>714</v>
      </c>
      <c r="F1153" s="21" t="s">
        <v>724</v>
      </c>
      <c r="G1153" s="21" t="s">
        <v>833</v>
      </c>
    </row>
    <row r="1154" customFormat="false" ht="15" hidden="false" customHeight="false" outlineLevel="0" collapsed="false">
      <c r="B1154" s="19" t="s">
        <v>2044</v>
      </c>
      <c r="C1154" s="20" t="n">
        <f aca="false">ROUND(2.73/FX,2)</f>
        <v>0.38</v>
      </c>
      <c r="D1154" s="21" t="s">
        <v>2042</v>
      </c>
      <c r="E1154" s="21" t="s">
        <v>716</v>
      </c>
      <c r="F1154" s="21" t="s">
        <v>724</v>
      </c>
      <c r="G1154" s="21" t="s">
        <v>833</v>
      </c>
    </row>
    <row r="1155" customFormat="false" ht="15" hidden="false" customHeight="false" outlineLevel="0" collapsed="false">
      <c r="B1155" s="19" t="s">
        <v>2045</v>
      </c>
      <c r="C1155" s="20" t="n">
        <f aca="false">ROUND(2.05/FX,2)</f>
        <v>0.28</v>
      </c>
      <c r="D1155" s="21" t="s">
        <v>2042</v>
      </c>
      <c r="E1155" s="21" t="s">
        <v>719</v>
      </c>
      <c r="F1155" s="21" t="s">
        <v>724</v>
      </c>
      <c r="G1155" s="21" t="s">
        <v>833</v>
      </c>
    </row>
    <row r="1156" customFormat="false" ht="15" hidden="false" customHeight="false" outlineLevel="0" collapsed="false">
      <c r="B1156" s="19" t="s">
        <v>2046</v>
      </c>
      <c r="C1156" s="20" t="n">
        <f aca="false">ROUND(1.89/FX,2)</f>
        <v>0.26</v>
      </c>
      <c r="D1156" s="21" t="s">
        <v>2047</v>
      </c>
      <c r="E1156" s="21" t="s">
        <v>707</v>
      </c>
      <c r="F1156" s="21" t="s">
        <v>724</v>
      </c>
      <c r="G1156" s="21" t="s">
        <v>833</v>
      </c>
    </row>
    <row r="1157" customFormat="false" ht="15" hidden="false" customHeight="false" outlineLevel="0" collapsed="false">
      <c r="B1157" s="19" t="s">
        <v>2048</v>
      </c>
      <c r="C1157" s="20" t="n">
        <f aca="false">ROUND(1.89/FX,2)</f>
        <v>0.26</v>
      </c>
      <c r="D1157" s="21" t="s">
        <v>2047</v>
      </c>
      <c r="E1157" s="21" t="s">
        <v>714</v>
      </c>
      <c r="F1157" s="21" t="s">
        <v>724</v>
      </c>
      <c r="G1157" s="21" t="s">
        <v>833</v>
      </c>
    </row>
    <row r="1158" customFormat="false" ht="15" hidden="false" customHeight="false" outlineLevel="0" collapsed="false">
      <c r="B1158" s="19" t="s">
        <v>2049</v>
      </c>
      <c r="C1158" s="20" t="n">
        <f aca="false">ROUND(1.89/FX,2)</f>
        <v>0.26</v>
      </c>
      <c r="D1158" s="21" t="s">
        <v>2047</v>
      </c>
      <c r="E1158" s="21" t="s">
        <v>716</v>
      </c>
      <c r="F1158" s="21" t="s">
        <v>724</v>
      </c>
      <c r="G1158" s="21" t="s">
        <v>833</v>
      </c>
    </row>
    <row r="1159" customFormat="false" ht="15" hidden="false" customHeight="false" outlineLevel="0" collapsed="false">
      <c r="B1159" s="19" t="s">
        <v>2050</v>
      </c>
      <c r="C1159" s="20" t="n">
        <f aca="false">ROUND(1.89/FX,2)</f>
        <v>0.26</v>
      </c>
      <c r="D1159" s="21" t="s">
        <v>2047</v>
      </c>
      <c r="E1159" s="21" t="s">
        <v>719</v>
      </c>
      <c r="F1159" s="21" t="s">
        <v>724</v>
      </c>
      <c r="G1159" s="21" t="s">
        <v>833</v>
      </c>
    </row>
    <row r="1160" customFormat="false" ht="15" hidden="false" customHeight="false" outlineLevel="0" collapsed="false">
      <c r="B1160" s="19" t="s">
        <v>2051</v>
      </c>
      <c r="C1160" s="20" t="n">
        <f aca="false">ROUND(3.15/FX,2)</f>
        <v>0.44</v>
      </c>
      <c r="D1160" s="21" t="s">
        <v>2052</v>
      </c>
      <c r="E1160" s="21" t="s">
        <v>707</v>
      </c>
      <c r="F1160" s="21" t="s">
        <v>724</v>
      </c>
      <c r="G1160" s="21" t="s">
        <v>833</v>
      </c>
    </row>
    <row r="1161" customFormat="false" ht="15" hidden="false" customHeight="false" outlineLevel="0" collapsed="false">
      <c r="B1161" s="19" t="s">
        <v>2053</v>
      </c>
      <c r="C1161" s="20" t="n">
        <f aca="false">ROUND(3.42/FX,2)</f>
        <v>0.48</v>
      </c>
      <c r="D1161" s="21" t="s">
        <v>2052</v>
      </c>
      <c r="E1161" s="21" t="s">
        <v>714</v>
      </c>
      <c r="F1161" s="21" t="s">
        <v>724</v>
      </c>
      <c r="G1161" s="21" t="s">
        <v>833</v>
      </c>
    </row>
    <row r="1162" customFormat="false" ht="15" hidden="false" customHeight="false" outlineLevel="0" collapsed="false">
      <c r="B1162" s="19" t="s">
        <v>2054</v>
      </c>
      <c r="C1162" s="20" t="n">
        <f aca="false">ROUND(1.89/FX,2)</f>
        <v>0.26</v>
      </c>
      <c r="D1162" s="21" t="s">
        <v>2052</v>
      </c>
      <c r="E1162" s="21" t="s">
        <v>716</v>
      </c>
      <c r="F1162" s="21" t="s">
        <v>724</v>
      </c>
      <c r="G1162" s="21" t="s">
        <v>833</v>
      </c>
    </row>
    <row r="1163" customFormat="false" ht="15" hidden="false" customHeight="false" outlineLevel="0" collapsed="false">
      <c r="B1163" s="19" t="s">
        <v>2055</v>
      </c>
      <c r="C1163" s="20" t="n">
        <f aca="false">ROUND(3.19/FX,2)</f>
        <v>0.44</v>
      </c>
      <c r="D1163" s="21" t="s">
        <v>2052</v>
      </c>
      <c r="E1163" s="21" t="s">
        <v>719</v>
      </c>
      <c r="F1163" s="21" t="s">
        <v>724</v>
      </c>
      <c r="G1163" s="21" t="s">
        <v>833</v>
      </c>
    </row>
    <row r="1164" customFormat="false" ht="15" hidden="false" customHeight="false" outlineLevel="0" collapsed="false">
      <c r="B1164" s="19" t="s">
        <v>2056</v>
      </c>
      <c r="C1164" s="20" t="n">
        <f aca="false">ROUND(3.58/FX,2)</f>
        <v>0.5</v>
      </c>
      <c r="D1164" s="21" t="s">
        <v>2057</v>
      </c>
      <c r="E1164" s="21" t="s">
        <v>707</v>
      </c>
      <c r="F1164" s="21" t="s">
        <v>724</v>
      </c>
      <c r="G1164" s="21" t="s">
        <v>833</v>
      </c>
    </row>
    <row r="1165" customFormat="false" ht="15" hidden="false" customHeight="false" outlineLevel="0" collapsed="false">
      <c r="B1165" s="19" t="s">
        <v>2058</v>
      </c>
      <c r="C1165" s="20" t="n">
        <f aca="false">ROUND(3.42/FX,2)</f>
        <v>0.48</v>
      </c>
      <c r="D1165" s="21" t="s">
        <v>2057</v>
      </c>
      <c r="E1165" s="21" t="s">
        <v>714</v>
      </c>
      <c r="F1165" s="21" t="s">
        <v>724</v>
      </c>
      <c r="G1165" s="21" t="s">
        <v>833</v>
      </c>
    </row>
    <row r="1166" customFormat="false" ht="15" hidden="false" customHeight="false" outlineLevel="0" collapsed="false">
      <c r="B1166" s="19" t="s">
        <v>2059</v>
      </c>
      <c r="C1166" s="20" t="n">
        <f aca="false">ROUND(2.15/FX,2)</f>
        <v>0.3</v>
      </c>
      <c r="D1166" s="21" t="s">
        <v>2057</v>
      </c>
      <c r="E1166" s="21" t="s">
        <v>716</v>
      </c>
      <c r="F1166" s="21" t="s">
        <v>724</v>
      </c>
      <c r="G1166" s="21" t="s">
        <v>833</v>
      </c>
    </row>
    <row r="1167" customFormat="false" ht="15" hidden="false" customHeight="false" outlineLevel="0" collapsed="false">
      <c r="B1167" s="19" t="s">
        <v>2060</v>
      </c>
      <c r="C1167" s="20" t="n">
        <f aca="false">ROUND(2.05/FX,2)</f>
        <v>0.28</v>
      </c>
      <c r="D1167" s="21" t="s">
        <v>2057</v>
      </c>
      <c r="E1167" s="21" t="s">
        <v>719</v>
      </c>
      <c r="F1167" s="21" t="s">
        <v>724</v>
      </c>
      <c r="G1167" s="21" t="s">
        <v>833</v>
      </c>
    </row>
    <row r="1168" customFormat="false" ht="15" hidden="false" customHeight="false" outlineLevel="0" collapsed="false">
      <c r="B1168" s="19" t="s">
        <v>2061</v>
      </c>
      <c r="C1168" s="20" t="n">
        <f aca="false">ROUND(2.28/FX,2)</f>
        <v>0.32</v>
      </c>
      <c r="D1168" s="21" t="s">
        <v>2062</v>
      </c>
      <c r="E1168" s="21" t="s">
        <v>707</v>
      </c>
      <c r="F1168" s="21" t="s">
        <v>724</v>
      </c>
      <c r="G1168" s="21" t="s">
        <v>833</v>
      </c>
    </row>
    <row r="1169" customFormat="false" ht="15" hidden="false" customHeight="false" outlineLevel="0" collapsed="false">
      <c r="B1169" s="19" t="s">
        <v>2063</v>
      </c>
      <c r="C1169" s="20" t="n">
        <f aca="false">ROUND(3.42/FX,2)</f>
        <v>0.48</v>
      </c>
      <c r="D1169" s="21" t="s">
        <v>2062</v>
      </c>
      <c r="E1169" s="21" t="s">
        <v>714</v>
      </c>
      <c r="F1169" s="21" t="s">
        <v>724</v>
      </c>
      <c r="G1169" s="21" t="s">
        <v>833</v>
      </c>
    </row>
    <row r="1170" customFormat="false" ht="15" hidden="false" customHeight="false" outlineLevel="0" collapsed="false">
      <c r="B1170" s="19" t="s">
        <v>2064</v>
      </c>
      <c r="C1170" s="20" t="n">
        <f aca="false">ROUND(2.08/FX,2)</f>
        <v>0.29</v>
      </c>
      <c r="D1170" s="21" t="s">
        <v>2062</v>
      </c>
      <c r="E1170" s="21" t="s">
        <v>716</v>
      </c>
      <c r="F1170" s="21" t="s">
        <v>724</v>
      </c>
      <c r="G1170" s="21" t="s">
        <v>833</v>
      </c>
    </row>
    <row r="1171" customFormat="false" ht="15" hidden="false" customHeight="false" outlineLevel="0" collapsed="false">
      <c r="B1171" s="19" t="s">
        <v>2065</v>
      </c>
      <c r="C1171" s="20" t="n">
        <f aca="false">ROUND(2.05/FX,2)</f>
        <v>0.28</v>
      </c>
      <c r="D1171" s="21" t="s">
        <v>2062</v>
      </c>
      <c r="E1171" s="21" t="s">
        <v>719</v>
      </c>
      <c r="F1171" s="21" t="s">
        <v>724</v>
      </c>
      <c r="G1171" s="21" t="s">
        <v>833</v>
      </c>
    </row>
    <row r="1172" customFormat="false" ht="15" hidden="false" customHeight="false" outlineLevel="0" collapsed="false">
      <c r="B1172" s="19" t="s">
        <v>2066</v>
      </c>
      <c r="C1172" s="20" t="n">
        <f aca="false">ROUND(3.25/FX,2)</f>
        <v>0.45</v>
      </c>
      <c r="D1172" s="21" t="s">
        <v>2067</v>
      </c>
      <c r="E1172" s="21" t="s">
        <v>707</v>
      </c>
      <c r="F1172" s="21" t="s">
        <v>724</v>
      </c>
      <c r="G1172" s="21" t="s">
        <v>833</v>
      </c>
    </row>
    <row r="1173" customFormat="false" ht="15" hidden="false" customHeight="false" outlineLevel="0" collapsed="false">
      <c r="B1173" s="19" t="s">
        <v>2068</v>
      </c>
      <c r="C1173" s="20" t="n">
        <f aca="false">ROUND(3.42/FX,2)</f>
        <v>0.48</v>
      </c>
      <c r="D1173" s="21" t="s">
        <v>2067</v>
      </c>
      <c r="E1173" s="21" t="s">
        <v>714</v>
      </c>
      <c r="F1173" s="21" t="s">
        <v>724</v>
      </c>
      <c r="G1173" s="21" t="s">
        <v>833</v>
      </c>
    </row>
    <row r="1174" customFormat="false" ht="15" hidden="false" customHeight="false" outlineLevel="0" collapsed="false">
      <c r="B1174" s="19" t="s">
        <v>2069</v>
      </c>
      <c r="C1174" s="20" t="n">
        <f aca="false">ROUND(1.95/FX,2)</f>
        <v>0.27</v>
      </c>
      <c r="D1174" s="21" t="s">
        <v>2067</v>
      </c>
      <c r="E1174" s="21" t="s">
        <v>716</v>
      </c>
      <c r="F1174" s="21" t="s">
        <v>724</v>
      </c>
      <c r="G1174" s="21" t="s">
        <v>833</v>
      </c>
    </row>
    <row r="1175" customFormat="false" ht="15" hidden="false" customHeight="false" outlineLevel="0" collapsed="false">
      <c r="B1175" s="19" t="s">
        <v>2070</v>
      </c>
      <c r="C1175" s="20" t="n">
        <f aca="false">ROUND(2.05/FX,2)</f>
        <v>0.28</v>
      </c>
      <c r="D1175" s="21" t="s">
        <v>2067</v>
      </c>
      <c r="E1175" s="21" t="s">
        <v>719</v>
      </c>
      <c r="F1175" s="21" t="s">
        <v>724</v>
      </c>
      <c r="G1175" s="21" t="s">
        <v>833</v>
      </c>
    </row>
    <row r="1176" customFormat="false" ht="15" hidden="false" customHeight="false" outlineLevel="0" collapsed="false">
      <c r="B1176" s="19" t="s">
        <v>2071</v>
      </c>
      <c r="C1176" s="20" t="n">
        <f aca="false">ROUND(2.15/FX,2)</f>
        <v>0.3</v>
      </c>
      <c r="D1176" s="21" t="s">
        <v>2072</v>
      </c>
      <c r="E1176" s="21" t="s">
        <v>707</v>
      </c>
      <c r="F1176" s="21" t="s">
        <v>724</v>
      </c>
      <c r="G1176" s="21" t="s">
        <v>833</v>
      </c>
    </row>
    <row r="1177" customFormat="false" ht="15" hidden="false" customHeight="false" outlineLevel="0" collapsed="false">
      <c r="B1177" s="19" t="s">
        <v>2073</v>
      </c>
      <c r="C1177" s="20" t="n">
        <f aca="false">ROUND(7.15/FX,2)</f>
        <v>0.99</v>
      </c>
      <c r="D1177" s="21" t="s">
        <v>2072</v>
      </c>
      <c r="E1177" s="21" t="s">
        <v>714</v>
      </c>
      <c r="F1177" s="21" t="s">
        <v>724</v>
      </c>
      <c r="G1177" s="21" t="s">
        <v>833</v>
      </c>
    </row>
    <row r="1178" customFormat="false" ht="15" hidden="false" customHeight="false" outlineLevel="0" collapsed="false">
      <c r="B1178" s="19" t="s">
        <v>2074</v>
      </c>
      <c r="C1178" s="20" t="n">
        <f aca="false">ROUND(2.15/FX,2)</f>
        <v>0.3</v>
      </c>
      <c r="D1178" s="21" t="s">
        <v>2072</v>
      </c>
      <c r="E1178" s="21" t="s">
        <v>716</v>
      </c>
      <c r="F1178" s="21" t="s">
        <v>724</v>
      </c>
      <c r="G1178" s="21" t="s">
        <v>833</v>
      </c>
    </row>
    <row r="1179" customFormat="false" ht="15" hidden="false" customHeight="false" outlineLevel="0" collapsed="false">
      <c r="B1179" s="19" t="s">
        <v>2075</v>
      </c>
      <c r="C1179" s="20" t="n">
        <f aca="false">ROUND(2.05/FX,2)</f>
        <v>0.28</v>
      </c>
      <c r="D1179" s="21" t="s">
        <v>2072</v>
      </c>
      <c r="E1179" s="21" t="s">
        <v>719</v>
      </c>
      <c r="F1179" s="21" t="s">
        <v>724</v>
      </c>
      <c r="G1179" s="21" t="s">
        <v>833</v>
      </c>
    </row>
    <row r="1180" customFormat="false" ht="15" hidden="false" customHeight="false" outlineLevel="0" collapsed="false">
      <c r="B1180" s="19" t="s">
        <v>2076</v>
      </c>
      <c r="C1180" s="20" t="n">
        <f aca="false">ROUND(1.89/FX,2)</f>
        <v>0.26</v>
      </c>
      <c r="D1180" s="21" t="s">
        <v>2077</v>
      </c>
      <c r="E1180" s="21" t="s">
        <v>707</v>
      </c>
      <c r="F1180" s="21" t="s">
        <v>724</v>
      </c>
      <c r="G1180" s="21" t="s">
        <v>833</v>
      </c>
    </row>
    <row r="1181" customFormat="false" ht="15" hidden="false" customHeight="false" outlineLevel="0" collapsed="false">
      <c r="B1181" s="19" t="s">
        <v>2078</v>
      </c>
      <c r="C1181" s="20" t="n">
        <f aca="false">ROUND(1.89/FX,2)</f>
        <v>0.26</v>
      </c>
      <c r="D1181" s="21" t="s">
        <v>2077</v>
      </c>
      <c r="E1181" s="21" t="s">
        <v>714</v>
      </c>
      <c r="F1181" s="21" t="s">
        <v>724</v>
      </c>
      <c r="G1181" s="21" t="s">
        <v>833</v>
      </c>
    </row>
    <row r="1182" customFormat="false" ht="15" hidden="false" customHeight="false" outlineLevel="0" collapsed="false">
      <c r="B1182" s="19" t="s">
        <v>2079</v>
      </c>
      <c r="C1182" s="20" t="n">
        <f aca="false">ROUND(1.95/FX,2)</f>
        <v>0.27</v>
      </c>
      <c r="D1182" s="21" t="s">
        <v>2077</v>
      </c>
      <c r="E1182" s="21" t="s">
        <v>716</v>
      </c>
      <c r="F1182" s="21" t="s">
        <v>724</v>
      </c>
      <c r="G1182" s="21" t="s">
        <v>833</v>
      </c>
    </row>
    <row r="1183" customFormat="false" ht="15" hidden="false" customHeight="false" outlineLevel="0" collapsed="false">
      <c r="B1183" s="19" t="s">
        <v>2080</v>
      </c>
      <c r="C1183" s="20" t="n">
        <f aca="false">ROUND(1.89/FX,2)</f>
        <v>0.26</v>
      </c>
      <c r="D1183" s="21" t="s">
        <v>2077</v>
      </c>
      <c r="E1183" s="21" t="s">
        <v>719</v>
      </c>
      <c r="F1183" s="21" t="s">
        <v>724</v>
      </c>
      <c r="G1183" s="21" t="s">
        <v>833</v>
      </c>
    </row>
    <row r="1184" customFormat="false" ht="15" hidden="false" customHeight="false" outlineLevel="0" collapsed="false">
      <c r="B1184" s="19" t="s">
        <v>2081</v>
      </c>
      <c r="C1184" s="20" t="n">
        <f aca="false">ROUND(3.58/FX,2)</f>
        <v>0.5</v>
      </c>
      <c r="D1184" s="21" t="s">
        <v>2082</v>
      </c>
      <c r="E1184" s="21" t="s">
        <v>707</v>
      </c>
      <c r="F1184" s="21" t="s">
        <v>724</v>
      </c>
      <c r="G1184" s="21" t="s">
        <v>833</v>
      </c>
    </row>
    <row r="1185" customFormat="false" ht="15" hidden="false" customHeight="false" outlineLevel="0" collapsed="false">
      <c r="B1185" s="19" t="s">
        <v>2083</v>
      </c>
      <c r="C1185" s="20" t="n">
        <f aca="false">ROUND(3.42/FX,2)</f>
        <v>0.48</v>
      </c>
      <c r="D1185" s="21" t="s">
        <v>2082</v>
      </c>
      <c r="E1185" s="21" t="s">
        <v>714</v>
      </c>
      <c r="F1185" s="21" t="s">
        <v>724</v>
      </c>
      <c r="G1185" s="21" t="s">
        <v>833</v>
      </c>
    </row>
    <row r="1186" customFormat="false" ht="15" hidden="false" customHeight="false" outlineLevel="0" collapsed="false">
      <c r="B1186" s="19" t="s">
        <v>2084</v>
      </c>
      <c r="C1186" s="20" t="n">
        <f aca="false">ROUND(2/FX,2)</f>
        <v>0.28</v>
      </c>
      <c r="D1186" s="21" t="s">
        <v>2082</v>
      </c>
      <c r="E1186" s="21" t="s">
        <v>716</v>
      </c>
      <c r="F1186" s="21" t="s">
        <v>724</v>
      </c>
      <c r="G1186" s="21" t="s">
        <v>833</v>
      </c>
    </row>
    <row r="1187" customFormat="false" ht="15" hidden="false" customHeight="false" outlineLevel="0" collapsed="false">
      <c r="B1187" s="19" t="s">
        <v>2085</v>
      </c>
      <c r="C1187" s="20" t="n">
        <f aca="false">ROUND(2.05/FX,2)</f>
        <v>0.28</v>
      </c>
      <c r="D1187" s="21" t="s">
        <v>2082</v>
      </c>
      <c r="E1187" s="21" t="s">
        <v>719</v>
      </c>
      <c r="F1187" s="21" t="s">
        <v>724</v>
      </c>
      <c r="G1187" s="21" t="s">
        <v>833</v>
      </c>
    </row>
    <row r="1188" customFormat="false" ht="15" hidden="false" customHeight="false" outlineLevel="0" collapsed="false">
      <c r="B1188" s="19" t="s">
        <v>2086</v>
      </c>
      <c r="C1188" s="20" t="n">
        <f aca="false">ROUND(2.6/FX,2)</f>
        <v>0.36</v>
      </c>
      <c r="D1188" s="21" t="s">
        <v>2087</v>
      </c>
      <c r="E1188" s="21" t="s">
        <v>707</v>
      </c>
      <c r="F1188" s="21" t="s">
        <v>724</v>
      </c>
      <c r="G1188" s="21" t="s">
        <v>833</v>
      </c>
    </row>
    <row r="1189" customFormat="false" ht="15" hidden="false" customHeight="false" outlineLevel="0" collapsed="false">
      <c r="B1189" s="19" t="s">
        <v>2088</v>
      </c>
      <c r="C1189" s="20" t="n">
        <f aca="false">ROUND(3.42/FX,2)</f>
        <v>0.48</v>
      </c>
      <c r="D1189" s="21" t="s">
        <v>2087</v>
      </c>
      <c r="E1189" s="21" t="s">
        <v>714</v>
      </c>
      <c r="F1189" s="21" t="s">
        <v>724</v>
      </c>
      <c r="G1189" s="21" t="s">
        <v>833</v>
      </c>
    </row>
    <row r="1190" customFormat="false" ht="15" hidden="false" customHeight="false" outlineLevel="0" collapsed="false">
      <c r="B1190" s="19" t="s">
        <v>2089</v>
      </c>
      <c r="C1190" s="20" t="n">
        <f aca="false">ROUND(1.95/FX,2)</f>
        <v>0.27</v>
      </c>
      <c r="D1190" s="21" t="s">
        <v>2087</v>
      </c>
      <c r="E1190" s="21" t="s">
        <v>716</v>
      </c>
      <c r="F1190" s="21" t="s">
        <v>724</v>
      </c>
      <c r="G1190" s="21" t="s">
        <v>833</v>
      </c>
    </row>
    <row r="1191" customFormat="false" ht="15" hidden="false" customHeight="false" outlineLevel="0" collapsed="false">
      <c r="B1191" s="19" t="s">
        <v>2090</v>
      </c>
      <c r="C1191" s="20" t="n">
        <f aca="false">ROUND(2.05/FX,2)</f>
        <v>0.28</v>
      </c>
      <c r="D1191" s="21" t="s">
        <v>2087</v>
      </c>
      <c r="E1191" s="21" t="s">
        <v>719</v>
      </c>
      <c r="F1191" s="21" t="s">
        <v>724</v>
      </c>
      <c r="G1191" s="21" t="s">
        <v>833</v>
      </c>
    </row>
    <row r="1192" customFormat="false" ht="15" hidden="false" customHeight="false" outlineLevel="0" collapsed="false">
      <c r="B1192" s="19" t="s">
        <v>2091</v>
      </c>
      <c r="C1192" s="20" t="n">
        <f aca="false">ROUND(3.4/FX,2)</f>
        <v>0.47</v>
      </c>
      <c r="D1192" s="21" t="s">
        <v>2092</v>
      </c>
      <c r="E1192" s="21" t="s">
        <v>707</v>
      </c>
      <c r="F1192" s="21" t="s">
        <v>724</v>
      </c>
      <c r="G1192" s="21" t="s">
        <v>833</v>
      </c>
    </row>
    <row r="1193" customFormat="false" ht="15" hidden="false" customHeight="false" outlineLevel="0" collapsed="false">
      <c r="B1193" s="19" t="s">
        <v>2093</v>
      </c>
      <c r="C1193" s="20" t="n">
        <f aca="false">ROUND(3.42/FX,2)</f>
        <v>0.48</v>
      </c>
      <c r="D1193" s="21" t="s">
        <v>2092</v>
      </c>
      <c r="E1193" s="21" t="s">
        <v>714</v>
      </c>
      <c r="F1193" s="21" t="s">
        <v>724</v>
      </c>
      <c r="G1193" s="21" t="s">
        <v>833</v>
      </c>
    </row>
    <row r="1194" customFormat="false" ht="15" hidden="false" customHeight="false" outlineLevel="0" collapsed="false">
      <c r="B1194" s="19" t="s">
        <v>2094</v>
      </c>
      <c r="C1194" s="20" t="n">
        <f aca="false">ROUND(2.02/FX,2)</f>
        <v>0.28</v>
      </c>
      <c r="D1194" s="21" t="s">
        <v>2092</v>
      </c>
      <c r="E1194" s="21" t="s">
        <v>716</v>
      </c>
      <c r="F1194" s="21" t="s">
        <v>724</v>
      </c>
      <c r="G1194" s="21" t="s">
        <v>833</v>
      </c>
    </row>
    <row r="1195" customFormat="false" ht="15" hidden="false" customHeight="false" outlineLevel="0" collapsed="false">
      <c r="B1195" s="19" t="s">
        <v>2095</v>
      </c>
      <c r="C1195" s="20" t="n">
        <f aca="false">ROUND(2.05/FX,2)</f>
        <v>0.28</v>
      </c>
      <c r="D1195" s="21" t="s">
        <v>2092</v>
      </c>
      <c r="E1195" s="21" t="s">
        <v>719</v>
      </c>
      <c r="F1195" s="21" t="s">
        <v>724</v>
      </c>
      <c r="G1195" s="21" t="s">
        <v>833</v>
      </c>
    </row>
    <row r="1196" customFormat="false" ht="15" hidden="false" customHeight="false" outlineLevel="0" collapsed="false">
      <c r="B1196" s="19" t="s">
        <v>2096</v>
      </c>
      <c r="C1196" s="20" t="n">
        <f aca="false">ROUND(2.6/FX,2)</f>
        <v>0.36</v>
      </c>
      <c r="D1196" s="21" t="s">
        <v>2097</v>
      </c>
      <c r="E1196" s="21" t="s">
        <v>707</v>
      </c>
      <c r="F1196" s="21" t="s">
        <v>724</v>
      </c>
      <c r="G1196" s="21" t="s">
        <v>833</v>
      </c>
    </row>
    <row r="1197" customFormat="false" ht="15" hidden="false" customHeight="false" outlineLevel="0" collapsed="false">
      <c r="B1197" s="19" t="s">
        <v>2098</v>
      </c>
      <c r="C1197" s="20" t="n">
        <f aca="false">ROUND(3.42/FX,2)</f>
        <v>0.48</v>
      </c>
      <c r="D1197" s="21" t="s">
        <v>2097</v>
      </c>
      <c r="E1197" s="21" t="s">
        <v>714</v>
      </c>
      <c r="F1197" s="21" t="s">
        <v>724</v>
      </c>
      <c r="G1197" s="21" t="s">
        <v>833</v>
      </c>
    </row>
    <row r="1198" customFormat="false" ht="15" hidden="false" customHeight="false" outlineLevel="0" collapsed="false">
      <c r="B1198" s="19" t="s">
        <v>2099</v>
      </c>
      <c r="C1198" s="20" t="n">
        <f aca="false">ROUND(2.04/FX,2)</f>
        <v>0.28</v>
      </c>
      <c r="D1198" s="21" t="s">
        <v>2097</v>
      </c>
      <c r="E1198" s="21" t="s">
        <v>716</v>
      </c>
      <c r="F1198" s="21" t="s">
        <v>724</v>
      </c>
      <c r="G1198" s="21" t="s">
        <v>833</v>
      </c>
    </row>
    <row r="1199" customFormat="false" ht="15" hidden="false" customHeight="false" outlineLevel="0" collapsed="false">
      <c r="B1199" s="19" t="s">
        <v>2100</v>
      </c>
      <c r="C1199" s="20" t="n">
        <f aca="false">ROUND(2.05/FX,2)</f>
        <v>0.28</v>
      </c>
      <c r="D1199" s="21" t="s">
        <v>2097</v>
      </c>
      <c r="E1199" s="21" t="s">
        <v>719</v>
      </c>
      <c r="F1199" s="21" t="s">
        <v>724</v>
      </c>
      <c r="G1199" s="21" t="s">
        <v>833</v>
      </c>
    </row>
    <row r="1200" customFormat="false" ht="15" hidden="false" customHeight="false" outlineLevel="0" collapsed="false">
      <c r="B1200" s="19" t="s">
        <v>2101</v>
      </c>
      <c r="C1200" s="20" t="n">
        <f aca="false">ROUND(1.21/FX,2)</f>
        <v>0.17</v>
      </c>
      <c r="D1200" s="21" t="s">
        <v>2102</v>
      </c>
      <c r="E1200" s="21" t="s">
        <v>707</v>
      </c>
      <c r="F1200" s="21" t="s">
        <v>724</v>
      </c>
      <c r="G1200" s="21" t="s">
        <v>833</v>
      </c>
    </row>
    <row r="1201" customFormat="false" ht="15" hidden="false" customHeight="false" outlineLevel="0" collapsed="false">
      <c r="B1201" s="19" t="s">
        <v>2103</v>
      </c>
      <c r="C1201" s="20" t="n">
        <f aca="false">ROUND(1.21/FX,2)</f>
        <v>0.17</v>
      </c>
      <c r="D1201" s="21" t="s">
        <v>2102</v>
      </c>
      <c r="E1201" s="21" t="s">
        <v>714</v>
      </c>
      <c r="F1201" s="21" t="s">
        <v>724</v>
      </c>
      <c r="G1201" s="21" t="s">
        <v>833</v>
      </c>
    </row>
    <row r="1202" customFormat="false" ht="15" hidden="false" customHeight="false" outlineLevel="0" collapsed="false">
      <c r="B1202" s="19" t="s">
        <v>2104</v>
      </c>
      <c r="C1202" s="20" t="n">
        <f aca="false">ROUND(2.08/FX,2)</f>
        <v>0.29</v>
      </c>
      <c r="D1202" s="21" t="s">
        <v>2102</v>
      </c>
      <c r="E1202" s="21" t="s">
        <v>716</v>
      </c>
      <c r="F1202" s="21" t="s">
        <v>724</v>
      </c>
      <c r="G1202" s="21" t="s">
        <v>833</v>
      </c>
    </row>
    <row r="1203" customFormat="false" ht="15" hidden="false" customHeight="false" outlineLevel="0" collapsed="false">
      <c r="B1203" s="19" t="s">
        <v>2105</v>
      </c>
      <c r="C1203" s="20" t="n">
        <f aca="false">ROUND(1.21/FX,2)</f>
        <v>0.17</v>
      </c>
      <c r="D1203" s="21" t="s">
        <v>2102</v>
      </c>
      <c r="E1203" s="21" t="s">
        <v>719</v>
      </c>
      <c r="F1203" s="21" t="s">
        <v>724</v>
      </c>
      <c r="G1203" s="21" t="s">
        <v>833</v>
      </c>
    </row>
    <row r="1204" customFormat="false" ht="15" hidden="false" customHeight="false" outlineLevel="0" collapsed="false">
      <c r="B1204" s="19" t="s">
        <v>2106</v>
      </c>
      <c r="C1204" s="20" t="n">
        <f aca="false">ROUND(1.21/FX,2)</f>
        <v>0.17</v>
      </c>
      <c r="D1204" s="21" t="s">
        <v>2107</v>
      </c>
      <c r="E1204" s="21" t="s">
        <v>707</v>
      </c>
      <c r="F1204" s="21" t="s">
        <v>724</v>
      </c>
      <c r="G1204" s="21" t="s">
        <v>833</v>
      </c>
    </row>
    <row r="1205" customFormat="false" ht="15" hidden="false" customHeight="false" outlineLevel="0" collapsed="false">
      <c r="B1205" s="19" t="s">
        <v>2108</v>
      </c>
      <c r="C1205" s="20" t="n">
        <f aca="false">ROUND(1.21/FX,2)</f>
        <v>0.17</v>
      </c>
      <c r="D1205" s="21" t="s">
        <v>2107</v>
      </c>
      <c r="E1205" s="21" t="s">
        <v>714</v>
      </c>
      <c r="F1205" s="21" t="s">
        <v>724</v>
      </c>
      <c r="G1205" s="21" t="s">
        <v>833</v>
      </c>
    </row>
    <row r="1206" customFormat="false" ht="15" hidden="false" customHeight="false" outlineLevel="0" collapsed="false">
      <c r="B1206" s="19" t="s">
        <v>2109</v>
      </c>
      <c r="C1206" s="20" t="n">
        <f aca="false">ROUND(2.21/FX,2)</f>
        <v>0.31</v>
      </c>
      <c r="D1206" s="21" t="s">
        <v>2107</v>
      </c>
      <c r="E1206" s="21" t="s">
        <v>716</v>
      </c>
      <c r="F1206" s="21" t="s">
        <v>724</v>
      </c>
      <c r="G1206" s="21" t="s">
        <v>833</v>
      </c>
    </row>
    <row r="1207" customFormat="false" ht="15" hidden="false" customHeight="false" outlineLevel="0" collapsed="false">
      <c r="B1207" s="19" t="s">
        <v>2110</v>
      </c>
      <c r="C1207" s="20" t="n">
        <f aca="false">ROUND(1.21/FX,2)</f>
        <v>0.17</v>
      </c>
      <c r="D1207" s="21" t="s">
        <v>2107</v>
      </c>
      <c r="E1207" s="21" t="s">
        <v>719</v>
      </c>
      <c r="F1207" s="21" t="s">
        <v>724</v>
      </c>
      <c r="G1207" s="21" t="s">
        <v>833</v>
      </c>
    </row>
    <row r="1208" customFormat="false" ht="15" hidden="false" customHeight="false" outlineLevel="0" collapsed="false">
      <c r="B1208" s="19" t="s">
        <v>2111</v>
      </c>
      <c r="C1208" s="20" t="n">
        <f aca="false">ROUND(3.47/FX,2)</f>
        <v>0.48</v>
      </c>
      <c r="D1208" s="21" t="s">
        <v>2112</v>
      </c>
      <c r="E1208" s="21" t="s">
        <v>707</v>
      </c>
      <c r="F1208" s="21" t="s">
        <v>724</v>
      </c>
      <c r="G1208" s="21" t="s">
        <v>833</v>
      </c>
    </row>
    <row r="1209" customFormat="false" ht="15" hidden="false" customHeight="false" outlineLevel="0" collapsed="false">
      <c r="B1209" s="19" t="s">
        <v>2113</v>
      </c>
      <c r="C1209" s="20" t="n">
        <f aca="false">ROUND(1.21/FX,2)</f>
        <v>0.17</v>
      </c>
      <c r="D1209" s="21" t="s">
        <v>2112</v>
      </c>
      <c r="E1209" s="21" t="s">
        <v>714</v>
      </c>
      <c r="F1209" s="21" t="s">
        <v>724</v>
      </c>
      <c r="G1209" s="21" t="s">
        <v>833</v>
      </c>
    </row>
    <row r="1210" customFormat="false" ht="15" hidden="false" customHeight="false" outlineLevel="0" collapsed="false">
      <c r="B1210" s="19" t="s">
        <v>2114</v>
      </c>
      <c r="C1210" s="20" t="n">
        <f aca="false">ROUND(2.08/FX,2)</f>
        <v>0.29</v>
      </c>
      <c r="D1210" s="21" t="s">
        <v>2112</v>
      </c>
      <c r="E1210" s="21" t="s">
        <v>716</v>
      </c>
      <c r="F1210" s="21" t="s">
        <v>724</v>
      </c>
      <c r="G1210" s="21" t="s">
        <v>833</v>
      </c>
    </row>
    <row r="1211" customFormat="false" ht="15" hidden="false" customHeight="false" outlineLevel="0" collapsed="false">
      <c r="B1211" s="19" t="s">
        <v>2115</v>
      </c>
      <c r="C1211" s="20" t="n">
        <f aca="false">ROUND(1.21/FX,2)</f>
        <v>0.17</v>
      </c>
      <c r="D1211" s="21" t="s">
        <v>2112</v>
      </c>
      <c r="E1211" s="21" t="s">
        <v>719</v>
      </c>
      <c r="F1211" s="21" t="s">
        <v>724</v>
      </c>
      <c r="G1211" s="21" t="s">
        <v>833</v>
      </c>
    </row>
    <row r="1212" customFormat="false" ht="15" hidden="false" customHeight="false" outlineLevel="0" collapsed="false">
      <c r="B1212" s="19" t="s">
        <v>2116</v>
      </c>
      <c r="C1212" s="20" t="n">
        <f aca="false">ROUND(1.21/FX,2)</f>
        <v>0.17</v>
      </c>
      <c r="D1212" s="21" t="s">
        <v>2117</v>
      </c>
      <c r="E1212" s="21" t="s">
        <v>707</v>
      </c>
      <c r="F1212" s="21" t="s">
        <v>724</v>
      </c>
      <c r="G1212" s="21" t="s">
        <v>833</v>
      </c>
    </row>
    <row r="1213" customFormat="false" ht="15" hidden="false" customHeight="false" outlineLevel="0" collapsed="false">
      <c r="B1213" s="19" t="s">
        <v>2118</v>
      </c>
      <c r="C1213" s="20" t="n">
        <f aca="false">ROUND(1.21/FX,2)</f>
        <v>0.17</v>
      </c>
      <c r="D1213" s="21" t="s">
        <v>2117</v>
      </c>
      <c r="E1213" s="21" t="s">
        <v>714</v>
      </c>
      <c r="F1213" s="21" t="s">
        <v>724</v>
      </c>
      <c r="G1213" s="21" t="s">
        <v>833</v>
      </c>
    </row>
    <row r="1214" customFormat="false" ht="15" hidden="false" customHeight="false" outlineLevel="0" collapsed="false">
      <c r="B1214" s="19" t="s">
        <v>2119</v>
      </c>
      <c r="C1214" s="20" t="n">
        <f aca="false">ROUND(2.08/FX,2)</f>
        <v>0.29</v>
      </c>
      <c r="D1214" s="21" t="s">
        <v>2117</v>
      </c>
      <c r="E1214" s="21" t="s">
        <v>716</v>
      </c>
      <c r="F1214" s="21" t="s">
        <v>724</v>
      </c>
      <c r="G1214" s="21" t="s">
        <v>833</v>
      </c>
    </row>
    <row r="1215" customFormat="false" ht="15" hidden="false" customHeight="false" outlineLevel="0" collapsed="false">
      <c r="B1215" s="19" t="s">
        <v>2120</v>
      </c>
      <c r="C1215" s="20" t="n">
        <f aca="false">ROUND(1.21/FX,2)</f>
        <v>0.17</v>
      </c>
      <c r="D1215" s="21" t="s">
        <v>2117</v>
      </c>
      <c r="E1215" s="21" t="s">
        <v>719</v>
      </c>
      <c r="F1215" s="21" t="s">
        <v>724</v>
      </c>
      <c r="G1215" s="21" t="s">
        <v>833</v>
      </c>
    </row>
    <row r="1216" customFormat="false" ht="15" hidden="false" customHeight="false" outlineLevel="0" collapsed="false">
      <c r="B1216" s="19" t="s">
        <v>2121</v>
      </c>
      <c r="C1216" s="20" t="n">
        <f aca="false">ROUND(1.21/FX,2)</f>
        <v>0.17</v>
      </c>
      <c r="D1216" s="21" t="s">
        <v>2122</v>
      </c>
      <c r="E1216" s="21" t="s">
        <v>707</v>
      </c>
      <c r="F1216" s="21" t="s">
        <v>724</v>
      </c>
      <c r="G1216" s="21" t="s">
        <v>833</v>
      </c>
    </row>
    <row r="1217" customFormat="false" ht="15" hidden="false" customHeight="false" outlineLevel="0" collapsed="false">
      <c r="B1217" s="19" t="s">
        <v>2123</v>
      </c>
      <c r="C1217" s="20" t="n">
        <f aca="false">ROUND(1.21/FX,2)</f>
        <v>0.17</v>
      </c>
      <c r="D1217" s="21" t="s">
        <v>2122</v>
      </c>
      <c r="E1217" s="21" t="s">
        <v>714</v>
      </c>
      <c r="F1217" s="21" t="s">
        <v>724</v>
      </c>
      <c r="G1217" s="21" t="s">
        <v>833</v>
      </c>
    </row>
    <row r="1218" customFormat="false" ht="15" hidden="false" customHeight="false" outlineLevel="0" collapsed="false">
      <c r="B1218" s="19" t="s">
        <v>2124</v>
      </c>
      <c r="C1218" s="20" t="n">
        <f aca="false">ROUND(2.99/FX,2)</f>
        <v>0.42</v>
      </c>
      <c r="D1218" s="21" t="s">
        <v>2122</v>
      </c>
      <c r="E1218" s="21" t="s">
        <v>716</v>
      </c>
      <c r="F1218" s="21" t="s">
        <v>724</v>
      </c>
      <c r="G1218" s="21" t="s">
        <v>833</v>
      </c>
    </row>
    <row r="1219" customFormat="false" ht="15" hidden="false" customHeight="false" outlineLevel="0" collapsed="false">
      <c r="B1219" s="19" t="s">
        <v>2125</v>
      </c>
      <c r="C1219" s="20" t="n">
        <f aca="false">ROUND(1.21/FX,2)</f>
        <v>0.17</v>
      </c>
      <c r="D1219" s="21" t="s">
        <v>2122</v>
      </c>
      <c r="E1219" s="21" t="s">
        <v>719</v>
      </c>
      <c r="F1219" s="21" t="s">
        <v>724</v>
      </c>
      <c r="G1219" s="21" t="s">
        <v>833</v>
      </c>
    </row>
    <row r="1220" customFormat="false" ht="15" hidden="false" customHeight="false" outlineLevel="0" collapsed="false">
      <c r="B1220" s="19" t="s">
        <v>2126</v>
      </c>
      <c r="C1220" s="20" t="n">
        <f aca="false">ROUND(3.77/FX,2)</f>
        <v>0.52</v>
      </c>
      <c r="D1220" s="21" t="s">
        <v>2127</v>
      </c>
      <c r="E1220" s="21" t="s">
        <v>707</v>
      </c>
      <c r="F1220" s="21" t="s">
        <v>724</v>
      </c>
      <c r="G1220" s="21" t="s">
        <v>833</v>
      </c>
    </row>
    <row r="1221" customFormat="false" ht="15" hidden="false" customHeight="false" outlineLevel="0" collapsed="false">
      <c r="B1221" s="19" t="s">
        <v>2128</v>
      </c>
      <c r="C1221" s="20" t="n">
        <f aca="false">ROUND(1.21/FX,2)</f>
        <v>0.17</v>
      </c>
      <c r="D1221" s="21" t="s">
        <v>2127</v>
      </c>
      <c r="E1221" s="21" t="s">
        <v>714</v>
      </c>
      <c r="F1221" s="21" t="s">
        <v>724</v>
      </c>
      <c r="G1221" s="21" t="s">
        <v>833</v>
      </c>
    </row>
    <row r="1222" customFormat="false" ht="15" hidden="false" customHeight="false" outlineLevel="0" collapsed="false">
      <c r="B1222" s="19" t="s">
        <v>2129</v>
      </c>
      <c r="C1222" s="20" t="n">
        <f aca="false">ROUND(2.02/FX,2)</f>
        <v>0.28</v>
      </c>
      <c r="D1222" s="21" t="s">
        <v>2127</v>
      </c>
      <c r="E1222" s="21" t="s">
        <v>716</v>
      </c>
      <c r="F1222" s="21" t="s">
        <v>724</v>
      </c>
      <c r="G1222" s="21" t="s">
        <v>833</v>
      </c>
    </row>
    <row r="1223" customFormat="false" ht="15" hidden="false" customHeight="false" outlineLevel="0" collapsed="false">
      <c r="B1223" s="19" t="s">
        <v>2130</v>
      </c>
      <c r="C1223" s="20" t="n">
        <f aca="false">ROUND(1.21/FX,2)</f>
        <v>0.17</v>
      </c>
      <c r="D1223" s="21" t="s">
        <v>2127</v>
      </c>
      <c r="E1223" s="21" t="s">
        <v>719</v>
      </c>
      <c r="F1223" s="21" t="s">
        <v>724</v>
      </c>
      <c r="G1223" s="21" t="s">
        <v>833</v>
      </c>
    </row>
    <row r="1224" customFormat="false" ht="15" hidden="false" customHeight="false" outlineLevel="0" collapsed="false">
      <c r="B1224" s="19" t="s">
        <v>2131</v>
      </c>
      <c r="C1224" s="20" t="n">
        <f aca="false">ROUND(1.21/FX,2)</f>
        <v>0.17</v>
      </c>
      <c r="D1224" s="21" t="s">
        <v>2132</v>
      </c>
      <c r="E1224" s="21" t="s">
        <v>707</v>
      </c>
      <c r="F1224" s="21" t="s">
        <v>724</v>
      </c>
      <c r="G1224" s="21" t="s">
        <v>833</v>
      </c>
    </row>
    <row r="1225" customFormat="false" ht="15" hidden="false" customHeight="false" outlineLevel="0" collapsed="false">
      <c r="B1225" s="19" t="s">
        <v>2133</v>
      </c>
      <c r="C1225" s="20" t="n">
        <f aca="false">ROUND(1.21/FX,2)</f>
        <v>0.17</v>
      </c>
      <c r="D1225" s="21" t="s">
        <v>2132</v>
      </c>
      <c r="E1225" s="21" t="s">
        <v>714</v>
      </c>
      <c r="F1225" s="21" t="s">
        <v>724</v>
      </c>
      <c r="G1225" s="21" t="s">
        <v>833</v>
      </c>
    </row>
    <row r="1226" customFormat="false" ht="15" hidden="false" customHeight="false" outlineLevel="0" collapsed="false">
      <c r="B1226" s="19" t="s">
        <v>2134</v>
      </c>
      <c r="C1226" s="20" t="n">
        <f aca="false">ROUND(2.02/FX,2)</f>
        <v>0.28</v>
      </c>
      <c r="D1226" s="21" t="s">
        <v>2132</v>
      </c>
      <c r="E1226" s="21" t="s">
        <v>716</v>
      </c>
      <c r="F1226" s="21" t="s">
        <v>724</v>
      </c>
      <c r="G1226" s="21" t="s">
        <v>833</v>
      </c>
    </row>
    <row r="1227" customFormat="false" ht="15" hidden="false" customHeight="false" outlineLevel="0" collapsed="false">
      <c r="B1227" s="19" t="s">
        <v>2135</v>
      </c>
      <c r="C1227" s="20" t="n">
        <f aca="false">ROUND(1.21/FX,2)</f>
        <v>0.17</v>
      </c>
      <c r="D1227" s="21" t="s">
        <v>2132</v>
      </c>
      <c r="E1227" s="21" t="s">
        <v>719</v>
      </c>
      <c r="F1227" s="21" t="s">
        <v>724</v>
      </c>
      <c r="G1227" s="21" t="s">
        <v>833</v>
      </c>
    </row>
    <row r="1228" customFormat="false" ht="15" hidden="false" customHeight="false" outlineLevel="0" collapsed="false">
      <c r="B1228" s="19" t="s">
        <v>2136</v>
      </c>
      <c r="C1228" s="20" t="n">
        <f aca="false">ROUND(1.21/FX,2)</f>
        <v>0.17</v>
      </c>
      <c r="D1228" s="21" t="s">
        <v>2137</v>
      </c>
      <c r="E1228" s="21" t="s">
        <v>707</v>
      </c>
      <c r="F1228" s="21" t="s">
        <v>724</v>
      </c>
      <c r="G1228" s="21" t="s">
        <v>833</v>
      </c>
    </row>
    <row r="1229" customFormat="false" ht="15" hidden="false" customHeight="false" outlineLevel="0" collapsed="false">
      <c r="B1229" s="19" t="s">
        <v>2138</v>
      </c>
      <c r="C1229" s="20" t="n">
        <f aca="false">ROUND(1.21/FX,2)</f>
        <v>0.17</v>
      </c>
      <c r="D1229" s="21" t="s">
        <v>2137</v>
      </c>
      <c r="E1229" s="21" t="s">
        <v>714</v>
      </c>
      <c r="F1229" s="21" t="s">
        <v>724</v>
      </c>
      <c r="G1229" s="21" t="s">
        <v>833</v>
      </c>
    </row>
    <row r="1230" customFormat="false" ht="15" hidden="false" customHeight="false" outlineLevel="0" collapsed="false">
      <c r="B1230" s="19" t="s">
        <v>2139</v>
      </c>
      <c r="C1230" s="20" t="n">
        <f aca="false">ROUND(2.15/FX,2)</f>
        <v>0.3</v>
      </c>
      <c r="D1230" s="21" t="s">
        <v>2137</v>
      </c>
      <c r="E1230" s="21" t="s">
        <v>716</v>
      </c>
      <c r="F1230" s="21" t="s">
        <v>724</v>
      </c>
      <c r="G1230" s="21" t="s">
        <v>833</v>
      </c>
    </row>
    <row r="1231" customFormat="false" ht="15" hidden="false" customHeight="false" outlineLevel="0" collapsed="false">
      <c r="B1231" s="19" t="s">
        <v>2140</v>
      </c>
      <c r="C1231" s="20" t="n">
        <f aca="false">ROUND(1.21/FX,2)</f>
        <v>0.17</v>
      </c>
      <c r="D1231" s="21" t="s">
        <v>2137</v>
      </c>
      <c r="E1231" s="21" t="s">
        <v>719</v>
      </c>
      <c r="F1231" s="21" t="s">
        <v>724</v>
      </c>
      <c r="G1231" s="21" t="s">
        <v>833</v>
      </c>
    </row>
    <row r="1232" customFormat="false" ht="15" hidden="false" customHeight="false" outlineLevel="0" collapsed="false">
      <c r="B1232" s="19" t="s">
        <v>2141</v>
      </c>
      <c r="C1232" s="20" t="n">
        <f aca="false">ROUND(3.36/FX,2)</f>
        <v>0.47</v>
      </c>
      <c r="D1232" s="21" t="s">
        <v>2142</v>
      </c>
      <c r="E1232" s="21" t="s">
        <v>707</v>
      </c>
      <c r="F1232" s="21" t="s">
        <v>724</v>
      </c>
      <c r="G1232" s="21" t="s">
        <v>833</v>
      </c>
    </row>
    <row r="1233" customFormat="false" ht="15" hidden="false" customHeight="false" outlineLevel="0" collapsed="false">
      <c r="B1233" s="19" t="s">
        <v>2143</v>
      </c>
      <c r="C1233" s="20" t="n">
        <f aca="false">ROUND(5.1/FX,2)</f>
        <v>0.71</v>
      </c>
      <c r="D1233" s="21" t="s">
        <v>2142</v>
      </c>
      <c r="E1233" s="21" t="s">
        <v>714</v>
      </c>
      <c r="F1233" s="21" t="s">
        <v>724</v>
      </c>
      <c r="G1233" s="21" t="s">
        <v>833</v>
      </c>
    </row>
    <row r="1234" customFormat="false" ht="15" hidden="false" customHeight="false" outlineLevel="0" collapsed="false">
      <c r="B1234" s="19" t="s">
        <v>2144</v>
      </c>
      <c r="C1234" s="20" t="n">
        <f aca="false">ROUND(2.02/FX,2)</f>
        <v>0.28</v>
      </c>
      <c r="D1234" s="21" t="s">
        <v>2142</v>
      </c>
      <c r="E1234" s="21" t="s">
        <v>716</v>
      </c>
      <c r="F1234" s="21" t="s">
        <v>724</v>
      </c>
      <c r="G1234" s="21" t="s">
        <v>833</v>
      </c>
    </row>
    <row r="1235" customFormat="false" ht="15" hidden="false" customHeight="false" outlineLevel="0" collapsed="false">
      <c r="B1235" s="19" t="s">
        <v>2145</v>
      </c>
      <c r="C1235" s="20" t="n">
        <f aca="false">ROUND(3.48/FX,2)</f>
        <v>0.48</v>
      </c>
      <c r="D1235" s="21" t="s">
        <v>2142</v>
      </c>
      <c r="E1235" s="21" t="s">
        <v>845</v>
      </c>
      <c r="F1235" s="21" t="s">
        <v>724</v>
      </c>
      <c r="G1235" s="21" t="s">
        <v>833</v>
      </c>
    </row>
    <row r="1236" customFormat="false" ht="15" hidden="false" customHeight="false" outlineLevel="0" collapsed="false">
      <c r="B1236" s="19" t="s">
        <v>2146</v>
      </c>
      <c r="C1236" s="20" t="n">
        <f aca="false">ROUND(2.6/FX,2)</f>
        <v>0.36</v>
      </c>
      <c r="D1236" s="21" t="s">
        <v>2147</v>
      </c>
      <c r="E1236" s="21" t="s">
        <v>707</v>
      </c>
      <c r="F1236" s="21" t="s">
        <v>724</v>
      </c>
      <c r="G1236" s="21" t="s">
        <v>833</v>
      </c>
    </row>
    <row r="1237" customFormat="false" ht="15" hidden="false" customHeight="false" outlineLevel="0" collapsed="false">
      <c r="B1237" s="19" t="s">
        <v>2148</v>
      </c>
      <c r="C1237" s="20" t="n">
        <f aca="false">ROUND(3.9/FX,2)</f>
        <v>0.54</v>
      </c>
      <c r="D1237" s="21" t="s">
        <v>2147</v>
      </c>
      <c r="E1237" s="21" t="s">
        <v>714</v>
      </c>
      <c r="F1237" s="21" t="s">
        <v>724</v>
      </c>
      <c r="G1237" s="21" t="s">
        <v>833</v>
      </c>
    </row>
    <row r="1238" customFormat="false" ht="15" hidden="false" customHeight="false" outlineLevel="0" collapsed="false">
      <c r="B1238" s="19" t="s">
        <v>2149</v>
      </c>
      <c r="C1238" s="20" t="n">
        <f aca="false">ROUND(2.41/FX,2)</f>
        <v>0.33</v>
      </c>
      <c r="D1238" s="21" t="s">
        <v>2147</v>
      </c>
      <c r="E1238" s="21" t="s">
        <v>716</v>
      </c>
      <c r="F1238" s="21" t="s">
        <v>724</v>
      </c>
      <c r="G1238" s="21" t="s">
        <v>833</v>
      </c>
    </row>
    <row r="1239" customFormat="false" ht="15" hidden="false" customHeight="false" outlineLevel="0" collapsed="false">
      <c r="B1239" s="19" t="s">
        <v>2150</v>
      </c>
      <c r="C1239" s="20" t="n">
        <f aca="false">ROUND(2.54/FX,2)</f>
        <v>0.35</v>
      </c>
      <c r="D1239" s="21" t="s">
        <v>2147</v>
      </c>
      <c r="E1239" s="21" t="s">
        <v>845</v>
      </c>
      <c r="F1239" s="21" t="s">
        <v>724</v>
      </c>
      <c r="G1239" s="21" t="s">
        <v>833</v>
      </c>
    </row>
    <row r="1240" customFormat="false" ht="15" hidden="false" customHeight="false" outlineLevel="0" collapsed="false">
      <c r="B1240" s="19" t="s">
        <v>2151</v>
      </c>
      <c r="C1240" s="20" t="n">
        <f aca="false">ROUND(2.6/FX,2)</f>
        <v>0.36</v>
      </c>
      <c r="D1240" s="21" t="s">
        <v>2152</v>
      </c>
      <c r="E1240" s="21" t="s">
        <v>707</v>
      </c>
      <c r="F1240" s="21" t="s">
        <v>724</v>
      </c>
      <c r="G1240" s="21" t="s">
        <v>833</v>
      </c>
    </row>
    <row r="1241" customFormat="false" ht="15" hidden="false" customHeight="false" outlineLevel="0" collapsed="false">
      <c r="B1241" s="19" t="s">
        <v>2153</v>
      </c>
      <c r="C1241" s="20" t="n">
        <f aca="false">ROUND(3.9/FX,2)</f>
        <v>0.54</v>
      </c>
      <c r="D1241" s="21" t="s">
        <v>2152</v>
      </c>
      <c r="E1241" s="21" t="s">
        <v>714</v>
      </c>
      <c r="F1241" s="21" t="s">
        <v>724</v>
      </c>
      <c r="G1241" s="21" t="s">
        <v>833</v>
      </c>
    </row>
    <row r="1242" customFormat="false" ht="15" hidden="false" customHeight="false" outlineLevel="0" collapsed="false">
      <c r="B1242" s="19" t="s">
        <v>2154</v>
      </c>
      <c r="C1242" s="20" t="n">
        <f aca="false">ROUND(2.21/FX,2)</f>
        <v>0.31</v>
      </c>
      <c r="D1242" s="21" t="s">
        <v>2152</v>
      </c>
      <c r="E1242" s="21" t="s">
        <v>716</v>
      </c>
      <c r="F1242" s="21" t="s">
        <v>724</v>
      </c>
      <c r="G1242" s="21" t="s">
        <v>833</v>
      </c>
    </row>
    <row r="1243" customFormat="false" ht="15" hidden="false" customHeight="false" outlineLevel="0" collapsed="false">
      <c r="B1243" s="19" t="s">
        <v>2155</v>
      </c>
      <c r="C1243" s="20" t="n">
        <f aca="false">ROUND(2.54/FX,2)</f>
        <v>0.35</v>
      </c>
      <c r="D1243" s="21" t="s">
        <v>2152</v>
      </c>
      <c r="E1243" s="21" t="s">
        <v>845</v>
      </c>
      <c r="F1243" s="21" t="s">
        <v>724</v>
      </c>
      <c r="G1243" s="21" t="s">
        <v>833</v>
      </c>
    </row>
    <row r="1244" customFormat="false" ht="15" hidden="false" customHeight="false" outlineLevel="0" collapsed="false">
      <c r="B1244" s="19" t="s">
        <v>2156</v>
      </c>
      <c r="C1244" s="20" t="n">
        <f aca="false">ROUND(2.34/FX,2)</f>
        <v>0.33</v>
      </c>
      <c r="D1244" s="21" t="s">
        <v>2157</v>
      </c>
      <c r="E1244" s="21" t="s">
        <v>707</v>
      </c>
      <c r="F1244" s="21" t="s">
        <v>724</v>
      </c>
      <c r="G1244" s="21" t="s">
        <v>833</v>
      </c>
    </row>
    <row r="1245" customFormat="false" ht="15" hidden="false" customHeight="false" outlineLevel="0" collapsed="false">
      <c r="B1245" s="19" t="s">
        <v>2158</v>
      </c>
      <c r="C1245" s="20" t="n">
        <f aca="false">ROUND(2.34/FX,2)</f>
        <v>0.33</v>
      </c>
      <c r="D1245" s="21" t="s">
        <v>2157</v>
      </c>
      <c r="E1245" s="21" t="s">
        <v>714</v>
      </c>
      <c r="F1245" s="21" t="s">
        <v>724</v>
      </c>
      <c r="G1245" s="21" t="s">
        <v>833</v>
      </c>
    </row>
    <row r="1246" customFormat="false" ht="15" hidden="false" customHeight="false" outlineLevel="0" collapsed="false">
      <c r="B1246" s="19" t="s">
        <v>2159</v>
      </c>
      <c r="C1246" s="20" t="n">
        <f aca="false">ROUND(2.12/FX,2)</f>
        <v>0.29</v>
      </c>
      <c r="D1246" s="21" t="s">
        <v>2157</v>
      </c>
      <c r="E1246" s="21" t="s">
        <v>716</v>
      </c>
      <c r="F1246" s="21" t="s">
        <v>724</v>
      </c>
      <c r="G1246" s="21" t="s">
        <v>833</v>
      </c>
    </row>
    <row r="1247" customFormat="false" ht="15" hidden="false" customHeight="false" outlineLevel="0" collapsed="false">
      <c r="B1247" s="19" t="s">
        <v>2160</v>
      </c>
      <c r="C1247" s="20" t="n">
        <f aca="false">ROUND(2.34/FX,2)</f>
        <v>0.33</v>
      </c>
      <c r="D1247" s="21" t="s">
        <v>2157</v>
      </c>
      <c r="E1247" s="21" t="s">
        <v>845</v>
      </c>
      <c r="F1247" s="21" t="s">
        <v>724</v>
      </c>
      <c r="G1247" s="21" t="s">
        <v>833</v>
      </c>
    </row>
    <row r="1248" customFormat="false" ht="15" hidden="false" customHeight="false" outlineLevel="0" collapsed="false">
      <c r="B1248" s="19" t="s">
        <v>2161</v>
      </c>
      <c r="C1248" s="20" t="n">
        <f aca="false">ROUND(3.53/FX,2)</f>
        <v>0.49</v>
      </c>
      <c r="D1248" s="21" t="s">
        <v>2162</v>
      </c>
      <c r="E1248" s="21" t="s">
        <v>707</v>
      </c>
      <c r="F1248" s="21" t="s">
        <v>724</v>
      </c>
      <c r="G1248" s="21" t="s">
        <v>833</v>
      </c>
    </row>
    <row r="1249" customFormat="false" ht="15" hidden="false" customHeight="false" outlineLevel="0" collapsed="false">
      <c r="B1249" s="19" t="s">
        <v>2163</v>
      </c>
      <c r="C1249" s="20" t="n">
        <f aca="false">ROUND(4.23/FX,2)</f>
        <v>0.59</v>
      </c>
      <c r="D1249" s="21" t="s">
        <v>2162</v>
      </c>
      <c r="E1249" s="21" t="s">
        <v>714</v>
      </c>
      <c r="F1249" s="21" t="s">
        <v>724</v>
      </c>
      <c r="G1249" s="21" t="s">
        <v>833</v>
      </c>
    </row>
    <row r="1250" customFormat="false" ht="15" hidden="false" customHeight="false" outlineLevel="0" collapsed="false">
      <c r="B1250" s="19" t="s">
        <v>2164</v>
      </c>
      <c r="C1250" s="20" t="n">
        <f aca="false">ROUND(2.12/FX,2)</f>
        <v>0.29</v>
      </c>
      <c r="D1250" s="21" t="s">
        <v>2162</v>
      </c>
      <c r="E1250" s="21" t="s">
        <v>716</v>
      </c>
      <c r="F1250" s="21" t="s">
        <v>724</v>
      </c>
      <c r="G1250" s="21" t="s">
        <v>833</v>
      </c>
    </row>
    <row r="1251" customFormat="false" ht="15" hidden="false" customHeight="false" outlineLevel="0" collapsed="false">
      <c r="B1251" s="19" t="s">
        <v>2165</v>
      </c>
      <c r="C1251" s="20" t="n">
        <f aca="false">ROUND(2.54/FX,2)</f>
        <v>0.35</v>
      </c>
      <c r="D1251" s="21" t="s">
        <v>2162</v>
      </c>
      <c r="E1251" s="21" t="s">
        <v>845</v>
      </c>
      <c r="F1251" s="21" t="s">
        <v>724</v>
      </c>
      <c r="G1251" s="21" t="s">
        <v>833</v>
      </c>
    </row>
    <row r="1252" customFormat="false" ht="15" hidden="false" customHeight="false" outlineLevel="0" collapsed="false">
      <c r="B1252" s="19" t="s">
        <v>2166</v>
      </c>
      <c r="C1252" s="20" t="n">
        <f aca="false">ROUND(2.21/FX,2)</f>
        <v>0.31</v>
      </c>
      <c r="D1252" s="21" t="s">
        <v>2167</v>
      </c>
      <c r="E1252" s="21" t="s">
        <v>707</v>
      </c>
      <c r="F1252" s="21" t="s">
        <v>724</v>
      </c>
      <c r="G1252" s="21" t="s">
        <v>833</v>
      </c>
    </row>
    <row r="1253" customFormat="false" ht="15" hidden="false" customHeight="false" outlineLevel="0" collapsed="false">
      <c r="B1253" s="19" t="s">
        <v>2168</v>
      </c>
      <c r="C1253" s="20" t="n">
        <f aca="false">ROUND(4.23/FX,2)</f>
        <v>0.59</v>
      </c>
      <c r="D1253" s="21" t="s">
        <v>2167</v>
      </c>
      <c r="E1253" s="21" t="s">
        <v>714</v>
      </c>
      <c r="F1253" s="21" t="s">
        <v>724</v>
      </c>
      <c r="G1253" s="21" t="s">
        <v>833</v>
      </c>
    </row>
    <row r="1254" customFormat="false" ht="15" hidden="false" customHeight="false" outlineLevel="0" collapsed="false">
      <c r="B1254" s="19" t="s">
        <v>2169</v>
      </c>
      <c r="C1254" s="20" t="n">
        <f aca="false">ROUND(2.14/FX,2)</f>
        <v>0.3</v>
      </c>
      <c r="D1254" s="21" t="s">
        <v>2167</v>
      </c>
      <c r="E1254" s="21" t="s">
        <v>716</v>
      </c>
      <c r="F1254" s="21" t="s">
        <v>724</v>
      </c>
      <c r="G1254" s="21" t="s">
        <v>833</v>
      </c>
    </row>
    <row r="1255" customFormat="false" ht="15" hidden="false" customHeight="false" outlineLevel="0" collapsed="false">
      <c r="B1255" s="19" t="s">
        <v>2170</v>
      </c>
      <c r="C1255" s="20" t="n">
        <f aca="false">ROUND(2.54/FX,2)</f>
        <v>0.35</v>
      </c>
      <c r="D1255" s="21" t="s">
        <v>2167</v>
      </c>
      <c r="E1255" s="21" t="s">
        <v>845</v>
      </c>
      <c r="F1255" s="21" t="s">
        <v>724</v>
      </c>
      <c r="G1255" s="21" t="s">
        <v>833</v>
      </c>
    </row>
    <row r="1256" customFormat="false" ht="15" hidden="false" customHeight="false" outlineLevel="0" collapsed="false">
      <c r="B1256" s="19" t="s">
        <v>2171</v>
      </c>
      <c r="C1256" s="20" t="n">
        <f aca="false">ROUND(2.81/FX,2)</f>
        <v>0.39</v>
      </c>
      <c r="D1256" s="21" t="s">
        <v>2172</v>
      </c>
      <c r="E1256" s="21" t="s">
        <v>707</v>
      </c>
      <c r="F1256" s="21" t="s">
        <v>724</v>
      </c>
      <c r="G1256" s="21" t="s">
        <v>833</v>
      </c>
    </row>
    <row r="1257" customFormat="false" ht="15" hidden="false" customHeight="false" outlineLevel="0" collapsed="false">
      <c r="B1257" s="19" t="s">
        <v>2173</v>
      </c>
      <c r="C1257" s="20" t="n">
        <f aca="false">ROUND(4.23/FX,2)</f>
        <v>0.59</v>
      </c>
      <c r="D1257" s="21" t="s">
        <v>2172</v>
      </c>
      <c r="E1257" s="21" t="s">
        <v>714</v>
      </c>
      <c r="F1257" s="21" t="s">
        <v>724</v>
      </c>
      <c r="G1257" s="21" t="s">
        <v>833</v>
      </c>
    </row>
    <row r="1258" customFormat="false" ht="15" hidden="false" customHeight="false" outlineLevel="0" collapsed="false">
      <c r="B1258" s="19" t="s">
        <v>2174</v>
      </c>
      <c r="C1258" s="20" t="n">
        <f aca="false">ROUND(2.15/FX,2)</f>
        <v>0.3</v>
      </c>
      <c r="D1258" s="21" t="s">
        <v>2172</v>
      </c>
      <c r="E1258" s="21" t="s">
        <v>716</v>
      </c>
      <c r="F1258" s="21" t="s">
        <v>724</v>
      </c>
      <c r="G1258" s="21" t="s">
        <v>833</v>
      </c>
    </row>
    <row r="1259" customFormat="false" ht="15" hidden="false" customHeight="false" outlineLevel="0" collapsed="false">
      <c r="B1259" s="19" t="s">
        <v>2175</v>
      </c>
      <c r="C1259" s="20" t="n">
        <f aca="false">ROUND(2.54/FX,2)</f>
        <v>0.35</v>
      </c>
      <c r="D1259" s="21" t="s">
        <v>2172</v>
      </c>
      <c r="E1259" s="21" t="s">
        <v>845</v>
      </c>
      <c r="F1259" s="21" t="s">
        <v>724</v>
      </c>
      <c r="G1259" s="21" t="s">
        <v>833</v>
      </c>
    </row>
    <row r="1260" customFormat="false" ht="15" hidden="false" customHeight="false" outlineLevel="0" collapsed="false">
      <c r="B1260" s="19" t="s">
        <v>2176</v>
      </c>
      <c r="C1260" s="20" t="n">
        <f aca="false">ROUND(2.21/FX,2)</f>
        <v>0.31</v>
      </c>
      <c r="D1260" s="21" t="s">
        <v>2177</v>
      </c>
      <c r="E1260" s="21" t="s">
        <v>707</v>
      </c>
      <c r="F1260" s="21" t="s">
        <v>724</v>
      </c>
      <c r="G1260" s="21" t="s">
        <v>833</v>
      </c>
    </row>
    <row r="1261" customFormat="false" ht="15" hidden="false" customHeight="false" outlineLevel="0" collapsed="false">
      <c r="B1261" s="19" t="s">
        <v>2178</v>
      </c>
      <c r="C1261" s="20" t="n">
        <f aca="false">ROUND(4.23/FX,2)</f>
        <v>0.59</v>
      </c>
      <c r="D1261" s="21" t="s">
        <v>2177</v>
      </c>
      <c r="E1261" s="21" t="s">
        <v>714</v>
      </c>
      <c r="F1261" s="21" t="s">
        <v>724</v>
      </c>
      <c r="G1261" s="21" t="s">
        <v>833</v>
      </c>
    </row>
    <row r="1262" customFormat="false" ht="15" hidden="false" customHeight="false" outlineLevel="0" collapsed="false">
      <c r="B1262" s="19" t="s">
        <v>2179</v>
      </c>
      <c r="C1262" s="20" t="n">
        <f aca="false">ROUND(2.21/FX,2)</f>
        <v>0.31</v>
      </c>
      <c r="D1262" s="21" t="s">
        <v>2177</v>
      </c>
      <c r="E1262" s="21" t="s">
        <v>716</v>
      </c>
      <c r="F1262" s="21" t="s">
        <v>724</v>
      </c>
      <c r="G1262" s="21" t="s">
        <v>833</v>
      </c>
    </row>
    <row r="1263" customFormat="false" ht="15" hidden="false" customHeight="false" outlineLevel="0" collapsed="false">
      <c r="B1263" s="19" t="s">
        <v>2180</v>
      </c>
      <c r="C1263" s="20" t="n">
        <f aca="false">ROUND(2.02/FX,2)</f>
        <v>0.28</v>
      </c>
      <c r="D1263" s="21" t="s">
        <v>2177</v>
      </c>
      <c r="E1263" s="21" t="s">
        <v>845</v>
      </c>
      <c r="F1263" s="21" t="s">
        <v>724</v>
      </c>
      <c r="G1263" s="21" t="s">
        <v>833</v>
      </c>
    </row>
    <row r="1264" customFormat="false" ht="15" hidden="false" customHeight="false" outlineLevel="0" collapsed="false">
      <c r="B1264" s="19" t="s">
        <v>2181</v>
      </c>
      <c r="C1264" s="20" t="n">
        <f aca="false">ROUND(2.81/FX,2)</f>
        <v>0.39</v>
      </c>
      <c r="D1264" s="21" t="s">
        <v>2182</v>
      </c>
      <c r="E1264" s="21" t="s">
        <v>707</v>
      </c>
      <c r="F1264" s="21" t="s">
        <v>724</v>
      </c>
      <c r="G1264" s="21" t="s">
        <v>833</v>
      </c>
    </row>
    <row r="1265" customFormat="false" ht="15" hidden="false" customHeight="false" outlineLevel="0" collapsed="false">
      <c r="B1265" s="19" t="s">
        <v>2183</v>
      </c>
      <c r="C1265" s="20" t="n">
        <f aca="false">ROUND(4.23/FX,2)</f>
        <v>0.59</v>
      </c>
      <c r="D1265" s="21" t="s">
        <v>2182</v>
      </c>
      <c r="E1265" s="21" t="s">
        <v>714</v>
      </c>
      <c r="F1265" s="21" t="s">
        <v>724</v>
      </c>
      <c r="G1265" s="21" t="s">
        <v>833</v>
      </c>
    </row>
    <row r="1266" customFormat="false" ht="15" hidden="false" customHeight="false" outlineLevel="0" collapsed="false">
      <c r="B1266" s="19" t="s">
        <v>2184</v>
      </c>
      <c r="C1266" s="20" t="n">
        <f aca="false">ROUND(2.28/FX,2)</f>
        <v>0.32</v>
      </c>
      <c r="D1266" s="21" t="s">
        <v>2182</v>
      </c>
      <c r="E1266" s="21" t="s">
        <v>716</v>
      </c>
      <c r="F1266" s="21" t="s">
        <v>724</v>
      </c>
      <c r="G1266" s="21" t="s">
        <v>833</v>
      </c>
    </row>
    <row r="1267" customFormat="false" ht="15" hidden="false" customHeight="false" outlineLevel="0" collapsed="false">
      <c r="B1267" s="19" t="s">
        <v>2185</v>
      </c>
      <c r="C1267" s="20" t="n">
        <f aca="false">ROUND(2.54/FX,2)</f>
        <v>0.35</v>
      </c>
      <c r="D1267" s="21" t="s">
        <v>2182</v>
      </c>
      <c r="E1267" s="21" t="s">
        <v>845</v>
      </c>
      <c r="F1267" s="21" t="s">
        <v>724</v>
      </c>
      <c r="G1267" s="21" t="s">
        <v>833</v>
      </c>
    </row>
    <row r="1268" customFormat="false" ht="15" hidden="false" customHeight="false" outlineLevel="0" collapsed="false">
      <c r="B1268" s="19" t="s">
        <v>2186</v>
      </c>
      <c r="C1268" s="20" t="n">
        <f aca="false">ROUND(4.42/FX,2)</f>
        <v>0.61</v>
      </c>
      <c r="D1268" s="21" t="s">
        <v>2187</v>
      </c>
      <c r="E1268" s="21" t="s">
        <v>707</v>
      </c>
      <c r="F1268" s="21" t="s">
        <v>724</v>
      </c>
      <c r="G1268" s="21" t="s">
        <v>833</v>
      </c>
    </row>
    <row r="1269" customFormat="false" ht="15" hidden="false" customHeight="false" outlineLevel="0" collapsed="false">
      <c r="B1269" s="19" t="s">
        <v>2188</v>
      </c>
      <c r="C1269" s="20" t="n">
        <f aca="false">ROUND(4.23/FX,2)</f>
        <v>0.59</v>
      </c>
      <c r="D1269" s="21" t="s">
        <v>2187</v>
      </c>
      <c r="E1269" s="21" t="s">
        <v>714</v>
      </c>
      <c r="F1269" s="21" t="s">
        <v>724</v>
      </c>
      <c r="G1269" s="21" t="s">
        <v>833</v>
      </c>
    </row>
    <row r="1270" customFormat="false" ht="15" hidden="false" customHeight="false" outlineLevel="0" collapsed="false">
      <c r="B1270" s="19" t="s">
        <v>2189</v>
      </c>
      <c r="C1270" s="20" t="n">
        <f aca="false">ROUND(2.67/FX,2)</f>
        <v>0.37</v>
      </c>
      <c r="D1270" s="21" t="s">
        <v>2187</v>
      </c>
      <c r="E1270" s="21" t="s">
        <v>716</v>
      </c>
      <c r="F1270" s="21" t="s">
        <v>724</v>
      </c>
      <c r="G1270" s="21" t="s">
        <v>833</v>
      </c>
    </row>
    <row r="1271" customFormat="false" ht="15" hidden="false" customHeight="false" outlineLevel="0" collapsed="false">
      <c r="B1271" s="19" t="s">
        <v>2190</v>
      </c>
      <c r="C1271" s="20" t="n">
        <f aca="false">ROUND(2.54/FX,2)</f>
        <v>0.35</v>
      </c>
      <c r="D1271" s="21" t="s">
        <v>2187</v>
      </c>
      <c r="E1271" s="21" t="s">
        <v>845</v>
      </c>
      <c r="F1271" s="21" t="s">
        <v>724</v>
      </c>
      <c r="G1271" s="21" t="s">
        <v>833</v>
      </c>
    </row>
    <row r="1272" customFormat="false" ht="15" hidden="false" customHeight="false" outlineLevel="0" collapsed="false">
      <c r="B1272" s="19" t="s">
        <v>2191</v>
      </c>
      <c r="C1272" s="20" t="n">
        <f aca="false">ROUND(2.81/FX,2)</f>
        <v>0.39</v>
      </c>
      <c r="D1272" s="21" t="s">
        <v>2192</v>
      </c>
      <c r="E1272" s="21" t="s">
        <v>707</v>
      </c>
      <c r="F1272" s="21" t="s">
        <v>724</v>
      </c>
      <c r="G1272" s="21" t="s">
        <v>833</v>
      </c>
    </row>
    <row r="1273" customFormat="false" ht="15" hidden="false" customHeight="false" outlineLevel="0" collapsed="false">
      <c r="B1273" s="19" t="s">
        <v>2193</v>
      </c>
      <c r="C1273" s="20" t="n">
        <f aca="false">ROUND(4.23/FX,2)</f>
        <v>0.59</v>
      </c>
      <c r="D1273" s="21" t="s">
        <v>2192</v>
      </c>
      <c r="E1273" s="21" t="s">
        <v>714</v>
      </c>
      <c r="F1273" s="21" t="s">
        <v>724</v>
      </c>
      <c r="G1273" s="21" t="s">
        <v>833</v>
      </c>
    </row>
    <row r="1274" customFormat="false" ht="15" hidden="false" customHeight="false" outlineLevel="0" collapsed="false">
      <c r="B1274" s="19" t="s">
        <v>2194</v>
      </c>
      <c r="C1274" s="20" t="n">
        <f aca="false">ROUND(2.25/FX,2)</f>
        <v>0.31</v>
      </c>
      <c r="D1274" s="21" t="s">
        <v>2192</v>
      </c>
      <c r="E1274" s="21" t="s">
        <v>716</v>
      </c>
      <c r="F1274" s="21" t="s">
        <v>724</v>
      </c>
      <c r="G1274" s="21" t="s">
        <v>833</v>
      </c>
    </row>
    <row r="1275" customFormat="false" ht="15" hidden="false" customHeight="false" outlineLevel="0" collapsed="false">
      <c r="B1275" s="19" t="s">
        <v>2195</v>
      </c>
      <c r="C1275" s="20" t="n">
        <f aca="false">ROUND(2.54/FX,2)</f>
        <v>0.35</v>
      </c>
      <c r="D1275" s="21" t="s">
        <v>2192</v>
      </c>
      <c r="E1275" s="21" t="s">
        <v>845</v>
      </c>
      <c r="F1275" s="21" t="s">
        <v>724</v>
      </c>
      <c r="G1275" s="21" t="s">
        <v>833</v>
      </c>
    </row>
    <row r="1276" customFormat="false" ht="15" hidden="false" customHeight="false" outlineLevel="0" collapsed="false">
      <c r="B1276" s="19" t="s">
        <v>2196</v>
      </c>
      <c r="C1276" s="20" t="n">
        <f aca="false">ROUND(2.81/FX,2)</f>
        <v>0.39</v>
      </c>
      <c r="D1276" s="21" t="s">
        <v>2197</v>
      </c>
      <c r="E1276" s="21" t="s">
        <v>707</v>
      </c>
      <c r="F1276" s="21" t="s">
        <v>724</v>
      </c>
      <c r="G1276" s="21" t="s">
        <v>833</v>
      </c>
    </row>
    <row r="1277" customFormat="false" ht="15" hidden="false" customHeight="false" outlineLevel="0" collapsed="false">
      <c r="B1277" s="19" t="s">
        <v>2198</v>
      </c>
      <c r="C1277" s="20" t="n">
        <f aca="false">ROUND(4.21/FX,2)</f>
        <v>0.58</v>
      </c>
      <c r="D1277" s="21" t="s">
        <v>2197</v>
      </c>
      <c r="E1277" s="21" t="s">
        <v>714</v>
      </c>
      <c r="F1277" s="21" t="s">
        <v>724</v>
      </c>
      <c r="G1277" s="21" t="s">
        <v>833</v>
      </c>
    </row>
    <row r="1278" customFormat="false" ht="15" hidden="false" customHeight="false" outlineLevel="0" collapsed="false">
      <c r="B1278" s="19" t="s">
        <v>2199</v>
      </c>
      <c r="C1278" s="20" t="n">
        <f aca="false">ROUND(2.73/FX,2)</f>
        <v>0.38</v>
      </c>
      <c r="D1278" s="21" t="s">
        <v>2197</v>
      </c>
      <c r="E1278" s="21" t="s">
        <v>716</v>
      </c>
      <c r="F1278" s="21" t="s">
        <v>724</v>
      </c>
      <c r="G1278" s="21" t="s">
        <v>833</v>
      </c>
    </row>
    <row r="1279" customFormat="false" ht="15" hidden="false" customHeight="false" outlineLevel="0" collapsed="false">
      <c r="B1279" s="19" t="s">
        <v>2200</v>
      </c>
      <c r="C1279" s="20" t="n">
        <f aca="false">ROUND(2.54/FX,2)</f>
        <v>0.35</v>
      </c>
      <c r="D1279" s="21" t="s">
        <v>2197</v>
      </c>
      <c r="E1279" s="21" t="s">
        <v>845</v>
      </c>
      <c r="F1279" s="21" t="s">
        <v>724</v>
      </c>
      <c r="G1279" s="21" t="s">
        <v>833</v>
      </c>
    </row>
    <row r="1280" customFormat="false" ht="15" hidden="false" customHeight="false" outlineLevel="0" collapsed="false">
      <c r="B1280" s="19" t="s">
        <v>2201</v>
      </c>
      <c r="C1280" s="20" t="n">
        <f aca="false">ROUND(2.81/FX,2)</f>
        <v>0.39</v>
      </c>
      <c r="D1280" s="21" t="s">
        <v>2202</v>
      </c>
      <c r="E1280" s="21" t="s">
        <v>707</v>
      </c>
      <c r="F1280" s="21" t="s">
        <v>724</v>
      </c>
      <c r="G1280" s="21" t="s">
        <v>833</v>
      </c>
    </row>
    <row r="1281" customFormat="false" ht="15" hidden="false" customHeight="false" outlineLevel="0" collapsed="false">
      <c r="B1281" s="19" t="s">
        <v>2203</v>
      </c>
      <c r="C1281" s="20" t="n">
        <f aca="false">ROUND(4.23/FX,2)</f>
        <v>0.59</v>
      </c>
      <c r="D1281" s="21" t="s">
        <v>2202</v>
      </c>
      <c r="E1281" s="21" t="s">
        <v>714</v>
      </c>
      <c r="F1281" s="21" t="s">
        <v>724</v>
      </c>
      <c r="G1281" s="21" t="s">
        <v>833</v>
      </c>
    </row>
    <row r="1282" customFormat="false" ht="15" hidden="false" customHeight="false" outlineLevel="0" collapsed="false">
      <c r="B1282" s="19" t="s">
        <v>2204</v>
      </c>
      <c r="C1282" s="20" t="n">
        <f aca="false">ROUND(2.28/FX,2)</f>
        <v>0.32</v>
      </c>
      <c r="D1282" s="21" t="s">
        <v>2202</v>
      </c>
      <c r="E1282" s="21" t="s">
        <v>716</v>
      </c>
      <c r="F1282" s="21" t="s">
        <v>724</v>
      </c>
      <c r="G1282" s="21" t="s">
        <v>833</v>
      </c>
    </row>
    <row r="1283" customFormat="false" ht="15" hidden="false" customHeight="false" outlineLevel="0" collapsed="false">
      <c r="B1283" s="19" t="s">
        <v>2205</v>
      </c>
      <c r="C1283" s="20" t="n">
        <f aca="false">ROUND(2.54/FX,2)</f>
        <v>0.35</v>
      </c>
      <c r="D1283" s="21" t="s">
        <v>2202</v>
      </c>
      <c r="E1283" s="21" t="s">
        <v>845</v>
      </c>
      <c r="F1283" s="21" t="s">
        <v>724</v>
      </c>
      <c r="G1283" s="21" t="s">
        <v>833</v>
      </c>
    </row>
    <row r="1284" customFormat="false" ht="15" hidden="false" customHeight="false" outlineLevel="0" collapsed="false">
      <c r="B1284" s="19" t="s">
        <v>2206</v>
      </c>
      <c r="C1284" s="20" t="n">
        <f aca="false">ROUND(4.55/FX,2)</f>
        <v>0.63</v>
      </c>
      <c r="D1284" s="21" t="s">
        <v>2207</v>
      </c>
      <c r="E1284" s="21" t="s">
        <v>707</v>
      </c>
      <c r="F1284" s="21" t="s">
        <v>724</v>
      </c>
      <c r="G1284" s="21" t="s">
        <v>833</v>
      </c>
    </row>
    <row r="1285" customFormat="false" ht="15" hidden="false" customHeight="false" outlineLevel="0" collapsed="false">
      <c r="B1285" s="19" t="s">
        <v>2208</v>
      </c>
      <c r="C1285" s="20" t="n">
        <f aca="false">ROUND(4.23/FX,2)</f>
        <v>0.59</v>
      </c>
      <c r="D1285" s="21" t="s">
        <v>2207</v>
      </c>
      <c r="E1285" s="21" t="s">
        <v>714</v>
      </c>
      <c r="F1285" s="21" t="s">
        <v>724</v>
      </c>
      <c r="G1285" s="21" t="s">
        <v>833</v>
      </c>
    </row>
    <row r="1286" customFormat="false" ht="15" hidden="false" customHeight="false" outlineLevel="0" collapsed="false">
      <c r="B1286" s="19" t="s">
        <v>2209</v>
      </c>
      <c r="C1286" s="20" t="n">
        <f aca="false">ROUND(2.28/FX,2)</f>
        <v>0.32</v>
      </c>
      <c r="D1286" s="21" t="s">
        <v>2207</v>
      </c>
      <c r="E1286" s="21" t="s">
        <v>716</v>
      </c>
      <c r="F1286" s="21" t="s">
        <v>724</v>
      </c>
      <c r="G1286" s="21" t="s">
        <v>833</v>
      </c>
    </row>
    <row r="1287" customFormat="false" ht="15" hidden="false" customHeight="false" outlineLevel="0" collapsed="false">
      <c r="B1287" s="19" t="s">
        <v>2210</v>
      </c>
      <c r="C1287" s="20" t="n">
        <f aca="false">ROUND(2.54/FX,2)</f>
        <v>0.35</v>
      </c>
      <c r="D1287" s="21" t="s">
        <v>2207</v>
      </c>
      <c r="E1287" s="21" t="s">
        <v>845</v>
      </c>
      <c r="F1287" s="21" t="s">
        <v>724</v>
      </c>
      <c r="G1287" s="21" t="s">
        <v>833</v>
      </c>
    </row>
    <row r="1288" customFormat="false" ht="15" hidden="false" customHeight="false" outlineLevel="0" collapsed="false">
      <c r="B1288" s="19" t="s">
        <v>2211</v>
      </c>
      <c r="C1288" s="20" t="n">
        <f aca="false">ROUND(2.99/FX,2)</f>
        <v>0.42</v>
      </c>
      <c r="D1288" s="21" t="s">
        <v>2212</v>
      </c>
      <c r="E1288" s="21" t="s">
        <v>707</v>
      </c>
      <c r="F1288" s="21" t="s">
        <v>724</v>
      </c>
      <c r="G1288" s="21" t="s">
        <v>833</v>
      </c>
    </row>
    <row r="1289" customFormat="false" ht="15" hidden="false" customHeight="false" outlineLevel="0" collapsed="false">
      <c r="B1289" s="19" t="s">
        <v>2213</v>
      </c>
      <c r="C1289" s="20" t="n">
        <f aca="false">ROUND(4.55/FX,2)</f>
        <v>0.63</v>
      </c>
      <c r="D1289" s="21" t="s">
        <v>2212</v>
      </c>
      <c r="E1289" s="21" t="s">
        <v>714</v>
      </c>
      <c r="F1289" s="21" t="s">
        <v>724</v>
      </c>
      <c r="G1289" s="21" t="s">
        <v>833</v>
      </c>
    </row>
    <row r="1290" customFormat="false" ht="15" hidden="false" customHeight="false" outlineLevel="0" collapsed="false">
      <c r="B1290" s="19" t="s">
        <v>2214</v>
      </c>
      <c r="C1290" s="20" t="n">
        <f aca="false">ROUND(2.31/FX,2)</f>
        <v>0.32</v>
      </c>
      <c r="D1290" s="21" t="s">
        <v>2212</v>
      </c>
      <c r="E1290" s="21" t="s">
        <v>716</v>
      </c>
      <c r="F1290" s="21" t="s">
        <v>724</v>
      </c>
      <c r="G1290" s="21" t="s">
        <v>833</v>
      </c>
    </row>
    <row r="1291" customFormat="false" ht="15" hidden="false" customHeight="false" outlineLevel="0" collapsed="false">
      <c r="B1291" s="19" t="s">
        <v>2215</v>
      </c>
      <c r="C1291" s="20" t="n">
        <f aca="false">ROUND(2.54/FX,2)</f>
        <v>0.35</v>
      </c>
      <c r="D1291" s="21" t="s">
        <v>2212</v>
      </c>
      <c r="E1291" s="21" t="s">
        <v>845</v>
      </c>
      <c r="F1291" s="21" t="s">
        <v>724</v>
      </c>
      <c r="G1291" s="21" t="s">
        <v>833</v>
      </c>
    </row>
    <row r="1292" customFormat="false" ht="15" hidden="false" customHeight="false" outlineLevel="0" collapsed="false">
      <c r="B1292" s="19" t="s">
        <v>2216</v>
      </c>
      <c r="C1292" s="20" t="n">
        <f aca="false">ROUND(2.99/FX,2)</f>
        <v>0.42</v>
      </c>
      <c r="D1292" s="21" t="s">
        <v>2217</v>
      </c>
      <c r="E1292" s="21" t="s">
        <v>707</v>
      </c>
      <c r="F1292" s="21" t="s">
        <v>724</v>
      </c>
      <c r="G1292" s="21" t="s">
        <v>833</v>
      </c>
    </row>
    <row r="1293" customFormat="false" ht="15" hidden="false" customHeight="false" outlineLevel="0" collapsed="false">
      <c r="B1293" s="19" t="s">
        <v>2218</v>
      </c>
      <c r="C1293" s="20" t="n">
        <f aca="false">ROUND(4.55/FX,2)</f>
        <v>0.63</v>
      </c>
      <c r="D1293" s="21" t="s">
        <v>2217</v>
      </c>
      <c r="E1293" s="21" t="s">
        <v>714</v>
      </c>
      <c r="F1293" s="21" t="s">
        <v>724</v>
      </c>
      <c r="G1293" s="21" t="s">
        <v>833</v>
      </c>
    </row>
    <row r="1294" customFormat="false" ht="15" hidden="false" customHeight="false" outlineLevel="0" collapsed="false">
      <c r="B1294" s="19" t="s">
        <v>2219</v>
      </c>
      <c r="C1294" s="20" t="n">
        <f aca="false">ROUND(2.28/FX,2)</f>
        <v>0.32</v>
      </c>
      <c r="D1294" s="21" t="s">
        <v>2217</v>
      </c>
      <c r="E1294" s="21" t="s">
        <v>716</v>
      </c>
      <c r="F1294" s="21" t="s">
        <v>724</v>
      </c>
      <c r="G1294" s="21" t="s">
        <v>833</v>
      </c>
    </row>
    <row r="1295" customFormat="false" ht="15" hidden="false" customHeight="false" outlineLevel="0" collapsed="false">
      <c r="B1295" s="19" t="s">
        <v>2220</v>
      </c>
      <c r="C1295" s="20" t="n">
        <f aca="false">ROUND(2.54/FX,2)</f>
        <v>0.35</v>
      </c>
      <c r="D1295" s="21" t="s">
        <v>2217</v>
      </c>
      <c r="E1295" s="21" t="s">
        <v>845</v>
      </c>
      <c r="F1295" s="21" t="s">
        <v>724</v>
      </c>
      <c r="G1295" s="21" t="s">
        <v>833</v>
      </c>
    </row>
    <row r="1296" customFormat="false" ht="15" hidden="false" customHeight="false" outlineLevel="0" collapsed="false">
      <c r="B1296" s="19" t="s">
        <v>2221</v>
      </c>
      <c r="C1296" s="20" t="n">
        <f aca="false">ROUND(3.9/FX,2)</f>
        <v>0.54</v>
      </c>
      <c r="D1296" s="21" t="s">
        <v>2222</v>
      </c>
      <c r="E1296" s="21" t="s">
        <v>707</v>
      </c>
      <c r="F1296" s="21" t="s">
        <v>724</v>
      </c>
      <c r="G1296" s="21" t="s">
        <v>833</v>
      </c>
    </row>
    <row r="1297" customFormat="false" ht="15" hidden="false" customHeight="false" outlineLevel="0" collapsed="false">
      <c r="B1297" s="19" t="s">
        <v>2223</v>
      </c>
      <c r="C1297" s="20" t="n">
        <f aca="false">ROUND(4.55/FX,2)</f>
        <v>0.63</v>
      </c>
      <c r="D1297" s="21" t="s">
        <v>2222</v>
      </c>
      <c r="E1297" s="21" t="s">
        <v>714</v>
      </c>
      <c r="F1297" s="21" t="s">
        <v>724</v>
      </c>
      <c r="G1297" s="21" t="s">
        <v>833</v>
      </c>
    </row>
    <row r="1298" customFormat="false" ht="15" hidden="false" customHeight="false" outlineLevel="0" collapsed="false">
      <c r="B1298" s="19" t="s">
        <v>2224</v>
      </c>
      <c r="C1298" s="20" t="n">
        <f aca="false">ROUND(3.9/FX,2)</f>
        <v>0.54</v>
      </c>
      <c r="D1298" s="21" t="s">
        <v>2222</v>
      </c>
      <c r="E1298" s="21" t="s">
        <v>716</v>
      </c>
      <c r="F1298" s="21" t="s">
        <v>724</v>
      </c>
      <c r="G1298" s="21" t="s">
        <v>833</v>
      </c>
    </row>
    <row r="1299" customFormat="false" ht="15" hidden="false" customHeight="false" outlineLevel="0" collapsed="false">
      <c r="B1299" s="19" t="s">
        <v>2225</v>
      </c>
      <c r="C1299" s="20" t="n">
        <f aca="false">ROUND(2.54/FX,2)</f>
        <v>0.35</v>
      </c>
      <c r="D1299" s="21" t="s">
        <v>2222</v>
      </c>
      <c r="E1299" s="21" t="s">
        <v>845</v>
      </c>
      <c r="F1299" s="21" t="s">
        <v>724</v>
      </c>
      <c r="G1299" s="21" t="s">
        <v>833</v>
      </c>
    </row>
    <row r="1300" customFormat="false" ht="15" hidden="false" customHeight="false" outlineLevel="0" collapsed="false">
      <c r="B1300" s="19" t="s">
        <v>2226</v>
      </c>
      <c r="C1300" s="20" t="n">
        <f aca="false">ROUND(4.07/FX,2)</f>
        <v>0.57</v>
      </c>
      <c r="D1300" s="21" t="s">
        <v>2227</v>
      </c>
      <c r="E1300" s="21" t="s">
        <v>707</v>
      </c>
      <c r="F1300" s="21" t="s">
        <v>724</v>
      </c>
      <c r="G1300" s="21" t="s">
        <v>833</v>
      </c>
    </row>
    <row r="1301" customFormat="false" ht="15" hidden="false" customHeight="false" outlineLevel="0" collapsed="false">
      <c r="B1301" s="19" t="s">
        <v>2228</v>
      </c>
      <c r="C1301" s="20" t="n">
        <f aca="false">ROUND(7.15/FX,2)</f>
        <v>0.99</v>
      </c>
      <c r="D1301" s="21" t="s">
        <v>2227</v>
      </c>
      <c r="E1301" s="21" t="s">
        <v>714</v>
      </c>
      <c r="F1301" s="21" t="s">
        <v>724</v>
      </c>
      <c r="G1301" s="21" t="s">
        <v>833</v>
      </c>
    </row>
    <row r="1302" customFormat="false" ht="15" hidden="false" customHeight="false" outlineLevel="0" collapsed="false">
      <c r="B1302" s="19" t="s">
        <v>2229</v>
      </c>
      <c r="C1302" s="20" t="n">
        <f aca="false">ROUND(2.45/FX,2)</f>
        <v>0.34</v>
      </c>
      <c r="D1302" s="21" t="s">
        <v>2227</v>
      </c>
      <c r="E1302" s="21" t="s">
        <v>716</v>
      </c>
      <c r="F1302" s="21" t="s">
        <v>724</v>
      </c>
      <c r="G1302" s="21" t="s">
        <v>833</v>
      </c>
    </row>
    <row r="1303" customFormat="false" ht="15" hidden="false" customHeight="false" outlineLevel="0" collapsed="false">
      <c r="B1303" s="19" t="s">
        <v>2230</v>
      </c>
      <c r="C1303" s="20" t="n">
        <f aca="false">ROUND(2.54/FX,2)</f>
        <v>0.35</v>
      </c>
      <c r="D1303" s="21" t="s">
        <v>2227</v>
      </c>
      <c r="E1303" s="21" t="s">
        <v>845</v>
      </c>
      <c r="F1303" s="21" t="s">
        <v>724</v>
      </c>
      <c r="G1303" s="21" t="s">
        <v>833</v>
      </c>
    </row>
    <row r="1304" customFormat="false" ht="15" hidden="false" customHeight="false" outlineLevel="0" collapsed="false">
      <c r="B1304" s="19" t="s">
        <v>2231</v>
      </c>
      <c r="C1304" s="20" t="n">
        <f aca="false">ROUND(2.47/FX,2)</f>
        <v>0.34</v>
      </c>
      <c r="D1304" s="21" t="s">
        <v>2232</v>
      </c>
      <c r="E1304" s="21" t="s">
        <v>707</v>
      </c>
      <c r="F1304" s="21" t="s">
        <v>724</v>
      </c>
      <c r="G1304" s="21" t="s">
        <v>833</v>
      </c>
    </row>
    <row r="1305" customFormat="false" ht="15" hidden="false" customHeight="false" outlineLevel="0" collapsed="false">
      <c r="B1305" s="19" t="s">
        <v>2233</v>
      </c>
      <c r="C1305" s="20" t="n">
        <f aca="false">ROUND(4.55/FX,2)</f>
        <v>0.63</v>
      </c>
      <c r="D1305" s="21" t="s">
        <v>2232</v>
      </c>
      <c r="E1305" s="21" t="s">
        <v>714</v>
      </c>
      <c r="F1305" s="21" t="s">
        <v>724</v>
      </c>
      <c r="G1305" s="21" t="s">
        <v>833</v>
      </c>
    </row>
    <row r="1306" customFormat="false" ht="15" hidden="false" customHeight="false" outlineLevel="0" collapsed="false">
      <c r="B1306" s="19" t="s">
        <v>2234</v>
      </c>
      <c r="C1306" s="20" t="n">
        <f aca="false">ROUND(2.86/FX,2)</f>
        <v>0.4</v>
      </c>
      <c r="D1306" s="21" t="s">
        <v>2232</v>
      </c>
      <c r="E1306" s="21" t="s">
        <v>716</v>
      </c>
      <c r="F1306" s="21" t="s">
        <v>724</v>
      </c>
      <c r="G1306" s="21" t="s">
        <v>833</v>
      </c>
    </row>
    <row r="1307" customFormat="false" ht="15" hidden="false" customHeight="false" outlineLevel="0" collapsed="false">
      <c r="B1307" s="19" t="s">
        <v>2235</v>
      </c>
      <c r="C1307" s="20" t="n">
        <f aca="false">ROUND(2.54/FX,2)</f>
        <v>0.35</v>
      </c>
      <c r="D1307" s="21" t="s">
        <v>2232</v>
      </c>
      <c r="E1307" s="21" t="s">
        <v>845</v>
      </c>
      <c r="F1307" s="21" t="s">
        <v>724</v>
      </c>
      <c r="G1307" s="21" t="s">
        <v>833</v>
      </c>
    </row>
    <row r="1308" customFormat="false" ht="15" hidden="false" customHeight="false" outlineLevel="0" collapsed="false">
      <c r="B1308" s="19" t="s">
        <v>2236</v>
      </c>
      <c r="C1308" s="20" t="n">
        <f aca="false">ROUND(4.12/FX,2)</f>
        <v>0.57</v>
      </c>
      <c r="D1308" s="21" t="s">
        <v>2237</v>
      </c>
      <c r="E1308" s="21" t="s">
        <v>707</v>
      </c>
      <c r="F1308" s="21" t="s">
        <v>724</v>
      </c>
      <c r="G1308" s="21" t="s">
        <v>833</v>
      </c>
    </row>
    <row r="1309" customFormat="false" ht="15" hidden="false" customHeight="false" outlineLevel="0" collapsed="false">
      <c r="B1309" s="19" t="s">
        <v>2238</v>
      </c>
      <c r="C1309" s="20" t="n">
        <f aca="false">ROUND(4.55/FX,2)</f>
        <v>0.63</v>
      </c>
      <c r="D1309" s="21" t="s">
        <v>2237</v>
      </c>
      <c r="E1309" s="21" t="s">
        <v>714</v>
      </c>
      <c r="F1309" s="21" t="s">
        <v>724</v>
      </c>
      <c r="G1309" s="21" t="s">
        <v>833</v>
      </c>
    </row>
    <row r="1310" customFormat="false" ht="15" hidden="false" customHeight="false" outlineLevel="0" collapsed="false">
      <c r="B1310" s="19" t="s">
        <v>2239</v>
      </c>
      <c r="C1310" s="20" t="n">
        <f aca="false">ROUND(2.47/FX,2)</f>
        <v>0.34</v>
      </c>
      <c r="D1310" s="21" t="s">
        <v>2237</v>
      </c>
      <c r="E1310" s="21" t="s">
        <v>716</v>
      </c>
      <c r="F1310" s="21" t="s">
        <v>724</v>
      </c>
      <c r="G1310" s="21" t="s">
        <v>833</v>
      </c>
    </row>
    <row r="1311" customFormat="false" ht="15" hidden="false" customHeight="false" outlineLevel="0" collapsed="false">
      <c r="B1311" s="19" t="s">
        <v>2240</v>
      </c>
      <c r="C1311" s="20" t="n">
        <f aca="false">ROUND(2.54/FX,2)</f>
        <v>0.35</v>
      </c>
      <c r="D1311" s="21" t="s">
        <v>2237</v>
      </c>
      <c r="E1311" s="21" t="s">
        <v>845</v>
      </c>
      <c r="F1311" s="21" t="s">
        <v>724</v>
      </c>
      <c r="G1311" s="21" t="s">
        <v>833</v>
      </c>
    </row>
    <row r="1312" customFormat="false" ht="15" hidden="false" customHeight="false" outlineLevel="0" collapsed="false">
      <c r="B1312" s="19" t="s">
        <v>2241</v>
      </c>
      <c r="C1312" s="20" t="n">
        <f aca="false">ROUND(4.75/FX,2)</f>
        <v>0.66</v>
      </c>
      <c r="D1312" s="21" t="s">
        <v>2242</v>
      </c>
      <c r="E1312" s="21" t="s">
        <v>707</v>
      </c>
      <c r="F1312" s="21" t="s">
        <v>724</v>
      </c>
      <c r="G1312" s="21" t="s">
        <v>833</v>
      </c>
    </row>
    <row r="1313" customFormat="false" ht="15" hidden="false" customHeight="false" outlineLevel="0" collapsed="false">
      <c r="B1313" s="19" t="s">
        <v>2243</v>
      </c>
      <c r="C1313" s="20" t="n">
        <f aca="false">ROUND(7.22/FX,2)</f>
        <v>1</v>
      </c>
      <c r="D1313" s="21" t="s">
        <v>2242</v>
      </c>
      <c r="E1313" s="21" t="s">
        <v>714</v>
      </c>
      <c r="F1313" s="21" t="s">
        <v>724</v>
      </c>
      <c r="G1313" s="21" t="s">
        <v>833</v>
      </c>
    </row>
    <row r="1314" customFormat="false" ht="15" hidden="false" customHeight="false" outlineLevel="0" collapsed="false">
      <c r="B1314" s="19" t="s">
        <v>2244</v>
      </c>
      <c r="C1314" s="20" t="n">
        <f aca="false">ROUND(2.47/FX,2)</f>
        <v>0.34</v>
      </c>
      <c r="D1314" s="21" t="s">
        <v>2242</v>
      </c>
      <c r="E1314" s="21" t="s">
        <v>716</v>
      </c>
      <c r="F1314" s="21" t="s">
        <v>724</v>
      </c>
      <c r="G1314" s="21" t="s">
        <v>833</v>
      </c>
    </row>
    <row r="1315" customFormat="false" ht="15" hidden="false" customHeight="false" outlineLevel="0" collapsed="false">
      <c r="B1315" s="19" t="s">
        <v>2245</v>
      </c>
      <c r="C1315" s="20" t="n">
        <f aca="false">ROUND(3.06/FX,2)</f>
        <v>0.43</v>
      </c>
      <c r="D1315" s="21" t="s">
        <v>2242</v>
      </c>
      <c r="E1315" s="21" t="s">
        <v>2246</v>
      </c>
      <c r="F1315" s="21" t="s">
        <v>724</v>
      </c>
      <c r="G1315" s="21" t="s">
        <v>833</v>
      </c>
    </row>
    <row r="1316" customFormat="false" ht="15" hidden="false" customHeight="false" outlineLevel="0" collapsed="false">
      <c r="B1316" s="19" t="s">
        <v>2247</v>
      </c>
      <c r="C1316" s="20" t="n">
        <f aca="false">ROUND(2.99/FX,2)</f>
        <v>0.42</v>
      </c>
      <c r="D1316" s="21" t="s">
        <v>2242</v>
      </c>
      <c r="E1316" s="21" t="s">
        <v>719</v>
      </c>
      <c r="F1316" s="21" t="s">
        <v>724</v>
      </c>
      <c r="G1316" s="21" t="s">
        <v>833</v>
      </c>
    </row>
    <row r="1317" customFormat="false" ht="15" hidden="false" customHeight="false" outlineLevel="0" collapsed="false">
      <c r="B1317" s="19" t="s">
        <v>2248</v>
      </c>
      <c r="C1317" s="20" t="n">
        <f aca="false">ROUND(4.75/FX,2)</f>
        <v>0.66</v>
      </c>
      <c r="D1317" s="21" t="s">
        <v>2249</v>
      </c>
      <c r="E1317" s="21" t="s">
        <v>707</v>
      </c>
      <c r="F1317" s="21" t="s">
        <v>724</v>
      </c>
      <c r="G1317" s="21" t="s">
        <v>833</v>
      </c>
    </row>
    <row r="1318" customFormat="false" ht="15" hidden="false" customHeight="false" outlineLevel="0" collapsed="false">
      <c r="B1318" s="19" t="s">
        <v>2250</v>
      </c>
      <c r="C1318" s="20" t="n">
        <f aca="false">ROUND(4.55/FX,2)</f>
        <v>0.63</v>
      </c>
      <c r="D1318" s="21" t="s">
        <v>2249</v>
      </c>
      <c r="E1318" s="21" t="s">
        <v>714</v>
      </c>
      <c r="F1318" s="21" t="s">
        <v>724</v>
      </c>
      <c r="G1318" s="21" t="s">
        <v>833</v>
      </c>
    </row>
    <row r="1319" customFormat="false" ht="15" hidden="false" customHeight="false" outlineLevel="0" collapsed="false">
      <c r="B1319" s="19" t="s">
        <v>2251</v>
      </c>
      <c r="C1319" s="20" t="n">
        <f aca="false">ROUND(2.86/FX,2)</f>
        <v>0.4</v>
      </c>
      <c r="D1319" s="21" t="s">
        <v>2249</v>
      </c>
      <c r="E1319" s="21" t="s">
        <v>716</v>
      </c>
      <c r="F1319" s="21" t="s">
        <v>724</v>
      </c>
      <c r="G1319" s="21" t="s">
        <v>833</v>
      </c>
    </row>
    <row r="1320" customFormat="false" ht="15" hidden="false" customHeight="false" outlineLevel="0" collapsed="false">
      <c r="B1320" s="19" t="s">
        <v>2252</v>
      </c>
      <c r="C1320" s="20" t="n">
        <f aca="false">ROUND(1.56/FX,2)</f>
        <v>0.22</v>
      </c>
      <c r="D1320" s="21" t="s">
        <v>2249</v>
      </c>
      <c r="E1320" s="21" t="s">
        <v>2246</v>
      </c>
      <c r="F1320" s="21" t="s">
        <v>724</v>
      </c>
      <c r="G1320" s="21" t="s">
        <v>833</v>
      </c>
    </row>
    <row r="1321" customFormat="false" ht="15" hidden="false" customHeight="false" outlineLevel="0" collapsed="false">
      <c r="B1321" s="19" t="s">
        <v>2253</v>
      </c>
      <c r="C1321" s="20" t="n">
        <f aca="false">ROUND(2.99/FX,2)</f>
        <v>0.42</v>
      </c>
      <c r="D1321" s="21" t="s">
        <v>2249</v>
      </c>
      <c r="E1321" s="21" t="s">
        <v>719</v>
      </c>
      <c r="F1321" s="21" t="s">
        <v>724</v>
      </c>
      <c r="G1321" s="21" t="s">
        <v>833</v>
      </c>
    </row>
    <row r="1322" customFormat="false" ht="15" hidden="false" customHeight="false" outlineLevel="0" collapsed="false">
      <c r="B1322" s="19" t="s">
        <v>2254</v>
      </c>
      <c r="C1322" s="20" t="n">
        <f aca="false">ROUND(2.99/FX,2)</f>
        <v>0.42</v>
      </c>
      <c r="D1322" s="21" t="s">
        <v>2255</v>
      </c>
      <c r="E1322" s="21" t="s">
        <v>707</v>
      </c>
      <c r="F1322" s="21" t="s">
        <v>724</v>
      </c>
      <c r="G1322" s="21" t="s">
        <v>833</v>
      </c>
    </row>
    <row r="1323" customFormat="false" ht="15" hidden="false" customHeight="false" outlineLevel="0" collapsed="false">
      <c r="B1323" s="19" t="s">
        <v>2256</v>
      </c>
      <c r="C1323" s="20" t="n">
        <f aca="false">ROUND(4.55/FX,2)</f>
        <v>0.63</v>
      </c>
      <c r="D1323" s="21" t="s">
        <v>2255</v>
      </c>
      <c r="E1323" s="21" t="s">
        <v>714</v>
      </c>
      <c r="F1323" s="21" t="s">
        <v>724</v>
      </c>
      <c r="G1323" s="21" t="s">
        <v>833</v>
      </c>
    </row>
    <row r="1324" customFormat="false" ht="15" hidden="false" customHeight="false" outlineLevel="0" collapsed="false">
      <c r="B1324" s="19" t="s">
        <v>2257</v>
      </c>
      <c r="C1324" s="20" t="n">
        <f aca="false">ROUND(2.51/FX,2)</f>
        <v>0.35</v>
      </c>
      <c r="D1324" s="21" t="s">
        <v>2255</v>
      </c>
      <c r="E1324" s="21" t="s">
        <v>716</v>
      </c>
      <c r="F1324" s="21" t="s">
        <v>724</v>
      </c>
      <c r="G1324" s="21" t="s">
        <v>833</v>
      </c>
    </row>
    <row r="1325" customFormat="false" ht="15" hidden="false" customHeight="false" outlineLevel="0" collapsed="false">
      <c r="B1325" s="19" t="s">
        <v>2258</v>
      </c>
      <c r="C1325" s="20" t="n">
        <f aca="false">ROUND(1.56/FX,2)</f>
        <v>0.22</v>
      </c>
      <c r="D1325" s="21" t="s">
        <v>2255</v>
      </c>
      <c r="E1325" s="21" t="s">
        <v>2246</v>
      </c>
      <c r="F1325" s="21" t="s">
        <v>724</v>
      </c>
      <c r="G1325" s="21" t="s">
        <v>833</v>
      </c>
    </row>
    <row r="1326" customFormat="false" ht="15" hidden="false" customHeight="false" outlineLevel="0" collapsed="false">
      <c r="B1326" s="19" t="s">
        <v>2259</v>
      </c>
      <c r="C1326" s="20" t="n">
        <f aca="false">ROUND(2.99/FX,2)</f>
        <v>0.42</v>
      </c>
      <c r="D1326" s="21" t="s">
        <v>2255</v>
      </c>
      <c r="E1326" s="21" t="s">
        <v>719</v>
      </c>
      <c r="F1326" s="21" t="s">
        <v>724</v>
      </c>
      <c r="G1326" s="21" t="s">
        <v>833</v>
      </c>
    </row>
    <row r="1327" customFormat="false" ht="15" hidden="false" customHeight="false" outlineLevel="0" collapsed="false">
      <c r="B1327" s="19" t="s">
        <v>2260</v>
      </c>
      <c r="C1327" s="20" t="n">
        <f aca="false">ROUND(2.99/FX,2)</f>
        <v>0.42</v>
      </c>
      <c r="D1327" s="21" t="s">
        <v>2261</v>
      </c>
      <c r="E1327" s="21" t="s">
        <v>707</v>
      </c>
      <c r="F1327" s="21" t="s">
        <v>724</v>
      </c>
      <c r="G1327" s="21" t="s">
        <v>833</v>
      </c>
    </row>
    <row r="1328" customFormat="false" ht="15" hidden="false" customHeight="false" outlineLevel="0" collapsed="false">
      <c r="B1328" s="19" t="s">
        <v>2262</v>
      </c>
      <c r="C1328" s="20" t="n">
        <f aca="false">ROUND(4.55/FX,2)</f>
        <v>0.63</v>
      </c>
      <c r="D1328" s="21" t="s">
        <v>2261</v>
      </c>
      <c r="E1328" s="21" t="s">
        <v>714</v>
      </c>
      <c r="F1328" s="21" t="s">
        <v>724</v>
      </c>
      <c r="G1328" s="21" t="s">
        <v>833</v>
      </c>
    </row>
    <row r="1329" customFormat="false" ht="15" hidden="false" customHeight="false" outlineLevel="0" collapsed="false">
      <c r="B1329" s="19" t="s">
        <v>2263</v>
      </c>
      <c r="C1329" s="20" t="n">
        <f aca="false">ROUND(2.93/FX,2)</f>
        <v>0.41</v>
      </c>
      <c r="D1329" s="21" t="s">
        <v>2261</v>
      </c>
      <c r="E1329" s="21" t="s">
        <v>716</v>
      </c>
      <c r="F1329" s="21" t="s">
        <v>724</v>
      </c>
      <c r="G1329" s="21" t="s">
        <v>833</v>
      </c>
    </row>
    <row r="1330" customFormat="false" ht="15" hidden="false" customHeight="false" outlineLevel="0" collapsed="false">
      <c r="B1330" s="19" t="s">
        <v>2264</v>
      </c>
      <c r="C1330" s="20" t="n">
        <f aca="false">ROUND(1.56/FX,2)</f>
        <v>0.22</v>
      </c>
      <c r="D1330" s="21" t="s">
        <v>2261</v>
      </c>
      <c r="E1330" s="21" t="s">
        <v>2246</v>
      </c>
      <c r="F1330" s="21" t="s">
        <v>724</v>
      </c>
      <c r="G1330" s="21" t="s">
        <v>833</v>
      </c>
    </row>
    <row r="1331" customFormat="false" ht="15" hidden="false" customHeight="false" outlineLevel="0" collapsed="false">
      <c r="B1331" s="19" t="s">
        <v>2265</v>
      </c>
      <c r="C1331" s="20" t="n">
        <f aca="false">ROUND(2.99/FX,2)</f>
        <v>0.42</v>
      </c>
      <c r="D1331" s="21" t="s">
        <v>2261</v>
      </c>
      <c r="E1331" s="21" t="s">
        <v>719</v>
      </c>
      <c r="F1331" s="21" t="s">
        <v>724</v>
      </c>
      <c r="G1331" s="21" t="s">
        <v>833</v>
      </c>
    </row>
    <row r="1332" customFormat="false" ht="15" hidden="false" customHeight="false" outlineLevel="0" collapsed="false">
      <c r="B1332" s="19" t="s">
        <v>2266</v>
      </c>
      <c r="C1332" s="20" t="n">
        <f aca="false">ROUND(2.99/FX,2)</f>
        <v>0.42</v>
      </c>
      <c r="D1332" s="21" t="s">
        <v>2267</v>
      </c>
      <c r="E1332" s="21" t="s">
        <v>707</v>
      </c>
      <c r="F1332" s="21" t="s">
        <v>724</v>
      </c>
      <c r="G1332" s="21" t="s">
        <v>833</v>
      </c>
    </row>
    <row r="1333" customFormat="false" ht="15" hidden="false" customHeight="false" outlineLevel="0" collapsed="false">
      <c r="B1333" s="19" t="s">
        <v>2268</v>
      </c>
      <c r="C1333" s="20" t="n">
        <f aca="false">ROUND(4.55/FX,2)</f>
        <v>0.63</v>
      </c>
      <c r="D1333" s="21" t="s">
        <v>2267</v>
      </c>
      <c r="E1333" s="21" t="s">
        <v>714</v>
      </c>
      <c r="F1333" s="21" t="s">
        <v>724</v>
      </c>
      <c r="G1333" s="21" t="s">
        <v>833</v>
      </c>
    </row>
    <row r="1334" customFormat="false" ht="15" hidden="false" customHeight="false" outlineLevel="0" collapsed="false">
      <c r="B1334" s="19" t="s">
        <v>2269</v>
      </c>
      <c r="C1334" s="20" t="n">
        <f aca="false">ROUND(3.06/FX,2)</f>
        <v>0.43</v>
      </c>
      <c r="D1334" s="21" t="s">
        <v>2267</v>
      </c>
      <c r="E1334" s="21" t="s">
        <v>716</v>
      </c>
      <c r="F1334" s="21" t="s">
        <v>724</v>
      </c>
      <c r="G1334" s="21" t="s">
        <v>833</v>
      </c>
    </row>
    <row r="1335" customFormat="false" ht="15" hidden="false" customHeight="false" outlineLevel="0" collapsed="false">
      <c r="B1335" s="19" t="s">
        <v>2270</v>
      </c>
      <c r="C1335" s="20" t="n">
        <f aca="false">ROUND(1.56/FX,2)</f>
        <v>0.22</v>
      </c>
      <c r="D1335" s="21" t="s">
        <v>2267</v>
      </c>
      <c r="E1335" s="21" t="s">
        <v>2246</v>
      </c>
      <c r="F1335" s="21" t="s">
        <v>724</v>
      </c>
      <c r="G1335" s="21" t="s">
        <v>833</v>
      </c>
    </row>
    <row r="1336" customFormat="false" ht="15" hidden="false" customHeight="false" outlineLevel="0" collapsed="false">
      <c r="B1336" s="19" t="s">
        <v>2271</v>
      </c>
      <c r="C1336" s="20" t="n">
        <f aca="false">ROUND(2.99/FX,2)</f>
        <v>0.42</v>
      </c>
      <c r="D1336" s="21" t="s">
        <v>2267</v>
      </c>
      <c r="E1336" s="21" t="s">
        <v>719</v>
      </c>
      <c r="F1336" s="21" t="s">
        <v>724</v>
      </c>
      <c r="G1336" s="21" t="s">
        <v>833</v>
      </c>
    </row>
    <row r="1337" customFormat="false" ht="15" hidden="false" customHeight="false" outlineLevel="0" collapsed="false">
      <c r="B1337" s="19" t="s">
        <v>2272</v>
      </c>
      <c r="C1337" s="20" t="n">
        <f aca="false">ROUND(2.99/FX,2)</f>
        <v>0.42</v>
      </c>
      <c r="D1337" s="21" t="s">
        <v>2273</v>
      </c>
      <c r="E1337" s="21" t="s">
        <v>707</v>
      </c>
      <c r="F1337" s="21" t="s">
        <v>724</v>
      </c>
      <c r="G1337" s="21" t="s">
        <v>833</v>
      </c>
    </row>
    <row r="1338" customFormat="false" ht="15" hidden="false" customHeight="false" outlineLevel="0" collapsed="false">
      <c r="B1338" s="19" t="s">
        <v>2274</v>
      </c>
      <c r="C1338" s="20" t="n">
        <f aca="false">ROUND(4.55/FX,2)</f>
        <v>0.63</v>
      </c>
      <c r="D1338" s="21" t="s">
        <v>2273</v>
      </c>
      <c r="E1338" s="21" t="s">
        <v>714</v>
      </c>
      <c r="F1338" s="21" t="s">
        <v>724</v>
      </c>
      <c r="G1338" s="21" t="s">
        <v>833</v>
      </c>
    </row>
    <row r="1339" customFormat="false" ht="15" hidden="false" customHeight="false" outlineLevel="0" collapsed="false">
      <c r="B1339" s="19" t="s">
        <v>2275</v>
      </c>
      <c r="C1339" s="20" t="n">
        <f aca="false">ROUND(2.99/FX,2)</f>
        <v>0.42</v>
      </c>
      <c r="D1339" s="21" t="s">
        <v>2273</v>
      </c>
      <c r="E1339" s="21" t="s">
        <v>716</v>
      </c>
      <c r="F1339" s="21" t="s">
        <v>724</v>
      </c>
      <c r="G1339" s="21" t="s">
        <v>833</v>
      </c>
    </row>
    <row r="1340" customFormat="false" ht="15" hidden="false" customHeight="false" outlineLevel="0" collapsed="false">
      <c r="B1340" s="19" t="s">
        <v>2276</v>
      </c>
      <c r="C1340" s="20" t="n">
        <f aca="false">ROUND(1.56/FX,2)</f>
        <v>0.22</v>
      </c>
      <c r="D1340" s="21" t="s">
        <v>2273</v>
      </c>
      <c r="E1340" s="21" t="s">
        <v>2246</v>
      </c>
      <c r="F1340" s="21" t="s">
        <v>724</v>
      </c>
      <c r="G1340" s="21" t="s">
        <v>833</v>
      </c>
    </row>
    <row r="1341" customFormat="false" ht="15" hidden="false" customHeight="false" outlineLevel="0" collapsed="false">
      <c r="B1341" s="19" t="s">
        <v>2277</v>
      </c>
      <c r="C1341" s="20" t="n">
        <f aca="false">ROUND(2.99/FX,2)</f>
        <v>0.42</v>
      </c>
      <c r="D1341" s="21" t="s">
        <v>2273</v>
      </c>
      <c r="E1341" s="21" t="s">
        <v>719</v>
      </c>
      <c r="F1341" s="21" t="s">
        <v>724</v>
      </c>
      <c r="G1341" s="21" t="s">
        <v>833</v>
      </c>
    </row>
    <row r="1342" customFormat="false" ht="15" hidden="false" customHeight="false" outlineLevel="0" collapsed="false">
      <c r="B1342" s="19" t="s">
        <v>2278</v>
      </c>
      <c r="C1342" s="20" t="n">
        <f aca="false">ROUND(4.33/FX,2)</f>
        <v>0.6</v>
      </c>
      <c r="D1342" s="21" t="s">
        <v>2279</v>
      </c>
      <c r="E1342" s="21" t="s">
        <v>707</v>
      </c>
      <c r="F1342" s="21" t="s">
        <v>724</v>
      </c>
      <c r="G1342" s="21" t="s">
        <v>833</v>
      </c>
    </row>
    <row r="1343" customFormat="false" ht="15" hidden="false" customHeight="false" outlineLevel="0" collapsed="false">
      <c r="B1343" s="19" t="s">
        <v>2280</v>
      </c>
      <c r="C1343" s="20" t="n">
        <f aca="false">ROUND(4.55/FX,2)</f>
        <v>0.63</v>
      </c>
      <c r="D1343" s="21" t="s">
        <v>2279</v>
      </c>
      <c r="E1343" s="21" t="s">
        <v>714</v>
      </c>
      <c r="F1343" s="21" t="s">
        <v>724</v>
      </c>
      <c r="G1343" s="21" t="s">
        <v>833</v>
      </c>
    </row>
    <row r="1344" customFormat="false" ht="15" hidden="false" customHeight="false" outlineLevel="0" collapsed="false">
      <c r="B1344" s="19" t="s">
        <v>2281</v>
      </c>
      <c r="C1344" s="20" t="n">
        <f aca="false">ROUND(2.99/FX,2)</f>
        <v>0.42</v>
      </c>
      <c r="D1344" s="21" t="s">
        <v>2279</v>
      </c>
      <c r="E1344" s="21" t="s">
        <v>716</v>
      </c>
      <c r="F1344" s="21" t="s">
        <v>724</v>
      </c>
      <c r="G1344" s="21" t="s">
        <v>833</v>
      </c>
    </row>
    <row r="1345" customFormat="false" ht="15" hidden="false" customHeight="false" outlineLevel="0" collapsed="false">
      <c r="B1345" s="19" t="s">
        <v>2282</v>
      </c>
      <c r="C1345" s="20" t="n">
        <f aca="false">ROUND(1.56/FX,2)</f>
        <v>0.22</v>
      </c>
      <c r="D1345" s="21" t="s">
        <v>2279</v>
      </c>
      <c r="E1345" s="21" t="s">
        <v>2246</v>
      </c>
      <c r="F1345" s="21" t="s">
        <v>724</v>
      </c>
      <c r="G1345" s="21" t="s">
        <v>833</v>
      </c>
    </row>
    <row r="1346" customFormat="false" ht="15" hidden="false" customHeight="false" outlineLevel="0" collapsed="false">
      <c r="B1346" s="19" t="s">
        <v>2283</v>
      </c>
      <c r="C1346" s="20" t="n">
        <f aca="false">ROUND(2.73/FX,2)</f>
        <v>0.38</v>
      </c>
      <c r="D1346" s="21" t="s">
        <v>2279</v>
      </c>
      <c r="E1346" s="21" t="s">
        <v>719</v>
      </c>
      <c r="F1346" s="21" t="s">
        <v>724</v>
      </c>
      <c r="G1346" s="21" t="s">
        <v>833</v>
      </c>
    </row>
    <row r="1347" customFormat="false" ht="15" hidden="false" customHeight="false" outlineLevel="0" collapsed="false">
      <c r="B1347" s="19" t="s">
        <v>2284</v>
      </c>
      <c r="C1347" s="20" t="n">
        <f aca="false">ROUND(3.25/FX,2)</f>
        <v>0.45</v>
      </c>
      <c r="D1347" s="21" t="s">
        <v>2285</v>
      </c>
      <c r="E1347" s="21" t="s">
        <v>707</v>
      </c>
      <c r="F1347" s="21" t="s">
        <v>724</v>
      </c>
      <c r="G1347" s="21" t="s">
        <v>833</v>
      </c>
    </row>
    <row r="1348" customFormat="false" ht="15" hidden="false" customHeight="false" outlineLevel="0" collapsed="false">
      <c r="B1348" s="19" t="s">
        <v>2286</v>
      </c>
      <c r="C1348" s="20" t="n">
        <f aca="false">ROUND(4.88/FX,2)</f>
        <v>0.68</v>
      </c>
      <c r="D1348" s="21" t="s">
        <v>2285</v>
      </c>
      <c r="E1348" s="21" t="s">
        <v>714</v>
      </c>
      <c r="F1348" s="21" t="s">
        <v>724</v>
      </c>
      <c r="G1348" s="21" t="s">
        <v>833</v>
      </c>
    </row>
    <row r="1349" customFormat="false" ht="15" hidden="false" customHeight="false" outlineLevel="0" collapsed="false">
      <c r="B1349" s="19" t="s">
        <v>2287</v>
      </c>
      <c r="C1349" s="20" t="n">
        <f aca="false">ROUND(3.06/FX,2)</f>
        <v>0.43</v>
      </c>
      <c r="D1349" s="21" t="s">
        <v>2285</v>
      </c>
      <c r="E1349" s="21" t="s">
        <v>716</v>
      </c>
      <c r="F1349" s="21" t="s">
        <v>724</v>
      </c>
      <c r="G1349" s="21" t="s">
        <v>833</v>
      </c>
    </row>
    <row r="1350" customFormat="false" ht="15" hidden="false" customHeight="false" outlineLevel="0" collapsed="false">
      <c r="B1350" s="19" t="s">
        <v>2288</v>
      </c>
      <c r="C1350" s="20" t="n">
        <f aca="false">ROUND(1.56/FX,2)</f>
        <v>0.22</v>
      </c>
      <c r="D1350" s="21" t="s">
        <v>2285</v>
      </c>
      <c r="E1350" s="21" t="s">
        <v>2246</v>
      </c>
      <c r="F1350" s="21" t="s">
        <v>724</v>
      </c>
      <c r="G1350" s="21" t="s">
        <v>833</v>
      </c>
    </row>
    <row r="1351" customFormat="false" ht="15" hidden="false" customHeight="false" outlineLevel="0" collapsed="false">
      <c r="B1351" s="19" t="s">
        <v>2289</v>
      </c>
      <c r="C1351" s="20" t="n">
        <f aca="false">ROUND(2.99/FX,2)</f>
        <v>0.42</v>
      </c>
      <c r="D1351" s="21" t="s">
        <v>2285</v>
      </c>
      <c r="E1351" s="21" t="s">
        <v>719</v>
      </c>
      <c r="F1351" s="21" t="s">
        <v>724</v>
      </c>
      <c r="G1351" s="21" t="s">
        <v>833</v>
      </c>
    </row>
    <row r="1352" customFormat="false" ht="15" hidden="false" customHeight="false" outlineLevel="0" collapsed="false">
      <c r="B1352" s="19" t="s">
        <v>2290</v>
      </c>
      <c r="C1352" s="20" t="n">
        <f aca="false">ROUND(4.42/FX,2)</f>
        <v>0.61</v>
      </c>
      <c r="D1352" s="21" t="s">
        <v>2291</v>
      </c>
      <c r="E1352" s="21" t="s">
        <v>707</v>
      </c>
      <c r="F1352" s="21" t="s">
        <v>724</v>
      </c>
      <c r="G1352" s="21" t="s">
        <v>833</v>
      </c>
    </row>
    <row r="1353" customFormat="false" ht="15" hidden="false" customHeight="false" outlineLevel="0" collapsed="false">
      <c r="B1353" s="19" t="s">
        <v>2292</v>
      </c>
      <c r="C1353" s="20" t="n">
        <f aca="false">ROUND(2.86/FX,2)</f>
        <v>0.4</v>
      </c>
      <c r="D1353" s="21" t="s">
        <v>2291</v>
      </c>
      <c r="E1353" s="21" t="s">
        <v>714</v>
      </c>
      <c r="F1353" s="21" t="s">
        <v>724</v>
      </c>
      <c r="G1353" s="21" t="s">
        <v>833</v>
      </c>
    </row>
    <row r="1354" customFormat="false" ht="15" hidden="false" customHeight="false" outlineLevel="0" collapsed="false">
      <c r="B1354" s="19" t="s">
        <v>2293</v>
      </c>
      <c r="C1354" s="20" t="n">
        <f aca="false">ROUND(2.65/FX,2)</f>
        <v>0.37</v>
      </c>
      <c r="D1354" s="21" t="s">
        <v>2291</v>
      </c>
      <c r="E1354" s="21" t="s">
        <v>716</v>
      </c>
      <c r="F1354" s="21" t="s">
        <v>724</v>
      </c>
      <c r="G1354" s="21" t="s">
        <v>833</v>
      </c>
    </row>
    <row r="1355" customFormat="false" ht="15" hidden="false" customHeight="false" outlineLevel="0" collapsed="false">
      <c r="B1355" s="19" t="s">
        <v>2294</v>
      </c>
      <c r="C1355" s="20" t="n">
        <f aca="false">ROUND(2.86/FX,2)</f>
        <v>0.4</v>
      </c>
      <c r="D1355" s="21" t="s">
        <v>2291</v>
      </c>
      <c r="E1355" s="21" t="s">
        <v>2246</v>
      </c>
      <c r="F1355" s="21" t="s">
        <v>724</v>
      </c>
      <c r="G1355" s="21" t="s">
        <v>833</v>
      </c>
    </row>
    <row r="1356" customFormat="false" ht="15" hidden="false" customHeight="false" outlineLevel="0" collapsed="false">
      <c r="B1356" s="19" t="s">
        <v>2295</v>
      </c>
      <c r="C1356" s="20" t="n">
        <f aca="false">ROUND(2.86/FX,2)</f>
        <v>0.4</v>
      </c>
      <c r="D1356" s="21" t="s">
        <v>2291</v>
      </c>
      <c r="E1356" s="21" t="s">
        <v>719</v>
      </c>
      <c r="F1356" s="21" t="s">
        <v>724</v>
      </c>
      <c r="G1356" s="21" t="s">
        <v>833</v>
      </c>
    </row>
    <row r="1357" customFormat="false" ht="15" hidden="false" customHeight="false" outlineLevel="0" collapsed="false">
      <c r="B1357" s="19" t="s">
        <v>2296</v>
      </c>
      <c r="C1357" s="20" t="n">
        <f aca="false">ROUND(5.07/FX,2)</f>
        <v>0.7</v>
      </c>
      <c r="D1357" s="21" t="s">
        <v>2297</v>
      </c>
      <c r="E1357" s="21" t="s">
        <v>707</v>
      </c>
      <c r="F1357" s="21" t="s">
        <v>724</v>
      </c>
      <c r="G1357" s="21" t="s">
        <v>833</v>
      </c>
    </row>
    <row r="1358" customFormat="false" ht="15" hidden="false" customHeight="false" outlineLevel="0" collapsed="false">
      <c r="B1358" s="19" t="s">
        <v>2298</v>
      </c>
      <c r="C1358" s="20" t="n">
        <f aca="false">ROUND(5/FX,2)</f>
        <v>0.69</v>
      </c>
      <c r="D1358" s="21" t="s">
        <v>2297</v>
      </c>
      <c r="E1358" s="21" t="s">
        <v>714</v>
      </c>
      <c r="F1358" s="21" t="s">
        <v>724</v>
      </c>
      <c r="G1358" s="21" t="s">
        <v>833</v>
      </c>
    </row>
    <row r="1359" customFormat="false" ht="15" hidden="false" customHeight="false" outlineLevel="0" collapsed="false">
      <c r="B1359" s="19" t="s">
        <v>2299</v>
      </c>
      <c r="C1359" s="20" t="n">
        <f aca="false">ROUND(3.06/FX,2)</f>
        <v>0.43</v>
      </c>
      <c r="D1359" s="21" t="s">
        <v>2297</v>
      </c>
      <c r="E1359" s="21" t="s">
        <v>716</v>
      </c>
      <c r="F1359" s="21" t="s">
        <v>724</v>
      </c>
      <c r="G1359" s="21" t="s">
        <v>833</v>
      </c>
    </row>
    <row r="1360" customFormat="false" ht="15" hidden="false" customHeight="false" outlineLevel="0" collapsed="false">
      <c r="B1360" s="19" t="s">
        <v>2300</v>
      </c>
      <c r="C1360" s="20" t="n">
        <f aca="false">ROUND(1.56/FX,2)</f>
        <v>0.22</v>
      </c>
      <c r="D1360" s="21" t="s">
        <v>2297</v>
      </c>
      <c r="E1360" s="21" t="s">
        <v>2246</v>
      </c>
      <c r="F1360" s="21" t="s">
        <v>724</v>
      </c>
      <c r="G1360" s="21" t="s">
        <v>833</v>
      </c>
    </row>
    <row r="1361" customFormat="false" ht="15" hidden="false" customHeight="false" outlineLevel="0" collapsed="false">
      <c r="B1361" s="19" t="s">
        <v>2301</v>
      </c>
      <c r="C1361" s="20" t="n">
        <f aca="false">ROUND(3/FX,2)</f>
        <v>0.42</v>
      </c>
      <c r="D1361" s="21" t="s">
        <v>2297</v>
      </c>
      <c r="E1361" s="21" t="s">
        <v>719</v>
      </c>
      <c r="F1361" s="21" t="s">
        <v>724</v>
      </c>
      <c r="G1361" s="21" t="s">
        <v>833</v>
      </c>
    </row>
    <row r="1362" customFormat="false" ht="15" hidden="false" customHeight="false" outlineLevel="0" collapsed="false">
      <c r="B1362" s="19" t="s">
        <v>2302</v>
      </c>
      <c r="C1362" s="20" t="n">
        <f aca="false">ROUND(3/FX,2)</f>
        <v>0.42</v>
      </c>
      <c r="D1362" s="21" t="s">
        <v>2303</v>
      </c>
      <c r="E1362" s="21" t="s">
        <v>707</v>
      </c>
      <c r="F1362" s="21" t="s">
        <v>724</v>
      </c>
      <c r="G1362" s="21" t="s">
        <v>833</v>
      </c>
    </row>
    <row r="1363" customFormat="false" ht="15" hidden="false" customHeight="false" outlineLevel="0" collapsed="false">
      <c r="B1363" s="19" t="s">
        <v>2304</v>
      </c>
      <c r="C1363" s="20" t="n">
        <f aca="false">ROUND(5/FX,2)</f>
        <v>0.69</v>
      </c>
      <c r="D1363" s="21" t="s">
        <v>2303</v>
      </c>
      <c r="E1363" s="21" t="s">
        <v>714</v>
      </c>
      <c r="F1363" s="21" t="s">
        <v>724</v>
      </c>
      <c r="G1363" s="21" t="s">
        <v>833</v>
      </c>
    </row>
    <row r="1364" customFormat="false" ht="15" hidden="false" customHeight="false" outlineLevel="0" collapsed="false">
      <c r="B1364" s="19" t="s">
        <v>2305</v>
      </c>
      <c r="C1364" s="20" t="n">
        <f aca="false">ROUND(2.8/FX,2)</f>
        <v>0.39</v>
      </c>
      <c r="D1364" s="21" t="s">
        <v>2303</v>
      </c>
      <c r="E1364" s="21" t="s">
        <v>716</v>
      </c>
      <c r="F1364" s="21" t="s">
        <v>724</v>
      </c>
      <c r="G1364" s="21" t="s">
        <v>833</v>
      </c>
    </row>
    <row r="1365" customFormat="false" ht="15" hidden="false" customHeight="false" outlineLevel="0" collapsed="false">
      <c r="B1365" s="19" t="s">
        <v>2306</v>
      </c>
      <c r="C1365" s="20" t="n">
        <f aca="false">ROUND(1.56/FX,2)</f>
        <v>0.22</v>
      </c>
      <c r="D1365" s="21" t="s">
        <v>2303</v>
      </c>
      <c r="E1365" s="21" t="s">
        <v>2246</v>
      </c>
      <c r="F1365" s="21" t="s">
        <v>724</v>
      </c>
      <c r="G1365" s="21" t="s">
        <v>833</v>
      </c>
    </row>
    <row r="1366" customFormat="false" ht="15" hidden="false" customHeight="false" outlineLevel="0" collapsed="false">
      <c r="B1366" s="19" t="s">
        <v>2307</v>
      </c>
      <c r="C1366" s="20" t="n">
        <f aca="false">ROUND(3/FX,2)</f>
        <v>0.42</v>
      </c>
      <c r="D1366" s="21" t="s">
        <v>2303</v>
      </c>
      <c r="E1366" s="21" t="s">
        <v>719</v>
      </c>
      <c r="F1366" s="21" t="s">
        <v>724</v>
      </c>
      <c r="G1366" s="21" t="s">
        <v>833</v>
      </c>
    </row>
    <row r="1367" customFormat="false" ht="15" hidden="false" customHeight="false" outlineLevel="0" collapsed="false">
      <c r="B1367" s="19" t="s">
        <v>2308</v>
      </c>
      <c r="C1367" s="20" t="n">
        <f aca="false">ROUND(3.25/FX,2)</f>
        <v>0.45</v>
      </c>
      <c r="D1367" s="21" t="s">
        <v>2309</v>
      </c>
      <c r="E1367" s="21" t="s">
        <v>707</v>
      </c>
      <c r="F1367" s="21" t="s">
        <v>724</v>
      </c>
      <c r="G1367" s="21" t="s">
        <v>833</v>
      </c>
    </row>
    <row r="1368" customFormat="false" ht="15" hidden="false" customHeight="false" outlineLevel="0" collapsed="false">
      <c r="B1368" s="19" t="s">
        <v>2310</v>
      </c>
      <c r="C1368" s="20" t="n">
        <f aca="false">ROUND(4.88/FX,2)</f>
        <v>0.68</v>
      </c>
      <c r="D1368" s="21" t="s">
        <v>2309</v>
      </c>
      <c r="E1368" s="21" t="s">
        <v>714</v>
      </c>
      <c r="F1368" s="21" t="s">
        <v>724</v>
      </c>
      <c r="G1368" s="21" t="s">
        <v>833</v>
      </c>
    </row>
    <row r="1369" customFormat="false" ht="15" hidden="false" customHeight="false" outlineLevel="0" collapsed="false">
      <c r="B1369" s="19" t="s">
        <v>2311</v>
      </c>
      <c r="C1369" s="20" t="n">
        <f aca="false">ROUND(3.12/FX,2)</f>
        <v>0.43</v>
      </c>
      <c r="D1369" s="21" t="s">
        <v>2309</v>
      </c>
      <c r="E1369" s="21" t="s">
        <v>716</v>
      </c>
      <c r="F1369" s="21" t="s">
        <v>724</v>
      </c>
      <c r="G1369" s="21" t="s">
        <v>833</v>
      </c>
    </row>
    <row r="1370" customFormat="false" ht="15" hidden="false" customHeight="false" outlineLevel="0" collapsed="false">
      <c r="B1370" s="19" t="s">
        <v>2312</v>
      </c>
      <c r="C1370" s="20" t="n">
        <f aca="false">ROUND(1.56/FX,2)</f>
        <v>0.22</v>
      </c>
      <c r="D1370" s="21" t="s">
        <v>2309</v>
      </c>
      <c r="E1370" s="21" t="s">
        <v>2246</v>
      </c>
      <c r="F1370" s="21" t="s">
        <v>724</v>
      </c>
      <c r="G1370" s="21" t="s">
        <v>833</v>
      </c>
    </row>
    <row r="1371" customFormat="false" ht="15" hidden="false" customHeight="false" outlineLevel="0" collapsed="false">
      <c r="B1371" s="19" t="s">
        <v>2313</v>
      </c>
      <c r="C1371" s="20" t="n">
        <f aca="false">ROUND(2.99/FX,2)</f>
        <v>0.42</v>
      </c>
      <c r="D1371" s="21" t="s">
        <v>2309</v>
      </c>
      <c r="E1371" s="21" t="s">
        <v>719</v>
      </c>
      <c r="F1371" s="21" t="s">
        <v>724</v>
      </c>
      <c r="G1371" s="21" t="s">
        <v>833</v>
      </c>
    </row>
    <row r="1372" customFormat="false" ht="15" hidden="false" customHeight="false" outlineLevel="0" collapsed="false">
      <c r="B1372" s="19" t="s">
        <v>2314</v>
      </c>
      <c r="C1372" s="20" t="n">
        <f aca="false">ROUND(4.55/FX,2)</f>
        <v>0.63</v>
      </c>
      <c r="D1372" s="21" t="s">
        <v>2315</v>
      </c>
      <c r="E1372" s="21" t="s">
        <v>707</v>
      </c>
      <c r="F1372" s="21" t="s">
        <v>724</v>
      </c>
      <c r="G1372" s="21" t="s">
        <v>833</v>
      </c>
    </row>
    <row r="1373" customFormat="false" ht="15" hidden="false" customHeight="false" outlineLevel="0" collapsed="false">
      <c r="B1373" s="19" t="s">
        <v>2316</v>
      </c>
      <c r="C1373" s="20" t="n">
        <f aca="false">ROUND(5/FX,2)</f>
        <v>0.69</v>
      </c>
      <c r="D1373" s="21" t="s">
        <v>2315</v>
      </c>
      <c r="E1373" s="21" t="s">
        <v>714</v>
      </c>
      <c r="F1373" s="21" t="s">
        <v>724</v>
      </c>
      <c r="G1373" s="21" t="s">
        <v>833</v>
      </c>
    </row>
    <row r="1374" customFormat="false" ht="15" hidden="false" customHeight="false" outlineLevel="0" collapsed="false">
      <c r="B1374" s="19" t="s">
        <v>2317</v>
      </c>
      <c r="C1374" s="20" t="n">
        <f aca="false">ROUND(3.06/FX,2)</f>
        <v>0.43</v>
      </c>
      <c r="D1374" s="21" t="s">
        <v>2315</v>
      </c>
      <c r="E1374" s="21" t="s">
        <v>716</v>
      </c>
      <c r="F1374" s="21" t="s">
        <v>724</v>
      </c>
      <c r="G1374" s="21" t="s">
        <v>833</v>
      </c>
    </row>
    <row r="1375" customFormat="false" ht="15" hidden="false" customHeight="false" outlineLevel="0" collapsed="false">
      <c r="B1375" s="19" t="s">
        <v>2318</v>
      </c>
      <c r="C1375" s="20" t="n">
        <f aca="false">ROUND(1.56/FX,2)</f>
        <v>0.22</v>
      </c>
      <c r="D1375" s="21" t="s">
        <v>2315</v>
      </c>
      <c r="E1375" s="21" t="s">
        <v>2246</v>
      </c>
      <c r="F1375" s="21" t="s">
        <v>724</v>
      </c>
      <c r="G1375" s="21" t="s">
        <v>833</v>
      </c>
    </row>
    <row r="1376" customFormat="false" ht="15" hidden="false" customHeight="false" outlineLevel="0" collapsed="false">
      <c r="B1376" s="19" t="s">
        <v>2319</v>
      </c>
      <c r="C1376" s="20" t="n">
        <f aca="false">ROUND(4.1/FX,2)</f>
        <v>0.57</v>
      </c>
      <c r="D1376" s="21" t="s">
        <v>2315</v>
      </c>
      <c r="E1376" s="21" t="s">
        <v>719</v>
      </c>
      <c r="F1376" s="21" t="s">
        <v>724</v>
      </c>
      <c r="G1376" s="21" t="s">
        <v>833</v>
      </c>
    </row>
    <row r="1377" customFormat="false" ht="15" hidden="false" customHeight="false" outlineLevel="0" collapsed="false">
      <c r="B1377" s="19" t="s">
        <v>2320</v>
      </c>
      <c r="C1377" s="20" t="n">
        <f aca="false">ROUND(5.2/FX,2)</f>
        <v>0.72</v>
      </c>
      <c r="D1377" s="21" t="s">
        <v>2321</v>
      </c>
      <c r="E1377" s="21" t="s">
        <v>707</v>
      </c>
      <c r="F1377" s="21" t="s">
        <v>724</v>
      </c>
      <c r="G1377" s="21" t="s">
        <v>833</v>
      </c>
    </row>
    <row r="1378" customFormat="false" ht="15" hidden="false" customHeight="false" outlineLevel="0" collapsed="false">
      <c r="B1378" s="19" t="s">
        <v>2322</v>
      </c>
      <c r="C1378" s="20" t="n">
        <f aca="false">ROUND(5/FX,2)</f>
        <v>0.69</v>
      </c>
      <c r="D1378" s="21" t="s">
        <v>2321</v>
      </c>
      <c r="E1378" s="21" t="s">
        <v>714</v>
      </c>
      <c r="F1378" s="21" t="s">
        <v>724</v>
      </c>
      <c r="G1378" s="21" t="s">
        <v>833</v>
      </c>
    </row>
    <row r="1379" customFormat="false" ht="15" hidden="false" customHeight="false" outlineLevel="0" collapsed="false">
      <c r="B1379" s="19" t="s">
        <v>2323</v>
      </c>
      <c r="C1379" s="20" t="n">
        <f aca="false">ROUND(2.73/FX,2)</f>
        <v>0.38</v>
      </c>
      <c r="D1379" s="21" t="s">
        <v>2321</v>
      </c>
      <c r="E1379" s="21" t="s">
        <v>716</v>
      </c>
      <c r="F1379" s="21" t="s">
        <v>724</v>
      </c>
      <c r="G1379" s="21" t="s">
        <v>833</v>
      </c>
    </row>
    <row r="1380" customFormat="false" ht="15" hidden="false" customHeight="false" outlineLevel="0" collapsed="false">
      <c r="B1380" s="19" t="s">
        <v>2324</v>
      </c>
      <c r="C1380" s="20" t="n">
        <f aca="false">ROUND(1.56/FX,2)</f>
        <v>0.22</v>
      </c>
      <c r="D1380" s="21" t="s">
        <v>2321</v>
      </c>
      <c r="E1380" s="21" t="s">
        <v>2246</v>
      </c>
      <c r="F1380" s="21" t="s">
        <v>724</v>
      </c>
      <c r="G1380" s="21" t="s">
        <v>833</v>
      </c>
    </row>
    <row r="1381" customFormat="false" ht="15" hidden="false" customHeight="false" outlineLevel="0" collapsed="false">
      <c r="B1381" s="19" t="s">
        <v>2325</v>
      </c>
      <c r="C1381" s="20" t="n">
        <f aca="false">ROUND(3/FX,2)</f>
        <v>0.42</v>
      </c>
      <c r="D1381" s="21" t="s">
        <v>2321</v>
      </c>
      <c r="E1381" s="21" t="s">
        <v>719</v>
      </c>
      <c r="F1381" s="21" t="s">
        <v>724</v>
      </c>
      <c r="G1381" s="21" t="s">
        <v>833</v>
      </c>
    </row>
    <row r="1382" customFormat="false" ht="15" hidden="false" customHeight="false" outlineLevel="0" collapsed="false">
      <c r="B1382" s="19" t="s">
        <v>2326</v>
      </c>
      <c r="C1382" s="20" t="n">
        <f aca="false">ROUND(4.61/FX,2)</f>
        <v>0.64</v>
      </c>
      <c r="D1382" s="21" t="s">
        <v>2327</v>
      </c>
      <c r="E1382" s="21" t="s">
        <v>707</v>
      </c>
      <c r="F1382" s="21" t="s">
        <v>724</v>
      </c>
      <c r="G1382" s="21" t="s">
        <v>833</v>
      </c>
    </row>
    <row r="1383" customFormat="false" ht="15" hidden="false" customHeight="false" outlineLevel="0" collapsed="false">
      <c r="B1383" s="19" t="s">
        <v>2328</v>
      </c>
      <c r="C1383" s="20" t="n">
        <f aca="false">ROUND(4.88/FX,2)</f>
        <v>0.68</v>
      </c>
      <c r="D1383" s="21" t="s">
        <v>2327</v>
      </c>
      <c r="E1383" s="21" t="s">
        <v>714</v>
      </c>
      <c r="F1383" s="21" t="s">
        <v>724</v>
      </c>
      <c r="G1383" s="21" t="s">
        <v>833</v>
      </c>
    </row>
    <row r="1384" customFormat="false" ht="15" hidden="false" customHeight="false" outlineLevel="0" collapsed="false">
      <c r="B1384" s="19" t="s">
        <v>2329</v>
      </c>
      <c r="C1384" s="20" t="n">
        <f aca="false">ROUND(2.77/FX,2)</f>
        <v>0.38</v>
      </c>
      <c r="D1384" s="21" t="s">
        <v>2327</v>
      </c>
      <c r="E1384" s="21" t="s">
        <v>716</v>
      </c>
      <c r="F1384" s="21" t="s">
        <v>724</v>
      </c>
      <c r="G1384" s="21" t="s">
        <v>833</v>
      </c>
    </row>
    <row r="1385" customFormat="false" ht="15" hidden="false" customHeight="false" outlineLevel="0" collapsed="false">
      <c r="B1385" s="19" t="s">
        <v>2330</v>
      </c>
      <c r="C1385" s="20" t="n">
        <f aca="false">ROUND(1.56/FX,2)</f>
        <v>0.22</v>
      </c>
      <c r="D1385" s="21" t="s">
        <v>2327</v>
      </c>
      <c r="E1385" s="21" t="s">
        <v>2246</v>
      </c>
      <c r="F1385" s="21" t="s">
        <v>724</v>
      </c>
      <c r="G1385" s="21" t="s">
        <v>833</v>
      </c>
    </row>
    <row r="1386" customFormat="false" ht="15" hidden="false" customHeight="false" outlineLevel="0" collapsed="false">
      <c r="B1386" s="19" t="s">
        <v>2331</v>
      </c>
      <c r="C1386" s="20" t="n">
        <f aca="false">ROUND(2.99/FX,2)</f>
        <v>0.42</v>
      </c>
      <c r="D1386" s="21" t="s">
        <v>2327</v>
      </c>
      <c r="E1386" s="21" t="s">
        <v>719</v>
      </c>
      <c r="F1386" s="21" t="s">
        <v>724</v>
      </c>
      <c r="G1386" s="21" t="s">
        <v>833</v>
      </c>
    </row>
    <row r="1387" customFormat="false" ht="15" hidden="false" customHeight="false" outlineLevel="0" collapsed="false">
      <c r="B1387" s="19" t="s">
        <v>2332</v>
      </c>
      <c r="C1387" s="20" t="n">
        <f aca="false">ROUND(3/FX,2)</f>
        <v>0.42</v>
      </c>
      <c r="D1387" s="21" t="s">
        <v>2333</v>
      </c>
      <c r="E1387" s="21" t="s">
        <v>707</v>
      </c>
      <c r="F1387" s="21" t="s">
        <v>724</v>
      </c>
      <c r="G1387" s="21" t="s">
        <v>833</v>
      </c>
    </row>
    <row r="1388" customFormat="false" ht="15" hidden="false" customHeight="false" outlineLevel="0" collapsed="false">
      <c r="B1388" s="19" t="s">
        <v>2334</v>
      </c>
      <c r="C1388" s="20" t="n">
        <f aca="false">ROUND(5/FX,2)</f>
        <v>0.69</v>
      </c>
      <c r="D1388" s="21" t="s">
        <v>2333</v>
      </c>
      <c r="E1388" s="21" t="s">
        <v>714</v>
      </c>
      <c r="F1388" s="21" t="s">
        <v>724</v>
      </c>
      <c r="G1388" s="21" t="s">
        <v>833</v>
      </c>
    </row>
    <row r="1389" customFormat="false" ht="15" hidden="false" customHeight="false" outlineLevel="0" collapsed="false">
      <c r="B1389" s="19" t="s">
        <v>2335</v>
      </c>
      <c r="C1389" s="20" t="n">
        <f aca="false">ROUND(3.12/FX,2)</f>
        <v>0.43</v>
      </c>
      <c r="D1389" s="21" t="s">
        <v>2333</v>
      </c>
      <c r="E1389" s="21" t="s">
        <v>716</v>
      </c>
      <c r="F1389" s="21" t="s">
        <v>724</v>
      </c>
      <c r="G1389" s="21" t="s">
        <v>833</v>
      </c>
    </row>
    <row r="1390" customFormat="false" ht="15" hidden="false" customHeight="false" outlineLevel="0" collapsed="false">
      <c r="B1390" s="19" t="s">
        <v>2336</v>
      </c>
      <c r="C1390" s="20" t="n">
        <f aca="false">ROUND(1.56/FX,2)</f>
        <v>0.22</v>
      </c>
      <c r="D1390" s="21" t="s">
        <v>2333</v>
      </c>
      <c r="E1390" s="21" t="s">
        <v>2246</v>
      </c>
      <c r="F1390" s="21" t="s">
        <v>724</v>
      </c>
      <c r="G1390" s="21" t="s">
        <v>833</v>
      </c>
    </row>
    <row r="1391" customFormat="false" ht="15" hidden="false" customHeight="false" outlineLevel="0" collapsed="false">
      <c r="B1391" s="19" t="s">
        <v>2337</v>
      </c>
      <c r="C1391" s="20" t="n">
        <f aca="false">ROUND(3/FX,2)</f>
        <v>0.42</v>
      </c>
      <c r="D1391" s="21" t="s">
        <v>2333</v>
      </c>
      <c r="E1391" s="21" t="s">
        <v>719</v>
      </c>
      <c r="F1391" s="21" t="s">
        <v>724</v>
      </c>
      <c r="G1391" s="21" t="s">
        <v>833</v>
      </c>
    </row>
    <row r="1392" customFormat="false" ht="15" hidden="false" customHeight="false" outlineLevel="0" collapsed="false">
      <c r="B1392" s="19" t="s">
        <v>2338</v>
      </c>
      <c r="C1392" s="20" t="n">
        <f aca="false">ROUND(3/FX,2)</f>
        <v>0.42</v>
      </c>
      <c r="D1392" s="21" t="s">
        <v>2339</v>
      </c>
      <c r="E1392" s="21" t="s">
        <v>707</v>
      </c>
      <c r="F1392" s="21" t="s">
        <v>724</v>
      </c>
      <c r="G1392" s="21" t="s">
        <v>833</v>
      </c>
    </row>
    <row r="1393" customFormat="false" ht="15" hidden="false" customHeight="false" outlineLevel="0" collapsed="false">
      <c r="B1393" s="19" t="s">
        <v>2340</v>
      </c>
      <c r="C1393" s="20" t="n">
        <f aca="false">ROUND(5/FX,2)</f>
        <v>0.69</v>
      </c>
      <c r="D1393" s="21" t="s">
        <v>2339</v>
      </c>
      <c r="E1393" s="21" t="s">
        <v>714</v>
      </c>
      <c r="F1393" s="21" t="s">
        <v>724</v>
      </c>
      <c r="G1393" s="21" t="s">
        <v>833</v>
      </c>
    </row>
    <row r="1394" customFormat="false" ht="15" hidden="false" customHeight="false" outlineLevel="0" collapsed="false">
      <c r="B1394" s="19" t="s">
        <v>2341</v>
      </c>
      <c r="C1394" s="20" t="n">
        <f aca="false">ROUND(3.12/FX,2)</f>
        <v>0.43</v>
      </c>
      <c r="D1394" s="21" t="s">
        <v>2339</v>
      </c>
      <c r="E1394" s="21" t="s">
        <v>716</v>
      </c>
      <c r="F1394" s="21" t="s">
        <v>724</v>
      </c>
      <c r="G1394" s="21" t="s">
        <v>833</v>
      </c>
    </row>
    <row r="1395" customFormat="false" ht="15" hidden="false" customHeight="false" outlineLevel="0" collapsed="false">
      <c r="B1395" s="19" t="s">
        <v>2342</v>
      </c>
      <c r="C1395" s="20" t="n">
        <f aca="false">ROUND(1.56/FX,2)</f>
        <v>0.22</v>
      </c>
      <c r="D1395" s="21" t="s">
        <v>2339</v>
      </c>
      <c r="E1395" s="21" t="s">
        <v>2246</v>
      </c>
      <c r="F1395" s="21" t="s">
        <v>724</v>
      </c>
      <c r="G1395" s="21" t="s">
        <v>833</v>
      </c>
    </row>
    <row r="1396" customFormat="false" ht="15" hidden="false" customHeight="false" outlineLevel="0" collapsed="false">
      <c r="B1396" s="19" t="s">
        <v>2343</v>
      </c>
      <c r="C1396" s="20" t="n">
        <f aca="false">ROUND(3/FX,2)</f>
        <v>0.42</v>
      </c>
      <c r="D1396" s="21" t="s">
        <v>2339</v>
      </c>
      <c r="E1396" s="21" t="s">
        <v>719</v>
      </c>
      <c r="F1396" s="21" t="s">
        <v>724</v>
      </c>
      <c r="G1396" s="21" t="s">
        <v>833</v>
      </c>
    </row>
    <row r="1397" customFormat="false" ht="15" hidden="false" customHeight="false" outlineLevel="0" collapsed="false">
      <c r="B1397" s="19" t="s">
        <v>2344</v>
      </c>
      <c r="C1397" s="20" t="n">
        <f aca="false">ROUND(6.93/FX,2)</f>
        <v>0.96</v>
      </c>
      <c r="D1397" s="21" t="s">
        <v>2345</v>
      </c>
      <c r="E1397" s="21" t="s">
        <v>707</v>
      </c>
      <c r="F1397" s="21" t="s">
        <v>724</v>
      </c>
      <c r="G1397" s="21" t="s">
        <v>833</v>
      </c>
    </row>
    <row r="1398" customFormat="false" ht="15" hidden="false" customHeight="false" outlineLevel="0" collapsed="false">
      <c r="B1398" s="19" t="s">
        <v>2346</v>
      </c>
      <c r="C1398" s="20" t="n">
        <f aca="false">ROUND(5/FX,2)</f>
        <v>0.69</v>
      </c>
      <c r="D1398" s="21" t="s">
        <v>2345</v>
      </c>
      <c r="E1398" s="21" t="s">
        <v>714</v>
      </c>
      <c r="F1398" s="21" t="s">
        <v>724</v>
      </c>
      <c r="G1398" s="21" t="s">
        <v>833</v>
      </c>
    </row>
    <row r="1399" customFormat="false" ht="15" hidden="false" customHeight="false" outlineLevel="0" collapsed="false">
      <c r="B1399" s="19" t="s">
        <v>2347</v>
      </c>
      <c r="C1399" s="20" t="n">
        <f aca="false">ROUND(2.85/FX,2)</f>
        <v>0.4</v>
      </c>
      <c r="D1399" s="21" t="s">
        <v>2345</v>
      </c>
      <c r="E1399" s="21" t="s">
        <v>716</v>
      </c>
      <c r="F1399" s="21" t="s">
        <v>724</v>
      </c>
      <c r="G1399" s="21" t="s">
        <v>833</v>
      </c>
    </row>
    <row r="1400" customFormat="false" ht="15" hidden="false" customHeight="false" outlineLevel="0" collapsed="false">
      <c r="B1400" s="19" t="s">
        <v>2348</v>
      </c>
      <c r="C1400" s="20" t="n">
        <f aca="false">ROUND(1.56/FX,2)</f>
        <v>0.22</v>
      </c>
      <c r="D1400" s="21" t="s">
        <v>2345</v>
      </c>
      <c r="E1400" s="21" t="s">
        <v>2246</v>
      </c>
      <c r="F1400" s="21" t="s">
        <v>724</v>
      </c>
      <c r="G1400" s="21" t="s">
        <v>833</v>
      </c>
    </row>
    <row r="1401" customFormat="false" ht="15" hidden="false" customHeight="false" outlineLevel="0" collapsed="false">
      <c r="B1401" s="19" t="s">
        <v>2349</v>
      </c>
      <c r="C1401" s="20" t="n">
        <f aca="false">ROUND(3/FX,2)</f>
        <v>0.42</v>
      </c>
      <c r="D1401" s="21" t="s">
        <v>2345</v>
      </c>
      <c r="E1401" s="21" t="s">
        <v>719</v>
      </c>
      <c r="F1401" s="21" t="s">
        <v>724</v>
      </c>
      <c r="G1401" s="21" t="s">
        <v>833</v>
      </c>
    </row>
    <row r="1402" customFormat="false" ht="15" hidden="false" customHeight="false" outlineLevel="0" collapsed="false">
      <c r="B1402" s="19" t="s">
        <v>2350</v>
      </c>
      <c r="C1402" s="20" t="n">
        <f aca="false">ROUND(6.93/FX,2)</f>
        <v>0.96</v>
      </c>
      <c r="D1402" s="21" t="s">
        <v>2351</v>
      </c>
      <c r="E1402" s="21" t="s">
        <v>707</v>
      </c>
      <c r="F1402" s="21" t="s">
        <v>724</v>
      </c>
      <c r="G1402" s="21" t="s">
        <v>833</v>
      </c>
    </row>
    <row r="1403" customFormat="false" ht="15" hidden="false" customHeight="false" outlineLevel="0" collapsed="false">
      <c r="B1403" s="19" t="s">
        <v>2352</v>
      </c>
      <c r="C1403" s="20" t="n">
        <f aca="false">ROUND(5/FX,2)</f>
        <v>0.69</v>
      </c>
      <c r="D1403" s="21" t="s">
        <v>2351</v>
      </c>
      <c r="E1403" s="21" t="s">
        <v>714</v>
      </c>
      <c r="F1403" s="21" t="s">
        <v>724</v>
      </c>
      <c r="G1403" s="21" t="s">
        <v>833</v>
      </c>
    </row>
    <row r="1404" customFormat="false" ht="15" hidden="false" customHeight="false" outlineLevel="0" collapsed="false">
      <c r="B1404" s="19" t="s">
        <v>2353</v>
      </c>
      <c r="C1404" s="20" t="n">
        <f aca="false">ROUND(3.32/FX,2)</f>
        <v>0.46</v>
      </c>
      <c r="D1404" s="21" t="s">
        <v>2351</v>
      </c>
      <c r="E1404" s="21" t="s">
        <v>716</v>
      </c>
      <c r="F1404" s="21" t="s">
        <v>724</v>
      </c>
      <c r="G1404" s="21" t="s">
        <v>833</v>
      </c>
    </row>
    <row r="1405" customFormat="false" ht="15" hidden="false" customHeight="false" outlineLevel="0" collapsed="false">
      <c r="B1405" s="19" t="s">
        <v>2354</v>
      </c>
      <c r="C1405" s="20" t="n">
        <f aca="false">ROUND(1.56/FX,2)</f>
        <v>0.22</v>
      </c>
      <c r="D1405" s="21" t="s">
        <v>2351</v>
      </c>
      <c r="E1405" s="21" t="s">
        <v>2246</v>
      </c>
      <c r="F1405" s="21" t="s">
        <v>724</v>
      </c>
      <c r="G1405" s="21" t="s">
        <v>833</v>
      </c>
    </row>
    <row r="1406" customFormat="false" ht="15" hidden="false" customHeight="false" outlineLevel="0" collapsed="false">
      <c r="B1406" s="19" t="s">
        <v>2355</v>
      </c>
      <c r="C1406" s="20" t="n">
        <f aca="false">ROUND(3/FX,2)</f>
        <v>0.42</v>
      </c>
      <c r="D1406" s="21" t="s">
        <v>2351</v>
      </c>
      <c r="E1406" s="21" t="s">
        <v>719</v>
      </c>
      <c r="F1406" s="21" t="s">
        <v>724</v>
      </c>
      <c r="G1406" s="21" t="s">
        <v>833</v>
      </c>
    </row>
    <row r="1407" customFormat="false" ht="15" hidden="false" customHeight="false" outlineLevel="0" collapsed="false">
      <c r="B1407" s="19" t="s">
        <v>2356</v>
      </c>
      <c r="C1407" s="20" t="n">
        <f aca="false">ROUND(3.47/FX,2)</f>
        <v>0.48</v>
      </c>
      <c r="D1407" s="21" t="s">
        <v>2357</v>
      </c>
      <c r="E1407" s="21" t="s">
        <v>707</v>
      </c>
      <c r="F1407" s="21" t="s">
        <v>724</v>
      </c>
      <c r="G1407" s="21" t="s">
        <v>833</v>
      </c>
    </row>
    <row r="1408" customFormat="false" ht="15" hidden="false" customHeight="false" outlineLevel="0" collapsed="false">
      <c r="B1408" s="19" t="s">
        <v>2358</v>
      </c>
      <c r="C1408" s="20" t="n">
        <f aca="false">ROUND(5.2/FX,2)</f>
        <v>0.72</v>
      </c>
      <c r="D1408" s="21" t="s">
        <v>2357</v>
      </c>
      <c r="E1408" s="21" t="s">
        <v>714</v>
      </c>
      <c r="F1408" s="21" t="s">
        <v>724</v>
      </c>
      <c r="G1408" s="21" t="s">
        <v>833</v>
      </c>
    </row>
    <row r="1409" customFormat="false" ht="15" hidden="false" customHeight="false" outlineLevel="0" collapsed="false">
      <c r="B1409" s="19" t="s">
        <v>2359</v>
      </c>
      <c r="C1409" s="20" t="n">
        <f aca="false">ROUND(3.25/FX,2)</f>
        <v>0.45</v>
      </c>
      <c r="D1409" s="21" t="s">
        <v>2357</v>
      </c>
      <c r="E1409" s="21" t="s">
        <v>716</v>
      </c>
      <c r="F1409" s="21" t="s">
        <v>724</v>
      </c>
      <c r="G1409" s="21" t="s">
        <v>833</v>
      </c>
    </row>
    <row r="1410" customFormat="false" ht="15" hidden="false" customHeight="false" outlineLevel="0" collapsed="false">
      <c r="B1410" s="19" t="s">
        <v>2360</v>
      </c>
      <c r="C1410" s="20" t="n">
        <f aca="false">ROUND(1.56/FX,2)</f>
        <v>0.22</v>
      </c>
      <c r="D1410" s="21" t="s">
        <v>2357</v>
      </c>
      <c r="E1410" s="21" t="s">
        <v>2246</v>
      </c>
      <c r="F1410" s="21" t="s">
        <v>724</v>
      </c>
      <c r="G1410" s="21" t="s">
        <v>833</v>
      </c>
    </row>
    <row r="1411" customFormat="false" ht="15" hidden="false" customHeight="false" outlineLevel="0" collapsed="false">
      <c r="B1411" s="19" t="s">
        <v>2361</v>
      </c>
      <c r="C1411" s="20" t="n">
        <f aca="false">ROUND(2.99/FX,2)</f>
        <v>0.42</v>
      </c>
      <c r="D1411" s="21" t="s">
        <v>2357</v>
      </c>
      <c r="E1411" s="21" t="s">
        <v>719</v>
      </c>
      <c r="F1411" s="21" t="s">
        <v>724</v>
      </c>
      <c r="G1411" s="21" t="s">
        <v>833</v>
      </c>
    </row>
    <row r="1412" customFormat="false" ht="15" hidden="false" customHeight="false" outlineLevel="0" collapsed="false">
      <c r="B1412" s="19" t="s">
        <v>2362</v>
      </c>
      <c r="C1412" s="20" t="n">
        <f aca="false">ROUND(5.53/FX,2)</f>
        <v>0.77</v>
      </c>
      <c r="D1412" s="21" t="s">
        <v>2363</v>
      </c>
      <c r="E1412" s="21" t="s">
        <v>707</v>
      </c>
      <c r="F1412" s="21" t="s">
        <v>724</v>
      </c>
      <c r="G1412" s="21" t="s">
        <v>833</v>
      </c>
    </row>
    <row r="1413" customFormat="false" ht="15" hidden="false" customHeight="false" outlineLevel="0" collapsed="false">
      <c r="B1413" s="19" t="s">
        <v>2364</v>
      </c>
      <c r="C1413" s="20" t="n">
        <f aca="false">ROUND(10.73/FX,2)</f>
        <v>1.49</v>
      </c>
      <c r="D1413" s="21" t="s">
        <v>2363</v>
      </c>
      <c r="E1413" s="21" t="s">
        <v>714</v>
      </c>
      <c r="F1413" s="21" t="s">
        <v>724</v>
      </c>
      <c r="G1413" s="21" t="s">
        <v>833</v>
      </c>
    </row>
    <row r="1414" customFormat="false" ht="15" hidden="false" customHeight="false" outlineLevel="0" collapsed="false">
      <c r="B1414" s="19" t="s">
        <v>2365</v>
      </c>
      <c r="C1414" s="20" t="n">
        <f aca="false">ROUND(2.86/FX,2)</f>
        <v>0.4</v>
      </c>
      <c r="D1414" s="21" t="s">
        <v>2363</v>
      </c>
      <c r="E1414" s="21" t="s">
        <v>716</v>
      </c>
      <c r="F1414" s="21" t="s">
        <v>724</v>
      </c>
      <c r="G1414" s="21" t="s">
        <v>833</v>
      </c>
    </row>
    <row r="1415" customFormat="false" ht="15" hidden="false" customHeight="false" outlineLevel="0" collapsed="false">
      <c r="B1415" s="19" t="s">
        <v>2366</v>
      </c>
      <c r="C1415" s="20" t="n">
        <f aca="false">ROUND(1.56/FX,2)</f>
        <v>0.22</v>
      </c>
      <c r="D1415" s="21" t="s">
        <v>2363</v>
      </c>
      <c r="E1415" s="21" t="s">
        <v>2246</v>
      </c>
      <c r="F1415" s="21" t="s">
        <v>724</v>
      </c>
      <c r="G1415" s="21" t="s">
        <v>833</v>
      </c>
    </row>
    <row r="1416" customFormat="false" ht="15" hidden="false" customHeight="false" outlineLevel="0" collapsed="false">
      <c r="B1416" s="19" t="s">
        <v>2367</v>
      </c>
      <c r="C1416" s="20" t="n">
        <f aca="false">ROUND(1.56/FX,2)</f>
        <v>0.22</v>
      </c>
      <c r="D1416" s="21" t="s">
        <v>2363</v>
      </c>
      <c r="E1416" s="21" t="s">
        <v>719</v>
      </c>
      <c r="F1416" s="21" t="s">
        <v>724</v>
      </c>
      <c r="G1416" s="21" t="s">
        <v>833</v>
      </c>
    </row>
    <row r="1417" customFormat="false" ht="15" hidden="false" customHeight="false" outlineLevel="0" collapsed="false">
      <c r="B1417" s="19" t="s">
        <v>2368</v>
      </c>
      <c r="C1417" s="20" t="n">
        <f aca="false">ROUND(2.86/FX,2)</f>
        <v>0.4</v>
      </c>
      <c r="D1417" s="21" t="s">
        <v>2369</v>
      </c>
      <c r="E1417" s="21" t="s">
        <v>707</v>
      </c>
      <c r="F1417" s="21" t="s">
        <v>724</v>
      </c>
      <c r="G1417" s="21" t="s">
        <v>833</v>
      </c>
    </row>
    <row r="1418" customFormat="false" ht="15" hidden="false" customHeight="false" outlineLevel="0" collapsed="false">
      <c r="B1418" s="19" t="s">
        <v>2370</v>
      </c>
      <c r="C1418" s="20" t="n">
        <f aca="false">ROUND(2.86/FX,2)</f>
        <v>0.4</v>
      </c>
      <c r="D1418" s="21" t="s">
        <v>2369</v>
      </c>
      <c r="E1418" s="21" t="s">
        <v>714</v>
      </c>
      <c r="F1418" s="21" t="s">
        <v>724</v>
      </c>
      <c r="G1418" s="21" t="s">
        <v>833</v>
      </c>
    </row>
    <row r="1419" customFormat="false" ht="15" hidden="false" customHeight="false" outlineLevel="0" collapsed="false">
      <c r="B1419" s="19" t="s">
        <v>2371</v>
      </c>
      <c r="C1419" s="20" t="n">
        <f aca="false">ROUND(3.38/FX,2)</f>
        <v>0.47</v>
      </c>
      <c r="D1419" s="21" t="s">
        <v>2369</v>
      </c>
      <c r="E1419" s="21" t="s">
        <v>716</v>
      </c>
      <c r="F1419" s="21" t="s">
        <v>724</v>
      </c>
      <c r="G1419" s="21" t="s">
        <v>833</v>
      </c>
    </row>
    <row r="1420" customFormat="false" ht="15" hidden="false" customHeight="false" outlineLevel="0" collapsed="false">
      <c r="B1420" s="19" t="s">
        <v>2372</v>
      </c>
      <c r="C1420" s="20" t="n">
        <f aca="false">ROUND(2.86/FX,2)</f>
        <v>0.4</v>
      </c>
      <c r="D1420" s="21" t="s">
        <v>2369</v>
      </c>
      <c r="E1420" s="21" t="s">
        <v>2246</v>
      </c>
      <c r="F1420" s="21" t="s">
        <v>724</v>
      </c>
      <c r="G1420" s="21" t="s">
        <v>833</v>
      </c>
    </row>
    <row r="1421" customFormat="false" ht="15" hidden="false" customHeight="false" outlineLevel="0" collapsed="false">
      <c r="B1421" s="19" t="s">
        <v>2373</v>
      </c>
      <c r="C1421" s="20" t="n">
        <f aca="false">ROUND(2.86/FX,2)</f>
        <v>0.4</v>
      </c>
      <c r="D1421" s="21" t="s">
        <v>2369</v>
      </c>
      <c r="E1421" s="21" t="s">
        <v>719</v>
      </c>
      <c r="F1421" s="21" t="s">
        <v>724</v>
      </c>
      <c r="G1421" s="21" t="s">
        <v>833</v>
      </c>
    </row>
    <row r="1422" customFormat="false" ht="15" hidden="false" customHeight="false" outlineLevel="0" collapsed="false">
      <c r="B1422" s="19" t="s">
        <v>2374</v>
      </c>
      <c r="C1422" s="20" t="n">
        <f aca="false">ROUND(3.47/FX,2)</f>
        <v>0.48</v>
      </c>
      <c r="D1422" s="21" t="s">
        <v>2375</v>
      </c>
      <c r="E1422" s="21" t="s">
        <v>707</v>
      </c>
      <c r="F1422" s="21" t="s">
        <v>724</v>
      </c>
      <c r="G1422" s="21" t="s">
        <v>833</v>
      </c>
    </row>
    <row r="1423" customFormat="false" ht="15" hidden="false" customHeight="false" outlineLevel="0" collapsed="false">
      <c r="B1423" s="19" t="s">
        <v>2376</v>
      </c>
      <c r="C1423" s="20" t="n">
        <f aca="false">ROUND(5.2/FX,2)</f>
        <v>0.72</v>
      </c>
      <c r="D1423" s="21" t="s">
        <v>2375</v>
      </c>
      <c r="E1423" s="21" t="s">
        <v>714</v>
      </c>
      <c r="F1423" s="21" t="s">
        <v>724</v>
      </c>
      <c r="G1423" s="21" t="s">
        <v>833</v>
      </c>
    </row>
    <row r="1424" customFormat="false" ht="15" hidden="false" customHeight="false" outlineLevel="0" collapsed="false">
      <c r="B1424" s="19" t="s">
        <v>2377</v>
      </c>
      <c r="C1424" s="20" t="n">
        <f aca="false">ROUND(3.38/FX,2)</f>
        <v>0.47</v>
      </c>
      <c r="D1424" s="21" t="s">
        <v>2375</v>
      </c>
      <c r="E1424" s="21" t="s">
        <v>716</v>
      </c>
      <c r="F1424" s="21" t="s">
        <v>724</v>
      </c>
      <c r="G1424" s="21" t="s">
        <v>833</v>
      </c>
    </row>
    <row r="1425" customFormat="false" ht="15" hidden="false" customHeight="false" outlineLevel="0" collapsed="false">
      <c r="B1425" s="19" t="s">
        <v>2378</v>
      </c>
      <c r="C1425" s="20" t="n">
        <f aca="false">ROUND(1.95/FX,2)</f>
        <v>0.27</v>
      </c>
      <c r="D1425" s="21" t="s">
        <v>2375</v>
      </c>
      <c r="E1425" s="21" t="s">
        <v>719</v>
      </c>
      <c r="F1425" s="21" t="s">
        <v>724</v>
      </c>
      <c r="G1425" s="21" t="s">
        <v>833</v>
      </c>
    </row>
    <row r="1426" customFormat="false" ht="15" hidden="false" customHeight="false" outlineLevel="0" collapsed="false">
      <c r="B1426" s="19" t="s">
        <v>2379</v>
      </c>
      <c r="C1426" s="20" t="n">
        <f aca="false">ROUND(3.68/FX,2)</f>
        <v>0.51</v>
      </c>
      <c r="D1426" s="21" t="s">
        <v>2380</v>
      </c>
      <c r="E1426" s="21" t="s">
        <v>707</v>
      </c>
      <c r="F1426" s="21" t="s">
        <v>724</v>
      </c>
      <c r="G1426" s="21" t="s">
        <v>833</v>
      </c>
    </row>
    <row r="1427" customFormat="false" ht="15" hidden="false" customHeight="false" outlineLevel="0" collapsed="false">
      <c r="B1427" s="19" t="s">
        <v>2381</v>
      </c>
      <c r="C1427" s="20" t="n">
        <f aca="false">ROUND(5.2/FX,2)</f>
        <v>0.72</v>
      </c>
      <c r="D1427" s="21" t="s">
        <v>2380</v>
      </c>
      <c r="E1427" s="21" t="s">
        <v>714</v>
      </c>
      <c r="F1427" s="21" t="s">
        <v>724</v>
      </c>
      <c r="G1427" s="21" t="s">
        <v>833</v>
      </c>
    </row>
    <row r="1428" customFormat="false" ht="15" hidden="false" customHeight="false" outlineLevel="0" collapsed="false">
      <c r="B1428" s="19" t="s">
        <v>2382</v>
      </c>
      <c r="C1428" s="20" t="n">
        <f aca="false">ROUND(3.38/FX,2)</f>
        <v>0.47</v>
      </c>
      <c r="D1428" s="21" t="s">
        <v>2380</v>
      </c>
      <c r="E1428" s="21" t="s">
        <v>716</v>
      </c>
      <c r="F1428" s="21" t="s">
        <v>724</v>
      </c>
      <c r="G1428" s="21" t="s">
        <v>833</v>
      </c>
    </row>
    <row r="1429" customFormat="false" ht="15" hidden="false" customHeight="false" outlineLevel="0" collapsed="false">
      <c r="B1429" s="19" t="s">
        <v>2383</v>
      </c>
      <c r="C1429" s="20" t="n">
        <f aca="false">ROUND(1.95/FX,2)</f>
        <v>0.27</v>
      </c>
      <c r="D1429" s="21" t="s">
        <v>2380</v>
      </c>
      <c r="E1429" s="21" t="s">
        <v>719</v>
      </c>
      <c r="F1429" s="21" t="s">
        <v>724</v>
      </c>
      <c r="G1429" s="21" t="s">
        <v>833</v>
      </c>
    </row>
    <row r="1430" customFormat="false" ht="15" hidden="false" customHeight="false" outlineLevel="0" collapsed="false">
      <c r="B1430" s="19" t="s">
        <v>2384</v>
      </c>
      <c r="C1430" s="20" t="n">
        <f aca="false">ROUND(3.68/FX,2)</f>
        <v>0.51</v>
      </c>
      <c r="D1430" s="21" t="s">
        <v>2385</v>
      </c>
      <c r="E1430" s="21" t="s">
        <v>707</v>
      </c>
      <c r="F1430" s="21" t="s">
        <v>724</v>
      </c>
      <c r="G1430" s="21" t="s">
        <v>833</v>
      </c>
    </row>
    <row r="1431" customFormat="false" ht="15" hidden="false" customHeight="false" outlineLevel="0" collapsed="false">
      <c r="B1431" s="19" t="s">
        <v>2386</v>
      </c>
      <c r="C1431" s="20" t="n">
        <f aca="false">ROUND(5.2/FX,2)</f>
        <v>0.72</v>
      </c>
      <c r="D1431" s="21" t="s">
        <v>2385</v>
      </c>
      <c r="E1431" s="21" t="s">
        <v>714</v>
      </c>
      <c r="F1431" s="21" t="s">
        <v>724</v>
      </c>
      <c r="G1431" s="21" t="s">
        <v>833</v>
      </c>
    </row>
    <row r="1432" customFormat="false" ht="15" hidden="false" customHeight="false" outlineLevel="0" collapsed="false">
      <c r="B1432" s="19" t="s">
        <v>2387</v>
      </c>
      <c r="C1432" s="20" t="n">
        <f aca="false">ROUND(4.42/FX,2)</f>
        <v>0.61</v>
      </c>
      <c r="D1432" s="21" t="s">
        <v>2385</v>
      </c>
      <c r="E1432" s="21" t="s">
        <v>716</v>
      </c>
      <c r="F1432" s="21" t="s">
        <v>724</v>
      </c>
      <c r="G1432" s="21" t="s">
        <v>833</v>
      </c>
    </row>
    <row r="1433" customFormat="false" ht="15" hidden="false" customHeight="false" outlineLevel="0" collapsed="false">
      <c r="B1433" s="19" t="s">
        <v>2388</v>
      </c>
      <c r="C1433" s="20" t="n">
        <f aca="false">ROUND(1.95/FX,2)</f>
        <v>0.27</v>
      </c>
      <c r="D1433" s="21" t="s">
        <v>2385</v>
      </c>
      <c r="E1433" s="21" t="s">
        <v>719</v>
      </c>
      <c r="F1433" s="21" t="s">
        <v>724</v>
      </c>
      <c r="G1433" s="21" t="s">
        <v>833</v>
      </c>
    </row>
    <row r="1434" customFormat="false" ht="15" hidden="false" customHeight="false" outlineLevel="0" collapsed="false">
      <c r="B1434" s="19" t="s">
        <v>2389</v>
      </c>
      <c r="C1434" s="20" t="n">
        <f aca="false">ROUND(3.68/FX,2)</f>
        <v>0.51</v>
      </c>
      <c r="D1434" s="21" t="s">
        <v>2390</v>
      </c>
      <c r="E1434" s="21" t="s">
        <v>707</v>
      </c>
      <c r="F1434" s="21" t="s">
        <v>724</v>
      </c>
      <c r="G1434" s="21" t="s">
        <v>833</v>
      </c>
    </row>
    <row r="1435" customFormat="false" ht="15" hidden="false" customHeight="false" outlineLevel="0" collapsed="false">
      <c r="B1435" s="19" t="s">
        <v>2391</v>
      </c>
      <c r="C1435" s="20" t="n">
        <f aca="false">ROUND(5.2/FX,2)</f>
        <v>0.72</v>
      </c>
      <c r="D1435" s="21" t="s">
        <v>2390</v>
      </c>
      <c r="E1435" s="21" t="s">
        <v>714</v>
      </c>
      <c r="F1435" s="21" t="s">
        <v>724</v>
      </c>
      <c r="G1435" s="21" t="s">
        <v>833</v>
      </c>
    </row>
    <row r="1436" customFormat="false" ht="15" hidden="false" customHeight="false" outlineLevel="0" collapsed="false">
      <c r="B1436" s="19" t="s">
        <v>2392</v>
      </c>
      <c r="C1436" s="20" t="n">
        <f aca="false">ROUND(4.42/FX,2)</f>
        <v>0.61</v>
      </c>
      <c r="D1436" s="21" t="s">
        <v>2390</v>
      </c>
      <c r="E1436" s="21" t="s">
        <v>716</v>
      </c>
      <c r="F1436" s="21" t="s">
        <v>724</v>
      </c>
      <c r="G1436" s="21" t="s">
        <v>833</v>
      </c>
    </row>
    <row r="1437" customFormat="false" ht="15" hidden="false" customHeight="false" outlineLevel="0" collapsed="false">
      <c r="B1437" s="19" t="s">
        <v>2393</v>
      </c>
      <c r="C1437" s="20" t="n">
        <f aca="false">ROUND(1.95/FX,2)</f>
        <v>0.27</v>
      </c>
      <c r="D1437" s="21" t="s">
        <v>2390</v>
      </c>
      <c r="E1437" s="21" t="s">
        <v>719</v>
      </c>
      <c r="F1437" s="21" t="s">
        <v>724</v>
      </c>
      <c r="G1437" s="21" t="s">
        <v>833</v>
      </c>
    </row>
    <row r="1438" customFormat="false" ht="15" hidden="false" customHeight="false" outlineLevel="0" collapsed="false">
      <c r="B1438" s="19" t="s">
        <v>2394</v>
      </c>
      <c r="C1438" s="20" t="n">
        <f aca="false">ROUND(3.68/FX,2)</f>
        <v>0.51</v>
      </c>
      <c r="D1438" s="21" t="s">
        <v>2395</v>
      </c>
      <c r="E1438" s="21" t="s">
        <v>707</v>
      </c>
      <c r="F1438" s="21" t="s">
        <v>724</v>
      </c>
      <c r="G1438" s="21" t="s">
        <v>833</v>
      </c>
    </row>
    <row r="1439" customFormat="false" ht="15" hidden="false" customHeight="false" outlineLevel="0" collapsed="false">
      <c r="B1439" s="19" t="s">
        <v>2396</v>
      </c>
      <c r="C1439" s="20" t="n">
        <f aca="false">ROUND(5.2/FX,2)</f>
        <v>0.72</v>
      </c>
      <c r="D1439" s="21" t="s">
        <v>2395</v>
      </c>
      <c r="E1439" s="21" t="s">
        <v>714</v>
      </c>
      <c r="F1439" s="21" t="s">
        <v>724</v>
      </c>
      <c r="G1439" s="21" t="s">
        <v>833</v>
      </c>
    </row>
    <row r="1440" customFormat="false" ht="15" hidden="false" customHeight="false" outlineLevel="0" collapsed="false">
      <c r="B1440" s="19" t="s">
        <v>2397</v>
      </c>
      <c r="C1440" s="20" t="n">
        <f aca="false">ROUND(4.42/FX,2)</f>
        <v>0.61</v>
      </c>
      <c r="D1440" s="21" t="s">
        <v>2395</v>
      </c>
      <c r="E1440" s="21" t="s">
        <v>716</v>
      </c>
      <c r="F1440" s="21" t="s">
        <v>724</v>
      </c>
      <c r="G1440" s="21" t="s">
        <v>833</v>
      </c>
    </row>
    <row r="1441" customFormat="false" ht="15" hidden="false" customHeight="false" outlineLevel="0" collapsed="false">
      <c r="B1441" s="19" t="s">
        <v>2398</v>
      </c>
      <c r="C1441" s="20" t="n">
        <f aca="false">ROUND(1.95/FX,2)</f>
        <v>0.27</v>
      </c>
      <c r="D1441" s="21" t="s">
        <v>2395</v>
      </c>
      <c r="E1441" s="21" t="s">
        <v>719</v>
      </c>
      <c r="F1441" s="21" t="s">
        <v>724</v>
      </c>
      <c r="G1441" s="21" t="s">
        <v>833</v>
      </c>
    </row>
    <row r="1442" customFormat="false" ht="15" hidden="false" customHeight="false" outlineLevel="0" collapsed="false">
      <c r="B1442" s="19" t="s">
        <v>2399</v>
      </c>
      <c r="C1442" s="20" t="n">
        <f aca="false">ROUND(5.11/FX,2)</f>
        <v>0.71</v>
      </c>
      <c r="D1442" s="21" t="s">
        <v>2400</v>
      </c>
      <c r="E1442" s="21" t="s">
        <v>707</v>
      </c>
      <c r="F1442" s="21" t="s">
        <v>724</v>
      </c>
      <c r="G1442" s="21" t="s">
        <v>833</v>
      </c>
    </row>
    <row r="1443" customFormat="false" ht="15" hidden="false" customHeight="false" outlineLevel="0" collapsed="false">
      <c r="B1443" s="19" t="s">
        <v>2401</v>
      </c>
      <c r="C1443" s="20" t="n">
        <f aca="false">ROUND(5.2/FX,2)</f>
        <v>0.72</v>
      </c>
      <c r="D1443" s="21" t="s">
        <v>2400</v>
      </c>
      <c r="E1443" s="21" t="s">
        <v>714</v>
      </c>
      <c r="F1443" s="21" t="s">
        <v>724</v>
      </c>
      <c r="G1443" s="21" t="s">
        <v>833</v>
      </c>
    </row>
    <row r="1444" customFormat="false" ht="15" hidden="false" customHeight="false" outlineLevel="0" collapsed="false">
      <c r="B1444" s="19" t="s">
        <v>2402</v>
      </c>
      <c r="C1444" s="20" t="n">
        <f aca="false">ROUND(3.51/FX,2)</f>
        <v>0.49</v>
      </c>
      <c r="D1444" s="21" t="s">
        <v>2400</v>
      </c>
      <c r="E1444" s="21" t="s">
        <v>716</v>
      </c>
      <c r="F1444" s="21" t="s">
        <v>724</v>
      </c>
      <c r="G1444" s="21" t="s">
        <v>833</v>
      </c>
    </row>
    <row r="1445" customFormat="false" ht="15" hidden="false" customHeight="false" outlineLevel="0" collapsed="false">
      <c r="B1445" s="19" t="s">
        <v>2403</v>
      </c>
      <c r="C1445" s="20" t="n">
        <f aca="false">ROUND(1.95/FX,2)</f>
        <v>0.27</v>
      </c>
      <c r="D1445" s="21" t="s">
        <v>2400</v>
      </c>
      <c r="E1445" s="21" t="s">
        <v>719</v>
      </c>
      <c r="F1445" s="21" t="s">
        <v>724</v>
      </c>
      <c r="G1445" s="21" t="s">
        <v>833</v>
      </c>
    </row>
    <row r="1446" customFormat="false" ht="15" hidden="false" customHeight="false" outlineLevel="0" collapsed="false">
      <c r="B1446" s="19" t="s">
        <v>2404</v>
      </c>
      <c r="C1446" s="20" t="n">
        <f aca="false">ROUND(5.1/FX,2)</f>
        <v>0.71</v>
      </c>
      <c r="D1446" s="21" t="s">
        <v>2405</v>
      </c>
      <c r="E1446" s="21" t="s">
        <v>707</v>
      </c>
      <c r="F1446" s="21" t="s">
        <v>724</v>
      </c>
      <c r="G1446" s="21" t="s">
        <v>833</v>
      </c>
    </row>
    <row r="1447" customFormat="false" ht="15" hidden="false" customHeight="false" outlineLevel="0" collapsed="false">
      <c r="B1447" s="19" t="s">
        <v>2406</v>
      </c>
      <c r="C1447" s="20" t="n">
        <f aca="false">ROUND(5.85/FX,2)</f>
        <v>0.81</v>
      </c>
      <c r="D1447" s="21" t="s">
        <v>2405</v>
      </c>
      <c r="E1447" s="21" t="s">
        <v>714</v>
      </c>
      <c r="F1447" s="21" t="s">
        <v>724</v>
      </c>
      <c r="G1447" s="21" t="s">
        <v>833</v>
      </c>
    </row>
    <row r="1448" customFormat="false" ht="15" hidden="false" customHeight="false" outlineLevel="0" collapsed="false">
      <c r="B1448" s="19" t="s">
        <v>2407</v>
      </c>
      <c r="C1448" s="20" t="n">
        <f aca="false">ROUND(3.06/FX,2)</f>
        <v>0.43</v>
      </c>
      <c r="D1448" s="21" t="s">
        <v>2405</v>
      </c>
      <c r="E1448" s="21" t="s">
        <v>716</v>
      </c>
      <c r="F1448" s="21" t="s">
        <v>724</v>
      </c>
      <c r="G1448" s="21" t="s">
        <v>833</v>
      </c>
    </row>
    <row r="1449" customFormat="false" ht="15" hidden="false" customHeight="false" outlineLevel="0" collapsed="false">
      <c r="B1449" s="19" t="s">
        <v>2408</v>
      </c>
      <c r="C1449" s="20" t="n">
        <f aca="false">ROUND(1.95/FX,2)</f>
        <v>0.27</v>
      </c>
      <c r="D1449" s="21" t="s">
        <v>2405</v>
      </c>
      <c r="E1449" s="21" t="s">
        <v>719</v>
      </c>
      <c r="F1449" s="21" t="s">
        <v>724</v>
      </c>
      <c r="G1449" s="21" t="s">
        <v>833</v>
      </c>
    </row>
    <row r="1450" customFormat="false" ht="15" hidden="false" customHeight="false" outlineLevel="0" collapsed="false">
      <c r="B1450" s="19" t="s">
        <v>2409</v>
      </c>
      <c r="C1450" s="20" t="n">
        <f aca="false">ROUND(5.14/FX,2)</f>
        <v>0.71</v>
      </c>
      <c r="D1450" s="21" t="s">
        <v>2410</v>
      </c>
      <c r="E1450" s="21" t="s">
        <v>707</v>
      </c>
      <c r="F1450" s="21" t="s">
        <v>724</v>
      </c>
      <c r="G1450" s="21" t="s">
        <v>833</v>
      </c>
    </row>
    <row r="1451" customFormat="false" ht="15" hidden="false" customHeight="false" outlineLevel="0" collapsed="false">
      <c r="B1451" s="19" t="s">
        <v>2411</v>
      </c>
      <c r="C1451" s="20" t="n">
        <f aca="false">ROUND(11.31/FX,2)</f>
        <v>1.57</v>
      </c>
      <c r="D1451" s="21" t="s">
        <v>2410</v>
      </c>
      <c r="E1451" s="21" t="s">
        <v>714</v>
      </c>
      <c r="F1451" s="21" t="s">
        <v>724</v>
      </c>
      <c r="G1451" s="21" t="s">
        <v>833</v>
      </c>
    </row>
    <row r="1452" customFormat="false" ht="15" hidden="false" customHeight="false" outlineLevel="0" collapsed="false">
      <c r="B1452" s="19" t="s">
        <v>2412</v>
      </c>
      <c r="C1452" s="20" t="n">
        <f aca="false">ROUND(3.08/FX,2)</f>
        <v>0.43</v>
      </c>
      <c r="D1452" s="21" t="s">
        <v>2410</v>
      </c>
      <c r="E1452" s="21" t="s">
        <v>716</v>
      </c>
      <c r="F1452" s="21" t="s">
        <v>724</v>
      </c>
      <c r="G1452" s="21" t="s">
        <v>833</v>
      </c>
    </row>
    <row r="1453" customFormat="false" ht="15" hidden="false" customHeight="false" outlineLevel="0" collapsed="false">
      <c r="B1453" s="19" t="s">
        <v>2413</v>
      </c>
      <c r="C1453" s="20" t="n">
        <f aca="false">ROUND(4.63/FX,2)</f>
        <v>0.64</v>
      </c>
      <c r="D1453" s="21" t="s">
        <v>2410</v>
      </c>
      <c r="E1453" s="21" t="s">
        <v>719</v>
      </c>
      <c r="F1453" s="21" t="s">
        <v>724</v>
      </c>
      <c r="G1453" s="21" t="s">
        <v>833</v>
      </c>
    </row>
    <row r="1454" customFormat="false" ht="15" hidden="false" customHeight="false" outlineLevel="0" collapsed="false">
      <c r="B1454" s="19" t="s">
        <v>2414</v>
      </c>
      <c r="C1454" s="20" t="n">
        <f aca="false">ROUND(3.9/FX,2)</f>
        <v>0.54</v>
      </c>
      <c r="D1454" s="21" t="s">
        <v>2415</v>
      </c>
      <c r="E1454" s="21" t="s">
        <v>707</v>
      </c>
      <c r="F1454" s="21" t="s">
        <v>724</v>
      </c>
      <c r="G1454" s="21" t="s">
        <v>833</v>
      </c>
    </row>
    <row r="1455" customFormat="false" ht="15" hidden="false" customHeight="false" outlineLevel="0" collapsed="false">
      <c r="B1455" s="19" t="s">
        <v>2416</v>
      </c>
      <c r="C1455" s="20" t="n">
        <f aca="false">ROUND(5.85/FX,2)</f>
        <v>0.81</v>
      </c>
      <c r="D1455" s="21" t="s">
        <v>2415</v>
      </c>
      <c r="E1455" s="21" t="s">
        <v>714</v>
      </c>
      <c r="F1455" s="21" t="s">
        <v>724</v>
      </c>
      <c r="G1455" s="21" t="s">
        <v>833</v>
      </c>
    </row>
    <row r="1456" customFormat="false" ht="15" hidden="false" customHeight="false" outlineLevel="0" collapsed="false">
      <c r="B1456" s="19" t="s">
        <v>2417</v>
      </c>
      <c r="C1456" s="20" t="n">
        <f aca="false">ROUND(3.12/FX,2)</f>
        <v>0.43</v>
      </c>
      <c r="D1456" s="21" t="s">
        <v>2415</v>
      </c>
      <c r="E1456" s="21" t="s">
        <v>716</v>
      </c>
      <c r="F1456" s="21" t="s">
        <v>724</v>
      </c>
      <c r="G1456" s="21" t="s">
        <v>833</v>
      </c>
    </row>
    <row r="1457" customFormat="false" ht="15" hidden="false" customHeight="false" outlineLevel="0" collapsed="false">
      <c r="B1457" s="19" t="s">
        <v>2418</v>
      </c>
      <c r="C1457" s="20" t="n">
        <f aca="false">ROUND(1.95/FX,2)</f>
        <v>0.27</v>
      </c>
      <c r="D1457" s="21" t="s">
        <v>2415</v>
      </c>
      <c r="E1457" s="21" t="s">
        <v>719</v>
      </c>
      <c r="F1457" s="21" t="s">
        <v>724</v>
      </c>
      <c r="G1457" s="21" t="s">
        <v>833</v>
      </c>
    </row>
    <row r="1458" customFormat="false" ht="15" hidden="false" customHeight="false" outlineLevel="0" collapsed="false">
      <c r="B1458" s="19" t="s">
        <v>2419</v>
      </c>
      <c r="C1458" s="20" t="n">
        <f aca="false">ROUND(3.9/FX,2)</f>
        <v>0.54</v>
      </c>
      <c r="D1458" s="21" t="s">
        <v>2420</v>
      </c>
      <c r="E1458" s="21" t="s">
        <v>707</v>
      </c>
      <c r="F1458" s="21" t="s">
        <v>724</v>
      </c>
      <c r="G1458" s="21" t="s">
        <v>833</v>
      </c>
    </row>
    <row r="1459" customFormat="false" ht="15" hidden="false" customHeight="false" outlineLevel="0" collapsed="false">
      <c r="B1459" s="19" t="s">
        <v>2421</v>
      </c>
      <c r="C1459" s="20" t="n">
        <f aca="false">ROUND(5.85/FX,2)</f>
        <v>0.81</v>
      </c>
      <c r="D1459" s="21" t="s">
        <v>2420</v>
      </c>
      <c r="E1459" s="21" t="s">
        <v>714</v>
      </c>
      <c r="F1459" s="21" t="s">
        <v>724</v>
      </c>
      <c r="G1459" s="21" t="s">
        <v>833</v>
      </c>
    </row>
    <row r="1460" customFormat="false" ht="15" hidden="false" customHeight="false" outlineLevel="0" collapsed="false">
      <c r="B1460" s="19" t="s">
        <v>2422</v>
      </c>
      <c r="C1460" s="20" t="n">
        <f aca="false">ROUND(3.58/FX,2)</f>
        <v>0.5</v>
      </c>
      <c r="D1460" s="21" t="s">
        <v>2420</v>
      </c>
      <c r="E1460" s="21" t="s">
        <v>716</v>
      </c>
      <c r="F1460" s="21" t="s">
        <v>724</v>
      </c>
      <c r="G1460" s="21" t="s">
        <v>833</v>
      </c>
    </row>
    <row r="1461" customFormat="false" ht="15" hidden="false" customHeight="false" outlineLevel="0" collapsed="false">
      <c r="B1461" s="19" t="s">
        <v>2423</v>
      </c>
      <c r="C1461" s="20" t="n">
        <f aca="false">ROUND(1.95/FX,2)</f>
        <v>0.27</v>
      </c>
      <c r="D1461" s="21" t="s">
        <v>2420</v>
      </c>
      <c r="E1461" s="21" t="s">
        <v>719</v>
      </c>
      <c r="F1461" s="21" t="s">
        <v>724</v>
      </c>
      <c r="G1461" s="21" t="s">
        <v>833</v>
      </c>
    </row>
    <row r="1462" customFormat="false" ht="15" hidden="false" customHeight="false" outlineLevel="0" collapsed="false">
      <c r="B1462" s="19" t="s">
        <v>2424</v>
      </c>
      <c r="C1462" s="20" t="n">
        <f aca="false">ROUND(6.31/FX,2)</f>
        <v>0.88</v>
      </c>
      <c r="D1462" s="21" t="s">
        <v>2425</v>
      </c>
      <c r="E1462" s="21" t="s">
        <v>707</v>
      </c>
      <c r="F1462" s="21" t="s">
        <v>724</v>
      </c>
      <c r="G1462" s="21" t="s">
        <v>833</v>
      </c>
    </row>
    <row r="1463" customFormat="false" ht="15" hidden="false" customHeight="false" outlineLevel="0" collapsed="false">
      <c r="B1463" s="19" t="s">
        <v>2426</v>
      </c>
      <c r="C1463" s="20" t="n">
        <f aca="false">ROUND(5.85/FX,2)</f>
        <v>0.81</v>
      </c>
      <c r="D1463" s="21" t="s">
        <v>2425</v>
      </c>
      <c r="E1463" s="21" t="s">
        <v>714</v>
      </c>
      <c r="F1463" s="21" t="s">
        <v>724</v>
      </c>
      <c r="G1463" s="21" t="s">
        <v>833</v>
      </c>
    </row>
    <row r="1464" customFormat="false" ht="15" hidden="false" customHeight="false" outlineLevel="0" collapsed="false">
      <c r="B1464" s="19" t="s">
        <v>2427</v>
      </c>
      <c r="C1464" s="20" t="n">
        <f aca="false">ROUND(4.68/FX,2)</f>
        <v>0.65</v>
      </c>
      <c r="D1464" s="21" t="s">
        <v>2425</v>
      </c>
      <c r="E1464" s="21" t="s">
        <v>716</v>
      </c>
      <c r="F1464" s="21" t="s">
        <v>724</v>
      </c>
      <c r="G1464" s="21" t="s">
        <v>833</v>
      </c>
    </row>
    <row r="1465" customFormat="false" ht="15" hidden="false" customHeight="false" outlineLevel="0" collapsed="false">
      <c r="B1465" s="19" t="s">
        <v>2428</v>
      </c>
      <c r="C1465" s="20" t="n">
        <f aca="false">ROUND(1.95/FX,2)</f>
        <v>0.27</v>
      </c>
      <c r="D1465" s="21" t="s">
        <v>2425</v>
      </c>
      <c r="E1465" s="21" t="s">
        <v>719</v>
      </c>
      <c r="F1465" s="21" t="s">
        <v>724</v>
      </c>
      <c r="G1465" s="21" t="s">
        <v>833</v>
      </c>
    </row>
    <row r="1466" customFormat="false" ht="15" hidden="false" customHeight="false" outlineLevel="0" collapsed="false">
      <c r="B1466" s="19" t="s">
        <v>2429</v>
      </c>
      <c r="C1466" s="20" t="n">
        <f aca="false">ROUND(3.9/FX,2)</f>
        <v>0.54</v>
      </c>
      <c r="D1466" s="21" t="s">
        <v>2430</v>
      </c>
      <c r="E1466" s="21" t="s">
        <v>707</v>
      </c>
      <c r="F1466" s="21" t="s">
        <v>724</v>
      </c>
      <c r="G1466" s="21" t="s">
        <v>833</v>
      </c>
    </row>
    <row r="1467" customFormat="false" ht="15" hidden="false" customHeight="false" outlineLevel="0" collapsed="false">
      <c r="B1467" s="19" t="s">
        <v>2431</v>
      </c>
      <c r="C1467" s="20" t="n">
        <f aca="false">ROUND(5.85/FX,2)</f>
        <v>0.81</v>
      </c>
      <c r="D1467" s="21" t="s">
        <v>2430</v>
      </c>
      <c r="E1467" s="21" t="s">
        <v>714</v>
      </c>
      <c r="F1467" s="21" t="s">
        <v>724</v>
      </c>
      <c r="G1467" s="21" t="s">
        <v>833</v>
      </c>
    </row>
    <row r="1468" customFormat="false" ht="15" hidden="false" customHeight="false" outlineLevel="0" collapsed="false">
      <c r="B1468" s="19" t="s">
        <v>2432</v>
      </c>
      <c r="C1468" s="20" t="n">
        <f aca="false">ROUND(4.81/FX,2)</f>
        <v>0.67</v>
      </c>
      <c r="D1468" s="21" t="s">
        <v>2430</v>
      </c>
      <c r="E1468" s="21" t="s">
        <v>716</v>
      </c>
      <c r="F1468" s="21" t="s">
        <v>724</v>
      </c>
      <c r="G1468" s="21" t="s">
        <v>833</v>
      </c>
    </row>
    <row r="1469" customFormat="false" ht="15" hidden="false" customHeight="false" outlineLevel="0" collapsed="false">
      <c r="B1469" s="19" t="s">
        <v>2433</v>
      </c>
      <c r="C1469" s="20" t="n">
        <f aca="false">ROUND(1.95/FX,2)</f>
        <v>0.27</v>
      </c>
      <c r="D1469" s="21" t="s">
        <v>2430</v>
      </c>
      <c r="E1469" s="21" t="s">
        <v>719</v>
      </c>
      <c r="F1469" s="21" t="s">
        <v>724</v>
      </c>
      <c r="G1469" s="21" t="s">
        <v>833</v>
      </c>
    </row>
    <row r="1470" customFormat="false" ht="15" hidden="false" customHeight="false" outlineLevel="0" collapsed="false">
      <c r="B1470" s="19" t="s">
        <v>2434</v>
      </c>
      <c r="C1470" s="20" t="n">
        <f aca="false">ROUND(3.38/FX,2)</f>
        <v>0.47</v>
      </c>
      <c r="D1470" s="21" t="s">
        <v>2435</v>
      </c>
      <c r="E1470" s="21" t="s">
        <v>707</v>
      </c>
      <c r="F1470" s="21" t="s">
        <v>724</v>
      </c>
      <c r="G1470" s="21" t="s">
        <v>833</v>
      </c>
    </row>
    <row r="1471" customFormat="false" ht="15" hidden="false" customHeight="false" outlineLevel="0" collapsed="false">
      <c r="B1471" s="19" t="s">
        <v>2436</v>
      </c>
      <c r="C1471" s="20" t="n">
        <f aca="false">ROUND(3.38/FX,2)</f>
        <v>0.47</v>
      </c>
      <c r="D1471" s="21" t="s">
        <v>2435</v>
      </c>
      <c r="E1471" s="21" t="s">
        <v>714</v>
      </c>
      <c r="F1471" s="21" t="s">
        <v>724</v>
      </c>
      <c r="G1471" s="21" t="s">
        <v>833</v>
      </c>
    </row>
    <row r="1472" customFormat="false" ht="15" hidden="false" customHeight="false" outlineLevel="0" collapsed="false">
      <c r="B1472" s="19" t="s">
        <v>2437</v>
      </c>
      <c r="C1472" s="20" t="n">
        <f aca="false">ROUND(3.25/FX,2)</f>
        <v>0.45</v>
      </c>
      <c r="D1472" s="21" t="s">
        <v>2435</v>
      </c>
      <c r="E1472" s="21" t="s">
        <v>716</v>
      </c>
      <c r="F1472" s="21" t="s">
        <v>724</v>
      </c>
      <c r="G1472" s="21" t="s">
        <v>833</v>
      </c>
    </row>
    <row r="1473" customFormat="false" ht="15" hidden="false" customHeight="false" outlineLevel="0" collapsed="false">
      <c r="B1473" s="19" t="s">
        <v>2438</v>
      </c>
      <c r="C1473" s="20" t="n">
        <f aca="false">ROUND(3.38/FX,2)</f>
        <v>0.47</v>
      </c>
      <c r="D1473" s="21" t="s">
        <v>2435</v>
      </c>
      <c r="E1473" s="21" t="s">
        <v>719</v>
      </c>
      <c r="F1473" s="21" t="s">
        <v>724</v>
      </c>
      <c r="G1473" s="21" t="s">
        <v>833</v>
      </c>
    </row>
    <row r="1474" customFormat="false" ht="15" hidden="false" customHeight="false" outlineLevel="0" collapsed="false">
      <c r="B1474" s="19" t="s">
        <v>2439</v>
      </c>
      <c r="C1474" s="20" t="n">
        <f aca="false">ROUND(6.24/FX,2)</f>
        <v>0.87</v>
      </c>
      <c r="D1474" s="21" t="s">
        <v>2440</v>
      </c>
      <c r="E1474" s="21" t="s">
        <v>707</v>
      </c>
      <c r="F1474" s="21" t="s">
        <v>724</v>
      </c>
      <c r="G1474" s="21" t="s">
        <v>833</v>
      </c>
    </row>
    <row r="1475" customFormat="false" ht="15" hidden="false" customHeight="false" outlineLevel="0" collapsed="false">
      <c r="B1475" s="19" t="s">
        <v>2441</v>
      </c>
      <c r="C1475" s="20" t="n">
        <f aca="false">ROUND(5.85/FX,2)</f>
        <v>0.81</v>
      </c>
      <c r="D1475" s="21" t="s">
        <v>2440</v>
      </c>
      <c r="E1475" s="21" t="s">
        <v>714</v>
      </c>
      <c r="F1475" s="21" t="s">
        <v>724</v>
      </c>
      <c r="G1475" s="21" t="s">
        <v>833</v>
      </c>
    </row>
    <row r="1476" customFormat="false" ht="15" hidden="false" customHeight="false" outlineLevel="0" collapsed="false">
      <c r="B1476" s="19" t="s">
        <v>2442</v>
      </c>
      <c r="C1476" s="20" t="n">
        <f aca="false">ROUND(3.38/FX,2)</f>
        <v>0.47</v>
      </c>
      <c r="D1476" s="21" t="s">
        <v>2440</v>
      </c>
      <c r="E1476" s="21" t="s">
        <v>716</v>
      </c>
      <c r="F1476" s="21" t="s">
        <v>724</v>
      </c>
      <c r="G1476" s="21" t="s">
        <v>833</v>
      </c>
    </row>
    <row r="1477" customFormat="false" ht="15" hidden="false" customHeight="false" outlineLevel="0" collapsed="false">
      <c r="B1477" s="19" t="s">
        <v>2443</v>
      </c>
      <c r="C1477" s="20" t="n">
        <f aca="false">ROUND(5.85/FX,2)</f>
        <v>0.81</v>
      </c>
      <c r="D1477" s="21" t="s">
        <v>2440</v>
      </c>
      <c r="E1477" s="21" t="s">
        <v>719</v>
      </c>
      <c r="F1477" s="21" t="s">
        <v>724</v>
      </c>
      <c r="G1477" s="21" t="s">
        <v>833</v>
      </c>
    </row>
    <row r="1478" customFormat="false" ht="15" hidden="false" customHeight="false" outlineLevel="0" collapsed="false">
      <c r="B1478" s="19" t="s">
        <v>2444</v>
      </c>
      <c r="C1478" s="20" t="n">
        <f aca="false">ROUND(8.02/FX,2)</f>
        <v>1.11</v>
      </c>
      <c r="D1478" s="21" t="s">
        <v>2445</v>
      </c>
      <c r="E1478" s="21" t="s">
        <v>707</v>
      </c>
      <c r="F1478" s="21" t="s">
        <v>724</v>
      </c>
      <c r="G1478" s="21" t="s">
        <v>833</v>
      </c>
    </row>
    <row r="1479" customFormat="false" ht="15" hidden="false" customHeight="false" outlineLevel="0" collapsed="false">
      <c r="B1479" s="19" t="s">
        <v>2446</v>
      </c>
      <c r="C1479" s="20" t="n">
        <f aca="false">ROUND(5.85/FX,2)</f>
        <v>0.81</v>
      </c>
      <c r="D1479" s="21" t="s">
        <v>2445</v>
      </c>
      <c r="E1479" s="21" t="s">
        <v>714</v>
      </c>
      <c r="F1479" s="21" t="s">
        <v>724</v>
      </c>
      <c r="G1479" s="21" t="s">
        <v>833</v>
      </c>
    </row>
    <row r="1480" customFormat="false" ht="15" hidden="false" customHeight="false" outlineLevel="0" collapsed="false">
      <c r="B1480" s="19" t="s">
        <v>2447</v>
      </c>
      <c r="C1480" s="20" t="n">
        <f aca="false">ROUND(3.45/FX,2)</f>
        <v>0.48</v>
      </c>
      <c r="D1480" s="21" t="s">
        <v>2445</v>
      </c>
      <c r="E1480" s="21" t="s">
        <v>716</v>
      </c>
      <c r="F1480" s="21" t="s">
        <v>724</v>
      </c>
      <c r="G1480" s="21" t="s">
        <v>833</v>
      </c>
    </row>
    <row r="1481" customFormat="false" ht="15" hidden="false" customHeight="false" outlineLevel="0" collapsed="false">
      <c r="B1481" s="19" t="s">
        <v>2448</v>
      </c>
      <c r="C1481" s="20" t="n">
        <f aca="false">ROUND(1.95/FX,2)</f>
        <v>0.27</v>
      </c>
      <c r="D1481" s="21" t="s">
        <v>2445</v>
      </c>
      <c r="E1481" s="21" t="s">
        <v>719</v>
      </c>
      <c r="F1481" s="21" t="s">
        <v>724</v>
      </c>
      <c r="G1481" s="21" t="s">
        <v>833</v>
      </c>
    </row>
    <row r="1482" customFormat="false" ht="15" hidden="false" customHeight="false" outlineLevel="0" collapsed="false">
      <c r="B1482" s="19" t="s">
        <v>2449</v>
      </c>
      <c r="C1482" s="20" t="n">
        <f aca="false">ROUND(3.9/FX,2)</f>
        <v>0.54</v>
      </c>
      <c r="D1482" s="21" t="s">
        <v>2450</v>
      </c>
      <c r="E1482" s="21" t="s">
        <v>707</v>
      </c>
      <c r="F1482" s="21" t="s">
        <v>724</v>
      </c>
      <c r="G1482" s="21" t="s">
        <v>833</v>
      </c>
    </row>
    <row r="1483" customFormat="false" ht="15" hidden="false" customHeight="false" outlineLevel="0" collapsed="false">
      <c r="B1483" s="19" t="s">
        <v>2451</v>
      </c>
      <c r="C1483" s="20" t="n">
        <f aca="false">ROUND(5.85/FX,2)</f>
        <v>0.81</v>
      </c>
      <c r="D1483" s="21" t="s">
        <v>2450</v>
      </c>
      <c r="E1483" s="21" t="s">
        <v>714</v>
      </c>
      <c r="F1483" s="21" t="s">
        <v>724</v>
      </c>
      <c r="G1483" s="21" t="s">
        <v>833</v>
      </c>
    </row>
    <row r="1484" customFormat="false" ht="15" hidden="false" customHeight="false" outlineLevel="0" collapsed="false">
      <c r="B1484" s="19" t="s">
        <v>2452</v>
      </c>
      <c r="C1484" s="20" t="n">
        <f aca="false">ROUND(3.9/FX,2)</f>
        <v>0.54</v>
      </c>
      <c r="D1484" s="21" t="s">
        <v>2450</v>
      </c>
      <c r="E1484" s="21" t="s">
        <v>716</v>
      </c>
      <c r="F1484" s="21" t="s">
        <v>724</v>
      </c>
      <c r="G1484" s="21" t="s">
        <v>833</v>
      </c>
    </row>
    <row r="1485" customFormat="false" ht="15" hidden="false" customHeight="false" outlineLevel="0" collapsed="false">
      <c r="B1485" s="19" t="s">
        <v>2453</v>
      </c>
      <c r="C1485" s="20" t="n">
        <f aca="false">ROUND(1.95/FX,2)</f>
        <v>0.27</v>
      </c>
      <c r="D1485" s="21" t="s">
        <v>2450</v>
      </c>
      <c r="E1485" s="21" t="s">
        <v>719</v>
      </c>
      <c r="F1485" s="21" t="s">
        <v>724</v>
      </c>
      <c r="G1485" s="21" t="s">
        <v>833</v>
      </c>
    </row>
    <row r="1486" customFormat="false" ht="15" hidden="false" customHeight="false" outlineLevel="0" collapsed="false">
      <c r="B1486" s="19" t="s">
        <v>2454</v>
      </c>
      <c r="C1486" s="20" t="n">
        <f aca="false">ROUND(3.38/FX,2)</f>
        <v>0.47</v>
      </c>
      <c r="D1486" s="21" t="s">
        <v>2455</v>
      </c>
      <c r="E1486" s="21" t="s">
        <v>707</v>
      </c>
      <c r="F1486" s="21" t="s">
        <v>724</v>
      </c>
      <c r="G1486" s="21" t="s">
        <v>833</v>
      </c>
    </row>
    <row r="1487" customFormat="false" ht="15" hidden="false" customHeight="false" outlineLevel="0" collapsed="false">
      <c r="B1487" s="19" t="s">
        <v>2456</v>
      </c>
      <c r="C1487" s="20" t="n">
        <f aca="false">ROUND(3.38/FX,2)</f>
        <v>0.47</v>
      </c>
      <c r="D1487" s="21" t="s">
        <v>2455</v>
      </c>
      <c r="E1487" s="21" t="s">
        <v>714</v>
      </c>
      <c r="F1487" s="21" t="s">
        <v>724</v>
      </c>
      <c r="G1487" s="21" t="s">
        <v>833</v>
      </c>
    </row>
    <row r="1488" customFormat="false" ht="15" hidden="false" customHeight="false" outlineLevel="0" collapsed="false">
      <c r="B1488" s="19" t="s">
        <v>2457</v>
      </c>
      <c r="C1488" s="20" t="n">
        <f aca="false">ROUND(2.99/FX,2)</f>
        <v>0.42</v>
      </c>
      <c r="D1488" s="21" t="s">
        <v>2455</v>
      </c>
      <c r="E1488" s="21" t="s">
        <v>716</v>
      </c>
      <c r="F1488" s="21" t="s">
        <v>724</v>
      </c>
      <c r="G1488" s="21" t="s">
        <v>833</v>
      </c>
    </row>
    <row r="1489" customFormat="false" ht="15" hidden="false" customHeight="false" outlineLevel="0" collapsed="false">
      <c r="B1489" s="19" t="s">
        <v>2458</v>
      </c>
      <c r="C1489" s="20" t="n">
        <f aca="false">ROUND(3.38/FX,2)</f>
        <v>0.47</v>
      </c>
      <c r="D1489" s="21" t="s">
        <v>2455</v>
      </c>
      <c r="E1489" s="21" t="s">
        <v>719</v>
      </c>
      <c r="F1489" s="21" t="s">
        <v>724</v>
      </c>
      <c r="G1489" s="21" t="s">
        <v>833</v>
      </c>
    </row>
    <row r="1490" customFormat="false" ht="15" hidden="false" customHeight="false" outlineLevel="0" collapsed="false">
      <c r="B1490" s="19" t="s">
        <v>2459</v>
      </c>
      <c r="C1490" s="20" t="n">
        <f aca="false">ROUND(5.7/FX,2)</f>
        <v>0.79</v>
      </c>
      <c r="D1490" s="21" t="s">
        <v>2460</v>
      </c>
      <c r="E1490" s="21" t="s">
        <v>707</v>
      </c>
      <c r="F1490" s="21" t="s">
        <v>724</v>
      </c>
      <c r="G1490" s="21" t="s">
        <v>833</v>
      </c>
    </row>
    <row r="1491" customFormat="false" ht="15" hidden="false" customHeight="false" outlineLevel="0" collapsed="false">
      <c r="B1491" s="19" t="s">
        <v>2461</v>
      </c>
      <c r="C1491" s="20" t="n">
        <f aca="false">ROUND(6.5/FX,2)</f>
        <v>0.9</v>
      </c>
      <c r="D1491" s="21" t="s">
        <v>2460</v>
      </c>
      <c r="E1491" s="21" t="s">
        <v>714</v>
      </c>
      <c r="F1491" s="21" t="s">
        <v>724</v>
      </c>
      <c r="G1491" s="21" t="s">
        <v>833</v>
      </c>
    </row>
    <row r="1492" customFormat="false" ht="15" hidden="false" customHeight="false" outlineLevel="0" collapsed="false">
      <c r="B1492" s="19" t="s">
        <v>2462</v>
      </c>
      <c r="C1492" s="20" t="n">
        <f aca="false">ROUND(4.94/FX,2)</f>
        <v>0.69</v>
      </c>
      <c r="D1492" s="21" t="s">
        <v>2460</v>
      </c>
      <c r="E1492" s="21" t="s">
        <v>716</v>
      </c>
      <c r="F1492" s="21" t="s">
        <v>724</v>
      </c>
      <c r="G1492" s="21" t="s">
        <v>833</v>
      </c>
    </row>
    <row r="1493" customFormat="false" ht="15" hidden="false" customHeight="false" outlineLevel="0" collapsed="false">
      <c r="B1493" s="19" t="s">
        <v>2463</v>
      </c>
      <c r="C1493" s="20" t="n">
        <f aca="false">ROUND(2.08/FX,2)</f>
        <v>0.29</v>
      </c>
      <c r="D1493" s="21" t="s">
        <v>2460</v>
      </c>
      <c r="E1493" s="21" t="s">
        <v>719</v>
      </c>
      <c r="F1493" s="21" t="s">
        <v>724</v>
      </c>
      <c r="G1493" s="21" t="s">
        <v>833</v>
      </c>
    </row>
    <row r="1494" customFormat="false" ht="15" hidden="false" customHeight="false" outlineLevel="0" collapsed="false">
      <c r="B1494" s="19" t="s">
        <v>2464</v>
      </c>
      <c r="C1494" s="20" t="n">
        <f aca="false">ROUND(3.25/FX,2)</f>
        <v>0.45</v>
      </c>
      <c r="D1494" s="21" t="s">
        <v>2465</v>
      </c>
      <c r="E1494" s="21" t="s">
        <v>707</v>
      </c>
      <c r="F1494" s="21" t="s">
        <v>724</v>
      </c>
      <c r="G1494" s="21" t="s">
        <v>833</v>
      </c>
    </row>
    <row r="1495" customFormat="false" ht="15" hidden="false" customHeight="false" outlineLevel="0" collapsed="false">
      <c r="B1495" s="19" t="s">
        <v>2466</v>
      </c>
      <c r="C1495" s="20" t="n">
        <f aca="false">ROUND(6.5/FX,2)</f>
        <v>0.9</v>
      </c>
      <c r="D1495" s="21" t="s">
        <v>2465</v>
      </c>
      <c r="E1495" s="21" t="s">
        <v>714</v>
      </c>
      <c r="F1495" s="21" t="s">
        <v>724</v>
      </c>
      <c r="G1495" s="21" t="s">
        <v>833</v>
      </c>
    </row>
    <row r="1496" customFormat="false" ht="15" hidden="false" customHeight="false" outlineLevel="0" collapsed="false">
      <c r="B1496" s="19" t="s">
        <v>2467</v>
      </c>
      <c r="C1496" s="20" t="n">
        <f aca="false">ROUND(4.94/FX,2)</f>
        <v>0.69</v>
      </c>
      <c r="D1496" s="21" t="s">
        <v>2465</v>
      </c>
      <c r="E1496" s="21" t="s">
        <v>716</v>
      </c>
      <c r="F1496" s="21" t="s">
        <v>724</v>
      </c>
      <c r="G1496" s="21" t="s">
        <v>833</v>
      </c>
    </row>
    <row r="1497" customFormat="false" ht="15" hidden="false" customHeight="false" outlineLevel="0" collapsed="false">
      <c r="B1497" s="19" t="s">
        <v>2468</v>
      </c>
      <c r="C1497" s="20" t="n">
        <f aca="false">ROUND(2.08/FX,2)</f>
        <v>0.29</v>
      </c>
      <c r="D1497" s="21" t="s">
        <v>2465</v>
      </c>
      <c r="E1497" s="21" t="s">
        <v>719</v>
      </c>
      <c r="F1497" s="21" t="s">
        <v>724</v>
      </c>
      <c r="G1497" s="21" t="s">
        <v>833</v>
      </c>
    </row>
    <row r="1498" customFormat="false" ht="15" hidden="false" customHeight="false" outlineLevel="0" collapsed="false">
      <c r="B1498" s="19" t="s">
        <v>2469</v>
      </c>
      <c r="C1498" s="20" t="n">
        <f aca="false">ROUND(6.7/FX,2)</f>
        <v>0.93</v>
      </c>
      <c r="D1498" s="21" t="s">
        <v>2470</v>
      </c>
      <c r="E1498" s="21" t="s">
        <v>707</v>
      </c>
      <c r="F1498" s="21" t="s">
        <v>724</v>
      </c>
      <c r="G1498" s="21" t="s">
        <v>833</v>
      </c>
    </row>
    <row r="1499" customFormat="false" ht="15" hidden="false" customHeight="false" outlineLevel="0" collapsed="false">
      <c r="B1499" s="19" t="s">
        <v>2471</v>
      </c>
      <c r="C1499" s="20" t="n">
        <f aca="false">ROUND(6.5/FX,2)</f>
        <v>0.9</v>
      </c>
      <c r="D1499" s="21" t="s">
        <v>2470</v>
      </c>
      <c r="E1499" s="21" t="s">
        <v>714</v>
      </c>
      <c r="F1499" s="21" t="s">
        <v>724</v>
      </c>
      <c r="G1499" s="21" t="s">
        <v>833</v>
      </c>
    </row>
    <row r="1500" customFormat="false" ht="15" hidden="false" customHeight="false" outlineLevel="0" collapsed="false">
      <c r="B1500" s="19" t="s">
        <v>2472</v>
      </c>
      <c r="C1500" s="20" t="n">
        <f aca="false">ROUND(4.03/FX,2)</f>
        <v>0.56</v>
      </c>
      <c r="D1500" s="21" t="s">
        <v>2470</v>
      </c>
      <c r="E1500" s="21" t="s">
        <v>716</v>
      </c>
      <c r="F1500" s="21" t="s">
        <v>724</v>
      </c>
      <c r="G1500" s="21" t="s">
        <v>833</v>
      </c>
    </row>
    <row r="1501" customFormat="false" ht="15" hidden="false" customHeight="false" outlineLevel="0" collapsed="false">
      <c r="B1501" s="19" t="s">
        <v>2473</v>
      </c>
      <c r="C1501" s="20" t="n">
        <f aca="false">ROUND(2.08/FX,2)</f>
        <v>0.29</v>
      </c>
      <c r="D1501" s="21" t="s">
        <v>2470</v>
      </c>
      <c r="E1501" s="21" t="s">
        <v>719</v>
      </c>
      <c r="F1501" s="21" t="s">
        <v>724</v>
      </c>
      <c r="G1501" s="21" t="s">
        <v>833</v>
      </c>
    </row>
    <row r="1502" customFormat="false" ht="15" hidden="false" customHeight="false" outlineLevel="0" collapsed="false">
      <c r="B1502" s="19" t="s">
        <v>2474</v>
      </c>
      <c r="C1502" s="20" t="n">
        <f aca="false">ROUND(5.79/FX,2)</f>
        <v>0.8</v>
      </c>
      <c r="D1502" s="21" t="s">
        <v>2475</v>
      </c>
      <c r="E1502" s="21" t="s">
        <v>707</v>
      </c>
      <c r="F1502" s="21" t="s">
        <v>724</v>
      </c>
      <c r="G1502" s="21" t="s">
        <v>833</v>
      </c>
    </row>
    <row r="1503" customFormat="false" ht="15" hidden="false" customHeight="false" outlineLevel="0" collapsed="false">
      <c r="B1503" s="19" t="s">
        <v>2476</v>
      </c>
      <c r="C1503" s="20" t="n">
        <f aca="false">ROUND(6.5/FX,2)</f>
        <v>0.9</v>
      </c>
      <c r="D1503" s="21" t="s">
        <v>2475</v>
      </c>
      <c r="E1503" s="21" t="s">
        <v>714</v>
      </c>
      <c r="F1503" s="21" t="s">
        <v>724</v>
      </c>
      <c r="G1503" s="21" t="s">
        <v>833</v>
      </c>
    </row>
    <row r="1504" customFormat="false" ht="15" hidden="false" customHeight="false" outlineLevel="0" collapsed="false">
      <c r="B1504" s="19" t="s">
        <v>2477</v>
      </c>
      <c r="C1504" s="20" t="n">
        <f aca="false">ROUND(3.47/FX,2)</f>
        <v>0.48</v>
      </c>
      <c r="D1504" s="21" t="s">
        <v>2475</v>
      </c>
      <c r="E1504" s="21" t="s">
        <v>716</v>
      </c>
      <c r="F1504" s="21" t="s">
        <v>724</v>
      </c>
      <c r="G1504" s="21" t="s">
        <v>833</v>
      </c>
    </row>
    <row r="1505" customFormat="false" ht="15" hidden="false" customHeight="false" outlineLevel="0" collapsed="false">
      <c r="B1505" s="19" t="s">
        <v>2478</v>
      </c>
      <c r="C1505" s="20" t="n">
        <f aca="false">ROUND(2.08/FX,2)</f>
        <v>0.29</v>
      </c>
      <c r="D1505" s="21" t="s">
        <v>2475</v>
      </c>
      <c r="E1505" s="21" t="s">
        <v>719</v>
      </c>
      <c r="F1505" s="21" t="s">
        <v>724</v>
      </c>
      <c r="G1505" s="21" t="s">
        <v>833</v>
      </c>
    </row>
    <row r="1506" customFormat="false" ht="15" hidden="false" customHeight="false" outlineLevel="0" collapsed="false">
      <c r="B1506" s="19" t="s">
        <v>2479</v>
      </c>
      <c r="C1506" s="20" t="n">
        <f aca="false">ROUND(3.25/FX,2)</f>
        <v>0.45</v>
      </c>
      <c r="D1506" s="21" t="s">
        <v>2480</v>
      </c>
      <c r="E1506" s="21" t="s">
        <v>707</v>
      </c>
      <c r="F1506" s="21" t="s">
        <v>724</v>
      </c>
      <c r="G1506" s="21" t="s">
        <v>833</v>
      </c>
    </row>
    <row r="1507" customFormat="false" ht="15" hidden="false" customHeight="false" outlineLevel="0" collapsed="false">
      <c r="B1507" s="19" t="s">
        <v>2481</v>
      </c>
      <c r="C1507" s="20" t="n">
        <f aca="false">ROUND(6.5/FX,2)</f>
        <v>0.9</v>
      </c>
      <c r="D1507" s="21" t="s">
        <v>2480</v>
      </c>
      <c r="E1507" s="21" t="s">
        <v>714</v>
      </c>
      <c r="F1507" s="21" t="s">
        <v>724</v>
      </c>
      <c r="G1507" s="21" t="s">
        <v>833</v>
      </c>
    </row>
    <row r="1508" customFormat="false" ht="15" hidden="false" customHeight="false" outlineLevel="0" collapsed="false">
      <c r="B1508" s="19" t="s">
        <v>2482</v>
      </c>
      <c r="C1508" s="20" t="n">
        <f aca="false">ROUND(4.03/FX,2)</f>
        <v>0.56</v>
      </c>
      <c r="D1508" s="21" t="s">
        <v>2480</v>
      </c>
      <c r="E1508" s="21" t="s">
        <v>716</v>
      </c>
      <c r="F1508" s="21" t="s">
        <v>724</v>
      </c>
      <c r="G1508" s="21" t="s">
        <v>833</v>
      </c>
    </row>
    <row r="1509" customFormat="false" ht="15" hidden="false" customHeight="false" outlineLevel="0" collapsed="false">
      <c r="B1509" s="19" t="s">
        <v>2483</v>
      </c>
      <c r="C1509" s="20" t="n">
        <f aca="false">ROUND(2.08/FX,2)</f>
        <v>0.29</v>
      </c>
      <c r="D1509" s="21" t="s">
        <v>2480</v>
      </c>
      <c r="E1509" s="21" t="s">
        <v>719</v>
      </c>
      <c r="F1509" s="21" t="s">
        <v>724</v>
      </c>
      <c r="G1509" s="21" t="s">
        <v>833</v>
      </c>
    </row>
    <row r="1510" customFormat="false" ht="15" hidden="false" customHeight="false" outlineLevel="0" collapsed="false">
      <c r="B1510" s="19" t="s">
        <v>2484</v>
      </c>
      <c r="C1510" s="20" t="n">
        <f aca="false">ROUND(4.03/FX,2)</f>
        <v>0.56</v>
      </c>
      <c r="D1510" s="21" t="s">
        <v>2485</v>
      </c>
      <c r="E1510" s="21" t="s">
        <v>707</v>
      </c>
      <c r="F1510" s="21" t="s">
        <v>724</v>
      </c>
      <c r="G1510" s="21" t="s">
        <v>833</v>
      </c>
    </row>
    <row r="1511" customFormat="false" ht="15" hidden="false" customHeight="false" outlineLevel="0" collapsed="false">
      <c r="B1511" s="19" t="s">
        <v>2486</v>
      </c>
      <c r="C1511" s="20" t="n">
        <f aca="false">ROUND(4.03/FX,2)</f>
        <v>0.56</v>
      </c>
      <c r="D1511" s="21" t="s">
        <v>2485</v>
      </c>
      <c r="E1511" s="21" t="s">
        <v>714</v>
      </c>
      <c r="F1511" s="21" t="s">
        <v>724</v>
      </c>
      <c r="G1511" s="21" t="s">
        <v>833</v>
      </c>
    </row>
    <row r="1512" customFormat="false" ht="15" hidden="false" customHeight="false" outlineLevel="0" collapsed="false">
      <c r="B1512" s="19" t="s">
        <v>2487</v>
      </c>
      <c r="C1512" s="20" t="n">
        <f aca="false">ROUND(3.64/FX,2)</f>
        <v>0.51</v>
      </c>
      <c r="D1512" s="21" t="s">
        <v>2485</v>
      </c>
      <c r="E1512" s="21" t="s">
        <v>716</v>
      </c>
      <c r="F1512" s="21" t="s">
        <v>724</v>
      </c>
      <c r="G1512" s="21" t="s">
        <v>833</v>
      </c>
    </row>
    <row r="1513" customFormat="false" ht="15" hidden="false" customHeight="false" outlineLevel="0" collapsed="false">
      <c r="B1513" s="19" t="s">
        <v>2488</v>
      </c>
      <c r="C1513" s="20" t="n">
        <f aca="false">ROUND(4.03/FX,2)</f>
        <v>0.56</v>
      </c>
      <c r="D1513" s="21" t="s">
        <v>2485</v>
      </c>
      <c r="E1513" s="21" t="s">
        <v>719</v>
      </c>
      <c r="F1513" s="21" t="s">
        <v>724</v>
      </c>
      <c r="G1513" s="21" t="s">
        <v>833</v>
      </c>
    </row>
    <row r="1514" customFormat="false" ht="15" hidden="false" customHeight="false" outlineLevel="0" collapsed="false">
      <c r="B1514" s="19" t="s">
        <v>2489</v>
      </c>
      <c r="C1514" s="20" t="n">
        <f aca="false">ROUND(4.29/FX,2)</f>
        <v>0.6</v>
      </c>
      <c r="D1514" s="21" t="s">
        <v>2490</v>
      </c>
      <c r="E1514" s="21" t="s">
        <v>707</v>
      </c>
      <c r="F1514" s="21" t="s">
        <v>724</v>
      </c>
      <c r="G1514" s="21" t="s">
        <v>833</v>
      </c>
    </row>
    <row r="1515" customFormat="false" ht="15" hidden="false" customHeight="false" outlineLevel="0" collapsed="false">
      <c r="B1515" s="19" t="s">
        <v>2491</v>
      </c>
      <c r="C1515" s="20" t="n">
        <f aca="false">ROUND(6.5/FX,2)</f>
        <v>0.9</v>
      </c>
      <c r="D1515" s="21" t="s">
        <v>2490</v>
      </c>
      <c r="E1515" s="21" t="s">
        <v>714</v>
      </c>
      <c r="F1515" s="21" t="s">
        <v>724</v>
      </c>
      <c r="G1515" s="21" t="s">
        <v>833</v>
      </c>
    </row>
    <row r="1516" customFormat="false" ht="15" hidden="false" customHeight="false" outlineLevel="0" collapsed="false">
      <c r="B1516" s="19" t="s">
        <v>2492</v>
      </c>
      <c r="C1516" s="20" t="n">
        <f aca="false">ROUND(4.1/FX,2)</f>
        <v>0.57</v>
      </c>
      <c r="D1516" s="21" t="s">
        <v>2490</v>
      </c>
      <c r="E1516" s="21" t="s">
        <v>716</v>
      </c>
      <c r="F1516" s="21" t="s">
        <v>724</v>
      </c>
      <c r="G1516" s="21" t="s">
        <v>833</v>
      </c>
    </row>
    <row r="1517" customFormat="false" ht="15" hidden="false" customHeight="false" outlineLevel="0" collapsed="false">
      <c r="B1517" s="19" t="s">
        <v>2493</v>
      </c>
      <c r="C1517" s="20" t="n">
        <f aca="false">ROUND(2.08/FX,2)</f>
        <v>0.29</v>
      </c>
      <c r="D1517" s="21" t="s">
        <v>2490</v>
      </c>
      <c r="E1517" s="21" t="s">
        <v>719</v>
      </c>
      <c r="F1517" s="21" t="s">
        <v>724</v>
      </c>
      <c r="G1517" s="21" t="s">
        <v>833</v>
      </c>
    </row>
    <row r="1518" customFormat="false" ht="15" hidden="false" customHeight="false" outlineLevel="0" collapsed="false">
      <c r="B1518" s="19" t="s">
        <v>2494</v>
      </c>
      <c r="C1518" s="20" t="n">
        <f aca="false">ROUND(4.29/FX,2)</f>
        <v>0.6</v>
      </c>
      <c r="D1518" s="21" t="s">
        <v>2495</v>
      </c>
      <c r="E1518" s="21" t="s">
        <v>707</v>
      </c>
      <c r="F1518" s="21" t="s">
        <v>724</v>
      </c>
      <c r="G1518" s="21" t="s">
        <v>833</v>
      </c>
    </row>
    <row r="1519" customFormat="false" ht="15" hidden="false" customHeight="false" outlineLevel="0" collapsed="false">
      <c r="B1519" s="19" t="s">
        <v>2496</v>
      </c>
      <c r="C1519" s="20" t="n">
        <f aca="false">ROUND(6.5/FX,2)</f>
        <v>0.9</v>
      </c>
      <c r="D1519" s="21" t="s">
        <v>2495</v>
      </c>
      <c r="E1519" s="21" t="s">
        <v>714</v>
      </c>
      <c r="F1519" s="21" t="s">
        <v>724</v>
      </c>
      <c r="G1519" s="21" t="s">
        <v>833</v>
      </c>
    </row>
    <row r="1520" customFormat="false" ht="15" hidden="false" customHeight="false" outlineLevel="0" collapsed="false">
      <c r="B1520" s="19" t="s">
        <v>2497</v>
      </c>
      <c r="C1520" s="20" t="n">
        <f aca="false">ROUND(4.16/FX,2)</f>
        <v>0.58</v>
      </c>
      <c r="D1520" s="21" t="s">
        <v>2495</v>
      </c>
      <c r="E1520" s="21" t="s">
        <v>716</v>
      </c>
      <c r="F1520" s="21" t="s">
        <v>724</v>
      </c>
      <c r="G1520" s="21" t="s">
        <v>833</v>
      </c>
    </row>
    <row r="1521" customFormat="false" ht="15" hidden="false" customHeight="false" outlineLevel="0" collapsed="false">
      <c r="B1521" s="19" t="s">
        <v>2498</v>
      </c>
      <c r="C1521" s="20" t="n">
        <f aca="false">ROUND(2.08/FX,2)</f>
        <v>0.29</v>
      </c>
      <c r="D1521" s="21" t="s">
        <v>2495</v>
      </c>
      <c r="E1521" s="21" t="s">
        <v>719</v>
      </c>
      <c r="F1521" s="21" t="s">
        <v>724</v>
      </c>
      <c r="G1521" s="21" t="s">
        <v>833</v>
      </c>
    </row>
    <row r="1522" customFormat="false" ht="15" hidden="false" customHeight="false" outlineLevel="0" collapsed="false">
      <c r="B1522" s="19" t="s">
        <v>2499</v>
      </c>
      <c r="C1522" s="20" t="n">
        <f aca="false">ROUND(6.11/FX,2)</f>
        <v>0.85</v>
      </c>
      <c r="D1522" s="21" t="s">
        <v>2500</v>
      </c>
      <c r="E1522" s="21" t="s">
        <v>707</v>
      </c>
      <c r="F1522" s="21" t="s">
        <v>724</v>
      </c>
      <c r="G1522" s="21" t="s">
        <v>833</v>
      </c>
    </row>
    <row r="1523" customFormat="false" ht="15" hidden="false" customHeight="false" outlineLevel="0" collapsed="false">
      <c r="B1523" s="19" t="s">
        <v>2501</v>
      </c>
      <c r="C1523" s="20" t="n">
        <f aca="false">ROUND(10.73/FX,2)</f>
        <v>1.49</v>
      </c>
      <c r="D1523" s="21" t="s">
        <v>2500</v>
      </c>
      <c r="E1523" s="21" t="s">
        <v>714</v>
      </c>
      <c r="F1523" s="21" t="s">
        <v>724</v>
      </c>
      <c r="G1523" s="21" t="s">
        <v>833</v>
      </c>
    </row>
    <row r="1524" customFormat="false" ht="15" hidden="false" customHeight="false" outlineLevel="0" collapsed="false">
      <c r="B1524" s="19" t="s">
        <v>2502</v>
      </c>
      <c r="C1524" s="20" t="n">
        <f aca="false">ROUND(3.67/FX,2)</f>
        <v>0.51</v>
      </c>
      <c r="D1524" s="21" t="s">
        <v>2500</v>
      </c>
      <c r="E1524" s="21" t="s">
        <v>716</v>
      </c>
      <c r="F1524" s="21" t="s">
        <v>724</v>
      </c>
      <c r="G1524" s="21" t="s">
        <v>833</v>
      </c>
    </row>
    <row r="1525" customFormat="false" ht="15" hidden="false" customHeight="false" outlineLevel="0" collapsed="false">
      <c r="B1525" s="19" t="s">
        <v>2503</v>
      </c>
      <c r="C1525" s="20" t="n">
        <f aca="false">ROUND(5.5/FX,2)</f>
        <v>0.76</v>
      </c>
      <c r="D1525" s="21" t="s">
        <v>2500</v>
      </c>
      <c r="E1525" s="21" t="s">
        <v>719</v>
      </c>
      <c r="F1525" s="21" t="s">
        <v>724</v>
      </c>
      <c r="G1525" s="21" t="s">
        <v>833</v>
      </c>
    </row>
    <row r="1526" customFormat="false" ht="15" hidden="false" customHeight="false" outlineLevel="0" collapsed="false">
      <c r="B1526" s="19" t="s">
        <v>2504</v>
      </c>
      <c r="C1526" s="20" t="n">
        <f aca="false">ROUND(6.89/FX,2)</f>
        <v>0.96</v>
      </c>
      <c r="D1526" s="21" t="s">
        <v>2505</v>
      </c>
      <c r="E1526" s="21" t="s">
        <v>707</v>
      </c>
      <c r="F1526" s="21" t="s">
        <v>724</v>
      </c>
      <c r="G1526" s="21" t="s">
        <v>833</v>
      </c>
    </row>
    <row r="1527" customFormat="false" ht="15" hidden="false" customHeight="false" outlineLevel="0" collapsed="false">
      <c r="B1527" s="19" t="s">
        <v>2506</v>
      </c>
      <c r="C1527" s="20" t="n">
        <f aca="false">ROUND(6.5/FX,2)</f>
        <v>0.9</v>
      </c>
      <c r="D1527" s="21" t="s">
        <v>2505</v>
      </c>
      <c r="E1527" s="21" t="s">
        <v>714</v>
      </c>
      <c r="F1527" s="21" t="s">
        <v>724</v>
      </c>
      <c r="G1527" s="21" t="s">
        <v>833</v>
      </c>
    </row>
    <row r="1528" customFormat="false" ht="15" hidden="false" customHeight="false" outlineLevel="0" collapsed="false">
      <c r="B1528" s="19" t="s">
        <v>2507</v>
      </c>
      <c r="C1528" s="20" t="n">
        <f aca="false">ROUND(3.77/FX,2)</f>
        <v>0.52</v>
      </c>
      <c r="D1528" s="21" t="s">
        <v>2505</v>
      </c>
      <c r="E1528" s="21" t="s">
        <v>716</v>
      </c>
      <c r="F1528" s="21" t="s">
        <v>724</v>
      </c>
      <c r="G1528" s="21" t="s">
        <v>833</v>
      </c>
    </row>
    <row r="1529" customFormat="false" ht="15" hidden="false" customHeight="false" outlineLevel="0" collapsed="false">
      <c r="B1529" s="19" t="s">
        <v>2508</v>
      </c>
      <c r="C1529" s="20" t="n">
        <f aca="false">ROUND(2.08/FX,2)</f>
        <v>0.29</v>
      </c>
      <c r="D1529" s="21" t="s">
        <v>2505</v>
      </c>
      <c r="E1529" s="21" t="s">
        <v>719</v>
      </c>
      <c r="F1529" s="21" t="s">
        <v>724</v>
      </c>
      <c r="G1529" s="21" t="s">
        <v>833</v>
      </c>
    </row>
    <row r="1530" customFormat="false" ht="15" hidden="false" customHeight="false" outlineLevel="0" collapsed="false">
      <c r="B1530" s="19" t="s">
        <v>2509</v>
      </c>
      <c r="C1530" s="20" t="n">
        <f aca="false">ROUND(4.29/FX,2)</f>
        <v>0.6</v>
      </c>
      <c r="D1530" s="21" t="s">
        <v>2510</v>
      </c>
      <c r="E1530" s="21" t="s">
        <v>707</v>
      </c>
      <c r="F1530" s="21" t="s">
        <v>724</v>
      </c>
      <c r="G1530" s="21" t="s">
        <v>833</v>
      </c>
    </row>
    <row r="1531" customFormat="false" ht="15" hidden="false" customHeight="false" outlineLevel="0" collapsed="false">
      <c r="B1531" s="19" t="s">
        <v>2511</v>
      </c>
      <c r="C1531" s="20" t="n">
        <f aca="false">ROUND(6.5/FX,2)</f>
        <v>0.9</v>
      </c>
      <c r="D1531" s="21" t="s">
        <v>2510</v>
      </c>
      <c r="E1531" s="21" t="s">
        <v>714</v>
      </c>
      <c r="F1531" s="21" t="s">
        <v>724</v>
      </c>
      <c r="G1531" s="21" t="s">
        <v>833</v>
      </c>
    </row>
    <row r="1532" customFormat="false" ht="15" hidden="false" customHeight="false" outlineLevel="0" collapsed="false">
      <c r="B1532" s="19" t="s">
        <v>2512</v>
      </c>
      <c r="C1532" s="20" t="n">
        <f aca="false">ROUND(3.67/FX,2)</f>
        <v>0.51</v>
      </c>
      <c r="D1532" s="21" t="s">
        <v>2510</v>
      </c>
      <c r="E1532" s="21" t="s">
        <v>716</v>
      </c>
      <c r="F1532" s="21" t="s">
        <v>724</v>
      </c>
      <c r="G1532" s="21" t="s">
        <v>833</v>
      </c>
    </row>
    <row r="1533" customFormat="false" ht="15" hidden="false" customHeight="false" outlineLevel="0" collapsed="false">
      <c r="B1533" s="19" t="s">
        <v>2513</v>
      </c>
      <c r="C1533" s="20" t="n">
        <f aca="false">ROUND(2.08/FX,2)</f>
        <v>0.29</v>
      </c>
      <c r="D1533" s="21" t="s">
        <v>2510</v>
      </c>
      <c r="E1533" s="21" t="s">
        <v>719</v>
      </c>
      <c r="F1533" s="21" t="s">
        <v>724</v>
      </c>
      <c r="G1533" s="21" t="s">
        <v>833</v>
      </c>
    </row>
    <row r="1534" customFormat="false" ht="15" hidden="false" customHeight="false" outlineLevel="0" collapsed="false">
      <c r="B1534" s="19" t="s">
        <v>2514</v>
      </c>
      <c r="C1534" s="20" t="n">
        <f aca="false">ROUND(3.64/FX,2)</f>
        <v>0.51</v>
      </c>
      <c r="D1534" s="21" t="s">
        <v>2515</v>
      </c>
      <c r="E1534" s="21" t="s">
        <v>707</v>
      </c>
      <c r="F1534" s="21" t="s">
        <v>724</v>
      </c>
      <c r="G1534" s="21" t="s">
        <v>833</v>
      </c>
    </row>
    <row r="1535" customFormat="false" ht="15" hidden="false" customHeight="false" outlineLevel="0" collapsed="false">
      <c r="B1535" s="19" t="s">
        <v>2516</v>
      </c>
      <c r="C1535" s="20" t="n">
        <f aca="false">ROUND(3.64/FX,2)</f>
        <v>0.51</v>
      </c>
      <c r="D1535" s="21" t="s">
        <v>2515</v>
      </c>
      <c r="E1535" s="21" t="s">
        <v>714</v>
      </c>
      <c r="F1535" s="21" t="s">
        <v>724</v>
      </c>
      <c r="G1535" s="21" t="s">
        <v>833</v>
      </c>
    </row>
    <row r="1536" customFormat="false" ht="15" hidden="false" customHeight="false" outlineLevel="0" collapsed="false">
      <c r="B1536" s="19" t="s">
        <v>2517</v>
      </c>
      <c r="C1536" s="20" t="n">
        <f aca="false">ROUND(3.34/FX,2)</f>
        <v>0.46</v>
      </c>
      <c r="D1536" s="21" t="s">
        <v>2515</v>
      </c>
      <c r="E1536" s="21" t="s">
        <v>716</v>
      </c>
      <c r="F1536" s="21" t="s">
        <v>724</v>
      </c>
      <c r="G1536" s="21" t="s">
        <v>833</v>
      </c>
    </row>
    <row r="1537" customFormat="false" ht="15" hidden="false" customHeight="false" outlineLevel="0" collapsed="false">
      <c r="B1537" s="19" t="s">
        <v>2518</v>
      </c>
      <c r="C1537" s="20" t="n">
        <f aca="false">ROUND(3.64/FX,2)</f>
        <v>0.51</v>
      </c>
      <c r="D1537" s="21" t="s">
        <v>2515</v>
      </c>
      <c r="E1537" s="21" t="s">
        <v>719</v>
      </c>
      <c r="F1537" s="21" t="s">
        <v>724</v>
      </c>
      <c r="G1537" s="21" t="s">
        <v>833</v>
      </c>
    </row>
    <row r="1538" customFormat="false" ht="15" hidden="false" customHeight="false" outlineLevel="0" collapsed="false">
      <c r="B1538" s="19" t="s">
        <v>2519</v>
      </c>
      <c r="C1538" s="20" t="n">
        <f aca="false">ROUND(3.64/FX,2)</f>
        <v>0.51</v>
      </c>
      <c r="D1538" s="21" t="s">
        <v>2520</v>
      </c>
      <c r="E1538" s="21" t="s">
        <v>707</v>
      </c>
      <c r="F1538" s="21" t="s">
        <v>724</v>
      </c>
      <c r="G1538" s="21" t="s">
        <v>833</v>
      </c>
    </row>
    <row r="1539" customFormat="false" ht="15" hidden="false" customHeight="false" outlineLevel="0" collapsed="false">
      <c r="B1539" s="19" t="s">
        <v>2521</v>
      </c>
      <c r="C1539" s="20" t="n">
        <f aca="false">ROUND(3.64/FX,2)</f>
        <v>0.51</v>
      </c>
      <c r="D1539" s="21" t="s">
        <v>2520</v>
      </c>
      <c r="E1539" s="21" t="s">
        <v>714</v>
      </c>
      <c r="F1539" s="21" t="s">
        <v>724</v>
      </c>
      <c r="G1539" s="21" t="s">
        <v>833</v>
      </c>
    </row>
    <row r="1540" customFormat="false" ht="15" hidden="false" customHeight="false" outlineLevel="0" collapsed="false">
      <c r="B1540" s="19" t="s">
        <v>2522</v>
      </c>
      <c r="C1540" s="20" t="n">
        <f aca="false">ROUND(3.35/FX,2)</f>
        <v>0.47</v>
      </c>
      <c r="D1540" s="21" t="s">
        <v>2520</v>
      </c>
      <c r="E1540" s="21" t="s">
        <v>716</v>
      </c>
      <c r="F1540" s="21" t="s">
        <v>724</v>
      </c>
      <c r="G1540" s="21" t="s">
        <v>833</v>
      </c>
    </row>
    <row r="1541" customFormat="false" ht="15" hidden="false" customHeight="false" outlineLevel="0" collapsed="false">
      <c r="B1541" s="19" t="s">
        <v>2523</v>
      </c>
      <c r="C1541" s="20" t="n">
        <f aca="false">ROUND(3.64/FX,2)</f>
        <v>0.51</v>
      </c>
      <c r="D1541" s="21" t="s">
        <v>2520</v>
      </c>
      <c r="E1541" s="21" t="s">
        <v>719</v>
      </c>
      <c r="F1541" s="21" t="s">
        <v>724</v>
      </c>
      <c r="G1541" s="21" t="s">
        <v>833</v>
      </c>
    </row>
    <row r="1542" customFormat="false" ht="15" hidden="false" customHeight="false" outlineLevel="0" collapsed="false">
      <c r="B1542" s="19" t="s">
        <v>2524</v>
      </c>
      <c r="C1542" s="20" t="n">
        <f aca="false">ROUND(3.64/FX,2)</f>
        <v>0.51</v>
      </c>
      <c r="D1542" s="21" t="s">
        <v>2525</v>
      </c>
      <c r="E1542" s="21" t="s">
        <v>707</v>
      </c>
      <c r="F1542" s="21" t="s">
        <v>724</v>
      </c>
      <c r="G1542" s="21" t="s">
        <v>833</v>
      </c>
    </row>
    <row r="1543" customFormat="false" ht="15" hidden="false" customHeight="false" outlineLevel="0" collapsed="false">
      <c r="B1543" s="19" t="s">
        <v>2526</v>
      </c>
      <c r="C1543" s="20" t="n">
        <f aca="false">ROUND(3.64/FX,2)</f>
        <v>0.51</v>
      </c>
      <c r="D1543" s="21" t="s">
        <v>2525</v>
      </c>
      <c r="E1543" s="21" t="s">
        <v>714</v>
      </c>
      <c r="F1543" s="21" t="s">
        <v>724</v>
      </c>
      <c r="G1543" s="21" t="s">
        <v>833</v>
      </c>
    </row>
    <row r="1544" customFormat="false" ht="15" hidden="false" customHeight="false" outlineLevel="0" collapsed="false">
      <c r="B1544" s="19" t="s">
        <v>2527</v>
      </c>
      <c r="C1544" s="20" t="n">
        <f aca="false">ROUND(3.35/FX,2)</f>
        <v>0.47</v>
      </c>
      <c r="D1544" s="21" t="s">
        <v>2525</v>
      </c>
      <c r="E1544" s="21" t="s">
        <v>716</v>
      </c>
      <c r="F1544" s="21" t="s">
        <v>724</v>
      </c>
      <c r="G1544" s="21" t="s">
        <v>833</v>
      </c>
    </row>
    <row r="1545" customFormat="false" ht="15" hidden="false" customHeight="false" outlineLevel="0" collapsed="false">
      <c r="B1545" s="19" t="s">
        <v>2528</v>
      </c>
      <c r="C1545" s="20" t="n">
        <f aca="false">ROUND(3.64/FX,2)</f>
        <v>0.51</v>
      </c>
      <c r="D1545" s="21" t="s">
        <v>2525</v>
      </c>
      <c r="E1545" s="21" t="s">
        <v>719</v>
      </c>
      <c r="F1545" s="21" t="s">
        <v>724</v>
      </c>
      <c r="G1545" s="21" t="s">
        <v>833</v>
      </c>
    </row>
    <row r="1546" customFormat="false" ht="15" hidden="false" customHeight="false" outlineLevel="0" collapsed="false">
      <c r="B1546" s="19" t="s">
        <v>2529</v>
      </c>
      <c r="C1546" s="20" t="n">
        <f aca="false">ROUND(4.29/FX,2)</f>
        <v>0.6</v>
      </c>
      <c r="D1546" s="21" t="s">
        <v>2530</v>
      </c>
      <c r="E1546" s="21" t="s">
        <v>707</v>
      </c>
      <c r="F1546" s="21" t="s">
        <v>724</v>
      </c>
      <c r="G1546" s="21" t="s">
        <v>833</v>
      </c>
    </row>
    <row r="1547" customFormat="false" ht="15" hidden="false" customHeight="false" outlineLevel="0" collapsed="false">
      <c r="B1547" s="19" t="s">
        <v>2531</v>
      </c>
      <c r="C1547" s="20" t="n">
        <f aca="false">ROUND(6.5/FX,2)</f>
        <v>0.9</v>
      </c>
      <c r="D1547" s="21" t="s">
        <v>2530</v>
      </c>
      <c r="E1547" s="21" t="s">
        <v>714</v>
      </c>
      <c r="F1547" s="21" t="s">
        <v>724</v>
      </c>
      <c r="G1547" s="21" t="s">
        <v>833</v>
      </c>
    </row>
    <row r="1548" customFormat="false" ht="15" hidden="false" customHeight="false" outlineLevel="0" collapsed="false">
      <c r="B1548" s="19" t="s">
        <v>2532</v>
      </c>
      <c r="C1548" s="20" t="n">
        <f aca="false">ROUND(4.42/FX,2)</f>
        <v>0.61</v>
      </c>
      <c r="D1548" s="21" t="s">
        <v>2530</v>
      </c>
      <c r="E1548" s="21" t="s">
        <v>716</v>
      </c>
      <c r="F1548" s="21" t="s">
        <v>724</v>
      </c>
      <c r="G1548" s="21" t="s">
        <v>833</v>
      </c>
    </row>
    <row r="1549" customFormat="false" ht="15" hidden="false" customHeight="false" outlineLevel="0" collapsed="false">
      <c r="B1549" s="19" t="s">
        <v>2533</v>
      </c>
      <c r="C1549" s="20" t="n">
        <f aca="false">ROUND(5.66/FX,2)</f>
        <v>0.79</v>
      </c>
      <c r="D1549" s="21" t="s">
        <v>2530</v>
      </c>
      <c r="E1549" s="21" t="s">
        <v>719</v>
      </c>
      <c r="F1549" s="21" t="s">
        <v>724</v>
      </c>
      <c r="G1549" s="21" t="s">
        <v>833</v>
      </c>
    </row>
    <row r="1550" customFormat="false" ht="15" hidden="false" customHeight="false" outlineLevel="0" collapsed="false">
      <c r="B1550" s="19" t="s">
        <v>2534</v>
      </c>
      <c r="C1550" s="20" t="n">
        <f aca="false">ROUND(4.03/FX,2)</f>
        <v>0.56</v>
      </c>
      <c r="D1550" s="21" t="s">
        <v>2535</v>
      </c>
      <c r="E1550" s="21" t="s">
        <v>707</v>
      </c>
      <c r="F1550" s="21" t="s">
        <v>724</v>
      </c>
      <c r="G1550" s="21" t="s">
        <v>833</v>
      </c>
    </row>
    <row r="1551" customFormat="false" ht="15" hidden="false" customHeight="false" outlineLevel="0" collapsed="false">
      <c r="B1551" s="19" t="s">
        <v>2536</v>
      </c>
      <c r="C1551" s="20" t="n">
        <f aca="false">ROUND(4.03/FX,2)</f>
        <v>0.56</v>
      </c>
      <c r="D1551" s="21" t="s">
        <v>2535</v>
      </c>
      <c r="E1551" s="21" t="s">
        <v>714</v>
      </c>
      <c r="F1551" s="21" t="s">
        <v>724</v>
      </c>
      <c r="G1551" s="21" t="s">
        <v>833</v>
      </c>
    </row>
    <row r="1552" customFormat="false" ht="15" hidden="false" customHeight="false" outlineLevel="0" collapsed="false">
      <c r="B1552" s="19" t="s">
        <v>2537</v>
      </c>
      <c r="C1552" s="20" t="n">
        <f aca="false">ROUND(3.99/FX,2)</f>
        <v>0.55</v>
      </c>
      <c r="D1552" s="21" t="s">
        <v>2535</v>
      </c>
      <c r="E1552" s="21" t="s">
        <v>716</v>
      </c>
      <c r="F1552" s="21" t="s">
        <v>724</v>
      </c>
      <c r="G1552" s="21" t="s">
        <v>833</v>
      </c>
    </row>
    <row r="1553" customFormat="false" ht="15" hidden="false" customHeight="false" outlineLevel="0" collapsed="false">
      <c r="B1553" s="19" t="s">
        <v>2538</v>
      </c>
      <c r="C1553" s="20" t="n">
        <f aca="false">ROUND(4.03/FX,2)</f>
        <v>0.56</v>
      </c>
      <c r="D1553" s="21" t="s">
        <v>2535</v>
      </c>
      <c r="E1553" s="21" t="s">
        <v>719</v>
      </c>
      <c r="F1553" s="21" t="s">
        <v>724</v>
      </c>
      <c r="G1553" s="21" t="s">
        <v>833</v>
      </c>
    </row>
    <row r="1554" customFormat="false" ht="15" hidden="false" customHeight="false" outlineLevel="0" collapsed="false">
      <c r="B1554" s="19" t="s">
        <v>2539</v>
      </c>
      <c r="C1554" s="20" t="n">
        <f aca="false">ROUND(4.55/FX,2)</f>
        <v>0.63</v>
      </c>
      <c r="D1554" s="21" t="s">
        <v>2540</v>
      </c>
      <c r="E1554" s="21" t="s">
        <v>707</v>
      </c>
      <c r="F1554" s="21" t="s">
        <v>724</v>
      </c>
      <c r="G1554" s="21" t="s">
        <v>833</v>
      </c>
    </row>
    <row r="1555" customFormat="false" ht="15" hidden="false" customHeight="false" outlineLevel="0" collapsed="false">
      <c r="B1555" s="19" t="s">
        <v>2541</v>
      </c>
      <c r="C1555" s="20" t="n">
        <f aca="false">ROUND(6.83/FX,2)</f>
        <v>0.95</v>
      </c>
      <c r="D1555" s="21" t="s">
        <v>2540</v>
      </c>
      <c r="E1555" s="21" t="s">
        <v>714</v>
      </c>
      <c r="F1555" s="21" t="s">
        <v>724</v>
      </c>
      <c r="G1555" s="21" t="s">
        <v>833</v>
      </c>
    </row>
    <row r="1556" customFormat="false" ht="15" hidden="false" customHeight="false" outlineLevel="0" collapsed="false">
      <c r="B1556" s="19" t="s">
        <v>2542</v>
      </c>
      <c r="C1556" s="20" t="n">
        <f aca="false">ROUND(2.58/FX,2)</f>
        <v>0.36</v>
      </c>
      <c r="D1556" s="21" t="s">
        <v>2540</v>
      </c>
      <c r="E1556" s="21" t="s">
        <v>841</v>
      </c>
      <c r="F1556" s="21" t="s">
        <v>724</v>
      </c>
      <c r="G1556" s="21" t="s">
        <v>833</v>
      </c>
    </row>
    <row r="1557" customFormat="false" ht="15" hidden="false" customHeight="false" outlineLevel="0" collapsed="false">
      <c r="B1557" s="19" t="s">
        <v>2543</v>
      </c>
      <c r="C1557" s="20" t="n">
        <f aca="false">ROUND(3.88/FX,2)</f>
        <v>0.54</v>
      </c>
      <c r="D1557" s="21" t="s">
        <v>2540</v>
      </c>
      <c r="E1557" s="21" t="s">
        <v>716</v>
      </c>
      <c r="F1557" s="21" t="s">
        <v>724</v>
      </c>
      <c r="G1557" s="21" t="s">
        <v>833</v>
      </c>
    </row>
    <row r="1558" customFormat="false" ht="15" hidden="false" customHeight="false" outlineLevel="0" collapsed="false">
      <c r="B1558" s="19" t="s">
        <v>2544</v>
      </c>
      <c r="C1558" s="20" t="n">
        <f aca="false">ROUND(2.73/FX,2)</f>
        <v>0.38</v>
      </c>
      <c r="D1558" s="21" t="s">
        <v>2540</v>
      </c>
      <c r="E1558" s="21" t="s">
        <v>719</v>
      </c>
      <c r="F1558" s="21" t="s">
        <v>724</v>
      </c>
      <c r="G1558" s="21" t="s">
        <v>833</v>
      </c>
    </row>
    <row r="1559" customFormat="false" ht="15" hidden="false" customHeight="false" outlineLevel="0" collapsed="false">
      <c r="B1559" s="19" t="s">
        <v>2545</v>
      </c>
      <c r="C1559" s="20" t="n">
        <f aca="false">ROUND(4.55/FX,2)</f>
        <v>0.63</v>
      </c>
      <c r="D1559" s="21" t="s">
        <v>2546</v>
      </c>
      <c r="E1559" s="21" t="s">
        <v>707</v>
      </c>
      <c r="F1559" s="21" t="s">
        <v>724</v>
      </c>
      <c r="G1559" s="21" t="s">
        <v>833</v>
      </c>
    </row>
    <row r="1560" customFormat="false" ht="15" hidden="false" customHeight="false" outlineLevel="0" collapsed="false">
      <c r="B1560" s="19" t="s">
        <v>2547</v>
      </c>
      <c r="C1560" s="20" t="n">
        <f aca="false">ROUND(6.83/FX,2)</f>
        <v>0.95</v>
      </c>
      <c r="D1560" s="21" t="s">
        <v>2546</v>
      </c>
      <c r="E1560" s="21" t="s">
        <v>714</v>
      </c>
      <c r="F1560" s="21" t="s">
        <v>724</v>
      </c>
      <c r="G1560" s="21" t="s">
        <v>833</v>
      </c>
    </row>
    <row r="1561" customFormat="false" ht="15" hidden="false" customHeight="false" outlineLevel="0" collapsed="false">
      <c r="B1561" s="19" t="s">
        <v>2548</v>
      </c>
      <c r="C1561" s="20" t="n">
        <f aca="false">ROUND(4.55/FX,2)</f>
        <v>0.63</v>
      </c>
      <c r="D1561" s="21" t="s">
        <v>2546</v>
      </c>
      <c r="E1561" s="21" t="s">
        <v>841</v>
      </c>
      <c r="F1561" s="21" t="s">
        <v>724</v>
      </c>
      <c r="G1561" s="21" t="s">
        <v>833</v>
      </c>
    </row>
    <row r="1562" customFormat="false" ht="15" hidden="false" customHeight="false" outlineLevel="0" collapsed="false">
      <c r="B1562" s="19" t="s">
        <v>2549</v>
      </c>
      <c r="C1562" s="20" t="n">
        <f aca="false">ROUND(5.33/FX,2)</f>
        <v>0.74</v>
      </c>
      <c r="D1562" s="21" t="s">
        <v>2546</v>
      </c>
      <c r="E1562" s="21" t="s">
        <v>716</v>
      </c>
      <c r="F1562" s="21" t="s">
        <v>724</v>
      </c>
      <c r="G1562" s="21" t="s">
        <v>833</v>
      </c>
    </row>
    <row r="1563" customFormat="false" ht="15" hidden="false" customHeight="false" outlineLevel="0" collapsed="false">
      <c r="B1563" s="19" t="s">
        <v>2550</v>
      </c>
      <c r="C1563" s="20" t="n">
        <f aca="false">ROUND(2.73/FX,2)</f>
        <v>0.38</v>
      </c>
      <c r="D1563" s="21" t="s">
        <v>2546</v>
      </c>
      <c r="E1563" s="21" t="s">
        <v>719</v>
      </c>
      <c r="F1563" s="21" t="s">
        <v>724</v>
      </c>
      <c r="G1563" s="21" t="s">
        <v>833</v>
      </c>
    </row>
    <row r="1564" customFormat="false" ht="15" hidden="false" customHeight="false" outlineLevel="0" collapsed="false">
      <c r="B1564" s="19" t="s">
        <v>2551</v>
      </c>
      <c r="C1564" s="20" t="n">
        <f aca="false">ROUND(4.55/FX,2)</f>
        <v>0.63</v>
      </c>
      <c r="D1564" s="21" t="s">
        <v>2552</v>
      </c>
      <c r="E1564" s="21" t="s">
        <v>707</v>
      </c>
      <c r="F1564" s="21" t="s">
        <v>724</v>
      </c>
      <c r="G1564" s="21" t="s">
        <v>833</v>
      </c>
    </row>
    <row r="1565" customFormat="false" ht="15" hidden="false" customHeight="false" outlineLevel="0" collapsed="false">
      <c r="B1565" s="19" t="s">
        <v>2553</v>
      </c>
      <c r="C1565" s="20" t="n">
        <f aca="false">ROUND(4.55/FX,2)</f>
        <v>0.63</v>
      </c>
      <c r="D1565" s="21" t="s">
        <v>2552</v>
      </c>
      <c r="E1565" s="21" t="s">
        <v>714</v>
      </c>
      <c r="F1565" s="21" t="s">
        <v>724</v>
      </c>
      <c r="G1565" s="21" t="s">
        <v>833</v>
      </c>
    </row>
    <row r="1566" customFormat="false" ht="15" hidden="false" customHeight="false" outlineLevel="0" collapsed="false">
      <c r="B1566" s="19" t="s">
        <v>2554</v>
      </c>
      <c r="C1566" s="20" t="n">
        <f aca="false">ROUND(4.55/FX,2)</f>
        <v>0.63</v>
      </c>
      <c r="D1566" s="21" t="s">
        <v>2552</v>
      </c>
      <c r="E1566" s="21" t="s">
        <v>841</v>
      </c>
      <c r="F1566" s="21" t="s">
        <v>724</v>
      </c>
      <c r="G1566" s="21" t="s">
        <v>833</v>
      </c>
    </row>
    <row r="1567" customFormat="false" ht="15" hidden="false" customHeight="false" outlineLevel="0" collapsed="false">
      <c r="B1567" s="19" t="s">
        <v>2555</v>
      </c>
      <c r="C1567" s="20" t="n">
        <f aca="false">ROUND(3.51/FX,2)</f>
        <v>0.49</v>
      </c>
      <c r="D1567" s="21" t="s">
        <v>2552</v>
      </c>
      <c r="E1567" s="21" t="s">
        <v>716</v>
      </c>
      <c r="F1567" s="21" t="s">
        <v>724</v>
      </c>
      <c r="G1567" s="21" t="s">
        <v>833</v>
      </c>
    </row>
    <row r="1568" customFormat="false" ht="15" hidden="false" customHeight="false" outlineLevel="0" collapsed="false">
      <c r="B1568" s="19" t="s">
        <v>2556</v>
      </c>
      <c r="C1568" s="20" t="n">
        <f aca="false">ROUND(4.55/FX,2)</f>
        <v>0.63</v>
      </c>
      <c r="D1568" s="21" t="s">
        <v>2552</v>
      </c>
      <c r="E1568" s="21" t="s">
        <v>719</v>
      </c>
      <c r="F1568" s="21" t="s">
        <v>724</v>
      </c>
      <c r="G1568" s="21" t="s">
        <v>833</v>
      </c>
    </row>
    <row r="1569" customFormat="false" ht="15" hidden="false" customHeight="false" outlineLevel="0" collapsed="false">
      <c r="B1569" s="19" t="s">
        <v>2557</v>
      </c>
      <c r="C1569" s="20" t="n">
        <f aca="false">ROUND(9.1/FX,2)</f>
        <v>1.26</v>
      </c>
      <c r="D1569" s="21" t="s">
        <v>2558</v>
      </c>
      <c r="E1569" s="21" t="s">
        <v>707</v>
      </c>
      <c r="F1569" s="21" t="s">
        <v>724</v>
      </c>
      <c r="G1569" s="21" t="s">
        <v>833</v>
      </c>
    </row>
    <row r="1570" customFormat="false" ht="15" hidden="false" customHeight="false" outlineLevel="0" collapsed="false">
      <c r="B1570" s="19" t="s">
        <v>2559</v>
      </c>
      <c r="C1570" s="20" t="n">
        <f aca="false">ROUND(6.83/FX,2)</f>
        <v>0.95</v>
      </c>
      <c r="D1570" s="21" t="s">
        <v>2558</v>
      </c>
      <c r="E1570" s="21" t="s">
        <v>714</v>
      </c>
      <c r="F1570" s="21" t="s">
        <v>724</v>
      </c>
      <c r="G1570" s="21" t="s">
        <v>833</v>
      </c>
    </row>
    <row r="1571" customFormat="false" ht="15" hidden="false" customHeight="false" outlineLevel="0" collapsed="false">
      <c r="B1571" s="19" t="s">
        <v>2560</v>
      </c>
      <c r="C1571" s="20" t="n">
        <f aca="false">ROUND(4.55/FX,2)</f>
        <v>0.63</v>
      </c>
      <c r="D1571" s="21" t="s">
        <v>2558</v>
      </c>
      <c r="E1571" s="21" t="s">
        <v>841</v>
      </c>
      <c r="F1571" s="21" t="s">
        <v>724</v>
      </c>
      <c r="G1571" s="21" t="s">
        <v>833</v>
      </c>
    </row>
    <row r="1572" customFormat="false" ht="15" hidden="false" customHeight="false" outlineLevel="0" collapsed="false">
      <c r="B1572" s="19" t="s">
        <v>2561</v>
      </c>
      <c r="C1572" s="20" t="n">
        <f aca="false">ROUND(3.94/FX,2)</f>
        <v>0.55</v>
      </c>
      <c r="D1572" s="21" t="s">
        <v>2558</v>
      </c>
      <c r="E1572" s="21" t="s">
        <v>716</v>
      </c>
      <c r="F1572" s="21" t="s">
        <v>724</v>
      </c>
      <c r="G1572" s="21" t="s">
        <v>833</v>
      </c>
    </row>
    <row r="1573" customFormat="false" ht="15" hidden="false" customHeight="false" outlineLevel="0" collapsed="false">
      <c r="B1573" s="19" t="s">
        <v>2562</v>
      </c>
      <c r="C1573" s="20" t="n">
        <f aca="false">ROUND(5.92/FX,2)</f>
        <v>0.82</v>
      </c>
      <c r="D1573" s="21" t="s">
        <v>2558</v>
      </c>
      <c r="E1573" s="21" t="s">
        <v>719</v>
      </c>
      <c r="F1573" s="21" t="s">
        <v>724</v>
      </c>
      <c r="G1573" s="21" t="s">
        <v>833</v>
      </c>
    </row>
    <row r="1574" customFormat="false" ht="15" hidden="false" customHeight="false" outlineLevel="0" collapsed="false">
      <c r="B1574" s="19" t="s">
        <v>2563</v>
      </c>
      <c r="C1574" s="20" t="n">
        <f aca="false">ROUND(1.56/FX,2)</f>
        <v>0.22</v>
      </c>
      <c r="D1574" s="21" t="s">
        <v>1807</v>
      </c>
      <c r="E1574" s="21" t="s">
        <v>707</v>
      </c>
      <c r="F1574" s="21" t="s">
        <v>1695</v>
      </c>
      <c r="G1574" s="21" t="s">
        <v>1696</v>
      </c>
    </row>
    <row r="1575" customFormat="false" ht="15" hidden="false" customHeight="false" outlineLevel="0" collapsed="false">
      <c r="B1575" s="19" t="s">
        <v>2564</v>
      </c>
      <c r="C1575" s="20" t="n">
        <f aca="false">ROUND(1.56/FX,2)</f>
        <v>0.22</v>
      </c>
      <c r="D1575" s="21" t="s">
        <v>1807</v>
      </c>
      <c r="E1575" s="21" t="s">
        <v>714</v>
      </c>
      <c r="F1575" s="21" t="s">
        <v>1695</v>
      </c>
      <c r="G1575" s="21" t="s">
        <v>1696</v>
      </c>
    </row>
    <row r="1576" customFormat="false" ht="15" hidden="false" customHeight="false" outlineLevel="0" collapsed="false">
      <c r="B1576" s="19" t="s">
        <v>2565</v>
      </c>
      <c r="C1576" s="20" t="n">
        <f aca="false">ROUND(5.53/FX,2)</f>
        <v>0.77</v>
      </c>
      <c r="D1576" s="21" t="s">
        <v>1807</v>
      </c>
      <c r="E1576" s="21" t="s">
        <v>716</v>
      </c>
      <c r="F1576" s="21" t="s">
        <v>1695</v>
      </c>
      <c r="G1576" s="21" t="s">
        <v>1696</v>
      </c>
    </row>
    <row r="1577" customFormat="false" ht="15" hidden="false" customHeight="false" outlineLevel="0" collapsed="false">
      <c r="B1577" s="19" t="s">
        <v>2566</v>
      </c>
      <c r="C1577" s="20" t="n">
        <f aca="false">ROUND(1.56/FX,2)</f>
        <v>0.22</v>
      </c>
      <c r="D1577" s="21" t="s">
        <v>1807</v>
      </c>
      <c r="E1577" s="21" t="s">
        <v>719</v>
      </c>
      <c r="F1577" s="21" t="s">
        <v>1695</v>
      </c>
      <c r="G1577" s="21" t="s">
        <v>1696</v>
      </c>
    </row>
    <row r="1578" customFormat="false" ht="15" hidden="false" customHeight="false" outlineLevel="0" collapsed="false">
      <c r="B1578" s="19" t="s">
        <v>2567</v>
      </c>
      <c r="C1578" s="20" t="n">
        <f aca="false">ROUND(6.32/FX,2)</f>
        <v>0.88</v>
      </c>
      <c r="D1578" s="21" t="s">
        <v>1812</v>
      </c>
      <c r="E1578" s="21" t="s">
        <v>707</v>
      </c>
      <c r="F1578" s="21" t="s">
        <v>1695</v>
      </c>
      <c r="G1578" s="21" t="s">
        <v>1696</v>
      </c>
    </row>
    <row r="1579" customFormat="false" ht="15" hidden="false" customHeight="false" outlineLevel="0" collapsed="false">
      <c r="B1579" s="19" t="s">
        <v>2568</v>
      </c>
      <c r="C1579" s="20" t="n">
        <f aca="false">ROUND(6.32/FX,2)</f>
        <v>0.88</v>
      </c>
      <c r="D1579" s="21" t="s">
        <v>1812</v>
      </c>
      <c r="E1579" s="21" t="s">
        <v>714</v>
      </c>
      <c r="F1579" s="21" t="s">
        <v>1695</v>
      </c>
      <c r="G1579" s="21" t="s">
        <v>1696</v>
      </c>
    </row>
    <row r="1580" customFormat="false" ht="15" hidden="false" customHeight="false" outlineLevel="0" collapsed="false">
      <c r="B1580" s="19" t="s">
        <v>2569</v>
      </c>
      <c r="C1580" s="20" t="n">
        <f aca="false">ROUND(6.32/FX,2)</f>
        <v>0.88</v>
      </c>
      <c r="D1580" s="21" t="s">
        <v>1812</v>
      </c>
      <c r="E1580" s="21" t="s">
        <v>716</v>
      </c>
      <c r="F1580" s="21" t="s">
        <v>1695</v>
      </c>
      <c r="G1580" s="21" t="s">
        <v>1696</v>
      </c>
    </row>
    <row r="1581" customFormat="false" ht="15" hidden="false" customHeight="false" outlineLevel="0" collapsed="false">
      <c r="B1581" s="19" t="s">
        <v>2570</v>
      </c>
      <c r="C1581" s="20" t="n">
        <f aca="false">ROUND(6.32/FX,2)</f>
        <v>0.88</v>
      </c>
      <c r="D1581" s="21" t="s">
        <v>1812</v>
      </c>
      <c r="E1581" s="21" t="s">
        <v>719</v>
      </c>
      <c r="F1581" s="21" t="s">
        <v>1695</v>
      </c>
      <c r="G1581" s="21" t="s">
        <v>1696</v>
      </c>
    </row>
    <row r="1582" customFormat="false" ht="15" hidden="false" customHeight="false" outlineLevel="0" collapsed="false">
      <c r="B1582" s="19" t="s">
        <v>2571</v>
      </c>
      <c r="C1582" s="20" t="n">
        <f aca="false">ROUND(6.32/FX,2)</f>
        <v>0.88</v>
      </c>
      <c r="D1582" s="21" t="s">
        <v>1856</v>
      </c>
      <c r="E1582" s="21" t="s">
        <v>707</v>
      </c>
      <c r="F1582" s="21" t="s">
        <v>1695</v>
      </c>
      <c r="G1582" s="21" t="s">
        <v>1696</v>
      </c>
    </row>
    <row r="1583" customFormat="false" ht="15" hidden="false" customHeight="false" outlineLevel="0" collapsed="false">
      <c r="B1583" s="19" t="s">
        <v>2572</v>
      </c>
      <c r="C1583" s="20" t="n">
        <f aca="false">ROUND(6.32/FX,2)</f>
        <v>0.88</v>
      </c>
      <c r="D1583" s="21" t="s">
        <v>1856</v>
      </c>
      <c r="E1583" s="21" t="s">
        <v>714</v>
      </c>
      <c r="F1583" s="21" t="s">
        <v>1695</v>
      </c>
      <c r="G1583" s="21" t="s">
        <v>1696</v>
      </c>
    </row>
    <row r="1584" customFormat="false" ht="15" hidden="false" customHeight="false" outlineLevel="0" collapsed="false">
      <c r="B1584" s="19" t="s">
        <v>2573</v>
      </c>
      <c r="C1584" s="20" t="n">
        <f aca="false">ROUND(6.68/FX,2)</f>
        <v>0.93</v>
      </c>
      <c r="D1584" s="21" t="s">
        <v>1856</v>
      </c>
      <c r="E1584" s="21" t="s">
        <v>716</v>
      </c>
      <c r="F1584" s="21" t="s">
        <v>1695</v>
      </c>
      <c r="G1584" s="21" t="s">
        <v>1696</v>
      </c>
    </row>
    <row r="1585" customFormat="false" ht="15" hidden="false" customHeight="false" outlineLevel="0" collapsed="false">
      <c r="B1585" s="19" t="s">
        <v>2574</v>
      </c>
      <c r="C1585" s="20" t="n">
        <f aca="false">ROUND(6.32/FX,2)</f>
        <v>0.88</v>
      </c>
      <c r="D1585" s="21" t="s">
        <v>1856</v>
      </c>
      <c r="E1585" s="21" t="s">
        <v>719</v>
      </c>
      <c r="F1585" s="21" t="s">
        <v>1695</v>
      </c>
      <c r="G1585" s="21" t="s">
        <v>1696</v>
      </c>
    </row>
    <row r="1586" customFormat="false" ht="15" hidden="false" customHeight="false" outlineLevel="0" collapsed="false">
      <c r="B1586" s="19" t="s">
        <v>2575</v>
      </c>
      <c r="C1586" s="20" t="n">
        <f aca="false">ROUND(11/FX,2)</f>
        <v>1.53</v>
      </c>
      <c r="D1586" s="21" t="s">
        <v>1881</v>
      </c>
      <c r="E1586" s="21" t="s">
        <v>707</v>
      </c>
      <c r="F1586" s="21" t="s">
        <v>1695</v>
      </c>
      <c r="G1586" s="21" t="s">
        <v>1696</v>
      </c>
    </row>
    <row r="1587" customFormat="false" ht="15" hidden="false" customHeight="false" outlineLevel="0" collapsed="false">
      <c r="B1587" s="19" t="s">
        <v>2576</v>
      </c>
      <c r="C1587" s="20" t="n">
        <f aca="false">ROUND(1.56/FX,2)</f>
        <v>0.22</v>
      </c>
      <c r="D1587" s="21" t="s">
        <v>1881</v>
      </c>
      <c r="E1587" s="21" t="s">
        <v>714</v>
      </c>
      <c r="F1587" s="21" t="s">
        <v>1695</v>
      </c>
      <c r="G1587" s="21" t="s">
        <v>1696</v>
      </c>
    </row>
    <row r="1588" customFormat="false" ht="15" hidden="false" customHeight="false" outlineLevel="0" collapsed="false">
      <c r="B1588" s="19" t="s">
        <v>2577</v>
      </c>
      <c r="C1588" s="20" t="n">
        <f aca="false">ROUND(6.53/FX,2)</f>
        <v>0.91</v>
      </c>
      <c r="D1588" s="21" t="s">
        <v>1881</v>
      </c>
      <c r="E1588" s="21" t="s">
        <v>716</v>
      </c>
      <c r="F1588" s="21" t="s">
        <v>1695</v>
      </c>
      <c r="G1588" s="21" t="s">
        <v>1696</v>
      </c>
    </row>
    <row r="1589" customFormat="false" ht="15" hidden="false" customHeight="false" outlineLevel="0" collapsed="false">
      <c r="B1589" s="19" t="s">
        <v>2578</v>
      </c>
      <c r="C1589" s="20" t="n">
        <f aca="false">ROUND(1.56/FX,2)</f>
        <v>0.22</v>
      </c>
      <c r="D1589" s="21" t="s">
        <v>1881</v>
      </c>
      <c r="E1589" s="21" t="s">
        <v>719</v>
      </c>
      <c r="F1589" s="21" t="s">
        <v>1695</v>
      </c>
      <c r="G1589" s="21" t="s">
        <v>1696</v>
      </c>
    </row>
    <row r="1590" customFormat="false" ht="15" hidden="false" customHeight="false" outlineLevel="0" collapsed="false">
      <c r="B1590" s="19" t="s">
        <v>2579</v>
      </c>
      <c r="C1590" s="20" t="n">
        <f aca="false">ROUND(15.73/FX,2)</f>
        <v>2.18</v>
      </c>
      <c r="D1590" s="21" t="s">
        <v>1924</v>
      </c>
      <c r="E1590" s="21" t="s">
        <v>707</v>
      </c>
      <c r="F1590" s="21" t="s">
        <v>1695</v>
      </c>
      <c r="G1590" s="21" t="s">
        <v>1696</v>
      </c>
    </row>
    <row r="1591" customFormat="false" ht="15" hidden="false" customHeight="false" outlineLevel="0" collapsed="false">
      <c r="B1591" s="19" t="s">
        <v>2580</v>
      </c>
      <c r="C1591" s="20" t="n">
        <f aca="false">ROUND(1.56/FX,2)</f>
        <v>0.22</v>
      </c>
      <c r="D1591" s="21" t="s">
        <v>1924</v>
      </c>
      <c r="E1591" s="21" t="s">
        <v>714</v>
      </c>
      <c r="F1591" s="21" t="s">
        <v>1695</v>
      </c>
      <c r="G1591" s="21" t="s">
        <v>1696</v>
      </c>
    </row>
    <row r="1592" customFormat="false" ht="15" hidden="false" customHeight="false" outlineLevel="0" collapsed="false">
      <c r="B1592" s="19" t="s">
        <v>2581</v>
      </c>
      <c r="C1592" s="20" t="n">
        <f aca="false">ROUND(1.56/FX,2)</f>
        <v>0.22</v>
      </c>
      <c r="D1592" s="21" t="s">
        <v>1924</v>
      </c>
      <c r="E1592" s="21" t="s">
        <v>716</v>
      </c>
      <c r="F1592" s="21" t="s">
        <v>1695</v>
      </c>
      <c r="G1592" s="21" t="s">
        <v>1696</v>
      </c>
    </row>
    <row r="1593" customFormat="false" ht="15" hidden="false" customHeight="false" outlineLevel="0" collapsed="false">
      <c r="B1593" s="19" t="s">
        <v>2582</v>
      </c>
      <c r="C1593" s="20" t="n">
        <f aca="false">ROUND(1.56/FX,2)</f>
        <v>0.22</v>
      </c>
      <c r="D1593" s="21" t="s">
        <v>1924</v>
      </c>
      <c r="E1593" s="21" t="s">
        <v>719</v>
      </c>
      <c r="F1593" s="21" t="s">
        <v>1695</v>
      </c>
      <c r="G1593" s="21" t="s">
        <v>1696</v>
      </c>
    </row>
    <row r="1594" customFormat="false" ht="15" hidden="false" customHeight="false" outlineLevel="0" collapsed="false">
      <c r="B1594" s="19" t="s">
        <v>2583</v>
      </c>
      <c r="C1594" s="20" t="n">
        <f aca="false">ROUND(1.56/FX,2)</f>
        <v>0.22</v>
      </c>
      <c r="D1594" s="21" t="s">
        <v>2002</v>
      </c>
      <c r="E1594" s="21" t="s">
        <v>707</v>
      </c>
      <c r="F1594" s="21" t="s">
        <v>1695</v>
      </c>
      <c r="G1594" s="21" t="s">
        <v>1696</v>
      </c>
    </row>
    <row r="1595" customFormat="false" ht="15" hidden="false" customHeight="false" outlineLevel="0" collapsed="false">
      <c r="B1595" s="19" t="s">
        <v>2584</v>
      </c>
      <c r="C1595" s="20" t="n">
        <f aca="false">ROUND(1.56/FX,2)</f>
        <v>0.22</v>
      </c>
      <c r="D1595" s="21" t="s">
        <v>2002</v>
      </c>
      <c r="E1595" s="21" t="s">
        <v>714</v>
      </c>
      <c r="F1595" s="21" t="s">
        <v>1695</v>
      </c>
      <c r="G1595" s="21" t="s">
        <v>1696</v>
      </c>
    </row>
    <row r="1596" customFormat="false" ht="15" hidden="false" customHeight="false" outlineLevel="0" collapsed="false">
      <c r="B1596" s="19" t="s">
        <v>2585</v>
      </c>
      <c r="C1596" s="20" t="n">
        <f aca="false">ROUND(1.91/FX,2)</f>
        <v>0.27</v>
      </c>
      <c r="D1596" s="21" t="s">
        <v>2002</v>
      </c>
      <c r="E1596" s="21" t="s">
        <v>716</v>
      </c>
      <c r="F1596" s="21" t="s">
        <v>1695</v>
      </c>
      <c r="G1596" s="21" t="s">
        <v>1696</v>
      </c>
    </row>
    <row r="1597" customFormat="false" ht="15" hidden="false" customHeight="false" outlineLevel="0" collapsed="false">
      <c r="B1597" s="19" t="s">
        <v>2586</v>
      </c>
      <c r="C1597" s="20" t="n">
        <f aca="false">ROUND(1.56/FX,2)</f>
        <v>0.22</v>
      </c>
      <c r="D1597" s="21" t="s">
        <v>2002</v>
      </c>
      <c r="E1597" s="21" t="s">
        <v>719</v>
      </c>
      <c r="F1597" s="21" t="s">
        <v>1695</v>
      </c>
      <c r="G1597" s="21" t="s">
        <v>1696</v>
      </c>
    </row>
    <row r="1598" customFormat="false" ht="15" hidden="false" customHeight="false" outlineLevel="0" collapsed="false">
      <c r="B1598" s="19" t="s">
        <v>2587</v>
      </c>
      <c r="C1598" s="20" t="n">
        <f aca="false">ROUND(1.56/FX,2)</f>
        <v>0.22</v>
      </c>
      <c r="D1598" s="21" t="s">
        <v>2242</v>
      </c>
      <c r="E1598" s="21" t="s">
        <v>707</v>
      </c>
      <c r="F1598" s="21" t="s">
        <v>1695</v>
      </c>
      <c r="G1598" s="21" t="s">
        <v>1696</v>
      </c>
    </row>
    <row r="1599" customFormat="false" ht="15" hidden="false" customHeight="false" outlineLevel="0" collapsed="false">
      <c r="B1599" s="19" t="s">
        <v>2588</v>
      </c>
      <c r="C1599" s="20" t="n">
        <f aca="false">ROUND(1.56/FX,2)</f>
        <v>0.22</v>
      </c>
      <c r="D1599" s="21" t="s">
        <v>2242</v>
      </c>
      <c r="E1599" s="21" t="s">
        <v>714</v>
      </c>
      <c r="F1599" s="21" t="s">
        <v>1695</v>
      </c>
      <c r="G1599" s="21" t="s">
        <v>1696</v>
      </c>
    </row>
    <row r="1600" customFormat="false" ht="15" hidden="false" customHeight="false" outlineLevel="0" collapsed="false">
      <c r="B1600" s="19" t="s">
        <v>2589</v>
      </c>
      <c r="C1600" s="20" t="n">
        <f aca="false">ROUND(3.19/FX,2)</f>
        <v>0.44</v>
      </c>
      <c r="D1600" s="21" t="s">
        <v>2242</v>
      </c>
      <c r="E1600" s="21" t="s">
        <v>716</v>
      </c>
      <c r="F1600" s="21" t="s">
        <v>1695</v>
      </c>
      <c r="G1600" s="21" t="s">
        <v>1696</v>
      </c>
    </row>
    <row r="1601" customFormat="false" ht="15" hidden="false" customHeight="false" outlineLevel="0" collapsed="false">
      <c r="B1601" s="19" t="s">
        <v>2590</v>
      </c>
      <c r="C1601" s="20" t="n">
        <f aca="false">ROUND(1.56/FX,2)</f>
        <v>0.22</v>
      </c>
      <c r="D1601" s="21" t="s">
        <v>2242</v>
      </c>
      <c r="E1601" s="21" t="s">
        <v>719</v>
      </c>
      <c r="F1601" s="21" t="s">
        <v>1695</v>
      </c>
      <c r="G1601" s="21" t="s">
        <v>1696</v>
      </c>
    </row>
    <row r="1602" customFormat="false" ht="15" hidden="false" customHeight="false" outlineLevel="0" collapsed="false">
      <c r="B1602" s="19" t="s">
        <v>2591</v>
      </c>
      <c r="C1602" s="20" t="n">
        <f aca="false">ROUND(1.56/FX,2)</f>
        <v>0.22</v>
      </c>
      <c r="D1602" s="21" t="s">
        <v>2475</v>
      </c>
      <c r="E1602" s="21" t="s">
        <v>707</v>
      </c>
      <c r="F1602" s="21" t="s">
        <v>1695</v>
      </c>
      <c r="G1602" s="21" t="s">
        <v>1696</v>
      </c>
    </row>
    <row r="1603" customFormat="false" ht="15" hidden="false" customHeight="false" outlineLevel="0" collapsed="false">
      <c r="B1603" s="19" t="s">
        <v>2592</v>
      </c>
      <c r="C1603" s="20" t="n">
        <f aca="false">ROUND(1.56/FX,2)</f>
        <v>0.22</v>
      </c>
      <c r="D1603" s="21" t="s">
        <v>2475</v>
      </c>
      <c r="E1603" s="21" t="s">
        <v>714</v>
      </c>
      <c r="F1603" s="21" t="s">
        <v>1695</v>
      </c>
      <c r="G1603" s="21" t="s">
        <v>1696</v>
      </c>
    </row>
    <row r="1604" customFormat="false" ht="15" hidden="false" customHeight="false" outlineLevel="0" collapsed="false">
      <c r="B1604" s="19" t="s">
        <v>2593</v>
      </c>
      <c r="C1604" s="20" t="n">
        <f aca="false">ROUND(4.43/FX,2)</f>
        <v>0.62</v>
      </c>
      <c r="D1604" s="21" t="s">
        <v>2475</v>
      </c>
      <c r="E1604" s="21" t="s">
        <v>716</v>
      </c>
      <c r="F1604" s="21" t="s">
        <v>1695</v>
      </c>
      <c r="G1604" s="21" t="s">
        <v>1696</v>
      </c>
    </row>
    <row r="1605" customFormat="false" ht="15" hidden="false" customHeight="false" outlineLevel="0" collapsed="false">
      <c r="B1605" s="19" t="s">
        <v>2594</v>
      </c>
      <c r="C1605" s="20" t="n">
        <f aca="false">ROUND(1.56/FX,2)</f>
        <v>0.22</v>
      </c>
      <c r="D1605" s="21" t="s">
        <v>2475</v>
      </c>
      <c r="E1605" s="21" t="s">
        <v>719</v>
      </c>
      <c r="F1605" s="21" t="s">
        <v>1695</v>
      </c>
      <c r="G1605" s="21" t="s">
        <v>1696</v>
      </c>
    </row>
    <row r="1606" customFormat="false" ht="15" hidden="false" customHeight="false" outlineLevel="0" collapsed="false">
      <c r="B1606" s="19" t="s">
        <v>2595</v>
      </c>
      <c r="C1606" s="20" t="n">
        <f aca="false">ROUND(1.56/FX,2)</f>
        <v>0.22</v>
      </c>
      <c r="D1606" s="21" t="s">
        <v>2558</v>
      </c>
      <c r="E1606" s="21" t="s">
        <v>707</v>
      </c>
      <c r="F1606" s="21" t="s">
        <v>1695</v>
      </c>
      <c r="G1606" s="21" t="s">
        <v>1696</v>
      </c>
    </row>
    <row r="1607" customFormat="false" ht="15" hidden="false" customHeight="false" outlineLevel="0" collapsed="false">
      <c r="B1607" s="19" t="s">
        <v>2596</v>
      </c>
      <c r="C1607" s="20" t="n">
        <f aca="false">ROUND(1.56/FX,2)</f>
        <v>0.22</v>
      </c>
      <c r="D1607" s="21" t="s">
        <v>2558</v>
      </c>
      <c r="E1607" s="21" t="s">
        <v>714</v>
      </c>
      <c r="F1607" s="21" t="s">
        <v>1695</v>
      </c>
      <c r="G1607" s="21" t="s">
        <v>1696</v>
      </c>
    </row>
    <row r="1608" customFormat="false" ht="15" hidden="false" customHeight="false" outlineLevel="0" collapsed="false">
      <c r="B1608" s="19" t="s">
        <v>2597</v>
      </c>
      <c r="C1608" s="20" t="n">
        <f aca="false">ROUND(1.56/FX,2)</f>
        <v>0.22</v>
      </c>
      <c r="D1608" s="21" t="s">
        <v>2558</v>
      </c>
      <c r="E1608" s="21" t="s">
        <v>716</v>
      </c>
      <c r="F1608" s="21" t="s">
        <v>1695</v>
      </c>
      <c r="G1608" s="21" t="s">
        <v>1696</v>
      </c>
    </row>
    <row r="1609" customFormat="false" ht="15" hidden="false" customHeight="false" outlineLevel="0" collapsed="false">
      <c r="B1609" s="19" t="s">
        <v>2598</v>
      </c>
      <c r="C1609" s="20" t="n">
        <f aca="false">ROUND(6.5/FX,2)</f>
        <v>0.9</v>
      </c>
      <c r="D1609" s="21" t="s">
        <v>2558</v>
      </c>
      <c r="E1609" s="21" t="s">
        <v>719</v>
      </c>
      <c r="F1609" s="21" t="s">
        <v>1695</v>
      </c>
      <c r="G1609" s="21" t="s">
        <v>1696</v>
      </c>
    </row>
    <row r="1612" customFormat="false" ht="61.5" hidden="false" customHeight="true" outlineLevel="0" collapsed="false">
      <c r="A1612" s="9"/>
      <c r="B1612" s="10" t="s">
        <v>2599</v>
      </c>
      <c r="C1612" s="10"/>
      <c r="D1612" s="10"/>
      <c r="E1612" s="10"/>
      <c r="F1612" s="10"/>
      <c r="G1612" s="10"/>
    </row>
    <row r="1613" customFormat="false" ht="15" hidden="false" customHeight="false" outlineLevel="0" collapsed="false">
      <c r="A1613" s="12" t="s">
        <v>700</v>
      </c>
      <c r="B1613" s="13" t="s">
        <v>701</v>
      </c>
      <c r="C1613" s="13" t="s">
        <v>702</v>
      </c>
      <c r="D1613" s="13" t="s">
        <v>830</v>
      </c>
      <c r="E1613" s="13" t="s">
        <v>703</v>
      </c>
      <c r="F1613" s="13" t="s">
        <v>722</v>
      </c>
      <c r="G1613" s="13" t="s">
        <v>831</v>
      </c>
    </row>
    <row r="1614" customFormat="false" ht="30" hidden="false" customHeight="true" outlineLevel="0" collapsed="false">
      <c r="A1614" s="14" t="s">
        <v>706</v>
      </c>
      <c r="B1614" s="15" t="str">
        <f aca="false">IF(COUNTIFS($D$1617:$D$2152,IF(D1614="","*",D1614),$E$1617:$E$2152,IF(E1614="","*",E1614),$F$1617:$F$2152,IF(F1614="","*",F1614),$G$1617:$G$2152,IF(G1614="","*",G1614))=1,INDEX($B:$B,SUMPRODUCT(((D1614="")+($D$1617:$D$2152=D1614)&gt;0)*((E1614="")+($E$1617:$E$2152=E1614)&gt;0)*((F1614="")+($F$1617:$F$2152=F1614)&gt;0)*((G1614="")+($G$1617:$G$2152=G1614)&gt;0)*ROW($B$1617:$B$2152))),IF(COUNTIFS($D$1617:$D$2152,IF(D1614="","*",D1614),$E$1617:$E$2152,IF(E1614="","*",E1614),$F$1617:$F$2152,IF(F1614="","*",F1614),$G$1617:$G$2152,IF(G1614="","*",G1614))=0,"Not available",COUNTIFS($D$1617:$D$2152,IF(D1614="","*",D1614),$E$1617:$E$2152,IF(E1614="","*",E1614),$F$1617:$F$2152,IF(F1614="","*",F1614),$G$1617:$G$2152,IF(G1614="","*",G1614))&amp;" match, keep choosing"))</f>
        <v>2GT-100-10</v>
      </c>
      <c r="C1614" s="16" t="n">
        <f aca="false">IF(COUNTIFS($D$1617:$D$2152,IF(D1614="","*",D1614),$E$1617:$E$2152,IF(E1614="","*",E1614),$F$1617:$F$2152,IF(F1614="","*",F1614),$G$1617:$G$2152,IF(G1614="","*",G1614))=1,INDEX($C:$C,SUMPRODUCT(((D1614="")+($D$1617:$D$2152=D1614)&gt;0)*((E1614="")+($E$1617:$E$2152=E1614)&gt;0)*((F1614="")+($F$1617:$F$2152=F1614)&gt;0)*((G1614="")+($G$1617:$G$2152=G1614)&gt;0)*ROW($B$1617:$B$2152))),"")</f>
        <v>0.24</v>
      </c>
      <c r="D1614" s="17" t="s">
        <v>2600</v>
      </c>
      <c r="E1614" s="17" t="s">
        <v>707</v>
      </c>
      <c r="F1614" s="17" t="s">
        <v>724</v>
      </c>
      <c r="G1614" s="17" t="s">
        <v>833</v>
      </c>
    </row>
    <row r="1616" customFormat="false" ht="15" hidden="false" customHeight="false" outlineLevel="0" collapsed="false">
      <c r="B1616" s="18" t="s">
        <v>701</v>
      </c>
      <c r="C1616" s="18" t="s">
        <v>702</v>
      </c>
      <c r="D1616" s="18" t="s">
        <v>830</v>
      </c>
      <c r="E1616" s="18" t="s">
        <v>703</v>
      </c>
      <c r="F1616" s="18" t="s">
        <v>722</v>
      </c>
      <c r="G1616" s="18" t="s">
        <v>831</v>
      </c>
    </row>
    <row r="1617" customFormat="false" ht="15" hidden="false" customHeight="false" outlineLevel="0" collapsed="false">
      <c r="B1617" s="19" t="s">
        <v>2601</v>
      </c>
      <c r="C1617" s="20" t="n">
        <f aca="false">ROUND(1.73/FX,2)</f>
        <v>0.24</v>
      </c>
      <c r="D1617" s="21" t="s">
        <v>2600</v>
      </c>
      <c r="E1617" s="21" t="s">
        <v>707</v>
      </c>
      <c r="F1617" s="21" t="s">
        <v>724</v>
      </c>
      <c r="G1617" s="21" t="s">
        <v>833</v>
      </c>
    </row>
    <row r="1618" customFormat="false" ht="15" hidden="false" customHeight="false" outlineLevel="0" collapsed="false">
      <c r="B1618" s="19" t="s">
        <v>2602</v>
      </c>
      <c r="C1618" s="20" t="n">
        <f aca="false">ROUND(2.86/FX,2)</f>
        <v>0.4</v>
      </c>
      <c r="D1618" s="21" t="s">
        <v>2600</v>
      </c>
      <c r="E1618" s="21" t="s">
        <v>761</v>
      </c>
      <c r="F1618" s="21" t="s">
        <v>724</v>
      </c>
      <c r="G1618" s="21" t="s">
        <v>833</v>
      </c>
    </row>
    <row r="1619" customFormat="false" ht="15" hidden="false" customHeight="false" outlineLevel="0" collapsed="false">
      <c r="B1619" s="19" t="s">
        <v>2603</v>
      </c>
      <c r="C1619" s="20" t="n">
        <f aca="false">ROUND(2.73/FX,2)</f>
        <v>0.38</v>
      </c>
      <c r="D1619" s="21" t="s">
        <v>2600</v>
      </c>
      <c r="E1619" s="21" t="s">
        <v>714</v>
      </c>
      <c r="F1619" s="21" t="s">
        <v>724</v>
      </c>
      <c r="G1619" s="21" t="s">
        <v>833</v>
      </c>
    </row>
    <row r="1620" customFormat="false" ht="15" hidden="false" customHeight="false" outlineLevel="0" collapsed="false">
      <c r="B1620" s="19" t="s">
        <v>2604</v>
      </c>
      <c r="C1620" s="20" t="n">
        <f aca="false">ROUND(0.59/FX,2)</f>
        <v>0.08</v>
      </c>
      <c r="D1620" s="21" t="s">
        <v>2600</v>
      </c>
      <c r="E1620" s="21" t="s">
        <v>837</v>
      </c>
      <c r="F1620" s="21" t="s">
        <v>724</v>
      </c>
      <c r="G1620" s="21" t="s">
        <v>833</v>
      </c>
    </row>
    <row r="1621" customFormat="false" ht="15" hidden="false" customHeight="false" outlineLevel="0" collapsed="false">
      <c r="B1621" s="19" t="s">
        <v>2605</v>
      </c>
      <c r="C1621" s="20" t="n">
        <f aca="false">ROUND(0.59/FX,2)</f>
        <v>0.08</v>
      </c>
      <c r="D1621" s="21" t="s">
        <v>2600</v>
      </c>
      <c r="E1621" s="21" t="s">
        <v>839</v>
      </c>
      <c r="F1621" s="21" t="s">
        <v>724</v>
      </c>
      <c r="G1621" s="21" t="s">
        <v>833</v>
      </c>
    </row>
    <row r="1622" customFormat="false" ht="15" hidden="false" customHeight="false" outlineLevel="0" collapsed="false">
      <c r="B1622" s="19" t="s">
        <v>2606</v>
      </c>
      <c r="C1622" s="20" t="n">
        <f aca="false">ROUND(0.65/FX,2)</f>
        <v>0.09</v>
      </c>
      <c r="D1622" s="21" t="s">
        <v>2600</v>
      </c>
      <c r="E1622" s="21" t="s">
        <v>841</v>
      </c>
      <c r="F1622" s="21" t="s">
        <v>724</v>
      </c>
      <c r="G1622" s="21" t="s">
        <v>833</v>
      </c>
    </row>
    <row r="1623" customFormat="false" ht="15" hidden="false" customHeight="false" outlineLevel="0" collapsed="false">
      <c r="B1623" s="19" t="s">
        <v>2607</v>
      </c>
      <c r="C1623" s="20" t="n">
        <f aca="false">ROUND(1.14/FX,2)</f>
        <v>0.16</v>
      </c>
      <c r="D1623" s="21" t="s">
        <v>2600</v>
      </c>
      <c r="E1623" s="21" t="s">
        <v>789</v>
      </c>
      <c r="F1623" s="21" t="s">
        <v>724</v>
      </c>
      <c r="G1623" s="21" t="s">
        <v>833</v>
      </c>
    </row>
    <row r="1624" customFormat="false" ht="15" hidden="false" customHeight="false" outlineLevel="0" collapsed="false">
      <c r="B1624" s="19" t="s">
        <v>2608</v>
      </c>
      <c r="C1624" s="20" t="n">
        <f aca="false">ROUND(0.94/FX,2)</f>
        <v>0.13</v>
      </c>
      <c r="D1624" s="21" t="s">
        <v>2600</v>
      </c>
      <c r="E1624" s="21" t="s">
        <v>716</v>
      </c>
      <c r="F1624" s="21" t="s">
        <v>724</v>
      </c>
      <c r="G1624" s="21" t="s">
        <v>833</v>
      </c>
    </row>
    <row r="1625" customFormat="false" ht="15" hidden="false" customHeight="false" outlineLevel="0" collapsed="false">
      <c r="B1625" s="19" t="s">
        <v>2609</v>
      </c>
      <c r="C1625" s="20" t="n">
        <f aca="false">ROUND(1.14/FX,2)</f>
        <v>0.16</v>
      </c>
      <c r="D1625" s="21" t="s">
        <v>2600</v>
      </c>
      <c r="E1625" s="21" t="s">
        <v>719</v>
      </c>
      <c r="F1625" s="21" t="s">
        <v>724</v>
      </c>
      <c r="G1625" s="21" t="s">
        <v>833</v>
      </c>
    </row>
    <row r="1626" customFormat="false" ht="15" hidden="false" customHeight="false" outlineLevel="0" collapsed="false">
      <c r="B1626" s="19" t="s">
        <v>2610</v>
      </c>
      <c r="C1626" s="20" t="n">
        <f aca="false">ROUND(1.82/FX,2)</f>
        <v>0.25</v>
      </c>
      <c r="D1626" s="21" t="s">
        <v>2611</v>
      </c>
      <c r="E1626" s="21" t="s">
        <v>707</v>
      </c>
      <c r="F1626" s="21" t="s">
        <v>724</v>
      </c>
      <c r="G1626" s="21" t="s">
        <v>833</v>
      </c>
    </row>
    <row r="1627" customFormat="false" ht="15" hidden="false" customHeight="false" outlineLevel="0" collapsed="false">
      <c r="B1627" s="19" t="s">
        <v>2612</v>
      </c>
      <c r="C1627" s="20" t="n">
        <f aca="false">ROUND(1.14/FX,2)</f>
        <v>0.16</v>
      </c>
      <c r="D1627" s="21" t="s">
        <v>2611</v>
      </c>
      <c r="E1627" s="21" t="s">
        <v>761</v>
      </c>
      <c r="F1627" s="21" t="s">
        <v>724</v>
      </c>
      <c r="G1627" s="21" t="s">
        <v>833</v>
      </c>
    </row>
    <row r="1628" customFormat="false" ht="15" hidden="false" customHeight="false" outlineLevel="0" collapsed="false">
      <c r="B1628" s="19" t="s">
        <v>2613</v>
      </c>
      <c r="C1628" s="20" t="n">
        <f aca="false">ROUND(1.14/FX,2)</f>
        <v>0.16</v>
      </c>
      <c r="D1628" s="21" t="s">
        <v>2611</v>
      </c>
      <c r="E1628" s="21" t="s">
        <v>714</v>
      </c>
      <c r="F1628" s="21" t="s">
        <v>724</v>
      </c>
      <c r="G1628" s="21" t="s">
        <v>833</v>
      </c>
    </row>
    <row r="1629" customFormat="false" ht="15" hidden="false" customHeight="false" outlineLevel="0" collapsed="false">
      <c r="B1629" s="19" t="s">
        <v>2614</v>
      </c>
      <c r="C1629" s="20" t="n">
        <f aca="false">ROUND(0.59/FX,2)</f>
        <v>0.08</v>
      </c>
      <c r="D1629" s="21" t="s">
        <v>2611</v>
      </c>
      <c r="E1629" s="21" t="s">
        <v>837</v>
      </c>
      <c r="F1629" s="21" t="s">
        <v>724</v>
      </c>
      <c r="G1629" s="21" t="s">
        <v>833</v>
      </c>
    </row>
    <row r="1630" customFormat="false" ht="15" hidden="false" customHeight="false" outlineLevel="0" collapsed="false">
      <c r="B1630" s="19" t="s">
        <v>2615</v>
      </c>
      <c r="C1630" s="20" t="n">
        <f aca="false">ROUND(1.14/FX,2)</f>
        <v>0.16</v>
      </c>
      <c r="D1630" s="21" t="s">
        <v>2611</v>
      </c>
      <c r="E1630" s="21" t="s">
        <v>839</v>
      </c>
      <c r="F1630" s="21" t="s">
        <v>724</v>
      </c>
      <c r="G1630" s="21" t="s">
        <v>833</v>
      </c>
    </row>
    <row r="1631" customFormat="false" ht="15" hidden="false" customHeight="false" outlineLevel="0" collapsed="false">
      <c r="B1631" s="19" t="s">
        <v>2616</v>
      </c>
      <c r="C1631" s="20" t="n">
        <f aca="false">ROUND(1.14/FX,2)</f>
        <v>0.16</v>
      </c>
      <c r="D1631" s="21" t="s">
        <v>2611</v>
      </c>
      <c r="E1631" s="21" t="s">
        <v>841</v>
      </c>
      <c r="F1631" s="21" t="s">
        <v>724</v>
      </c>
      <c r="G1631" s="21" t="s">
        <v>833</v>
      </c>
    </row>
    <row r="1632" customFormat="false" ht="15" hidden="false" customHeight="false" outlineLevel="0" collapsed="false">
      <c r="B1632" s="19" t="s">
        <v>2617</v>
      </c>
      <c r="C1632" s="20" t="n">
        <f aca="false">ROUND(1.14/FX,2)</f>
        <v>0.16</v>
      </c>
      <c r="D1632" s="21" t="s">
        <v>2611</v>
      </c>
      <c r="E1632" s="21" t="s">
        <v>789</v>
      </c>
      <c r="F1632" s="21" t="s">
        <v>724</v>
      </c>
      <c r="G1632" s="21" t="s">
        <v>833</v>
      </c>
    </row>
    <row r="1633" customFormat="false" ht="15" hidden="false" customHeight="false" outlineLevel="0" collapsed="false">
      <c r="B1633" s="19" t="s">
        <v>2618</v>
      </c>
      <c r="C1633" s="20" t="n">
        <f aca="false">ROUND(0.94/FX,2)</f>
        <v>0.13</v>
      </c>
      <c r="D1633" s="21" t="s">
        <v>2611</v>
      </c>
      <c r="E1633" s="21" t="s">
        <v>716</v>
      </c>
      <c r="F1633" s="21" t="s">
        <v>724</v>
      </c>
      <c r="G1633" s="21" t="s">
        <v>833</v>
      </c>
    </row>
    <row r="1634" customFormat="false" ht="15" hidden="false" customHeight="false" outlineLevel="0" collapsed="false">
      <c r="B1634" s="19" t="s">
        <v>2619</v>
      </c>
      <c r="C1634" s="20" t="n">
        <f aca="false">ROUND(1.14/FX,2)</f>
        <v>0.16</v>
      </c>
      <c r="D1634" s="21" t="s">
        <v>2611</v>
      </c>
      <c r="E1634" s="21" t="s">
        <v>719</v>
      </c>
      <c r="F1634" s="21" t="s">
        <v>724</v>
      </c>
      <c r="G1634" s="21" t="s">
        <v>833</v>
      </c>
    </row>
    <row r="1635" customFormat="false" ht="15" hidden="false" customHeight="false" outlineLevel="0" collapsed="false">
      <c r="B1635" s="19" t="s">
        <v>2620</v>
      </c>
      <c r="C1635" s="20" t="n">
        <f aca="false">ROUND(1.82/FX,2)</f>
        <v>0.25</v>
      </c>
      <c r="D1635" s="21" t="s">
        <v>2621</v>
      </c>
      <c r="E1635" s="21" t="s">
        <v>707</v>
      </c>
      <c r="F1635" s="21" t="s">
        <v>724</v>
      </c>
      <c r="G1635" s="21" t="s">
        <v>833</v>
      </c>
    </row>
    <row r="1636" customFormat="false" ht="15" hidden="false" customHeight="false" outlineLevel="0" collapsed="false">
      <c r="B1636" s="19" t="s">
        <v>2622</v>
      </c>
      <c r="C1636" s="20" t="n">
        <f aca="false">ROUND(1.14/FX,2)</f>
        <v>0.16</v>
      </c>
      <c r="D1636" s="21" t="s">
        <v>2621</v>
      </c>
      <c r="E1636" s="21" t="s">
        <v>761</v>
      </c>
      <c r="F1636" s="21" t="s">
        <v>724</v>
      </c>
      <c r="G1636" s="21" t="s">
        <v>833</v>
      </c>
    </row>
    <row r="1637" customFormat="false" ht="15" hidden="false" customHeight="false" outlineLevel="0" collapsed="false">
      <c r="B1637" s="19" t="s">
        <v>2623</v>
      </c>
      <c r="C1637" s="20" t="n">
        <f aca="false">ROUND(1.14/FX,2)</f>
        <v>0.16</v>
      </c>
      <c r="D1637" s="21" t="s">
        <v>2621</v>
      </c>
      <c r="E1637" s="21" t="s">
        <v>714</v>
      </c>
      <c r="F1637" s="21" t="s">
        <v>724</v>
      </c>
      <c r="G1637" s="21" t="s">
        <v>833</v>
      </c>
    </row>
    <row r="1638" customFormat="false" ht="15" hidden="false" customHeight="false" outlineLevel="0" collapsed="false">
      <c r="B1638" s="19" t="s">
        <v>2624</v>
      </c>
      <c r="C1638" s="20" t="n">
        <f aca="false">ROUND(0.59/FX,2)</f>
        <v>0.08</v>
      </c>
      <c r="D1638" s="21" t="s">
        <v>2621</v>
      </c>
      <c r="E1638" s="21" t="s">
        <v>837</v>
      </c>
      <c r="F1638" s="21" t="s">
        <v>724</v>
      </c>
      <c r="G1638" s="21" t="s">
        <v>833</v>
      </c>
    </row>
    <row r="1639" customFormat="false" ht="15" hidden="false" customHeight="false" outlineLevel="0" collapsed="false">
      <c r="B1639" s="19" t="s">
        <v>2625</v>
      </c>
      <c r="C1639" s="20" t="n">
        <f aca="false">ROUND(1.14/FX,2)</f>
        <v>0.16</v>
      </c>
      <c r="D1639" s="21" t="s">
        <v>2621</v>
      </c>
      <c r="E1639" s="21" t="s">
        <v>839</v>
      </c>
      <c r="F1639" s="21" t="s">
        <v>724</v>
      </c>
      <c r="G1639" s="21" t="s">
        <v>833</v>
      </c>
    </row>
    <row r="1640" customFormat="false" ht="15" hidden="false" customHeight="false" outlineLevel="0" collapsed="false">
      <c r="B1640" s="19" t="s">
        <v>2626</v>
      </c>
      <c r="C1640" s="20" t="n">
        <f aca="false">ROUND(1.14/FX,2)</f>
        <v>0.16</v>
      </c>
      <c r="D1640" s="21" t="s">
        <v>2621</v>
      </c>
      <c r="E1640" s="21" t="s">
        <v>841</v>
      </c>
      <c r="F1640" s="21" t="s">
        <v>724</v>
      </c>
      <c r="G1640" s="21" t="s">
        <v>833</v>
      </c>
    </row>
    <row r="1641" customFormat="false" ht="15" hidden="false" customHeight="false" outlineLevel="0" collapsed="false">
      <c r="B1641" s="19" t="s">
        <v>2627</v>
      </c>
      <c r="C1641" s="20" t="n">
        <f aca="false">ROUND(1.14/FX,2)</f>
        <v>0.16</v>
      </c>
      <c r="D1641" s="21" t="s">
        <v>2621</v>
      </c>
      <c r="E1641" s="21" t="s">
        <v>789</v>
      </c>
      <c r="F1641" s="21" t="s">
        <v>724</v>
      </c>
      <c r="G1641" s="21" t="s">
        <v>833</v>
      </c>
    </row>
    <row r="1642" customFormat="false" ht="15" hidden="false" customHeight="false" outlineLevel="0" collapsed="false">
      <c r="B1642" s="19" t="s">
        <v>2628</v>
      </c>
      <c r="C1642" s="20" t="n">
        <f aca="false">ROUND(0.94/FX,2)</f>
        <v>0.13</v>
      </c>
      <c r="D1642" s="21" t="s">
        <v>2621</v>
      </c>
      <c r="E1642" s="21" t="s">
        <v>716</v>
      </c>
      <c r="F1642" s="21" t="s">
        <v>724</v>
      </c>
      <c r="G1642" s="21" t="s">
        <v>833</v>
      </c>
    </row>
    <row r="1643" customFormat="false" ht="15" hidden="false" customHeight="false" outlineLevel="0" collapsed="false">
      <c r="B1643" s="19" t="s">
        <v>2629</v>
      </c>
      <c r="C1643" s="20" t="n">
        <f aca="false">ROUND(1.14/FX,2)</f>
        <v>0.16</v>
      </c>
      <c r="D1643" s="21" t="s">
        <v>2621</v>
      </c>
      <c r="E1643" s="21" t="s">
        <v>719</v>
      </c>
      <c r="F1643" s="21" t="s">
        <v>724</v>
      </c>
      <c r="G1643" s="21" t="s">
        <v>833</v>
      </c>
    </row>
    <row r="1644" customFormat="false" ht="15" hidden="false" customHeight="false" outlineLevel="0" collapsed="false">
      <c r="B1644" s="19" t="s">
        <v>2630</v>
      </c>
      <c r="C1644" s="20" t="n">
        <f aca="false">ROUND(1.82/FX,2)</f>
        <v>0.25</v>
      </c>
      <c r="D1644" s="21" t="s">
        <v>2631</v>
      </c>
      <c r="E1644" s="21" t="s">
        <v>707</v>
      </c>
      <c r="F1644" s="21" t="s">
        <v>724</v>
      </c>
      <c r="G1644" s="21" t="s">
        <v>833</v>
      </c>
    </row>
    <row r="1645" customFormat="false" ht="15" hidden="false" customHeight="false" outlineLevel="0" collapsed="false">
      <c r="B1645" s="19" t="s">
        <v>2632</v>
      </c>
      <c r="C1645" s="20" t="n">
        <f aca="false">ROUND(1.14/FX,2)</f>
        <v>0.16</v>
      </c>
      <c r="D1645" s="21" t="s">
        <v>2631</v>
      </c>
      <c r="E1645" s="21" t="s">
        <v>761</v>
      </c>
      <c r="F1645" s="21" t="s">
        <v>724</v>
      </c>
      <c r="G1645" s="21" t="s">
        <v>833</v>
      </c>
    </row>
    <row r="1646" customFormat="false" ht="15" hidden="false" customHeight="false" outlineLevel="0" collapsed="false">
      <c r="B1646" s="19" t="s">
        <v>2633</v>
      </c>
      <c r="C1646" s="20" t="n">
        <f aca="false">ROUND(1.14/FX,2)</f>
        <v>0.16</v>
      </c>
      <c r="D1646" s="21" t="s">
        <v>2631</v>
      </c>
      <c r="E1646" s="21" t="s">
        <v>714</v>
      </c>
      <c r="F1646" s="21" t="s">
        <v>724</v>
      </c>
      <c r="G1646" s="21" t="s">
        <v>833</v>
      </c>
    </row>
    <row r="1647" customFormat="false" ht="15" hidden="false" customHeight="false" outlineLevel="0" collapsed="false">
      <c r="B1647" s="19" t="s">
        <v>2634</v>
      </c>
      <c r="C1647" s="20" t="n">
        <f aca="false">ROUND(0.59/FX,2)</f>
        <v>0.08</v>
      </c>
      <c r="D1647" s="21" t="s">
        <v>2631</v>
      </c>
      <c r="E1647" s="21" t="s">
        <v>837</v>
      </c>
      <c r="F1647" s="21" t="s">
        <v>724</v>
      </c>
      <c r="G1647" s="21" t="s">
        <v>833</v>
      </c>
    </row>
    <row r="1648" customFormat="false" ht="15" hidden="false" customHeight="false" outlineLevel="0" collapsed="false">
      <c r="B1648" s="19" t="s">
        <v>2635</v>
      </c>
      <c r="C1648" s="20" t="n">
        <f aca="false">ROUND(1.14/FX,2)</f>
        <v>0.16</v>
      </c>
      <c r="D1648" s="21" t="s">
        <v>2631</v>
      </c>
      <c r="E1648" s="21" t="s">
        <v>839</v>
      </c>
      <c r="F1648" s="21" t="s">
        <v>724</v>
      </c>
      <c r="G1648" s="21" t="s">
        <v>833</v>
      </c>
    </row>
    <row r="1649" customFormat="false" ht="15" hidden="false" customHeight="false" outlineLevel="0" collapsed="false">
      <c r="B1649" s="19" t="s">
        <v>2636</v>
      </c>
      <c r="C1649" s="20" t="n">
        <f aca="false">ROUND(1.14/FX,2)</f>
        <v>0.16</v>
      </c>
      <c r="D1649" s="21" t="s">
        <v>2631</v>
      </c>
      <c r="E1649" s="21" t="s">
        <v>841</v>
      </c>
      <c r="F1649" s="21" t="s">
        <v>724</v>
      </c>
      <c r="G1649" s="21" t="s">
        <v>833</v>
      </c>
    </row>
    <row r="1650" customFormat="false" ht="15" hidden="false" customHeight="false" outlineLevel="0" collapsed="false">
      <c r="B1650" s="19" t="s">
        <v>2637</v>
      </c>
      <c r="C1650" s="20" t="n">
        <f aca="false">ROUND(1.14/FX,2)</f>
        <v>0.16</v>
      </c>
      <c r="D1650" s="21" t="s">
        <v>2631</v>
      </c>
      <c r="E1650" s="21" t="s">
        <v>789</v>
      </c>
      <c r="F1650" s="21" t="s">
        <v>724</v>
      </c>
      <c r="G1650" s="21" t="s">
        <v>833</v>
      </c>
    </row>
    <row r="1651" customFormat="false" ht="15" hidden="false" customHeight="false" outlineLevel="0" collapsed="false">
      <c r="B1651" s="19" t="s">
        <v>2638</v>
      </c>
      <c r="C1651" s="20" t="n">
        <f aca="false">ROUND(1.11/FX,2)</f>
        <v>0.15</v>
      </c>
      <c r="D1651" s="21" t="s">
        <v>2631</v>
      </c>
      <c r="E1651" s="21" t="s">
        <v>716</v>
      </c>
      <c r="F1651" s="21" t="s">
        <v>724</v>
      </c>
      <c r="G1651" s="21" t="s">
        <v>833</v>
      </c>
    </row>
    <row r="1652" customFormat="false" ht="15" hidden="false" customHeight="false" outlineLevel="0" collapsed="false">
      <c r="B1652" s="19" t="s">
        <v>2639</v>
      </c>
      <c r="C1652" s="20" t="n">
        <f aca="false">ROUND(1.14/FX,2)</f>
        <v>0.16</v>
      </c>
      <c r="D1652" s="21" t="s">
        <v>2631</v>
      </c>
      <c r="E1652" s="21" t="s">
        <v>719</v>
      </c>
      <c r="F1652" s="21" t="s">
        <v>724</v>
      </c>
      <c r="G1652" s="21" t="s">
        <v>833</v>
      </c>
    </row>
    <row r="1653" customFormat="false" ht="15" hidden="false" customHeight="false" outlineLevel="0" collapsed="false">
      <c r="B1653" s="19" t="s">
        <v>2640</v>
      </c>
      <c r="C1653" s="20" t="n">
        <f aca="false">ROUND(1.14/FX,2)</f>
        <v>0.16</v>
      </c>
      <c r="D1653" s="21" t="s">
        <v>2641</v>
      </c>
      <c r="E1653" s="21" t="s">
        <v>707</v>
      </c>
      <c r="F1653" s="21" t="s">
        <v>724</v>
      </c>
      <c r="G1653" s="21" t="s">
        <v>833</v>
      </c>
    </row>
    <row r="1654" customFormat="false" ht="15" hidden="false" customHeight="false" outlineLevel="0" collapsed="false">
      <c r="B1654" s="19" t="s">
        <v>2642</v>
      </c>
      <c r="C1654" s="20" t="n">
        <f aca="false">ROUND(1.14/FX,2)</f>
        <v>0.16</v>
      </c>
      <c r="D1654" s="21" t="s">
        <v>2641</v>
      </c>
      <c r="E1654" s="21" t="s">
        <v>761</v>
      </c>
      <c r="F1654" s="21" t="s">
        <v>724</v>
      </c>
      <c r="G1654" s="21" t="s">
        <v>833</v>
      </c>
    </row>
    <row r="1655" customFormat="false" ht="15" hidden="false" customHeight="false" outlineLevel="0" collapsed="false">
      <c r="B1655" s="19" t="s">
        <v>2643</v>
      </c>
      <c r="C1655" s="20" t="n">
        <f aca="false">ROUND(1.14/FX,2)</f>
        <v>0.16</v>
      </c>
      <c r="D1655" s="21" t="s">
        <v>2641</v>
      </c>
      <c r="E1655" s="21" t="s">
        <v>714</v>
      </c>
      <c r="F1655" s="21" t="s">
        <v>724</v>
      </c>
      <c r="G1655" s="21" t="s">
        <v>833</v>
      </c>
    </row>
    <row r="1656" customFormat="false" ht="15" hidden="false" customHeight="false" outlineLevel="0" collapsed="false">
      <c r="B1656" s="19" t="s">
        <v>2644</v>
      </c>
      <c r="C1656" s="20" t="n">
        <f aca="false">ROUND(0.59/FX,2)</f>
        <v>0.08</v>
      </c>
      <c r="D1656" s="21" t="s">
        <v>2641</v>
      </c>
      <c r="E1656" s="21" t="s">
        <v>837</v>
      </c>
      <c r="F1656" s="21" t="s">
        <v>724</v>
      </c>
      <c r="G1656" s="21" t="s">
        <v>833</v>
      </c>
    </row>
    <row r="1657" customFormat="false" ht="15" hidden="false" customHeight="false" outlineLevel="0" collapsed="false">
      <c r="B1657" s="19" t="s">
        <v>2645</v>
      </c>
      <c r="C1657" s="20" t="n">
        <f aca="false">ROUND(1.14/FX,2)</f>
        <v>0.16</v>
      </c>
      <c r="D1657" s="21" t="s">
        <v>2641</v>
      </c>
      <c r="E1657" s="21" t="s">
        <v>839</v>
      </c>
      <c r="F1657" s="21" t="s">
        <v>724</v>
      </c>
      <c r="G1657" s="21" t="s">
        <v>833</v>
      </c>
    </row>
    <row r="1658" customFormat="false" ht="15" hidden="false" customHeight="false" outlineLevel="0" collapsed="false">
      <c r="B1658" s="19" t="s">
        <v>2646</v>
      </c>
      <c r="C1658" s="20" t="n">
        <f aca="false">ROUND(1.14/FX,2)</f>
        <v>0.16</v>
      </c>
      <c r="D1658" s="21" t="s">
        <v>2641</v>
      </c>
      <c r="E1658" s="21" t="s">
        <v>841</v>
      </c>
      <c r="F1658" s="21" t="s">
        <v>724</v>
      </c>
      <c r="G1658" s="21" t="s">
        <v>833</v>
      </c>
    </row>
    <row r="1659" customFormat="false" ht="15" hidden="false" customHeight="false" outlineLevel="0" collapsed="false">
      <c r="B1659" s="19" t="s">
        <v>2647</v>
      </c>
      <c r="C1659" s="20" t="n">
        <f aca="false">ROUND(1.14/FX,2)</f>
        <v>0.16</v>
      </c>
      <c r="D1659" s="21" t="s">
        <v>2641</v>
      </c>
      <c r="E1659" s="21" t="s">
        <v>789</v>
      </c>
      <c r="F1659" s="21" t="s">
        <v>724</v>
      </c>
      <c r="G1659" s="21" t="s">
        <v>833</v>
      </c>
    </row>
    <row r="1660" customFormat="false" ht="15" hidden="false" customHeight="false" outlineLevel="0" collapsed="false">
      <c r="B1660" s="19" t="s">
        <v>2648</v>
      </c>
      <c r="C1660" s="20" t="n">
        <f aca="false">ROUND(1.11/FX,2)</f>
        <v>0.15</v>
      </c>
      <c r="D1660" s="21" t="s">
        <v>2641</v>
      </c>
      <c r="E1660" s="21" t="s">
        <v>716</v>
      </c>
      <c r="F1660" s="21" t="s">
        <v>724</v>
      </c>
      <c r="G1660" s="21" t="s">
        <v>833</v>
      </c>
    </row>
    <row r="1661" customFormat="false" ht="15" hidden="false" customHeight="false" outlineLevel="0" collapsed="false">
      <c r="B1661" s="19" t="s">
        <v>2649</v>
      </c>
      <c r="C1661" s="20" t="n">
        <f aca="false">ROUND(1.14/FX,2)</f>
        <v>0.16</v>
      </c>
      <c r="D1661" s="21" t="s">
        <v>2641</v>
      </c>
      <c r="E1661" s="21" t="s">
        <v>719</v>
      </c>
      <c r="F1661" s="21" t="s">
        <v>724</v>
      </c>
      <c r="G1661" s="21" t="s">
        <v>833</v>
      </c>
    </row>
    <row r="1662" customFormat="false" ht="15" hidden="false" customHeight="false" outlineLevel="0" collapsed="false">
      <c r="B1662" s="19" t="s">
        <v>2650</v>
      </c>
      <c r="C1662" s="20" t="n">
        <f aca="false">ROUND(1.82/FX,2)</f>
        <v>0.25</v>
      </c>
      <c r="D1662" s="21" t="s">
        <v>2651</v>
      </c>
      <c r="E1662" s="21" t="s">
        <v>707</v>
      </c>
      <c r="F1662" s="21" t="s">
        <v>724</v>
      </c>
      <c r="G1662" s="21" t="s">
        <v>833</v>
      </c>
    </row>
    <row r="1663" customFormat="false" ht="15" hidden="false" customHeight="false" outlineLevel="0" collapsed="false">
      <c r="B1663" s="19" t="s">
        <v>2652</v>
      </c>
      <c r="C1663" s="20" t="n">
        <f aca="false">ROUND(1.14/FX,2)</f>
        <v>0.16</v>
      </c>
      <c r="D1663" s="21" t="s">
        <v>2651</v>
      </c>
      <c r="E1663" s="21" t="s">
        <v>761</v>
      </c>
      <c r="F1663" s="21" t="s">
        <v>724</v>
      </c>
      <c r="G1663" s="21" t="s">
        <v>833</v>
      </c>
    </row>
    <row r="1664" customFormat="false" ht="15" hidden="false" customHeight="false" outlineLevel="0" collapsed="false">
      <c r="B1664" s="19" t="s">
        <v>2653</v>
      </c>
      <c r="C1664" s="20" t="n">
        <f aca="false">ROUND(2.86/FX,2)</f>
        <v>0.4</v>
      </c>
      <c r="D1664" s="21" t="s">
        <v>2651</v>
      </c>
      <c r="E1664" s="21" t="s">
        <v>714</v>
      </c>
      <c r="F1664" s="21" t="s">
        <v>724</v>
      </c>
      <c r="G1664" s="21" t="s">
        <v>833</v>
      </c>
    </row>
    <row r="1665" customFormat="false" ht="15" hidden="false" customHeight="false" outlineLevel="0" collapsed="false">
      <c r="B1665" s="19" t="s">
        <v>2654</v>
      </c>
      <c r="C1665" s="20" t="n">
        <f aca="false">ROUND(0.59/FX,2)</f>
        <v>0.08</v>
      </c>
      <c r="D1665" s="21" t="s">
        <v>2651</v>
      </c>
      <c r="E1665" s="21" t="s">
        <v>837</v>
      </c>
      <c r="F1665" s="21" t="s">
        <v>724</v>
      </c>
      <c r="G1665" s="21" t="s">
        <v>833</v>
      </c>
    </row>
    <row r="1666" customFormat="false" ht="15" hidden="false" customHeight="false" outlineLevel="0" collapsed="false">
      <c r="B1666" s="19" t="s">
        <v>2655</v>
      </c>
      <c r="C1666" s="20" t="n">
        <f aca="false">ROUND(1.14/FX,2)</f>
        <v>0.16</v>
      </c>
      <c r="D1666" s="21" t="s">
        <v>2651</v>
      </c>
      <c r="E1666" s="21" t="s">
        <v>839</v>
      </c>
      <c r="F1666" s="21" t="s">
        <v>724</v>
      </c>
      <c r="G1666" s="21" t="s">
        <v>833</v>
      </c>
    </row>
    <row r="1667" customFormat="false" ht="15" hidden="false" customHeight="false" outlineLevel="0" collapsed="false">
      <c r="B1667" s="19" t="s">
        <v>2656</v>
      </c>
      <c r="C1667" s="20" t="n">
        <f aca="false">ROUND(0.73/FX,2)</f>
        <v>0.1</v>
      </c>
      <c r="D1667" s="21" t="s">
        <v>2651</v>
      </c>
      <c r="E1667" s="21" t="s">
        <v>841</v>
      </c>
      <c r="F1667" s="21" t="s">
        <v>724</v>
      </c>
      <c r="G1667" s="21" t="s">
        <v>833</v>
      </c>
    </row>
    <row r="1668" customFormat="false" ht="15" hidden="false" customHeight="false" outlineLevel="0" collapsed="false">
      <c r="B1668" s="19" t="s">
        <v>2657</v>
      </c>
      <c r="C1668" s="20" t="n">
        <f aca="false">ROUND(1.14/FX,2)</f>
        <v>0.16</v>
      </c>
      <c r="D1668" s="21" t="s">
        <v>2651</v>
      </c>
      <c r="E1668" s="21" t="s">
        <v>789</v>
      </c>
      <c r="F1668" s="21" t="s">
        <v>724</v>
      </c>
      <c r="G1668" s="21" t="s">
        <v>833</v>
      </c>
    </row>
    <row r="1669" customFormat="false" ht="15" hidden="false" customHeight="false" outlineLevel="0" collapsed="false">
      <c r="B1669" s="19" t="s">
        <v>2658</v>
      </c>
      <c r="C1669" s="20" t="n">
        <f aca="false">ROUND(0.91/FX,2)</f>
        <v>0.13</v>
      </c>
      <c r="D1669" s="21" t="s">
        <v>2651</v>
      </c>
      <c r="E1669" s="21" t="s">
        <v>716</v>
      </c>
      <c r="F1669" s="21" t="s">
        <v>724</v>
      </c>
      <c r="G1669" s="21" t="s">
        <v>833</v>
      </c>
    </row>
    <row r="1670" customFormat="false" ht="15" hidden="false" customHeight="false" outlineLevel="0" collapsed="false">
      <c r="B1670" s="19" t="s">
        <v>2659</v>
      </c>
      <c r="C1670" s="20" t="n">
        <f aca="false">ROUND(1.14/FX,2)</f>
        <v>0.16</v>
      </c>
      <c r="D1670" s="21" t="s">
        <v>2651</v>
      </c>
      <c r="E1670" s="21" t="s">
        <v>719</v>
      </c>
      <c r="F1670" s="21" t="s">
        <v>724</v>
      </c>
      <c r="G1670" s="21" t="s">
        <v>833</v>
      </c>
    </row>
    <row r="1671" customFormat="false" ht="15" hidden="false" customHeight="false" outlineLevel="0" collapsed="false">
      <c r="B1671" s="19" t="s">
        <v>2660</v>
      </c>
      <c r="C1671" s="20" t="n">
        <f aca="false">ROUND(2.08/FX,2)</f>
        <v>0.29</v>
      </c>
      <c r="D1671" s="21" t="s">
        <v>2661</v>
      </c>
      <c r="E1671" s="21" t="s">
        <v>707</v>
      </c>
      <c r="F1671" s="21" t="s">
        <v>724</v>
      </c>
      <c r="G1671" s="21" t="s">
        <v>833</v>
      </c>
    </row>
    <row r="1672" customFormat="false" ht="15" hidden="false" customHeight="false" outlineLevel="0" collapsed="false">
      <c r="B1672" s="19" t="s">
        <v>2662</v>
      </c>
      <c r="C1672" s="20" t="n">
        <f aca="false">ROUND(1.14/FX,2)</f>
        <v>0.16</v>
      </c>
      <c r="D1672" s="21" t="s">
        <v>2661</v>
      </c>
      <c r="E1672" s="21" t="s">
        <v>761</v>
      </c>
      <c r="F1672" s="21" t="s">
        <v>724</v>
      </c>
      <c r="G1672" s="21" t="s">
        <v>833</v>
      </c>
    </row>
    <row r="1673" customFormat="false" ht="15" hidden="false" customHeight="false" outlineLevel="0" collapsed="false">
      <c r="B1673" s="19" t="s">
        <v>2663</v>
      </c>
      <c r="C1673" s="20" t="n">
        <f aca="false">ROUND(3.25/FX,2)</f>
        <v>0.45</v>
      </c>
      <c r="D1673" s="21" t="s">
        <v>2661</v>
      </c>
      <c r="E1673" s="21" t="s">
        <v>714</v>
      </c>
      <c r="F1673" s="21" t="s">
        <v>724</v>
      </c>
      <c r="G1673" s="21" t="s">
        <v>833</v>
      </c>
    </row>
    <row r="1674" customFormat="false" ht="15" hidden="false" customHeight="false" outlineLevel="0" collapsed="false">
      <c r="B1674" s="19" t="s">
        <v>2664</v>
      </c>
      <c r="C1674" s="20" t="n">
        <f aca="false">ROUND(0.59/FX,2)</f>
        <v>0.08</v>
      </c>
      <c r="D1674" s="21" t="s">
        <v>2661</v>
      </c>
      <c r="E1674" s="21" t="s">
        <v>837</v>
      </c>
      <c r="F1674" s="21" t="s">
        <v>724</v>
      </c>
      <c r="G1674" s="21" t="s">
        <v>833</v>
      </c>
    </row>
    <row r="1675" customFormat="false" ht="15" hidden="false" customHeight="false" outlineLevel="0" collapsed="false">
      <c r="B1675" s="19" t="s">
        <v>2665</v>
      </c>
      <c r="C1675" s="20" t="n">
        <f aca="false">ROUND(1.14/FX,2)</f>
        <v>0.16</v>
      </c>
      <c r="D1675" s="21" t="s">
        <v>2661</v>
      </c>
      <c r="E1675" s="21" t="s">
        <v>839</v>
      </c>
      <c r="F1675" s="21" t="s">
        <v>724</v>
      </c>
      <c r="G1675" s="21" t="s">
        <v>833</v>
      </c>
    </row>
    <row r="1676" customFormat="false" ht="15" hidden="false" customHeight="false" outlineLevel="0" collapsed="false">
      <c r="B1676" s="19" t="s">
        <v>2666</v>
      </c>
      <c r="C1676" s="20" t="n">
        <f aca="false">ROUND(0.73/FX,2)</f>
        <v>0.1</v>
      </c>
      <c r="D1676" s="21" t="s">
        <v>2661</v>
      </c>
      <c r="E1676" s="21" t="s">
        <v>841</v>
      </c>
      <c r="F1676" s="21" t="s">
        <v>724</v>
      </c>
      <c r="G1676" s="21" t="s">
        <v>833</v>
      </c>
    </row>
    <row r="1677" customFormat="false" ht="15" hidden="false" customHeight="false" outlineLevel="0" collapsed="false">
      <c r="B1677" s="19" t="s">
        <v>2667</v>
      </c>
      <c r="C1677" s="20" t="n">
        <f aca="false">ROUND(1.14/FX,2)</f>
        <v>0.16</v>
      </c>
      <c r="D1677" s="21" t="s">
        <v>2661</v>
      </c>
      <c r="E1677" s="21" t="s">
        <v>789</v>
      </c>
      <c r="F1677" s="21" t="s">
        <v>724</v>
      </c>
      <c r="G1677" s="21" t="s">
        <v>833</v>
      </c>
    </row>
    <row r="1678" customFormat="false" ht="15" hidden="false" customHeight="false" outlineLevel="0" collapsed="false">
      <c r="B1678" s="19" t="s">
        <v>2668</v>
      </c>
      <c r="C1678" s="20" t="n">
        <f aca="false">ROUND(0.91/FX,2)</f>
        <v>0.13</v>
      </c>
      <c r="D1678" s="21" t="s">
        <v>2661</v>
      </c>
      <c r="E1678" s="21" t="s">
        <v>716</v>
      </c>
      <c r="F1678" s="21" t="s">
        <v>724</v>
      </c>
      <c r="G1678" s="21" t="s">
        <v>833</v>
      </c>
    </row>
    <row r="1679" customFormat="false" ht="15" hidden="false" customHeight="false" outlineLevel="0" collapsed="false">
      <c r="B1679" s="19" t="s">
        <v>2669</v>
      </c>
      <c r="C1679" s="20" t="n">
        <f aca="false">ROUND(1.14/FX,2)</f>
        <v>0.16</v>
      </c>
      <c r="D1679" s="21" t="s">
        <v>2661</v>
      </c>
      <c r="E1679" s="21" t="s">
        <v>719</v>
      </c>
      <c r="F1679" s="21" t="s">
        <v>724</v>
      </c>
      <c r="G1679" s="21" t="s">
        <v>833</v>
      </c>
    </row>
    <row r="1680" customFormat="false" ht="15" hidden="false" customHeight="false" outlineLevel="0" collapsed="false">
      <c r="B1680" s="19" t="s">
        <v>2670</v>
      </c>
      <c r="C1680" s="20" t="n">
        <f aca="false">ROUND(1.82/FX,2)</f>
        <v>0.25</v>
      </c>
      <c r="D1680" s="21" t="s">
        <v>2671</v>
      </c>
      <c r="E1680" s="21" t="s">
        <v>707</v>
      </c>
      <c r="F1680" s="21" t="s">
        <v>724</v>
      </c>
      <c r="G1680" s="21" t="s">
        <v>833</v>
      </c>
    </row>
    <row r="1681" customFormat="false" ht="15" hidden="false" customHeight="false" outlineLevel="0" collapsed="false">
      <c r="B1681" s="19" t="s">
        <v>2672</v>
      </c>
      <c r="C1681" s="20" t="n">
        <f aca="false">ROUND(1.14/FX,2)</f>
        <v>0.16</v>
      </c>
      <c r="D1681" s="21" t="s">
        <v>2671</v>
      </c>
      <c r="E1681" s="21" t="s">
        <v>761</v>
      </c>
      <c r="F1681" s="21" t="s">
        <v>724</v>
      </c>
      <c r="G1681" s="21" t="s">
        <v>833</v>
      </c>
    </row>
    <row r="1682" customFormat="false" ht="15" hidden="false" customHeight="false" outlineLevel="0" collapsed="false">
      <c r="B1682" s="19" t="s">
        <v>2673</v>
      </c>
      <c r="C1682" s="20" t="n">
        <f aca="false">ROUND(1.14/FX,2)</f>
        <v>0.16</v>
      </c>
      <c r="D1682" s="21" t="s">
        <v>2671</v>
      </c>
      <c r="E1682" s="21" t="s">
        <v>714</v>
      </c>
      <c r="F1682" s="21" t="s">
        <v>724</v>
      </c>
      <c r="G1682" s="21" t="s">
        <v>833</v>
      </c>
    </row>
    <row r="1683" customFormat="false" ht="15" hidden="false" customHeight="false" outlineLevel="0" collapsed="false">
      <c r="B1683" s="19" t="s">
        <v>2674</v>
      </c>
      <c r="C1683" s="20" t="n">
        <f aca="false">ROUND(0.59/FX,2)</f>
        <v>0.08</v>
      </c>
      <c r="D1683" s="21" t="s">
        <v>2671</v>
      </c>
      <c r="E1683" s="21" t="s">
        <v>837</v>
      </c>
      <c r="F1683" s="21" t="s">
        <v>724</v>
      </c>
      <c r="G1683" s="21" t="s">
        <v>833</v>
      </c>
    </row>
    <row r="1684" customFormat="false" ht="15" hidden="false" customHeight="false" outlineLevel="0" collapsed="false">
      <c r="B1684" s="19" t="s">
        <v>2675</v>
      </c>
      <c r="C1684" s="20" t="n">
        <f aca="false">ROUND(1.14/FX,2)</f>
        <v>0.16</v>
      </c>
      <c r="D1684" s="21" t="s">
        <v>2671</v>
      </c>
      <c r="E1684" s="21" t="s">
        <v>839</v>
      </c>
      <c r="F1684" s="21" t="s">
        <v>724</v>
      </c>
      <c r="G1684" s="21" t="s">
        <v>833</v>
      </c>
    </row>
    <row r="1685" customFormat="false" ht="15" hidden="false" customHeight="false" outlineLevel="0" collapsed="false">
      <c r="B1685" s="19" t="s">
        <v>2676</v>
      </c>
      <c r="C1685" s="20" t="n">
        <f aca="false">ROUND(0.73/FX,2)</f>
        <v>0.1</v>
      </c>
      <c r="D1685" s="21" t="s">
        <v>2671</v>
      </c>
      <c r="E1685" s="21" t="s">
        <v>841</v>
      </c>
      <c r="F1685" s="21" t="s">
        <v>724</v>
      </c>
      <c r="G1685" s="21" t="s">
        <v>833</v>
      </c>
    </row>
    <row r="1686" customFormat="false" ht="15" hidden="false" customHeight="false" outlineLevel="0" collapsed="false">
      <c r="B1686" s="19" t="s">
        <v>2677</v>
      </c>
      <c r="C1686" s="20" t="n">
        <f aca="false">ROUND(1.14/FX,2)</f>
        <v>0.16</v>
      </c>
      <c r="D1686" s="21" t="s">
        <v>2671</v>
      </c>
      <c r="E1686" s="21" t="s">
        <v>789</v>
      </c>
      <c r="F1686" s="21" t="s">
        <v>724</v>
      </c>
      <c r="G1686" s="21" t="s">
        <v>833</v>
      </c>
    </row>
    <row r="1687" customFormat="false" ht="15" hidden="false" customHeight="false" outlineLevel="0" collapsed="false">
      <c r="B1687" s="19" t="s">
        <v>2678</v>
      </c>
      <c r="C1687" s="20" t="n">
        <f aca="false">ROUND(0.91/FX,2)</f>
        <v>0.13</v>
      </c>
      <c r="D1687" s="21" t="s">
        <v>2671</v>
      </c>
      <c r="E1687" s="21" t="s">
        <v>716</v>
      </c>
      <c r="F1687" s="21" t="s">
        <v>724</v>
      </c>
      <c r="G1687" s="21" t="s">
        <v>833</v>
      </c>
    </row>
    <row r="1688" customFormat="false" ht="15" hidden="false" customHeight="false" outlineLevel="0" collapsed="false">
      <c r="B1688" s="19" t="s">
        <v>2679</v>
      </c>
      <c r="C1688" s="20" t="n">
        <f aca="false">ROUND(1.14/FX,2)</f>
        <v>0.16</v>
      </c>
      <c r="D1688" s="21" t="s">
        <v>2671</v>
      </c>
      <c r="E1688" s="21" t="s">
        <v>719</v>
      </c>
      <c r="F1688" s="21" t="s">
        <v>724</v>
      </c>
      <c r="G1688" s="21" t="s">
        <v>833</v>
      </c>
    </row>
    <row r="1689" customFormat="false" ht="15" hidden="false" customHeight="false" outlineLevel="0" collapsed="false">
      <c r="B1689" s="19" t="s">
        <v>2680</v>
      </c>
      <c r="C1689" s="20" t="n">
        <f aca="false">ROUND(1.51/FX,2)</f>
        <v>0.21</v>
      </c>
      <c r="D1689" s="21" t="s">
        <v>2681</v>
      </c>
      <c r="E1689" s="21" t="s">
        <v>707</v>
      </c>
      <c r="F1689" s="21" t="s">
        <v>724</v>
      </c>
      <c r="G1689" s="21" t="s">
        <v>833</v>
      </c>
    </row>
    <row r="1690" customFormat="false" ht="15" hidden="false" customHeight="false" outlineLevel="0" collapsed="false">
      <c r="B1690" s="19" t="s">
        <v>2682</v>
      </c>
      <c r="C1690" s="20" t="n">
        <f aca="false">ROUND(1.14/FX,2)</f>
        <v>0.16</v>
      </c>
      <c r="D1690" s="21" t="s">
        <v>2681</v>
      </c>
      <c r="E1690" s="21" t="s">
        <v>761</v>
      </c>
      <c r="F1690" s="21" t="s">
        <v>724</v>
      </c>
      <c r="G1690" s="21" t="s">
        <v>833</v>
      </c>
    </row>
    <row r="1691" customFormat="false" ht="15" hidden="false" customHeight="false" outlineLevel="0" collapsed="false">
      <c r="B1691" s="19" t="s">
        <v>2683</v>
      </c>
      <c r="C1691" s="20" t="n">
        <f aca="false">ROUND(1.14/FX,2)</f>
        <v>0.16</v>
      </c>
      <c r="D1691" s="21" t="s">
        <v>2681</v>
      </c>
      <c r="E1691" s="21" t="s">
        <v>714</v>
      </c>
      <c r="F1691" s="21" t="s">
        <v>724</v>
      </c>
      <c r="G1691" s="21" t="s">
        <v>833</v>
      </c>
    </row>
    <row r="1692" customFormat="false" ht="15" hidden="false" customHeight="false" outlineLevel="0" collapsed="false">
      <c r="B1692" s="19" t="s">
        <v>2684</v>
      </c>
      <c r="C1692" s="20" t="n">
        <f aca="false">ROUND(0.59/FX,2)</f>
        <v>0.08</v>
      </c>
      <c r="D1692" s="21" t="s">
        <v>2681</v>
      </c>
      <c r="E1692" s="21" t="s">
        <v>837</v>
      </c>
      <c r="F1692" s="21" t="s">
        <v>724</v>
      </c>
      <c r="G1692" s="21" t="s">
        <v>833</v>
      </c>
    </row>
    <row r="1693" customFormat="false" ht="15" hidden="false" customHeight="false" outlineLevel="0" collapsed="false">
      <c r="B1693" s="19" t="s">
        <v>2685</v>
      </c>
      <c r="C1693" s="20" t="n">
        <f aca="false">ROUND(0.62/FX,2)</f>
        <v>0.09</v>
      </c>
      <c r="D1693" s="21" t="s">
        <v>2681</v>
      </c>
      <c r="E1693" s="21" t="s">
        <v>839</v>
      </c>
      <c r="F1693" s="21" t="s">
        <v>724</v>
      </c>
      <c r="G1693" s="21" t="s">
        <v>833</v>
      </c>
    </row>
    <row r="1694" customFormat="false" ht="15" hidden="false" customHeight="false" outlineLevel="0" collapsed="false">
      <c r="B1694" s="19" t="s">
        <v>2686</v>
      </c>
      <c r="C1694" s="20" t="n">
        <f aca="false">ROUND(1.14/FX,2)</f>
        <v>0.16</v>
      </c>
      <c r="D1694" s="21" t="s">
        <v>2681</v>
      </c>
      <c r="E1694" s="21" t="s">
        <v>841</v>
      </c>
      <c r="F1694" s="21" t="s">
        <v>724</v>
      </c>
      <c r="G1694" s="21" t="s">
        <v>833</v>
      </c>
    </row>
    <row r="1695" customFormat="false" ht="15" hidden="false" customHeight="false" outlineLevel="0" collapsed="false">
      <c r="B1695" s="19" t="s">
        <v>2687</v>
      </c>
      <c r="C1695" s="20" t="n">
        <f aca="false">ROUND(1.14/FX,2)</f>
        <v>0.16</v>
      </c>
      <c r="D1695" s="21" t="s">
        <v>2681</v>
      </c>
      <c r="E1695" s="21" t="s">
        <v>789</v>
      </c>
      <c r="F1695" s="21" t="s">
        <v>724</v>
      </c>
      <c r="G1695" s="21" t="s">
        <v>833</v>
      </c>
    </row>
    <row r="1696" customFormat="false" ht="15" hidden="false" customHeight="false" outlineLevel="0" collapsed="false">
      <c r="B1696" s="19" t="s">
        <v>2688</v>
      </c>
      <c r="C1696" s="20" t="n">
        <f aca="false">ROUND(1.04/FX,2)</f>
        <v>0.14</v>
      </c>
      <c r="D1696" s="21" t="s">
        <v>2681</v>
      </c>
      <c r="E1696" s="21" t="s">
        <v>716</v>
      </c>
      <c r="F1696" s="21" t="s">
        <v>724</v>
      </c>
      <c r="G1696" s="21" t="s">
        <v>833</v>
      </c>
    </row>
    <row r="1697" customFormat="false" ht="15" hidden="false" customHeight="false" outlineLevel="0" collapsed="false">
      <c r="B1697" s="19" t="s">
        <v>2689</v>
      </c>
      <c r="C1697" s="20" t="n">
        <f aca="false">ROUND(1.14/FX,2)</f>
        <v>0.16</v>
      </c>
      <c r="D1697" s="21" t="s">
        <v>2681</v>
      </c>
      <c r="E1697" s="21" t="s">
        <v>719</v>
      </c>
      <c r="F1697" s="21" t="s">
        <v>724</v>
      </c>
      <c r="G1697" s="21" t="s">
        <v>833</v>
      </c>
    </row>
    <row r="1698" customFormat="false" ht="15" hidden="false" customHeight="false" outlineLevel="0" collapsed="false">
      <c r="B1698" s="19" t="s">
        <v>2690</v>
      </c>
      <c r="C1698" s="20" t="n">
        <f aca="false">ROUND(1.51/FX,2)</f>
        <v>0.21</v>
      </c>
      <c r="D1698" s="21" t="s">
        <v>2691</v>
      </c>
      <c r="E1698" s="21" t="s">
        <v>707</v>
      </c>
      <c r="F1698" s="21" t="s">
        <v>724</v>
      </c>
      <c r="G1698" s="21" t="s">
        <v>833</v>
      </c>
    </row>
    <row r="1699" customFormat="false" ht="15" hidden="false" customHeight="false" outlineLevel="0" collapsed="false">
      <c r="B1699" s="19" t="s">
        <v>2692</v>
      </c>
      <c r="C1699" s="20" t="n">
        <f aca="false">ROUND(1.14/FX,2)</f>
        <v>0.16</v>
      </c>
      <c r="D1699" s="21" t="s">
        <v>2691</v>
      </c>
      <c r="E1699" s="21" t="s">
        <v>761</v>
      </c>
      <c r="F1699" s="21" t="s">
        <v>724</v>
      </c>
      <c r="G1699" s="21" t="s">
        <v>833</v>
      </c>
    </row>
    <row r="1700" customFormat="false" ht="15" hidden="false" customHeight="false" outlineLevel="0" collapsed="false">
      <c r="B1700" s="19" t="s">
        <v>2693</v>
      </c>
      <c r="C1700" s="20" t="n">
        <f aca="false">ROUND(1.14/FX,2)</f>
        <v>0.16</v>
      </c>
      <c r="D1700" s="21" t="s">
        <v>2691</v>
      </c>
      <c r="E1700" s="21" t="s">
        <v>714</v>
      </c>
      <c r="F1700" s="21" t="s">
        <v>724</v>
      </c>
      <c r="G1700" s="21" t="s">
        <v>833</v>
      </c>
    </row>
    <row r="1701" customFormat="false" ht="15" hidden="false" customHeight="false" outlineLevel="0" collapsed="false">
      <c r="B1701" s="19" t="s">
        <v>2694</v>
      </c>
      <c r="C1701" s="20" t="n">
        <f aca="false">ROUND(0.59/FX,2)</f>
        <v>0.08</v>
      </c>
      <c r="D1701" s="21" t="s">
        <v>2691</v>
      </c>
      <c r="E1701" s="21" t="s">
        <v>837</v>
      </c>
      <c r="F1701" s="21" t="s">
        <v>724</v>
      </c>
      <c r="G1701" s="21" t="s">
        <v>833</v>
      </c>
    </row>
    <row r="1702" customFormat="false" ht="15" hidden="false" customHeight="false" outlineLevel="0" collapsed="false">
      <c r="B1702" s="19" t="s">
        <v>2695</v>
      </c>
      <c r="C1702" s="20" t="n">
        <f aca="false">ROUND(0.62/FX,2)</f>
        <v>0.09</v>
      </c>
      <c r="D1702" s="21" t="s">
        <v>2691</v>
      </c>
      <c r="E1702" s="21" t="s">
        <v>839</v>
      </c>
      <c r="F1702" s="21" t="s">
        <v>724</v>
      </c>
      <c r="G1702" s="21" t="s">
        <v>833</v>
      </c>
    </row>
    <row r="1703" customFormat="false" ht="15" hidden="false" customHeight="false" outlineLevel="0" collapsed="false">
      <c r="B1703" s="19" t="s">
        <v>2696</v>
      </c>
      <c r="C1703" s="20" t="n">
        <f aca="false">ROUND(1.14/FX,2)</f>
        <v>0.16</v>
      </c>
      <c r="D1703" s="21" t="s">
        <v>2691</v>
      </c>
      <c r="E1703" s="21" t="s">
        <v>841</v>
      </c>
      <c r="F1703" s="21" t="s">
        <v>724</v>
      </c>
      <c r="G1703" s="21" t="s">
        <v>833</v>
      </c>
    </row>
    <row r="1704" customFormat="false" ht="15" hidden="false" customHeight="false" outlineLevel="0" collapsed="false">
      <c r="B1704" s="19" t="s">
        <v>2697</v>
      </c>
      <c r="C1704" s="20" t="n">
        <f aca="false">ROUND(1.14/FX,2)</f>
        <v>0.16</v>
      </c>
      <c r="D1704" s="21" t="s">
        <v>2691</v>
      </c>
      <c r="E1704" s="21" t="s">
        <v>789</v>
      </c>
      <c r="F1704" s="21" t="s">
        <v>724</v>
      </c>
      <c r="G1704" s="21" t="s">
        <v>833</v>
      </c>
    </row>
    <row r="1705" customFormat="false" ht="15" hidden="false" customHeight="false" outlineLevel="0" collapsed="false">
      <c r="B1705" s="19" t="s">
        <v>2698</v>
      </c>
      <c r="C1705" s="20" t="n">
        <f aca="false">ROUND(1.11/FX,2)</f>
        <v>0.15</v>
      </c>
      <c r="D1705" s="21" t="s">
        <v>2691</v>
      </c>
      <c r="E1705" s="21" t="s">
        <v>716</v>
      </c>
      <c r="F1705" s="21" t="s">
        <v>724</v>
      </c>
      <c r="G1705" s="21" t="s">
        <v>833</v>
      </c>
    </row>
    <row r="1706" customFormat="false" ht="15" hidden="false" customHeight="false" outlineLevel="0" collapsed="false">
      <c r="B1706" s="19" t="s">
        <v>2699</v>
      </c>
      <c r="C1706" s="20" t="n">
        <f aca="false">ROUND(1.14/FX,2)</f>
        <v>0.16</v>
      </c>
      <c r="D1706" s="21" t="s">
        <v>2691</v>
      </c>
      <c r="E1706" s="21" t="s">
        <v>719</v>
      </c>
      <c r="F1706" s="21" t="s">
        <v>724</v>
      </c>
      <c r="G1706" s="21" t="s">
        <v>833</v>
      </c>
    </row>
    <row r="1707" customFormat="false" ht="15" hidden="false" customHeight="false" outlineLevel="0" collapsed="false">
      <c r="B1707" s="19" t="s">
        <v>2700</v>
      </c>
      <c r="C1707" s="20" t="n">
        <f aca="false">ROUND(1.51/FX,2)</f>
        <v>0.21</v>
      </c>
      <c r="D1707" s="21" t="s">
        <v>2701</v>
      </c>
      <c r="E1707" s="21" t="s">
        <v>707</v>
      </c>
      <c r="F1707" s="21" t="s">
        <v>724</v>
      </c>
      <c r="G1707" s="21" t="s">
        <v>833</v>
      </c>
    </row>
    <row r="1708" customFormat="false" ht="15" hidden="false" customHeight="false" outlineLevel="0" collapsed="false">
      <c r="B1708" s="19" t="s">
        <v>2702</v>
      </c>
      <c r="C1708" s="20" t="n">
        <f aca="false">ROUND(1.14/FX,2)</f>
        <v>0.16</v>
      </c>
      <c r="D1708" s="21" t="s">
        <v>2701</v>
      </c>
      <c r="E1708" s="21" t="s">
        <v>761</v>
      </c>
      <c r="F1708" s="21" t="s">
        <v>724</v>
      </c>
      <c r="G1708" s="21" t="s">
        <v>833</v>
      </c>
    </row>
    <row r="1709" customFormat="false" ht="15" hidden="false" customHeight="false" outlineLevel="0" collapsed="false">
      <c r="B1709" s="19" t="s">
        <v>2703</v>
      </c>
      <c r="C1709" s="20" t="n">
        <f aca="false">ROUND(2.73/FX,2)</f>
        <v>0.38</v>
      </c>
      <c r="D1709" s="21" t="s">
        <v>2701</v>
      </c>
      <c r="E1709" s="21" t="s">
        <v>714</v>
      </c>
      <c r="F1709" s="21" t="s">
        <v>724</v>
      </c>
      <c r="G1709" s="21" t="s">
        <v>833</v>
      </c>
    </row>
    <row r="1710" customFormat="false" ht="15" hidden="false" customHeight="false" outlineLevel="0" collapsed="false">
      <c r="B1710" s="19" t="s">
        <v>2704</v>
      </c>
      <c r="C1710" s="20" t="n">
        <f aca="false">ROUND(0.59/FX,2)</f>
        <v>0.08</v>
      </c>
      <c r="D1710" s="21" t="s">
        <v>2701</v>
      </c>
      <c r="E1710" s="21" t="s">
        <v>837</v>
      </c>
      <c r="F1710" s="21" t="s">
        <v>724</v>
      </c>
      <c r="G1710" s="21" t="s">
        <v>833</v>
      </c>
    </row>
    <row r="1711" customFormat="false" ht="15" hidden="false" customHeight="false" outlineLevel="0" collapsed="false">
      <c r="B1711" s="19" t="s">
        <v>2705</v>
      </c>
      <c r="C1711" s="20" t="n">
        <f aca="false">ROUND(1.14/FX,2)</f>
        <v>0.16</v>
      </c>
      <c r="D1711" s="21" t="s">
        <v>2701</v>
      </c>
      <c r="E1711" s="21" t="s">
        <v>839</v>
      </c>
      <c r="F1711" s="21" t="s">
        <v>724</v>
      </c>
      <c r="G1711" s="21" t="s">
        <v>833</v>
      </c>
    </row>
    <row r="1712" customFormat="false" ht="15" hidden="false" customHeight="false" outlineLevel="0" collapsed="false">
      <c r="B1712" s="19" t="s">
        <v>2706</v>
      </c>
      <c r="C1712" s="20" t="n">
        <f aca="false">ROUND(0.73/FX,2)</f>
        <v>0.1</v>
      </c>
      <c r="D1712" s="21" t="s">
        <v>2701</v>
      </c>
      <c r="E1712" s="21" t="s">
        <v>841</v>
      </c>
      <c r="F1712" s="21" t="s">
        <v>724</v>
      </c>
      <c r="G1712" s="21" t="s">
        <v>833</v>
      </c>
    </row>
    <row r="1713" customFormat="false" ht="15" hidden="false" customHeight="false" outlineLevel="0" collapsed="false">
      <c r="B1713" s="19" t="s">
        <v>2707</v>
      </c>
      <c r="C1713" s="20" t="n">
        <f aca="false">ROUND(1.14/FX,2)</f>
        <v>0.16</v>
      </c>
      <c r="D1713" s="21" t="s">
        <v>2701</v>
      </c>
      <c r="E1713" s="21" t="s">
        <v>789</v>
      </c>
      <c r="F1713" s="21" t="s">
        <v>724</v>
      </c>
      <c r="G1713" s="21" t="s">
        <v>833</v>
      </c>
    </row>
    <row r="1714" customFormat="false" ht="15" hidden="false" customHeight="false" outlineLevel="0" collapsed="false">
      <c r="B1714" s="19" t="s">
        <v>2708</v>
      </c>
      <c r="C1714" s="20" t="n">
        <f aca="false">ROUND(0.91/FX,2)</f>
        <v>0.13</v>
      </c>
      <c r="D1714" s="21" t="s">
        <v>2701</v>
      </c>
      <c r="E1714" s="21" t="s">
        <v>716</v>
      </c>
      <c r="F1714" s="21" t="s">
        <v>724</v>
      </c>
      <c r="G1714" s="21" t="s">
        <v>833</v>
      </c>
    </row>
    <row r="1715" customFormat="false" ht="15" hidden="false" customHeight="false" outlineLevel="0" collapsed="false">
      <c r="B1715" s="19" t="s">
        <v>2709</v>
      </c>
      <c r="C1715" s="20" t="n">
        <f aca="false">ROUND(1.37/FX,2)</f>
        <v>0.19</v>
      </c>
      <c r="D1715" s="21" t="s">
        <v>2701</v>
      </c>
      <c r="E1715" s="21" t="s">
        <v>719</v>
      </c>
      <c r="F1715" s="21" t="s">
        <v>724</v>
      </c>
      <c r="G1715" s="21" t="s">
        <v>833</v>
      </c>
    </row>
    <row r="1716" customFormat="false" ht="15" hidden="false" customHeight="false" outlineLevel="0" collapsed="false">
      <c r="B1716" s="19" t="s">
        <v>2710</v>
      </c>
      <c r="C1716" s="20" t="n">
        <f aca="false">ROUND(1.4/FX,2)</f>
        <v>0.19</v>
      </c>
      <c r="D1716" s="21" t="s">
        <v>2711</v>
      </c>
      <c r="E1716" s="21" t="s">
        <v>707</v>
      </c>
      <c r="F1716" s="21" t="s">
        <v>724</v>
      </c>
      <c r="G1716" s="21" t="s">
        <v>833</v>
      </c>
    </row>
    <row r="1717" customFormat="false" ht="15" hidden="false" customHeight="false" outlineLevel="0" collapsed="false">
      <c r="B1717" s="19" t="s">
        <v>2712</v>
      </c>
      <c r="C1717" s="20" t="n">
        <f aca="false">ROUND(1.14/FX,2)</f>
        <v>0.16</v>
      </c>
      <c r="D1717" s="21" t="s">
        <v>2711</v>
      </c>
      <c r="E1717" s="21" t="s">
        <v>761</v>
      </c>
      <c r="F1717" s="21" t="s">
        <v>724</v>
      </c>
      <c r="G1717" s="21" t="s">
        <v>833</v>
      </c>
    </row>
    <row r="1718" customFormat="false" ht="15" hidden="false" customHeight="false" outlineLevel="0" collapsed="false">
      <c r="B1718" s="19" t="s">
        <v>2713</v>
      </c>
      <c r="C1718" s="20" t="n">
        <f aca="false">ROUND(3.25/FX,2)</f>
        <v>0.45</v>
      </c>
      <c r="D1718" s="21" t="s">
        <v>2711</v>
      </c>
      <c r="E1718" s="21" t="s">
        <v>714</v>
      </c>
      <c r="F1718" s="21" t="s">
        <v>724</v>
      </c>
      <c r="G1718" s="21" t="s">
        <v>833</v>
      </c>
    </row>
    <row r="1719" customFormat="false" ht="15" hidden="false" customHeight="false" outlineLevel="0" collapsed="false">
      <c r="B1719" s="19" t="s">
        <v>2714</v>
      </c>
      <c r="C1719" s="20" t="n">
        <f aca="false">ROUND(0.59/FX,2)</f>
        <v>0.08</v>
      </c>
      <c r="D1719" s="21" t="s">
        <v>2711</v>
      </c>
      <c r="E1719" s="21" t="s">
        <v>837</v>
      </c>
      <c r="F1719" s="21" t="s">
        <v>724</v>
      </c>
      <c r="G1719" s="21" t="s">
        <v>833</v>
      </c>
    </row>
    <row r="1720" customFormat="false" ht="15" hidden="false" customHeight="false" outlineLevel="0" collapsed="false">
      <c r="B1720" s="19" t="s">
        <v>2715</v>
      </c>
      <c r="C1720" s="20" t="n">
        <f aca="false">ROUND(1.14/FX,2)</f>
        <v>0.16</v>
      </c>
      <c r="D1720" s="21" t="s">
        <v>2711</v>
      </c>
      <c r="E1720" s="21" t="s">
        <v>839</v>
      </c>
      <c r="F1720" s="21" t="s">
        <v>724</v>
      </c>
      <c r="G1720" s="21" t="s">
        <v>833</v>
      </c>
    </row>
    <row r="1721" customFormat="false" ht="15" hidden="false" customHeight="false" outlineLevel="0" collapsed="false">
      <c r="B1721" s="19" t="s">
        <v>2716</v>
      </c>
      <c r="C1721" s="20" t="n">
        <f aca="false">ROUND(1.14/FX,2)</f>
        <v>0.16</v>
      </c>
      <c r="D1721" s="21" t="s">
        <v>2711</v>
      </c>
      <c r="E1721" s="21" t="s">
        <v>841</v>
      </c>
      <c r="F1721" s="21" t="s">
        <v>724</v>
      </c>
      <c r="G1721" s="21" t="s">
        <v>833</v>
      </c>
    </row>
    <row r="1722" customFormat="false" ht="15" hidden="false" customHeight="false" outlineLevel="0" collapsed="false">
      <c r="B1722" s="19" t="s">
        <v>2717</v>
      </c>
      <c r="C1722" s="20" t="n">
        <f aca="false">ROUND(1.14/FX,2)</f>
        <v>0.16</v>
      </c>
      <c r="D1722" s="21" t="s">
        <v>2711</v>
      </c>
      <c r="E1722" s="21" t="s">
        <v>789</v>
      </c>
      <c r="F1722" s="21" t="s">
        <v>724</v>
      </c>
      <c r="G1722" s="21" t="s">
        <v>833</v>
      </c>
    </row>
    <row r="1723" customFormat="false" ht="15" hidden="false" customHeight="false" outlineLevel="0" collapsed="false">
      <c r="B1723" s="19" t="s">
        <v>2718</v>
      </c>
      <c r="C1723" s="20" t="n">
        <f aca="false">ROUND(0.88/FX,2)</f>
        <v>0.12</v>
      </c>
      <c r="D1723" s="21" t="s">
        <v>2711</v>
      </c>
      <c r="E1723" s="21" t="s">
        <v>716</v>
      </c>
      <c r="F1723" s="21" t="s">
        <v>724</v>
      </c>
      <c r="G1723" s="21" t="s">
        <v>833</v>
      </c>
    </row>
    <row r="1724" customFormat="false" ht="15" hidden="false" customHeight="false" outlineLevel="0" collapsed="false">
      <c r="B1724" s="19" t="s">
        <v>2719</v>
      </c>
      <c r="C1724" s="20" t="n">
        <f aca="false">ROUND(1.14/FX,2)</f>
        <v>0.16</v>
      </c>
      <c r="D1724" s="21" t="s">
        <v>2711</v>
      </c>
      <c r="E1724" s="21" t="s">
        <v>719</v>
      </c>
      <c r="F1724" s="21" t="s">
        <v>724</v>
      </c>
      <c r="G1724" s="21" t="s">
        <v>833</v>
      </c>
    </row>
    <row r="1725" customFormat="false" ht="15" hidden="false" customHeight="false" outlineLevel="0" collapsed="false">
      <c r="B1725" s="19" t="s">
        <v>2720</v>
      </c>
      <c r="C1725" s="20" t="n">
        <f aca="false">ROUND(1.4/FX,2)</f>
        <v>0.19</v>
      </c>
      <c r="D1725" s="21" t="s">
        <v>2721</v>
      </c>
      <c r="E1725" s="21" t="s">
        <v>707</v>
      </c>
      <c r="F1725" s="21" t="s">
        <v>724</v>
      </c>
      <c r="G1725" s="21" t="s">
        <v>833</v>
      </c>
    </row>
    <row r="1726" customFormat="false" ht="15" hidden="false" customHeight="false" outlineLevel="0" collapsed="false">
      <c r="B1726" s="19" t="s">
        <v>2722</v>
      </c>
      <c r="C1726" s="20" t="n">
        <f aca="false">ROUND(1.14/FX,2)</f>
        <v>0.16</v>
      </c>
      <c r="D1726" s="21" t="s">
        <v>2721</v>
      </c>
      <c r="E1726" s="21" t="s">
        <v>761</v>
      </c>
      <c r="F1726" s="21" t="s">
        <v>724</v>
      </c>
      <c r="G1726" s="21" t="s">
        <v>833</v>
      </c>
    </row>
    <row r="1727" customFormat="false" ht="15" hidden="false" customHeight="false" outlineLevel="0" collapsed="false">
      <c r="B1727" s="19" t="s">
        <v>2723</v>
      </c>
      <c r="C1727" s="20" t="n">
        <f aca="false">ROUND(1.14/FX,2)</f>
        <v>0.16</v>
      </c>
      <c r="D1727" s="21" t="s">
        <v>2721</v>
      </c>
      <c r="E1727" s="21" t="s">
        <v>714</v>
      </c>
      <c r="F1727" s="21" t="s">
        <v>724</v>
      </c>
      <c r="G1727" s="21" t="s">
        <v>833</v>
      </c>
    </row>
    <row r="1728" customFormat="false" ht="15" hidden="false" customHeight="false" outlineLevel="0" collapsed="false">
      <c r="B1728" s="19" t="s">
        <v>2724</v>
      </c>
      <c r="C1728" s="20" t="n">
        <f aca="false">ROUND(0.56/FX,2)</f>
        <v>0.08</v>
      </c>
      <c r="D1728" s="21" t="s">
        <v>2721</v>
      </c>
      <c r="E1728" s="21" t="s">
        <v>837</v>
      </c>
      <c r="F1728" s="21" t="s">
        <v>724</v>
      </c>
      <c r="G1728" s="21" t="s">
        <v>833</v>
      </c>
    </row>
    <row r="1729" customFormat="false" ht="15" hidden="false" customHeight="false" outlineLevel="0" collapsed="false">
      <c r="B1729" s="19" t="s">
        <v>2725</v>
      </c>
      <c r="C1729" s="20" t="n">
        <f aca="false">ROUND(1.14/FX,2)</f>
        <v>0.16</v>
      </c>
      <c r="D1729" s="21" t="s">
        <v>2721</v>
      </c>
      <c r="E1729" s="21" t="s">
        <v>839</v>
      </c>
      <c r="F1729" s="21" t="s">
        <v>724</v>
      </c>
      <c r="G1729" s="21" t="s">
        <v>833</v>
      </c>
    </row>
    <row r="1730" customFormat="false" ht="15" hidden="false" customHeight="false" outlineLevel="0" collapsed="false">
      <c r="B1730" s="19" t="s">
        <v>2726</v>
      </c>
      <c r="C1730" s="20" t="n">
        <f aca="false">ROUND(1.14/FX,2)</f>
        <v>0.16</v>
      </c>
      <c r="D1730" s="21" t="s">
        <v>2721</v>
      </c>
      <c r="E1730" s="21" t="s">
        <v>841</v>
      </c>
      <c r="F1730" s="21" t="s">
        <v>724</v>
      </c>
      <c r="G1730" s="21" t="s">
        <v>833</v>
      </c>
    </row>
    <row r="1731" customFormat="false" ht="15" hidden="false" customHeight="false" outlineLevel="0" collapsed="false">
      <c r="B1731" s="19" t="s">
        <v>2727</v>
      </c>
      <c r="C1731" s="20" t="n">
        <f aca="false">ROUND(1.14/FX,2)</f>
        <v>0.16</v>
      </c>
      <c r="D1731" s="21" t="s">
        <v>2721</v>
      </c>
      <c r="E1731" s="21" t="s">
        <v>789</v>
      </c>
      <c r="F1731" s="21" t="s">
        <v>724</v>
      </c>
      <c r="G1731" s="21" t="s">
        <v>833</v>
      </c>
    </row>
    <row r="1732" customFormat="false" ht="15" hidden="false" customHeight="false" outlineLevel="0" collapsed="false">
      <c r="B1732" s="19" t="s">
        <v>2728</v>
      </c>
      <c r="C1732" s="20" t="n">
        <f aca="false">ROUND(1.3/FX,2)</f>
        <v>0.18</v>
      </c>
      <c r="D1732" s="21" t="s">
        <v>2721</v>
      </c>
      <c r="E1732" s="21" t="s">
        <v>716</v>
      </c>
      <c r="F1732" s="21" t="s">
        <v>724</v>
      </c>
      <c r="G1732" s="21" t="s">
        <v>833</v>
      </c>
    </row>
    <row r="1733" customFormat="false" ht="15" hidden="false" customHeight="false" outlineLevel="0" collapsed="false">
      <c r="B1733" s="19" t="s">
        <v>2729</v>
      </c>
      <c r="C1733" s="20" t="n">
        <f aca="false">ROUND(1.14/FX,2)</f>
        <v>0.16</v>
      </c>
      <c r="D1733" s="21" t="s">
        <v>2721</v>
      </c>
      <c r="E1733" s="21" t="s">
        <v>719</v>
      </c>
      <c r="F1733" s="21" t="s">
        <v>724</v>
      </c>
      <c r="G1733" s="21" t="s">
        <v>833</v>
      </c>
    </row>
    <row r="1734" customFormat="false" ht="15" hidden="false" customHeight="false" outlineLevel="0" collapsed="false">
      <c r="B1734" s="19" t="s">
        <v>2730</v>
      </c>
      <c r="C1734" s="20" t="n">
        <f aca="false">ROUND(1.54/FX,2)</f>
        <v>0.21</v>
      </c>
      <c r="D1734" s="21" t="s">
        <v>2731</v>
      </c>
      <c r="E1734" s="21" t="s">
        <v>707</v>
      </c>
      <c r="F1734" s="21" t="s">
        <v>724</v>
      </c>
      <c r="G1734" s="21" t="s">
        <v>833</v>
      </c>
    </row>
    <row r="1735" customFormat="false" ht="15" hidden="false" customHeight="false" outlineLevel="0" collapsed="false">
      <c r="B1735" s="19" t="s">
        <v>2732</v>
      </c>
      <c r="C1735" s="20" t="n">
        <f aca="false">ROUND(1.14/FX,2)</f>
        <v>0.16</v>
      </c>
      <c r="D1735" s="21" t="s">
        <v>2731</v>
      </c>
      <c r="E1735" s="21" t="s">
        <v>761</v>
      </c>
      <c r="F1735" s="21" t="s">
        <v>724</v>
      </c>
      <c r="G1735" s="21" t="s">
        <v>833</v>
      </c>
    </row>
    <row r="1736" customFormat="false" ht="15" hidden="false" customHeight="false" outlineLevel="0" collapsed="false">
      <c r="B1736" s="19" t="s">
        <v>2733</v>
      </c>
      <c r="C1736" s="20" t="n">
        <f aca="false">ROUND(1.14/FX,2)</f>
        <v>0.16</v>
      </c>
      <c r="D1736" s="21" t="s">
        <v>2731</v>
      </c>
      <c r="E1736" s="21" t="s">
        <v>714</v>
      </c>
      <c r="F1736" s="21" t="s">
        <v>724</v>
      </c>
      <c r="G1736" s="21" t="s">
        <v>833</v>
      </c>
    </row>
    <row r="1737" customFormat="false" ht="15" hidden="false" customHeight="false" outlineLevel="0" collapsed="false">
      <c r="B1737" s="19" t="s">
        <v>2734</v>
      </c>
      <c r="C1737" s="20" t="n">
        <f aca="false">ROUND(0.59/FX,2)</f>
        <v>0.08</v>
      </c>
      <c r="D1737" s="21" t="s">
        <v>2731</v>
      </c>
      <c r="E1737" s="21" t="s">
        <v>837</v>
      </c>
      <c r="F1737" s="21" t="s">
        <v>724</v>
      </c>
      <c r="G1737" s="21" t="s">
        <v>833</v>
      </c>
    </row>
    <row r="1738" customFormat="false" ht="15" hidden="false" customHeight="false" outlineLevel="0" collapsed="false">
      <c r="B1738" s="19" t="s">
        <v>2735</v>
      </c>
      <c r="C1738" s="20" t="n">
        <f aca="false">ROUND(1.14/FX,2)</f>
        <v>0.16</v>
      </c>
      <c r="D1738" s="21" t="s">
        <v>2731</v>
      </c>
      <c r="E1738" s="21" t="s">
        <v>839</v>
      </c>
      <c r="F1738" s="21" t="s">
        <v>724</v>
      </c>
      <c r="G1738" s="21" t="s">
        <v>833</v>
      </c>
    </row>
    <row r="1739" customFormat="false" ht="15" hidden="false" customHeight="false" outlineLevel="0" collapsed="false">
      <c r="B1739" s="19" t="s">
        <v>2736</v>
      </c>
      <c r="C1739" s="20" t="n">
        <f aca="false">ROUND(0.73/FX,2)</f>
        <v>0.1</v>
      </c>
      <c r="D1739" s="21" t="s">
        <v>2731</v>
      </c>
      <c r="E1739" s="21" t="s">
        <v>841</v>
      </c>
      <c r="F1739" s="21" t="s">
        <v>724</v>
      </c>
      <c r="G1739" s="21" t="s">
        <v>833</v>
      </c>
    </row>
    <row r="1740" customFormat="false" ht="15" hidden="false" customHeight="false" outlineLevel="0" collapsed="false">
      <c r="B1740" s="19" t="s">
        <v>2737</v>
      </c>
      <c r="C1740" s="20" t="n">
        <f aca="false">ROUND(1.14/FX,2)</f>
        <v>0.16</v>
      </c>
      <c r="D1740" s="21" t="s">
        <v>2731</v>
      </c>
      <c r="E1740" s="21" t="s">
        <v>789</v>
      </c>
      <c r="F1740" s="21" t="s">
        <v>724</v>
      </c>
      <c r="G1740" s="21" t="s">
        <v>833</v>
      </c>
    </row>
    <row r="1741" customFormat="false" ht="15" hidden="false" customHeight="false" outlineLevel="0" collapsed="false">
      <c r="B1741" s="19" t="s">
        <v>2738</v>
      </c>
      <c r="C1741" s="20" t="n">
        <f aca="false">ROUND(1.02/FX,2)</f>
        <v>0.14</v>
      </c>
      <c r="D1741" s="21" t="s">
        <v>2731</v>
      </c>
      <c r="E1741" s="21" t="s">
        <v>716</v>
      </c>
      <c r="F1741" s="21" t="s">
        <v>724</v>
      </c>
      <c r="G1741" s="21" t="s">
        <v>833</v>
      </c>
    </row>
    <row r="1742" customFormat="false" ht="15" hidden="false" customHeight="false" outlineLevel="0" collapsed="false">
      <c r="B1742" s="19" t="s">
        <v>2739</v>
      </c>
      <c r="C1742" s="20" t="n">
        <f aca="false">ROUND(1.14/FX,2)</f>
        <v>0.16</v>
      </c>
      <c r="D1742" s="21" t="s">
        <v>2731</v>
      </c>
      <c r="E1742" s="21" t="s">
        <v>719</v>
      </c>
      <c r="F1742" s="21" t="s">
        <v>724</v>
      </c>
      <c r="G1742" s="21" t="s">
        <v>833</v>
      </c>
    </row>
    <row r="1743" customFormat="false" ht="15" hidden="false" customHeight="false" outlineLevel="0" collapsed="false">
      <c r="B1743" s="19" t="s">
        <v>2740</v>
      </c>
      <c r="C1743" s="20" t="n">
        <f aca="false">ROUND(1.82/FX,2)</f>
        <v>0.25</v>
      </c>
      <c r="D1743" s="21" t="s">
        <v>2741</v>
      </c>
      <c r="E1743" s="21" t="s">
        <v>707</v>
      </c>
      <c r="F1743" s="21" t="s">
        <v>724</v>
      </c>
      <c r="G1743" s="21" t="s">
        <v>833</v>
      </c>
    </row>
    <row r="1744" customFormat="false" ht="15" hidden="false" customHeight="false" outlineLevel="0" collapsed="false">
      <c r="B1744" s="19" t="s">
        <v>2742</v>
      </c>
      <c r="C1744" s="20" t="n">
        <f aca="false">ROUND(1.14/FX,2)</f>
        <v>0.16</v>
      </c>
      <c r="D1744" s="21" t="s">
        <v>2741</v>
      </c>
      <c r="E1744" s="21" t="s">
        <v>761</v>
      </c>
      <c r="F1744" s="21" t="s">
        <v>724</v>
      </c>
      <c r="G1744" s="21" t="s">
        <v>833</v>
      </c>
    </row>
    <row r="1745" customFormat="false" ht="15" hidden="false" customHeight="false" outlineLevel="0" collapsed="false">
      <c r="B1745" s="19" t="s">
        <v>2743</v>
      </c>
      <c r="C1745" s="20" t="n">
        <f aca="false">ROUND(1.14/FX,2)</f>
        <v>0.16</v>
      </c>
      <c r="D1745" s="21" t="s">
        <v>2741</v>
      </c>
      <c r="E1745" s="21" t="s">
        <v>714</v>
      </c>
      <c r="F1745" s="21" t="s">
        <v>724</v>
      </c>
      <c r="G1745" s="21" t="s">
        <v>833</v>
      </c>
    </row>
    <row r="1746" customFormat="false" ht="15" hidden="false" customHeight="false" outlineLevel="0" collapsed="false">
      <c r="B1746" s="19" t="s">
        <v>2744</v>
      </c>
      <c r="C1746" s="20" t="n">
        <f aca="false">ROUND(0.59/FX,2)</f>
        <v>0.08</v>
      </c>
      <c r="D1746" s="21" t="s">
        <v>2741</v>
      </c>
      <c r="E1746" s="21" t="s">
        <v>837</v>
      </c>
      <c r="F1746" s="21" t="s">
        <v>724</v>
      </c>
      <c r="G1746" s="21" t="s">
        <v>833</v>
      </c>
    </row>
    <row r="1747" customFormat="false" ht="15" hidden="false" customHeight="false" outlineLevel="0" collapsed="false">
      <c r="B1747" s="19" t="s">
        <v>2745</v>
      </c>
      <c r="C1747" s="20" t="n">
        <f aca="false">ROUND(1.14/FX,2)</f>
        <v>0.16</v>
      </c>
      <c r="D1747" s="21" t="s">
        <v>2741</v>
      </c>
      <c r="E1747" s="21" t="s">
        <v>839</v>
      </c>
      <c r="F1747" s="21" t="s">
        <v>724</v>
      </c>
      <c r="G1747" s="21" t="s">
        <v>833</v>
      </c>
    </row>
    <row r="1748" customFormat="false" ht="15" hidden="false" customHeight="false" outlineLevel="0" collapsed="false">
      <c r="B1748" s="19" t="s">
        <v>2746</v>
      </c>
      <c r="C1748" s="20" t="n">
        <f aca="false">ROUND(0.73/FX,2)</f>
        <v>0.1</v>
      </c>
      <c r="D1748" s="21" t="s">
        <v>2741</v>
      </c>
      <c r="E1748" s="21" t="s">
        <v>841</v>
      </c>
      <c r="F1748" s="21" t="s">
        <v>724</v>
      </c>
      <c r="G1748" s="21" t="s">
        <v>833</v>
      </c>
    </row>
    <row r="1749" customFormat="false" ht="15" hidden="false" customHeight="false" outlineLevel="0" collapsed="false">
      <c r="B1749" s="19" t="s">
        <v>2747</v>
      </c>
      <c r="C1749" s="20" t="n">
        <f aca="false">ROUND(1.14/FX,2)</f>
        <v>0.16</v>
      </c>
      <c r="D1749" s="21" t="s">
        <v>2741</v>
      </c>
      <c r="E1749" s="21" t="s">
        <v>789</v>
      </c>
      <c r="F1749" s="21" t="s">
        <v>724</v>
      </c>
      <c r="G1749" s="21" t="s">
        <v>833</v>
      </c>
    </row>
    <row r="1750" customFormat="false" ht="15" hidden="false" customHeight="false" outlineLevel="0" collapsed="false">
      <c r="B1750" s="19" t="s">
        <v>2748</v>
      </c>
      <c r="C1750" s="20" t="n">
        <f aca="false">ROUND(0.92/FX,2)</f>
        <v>0.13</v>
      </c>
      <c r="D1750" s="21" t="s">
        <v>2741</v>
      </c>
      <c r="E1750" s="21" t="s">
        <v>716</v>
      </c>
      <c r="F1750" s="21" t="s">
        <v>724</v>
      </c>
      <c r="G1750" s="21" t="s">
        <v>833</v>
      </c>
    </row>
    <row r="1751" customFormat="false" ht="15" hidden="false" customHeight="false" outlineLevel="0" collapsed="false">
      <c r="B1751" s="19" t="s">
        <v>2749</v>
      </c>
      <c r="C1751" s="20" t="n">
        <f aca="false">ROUND(1.14/FX,2)</f>
        <v>0.16</v>
      </c>
      <c r="D1751" s="21" t="s">
        <v>2741</v>
      </c>
      <c r="E1751" s="21" t="s">
        <v>719</v>
      </c>
      <c r="F1751" s="21" t="s">
        <v>724</v>
      </c>
      <c r="G1751" s="21" t="s">
        <v>833</v>
      </c>
    </row>
    <row r="1752" customFormat="false" ht="15" hidden="false" customHeight="false" outlineLevel="0" collapsed="false">
      <c r="B1752" s="19" t="s">
        <v>2750</v>
      </c>
      <c r="C1752" s="20" t="n">
        <f aca="false">ROUND(1.4/FX,2)</f>
        <v>0.19</v>
      </c>
      <c r="D1752" s="21" t="s">
        <v>2751</v>
      </c>
      <c r="E1752" s="21" t="s">
        <v>707</v>
      </c>
      <c r="F1752" s="21" t="s">
        <v>724</v>
      </c>
      <c r="G1752" s="21" t="s">
        <v>833</v>
      </c>
    </row>
    <row r="1753" customFormat="false" ht="15" hidden="false" customHeight="false" outlineLevel="0" collapsed="false">
      <c r="B1753" s="19" t="s">
        <v>2752</v>
      </c>
      <c r="C1753" s="20" t="n">
        <f aca="false">ROUND(1.14/FX,2)</f>
        <v>0.16</v>
      </c>
      <c r="D1753" s="21" t="s">
        <v>2751</v>
      </c>
      <c r="E1753" s="21" t="s">
        <v>761</v>
      </c>
      <c r="F1753" s="21" t="s">
        <v>724</v>
      </c>
      <c r="G1753" s="21" t="s">
        <v>833</v>
      </c>
    </row>
    <row r="1754" customFormat="false" ht="15" hidden="false" customHeight="false" outlineLevel="0" collapsed="false">
      <c r="B1754" s="19" t="s">
        <v>2753</v>
      </c>
      <c r="C1754" s="20" t="n">
        <f aca="false">ROUND(3.25/FX,2)</f>
        <v>0.45</v>
      </c>
      <c r="D1754" s="21" t="s">
        <v>2751</v>
      </c>
      <c r="E1754" s="21" t="s">
        <v>714</v>
      </c>
      <c r="F1754" s="21" t="s">
        <v>724</v>
      </c>
      <c r="G1754" s="21" t="s">
        <v>833</v>
      </c>
    </row>
    <row r="1755" customFormat="false" ht="15" hidden="false" customHeight="false" outlineLevel="0" collapsed="false">
      <c r="B1755" s="19" t="s">
        <v>2754</v>
      </c>
      <c r="C1755" s="20" t="n">
        <f aca="false">ROUND(0.59/FX,2)</f>
        <v>0.08</v>
      </c>
      <c r="D1755" s="21" t="s">
        <v>2751</v>
      </c>
      <c r="E1755" s="21" t="s">
        <v>837</v>
      </c>
      <c r="F1755" s="21" t="s">
        <v>724</v>
      </c>
      <c r="G1755" s="21" t="s">
        <v>833</v>
      </c>
    </row>
    <row r="1756" customFormat="false" ht="15" hidden="false" customHeight="false" outlineLevel="0" collapsed="false">
      <c r="B1756" s="19" t="s">
        <v>2755</v>
      </c>
      <c r="C1756" s="20" t="n">
        <f aca="false">ROUND(0.65/FX,2)</f>
        <v>0.09</v>
      </c>
      <c r="D1756" s="21" t="s">
        <v>2751</v>
      </c>
      <c r="E1756" s="21" t="s">
        <v>839</v>
      </c>
      <c r="F1756" s="21" t="s">
        <v>724</v>
      </c>
      <c r="G1756" s="21" t="s">
        <v>833</v>
      </c>
    </row>
    <row r="1757" customFormat="false" ht="15" hidden="false" customHeight="false" outlineLevel="0" collapsed="false">
      <c r="B1757" s="19" t="s">
        <v>2756</v>
      </c>
      <c r="C1757" s="20" t="n">
        <f aca="false">ROUND(0.73/FX,2)</f>
        <v>0.1</v>
      </c>
      <c r="D1757" s="21" t="s">
        <v>2751</v>
      </c>
      <c r="E1757" s="21" t="s">
        <v>841</v>
      </c>
      <c r="F1757" s="21" t="s">
        <v>724</v>
      </c>
      <c r="G1757" s="21" t="s">
        <v>833</v>
      </c>
    </row>
    <row r="1758" customFormat="false" ht="15" hidden="false" customHeight="false" outlineLevel="0" collapsed="false">
      <c r="B1758" s="19" t="s">
        <v>2757</v>
      </c>
      <c r="C1758" s="20" t="n">
        <f aca="false">ROUND(1.14/FX,2)</f>
        <v>0.16</v>
      </c>
      <c r="D1758" s="21" t="s">
        <v>2751</v>
      </c>
      <c r="E1758" s="21" t="s">
        <v>789</v>
      </c>
      <c r="F1758" s="21" t="s">
        <v>724</v>
      </c>
      <c r="G1758" s="21" t="s">
        <v>833</v>
      </c>
    </row>
    <row r="1759" customFormat="false" ht="15" hidden="false" customHeight="false" outlineLevel="0" collapsed="false">
      <c r="B1759" s="19" t="s">
        <v>2758</v>
      </c>
      <c r="C1759" s="20" t="n">
        <f aca="false">ROUND(0.85/FX,2)</f>
        <v>0.12</v>
      </c>
      <c r="D1759" s="21" t="s">
        <v>2751</v>
      </c>
      <c r="E1759" s="21" t="s">
        <v>716</v>
      </c>
      <c r="F1759" s="21" t="s">
        <v>724</v>
      </c>
      <c r="G1759" s="21" t="s">
        <v>833</v>
      </c>
    </row>
    <row r="1760" customFormat="false" ht="15" hidden="false" customHeight="false" outlineLevel="0" collapsed="false">
      <c r="B1760" s="19" t="s">
        <v>2759</v>
      </c>
      <c r="C1760" s="20" t="n">
        <f aca="false">ROUND(1.14/FX,2)</f>
        <v>0.16</v>
      </c>
      <c r="D1760" s="21" t="s">
        <v>2751</v>
      </c>
      <c r="E1760" s="21" t="s">
        <v>719</v>
      </c>
      <c r="F1760" s="21" t="s">
        <v>724</v>
      </c>
      <c r="G1760" s="21" t="s">
        <v>833</v>
      </c>
    </row>
    <row r="1761" customFormat="false" ht="15" hidden="false" customHeight="false" outlineLevel="0" collapsed="false">
      <c r="B1761" s="19" t="s">
        <v>2760</v>
      </c>
      <c r="C1761" s="20" t="n">
        <f aca="false">ROUND(1.82/FX,2)</f>
        <v>0.25</v>
      </c>
      <c r="D1761" s="21" t="s">
        <v>2761</v>
      </c>
      <c r="E1761" s="21" t="s">
        <v>707</v>
      </c>
      <c r="F1761" s="21" t="s">
        <v>724</v>
      </c>
      <c r="G1761" s="21" t="s">
        <v>833</v>
      </c>
    </row>
    <row r="1762" customFormat="false" ht="15" hidden="false" customHeight="false" outlineLevel="0" collapsed="false">
      <c r="B1762" s="19" t="s">
        <v>2762</v>
      </c>
      <c r="C1762" s="20" t="n">
        <f aca="false">ROUND(1.14/FX,2)</f>
        <v>0.16</v>
      </c>
      <c r="D1762" s="21" t="s">
        <v>2761</v>
      </c>
      <c r="E1762" s="21" t="s">
        <v>761</v>
      </c>
      <c r="F1762" s="21" t="s">
        <v>724</v>
      </c>
      <c r="G1762" s="21" t="s">
        <v>833</v>
      </c>
    </row>
    <row r="1763" customFormat="false" ht="15" hidden="false" customHeight="false" outlineLevel="0" collapsed="false">
      <c r="B1763" s="19" t="s">
        <v>2763</v>
      </c>
      <c r="C1763" s="20" t="n">
        <f aca="false">ROUND(1.14/FX,2)</f>
        <v>0.16</v>
      </c>
      <c r="D1763" s="21" t="s">
        <v>2761</v>
      </c>
      <c r="E1763" s="21" t="s">
        <v>714</v>
      </c>
      <c r="F1763" s="21" t="s">
        <v>724</v>
      </c>
      <c r="G1763" s="21" t="s">
        <v>833</v>
      </c>
    </row>
    <row r="1764" customFormat="false" ht="15" hidden="false" customHeight="false" outlineLevel="0" collapsed="false">
      <c r="B1764" s="19" t="s">
        <v>2764</v>
      </c>
      <c r="C1764" s="20" t="n">
        <f aca="false">ROUND(0.59/FX,2)</f>
        <v>0.08</v>
      </c>
      <c r="D1764" s="21" t="s">
        <v>2761</v>
      </c>
      <c r="E1764" s="21" t="s">
        <v>837</v>
      </c>
      <c r="F1764" s="21" t="s">
        <v>724</v>
      </c>
      <c r="G1764" s="21" t="s">
        <v>833</v>
      </c>
    </row>
    <row r="1765" customFormat="false" ht="15" hidden="false" customHeight="false" outlineLevel="0" collapsed="false">
      <c r="B1765" s="19" t="s">
        <v>2765</v>
      </c>
      <c r="C1765" s="20" t="n">
        <f aca="false">ROUND(0.65/FX,2)</f>
        <v>0.09</v>
      </c>
      <c r="D1765" s="21" t="s">
        <v>2761</v>
      </c>
      <c r="E1765" s="21" t="s">
        <v>839</v>
      </c>
      <c r="F1765" s="21" t="s">
        <v>724</v>
      </c>
      <c r="G1765" s="21" t="s">
        <v>833</v>
      </c>
    </row>
    <row r="1766" customFormat="false" ht="15" hidden="false" customHeight="false" outlineLevel="0" collapsed="false">
      <c r="B1766" s="19" t="s">
        <v>2766</v>
      </c>
      <c r="C1766" s="20" t="n">
        <f aca="false">ROUND(1.14/FX,2)</f>
        <v>0.16</v>
      </c>
      <c r="D1766" s="21" t="s">
        <v>2761</v>
      </c>
      <c r="E1766" s="21" t="s">
        <v>841</v>
      </c>
      <c r="F1766" s="21" t="s">
        <v>724</v>
      </c>
      <c r="G1766" s="21" t="s">
        <v>833</v>
      </c>
    </row>
    <row r="1767" customFormat="false" ht="15" hidden="false" customHeight="false" outlineLevel="0" collapsed="false">
      <c r="B1767" s="19" t="s">
        <v>2767</v>
      </c>
      <c r="C1767" s="20" t="n">
        <f aca="false">ROUND(1.14/FX,2)</f>
        <v>0.16</v>
      </c>
      <c r="D1767" s="21" t="s">
        <v>2761</v>
      </c>
      <c r="E1767" s="21" t="s">
        <v>789</v>
      </c>
      <c r="F1767" s="21" t="s">
        <v>724</v>
      </c>
      <c r="G1767" s="21" t="s">
        <v>833</v>
      </c>
    </row>
    <row r="1768" customFormat="false" ht="15" hidden="false" customHeight="false" outlineLevel="0" collapsed="false">
      <c r="B1768" s="19" t="s">
        <v>2768</v>
      </c>
      <c r="C1768" s="20" t="n">
        <f aca="false">ROUND(0.85/FX,2)</f>
        <v>0.12</v>
      </c>
      <c r="D1768" s="21" t="s">
        <v>2761</v>
      </c>
      <c r="E1768" s="21" t="s">
        <v>716</v>
      </c>
      <c r="F1768" s="21" t="s">
        <v>724</v>
      </c>
      <c r="G1768" s="21" t="s">
        <v>833</v>
      </c>
    </row>
    <row r="1769" customFormat="false" ht="15" hidden="false" customHeight="false" outlineLevel="0" collapsed="false">
      <c r="B1769" s="19" t="s">
        <v>2769</v>
      </c>
      <c r="C1769" s="20" t="n">
        <f aca="false">ROUND(1.14/FX,2)</f>
        <v>0.16</v>
      </c>
      <c r="D1769" s="21" t="s">
        <v>2761</v>
      </c>
      <c r="E1769" s="21" t="s">
        <v>719</v>
      </c>
      <c r="F1769" s="21" t="s">
        <v>724</v>
      </c>
      <c r="G1769" s="21" t="s">
        <v>833</v>
      </c>
    </row>
    <row r="1770" customFormat="false" ht="15" hidden="false" customHeight="false" outlineLevel="0" collapsed="false">
      <c r="B1770" s="19" t="s">
        <v>2770</v>
      </c>
      <c r="C1770" s="20" t="n">
        <f aca="false">ROUND(1.82/FX,2)</f>
        <v>0.25</v>
      </c>
      <c r="D1770" s="21" t="s">
        <v>2771</v>
      </c>
      <c r="E1770" s="21" t="s">
        <v>707</v>
      </c>
      <c r="F1770" s="21" t="s">
        <v>724</v>
      </c>
      <c r="G1770" s="21" t="s">
        <v>833</v>
      </c>
    </row>
    <row r="1771" customFormat="false" ht="15" hidden="false" customHeight="false" outlineLevel="0" collapsed="false">
      <c r="B1771" s="19" t="s">
        <v>2772</v>
      </c>
      <c r="C1771" s="20" t="n">
        <f aca="false">ROUND(1.14/FX,2)</f>
        <v>0.16</v>
      </c>
      <c r="D1771" s="21" t="s">
        <v>2771</v>
      </c>
      <c r="E1771" s="21" t="s">
        <v>761</v>
      </c>
      <c r="F1771" s="21" t="s">
        <v>724</v>
      </c>
      <c r="G1771" s="21" t="s">
        <v>833</v>
      </c>
    </row>
    <row r="1772" customFormat="false" ht="15" hidden="false" customHeight="false" outlineLevel="0" collapsed="false">
      <c r="B1772" s="19" t="s">
        <v>2773</v>
      </c>
      <c r="C1772" s="20" t="n">
        <f aca="false">ROUND(1.14/FX,2)</f>
        <v>0.16</v>
      </c>
      <c r="D1772" s="21" t="s">
        <v>2771</v>
      </c>
      <c r="E1772" s="21" t="s">
        <v>714</v>
      </c>
      <c r="F1772" s="21" t="s">
        <v>724</v>
      </c>
      <c r="G1772" s="21" t="s">
        <v>833</v>
      </c>
    </row>
    <row r="1773" customFormat="false" ht="15" hidden="false" customHeight="false" outlineLevel="0" collapsed="false">
      <c r="B1773" s="19" t="s">
        <v>2774</v>
      </c>
      <c r="C1773" s="20" t="n">
        <f aca="false">ROUND(0.59/FX,2)</f>
        <v>0.08</v>
      </c>
      <c r="D1773" s="21" t="s">
        <v>2771</v>
      </c>
      <c r="E1773" s="21" t="s">
        <v>837</v>
      </c>
      <c r="F1773" s="21" t="s">
        <v>724</v>
      </c>
      <c r="G1773" s="21" t="s">
        <v>833</v>
      </c>
    </row>
    <row r="1774" customFormat="false" ht="15" hidden="false" customHeight="false" outlineLevel="0" collapsed="false">
      <c r="B1774" s="19" t="s">
        <v>2775</v>
      </c>
      <c r="C1774" s="20" t="n">
        <f aca="false">ROUND(0.65/FX,2)</f>
        <v>0.09</v>
      </c>
      <c r="D1774" s="21" t="s">
        <v>2771</v>
      </c>
      <c r="E1774" s="21" t="s">
        <v>839</v>
      </c>
      <c r="F1774" s="21" t="s">
        <v>724</v>
      </c>
      <c r="G1774" s="21" t="s">
        <v>833</v>
      </c>
    </row>
    <row r="1775" customFormat="false" ht="15" hidden="false" customHeight="false" outlineLevel="0" collapsed="false">
      <c r="B1775" s="19" t="s">
        <v>2776</v>
      </c>
      <c r="C1775" s="20" t="n">
        <f aca="false">ROUND(1.14/FX,2)</f>
        <v>0.16</v>
      </c>
      <c r="D1775" s="21" t="s">
        <v>2771</v>
      </c>
      <c r="E1775" s="21" t="s">
        <v>841</v>
      </c>
      <c r="F1775" s="21" t="s">
        <v>724</v>
      </c>
      <c r="G1775" s="21" t="s">
        <v>833</v>
      </c>
    </row>
    <row r="1776" customFormat="false" ht="15" hidden="false" customHeight="false" outlineLevel="0" collapsed="false">
      <c r="B1776" s="19" t="s">
        <v>2777</v>
      </c>
      <c r="C1776" s="20" t="n">
        <f aca="false">ROUND(1.14/FX,2)</f>
        <v>0.16</v>
      </c>
      <c r="D1776" s="21" t="s">
        <v>2771</v>
      </c>
      <c r="E1776" s="21" t="s">
        <v>789</v>
      </c>
      <c r="F1776" s="21" t="s">
        <v>724</v>
      </c>
      <c r="G1776" s="21" t="s">
        <v>833</v>
      </c>
    </row>
    <row r="1777" customFormat="false" ht="15" hidden="false" customHeight="false" outlineLevel="0" collapsed="false">
      <c r="B1777" s="19" t="s">
        <v>2778</v>
      </c>
      <c r="C1777" s="20" t="n">
        <f aca="false">ROUND(0.85/FX,2)</f>
        <v>0.12</v>
      </c>
      <c r="D1777" s="21" t="s">
        <v>2771</v>
      </c>
      <c r="E1777" s="21" t="s">
        <v>716</v>
      </c>
      <c r="F1777" s="21" t="s">
        <v>724</v>
      </c>
      <c r="G1777" s="21" t="s">
        <v>833</v>
      </c>
    </row>
    <row r="1778" customFormat="false" ht="15" hidden="false" customHeight="false" outlineLevel="0" collapsed="false">
      <c r="B1778" s="19" t="s">
        <v>2779</v>
      </c>
      <c r="C1778" s="20" t="n">
        <f aca="false">ROUND(1.14/FX,2)</f>
        <v>0.16</v>
      </c>
      <c r="D1778" s="21" t="s">
        <v>2771</v>
      </c>
      <c r="E1778" s="21" t="s">
        <v>719</v>
      </c>
      <c r="F1778" s="21" t="s">
        <v>724</v>
      </c>
      <c r="G1778" s="21" t="s">
        <v>833</v>
      </c>
    </row>
    <row r="1779" customFormat="false" ht="15" hidden="false" customHeight="false" outlineLevel="0" collapsed="false">
      <c r="B1779" s="19" t="s">
        <v>2780</v>
      </c>
      <c r="C1779" s="20" t="n">
        <f aca="false">ROUND(1.82/FX,2)</f>
        <v>0.25</v>
      </c>
      <c r="D1779" s="21" t="s">
        <v>2781</v>
      </c>
      <c r="E1779" s="21" t="s">
        <v>707</v>
      </c>
      <c r="F1779" s="21" t="s">
        <v>724</v>
      </c>
      <c r="G1779" s="21" t="s">
        <v>833</v>
      </c>
    </row>
    <row r="1780" customFormat="false" ht="15" hidden="false" customHeight="false" outlineLevel="0" collapsed="false">
      <c r="B1780" s="19" t="s">
        <v>2782</v>
      </c>
      <c r="C1780" s="20" t="n">
        <f aca="false">ROUND(1.14/FX,2)</f>
        <v>0.16</v>
      </c>
      <c r="D1780" s="21" t="s">
        <v>2781</v>
      </c>
      <c r="E1780" s="21" t="s">
        <v>761</v>
      </c>
      <c r="F1780" s="21" t="s">
        <v>724</v>
      </c>
      <c r="G1780" s="21" t="s">
        <v>833</v>
      </c>
    </row>
    <row r="1781" customFormat="false" ht="15" hidden="false" customHeight="false" outlineLevel="0" collapsed="false">
      <c r="B1781" s="19" t="s">
        <v>2783</v>
      </c>
      <c r="C1781" s="20" t="n">
        <f aca="false">ROUND(1.14/FX,2)</f>
        <v>0.16</v>
      </c>
      <c r="D1781" s="21" t="s">
        <v>2781</v>
      </c>
      <c r="E1781" s="21" t="s">
        <v>714</v>
      </c>
      <c r="F1781" s="21" t="s">
        <v>724</v>
      </c>
      <c r="G1781" s="21" t="s">
        <v>833</v>
      </c>
    </row>
    <row r="1782" customFormat="false" ht="15" hidden="false" customHeight="false" outlineLevel="0" collapsed="false">
      <c r="B1782" s="19" t="s">
        <v>2784</v>
      </c>
      <c r="C1782" s="20" t="n">
        <f aca="false">ROUND(0.59/FX,2)</f>
        <v>0.08</v>
      </c>
      <c r="D1782" s="21" t="s">
        <v>2781</v>
      </c>
      <c r="E1782" s="21" t="s">
        <v>837</v>
      </c>
      <c r="F1782" s="21" t="s">
        <v>724</v>
      </c>
      <c r="G1782" s="21" t="s">
        <v>833</v>
      </c>
    </row>
    <row r="1783" customFormat="false" ht="15" hidden="false" customHeight="false" outlineLevel="0" collapsed="false">
      <c r="B1783" s="19" t="s">
        <v>2785</v>
      </c>
      <c r="C1783" s="20" t="n">
        <f aca="false">ROUND(1.14/FX,2)</f>
        <v>0.16</v>
      </c>
      <c r="D1783" s="21" t="s">
        <v>2781</v>
      </c>
      <c r="E1783" s="21" t="s">
        <v>839</v>
      </c>
      <c r="F1783" s="21" t="s">
        <v>724</v>
      </c>
      <c r="G1783" s="21" t="s">
        <v>833</v>
      </c>
    </row>
    <row r="1784" customFormat="false" ht="15" hidden="false" customHeight="false" outlineLevel="0" collapsed="false">
      <c r="B1784" s="19" t="s">
        <v>2786</v>
      </c>
      <c r="C1784" s="20" t="n">
        <f aca="false">ROUND(1.14/FX,2)</f>
        <v>0.16</v>
      </c>
      <c r="D1784" s="21" t="s">
        <v>2781</v>
      </c>
      <c r="E1784" s="21" t="s">
        <v>841</v>
      </c>
      <c r="F1784" s="21" t="s">
        <v>724</v>
      </c>
      <c r="G1784" s="21" t="s">
        <v>833</v>
      </c>
    </row>
    <row r="1785" customFormat="false" ht="15" hidden="false" customHeight="false" outlineLevel="0" collapsed="false">
      <c r="B1785" s="19" t="s">
        <v>2787</v>
      </c>
      <c r="C1785" s="20" t="n">
        <f aca="false">ROUND(1.14/FX,2)</f>
        <v>0.16</v>
      </c>
      <c r="D1785" s="21" t="s">
        <v>2781</v>
      </c>
      <c r="E1785" s="21" t="s">
        <v>789</v>
      </c>
      <c r="F1785" s="21" t="s">
        <v>724</v>
      </c>
      <c r="G1785" s="21" t="s">
        <v>833</v>
      </c>
    </row>
    <row r="1786" customFormat="false" ht="15" hidden="false" customHeight="false" outlineLevel="0" collapsed="false">
      <c r="B1786" s="19" t="s">
        <v>2788</v>
      </c>
      <c r="C1786" s="20" t="n">
        <f aca="false">ROUND(0.84/FX,2)</f>
        <v>0.12</v>
      </c>
      <c r="D1786" s="21" t="s">
        <v>2781</v>
      </c>
      <c r="E1786" s="21" t="s">
        <v>716</v>
      </c>
      <c r="F1786" s="21" t="s">
        <v>724</v>
      </c>
      <c r="G1786" s="21" t="s">
        <v>833</v>
      </c>
    </row>
    <row r="1787" customFormat="false" ht="15" hidden="false" customHeight="false" outlineLevel="0" collapsed="false">
      <c r="B1787" s="19" t="s">
        <v>2789</v>
      </c>
      <c r="C1787" s="20" t="n">
        <f aca="false">ROUND(1.14/FX,2)</f>
        <v>0.16</v>
      </c>
      <c r="D1787" s="21" t="s">
        <v>2781</v>
      </c>
      <c r="E1787" s="21" t="s">
        <v>719</v>
      </c>
      <c r="F1787" s="21" t="s">
        <v>724</v>
      </c>
      <c r="G1787" s="21" t="s">
        <v>833</v>
      </c>
    </row>
    <row r="1788" customFormat="false" ht="15" hidden="false" customHeight="false" outlineLevel="0" collapsed="false">
      <c r="B1788" s="19" t="s">
        <v>2790</v>
      </c>
      <c r="C1788" s="20" t="n">
        <f aca="false">ROUND(1.82/FX,2)</f>
        <v>0.25</v>
      </c>
      <c r="D1788" s="21" t="s">
        <v>2791</v>
      </c>
      <c r="E1788" s="21" t="s">
        <v>707</v>
      </c>
      <c r="F1788" s="21" t="s">
        <v>724</v>
      </c>
      <c r="G1788" s="21" t="s">
        <v>833</v>
      </c>
    </row>
    <row r="1789" customFormat="false" ht="15" hidden="false" customHeight="false" outlineLevel="0" collapsed="false">
      <c r="B1789" s="19" t="s">
        <v>2792</v>
      </c>
      <c r="C1789" s="20" t="n">
        <f aca="false">ROUND(1.14/FX,2)</f>
        <v>0.16</v>
      </c>
      <c r="D1789" s="21" t="s">
        <v>2791</v>
      </c>
      <c r="E1789" s="21" t="s">
        <v>761</v>
      </c>
      <c r="F1789" s="21" t="s">
        <v>724</v>
      </c>
      <c r="G1789" s="21" t="s">
        <v>833</v>
      </c>
    </row>
    <row r="1790" customFormat="false" ht="15" hidden="false" customHeight="false" outlineLevel="0" collapsed="false">
      <c r="B1790" s="19" t="s">
        <v>2793</v>
      </c>
      <c r="C1790" s="20" t="n">
        <f aca="false">ROUND(1.14/FX,2)</f>
        <v>0.16</v>
      </c>
      <c r="D1790" s="21" t="s">
        <v>2791</v>
      </c>
      <c r="E1790" s="21" t="s">
        <v>714</v>
      </c>
      <c r="F1790" s="21" t="s">
        <v>724</v>
      </c>
      <c r="G1790" s="21" t="s">
        <v>833</v>
      </c>
    </row>
    <row r="1791" customFormat="false" ht="15" hidden="false" customHeight="false" outlineLevel="0" collapsed="false">
      <c r="B1791" s="19" t="s">
        <v>2794</v>
      </c>
      <c r="C1791" s="20" t="n">
        <f aca="false">ROUND(0.59/FX,2)</f>
        <v>0.08</v>
      </c>
      <c r="D1791" s="21" t="s">
        <v>2791</v>
      </c>
      <c r="E1791" s="21" t="s">
        <v>837</v>
      </c>
      <c r="F1791" s="21" t="s">
        <v>724</v>
      </c>
      <c r="G1791" s="21" t="s">
        <v>833</v>
      </c>
    </row>
    <row r="1792" customFormat="false" ht="15" hidden="false" customHeight="false" outlineLevel="0" collapsed="false">
      <c r="B1792" s="19" t="s">
        <v>2795</v>
      </c>
      <c r="C1792" s="20" t="n">
        <f aca="false">ROUND(1.14/FX,2)</f>
        <v>0.16</v>
      </c>
      <c r="D1792" s="21" t="s">
        <v>2791</v>
      </c>
      <c r="E1792" s="21" t="s">
        <v>839</v>
      </c>
      <c r="F1792" s="21" t="s">
        <v>724</v>
      </c>
      <c r="G1792" s="21" t="s">
        <v>833</v>
      </c>
    </row>
    <row r="1793" customFormat="false" ht="15" hidden="false" customHeight="false" outlineLevel="0" collapsed="false">
      <c r="B1793" s="19" t="s">
        <v>2796</v>
      </c>
      <c r="C1793" s="20" t="n">
        <f aca="false">ROUND(0.56/FX,2)</f>
        <v>0.08</v>
      </c>
      <c r="D1793" s="21" t="s">
        <v>2791</v>
      </c>
      <c r="E1793" s="21" t="s">
        <v>841</v>
      </c>
      <c r="F1793" s="21" t="s">
        <v>724</v>
      </c>
      <c r="G1793" s="21" t="s">
        <v>833</v>
      </c>
    </row>
    <row r="1794" customFormat="false" ht="15" hidden="false" customHeight="false" outlineLevel="0" collapsed="false">
      <c r="B1794" s="19" t="s">
        <v>2797</v>
      </c>
      <c r="C1794" s="20" t="n">
        <f aca="false">ROUND(1.14/FX,2)</f>
        <v>0.16</v>
      </c>
      <c r="D1794" s="21" t="s">
        <v>2791</v>
      </c>
      <c r="E1794" s="21" t="s">
        <v>789</v>
      </c>
      <c r="F1794" s="21" t="s">
        <v>724</v>
      </c>
      <c r="G1794" s="21" t="s">
        <v>833</v>
      </c>
    </row>
    <row r="1795" customFormat="false" ht="15" hidden="false" customHeight="false" outlineLevel="0" collapsed="false">
      <c r="B1795" s="19" t="s">
        <v>2798</v>
      </c>
      <c r="C1795" s="20" t="n">
        <f aca="false">ROUND(0.85/FX,2)</f>
        <v>0.12</v>
      </c>
      <c r="D1795" s="21" t="s">
        <v>2791</v>
      </c>
      <c r="E1795" s="21" t="s">
        <v>716</v>
      </c>
      <c r="F1795" s="21" t="s">
        <v>724</v>
      </c>
      <c r="G1795" s="21" t="s">
        <v>833</v>
      </c>
    </row>
    <row r="1796" customFormat="false" ht="15" hidden="false" customHeight="false" outlineLevel="0" collapsed="false">
      <c r="B1796" s="19" t="s">
        <v>2799</v>
      </c>
      <c r="C1796" s="20" t="n">
        <f aca="false">ROUND(1.14/FX,2)</f>
        <v>0.16</v>
      </c>
      <c r="D1796" s="21" t="s">
        <v>2791</v>
      </c>
      <c r="E1796" s="21" t="s">
        <v>719</v>
      </c>
      <c r="F1796" s="21" t="s">
        <v>724</v>
      </c>
      <c r="G1796" s="21" t="s">
        <v>833</v>
      </c>
    </row>
    <row r="1797" customFormat="false" ht="15" hidden="false" customHeight="false" outlineLevel="0" collapsed="false">
      <c r="B1797" s="19" t="s">
        <v>2800</v>
      </c>
      <c r="C1797" s="20" t="n">
        <f aca="false">ROUND(1.47/FX,2)</f>
        <v>0.2</v>
      </c>
      <c r="D1797" s="21" t="s">
        <v>2801</v>
      </c>
      <c r="E1797" s="21" t="s">
        <v>707</v>
      </c>
      <c r="F1797" s="21" t="s">
        <v>724</v>
      </c>
      <c r="G1797" s="21" t="s">
        <v>833</v>
      </c>
    </row>
    <row r="1798" customFormat="false" ht="15" hidden="false" customHeight="false" outlineLevel="0" collapsed="false">
      <c r="B1798" s="19" t="s">
        <v>2802</v>
      </c>
      <c r="C1798" s="20" t="n">
        <f aca="false">ROUND(1.14/FX,2)</f>
        <v>0.16</v>
      </c>
      <c r="D1798" s="21" t="s">
        <v>2801</v>
      </c>
      <c r="E1798" s="21" t="s">
        <v>761</v>
      </c>
      <c r="F1798" s="21" t="s">
        <v>724</v>
      </c>
      <c r="G1798" s="21" t="s">
        <v>833</v>
      </c>
    </row>
    <row r="1799" customFormat="false" ht="15" hidden="false" customHeight="false" outlineLevel="0" collapsed="false">
      <c r="B1799" s="19" t="s">
        <v>2803</v>
      </c>
      <c r="C1799" s="20" t="n">
        <f aca="false">ROUND(2.93/FX,2)</f>
        <v>0.41</v>
      </c>
      <c r="D1799" s="21" t="s">
        <v>2801</v>
      </c>
      <c r="E1799" s="21" t="s">
        <v>714</v>
      </c>
      <c r="F1799" s="21" t="s">
        <v>724</v>
      </c>
      <c r="G1799" s="21" t="s">
        <v>833</v>
      </c>
    </row>
    <row r="1800" customFormat="false" ht="15" hidden="false" customHeight="false" outlineLevel="0" collapsed="false">
      <c r="B1800" s="19" t="s">
        <v>2804</v>
      </c>
      <c r="C1800" s="20" t="n">
        <f aca="false">ROUND(0.59/FX,2)</f>
        <v>0.08</v>
      </c>
      <c r="D1800" s="21" t="s">
        <v>2801</v>
      </c>
      <c r="E1800" s="21" t="s">
        <v>837</v>
      </c>
      <c r="F1800" s="21" t="s">
        <v>724</v>
      </c>
      <c r="G1800" s="21" t="s">
        <v>833</v>
      </c>
    </row>
    <row r="1801" customFormat="false" ht="15" hidden="false" customHeight="false" outlineLevel="0" collapsed="false">
      <c r="B1801" s="19" t="s">
        <v>2805</v>
      </c>
      <c r="C1801" s="20" t="n">
        <f aca="false">ROUND(1.14/FX,2)</f>
        <v>0.16</v>
      </c>
      <c r="D1801" s="21" t="s">
        <v>2801</v>
      </c>
      <c r="E1801" s="21" t="s">
        <v>839</v>
      </c>
      <c r="F1801" s="21" t="s">
        <v>724</v>
      </c>
      <c r="G1801" s="21" t="s">
        <v>833</v>
      </c>
    </row>
    <row r="1802" customFormat="false" ht="15" hidden="false" customHeight="false" outlineLevel="0" collapsed="false">
      <c r="B1802" s="19" t="s">
        <v>2806</v>
      </c>
      <c r="C1802" s="20" t="n">
        <f aca="false">ROUND(1.14/FX,2)</f>
        <v>0.16</v>
      </c>
      <c r="D1802" s="21" t="s">
        <v>2801</v>
      </c>
      <c r="E1802" s="21" t="s">
        <v>841</v>
      </c>
      <c r="F1802" s="21" t="s">
        <v>724</v>
      </c>
      <c r="G1802" s="21" t="s">
        <v>833</v>
      </c>
    </row>
    <row r="1803" customFormat="false" ht="15" hidden="false" customHeight="false" outlineLevel="0" collapsed="false">
      <c r="B1803" s="19" t="s">
        <v>2807</v>
      </c>
      <c r="C1803" s="20" t="n">
        <f aca="false">ROUND(0.78/FX,2)</f>
        <v>0.11</v>
      </c>
      <c r="D1803" s="21" t="s">
        <v>2801</v>
      </c>
      <c r="E1803" s="21" t="s">
        <v>789</v>
      </c>
      <c r="F1803" s="21" t="s">
        <v>724</v>
      </c>
      <c r="G1803" s="21" t="s">
        <v>833</v>
      </c>
    </row>
    <row r="1804" customFormat="false" ht="15" hidden="false" customHeight="false" outlineLevel="0" collapsed="false">
      <c r="B1804" s="19" t="s">
        <v>2808</v>
      </c>
      <c r="C1804" s="20" t="n">
        <f aca="false">ROUND(0.84/FX,2)</f>
        <v>0.12</v>
      </c>
      <c r="D1804" s="21" t="s">
        <v>2801</v>
      </c>
      <c r="E1804" s="21" t="s">
        <v>716</v>
      </c>
      <c r="F1804" s="21" t="s">
        <v>724</v>
      </c>
      <c r="G1804" s="21" t="s">
        <v>833</v>
      </c>
    </row>
    <row r="1805" customFormat="false" ht="15" hidden="false" customHeight="false" outlineLevel="0" collapsed="false">
      <c r="B1805" s="19" t="s">
        <v>2809</v>
      </c>
      <c r="C1805" s="20" t="n">
        <f aca="false">ROUND(1.14/FX,2)</f>
        <v>0.16</v>
      </c>
      <c r="D1805" s="21" t="s">
        <v>2801</v>
      </c>
      <c r="E1805" s="21" t="s">
        <v>719</v>
      </c>
      <c r="F1805" s="21" t="s">
        <v>724</v>
      </c>
      <c r="G1805" s="21" t="s">
        <v>833</v>
      </c>
    </row>
    <row r="1806" customFormat="false" ht="15" hidden="false" customHeight="false" outlineLevel="0" collapsed="false">
      <c r="B1806" s="19" t="s">
        <v>2810</v>
      </c>
      <c r="C1806" s="20" t="n">
        <f aca="false">ROUND(1.63/FX,2)</f>
        <v>0.23</v>
      </c>
      <c r="D1806" s="21" t="s">
        <v>2811</v>
      </c>
      <c r="E1806" s="21" t="s">
        <v>707</v>
      </c>
      <c r="F1806" s="21" t="s">
        <v>724</v>
      </c>
      <c r="G1806" s="21" t="s">
        <v>833</v>
      </c>
    </row>
    <row r="1807" customFormat="false" ht="15" hidden="false" customHeight="false" outlineLevel="0" collapsed="false">
      <c r="B1807" s="19" t="s">
        <v>2812</v>
      </c>
      <c r="C1807" s="20" t="n">
        <f aca="false">ROUND(1.14/FX,2)</f>
        <v>0.16</v>
      </c>
      <c r="D1807" s="21" t="s">
        <v>2811</v>
      </c>
      <c r="E1807" s="21" t="s">
        <v>761</v>
      </c>
      <c r="F1807" s="21" t="s">
        <v>724</v>
      </c>
      <c r="G1807" s="21" t="s">
        <v>833</v>
      </c>
    </row>
    <row r="1808" customFormat="false" ht="15" hidden="false" customHeight="false" outlineLevel="0" collapsed="false">
      <c r="B1808" s="19" t="s">
        <v>2813</v>
      </c>
      <c r="C1808" s="20" t="n">
        <f aca="false">ROUND(2.93/FX,2)</f>
        <v>0.41</v>
      </c>
      <c r="D1808" s="21" t="s">
        <v>2811</v>
      </c>
      <c r="E1808" s="21" t="s">
        <v>714</v>
      </c>
      <c r="F1808" s="21" t="s">
        <v>724</v>
      </c>
      <c r="G1808" s="21" t="s">
        <v>833</v>
      </c>
    </row>
    <row r="1809" customFormat="false" ht="15" hidden="false" customHeight="false" outlineLevel="0" collapsed="false">
      <c r="B1809" s="19" t="s">
        <v>2814</v>
      </c>
      <c r="C1809" s="20" t="n">
        <f aca="false">ROUND(0.59/FX,2)</f>
        <v>0.08</v>
      </c>
      <c r="D1809" s="21" t="s">
        <v>2811</v>
      </c>
      <c r="E1809" s="21" t="s">
        <v>837</v>
      </c>
      <c r="F1809" s="21" t="s">
        <v>724</v>
      </c>
      <c r="G1809" s="21" t="s">
        <v>833</v>
      </c>
    </row>
    <row r="1810" customFormat="false" ht="15" hidden="false" customHeight="false" outlineLevel="0" collapsed="false">
      <c r="B1810" s="19" t="s">
        <v>2815</v>
      </c>
      <c r="C1810" s="20" t="n">
        <f aca="false">ROUND(1.14/FX,2)</f>
        <v>0.16</v>
      </c>
      <c r="D1810" s="21" t="s">
        <v>2811</v>
      </c>
      <c r="E1810" s="21" t="s">
        <v>839</v>
      </c>
      <c r="F1810" s="21" t="s">
        <v>724</v>
      </c>
      <c r="G1810" s="21" t="s">
        <v>833</v>
      </c>
    </row>
    <row r="1811" customFormat="false" ht="15" hidden="false" customHeight="false" outlineLevel="0" collapsed="false">
      <c r="B1811" s="19" t="s">
        <v>2816</v>
      </c>
      <c r="C1811" s="20" t="n">
        <f aca="false">ROUND(1.14/FX,2)</f>
        <v>0.16</v>
      </c>
      <c r="D1811" s="21" t="s">
        <v>2811</v>
      </c>
      <c r="E1811" s="21" t="s">
        <v>841</v>
      </c>
      <c r="F1811" s="21" t="s">
        <v>724</v>
      </c>
      <c r="G1811" s="21" t="s">
        <v>833</v>
      </c>
    </row>
    <row r="1812" customFormat="false" ht="15" hidden="false" customHeight="false" outlineLevel="0" collapsed="false">
      <c r="B1812" s="19" t="s">
        <v>2817</v>
      </c>
      <c r="C1812" s="20" t="n">
        <f aca="false">ROUND(0.74/FX,2)</f>
        <v>0.1</v>
      </c>
      <c r="D1812" s="21" t="s">
        <v>2811</v>
      </c>
      <c r="E1812" s="21" t="s">
        <v>789</v>
      </c>
      <c r="F1812" s="21" t="s">
        <v>724</v>
      </c>
      <c r="G1812" s="21" t="s">
        <v>833</v>
      </c>
    </row>
    <row r="1813" customFormat="false" ht="15" hidden="false" customHeight="false" outlineLevel="0" collapsed="false">
      <c r="B1813" s="19" t="s">
        <v>2818</v>
      </c>
      <c r="C1813" s="20" t="n">
        <f aca="false">ROUND(0.85/FX,2)</f>
        <v>0.12</v>
      </c>
      <c r="D1813" s="21" t="s">
        <v>2811</v>
      </c>
      <c r="E1813" s="21" t="s">
        <v>716</v>
      </c>
      <c r="F1813" s="21" t="s">
        <v>724</v>
      </c>
      <c r="G1813" s="21" t="s">
        <v>833</v>
      </c>
    </row>
    <row r="1814" customFormat="false" ht="15" hidden="false" customHeight="false" outlineLevel="0" collapsed="false">
      <c r="B1814" s="19" t="s">
        <v>2819</v>
      </c>
      <c r="C1814" s="20" t="n">
        <f aca="false">ROUND(1.14/FX,2)</f>
        <v>0.16</v>
      </c>
      <c r="D1814" s="21" t="s">
        <v>2811</v>
      </c>
      <c r="E1814" s="21" t="s">
        <v>719</v>
      </c>
      <c r="F1814" s="21" t="s">
        <v>724</v>
      </c>
      <c r="G1814" s="21" t="s">
        <v>833</v>
      </c>
    </row>
    <row r="1815" customFormat="false" ht="15" hidden="false" customHeight="false" outlineLevel="0" collapsed="false">
      <c r="B1815" s="19" t="s">
        <v>2820</v>
      </c>
      <c r="C1815" s="20" t="n">
        <f aca="false">ROUND(1.95/FX,2)</f>
        <v>0.27</v>
      </c>
      <c r="D1815" s="21" t="s">
        <v>2821</v>
      </c>
      <c r="E1815" s="21" t="s">
        <v>707</v>
      </c>
      <c r="F1815" s="21" t="s">
        <v>724</v>
      </c>
      <c r="G1815" s="21" t="s">
        <v>833</v>
      </c>
    </row>
    <row r="1816" customFormat="false" ht="15" hidden="false" customHeight="false" outlineLevel="0" collapsed="false">
      <c r="B1816" s="19" t="s">
        <v>2822</v>
      </c>
      <c r="C1816" s="20" t="n">
        <f aca="false">ROUND(1.14/FX,2)</f>
        <v>0.16</v>
      </c>
      <c r="D1816" s="21" t="s">
        <v>2821</v>
      </c>
      <c r="E1816" s="21" t="s">
        <v>761</v>
      </c>
      <c r="F1816" s="21" t="s">
        <v>724</v>
      </c>
      <c r="G1816" s="21" t="s">
        <v>833</v>
      </c>
    </row>
    <row r="1817" customFormat="false" ht="15" hidden="false" customHeight="false" outlineLevel="0" collapsed="false">
      <c r="B1817" s="19" t="s">
        <v>2823</v>
      </c>
      <c r="C1817" s="20" t="n">
        <f aca="false">ROUND(2.73/FX,2)</f>
        <v>0.38</v>
      </c>
      <c r="D1817" s="21" t="s">
        <v>2821</v>
      </c>
      <c r="E1817" s="21" t="s">
        <v>714</v>
      </c>
      <c r="F1817" s="21" t="s">
        <v>724</v>
      </c>
      <c r="G1817" s="21" t="s">
        <v>833</v>
      </c>
    </row>
    <row r="1818" customFormat="false" ht="15" hidden="false" customHeight="false" outlineLevel="0" collapsed="false">
      <c r="B1818" s="19" t="s">
        <v>2824</v>
      </c>
      <c r="C1818" s="20" t="n">
        <f aca="false">ROUND(0.59/FX,2)</f>
        <v>0.08</v>
      </c>
      <c r="D1818" s="21" t="s">
        <v>2821</v>
      </c>
      <c r="E1818" s="21" t="s">
        <v>837</v>
      </c>
      <c r="F1818" s="21" t="s">
        <v>724</v>
      </c>
      <c r="G1818" s="21" t="s">
        <v>833</v>
      </c>
    </row>
    <row r="1819" customFormat="false" ht="15" hidden="false" customHeight="false" outlineLevel="0" collapsed="false">
      <c r="B1819" s="19" t="s">
        <v>2825</v>
      </c>
      <c r="C1819" s="20" t="n">
        <f aca="false">ROUND(1.14/FX,2)</f>
        <v>0.16</v>
      </c>
      <c r="D1819" s="21" t="s">
        <v>2821</v>
      </c>
      <c r="E1819" s="21" t="s">
        <v>839</v>
      </c>
      <c r="F1819" s="21" t="s">
        <v>724</v>
      </c>
      <c r="G1819" s="21" t="s">
        <v>833</v>
      </c>
    </row>
    <row r="1820" customFormat="false" ht="15" hidden="false" customHeight="false" outlineLevel="0" collapsed="false">
      <c r="B1820" s="19" t="s">
        <v>2826</v>
      </c>
      <c r="C1820" s="20" t="n">
        <f aca="false">ROUND(1.14/FX,2)</f>
        <v>0.16</v>
      </c>
      <c r="D1820" s="21" t="s">
        <v>2821</v>
      </c>
      <c r="E1820" s="21" t="s">
        <v>841</v>
      </c>
      <c r="F1820" s="21" t="s">
        <v>724</v>
      </c>
      <c r="G1820" s="21" t="s">
        <v>833</v>
      </c>
    </row>
    <row r="1821" customFormat="false" ht="15" hidden="false" customHeight="false" outlineLevel="0" collapsed="false">
      <c r="B1821" s="19" t="s">
        <v>2827</v>
      </c>
      <c r="C1821" s="20" t="n">
        <f aca="false">ROUND(1.14/FX,2)</f>
        <v>0.16</v>
      </c>
      <c r="D1821" s="21" t="s">
        <v>2821</v>
      </c>
      <c r="E1821" s="21" t="s">
        <v>789</v>
      </c>
      <c r="F1821" s="21" t="s">
        <v>724</v>
      </c>
      <c r="G1821" s="21" t="s">
        <v>833</v>
      </c>
    </row>
    <row r="1822" customFormat="false" ht="15" hidden="false" customHeight="false" outlineLevel="0" collapsed="false">
      <c r="B1822" s="19" t="s">
        <v>2828</v>
      </c>
      <c r="C1822" s="20" t="n">
        <f aca="false">ROUND(0.84/FX,2)</f>
        <v>0.12</v>
      </c>
      <c r="D1822" s="21" t="s">
        <v>2821</v>
      </c>
      <c r="E1822" s="21" t="s">
        <v>716</v>
      </c>
      <c r="F1822" s="21" t="s">
        <v>724</v>
      </c>
      <c r="G1822" s="21" t="s">
        <v>833</v>
      </c>
    </row>
    <row r="1823" customFormat="false" ht="15" hidden="false" customHeight="false" outlineLevel="0" collapsed="false">
      <c r="B1823" s="19" t="s">
        <v>2829</v>
      </c>
      <c r="C1823" s="20" t="n">
        <f aca="false">ROUND(1.14/FX,2)</f>
        <v>0.16</v>
      </c>
      <c r="D1823" s="21" t="s">
        <v>2821</v>
      </c>
      <c r="E1823" s="21" t="s">
        <v>719</v>
      </c>
      <c r="F1823" s="21" t="s">
        <v>724</v>
      </c>
      <c r="G1823" s="21" t="s">
        <v>833</v>
      </c>
    </row>
    <row r="1824" customFormat="false" ht="15" hidden="false" customHeight="false" outlineLevel="0" collapsed="false">
      <c r="B1824" s="19" t="s">
        <v>2830</v>
      </c>
      <c r="C1824" s="20" t="n">
        <f aca="false">ROUND(1.82/FX,2)</f>
        <v>0.25</v>
      </c>
      <c r="D1824" s="21" t="s">
        <v>2831</v>
      </c>
      <c r="E1824" s="21" t="s">
        <v>707</v>
      </c>
      <c r="F1824" s="21" t="s">
        <v>724</v>
      </c>
      <c r="G1824" s="21" t="s">
        <v>833</v>
      </c>
    </row>
    <row r="1825" customFormat="false" ht="15" hidden="false" customHeight="false" outlineLevel="0" collapsed="false">
      <c r="B1825" s="19" t="s">
        <v>2832</v>
      </c>
      <c r="C1825" s="20" t="n">
        <f aca="false">ROUND(1.14/FX,2)</f>
        <v>0.16</v>
      </c>
      <c r="D1825" s="21" t="s">
        <v>2831</v>
      </c>
      <c r="E1825" s="21" t="s">
        <v>761</v>
      </c>
      <c r="F1825" s="21" t="s">
        <v>724</v>
      </c>
      <c r="G1825" s="21" t="s">
        <v>833</v>
      </c>
    </row>
    <row r="1826" customFormat="false" ht="15" hidden="false" customHeight="false" outlineLevel="0" collapsed="false">
      <c r="B1826" s="19" t="s">
        <v>2833</v>
      </c>
      <c r="C1826" s="20" t="n">
        <f aca="false">ROUND(1.14/FX,2)</f>
        <v>0.16</v>
      </c>
      <c r="D1826" s="21" t="s">
        <v>2831</v>
      </c>
      <c r="E1826" s="21" t="s">
        <v>714</v>
      </c>
      <c r="F1826" s="21" t="s">
        <v>724</v>
      </c>
      <c r="G1826" s="21" t="s">
        <v>833</v>
      </c>
    </row>
    <row r="1827" customFormat="false" ht="15" hidden="false" customHeight="false" outlineLevel="0" collapsed="false">
      <c r="B1827" s="19" t="s">
        <v>2834</v>
      </c>
      <c r="C1827" s="20" t="n">
        <f aca="false">ROUND(0.59/FX,2)</f>
        <v>0.08</v>
      </c>
      <c r="D1827" s="21" t="s">
        <v>2831</v>
      </c>
      <c r="E1827" s="21" t="s">
        <v>837</v>
      </c>
      <c r="F1827" s="21" t="s">
        <v>724</v>
      </c>
      <c r="G1827" s="21" t="s">
        <v>833</v>
      </c>
    </row>
    <row r="1828" customFormat="false" ht="15" hidden="false" customHeight="false" outlineLevel="0" collapsed="false">
      <c r="B1828" s="19" t="s">
        <v>2835</v>
      </c>
      <c r="C1828" s="20" t="n">
        <f aca="false">ROUND(1.14/FX,2)</f>
        <v>0.16</v>
      </c>
      <c r="D1828" s="21" t="s">
        <v>2831</v>
      </c>
      <c r="E1828" s="21" t="s">
        <v>839</v>
      </c>
      <c r="F1828" s="21" t="s">
        <v>724</v>
      </c>
      <c r="G1828" s="21" t="s">
        <v>833</v>
      </c>
    </row>
    <row r="1829" customFormat="false" ht="15" hidden="false" customHeight="false" outlineLevel="0" collapsed="false">
      <c r="B1829" s="19" t="s">
        <v>2836</v>
      </c>
      <c r="C1829" s="20" t="n">
        <f aca="false">ROUND(1.14/FX,2)</f>
        <v>0.16</v>
      </c>
      <c r="D1829" s="21" t="s">
        <v>2831</v>
      </c>
      <c r="E1829" s="21" t="s">
        <v>841</v>
      </c>
      <c r="F1829" s="21" t="s">
        <v>724</v>
      </c>
      <c r="G1829" s="21" t="s">
        <v>833</v>
      </c>
    </row>
    <row r="1830" customFormat="false" ht="15" hidden="false" customHeight="false" outlineLevel="0" collapsed="false">
      <c r="B1830" s="19" t="s">
        <v>2837</v>
      </c>
      <c r="C1830" s="20" t="n">
        <f aca="false">ROUND(1.14/FX,2)</f>
        <v>0.16</v>
      </c>
      <c r="D1830" s="21" t="s">
        <v>2831</v>
      </c>
      <c r="E1830" s="21" t="s">
        <v>789</v>
      </c>
      <c r="F1830" s="21" t="s">
        <v>724</v>
      </c>
      <c r="G1830" s="21" t="s">
        <v>833</v>
      </c>
    </row>
    <row r="1831" customFormat="false" ht="15" hidden="false" customHeight="false" outlineLevel="0" collapsed="false">
      <c r="B1831" s="19" t="s">
        <v>2838</v>
      </c>
      <c r="C1831" s="20" t="n">
        <f aca="false">ROUND(0.84/FX,2)</f>
        <v>0.12</v>
      </c>
      <c r="D1831" s="21" t="s">
        <v>2831</v>
      </c>
      <c r="E1831" s="21" t="s">
        <v>716</v>
      </c>
      <c r="F1831" s="21" t="s">
        <v>724</v>
      </c>
      <c r="G1831" s="21" t="s">
        <v>833</v>
      </c>
    </row>
    <row r="1832" customFormat="false" ht="15" hidden="false" customHeight="false" outlineLevel="0" collapsed="false">
      <c r="B1832" s="19" t="s">
        <v>2839</v>
      </c>
      <c r="C1832" s="20" t="n">
        <f aca="false">ROUND(1.14/FX,2)</f>
        <v>0.16</v>
      </c>
      <c r="D1832" s="21" t="s">
        <v>2831</v>
      </c>
      <c r="E1832" s="21" t="s">
        <v>719</v>
      </c>
      <c r="F1832" s="21" t="s">
        <v>724</v>
      </c>
      <c r="G1832" s="21" t="s">
        <v>833</v>
      </c>
    </row>
    <row r="1833" customFormat="false" ht="15" hidden="false" customHeight="false" outlineLevel="0" collapsed="false">
      <c r="B1833" s="19" t="s">
        <v>2840</v>
      </c>
      <c r="C1833" s="20" t="n">
        <f aca="false">ROUND(1.82/FX,2)</f>
        <v>0.25</v>
      </c>
      <c r="D1833" s="21" t="s">
        <v>2841</v>
      </c>
      <c r="E1833" s="21" t="s">
        <v>707</v>
      </c>
      <c r="F1833" s="21" t="s">
        <v>724</v>
      </c>
      <c r="G1833" s="21" t="s">
        <v>833</v>
      </c>
    </row>
    <row r="1834" customFormat="false" ht="15" hidden="false" customHeight="false" outlineLevel="0" collapsed="false">
      <c r="B1834" s="19" t="s">
        <v>2842</v>
      </c>
      <c r="C1834" s="20" t="n">
        <f aca="false">ROUND(1.14/FX,2)</f>
        <v>0.16</v>
      </c>
      <c r="D1834" s="21" t="s">
        <v>2841</v>
      </c>
      <c r="E1834" s="21" t="s">
        <v>761</v>
      </c>
      <c r="F1834" s="21" t="s">
        <v>724</v>
      </c>
      <c r="G1834" s="21" t="s">
        <v>833</v>
      </c>
    </row>
    <row r="1835" customFormat="false" ht="15" hidden="false" customHeight="false" outlineLevel="0" collapsed="false">
      <c r="B1835" s="19" t="s">
        <v>2843</v>
      </c>
      <c r="C1835" s="20" t="n">
        <f aca="false">ROUND(1.14/FX,2)</f>
        <v>0.16</v>
      </c>
      <c r="D1835" s="21" t="s">
        <v>2841</v>
      </c>
      <c r="E1835" s="21" t="s">
        <v>714</v>
      </c>
      <c r="F1835" s="21" t="s">
        <v>724</v>
      </c>
      <c r="G1835" s="21" t="s">
        <v>833</v>
      </c>
    </row>
    <row r="1836" customFormat="false" ht="15" hidden="false" customHeight="false" outlineLevel="0" collapsed="false">
      <c r="B1836" s="19" t="s">
        <v>2844</v>
      </c>
      <c r="C1836" s="20" t="n">
        <f aca="false">ROUND(0.59/FX,2)</f>
        <v>0.08</v>
      </c>
      <c r="D1836" s="21" t="s">
        <v>2841</v>
      </c>
      <c r="E1836" s="21" t="s">
        <v>837</v>
      </c>
      <c r="F1836" s="21" t="s">
        <v>724</v>
      </c>
      <c r="G1836" s="21" t="s">
        <v>833</v>
      </c>
    </row>
    <row r="1837" customFormat="false" ht="15" hidden="false" customHeight="false" outlineLevel="0" collapsed="false">
      <c r="B1837" s="19" t="s">
        <v>2845</v>
      </c>
      <c r="C1837" s="20" t="n">
        <f aca="false">ROUND(1.14/FX,2)</f>
        <v>0.16</v>
      </c>
      <c r="D1837" s="21" t="s">
        <v>2841</v>
      </c>
      <c r="E1837" s="21" t="s">
        <v>839</v>
      </c>
      <c r="F1837" s="21" t="s">
        <v>724</v>
      </c>
      <c r="G1837" s="21" t="s">
        <v>833</v>
      </c>
    </row>
    <row r="1838" customFormat="false" ht="15" hidden="false" customHeight="false" outlineLevel="0" collapsed="false">
      <c r="B1838" s="19" t="s">
        <v>2846</v>
      </c>
      <c r="C1838" s="20" t="n">
        <f aca="false">ROUND(1.14/FX,2)</f>
        <v>0.16</v>
      </c>
      <c r="D1838" s="21" t="s">
        <v>2841</v>
      </c>
      <c r="E1838" s="21" t="s">
        <v>841</v>
      </c>
      <c r="F1838" s="21" t="s">
        <v>724</v>
      </c>
      <c r="G1838" s="21" t="s">
        <v>833</v>
      </c>
    </row>
    <row r="1839" customFormat="false" ht="15" hidden="false" customHeight="false" outlineLevel="0" collapsed="false">
      <c r="B1839" s="19" t="s">
        <v>2847</v>
      </c>
      <c r="C1839" s="20" t="n">
        <f aca="false">ROUND(1.14/FX,2)</f>
        <v>0.16</v>
      </c>
      <c r="D1839" s="21" t="s">
        <v>2841</v>
      </c>
      <c r="E1839" s="21" t="s">
        <v>789</v>
      </c>
      <c r="F1839" s="21" t="s">
        <v>724</v>
      </c>
      <c r="G1839" s="21" t="s">
        <v>833</v>
      </c>
    </row>
    <row r="1840" customFormat="false" ht="15" hidden="false" customHeight="false" outlineLevel="0" collapsed="false">
      <c r="B1840" s="19" t="s">
        <v>2848</v>
      </c>
      <c r="C1840" s="20" t="n">
        <f aca="false">ROUND(1.17/FX,2)</f>
        <v>0.16</v>
      </c>
      <c r="D1840" s="21" t="s">
        <v>2841</v>
      </c>
      <c r="E1840" s="21" t="s">
        <v>716</v>
      </c>
      <c r="F1840" s="21" t="s">
        <v>724</v>
      </c>
      <c r="G1840" s="21" t="s">
        <v>833</v>
      </c>
    </row>
    <row r="1841" customFormat="false" ht="15" hidden="false" customHeight="false" outlineLevel="0" collapsed="false">
      <c r="B1841" s="19" t="s">
        <v>2849</v>
      </c>
      <c r="C1841" s="20" t="n">
        <f aca="false">ROUND(1.14/FX,2)</f>
        <v>0.16</v>
      </c>
      <c r="D1841" s="21" t="s">
        <v>2841</v>
      </c>
      <c r="E1841" s="21" t="s">
        <v>719</v>
      </c>
      <c r="F1841" s="21" t="s">
        <v>724</v>
      </c>
      <c r="G1841" s="21" t="s">
        <v>833</v>
      </c>
    </row>
    <row r="1842" customFormat="false" ht="15" hidden="false" customHeight="false" outlineLevel="0" collapsed="false">
      <c r="B1842" s="19" t="s">
        <v>2850</v>
      </c>
      <c r="C1842" s="20" t="n">
        <f aca="false">ROUND(1.4/FX,2)</f>
        <v>0.19</v>
      </c>
      <c r="D1842" s="21" t="s">
        <v>2851</v>
      </c>
      <c r="E1842" s="21" t="s">
        <v>707</v>
      </c>
      <c r="F1842" s="21" t="s">
        <v>724</v>
      </c>
      <c r="G1842" s="21" t="s">
        <v>833</v>
      </c>
    </row>
    <row r="1843" customFormat="false" ht="15" hidden="false" customHeight="false" outlineLevel="0" collapsed="false">
      <c r="B1843" s="19" t="s">
        <v>2852</v>
      </c>
      <c r="C1843" s="20" t="n">
        <f aca="false">ROUND(1.14/FX,2)</f>
        <v>0.16</v>
      </c>
      <c r="D1843" s="21" t="s">
        <v>2851</v>
      </c>
      <c r="E1843" s="21" t="s">
        <v>761</v>
      </c>
      <c r="F1843" s="21" t="s">
        <v>724</v>
      </c>
      <c r="G1843" s="21" t="s">
        <v>833</v>
      </c>
    </row>
    <row r="1844" customFormat="false" ht="15" hidden="false" customHeight="false" outlineLevel="0" collapsed="false">
      <c r="B1844" s="19" t="s">
        <v>2853</v>
      </c>
      <c r="C1844" s="20" t="n">
        <f aca="false">ROUND(2.73/FX,2)</f>
        <v>0.38</v>
      </c>
      <c r="D1844" s="21" t="s">
        <v>2851</v>
      </c>
      <c r="E1844" s="21" t="s">
        <v>714</v>
      </c>
      <c r="F1844" s="21" t="s">
        <v>724</v>
      </c>
      <c r="G1844" s="21" t="s">
        <v>833</v>
      </c>
    </row>
    <row r="1845" customFormat="false" ht="15" hidden="false" customHeight="false" outlineLevel="0" collapsed="false">
      <c r="B1845" s="19" t="s">
        <v>2854</v>
      </c>
      <c r="C1845" s="20" t="n">
        <f aca="false">ROUND(0.59/FX,2)</f>
        <v>0.08</v>
      </c>
      <c r="D1845" s="21" t="s">
        <v>2851</v>
      </c>
      <c r="E1845" s="21" t="s">
        <v>837</v>
      </c>
      <c r="F1845" s="21" t="s">
        <v>724</v>
      </c>
      <c r="G1845" s="21" t="s">
        <v>833</v>
      </c>
    </row>
    <row r="1846" customFormat="false" ht="15" hidden="false" customHeight="false" outlineLevel="0" collapsed="false">
      <c r="B1846" s="19" t="s">
        <v>2855</v>
      </c>
      <c r="C1846" s="20" t="n">
        <f aca="false">ROUND(1.14/FX,2)</f>
        <v>0.16</v>
      </c>
      <c r="D1846" s="21" t="s">
        <v>2851</v>
      </c>
      <c r="E1846" s="21" t="s">
        <v>839</v>
      </c>
      <c r="F1846" s="21" t="s">
        <v>724</v>
      </c>
      <c r="G1846" s="21" t="s">
        <v>833</v>
      </c>
    </row>
    <row r="1847" customFormat="false" ht="15" hidden="false" customHeight="false" outlineLevel="0" collapsed="false">
      <c r="B1847" s="19" t="s">
        <v>2856</v>
      </c>
      <c r="C1847" s="20" t="n">
        <f aca="false">ROUND(1.14/FX,2)</f>
        <v>0.16</v>
      </c>
      <c r="D1847" s="21" t="s">
        <v>2851</v>
      </c>
      <c r="E1847" s="21" t="s">
        <v>841</v>
      </c>
      <c r="F1847" s="21" t="s">
        <v>724</v>
      </c>
      <c r="G1847" s="21" t="s">
        <v>833</v>
      </c>
    </row>
    <row r="1848" customFormat="false" ht="15" hidden="false" customHeight="false" outlineLevel="0" collapsed="false">
      <c r="B1848" s="19" t="s">
        <v>2857</v>
      </c>
      <c r="C1848" s="20" t="n">
        <f aca="false">ROUND(0.98/FX,2)</f>
        <v>0.14</v>
      </c>
      <c r="D1848" s="21" t="s">
        <v>2851</v>
      </c>
      <c r="E1848" s="21" t="s">
        <v>789</v>
      </c>
      <c r="F1848" s="21" t="s">
        <v>724</v>
      </c>
      <c r="G1848" s="21" t="s">
        <v>833</v>
      </c>
    </row>
    <row r="1849" customFormat="false" ht="15" hidden="false" customHeight="false" outlineLevel="0" collapsed="false">
      <c r="B1849" s="19" t="s">
        <v>2858</v>
      </c>
      <c r="C1849" s="20" t="n">
        <f aca="false">ROUND(0.84/FX,2)</f>
        <v>0.12</v>
      </c>
      <c r="D1849" s="21" t="s">
        <v>2851</v>
      </c>
      <c r="E1849" s="21" t="s">
        <v>716</v>
      </c>
      <c r="F1849" s="21" t="s">
        <v>724</v>
      </c>
      <c r="G1849" s="21" t="s">
        <v>833</v>
      </c>
    </row>
    <row r="1850" customFormat="false" ht="15" hidden="false" customHeight="false" outlineLevel="0" collapsed="false">
      <c r="B1850" s="19" t="s">
        <v>2859</v>
      </c>
      <c r="C1850" s="20" t="n">
        <f aca="false">ROUND(1.14/FX,2)</f>
        <v>0.16</v>
      </c>
      <c r="D1850" s="21" t="s">
        <v>2851</v>
      </c>
      <c r="E1850" s="21" t="s">
        <v>719</v>
      </c>
      <c r="F1850" s="21" t="s">
        <v>724</v>
      </c>
      <c r="G1850" s="21" t="s">
        <v>833</v>
      </c>
    </row>
    <row r="1851" customFormat="false" ht="15" hidden="false" customHeight="false" outlineLevel="0" collapsed="false">
      <c r="B1851" s="19" t="s">
        <v>2860</v>
      </c>
      <c r="C1851" s="20" t="n">
        <f aca="false">ROUND(1.14/FX,2)</f>
        <v>0.16</v>
      </c>
      <c r="D1851" s="21" t="s">
        <v>2861</v>
      </c>
      <c r="E1851" s="21" t="s">
        <v>707</v>
      </c>
      <c r="F1851" s="21" t="s">
        <v>724</v>
      </c>
      <c r="G1851" s="21" t="s">
        <v>833</v>
      </c>
    </row>
    <row r="1852" customFormat="false" ht="15" hidden="false" customHeight="false" outlineLevel="0" collapsed="false">
      <c r="B1852" s="19" t="s">
        <v>2862</v>
      </c>
      <c r="C1852" s="20" t="n">
        <f aca="false">ROUND(1.14/FX,2)</f>
        <v>0.16</v>
      </c>
      <c r="D1852" s="21" t="s">
        <v>2861</v>
      </c>
      <c r="E1852" s="21" t="s">
        <v>761</v>
      </c>
      <c r="F1852" s="21" t="s">
        <v>724</v>
      </c>
      <c r="G1852" s="21" t="s">
        <v>833</v>
      </c>
    </row>
    <row r="1853" customFormat="false" ht="15" hidden="false" customHeight="false" outlineLevel="0" collapsed="false">
      <c r="B1853" s="19" t="s">
        <v>2863</v>
      </c>
      <c r="C1853" s="20" t="n">
        <f aca="false">ROUND(1.14/FX,2)</f>
        <v>0.16</v>
      </c>
      <c r="D1853" s="21" t="s">
        <v>2861</v>
      </c>
      <c r="E1853" s="21" t="s">
        <v>714</v>
      </c>
      <c r="F1853" s="21" t="s">
        <v>724</v>
      </c>
      <c r="G1853" s="21" t="s">
        <v>833</v>
      </c>
    </row>
    <row r="1854" customFormat="false" ht="15" hidden="false" customHeight="false" outlineLevel="0" collapsed="false">
      <c r="B1854" s="19" t="s">
        <v>2864</v>
      </c>
      <c r="C1854" s="20" t="n">
        <f aca="false">ROUND(0.59/FX,2)</f>
        <v>0.08</v>
      </c>
      <c r="D1854" s="21" t="s">
        <v>2861</v>
      </c>
      <c r="E1854" s="21" t="s">
        <v>837</v>
      </c>
      <c r="F1854" s="21" t="s">
        <v>724</v>
      </c>
      <c r="G1854" s="21" t="s">
        <v>833</v>
      </c>
    </row>
    <row r="1855" customFormat="false" ht="15" hidden="false" customHeight="false" outlineLevel="0" collapsed="false">
      <c r="B1855" s="19" t="s">
        <v>2865</v>
      </c>
      <c r="C1855" s="20" t="n">
        <f aca="false">ROUND(1.14/FX,2)</f>
        <v>0.16</v>
      </c>
      <c r="D1855" s="21" t="s">
        <v>2861</v>
      </c>
      <c r="E1855" s="21" t="s">
        <v>839</v>
      </c>
      <c r="F1855" s="21" t="s">
        <v>724</v>
      </c>
      <c r="G1855" s="21" t="s">
        <v>833</v>
      </c>
    </row>
    <row r="1856" customFormat="false" ht="15" hidden="false" customHeight="false" outlineLevel="0" collapsed="false">
      <c r="B1856" s="19" t="s">
        <v>2866</v>
      </c>
      <c r="C1856" s="20" t="n">
        <f aca="false">ROUND(1.14/FX,2)</f>
        <v>0.16</v>
      </c>
      <c r="D1856" s="21" t="s">
        <v>2861</v>
      </c>
      <c r="E1856" s="21" t="s">
        <v>841</v>
      </c>
      <c r="F1856" s="21" t="s">
        <v>724</v>
      </c>
      <c r="G1856" s="21" t="s">
        <v>833</v>
      </c>
    </row>
    <row r="1857" customFormat="false" ht="15" hidden="false" customHeight="false" outlineLevel="0" collapsed="false">
      <c r="B1857" s="19" t="s">
        <v>2867</v>
      </c>
      <c r="C1857" s="20" t="n">
        <f aca="false">ROUND(1.04/FX,2)</f>
        <v>0.14</v>
      </c>
      <c r="D1857" s="21" t="s">
        <v>2861</v>
      </c>
      <c r="E1857" s="21" t="s">
        <v>789</v>
      </c>
      <c r="F1857" s="21" t="s">
        <v>724</v>
      </c>
      <c r="G1857" s="21" t="s">
        <v>833</v>
      </c>
    </row>
    <row r="1858" customFormat="false" ht="15" hidden="false" customHeight="false" outlineLevel="0" collapsed="false">
      <c r="B1858" s="19" t="s">
        <v>2868</v>
      </c>
      <c r="C1858" s="20" t="n">
        <f aca="false">ROUND(0.98/FX,2)</f>
        <v>0.14</v>
      </c>
      <c r="D1858" s="21" t="s">
        <v>2861</v>
      </c>
      <c r="E1858" s="21" t="s">
        <v>716</v>
      </c>
      <c r="F1858" s="21" t="s">
        <v>724</v>
      </c>
      <c r="G1858" s="21" t="s">
        <v>833</v>
      </c>
    </row>
    <row r="1859" customFormat="false" ht="15" hidden="false" customHeight="false" outlineLevel="0" collapsed="false">
      <c r="B1859" s="19" t="s">
        <v>2869</v>
      </c>
      <c r="C1859" s="20" t="n">
        <f aca="false">ROUND(1.26/FX,2)</f>
        <v>0.18</v>
      </c>
      <c r="D1859" s="21" t="s">
        <v>2861</v>
      </c>
      <c r="E1859" s="21" t="s">
        <v>719</v>
      </c>
      <c r="F1859" s="21" t="s">
        <v>724</v>
      </c>
      <c r="G1859" s="21" t="s">
        <v>833</v>
      </c>
    </row>
    <row r="1860" customFormat="false" ht="15" hidden="false" customHeight="false" outlineLevel="0" collapsed="false">
      <c r="B1860" s="19" t="s">
        <v>2870</v>
      </c>
      <c r="C1860" s="20" t="n">
        <f aca="false">ROUND(1.95/FX,2)</f>
        <v>0.27</v>
      </c>
      <c r="D1860" s="21" t="s">
        <v>2871</v>
      </c>
      <c r="E1860" s="21" t="s">
        <v>707</v>
      </c>
      <c r="F1860" s="21" t="s">
        <v>724</v>
      </c>
      <c r="G1860" s="21" t="s">
        <v>833</v>
      </c>
    </row>
    <row r="1861" customFormat="false" ht="15" hidden="false" customHeight="false" outlineLevel="0" collapsed="false">
      <c r="B1861" s="19" t="s">
        <v>2872</v>
      </c>
      <c r="C1861" s="20" t="n">
        <f aca="false">ROUND(1.14/FX,2)</f>
        <v>0.16</v>
      </c>
      <c r="D1861" s="21" t="s">
        <v>2871</v>
      </c>
      <c r="E1861" s="21" t="s">
        <v>761</v>
      </c>
      <c r="F1861" s="21" t="s">
        <v>724</v>
      </c>
      <c r="G1861" s="21" t="s">
        <v>833</v>
      </c>
    </row>
    <row r="1862" customFormat="false" ht="15" hidden="false" customHeight="false" outlineLevel="0" collapsed="false">
      <c r="B1862" s="19" t="s">
        <v>2873</v>
      </c>
      <c r="C1862" s="20" t="n">
        <f aca="false">ROUND(2.73/FX,2)</f>
        <v>0.38</v>
      </c>
      <c r="D1862" s="21" t="s">
        <v>2871</v>
      </c>
      <c r="E1862" s="21" t="s">
        <v>714</v>
      </c>
      <c r="F1862" s="21" t="s">
        <v>724</v>
      </c>
      <c r="G1862" s="21" t="s">
        <v>833</v>
      </c>
    </row>
    <row r="1863" customFormat="false" ht="15" hidden="false" customHeight="false" outlineLevel="0" collapsed="false">
      <c r="B1863" s="19" t="s">
        <v>2874</v>
      </c>
      <c r="C1863" s="20" t="n">
        <f aca="false">ROUND(0.59/FX,2)</f>
        <v>0.08</v>
      </c>
      <c r="D1863" s="21" t="s">
        <v>2871</v>
      </c>
      <c r="E1863" s="21" t="s">
        <v>837</v>
      </c>
      <c r="F1863" s="21" t="s">
        <v>724</v>
      </c>
      <c r="G1863" s="21" t="s">
        <v>833</v>
      </c>
    </row>
    <row r="1864" customFormat="false" ht="15" hidden="false" customHeight="false" outlineLevel="0" collapsed="false">
      <c r="B1864" s="19" t="s">
        <v>2875</v>
      </c>
      <c r="C1864" s="20" t="n">
        <f aca="false">ROUND(1.14/FX,2)</f>
        <v>0.16</v>
      </c>
      <c r="D1864" s="21" t="s">
        <v>2871</v>
      </c>
      <c r="E1864" s="21" t="s">
        <v>839</v>
      </c>
      <c r="F1864" s="21" t="s">
        <v>724</v>
      </c>
      <c r="G1864" s="21" t="s">
        <v>833</v>
      </c>
    </row>
    <row r="1865" customFormat="false" ht="15" hidden="false" customHeight="false" outlineLevel="0" collapsed="false">
      <c r="B1865" s="19" t="s">
        <v>2876</v>
      </c>
      <c r="C1865" s="20" t="n">
        <f aca="false">ROUND(1.14/FX,2)</f>
        <v>0.16</v>
      </c>
      <c r="D1865" s="21" t="s">
        <v>2871</v>
      </c>
      <c r="E1865" s="21" t="s">
        <v>841</v>
      </c>
      <c r="F1865" s="21" t="s">
        <v>724</v>
      </c>
      <c r="G1865" s="21" t="s">
        <v>833</v>
      </c>
    </row>
    <row r="1866" customFormat="false" ht="15" hidden="false" customHeight="false" outlineLevel="0" collapsed="false">
      <c r="B1866" s="19" t="s">
        <v>2877</v>
      </c>
      <c r="C1866" s="20" t="n">
        <f aca="false">ROUND(1.14/FX,2)</f>
        <v>0.16</v>
      </c>
      <c r="D1866" s="21" t="s">
        <v>2871</v>
      </c>
      <c r="E1866" s="21" t="s">
        <v>789</v>
      </c>
      <c r="F1866" s="21" t="s">
        <v>724</v>
      </c>
      <c r="G1866" s="21" t="s">
        <v>833</v>
      </c>
    </row>
    <row r="1867" customFormat="false" ht="15" hidden="false" customHeight="false" outlineLevel="0" collapsed="false">
      <c r="B1867" s="19" t="s">
        <v>2878</v>
      </c>
      <c r="C1867" s="20" t="n">
        <f aca="false">ROUND(0.88/FX,2)</f>
        <v>0.12</v>
      </c>
      <c r="D1867" s="21" t="s">
        <v>2871</v>
      </c>
      <c r="E1867" s="21" t="s">
        <v>716</v>
      </c>
      <c r="F1867" s="21" t="s">
        <v>724</v>
      </c>
      <c r="G1867" s="21" t="s">
        <v>833</v>
      </c>
    </row>
    <row r="1868" customFormat="false" ht="15" hidden="false" customHeight="false" outlineLevel="0" collapsed="false">
      <c r="B1868" s="19" t="s">
        <v>2879</v>
      </c>
      <c r="C1868" s="20" t="n">
        <f aca="false">ROUND(1.14/FX,2)</f>
        <v>0.16</v>
      </c>
      <c r="D1868" s="21" t="s">
        <v>2871</v>
      </c>
      <c r="E1868" s="21" t="s">
        <v>719</v>
      </c>
      <c r="F1868" s="21" t="s">
        <v>724</v>
      </c>
      <c r="G1868" s="21" t="s">
        <v>833</v>
      </c>
    </row>
    <row r="1869" customFormat="false" ht="15" hidden="false" customHeight="false" outlineLevel="0" collapsed="false">
      <c r="B1869" s="19" t="s">
        <v>2880</v>
      </c>
      <c r="C1869" s="20" t="n">
        <f aca="false">ROUND(1.82/FX,2)</f>
        <v>0.25</v>
      </c>
      <c r="D1869" s="21" t="s">
        <v>2881</v>
      </c>
      <c r="E1869" s="21" t="s">
        <v>707</v>
      </c>
      <c r="F1869" s="21" t="s">
        <v>724</v>
      </c>
      <c r="G1869" s="21" t="s">
        <v>833</v>
      </c>
    </row>
    <row r="1870" customFormat="false" ht="15" hidden="false" customHeight="false" outlineLevel="0" collapsed="false">
      <c r="B1870" s="19" t="s">
        <v>2882</v>
      </c>
      <c r="C1870" s="20" t="n">
        <f aca="false">ROUND(1.14/FX,2)</f>
        <v>0.16</v>
      </c>
      <c r="D1870" s="21" t="s">
        <v>2881</v>
      </c>
      <c r="E1870" s="21" t="s">
        <v>761</v>
      </c>
      <c r="F1870" s="21" t="s">
        <v>724</v>
      </c>
      <c r="G1870" s="21" t="s">
        <v>833</v>
      </c>
    </row>
    <row r="1871" customFormat="false" ht="15" hidden="false" customHeight="false" outlineLevel="0" collapsed="false">
      <c r="B1871" s="19" t="s">
        <v>2883</v>
      </c>
      <c r="C1871" s="20" t="n">
        <f aca="false">ROUND(1.14/FX,2)</f>
        <v>0.16</v>
      </c>
      <c r="D1871" s="21" t="s">
        <v>2881</v>
      </c>
      <c r="E1871" s="21" t="s">
        <v>714</v>
      </c>
      <c r="F1871" s="21" t="s">
        <v>724</v>
      </c>
      <c r="G1871" s="21" t="s">
        <v>833</v>
      </c>
    </row>
    <row r="1872" customFormat="false" ht="15" hidden="false" customHeight="false" outlineLevel="0" collapsed="false">
      <c r="B1872" s="19" t="s">
        <v>2884</v>
      </c>
      <c r="C1872" s="20" t="n">
        <f aca="false">ROUND(0.59/FX,2)</f>
        <v>0.08</v>
      </c>
      <c r="D1872" s="21" t="s">
        <v>2881</v>
      </c>
      <c r="E1872" s="21" t="s">
        <v>837</v>
      </c>
      <c r="F1872" s="21" t="s">
        <v>724</v>
      </c>
      <c r="G1872" s="21" t="s">
        <v>833</v>
      </c>
    </row>
    <row r="1873" customFormat="false" ht="15" hidden="false" customHeight="false" outlineLevel="0" collapsed="false">
      <c r="B1873" s="19" t="s">
        <v>2885</v>
      </c>
      <c r="C1873" s="20" t="n">
        <f aca="false">ROUND(1.14/FX,2)</f>
        <v>0.16</v>
      </c>
      <c r="D1873" s="21" t="s">
        <v>2881</v>
      </c>
      <c r="E1873" s="21" t="s">
        <v>839</v>
      </c>
      <c r="F1873" s="21" t="s">
        <v>724</v>
      </c>
      <c r="G1873" s="21" t="s">
        <v>833</v>
      </c>
    </row>
    <row r="1874" customFormat="false" ht="15" hidden="false" customHeight="false" outlineLevel="0" collapsed="false">
      <c r="B1874" s="19" t="s">
        <v>2886</v>
      </c>
      <c r="C1874" s="20" t="n">
        <f aca="false">ROUND(1.14/FX,2)</f>
        <v>0.16</v>
      </c>
      <c r="D1874" s="21" t="s">
        <v>2881</v>
      </c>
      <c r="E1874" s="21" t="s">
        <v>841</v>
      </c>
      <c r="F1874" s="21" t="s">
        <v>724</v>
      </c>
      <c r="G1874" s="21" t="s">
        <v>833</v>
      </c>
    </row>
    <row r="1875" customFormat="false" ht="15" hidden="false" customHeight="false" outlineLevel="0" collapsed="false">
      <c r="B1875" s="19" t="s">
        <v>2887</v>
      </c>
      <c r="C1875" s="20" t="n">
        <f aca="false">ROUND(1.04/FX,2)</f>
        <v>0.14</v>
      </c>
      <c r="D1875" s="21" t="s">
        <v>2881</v>
      </c>
      <c r="E1875" s="21" t="s">
        <v>789</v>
      </c>
      <c r="F1875" s="21" t="s">
        <v>724</v>
      </c>
      <c r="G1875" s="21" t="s">
        <v>833</v>
      </c>
    </row>
    <row r="1876" customFormat="false" ht="15" hidden="false" customHeight="false" outlineLevel="0" collapsed="false">
      <c r="B1876" s="19" t="s">
        <v>2888</v>
      </c>
      <c r="C1876" s="20" t="n">
        <f aca="false">ROUND(1.11/FX,2)</f>
        <v>0.15</v>
      </c>
      <c r="D1876" s="21" t="s">
        <v>2881</v>
      </c>
      <c r="E1876" s="21" t="s">
        <v>716</v>
      </c>
      <c r="F1876" s="21" t="s">
        <v>724</v>
      </c>
      <c r="G1876" s="21" t="s">
        <v>833</v>
      </c>
    </row>
    <row r="1877" customFormat="false" ht="15" hidden="false" customHeight="false" outlineLevel="0" collapsed="false">
      <c r="B1877" s="19" t="s">
        <v>2889</v>
      </c>
      <c r="C1877" s="20" t="n">
        <f aca="false">ROUND(1.14/FX,2)</f>
        <v>0.16</v>
      </c>
      <c r="D1877" s="21" t="s">
        <v>2881</v>
      </c>
      <c r="E1877" s="21" t="s">
        <v>719</v>
      </c>
      <c r="F1877" s="21" t="s">
        <v>724</v>
      </c>
      <c r="G1877" s="21" t="s">
        <v>833</v>
      </c>
    </row>
    <row r="1878" customFormat="false" ht="15" hidden="false" customHeight="false" outlineLevel="0" collapsed="false">
      <c r="B1878" s="19" t="s">
        <v>2890</v>
      </c>
      <c r="C1878" s="20" t="n">
        <f aca="false">ROUND(1.4/FX,2)</f>
        <v>0.19</v>
      </c>
      <c r="D1878" s="21" t="s">
        <v>2891</v>
      </c>
      <c r="E1878" s="21" t="s">
        <v>707</v>
      </c>
      <c r="F1878" s="21" t="s">
        <v>724</v>
      </c>
      <c r="G1878" s="21" t="s">
        <v>833</v>
      </c>
    </row>
    <row r="1879" customFormat="false" ht="15" hidden="false" customHeight="false" outlineLevel="0" collapsed="false">
      <c r="B1879" s="19" t="s">
        <v>2892</v>
      </c>
      <c r="C1879" s="20" t="n">
        <f aca="false">ROUND(1.14/FX,2)</f>
        <v>0.16</v>
      </c>
      <c r="D1879" s="21" t="s">
        <v>2891</v>
      </c>
      <c r="E1879" s="21" t="s">
        <v>761</v>
      </c>
      <c r="F1879" s="21" t="s">
        <v>724</v>
      </c>
      <c r="G1879" s="21" t="s">
        <v>833</v>
      </c>
    </row>
    <row r="1880" customFormat="false" ht="15" hidden="false" customHeight="false" outlineLevel="0" collapsed="false">
      <c r="B1880" s="19" t="s">
        <v>2893</v>
      </c>
      <c r="C1880" s="20" t="n">
        <f aca="false">ROUND(1.14/FX,2)</f>
        <v>0.16</v>
      </c>
      <c r="D1880" s="21" t="s">
        <v>2891</v>
      </c>
      <c r="E1880" s="21" t="s">
        <v>714</v>
      </c>
      <c r="F1880" s="21" t="s">
        <v>724</v>
      </c>
      <c r="G1880" s="21" t="s">
        <v>833</v>
      </c>
    </row>
    <row r="1881" customFormat="false" ht="15" hidden="false" customHeight="false" outlineLevel="0" collapsed="false">
      <c r="B1881" s="19" t="s">
        <v>2894</v>
      </c>
      <c r="C1881" s="20" t="n">
        <f aca="false">ROUND(0.59/FX,2)</f>
        <v>0.08</v>
      </c>
      <c r="D1881" s="21" t="s">
        <v>2891</v>
      </c>
      <c r="E1881" s="21" t="s">
        <v>837</v>
      </c>
      <c r="F1881" s="21" t="s">
        <v>724</v>
      </c>
      <c r="G1881" s="21" t="s">
        <v>833</v>
      </c>
    </row>
    <row r="1882" customFormat="false" ht="15" hidden="false" customHeight="false" outlineLevel="0" collapsed="false">
      <c r="B1882" s="19" t="s">
        <v>2895</v>
      </c>
      <c r="C1882" s="20" t="n">
        <f aca="false">ROUND(1.14/FX,2)</f>
        <v>0.16</v>
      </c>
      <c r="D1882" s="21" t="s">
        <v>2891</v>
      </c>
      <c r="E1882" s="21" t="s">
        <v>839</v>
      </c>
      <c r="F1882" s="21" t="s">
        <v>724</v>
      </c>
      <c r="G1882" s="21" t="s">
        <v>833</v>
      </c>
    </row>
    <row r="1883" customFormat="false" ht="15" hidden="false" customHeight="false" outlineLevel="0" collapsed="false">
      <c r="B1883" s="19" t="s">
        <v>2896</v>
      </c>
      <c r="C1883" s="20" t="n">
        <f aca="false">ROUND(1.14/FX,2)</f>
        <v>0.16</v>
      </c>
      <c r="D1883" s="21" t="s">
        <v>2891</v>
      </c>
      <c r="E1883" s="21" t="s">
        <v>841</v>
      </c>
      <c r="F1883" s="21" t="s">
        <v>724</v>
      </c>
      <c r="G1883" s="21" t="s">
        <v>833</v>
      </c>
    </row>
    <row r="1884" customFormat="false" ht="15" hidden="false" customHeight="false" outlineLevel="0" collapsed="false">
      <c r="B1884" s="19" t="s">
        <v>2897</v>
      </c>
      <c r="C1884" s="20" t="n">
        <f aca="false">ROUND(0.91/FX,2)</f>
        <v>0.13</v>
      </c>
      <c r="D1884" s="21" t="s">
        <v>2891</v>
      </c>
      <c r="E1884" s="21" t="s">
        <v>789</v>
      </c>
      <c r="F1884" s="21" t="s">
        <v>724</v>
      </c>
      <c r="G1884" s="21" t="s">
        <v>833</v>
      </c>
    </row>
    <row r="1885" customFormat="false" ht="15" hidden="false" customHeight="false" outlineLevel="0" collapsed="false">
      <c r="B1885" s="19" t="s">
        <v>2898</v>
      </c>
      <c r="C1885" s="20" t="n">
        <f aca="false">ROUND(0.84/FX,2)</f>
        <v>0.12</v>
      </c>
      <c r="D1885" s="21" t="s">
        <v>2891</v>
      </c>
      <c r="E1885" s="21" t="s">
        <v>716</v>
      </c>
      <c r="F1885" s="21" t="s">
        <v>724</v>
      </c>
      <c r="G1885" s="21" t="s">
        <v>833</v>
      </c>
    </row>
    <row r="1886" customFormat="false" ht="15" hidden="false" customHeight="false" outlineLevel="0" collapsed="false">
      <c r="B1886" s="19" t="s">
        <v>2899</v>
      </c>
      <c r="C1886" s="20" t="n">
        <f aca="false">ROUND(1.14/FX,2)</f>
        <v>0.16</v>
      </c>
      <c r="D1886" s="21" t="s">
        <v>2891</v>
      </c>
      <c r="E1886" s="21" t="s">
        <v>719</v>
      </c>
      <c r="F1886" s="21" t="s">
        <v>724</v>
      </c>
      <c r="G1886" s="21" t="s">
        <v>833</v>
      </c>
    </row>
    <row r="1887" customFormat="false" ht="15" hidden="false" customHeight="false" outlineLevel="0" collapsed="false">
      <c r="B1887" s="19" t="s">
        <v>2900</v>
      </c>
      <c r="C1887" s="20" t="n">
        <f aca="false">ROUND(1.4/FX,2)</f>
        <v>0.19</v>
      </c>
      <c r="D1887" s="21" t="s">
        <v>2901</v>
      </c>
      <c r="E1887" s="21" t="s">
        <v>707</v>
      </c>
      <c r="F1887" s="21" t="s">
        <v>724</v>
      </c>
      <c r="G1887" s="21" t="s">
        <v>833</v>
      </c>
    </row>
    <row r="1888" customFormat="false" ht="15" hidden="false" customHeight="false" outlineLevel="0" collapsed="false">
      <c r="B1888" s="19" t="s">
        <v>2902</v>
      </c>
      <c r="C1888" s="20" t="n">
        <f aca="false">ROUND(1.14/FX,2)</f>
        <v>0.16</v>
      </c>
      <c r="D1888" s="21" t="s">
        <v>2901</v>
      </c>
      <c r="E1888" s="21" t="s">
        <v>761</v>
      </c>
      <c r="F1888" s="21" t="s">
        <v>724</v>
      </c>
      <c r="G1888" s="21" t="s">
        <v>833</v>
      </c>
    </row>
    <row r="1889" customFormat="false" ht="15" hidden="false" customHeight="false" outlineLevel="0" collapsed="false">
      <c r="B1889" s="19" t="s">
        <v>2903</v>
      </c>
      <c r="C1889" s="20" t="n">
        <f aca="false">ROUND(2.73/FX,2)</f>
        <v>0.38</v>
      </c>
      <c r="D1889" s="21" t="s">
        <v>2901</v>
      </c>
      <c r="E1889" s="21" t="s">
        <v>714</v>
      </c>
      <c r="F1889" s="21" t="s">
        <v>724</v>
      </c>
      <c r="G1889" s="21" t="s">
        <v>833</v>
      </c>
    </row>
    <row r="1890" customFormat="false" ht="15" hidden="false" customHeight="false" outlineLevel="0" collapsed="false">
      <c r="B1890" s="19" t="s">
        <v>2904</v>
      </c>
      <c r="C1890" s="20" t="n">
        <f aca="false">ROUND(0.59/FX,2)</f>
        <v>0.08</v>
      </c>
      <c r="D1890" s="21" t="s">
        <v>2901</v>
      </c>
      <c r="E1890" s="21" t="s">
        <v>837</v>
      </c>
      <c r="F1890" s="21" t="s">
        <v>724</v>
      </c>
      <c r="G1890" s="21" t="s">
        <v>833</v>
      </c>
    </row>
    <row r="1891" customFormat="false" ht="15" hidden="false" customHeight="false" outlineLevel="0" collapsed="false">
      <c r="B1891" s="19" t="s">
        <v>2905</v>
      </c>
      <c r="C1891" s="20" t="n">
        <f aca="false">ROUND(1.14/FX,2)</f>
        <v>0.16</v>
      </c>
      <c r="D1891" s="21" t="s">
        <v>2901</v>
      </c>
      <c r="E1891" s="21" t="s">
        <v>839</v>
      </c>
      <c r="F1891" s="21" t="s">
        <v>724</v>
      </c>
      <c r="G1891" s="21" t="s">
        <v>833</v>
      </c>
    </row>
    <row r="1892" customFormat="false" ht="15" hidden="false" customHeight="false" outlineLevel="0" collapsed="false">
      <c r="B1892" s="19" t="s">
        <v>2906</v>
      </c>
      <c r="C1892" s="20" t="n">
        <f aca="false">ROUND(1.14/FX,2)</f>
        <v>0.16</v>
      </c>
      <c r="D1892" s="21" t="s">
        <v>2901</v>
      </c>
      <c r="E1892" s="21" t="s">
        <v>841</v>
      </c>
      <c r="F1892" s="21" t="s">
        <v>724</v>
      </c>
      <c r="G1892" s="21" t="s">
        <v>833</v>
      </c>
    </row>
    <row r="1893" customFormat="false" ht="15" hidden="false" customHeight="false" outlineLevel="0" collapsed="false">
      <c r="B1893" s="19" t="s">
        <v>2907</v>
      </c>
      <c r="C1893" s="20" t="n">
        <f aca="false">ROUND(0.91/FX,2)</f>
        <v>0.13</v>
      </c>
      <c r="D1893" s="21" t="s">
        <v>2901</v>
      </c>
      <c r="E1893" s="21" t="s">
        <v>789</v>
      </c>
      <c r="F1893" s="21" t="s">
        <v>724</v>
      </c>
      <c r="G1893" s="21" t="s">
        <v>833</v>
      </c>
    </row>
    <row r="1894" customFormat="false" ht="15" hidden="false" customHeight="false" outlineLevel="0" collapsed="false">
      <c r="B1894" s="19" t="s">
        <v>2908</v>
      </c>
      <c r="C1894" s="20" t="n">
        <f aca="false">ROUND(0.84/FX,2)</f>
        <v>0.12</v>
      </c>
      <c r="D1894" s="21" t="s">
        <v>2901</v>
      </c>
      <c r="E1894" s="21" t="s">
        <v>716</v>
      </c>
      <c r="F1894" s="21" t="s">
        <v>724</v>
      </c>
      <c r="G1894" s="21" t="s">
        <v>833</v>
      </c>
    </row>
    <row r="1895" customFormat="false" ht="15" hidden="false" customHeight="false" outlineLevel="0" collapsed="false">
      <c r="B1895" s="19" t="s">
        <v>2909</v>
      </c>
      <c r="C1895" s="20" t="n">
        <f aca="false">ROUND(1.14/FX,2)</f>
        <v>0.16</v>
      </c>
      <c r="D1895" s="21" t="s">
        <v>2901</v>
      </c>
      <c r="E1895" s="21" t="s">
        <v>719</v>
      </c>
      <c r="F1895" s="21" t="s">
        <v>724</v>
      </c>
      <c r="G1895" s="21" t="s">
        <v>833</v>
      </c>
    </row>
    <row r="1896" customFormat="false" ht="15" hidden="false" customHeight="false" outlineLevel="0" collapsed="false">
      <c r="B1896" s="19" t="s">
        <v>2910</v>
      </c>
      <c r="C1896" s="20" t="n">
        <f aca="false">ROUND(1.14/FX,2)</f>
        <v>0.16</v>
      </c>
      <c r="D1896" s="21" t="s">
        <v>2911</v>
      </c>
      <c r="E1896" s="21" t="s">
        <v>707</v>
      </c>
      <c r="F1896" s="21" t="s">
        <v>724</v>
      </c>
      <c r="G1896" s="21" t="s">
        <v>833</v>
      </c>
    </row>
    <row r="1897" customFormat="false" ht="15" hidden="false" customHeight="false" outlineLevel="0" collapsed="false">
      <c r="B1897" s="19" t="s">
        <v>2912</v>
      </c>
      <c r="C1897" s="20" t="n">
        <f aca="false">ROUND(1.14/FX,2)</f>
        <v>0.16</v>
      </c>
      <c r="D1897" s="21" t="s">
        <v>2911</v>
      </c>
      <c r="E1897" s="21" t="s">
        <v>761</v>
      </c>
      <c r="F1897" s="21" t="s">
        <v>724</v>
      </c>
      <c r="G1897" s="21" t="s">
        <v>833</v>
      </c>
    </row>
    <row r="1898" customFormat="false" ht="15" hidden="false" customHeight="false" outlineLevel="0" collapsed="false">
      <c r="B1898" s="19" t="s">
        <v>2913</v>
      </c>
      <c r="C1898" s="20" t="n">
        <f aca="false">ROUND(1.14/FX,2)</f>
        <v>0.16</v>
      </c>
      <c r="D1898" s="21" t="s">
        <v>2911</v>
      </c>
      <c r="E1898" s="21" t="s">
        <v>714</v>
      </c>
      <c r="F1898" s="21" t="s">
        <v>724</v>
      </c>
      <c r="G1898" s="21" t="s">
        <v>833</v>
      </c>
    </row>
    <row r="1899" customFormat="false" ht="15" hidden="false" customHeight="false" outlineLevel="0" collapsed="false">
      <c r="B1899" s="19" t="s">
        <v>2914</v>
      </c>
      <c r="C1899" s="20" t="n">
        <f aca="false">ROUND(0.59/FX,2)</f>
        <v>0.08</v>
      </c>
      <c r="D1899" s="21" t="s">
        <v>2911</v>
      </c>
      <c r="E1899" s="21" t="s">
        <v>837</v>
      </c>
      <c r="F1899" s="21" t="s">
        <v>724</v>
      </c>
      <c r="G1899" s="21" t="s">
        <v>833</v>
      </c>
    </row>
    <row r="1900" customFormat="false" ht="15" hidden="false" customHeight="false" outlineLevel="0" collapsed="false">
      <c r="B1900" s="19" t="s">
        <v>2915</v>
      </c>
      <c r="C1900" s="20" t="n">
        <f aca="false">ROUND(1.14/FX,2)</f>
        <v>0.16</v>
      </c>
      <c r="D1900" s="21" t="s">
        <v>2911</v>
      </c>
      <c r="E1900" s="21" t="s">
        <v>839</v>
      </c>
      <c r="F1900" s="21" t="s">
        <v>724</v>
      </c>
      <c r="G1900" s="21" t="s">
        <v>833</v>
      </c>
    </row>
    <row r="1901" customFormat="false" ht="15" hidden="false" customHeight="false" outlineLevel="0" collapsed="false">
      <c r="B1901" s="19" t="s">
        <v>2916</v>
      </c>
      <c r="C1901" s="20" t="n">
        <f aca="false">ROUND(1.14/FX,2)</f>
        <v>0.16</v>
      </c>
      <c r="D1901" s="21" t="s">
        <v>2911</v>
      </c>
      <c r="E1901" s="21" t="s">
        <v>841</v>
      </c>
      <c r="F1901" s="21" t="s">
        <v>724</v>
      </c>
      <c r="G1901" s="21" t="s">
        <v>833</v>
      </c>
    </row>
    <row r="1902" customFormat="false" ht="15" hidden="false" customHeight="false" outlineLevel="0" collapsed="false">
      <c r="B1902" s="19" t="s">
        <v>2917</v>
      </c>
      <c r="C1902" s="20" t="n">
        <f aca="false">ROUND(1.14/FX,2)</f>
        <v>0.16</v>
      </c>
      <c r="D1902" s="21" t="s">
        <v>2911</v>
      </c>
      <c r="E1902" s="21" t="s">
        <v>789</v>
      </c>
      <c r="F1902" s="21" t="s">
        <v>724</v>
      </c>
      <c r="G1902" s="21" t="s">
        <v>833</v>
      </c>
    </row>
    <row r="1903" customFormat="false" ht="15" hidden="false" customHeight="false" outlineLevel="0" collapsed="false">
      <c r="B1903" s="19" t="s">
        <v>2918</v>
      </c>
      <c r="C1903" s="20" t="n">
        <f aca="false">ROUND(1.1/FX,2)</f>
        <v>0.15</v>
      </c>
      <c r="D1903" s="21" t="s">
        <v>2911</v>
      </c>
      <c r="E1903" s="21" t="s">
        <v>716</v>
      </c>
      <c r="F1903" s="21" t="s">
        <v>724</v>
      </c>
      <c r="G1903" s="21" t="s">
        <v>833</v>
      </c>
    </row>
    <row r="1904" customFormat="false" ht="15" hidden="false" customHeight="false" outlineLevel="0" collapsed="false">
      <c r="B1904" s="19" t="s">
        <v>2919</v>
      </c>
      <c r="C1904" s="20" t="n">
        <f aca="false">ROUND(1.14/FX,2)</f>
        <v>0.16</v>
      </c>
      <c r="D1904" s="21" t="s">
        <v>2911</v>
      </c>
      <c r="E1904" s="21" t="s">
        <v>719</v>
      </c>
      <c r="F1904" s="21" t="s">
        <v>724</v>
      </c>
      <c r="G1904" s="21" t="s">
        <v>833</v>
      </c>
    </row>
    <row r="1905" customFormat="false" ht="15" hidden="false" customHeight="false" outlineLevel="0" collapsed="false">
      <c r="B1905" s="19" t="s">
        <v>2920</v>
      </c>
      <c r="C1905" s="20" t="n">
        <f aca="false">ROUND(1.14/FX,2)</f>
        <v>0.16</v>
      </c>
      <c r="D1905" s="21" t="s">
        <v>2921</v>
      </c>
      <c r="E1905" s="21" t="s">
        <v>707</v>
      </c>
      <c r="F1905" s="21" t="s">
        <v>724</v>
      </c>
      <c r="G1905" s="21" t="s">
        <v>833</v>
      </c>
    </row>
    <row r="1906" customFormat="false" ht="15" hidden="false" customHeight="false" outlineLevel="0" collapsed="false">
      <c r="B1906" s="19" t="s">
        <v>2922</v>
      </c>
      <c r="C1906" s="20" t="n">
        <f aca="false">ROUND(1.14/FX,2)</f>
        <v>0.16</v>
      </c>
      <c r="D1906" s="21" t="s">
        <v>2921</v>
      </c>
      <c r="E1906" s="21" t="s">
        <v>761</v>
      </c>
      <c r="F1906" s="21" t="s">
        <v>724</v>
      </c>
      <c r="G1906" s="21" t="s">
        <v>833</v>
      </c>
    </row>
    <row r="1907" customFormat="false" ht="15" hidden="false" customHeight="false" outlineLevel="0" collapsed="false">
      <c r="B1907" s="19" t="s">
        <v>2923</v>
      </c>
      <c r="C1907" s="20" t="n">
        <f aca="false">ROUND(1.14/FX,2)</f>
        <v>0.16</v>
      </c>
      <c r="D1907" s="21" t="s">
        <v>2921</v>
      </c>
      <c r="E1907" s="21" t="s">
        <v>714</v>
      </c>
      <c r="F1907" s="21" t="s">
        <v>724</v>
      </c>
      <c r="G1907" s="21" t="s">
        <v>833</v>
      </c>
    </row>
    <row r="1908" customFormat="false" ht="15" hidden="false" customHeight="false" outlineLevel="0" collapsed="false">
      <c r="B1908" s="19" t="s">
        <v>2924</v>
      </c>
      <c r="C1908" s="20" t="n">
        <f aca="false">ROUND(0.59/FX,2)</f>
        <v>0.08</v>
      </c>
      <c r="D1908" s="21" t="s">
        <v>2921</v>
      </c>
      <c r="E1908" s="21" t="s">
        <v>837</v>
      </c>
      <c r="F1908" s="21" t="s">
        <v>724</v>
      </c>
      <c r="G1908" s="21" t="s">
        <v>833</v>
      </c>
    </row>
    <row r="1909" customFormat="false" ht="15" hidden="false" customHeight="false" outlineLevel="0" collapsed="false">
      <c r="B1909" s="19" t="s">
        <v>2925</v>
      </c>
      <c r="C1909" s="20" t="n">
        <f aca="false">ROUND(1.14/FX,2)</f>
        <v>0.16</v>
      </c>
      <c r="D1909" s="21" t="s">
        <v>2921</v>
      </c>
      <c r="E1909" s="21" t="s">
        <v>839</v>
      </c>
      <c r="F1909" s="21" t="s">
        <v>724</v>
      </c>
      <c r="G1909" s="21" t="s">
        <v>833</v>
      </c>
    </row>
    <row r="1910" customFormat="false" ht="15" hidden="false" customHeight="false" outlineLevel="0" collapsed="false">
      <c r="B1910" s="19" t="s">
        <v>2926</v>
      </c>
      <c r="C1910" s="20" t="n">
        <f aca="false">ROUND(1.14/FX,2)</f>
        <v>0.16</v>
      </c>
      <c r="D1910" s="21" t="s">
        <v>2921</v>
      </c>
      <c r="E1910" s="21" t="s">
        <v>841</v>
      </c>
      <c r="F1910" s="21" t="s">
        <v>724</v>
      </c>
      <c r="G1910" s="21" t="s">
        <v>833</v>
      </c>
    </row>
    <row r="1911" customFormat="false" ht="15" hidden="false" customHeight="false" outlineLevel="0" collapsed="false">
      <c r="B1911" s="19" t="s">
        <v>2927</v>
      </c>
      <c r="C1911" s="20" t="n">
        <f aca="false">ROUND(1.14/FX,2)</f>
        <v>0.16</v>
      </c>
      <c r="D1911" s="21" t="s">
        <v>2921</v>
      </c>
      <c r="E1911" s="21" t="s">
        <v>789</v>
      </c>
      <c r="F1911" s="21" t="s">
        <v>724</v>
      </c>
      <c r="G1911" s="21" t="s">
        <v>833</v>
      </c>
    </row>
    <row r="1912" customFormat="false" ht="15" hidden="false" customHeight="false" outlineLevel="0" collapsed="false">
      <c r="B1912" s="19" t="s">
        <v>2928</v>
      </c>
      <c r="C1912" s="20" t="n">
        <f aca="false">ROUND(1.04/FX,2)</f>
        <v>0.14</v>
      </c>
      <c r="D1912" s="21" t="s">
        <v>2921</v>
      </c>
      <c r="E1912" s="21" t="s">
        <v>716</v>
      </c>
      <c r="F1912" s="21" t="s">
        <v>724</v>
      </c>
      <c r="G1912" s="21" t="s">
        <v>833</v>
      </c>
    </row>
    <row r="1913" customFormat="false" ht="15" hidden="false" customHeight="false" outlineLevel="0" collapsed="false">
      <c r="B1913" s="19" t="s">
        <v>2929</v>
      </c>
      <c r="C1913" s="20" t="n">
        <f aca="false">ROUND(1.14/FX,2)</f>
        <v>0.16</v>
      </c>
      <c r="D1913" s="21" t="s">
        <v>2921</v>
      </c>
      <c r="E1913" s="21" t="s">
        <v>719</v>
      </c>
      <c r="F1913" s="21" t="s">
        <v>724</v>
      </c>
      <c r="G1913" s="21" t="s">
        <v>833</v>
      </c>
    </row>
    <row r="1914" customFormat="false" ht="15" hidden="false" customHeight="false" outlineLevel="0" collapsed="false">
      <c r="B1914" s="19" t="s">
        <v>2930</v>
      </c>
      <c r="C1914" s="20" t="n">
        <f aca="false">ROUND(1.14/FX,2)</f>
        <v>0.16</v>
      </c>
      <c r="D1914" s="21" t="s">
        <v>2931</v>
      </c>
      <c r="E1914" s="21" t="s">
        <v>707</v>
      </c>
      <c r="F1914" s="21" t="s">
        <v>724</v>
      </c>
      <c r="G1914" s="21" t="s">
        <v>833</v>
      </c>
    </row>
    <row r="1915" customFormat="false" ht="15" hidden="false" customHeight="false" outlineLevel="0" collapsed="false">
      <c r="B1915" s="19" t="s">
        <v>2932</v>
      </c>
      <c r="C1915" s="20" t="n">
        <f aca="false">ROUND(1.14/FX,2)</f>
        <v>0.16</v>
      </c>
      <c r="D1915" s="21" t="s">
        <v>2931</v>
      </c>
      <c r="E1915" s="21" t="s">
        <v>761</v>
      </c>
      <c r="F1915" s="21" t="s">
        <v>724</v>
      </c>
      <c r="G1915" s="21" t="s">
        <v>833</v>
      </c>
    </row>
    <row r="1916" customFormat="false" ht="15" hidden="false" customHeight="false" outlineLevel="0" collapsed="false">
      <c r="B1916" s="19" t="s">
        <v>2933</v>
      </c>
      <c r="C1916" s="20" t="n">
        <f aca="false">ROUND(1.14/FX,2)</f>
        <v>0.16</v>
      </c>
      <c r="D1916" s="21" t="s">
        <v>2931</v>
      </c>
      <c r="E1916" s="21" t="s">
        <v>714</v>
      </c>
      <c r="F1916" s="21" t="s">
        <v>724</v>
      </c>
      <c r="G1916" s="21" t="s">
        <v>833</v>
      </c>
    </row>
    <row r="1917" customFormat="false" ht="15" hidden="false" customHeight="false" outlineLevel="0" collapsed="false">
      <c r="B1917" s="19" t="s">
        <v>2934</v>
      </c>
      <c r="C1917" s="20" t="n">
        <f aca="false">ROUND(0.59/FX,2)</f>
        <v>0.08</v>
      </c>
      <c r="D1917" s="21" t="s">
        <v>2931</v>
      </c>
      <c r="E1917" s="21" t="s">
        <v>837</v>
      </c>
      <c r="F1917" s="21" t="s">
        <v>724</v>
      </c>
      <c r="G1917" s="21" t="s">
        <v>833</v>
      </c>
    </row>
    <row r="1918" customFormat="false" ht="15" hidden="false" customHeight="false" outlineLevel="0" collapsed="false">
      <c r="B1918" s="19" t="s">
        <v>2935</v>
      </c>
      <c r="C1918" s="20" t="n">
        <f aca="false">ROUND(1.14/FX,2)</f>
        <v>0.16</v>
      </c>
      <c r="D1918" s="21" t="s">
        <v>2931</v>
      </c>
      <c r="E1918" s="21" t="s">
        <v>839</v>
      </c>
      <c r="F1918" s="21" t="s">
        <v>724</v>
      </c>
      <c r="G1918" s="21" t="s">
        <v>833</v>
      </c>
    </row>
    <row r="1919" customFormat="false" ht="15" hidden="false" customHeight="false" outlineLevel="0" collapsed="false">
      <c r="B1919" s="19" t="s">
        <v>2936</v>
      </c>
      <c r="C1919" s="20" t="n">
        <f aca="false">ROUND(1.14/FX,2)</f>
        <v>0.16</v>
      </c>
      <c r="D1919" s="21" t="s">
        <v>2931</v>
      </c>
      <c r="E1919" s="21" t="s">
        <v>841</v>
      </c>
      <c r="F1919" s="21" t="s">
        <v>724</v>
      </c>
      <c r="G1919" s="21" t="s">
        <v>833</v>
      </c>
    </row>
    <row r="1920" customFormat="false" ht="15" hidden="false" customHeight="false" outlineLevel="0" collapsed="false">
      <c r="B1920" s="19" t="s">
        <v>2937</v>
      </c>
      <c r="C1920" s="20" t="n">
        <f aca="false">ROUND(1.14/FX,2)</f>
        <v>0.16</v>
      </c>
      <c r="D1920" s="21" t="s">
        <v>2931</v>
      </c>
      <c r="E1920" s="21" t="s">
        <v>789</v>
      </c>
      <c r="F1920" s="21" t="s">
        <v>724</v>
      </c>
      <c r="G1920" s="21" t="s">
        <v>833</v>
      </c>
    </row>
    <row r="1921" customFormat="false" ht="15" hidden="false" customHeight="false" outlineLevel="0" collapsed="false">
      <c r="B1921" s="19" t="s">
        <v>2938</v>
      </c>
      <c r="C1921" s="20" t="n">
        <f aca="false">ROUND(1.14/FX,2)</f>
        <v>0.16</v>
      </c>
      <c r="D1921" s="21" t="s">
        <v>2931</v>
      </c>
      <c r="E1921" s="21" t="s">
        <v>716</v>
      </c>
      <c r="F1921" s="21" t="s">
        <v>724</v>
      </c>
      <c r="G1921" s="21" t="s">
        <v>833</v>
      </c>
    </row>
    <row r="1922" customFormat="false" ht="15" hidden="false" customHeight="false" outlineLevel="0" collapsed="false">
      <c r="B1922" s="19" t="s">
        <v>2939</v>
      </c>
      <c r="C1922" s="20" t="n">
        <f aca="false">ROUND(1.14/FX,2)</f>
        <v>0.16</v>
      </c>
      <c r="D1922" s="21" t="s">
        <v>2931</v>
      </c>
      <c r="E1922" s="21" t="s">
        <v>719</v>
      </c>
      <c r="F1922" s="21" t="s">
        <v>724</v>
      </c>
      <c r="G1922" s="21" t="s">
        <v>833</v>
      </c>
    </row>
    <row r="1923" customFormat="false" ht="15" hidden="false" customHeight="false" outlineLevel="0" collapsed="false">
      <c r="B1923" s="19" t="s">
        <v>2940</v>
      </c>
      <c r="C1923" s="20" t="n">
        <f aca="false">ROUND(1.14/FX,2)</f>
        <v>0.16</v>
      </c>
      <c r="D1923" s="21" t="s">
        <v>2941</v>
      </c>
      <c r="E1923" s="21" t="s">
        <v>707</v>
      </c>
      <c r="F1923" s="21" t="s">
        <v>724</v>
      </c>
      <c r="G1923" s="21" t="s">
        <v>833</v>
      </c>
    </row>
    <row r="1924" customFormat="false" ht="15" hidden="false" customHeight="false" outlineLevel="0" collapsed="false">
      <c r="B1924" s="19" t="s">
        <v>2942</v>
      </c>
      <c r="C1924" s="20" t="n">
        <f aca="false">ROUND(1.14/FX,2)</f>
        <v>0.16</v>
      </c>
      <c r="D1924" s="21" t="s">
        <v>2941</v>
      </c>
      <c r="E1924" s="21" t="s">
        <v>761</v>
      </c>
      <c r="F1924" s="21" t="s">
        <v>724</v>
      </c>
      <c r="G1924" s="21" t="s">
        <v>833</v>
      </c>
    </row>
    <row r="1925" customFormat="false" ht="15" hidden="false" customHeight="false" outlineLevel="0" collapsed="false">
      <c r="B1925" s="19" t="s">
        <v>2943</v>
      </c>
      <c r="C1925" s="20" t="n">
        <f aca="false">ROUND(1.14/FX,2)</f>
        <v>0.16</v>
      </c>
      <c r="D1925" s="21" t="s">
        <v>2941</v>
      </c>
      <c r="E1925" s="21" t="s">
        <v>714</v>
      </c>
      <c r="F1925" s="21" t="s">
        <v>724</v>
      </c>
      <c r="G1925" s="21" t="s">
        <v>833</v>
      </c>
    </row>
    <row r="1926" customFormat="false" ht="15" hidden="false" customHeight="false" outlineLevel="0" collapsed="false">
      <c r="B1926" s="19" t="s">
        <v>2944</v>
      </c>
      <c r="C1926" s="20" t="n">
        <f aca="false">ROUND(0.59/FX,2)</f>
        <v>0.08</v>
      </c>
      <c r="D1926" s="21" t="s">
        <v>2941</v>
      </c>
      <c r="E1926" s="21" t="s">
        <v>837</v>
      </c>
      <c r="F1926" s="21" t="s">
        <v>724</v>
      </c>
      <c r="G1926" s="21" t="s">
        <v>833</v>
      </c>
    </row>
    <row r="1927" customFormat="false" ht="15" hidden="false" customHeight="false" outlineLevel="0" collapsed="false">
      <c r="B1927" s="19" t="s">
        <v>2945</v>
      </c>
      <c r="C1927" s="20" t="n">
        <f aca="false">ROUND(1.14/FX,2)</f>
        <v>0.16</v>
      </c>
      <c r="D1927" s="21" t="s">
        <v>2941</v>
      </c>
      <c r="E1927" s="21" t="s">
        <v>839</v>
      </c>
      <c r="F1927" s="21" t="s">
        <v>724</v>
      </c>
      <c r="G1927" s="21" t="s">
        <v>833</v>
      </c>
    </row>
    <row r="1928" customFormat="false" ht="15" hidden="false" customHeight="false" outlineLevel="0" collapsed="false">
      <c r="B1928" s="19" t="s">
        <v>2946</v>
      </c>
      <c r="C1928" s="20" t="n">
        <f aca="false">ROUND(1.14/FX,2)</f>
        <v>0.16</v>
      </c>
      <c r="D1928" s="21" t="s">
        <v>2941</v>
      </c>
      <c r="E1928" s="21" t="s">
        <v>841</v>
      </c>
      <c r="F1928" s="21" t="s">
        <v>724</v>
      </c>
      <c r="G1928" s="21" t="s">
        <v>833</v>
      </c>
    </row>
    <row r="1929" customFormat="false" ht="15" hidden="false" customHeight="false" outlineLevel="0" collapsed="false">
      <c r="B1929" s="19" t="s">
        <v>2947</v>
      </c>
      <c r="C1929" s="20" t="n">
        <f aca="false">ROUND(1.14/FX,2)</f>
        <v>0.16</v>
      </c>
      <c r="D1929" s="21" t="s">
        <v>2941</v>
      </c>
      <c r="E1929" s="21" t="s">
        <v>789</v>
      </c>
      <c r="F1929" s="21" t="s">
        <v>724</v>
      </c>
      <c r="G1929" s="21" t="s">
        <v>833</v>
      </c>
    </row>
    <row r="1930" customFormat="false" ht="15" hidden="false" customHeight="false" outlineLevel="0" collapsed="false">
      <c r="B1930" s="19" t="s">
        <v>2948</v>
      </c>
      <c r="C1930" s="20" t="n">
        <f aca="false">ROUND(1.11/FX,2)</f>
        <v>0.15</v>
      </c>
      <c r="D1930" s="21" t="s">
        <v>2941</v>
      </c>
      <c r="E1930" s="21" t="s">
        <v>716</v>
      </c>
      <c r="F1930" s="21" t="s">
        <v>724</v>
      </c>
      <c r="G1930" s="21" t="s">
        <v>833</v>
      </c>
    </row>
    <row r="1931" customFormat="false" ht="15" hidden="false" customHeight="false" outlineLevel="0" collapsed="false">
      <c r="B1931" s="19" t="s">
        <v>2949</v>
      </c>
      <c r="C1931" s="20" t="n">
        <f aca="false">ROUND(1.14/FX,2)</f>
        <v>0.16</v>
      </c>
      <c r="D1931" s="21" t="s">
        <v>2941</v>
      </c>
      <c r="E1931" s="21" t="s">
        <v>719</v>
      </c>
      <c r="F1931" s="21" t="s">
        <v>724</v>
      </c>
      <c r="G1931" s="21" t="s">
        <v>833</v>
      </c>
    </row>
    <row r="1932" customFormat="false" ht="15" hidden="false" customHeight="false" outlineLevel="0" collapsed="false">
      <c r="B1932" s="19" t="s">
        <v>2950</v>
      </c>
      <c r="C1932" s="20" t="n">
        <f aca="false">ROUND(1.14/FX,2)</f>
        <v>0.16</v>
      </c>
      <c r="D1932" s="21" t="s">
        <v>2951</v>
      </c>
      <c r="E1932" s="21" t="s">
        <v>707</v>
      </c>
      <c r="F1932" s="21" t="s">
        <v>724</v>
      </c>
      <c r="G1932" s="21" t="s">
        <v>833</v>
      </c>
    </row>
    <row r="1933" customFormat="false" ht="15" hidden="false" customHeight="false" outlineLevel="0" collapsed="false">
      <c r="B1933" s="19" t="s">
        <v>2952</v>
      </c>
      <c r="C1933" s="20" t="n">
        <f aca="false">ROUND(1.14/FX,2)</f>
        <v>0.16</v>
      </c>
      <c r="D1933" s="21" t="s">
        <v>2951</v>
      </c>
      <c r="E1933" s="21" t="s">
        <v>761</v>
      </c>
      <c r="F1933" s="21" t="s">
        <v>724</v>
      </c>
      <c r="G1933" s="21" t="s">
        <v>833</v>
      </c>
    </row>
    <row r="1934" customFormat="false" ht="15" hidden="false" customHeight="false" outlineLevel="0" collapsed="false">
      <c r="B1934" s="19" t="s">
        <v>2953</v>
      </c>
      <c r="C1934" s="20" t="n">
        <f aca="false">ROUND(1.14/FX,2)</f>
        <v>0.16</v>
      </c>
      <c r="D1934" s="21" t="s">
        <v>2951</v>
      </c>
      <c r="E1934" s="21" t="s">
        <v>714</v>
      </c>
      <c r="F1934" s="21" t="s">
        <v>724</v>
      </c>
      <c r="G1934" s="21" t="s">
        <v>833</v>
      </c>
    </row>
    <row r="1935" customFormat="false" ht="15" hidden="false" customHeight="false" outlineLevel="0" collapsed="false">
      <c r="B1935" s="19" t="s">
        <v>2954</v>
      </c>
      <c r="C1935" s="20" t="n">
        <f aca="false">ROUND(0.59/FX,2)</f>
        <v>0.08</v>
      </c>
      <c r="D1935" s="21" t="s">
        <v>2951</v>
      </c>
      <c r="E1935" s="21" t="s">
        <v>837</v>
      </c>
      <c r="F1935" s="21" t="s">
        <v>724</v>
      </c>
      <c r="G1935" s="21" t="s">
        <v>833</v>
      </c>
    </row>
    <row r="1936" customFormat="false" ht="15" hidden="false" customHeight="false" outlineLevel="0" collapsed="false">
      <c r="B1936" s="19" t="s">
        <v>2955</v>
      </c>
      <c r="C1936" s="20" t="n">
        <f aca="false">ROUND(1.14/FX,2)</f>
        <v>0.16</v>
      </c>
      <c r="D1936" s="21" t="s">
        <v>2951</v>
      </c>
      <c r="E1936" s="21" t="s">
        <v>839</v>
      </c>
      <c r="F1936" s="21" t="s">
        <v>724</v>
      </c>
      <c r="G1936" s="21" t="s">
        <v>833</v>
      </c>
    </row>
    <row r="1937" customFormat="false" ht="15" hidden="false" customHeight="false" outlineLevel="0" collapsed="false">
      <c r="B1937" s="19" t="s">
        <v>2956</v>
      </c>
      <c r="C1937" s="20" t="n">
        <f aca="false">ROUND(1.14/FX,2)</f>
        <v>0.16</v>
      </c>
      <c r="D1937" s="21" t="s">
        <v>2951</v>
      </c>
      <c r="E1937" s="21" t="s">
        <v>841</v>
      </c>
      <c r="F1937" s="21" t="s">
        <v>724</v>
      </c>
      <c r="G1937" s="21" t="s">
        <v>833</v>
      </c>
    </row>
    <row r="1938" customFormat="false" ht="15" hidden="false" customHeight="false" outlineLevel="0" collapsed="false">
      <c r="B1938" s="19" t="s">
        <v>2957</v>
      </c>
      <c r="C1938" s="20" t="n">
        <f aca="false">ROUND(1.14/FX,2)</f>
        <v>0.16</v>
      </c>
      <c r="D1938" s="21" t="s">
        <v>2951</v>
      </c>
      <c r="E1938" s="21" t="s">
        <v>789</v>
      </c>
      <c r="F1938" s="21" t="s">
        <v>724</v>
      </c>
      <c r="G1938" s="21" t="s">
        <v>833</v>
      </c>
    </row>
    <row r="1939" customFormat="false" ht="15" hidden="false" customHeight="false" outlineLevel="0" collapsed="false">
      <c r="B1939" s="19" t="s">
        <v>2958</v>
      </c>
      <c r="C1939" s="20" t="n">
        <f aca="false">ROUND(1.14/FX,2)</f>
        <v>0.16</v>
      </c>
      <c r="D1939" s="21" t="s">
        <v>2951</v>
      </c>
      <c r="E1939" s="21" t="s">
        <v>716</v>
      </c>
      <c r="F1939" s="21" t="s">
        <v>724</v>
      </c>
      <c r="G1939" s="21" t="s">
        <v>833</v>
      </c>
    </row>
    <row r="1940" customFormat="false" ht="15" hidden="false" customHeight="false" outlineLevel="0" collapsed="false">
      <c r="B1940" s="19" t="s">
        <v>2959</v>
      </c>
      <c r="C1940" s="20" t="n">
        <f aca="false">ROUND(1.14/FX,2)</f>
        <v>0.16</v>
      </c>
      <c r="D1940" s="21" t="s">
        <v>2951</v>
      </c>
      <c r="E1940" s="21" t="s">
        <v>719</v>
      </c>
      <c r="F1940" s="21" t="s">
        <v>724</v>
      </c>
      <c r="G1940" s="21" t="s">
        <v>833</v>
      </c>
    </row>
    <row r="1941" customFormat="false" ht="15" hidden="false" customHeight="false" outlineLevel="0" collapsed="false">
      <c r="B1941" s="19" t="s">
        <v>2960</v>
      </c>
      <c r="C1941" s="20" t="n">
        <f aca="false">ROUND(1.14/FX,2)</f>
        <v>0.16</v>
      </c>
      <c r="D1941" s="21" t="s">
        <v>2961</v>
      </c>
      <c r="E1941" s="21" t="s">
        <v>707</v>
      </c>
      <c r="F1941" s="21" t="s">
        <v>724</v>
      </c>
      <c r="G1941" s="21" t="s">
        <v>833</v>
      </c>
    </row>
    <row r="1942" customFormat="false" ht="15" hidden="false" customHeight="false" outlineLevel="0" collapsed="false">
      <c r="B1942" s="19" t="s">
        <v>2962</v>
      </c>
      <c r="C1942" s="20" t="n">
        <f aca="false">ROUND(1.14/FX,2)</f>
        <v>0.16</v>
      </c>
      <c r="D1942" s="21" t="s">
        <v>2961</v>
      </c>
      <c r="E1942" s="21" t="s">
        <v>761</v>
      </c>
      <c r="F1942" s="21" t="s">
        <v>724</v>
      </c>
      <c r="G1942" s="21" t="s">
        <v>833</v>
      </c>
    </row>
    <row r="1943" customFormat="false" ht="15" hidden="false" customHeight="false" outlineLevel="0" collapsed="false">
      <c r="B1943" s="19" t="s">
        <v>2963</v>
      </c>
      <c r="C1943" s="20" t="n">
        <f aca="false">ROUND(1.14/FX,2)</f>
        <v>0.16</v>
      </c>
      <c r="D1943" s="21" t="s">
        <v>2961</v>
      </c>
      <c r="E1943" s="21" t="s">
        <v>714</v>
      </c>
      <c r="F1943" s="21" t="s">
        <v>724</v>
      </c>
      <c r="G1943" s="21" t="s">
        <v>833</v>
      </c>
    </row>
    <row r="1944" customFormat="false" ht="15" hidden="false" customHeight="false" outlineLevel="0" collapsed="false">
      <c r="B1944" s="19" t="s">
        <v>2964</v>
      </c>
      <c r="C1944" s="20" t="n">
        <f aca="false">ROUND(0.59/FX,2)</f>
        <v>0.08</v>
      </c>
      <c r="D1944" s="21" t="s">
        <v>2961</v>
      </c>
      <c r="E1944" s="21" t="s">
        <v>837</v>
      </c>
      <c r="F1944" s="21" t="s">
        <v>724</v>
      </c>
      <c r="G1944" s="21" t="s">
        <v>833</v>
      </c>
    </row>
    <row r="1945" customFormat="false" ht="15" hidden="false" customHeight="false" outlineLevel="0" collapsed="false">
      <c r="B1945" s="19" t="s">
        <v>2965</v>
      </c>
      <c r="C1945" s="20" t="n">
        <f aca="false">ROUND(1.14/FX,2)</f>
        <v>0.16</v>
      </c>
      <c r="D1945" s="21" t="s">
        <v>2961</v>
      </c>
      <c r="E1945" s="21" t="s">
        <v>839</v>
      </c>
      <c r="F1945" s="21" t="s">
        <v>724</v>
      </c>
      <c r="G1945" s="21" t="s">
        <v>833</v>
      </c>
    </row>
    <row r="1946" customFormat="false" ht="15" hidden="false" customHeight="false" outlineLevel="0" collapsed="false">
      <c r="B1946" s="19" t="s">
        <v>2966</v>
      </c>
      <c r="C1946" s="20" t="n">
        <f aca="false">ROUND(1.14/FX,2)</f>
        <v>0.16</v>
      </c>
      <c r="D1946" s="21" t="s">
        <v>2961</v>
      </c>
      <c r="E1946" s="21" t="s">
        <v>841</v>
      </c>
      <c r="F1946" s="21" t="s">
        <v>724</v>
      </c>
      <c r="G1946" s="21" t="s">
        <v>833</v>
      </c>
    </row>
    <row r="1947" customFormat="false" ht="15" hidden="false" customHeight="false" outlineLevel="0" collapsed="false">
      <c r="B1947" s="19" t="s">
        <v>2967</v>
      </c>
      <c r="C1947" s="20" t="n">
        <f aca="false">ROUND(1.14/FX,2)</f>
        <v>0.16</v>
      </c>
      <c r="D1947" s="21" t="s">
        <v>2961</v>
      </c>
      <c r="E1947" s="21" t="s">
        <v>789</v>
      </c>
      <c r="F1947" s="21" t="s">
        <v>724</v>
      </c>
      <c r="G1947" s="21" t="s">
        <v>833</v>
      </c>
    </row>
    <row r="1948" customFormat="false" ht="15" hidden="false" customHeight="false" outlineLevel="0" collapsed="false">
      <c r="B1948" s="19" t="s">
        <v>2968</v>
      </c>
      <c r="C1948" s="20" t="n">
        <f aca="false">ROUND(1.04/FX,2)</f>
        <v>0.14</v>
      </c>
      <c r="D1948" s="21" t="s">
        <v>2961</v>
      </c>
      <c r="E1948" s="21" t="s">
        <v>716</v>
      </c>
      <c r="F1948" s="21" t="s">
        <v>724</v>
      </c>
      <c r="G1948" s="21" t="s">
        <v>833</v>
      </c>
    </row>
    <row r="1949" customFormat="false" ht="15" hidden="false" customHeight="false" outlineLevel="0" collapsed="false">
      <c r="B1949" s="19" t="s">
        <v>2969</v>
      </c>
      <c r="C1949" s="20" t="n">
        <f aca="false">ROUND(1.14/FX,2)</f>
        <v>0.16</v>
      </c>
      <c r="D1949" s="21" t="s">
        <v>2961</v>
      </c>
      <c r="E1949" s="21" t="s">
        <v>719</v>
      </c>
      <c r="F1949" s="21" t="s">
        <v>724</v>
      </c>
      <c r="G1949" s="21" t="s">
        <v>833</v>
      </c>
    </row>
    <row r="1950" customFormat="false" ht="15" hidden="false" customHeight="false" outlineLevel="0" collapsed="false">
      <c r="B1950" s="19" t="s">
        <v>2970</v>
      </c>
      <c r="C1950" s="20" t="n">
        <f aca="false">ROUND(1.14/FX,2)</f>
        <v>0.16</v>
      </c>
      <c r="D1950" s="21" t="s">
        <v>2971</v>
      </c>
      <c r="E1950" s="21" t="s">
        <v>707</v>
      </c>
      <c r="F1950" s="21" t="s">
        <v>724</v>
      </c>
      <c r="G1950" s="21" t="s">
        <v>833</v>
      </c>
    </row>
    <row r="1951" customFormat="false" ht="15" hidden="false" customHeight="false" outlineLevel="0" collapsed="false">
      <c r="B1951" s="19" t="s">
        <v>2972</v>
      </c>
      <c r="C1951" s="20" t="n">
        <f aca="false">ROUND(1.14/FX,2)</f>
        <v>0.16</v>
      </c>
      <c r="D1951" s="21" t="s">
        <v>2971</v>
      </c>
      <c r="E1951" s="21" t="s">
        <v>761</v>
      </c>
      <c r="F1951" s="21" t="s">
        <v>724</v>
      </c>
      <c r="G1951" s="21" t="s">
        <v>833</v>
      </c>
    </row>
    <row r="1952" customFormat="false" ht="15" hidden="false" customHeight="false" outlineLevel="0" collapsed="false">
      <c r="B1952" s="19" t="s">
        <v>2973</v>
      </c>
      <c r="C1952" s="20" t="n">
        <f aca="false">ROUND(1.14/FX,2)</f>
        <v>0.16</v>
      </c>
      <c r="D1952" s="21" t="s">
        <v>2971</v>
      </c>
      <c r="E1952" s="21" t="s">
        <v>714</v>
      </c>
      <c r="F1952" s="21" t="s">
        <v>724</v>
      </c>
      <c r="G1952" s="21" t="s">
        <v>833</v>
      </c>
    </row>
    <row r="1953" customFormat="false" ht="15" hidden="false" customHeight="false" outlineLevel="0" collapsed="false">
      <c r="B1953" s="19" t="s">
        <v>2974</v>
      </c>
      <c r="C1953" s="20" t="n">
        <f aca="false">ROUND(0.59/FX,2)</f>
        <v>0.08</v>
      </c>
      <c r="D1953" s="21" t="s">
        <v>2971</v>
      </c>
      <c r="E1953" s="21" t="s">
        <v>837</v>
      </c>
      <c r="F1953" s="21" t="s">
        <v>724</v>
      </c>
      <c r="G1953" s="21" t="s">
        <v>833</v>
      </c>
    </row>
    <row r="1954" customFormat="false" ht="15" hidden="false" customHeight="false" outlineLevel="0" collapsed="false">
      <c r="B1954" s="19" t="s">
        <v>2975</v>
      </c>
      <c r="C1954" s="20" t="n">
        <f aca="false">ROUND(1.14/FX,2)</f>
        <v>0.16</v>
      </c>
      <c r="D1954" s="21" t="s">
        <v>2971</v>
      </c>
      <c r="E1954" s="21" t="s">
        <v>839</v>
      </c>
      <c r="F1954" s="21" t="s">
        <v>724</v>
      </c>
      <c r="G1954" s="21" t="s">
        <v>833</v>
      </c>
    </row>
    <row r="1955" customFormat="false" ht="15" hidden="false" customHeight="false" outlineLevel="0" collapsed="false">
      <c r="B1955" s="19" t="s">
        <v>2976</v>
      </c>
      <c r="C1955" s="20" t="n">
        <f aca="false">ROUND(1.14/FX,2)</f>
        <v>0.16</v>
      </c>
      <c r="D1955" s="21" t="s">
        <v>2971</v>
      </c>
      <c r="E1955" s="21" t="s">
        <v>841</v>
      </c>
      <c r="F1955" s="21" t="s">
        <v>724</v>
      </c>
      <c r="G1955" s="21" t="s">
        <v>833</v>
      </c>
    </row>
    <row r="1956" customFormat="false" ht="15" hidden="false" customHeight="false" outlineLevel="0" collapsed="false">
      <c r="B1956" s="19" t="s">
        <v>2977</v>
      </c>
      <c r="C1956" s="20" t="n">
        <f aca="false">ROUND(1.14/FX,2)</f>
        <v>0.16</v>
      </c>
      <c r="D1956" s="21" t="s">
        <v>2971</v>
      </c>
      <c r="E1956" s="21" t="s">
        <v>789</v>
      </c>
      <c r="F1956" s="21" t="s">
        <v>724</v>
      </c>
      <c r="G1956" s="21" t="s">
        <v>833</v>
      </c>
    </row>
    <row r="1957" customFormat="false" ht="15" hidden="false" customHeight="false" outlineLevel="0" collapsed="false">
      <c r="B1957" s="19" t="s">
        <v>2978</v>
      </c>
      <c r="C1957" s="20" t="n">
        <f aca="false">ROUND(1.14/FX,2)</f>
        <v>0.16</v>
      </c>
      <c r="D1957" s="21" t="s">
        <v>2971</v>
      </c>
      <c r="E1957" s="21" t="s">
        <v>716</v>
      </c>
      <c r="F1957" s="21" t="s">
        <v>724</v>
      </c>
      <c r="G1957" s="21" t="s">
        <v>833</v>
      </c>
    </row>
    <row r="1958" customFormat="false" ht="15" hidden="false" customHeight="false" outlineLevel="0" collapsed="false">
      <c r="B1958" s="19" t="s">
        <v>2979</v>
      </c>
      <c r="C1958" s="20" t="n">
        <f aca="false">ROUND(1.14/FX,2)</f>
        <v>0.16</v>
      </c>
      <c r="D1958" s="21" t="s">
        <v>2971</v>
      </c>
      <c r="E1958" s="21" t="s">
        <v>719</v>
      </c>
      <c r="F1958" s="21" t="s">
        <v>724</v>
      </c>
      <c r="G1958" s="21" t="s">
        <v>833</v>
      </c>
    </row>
    <row r="1959" customFormat="false" ht="15" hidden="false" customHeight="false" outlineLevel="0" collapsed="false">
      <c r="B1959" s="19" t="s">
        <v>2980</v>
      </c>
      <c r="C1959" s="20" t="n">
        <f aca="false">ROUND(1.14/FX,2)</f>
        <v>0.16</v>
      </c>
      <c r="D1959" s="21" t="s">
        <v>2981</v>
      </c>
      <c r="E1959" s="21" t="s">
        <v>707</v>
      </c>
      <c r="F1959" s="21" t="s">
        <v>724</v>
      </c>
      <c r="G1959" s="21" t="s">
        <v>833</v>
      </c>
    </row>
    <row r="1960" customFormat="false" ht="15" hidden="false" customHeight="false" outlineLevel="0" collapsed="false">
      <c r="B1960" s="19" t="s">
        <v>2982</v>
      </c>
      <c r="C1960" s="20" t="n">
        <f aca="false">ROUND(1.14/FX,2)</f>
        <v>0.16</v>
      </c>
      <c r="D1960" s="21" t="s">
        <v>2981</v>
      </c>
      <c r="E1960" s="21" t="s">
        <v>761</v>
      </c>
      <c r="F1960" s="21" t="s">
        <v>724</v>
      </c>
      <c r="G1960" s="21" t="s">
        <v>833</v>
      </c>
    </row>
    <row r="1961" customFormat="false" ht="15" hidden="false" customHeight="false" outlineLevel="0" collapsed="false">
      <c r="B1961" s="19" t="s">
        <v>2983</v>
      </c>
      <c r="C1961" s="20" t="n">
        <f aca="false">ROUND(1.14/FX,2)</f>
        <v>0.16</v>
      </c>
      <c r="D1961" s="21" t="s">
        <v>2981</v>
      </c>
      <c r="E1961" s="21" t="s">
        <v>714</v>
      </c>
      <c r="F1961" s="21" t="s">
        <v>724</v>
      </c>
      <c r="G1961" s="21" t="s">
        <v>833</v>
      </c>
    </row>
    <row r="1962" customFormat="false" ht="15" hidden="false" customHeight="false" outlineLevel="0" collapsed="false">
      <c r="B1962" s="19" t="s">
        <v>2984</v>
      </c>
      <c r="C1962" s="20" t="n">
        <f aca="false">ROUND(0.59/FX,2)</f>
        <v>0.08</v>
      </c>
      <c r="D1962" s="21" t="s">
        <v>2981</v>
      </c>
      <c r="E1962" s="21" t="s">
        <v>837</v>
      </c>
      <c r="F1962" s="21" t="s">
        <v>724</v>
      </c>
      <c r="G1962" s="21" t="s">
        <v>833</v>
      </c>
    </row>
    <row r="1963" customFormat="false" ht="15" hidden="false" customHeight="false" outlineLevel="0" collapsed="false">
      <c r="B1963" s="19" t="s">
        <v>2985</v>
      </c>
      <c r="C1963" s="20" t="n">
        <f aca="false">ROUND(1.14/FX,2)</f>
        <v>0.16</v>
      </c>
      <c r="D1963" s="21" t="s">
        <v>2981</v>
      </c>
      <c r="E1963" s="21" t="s">
        <v>839</v>
      </c>
      <c r="F1963" s="21" t="s">
        <v>724</v>
      </c>
      <c r="G1963" s="21" t="s">
        <v>833</v>
      </c>
    </row>
    <row r="1964" customFormat="false" ht="15" hidden="false" customHeight="false" outlineLevel="0" collapsed="false">
      <c r="B1964" s="19" t="s">
        <v>2986</v>
      </c>
      <c r="C1964" s="20" t="n">
        <f aca="false">ROUND(1.14/FX,2)</f>
        <v>0.16</v>
      </c>
      <c r="D1964" s="21" t="s">
        <v>2981</v>
      </c>
      <c r="E1964" s="21" t="s">
        <v>841</v>
      </c>
      <c r="F1964" s="21" t="s">
        <v>724</v>
      </c>
      <c r="G1964" s="21" t="s">
        <v>833</v>
      </c>
    </row>
    <row r="1965" customFormat="false" ht="15" hidden="false" customHeight="false" outlineLevel="0" collapsed="false">
      <c r="B1965" s="19" t="s">
        <v>2987</v>
      </c>
      <c r="C1965" s="20" t="n">
        <f aca="false">ROUND(1.14/FX,2)</f>
        <v>0.16</v>
      </c>
      <c r="D1965" s="21" t="s">
        <v>2981</v>
      </c>
      <c r="E1965" s="21" t="s">
        <v>789</v>
      </c>
      <c r="F1965" s="21" t="s">
        <v>724</v>
      </c>
      <c r="G1965" s="21" t="s">
        <v>833</v>
      </c>
    </row>
    <row r="1966" customFormat="false" ht="15" hidden="false" customHeight="false" outlineLevel="0" collapsed="false">
      <c r="B1966" s="19" t="s">
        <v>2988</v>
      </c>
      <c r="C1966" s="20" t="n">
        <f aca="false">ROUND(1.14/FX,2)</f>
        <v>0.16</v>
      </c>
      <c r="D1966" s="21" t="s">
        <v>2981</v>
      </c>
      <c r="E1966" s="21" t="s">
        <v>716</v>
      </c>
      <c r="F1966" s="21" t="s">
        <v>724</v>
      </c>
      <c r="G1966" s="21" t="s">
        <v>833</v>
      </c>
    </row>
    <row r="1967" customFormat="false" ht="15" hidden="false" customHeight="false" outlineLevel="0" collapsed="false">
      <c r="B1967" s="19" t="s">
        <v>2989</v>
      </c>
      <c r="C1967" s="20" t="n">
        <f aca="false">ROUND(1.14/FX,2)</f>
        <v>0.16</v>
      </c>
      <c r="D1967" s="21" t="s">
        <v>2981</v>
      </c>
      <c r="E1967" s="21" t="s">
        <v>719</v>
      </c>
      <c r="F1967" s="21" t="s">
        <v>724</v>
      </c>
      <c r="G1967" s="21" t="s">
        <v>833</v>
      </c>
    </row>
    <row r="1968" customFormat="false" ht="15" hidden="false" customHeight="false" outlineLevel="0" collapsed="false">
      <c r="B1968" s="19" t="s">
        <v>2990</v>
      </c>
      <c r="C1968" s="20" t="n">
        <f aca="false">ROUND(1.14/FX,2)</f>
        <v>0.16</v>
      </c>
      <c r="D1968" s="21" t="s">
        <v>2991</v>
      </c>
      <c r="E1968" s="21" t="s">
        <v>707</v>
      </c>
      <c r="F1968" s="21" t="s">
        <v>724</v>
      </c>
      <c r="G1968" s="21" t="s">
        <v>833</v>
      </c>
    </row>
    <row r="1969" customFormat="false" ht="15" hidden="false" customHeight="false" outlineLevel="0" collapsed="false">
      <c r="B1969" s="19" t="s">
        <v>2992</v>
      </c>
      <c r="C1969" s="20" t="n">
        <f aca="false">ROUND(1.14/FX,2)</f>
        <v>0.16</v>
      </c>
      <c r="D1969" s="21" t="s">
        <v>2991</v>
      </c>
      <c r="E1969" s="21" t="s">
        <v>761</v>
      </c>
      <c r="F1969" s="21" t="s">
        <v>724</v>
      </c>
      <c r="G1969" s="21" t="s">
        <v>833</v>
      </c>
    </row>
    <row r="1970" customFormat="false" ht="15" hidden="false" customHeight="false" outlineLevel="0" collapsed="false">
      <c r="B1970" s="19" t="s">
        <v>2993</v>
      </c>
      <c r="C1970" s="20" t="n">
        <f aca="false">ROUND(1.14/FX,2)</f>
        <v>0.16</v>
      </c>
      <c r="D1970" s="21" t="s">
        <v>2991</v>
      </c>
      <c r="E1970" s="21" t="s">
        <v>714</v>
      </c>
      <c r="F1970" s="21" t="s">
        <v>724</v>
      </c>
      <c r="G1970" s="21" t="s">
        <v>833</v>
      </c>
    </row>
    <row r="1971" customFormat="false" ht="15" hidden="false" customHeight="false" outlineLevel="0" collapsed="false">
      <c r="B1971" s="19" t="s">
        <v>2994</v>
      </c>
      <c r="C1971" s="20" t="n">
        <f aca="false">ROUND(0.59/FX,2)</f>
        <v>0.08</v>
      </c>
      <c r="D1971" s="21" t="s">
        <v>2991</v>
      </c>
      <c r="E1971" s="21" t="s">
        <v>837</v>
      </c>
      <c r="F1971" s="21" t="s">
        <v>724</v>
      </c>
      <c r="G1971" s="21" t="s">
        <v>833</v>
      </c>
    </row>
    <row r="1972" customFormat="false" ht="15" hidden="false" customHeight="false" outlineLevel="0" collapsed="false">
      <c r="B1972" s="19" t="s">
        <v>2995</v>
      </c>
      <c r="C1972" s="20" t="n">
        <f aca="false">ROUND(1.04/FX,2)</f>
        <v>0.14</v>
      </c>
      <c r="D1972" s="21" t="s">
        <v>2991</v>
      </c>
      <c r="E1972" s="21" t="s">
        <v>839</v>
      </c>
      <c r="F1972" s="21" t="s">
        <v>724</v>
      </c>
      <c r="G1972" s="21" t="s">
        <v>833</v>
      </c>
    </row>
    <row r="1973" customFormat="false" ht="15" hidden="false" customHeight="false" outlineLevel="0" collapsed="false">
      <c r="B1973" s="19" t="s">
        <v>2996</v>
      </c>
      <c r="C1973" s="20" t="n">
        <f aca="false">ROUND(1.14/FX,2)</f>
        <v>0.16</v>
      </c>
      <c r="D1973" s="21" t="s">
        <v>2991</v>
      </c>
      <c r="E1973" s="21" t="s">
        <v>841</v>
      </c>
      <c r="F1973" s="21" t="s">
        <v>724</v>
      </c>
      <c r="G1973" s="21" t="s">
        <v>833</v>
      </c>
    </row>
    <row r="1974" customFormat="false" ht="15" hidden="false" customHeight="false" outlineLevel="0" collapsed="false">
      <c r="B1974" s="19" t="s">
        <v>2997</v>
      </c>
      <c r="C1974" s="20" t="n">
        <f aca="false">ROUND(1.14/FX,2)</f>
        <v>0.16</v>
      </c>
      <c r="D1974" s="21" t="s">
        <v>2991</v>
      </c>
      <c r="E1974" s="21" t="s">
        <v>789</v>
      </c>
      <c r="F1974" s="21" t="s">
        <v>724</v>
      </c>
      <c r="G1974" s="21" t="s">
        <v>833</v>
      </c>
    </row>
    <row r="1975" customFormat="false" ht="15" hidden="false" customHeight="false" outlineLevel="0" collapsed="false">
      <c r="B1975" s="19" t="s">
        <v>2998</v>
      </c>
      <c r="C1975" s="20" t="n">
        <f aca="false">ROUND(1.04/FX,2)</f>
        <v>0.14</v>
      </c>
      <c r="D1975" s="21" t="s">
        <v>2991</v>
      </c>
      <c r="E1975" s="21" t="s">
        <v>716</v>
      </c>
      <c r="F1975" s="21" t="s">
        <v>724</v>
      </c>
      <c r="G1975" s="21" t="s">
        <v>833</v>
      </c>
    </row>
    <row r="1976" customFormat="false" ht="15" hidden="false" customHeight="false" outlineLevel="0" collapsed="false">
      <c r="B1976" s="19" t="s">
        <v>2999</v>
      </c>
      <c r="C1976" s="20" t="n">
        <f aca="false">ROUND(1.14/FX,2)</f>
        <v>0.16</v>
      </c>
      <c r="D1976" s="21" t="s">
        <v>2991</v>
      </c>
      <c r="E1976" s="21" t="s">
        <v>719</v>
      </c>
      <c r="F1976" s="21" t="s">
        <v>724</v>
      </c>
      <c r="G1976" s="21" t="s">
        <v>833</v>
      </c>
    </row>
    <row r="1977" customFormat="false" ht="15" hidden="false" customHeight="false" outlineLevel="0" collapsed="false">
      <c r="B1977" s="19" t="s">
        <v>3000</v>
      </c>
      <c r="C1977" s="20" t="n">
        <f aca="false">ROUND(1.14/FX,2)</f>
        <v>0.16</v>
      </c>
      <c r="D1977" s="21" t="s">
        <v>3001</v>
      </c>
      <c r="E1977" s="21" t="s">
        <v>707</v>
      </c>
      <c r="F1977" s="21" t="s">
        <v>724</v>
      </c>
      <c r="G1977" s="21" t="s">
        <v>833</v>
      </c>
    </row>
    <row r="1978" customFormat="false" ht="15" hidden="false" customHeight="false" outlineLevel="0" collapsed="false">
      <c r="B1978" s="19" t="s">
        <v>3002</v>
      </c>
      <c r="C1978" s="20" t="n">
        <f aca="false">ROUND(1.14/FX,2)</f>
        <v>0.16</v>
      </c>
      <c r="D1978" s="21" t="s">
        <v>3001</v>
      </c>
      <c r="E1978" s="21" t="s">
        <v>761</v>
      </c>
      <c r="F1978" s="21" t="s">
        <v>724</v>
      </c>
      <c r="G1978" s="21" t="s">
        <v>833</v>
      </c>
    </row>
    <row r="1979" customFormat="false" ht="15" hidden="false" customHeight="false" outlineLevel="0" collapsed="false">
      <c r="B1979" s="19" t="s">
        <v>3003</v>
      </c>
      <c r="C1979" s="20" t="n">
        <f aca="false">ROUND(1.14/FX,2)</f>
        <v>0.16</v>
      </c>
      <c r="D1979" s="21" t="s">
        <v>3001</v>
      </c>
      <c r="E1979" s="21" t="s">
        <v>714</v>
      </c>
      <c r="F1979" s="21" t="s">
        <v>724</v>
      </c>
      <c r="G1979" s="21" t="s">
        <v>833</v>
      </c>
    </row>
    <row r="1980" customFormat="false" ht="15" hidden="false" customHeight="false" outlineLevel="0" collapsed="false">
      <c r="B1980" s="19" t="s">
        <v>3004</v>
      </c>
      <c r="C1980" s="20" t="n">
        <f aca="false">ROUND(0.59/FX,2)</f>
        <v>0.08</v>
      </c>
      <c r="D1980" s="21" t="s">
        <v>3001</v>
      </c>
      <c r="E1980" s="21" t="s">
        <v>837</v>
      </c>
      <c r="F1980" s="21" t="s">
        <v>724</v>
      </c>
      <c r="G1980" s="21" t="s">
        <v>833</v>
      </c>
    </row>
    <row r="1981" customFormat="false" ht="15" hidden="false" customHeight="false" outlineLevel="0" collapsed="false">
      <c r="B1981" s="19" t="s">
        <v>3005</v>
      </c>
      <c r="C1981" s="20" t="n">
        <f aca="false">ROUND(1.14/FX,2)</f>
        <v>0.16</v>
      </c>
      <c r="D1981" s="21" t="s">
        <v>3001</v>
      </c>
      <c r="E1981" s="21" t="s">
        <v>839</v>
      </c>
      <c r="F1981" s="21" t="s">
        <v>724</v>
      </c>
      <c r="G1981" s="21" t="s">
        <v>833</v>
      </c>
    </row>
    <row r="1982" customFormat="false" ht="15" hidden="false" customHeight="false" outlineLevel="0" collapsed="false">
      <c r="B1982" s="19" t="s">
        <v>3006</v>
      </c>
      <c r="C1982" s="20" t="n">
        <f aca="false">ROUND(1.14/FX,2)</f>
        <v>0.16</v>
      </c>
      <c r="D1982" s="21" t="s">
        <v>3001</v>
      </c>
      <c r="E1982" s="21" t="s">
        <v>841</v>
      </c>
      <c r="F1982" s="21" t="s">
        <v>724</v>
      </c>
      <c r="G1982" s="21" t="s">
        <v>833</v>
      </c>
    </row>
    <row r="1983" customFormat="false" ht="15" hidden="false" customHeight="false" outlineLevel="0" collapsed="false">
      <c r="B1983" s="19" t="s">
        <v>3007</v>
      </c>
      <c r="C1983" s="20" t="n">
        <f aca="false">ROUND(1.14/FX,2)</f>
        <v>0.16</v>
      </c>
      <c r="D1983" s="21" t="s">
        <v>3001</v>
      </c>
      <c r="E1983" s="21" t="s">
        <v>789</v>
      </c>
      <c r="F1983" s="21" t="s">
        <v>724</v>
      </c>
      <c r="G1983" s="21" t="s">
        <v>833</v>
      </c>
    </row>
    <row r="1984" customFormat="false" ht="15" hidden="false" customHeight="false" outlineLevel="0" collapsed="false">
      <c r="B1984" s="19" t="s">
        <v>3008</v>
      </c>
      <c r="C1984" s="20" t="n">
        <f aca="false">ROUND(1.14/FX,2)</f>
        <v>0.16</v>
      </c>
      <c r="D1984" s="21" t="s">
        <v>3001</v>
      </c>
      <c r="E1984" s="21" t="s">
        <v>716</v>
      </c>
      <c r="F1984" s="21" t="s">
        <v>724</v>
      </c>
      <c r="G1984" s="21" t="s">
        <v>833</v>
      </c>
    </row>
    <row r="1985" customFormat="false" ht="15" hidden="false" customHeight="false" outlineLevel="0" collapsed="false">
      <c r="B1985" s="19" t="s">
        <v>3009</v>
      </c>
      <c r="C1985" s="20" t="n">
        <f aca="false">ROUND(1.14/FX,2)</f>
        <v>0.16</v>
      </c>
      <c r="D1985" s="21" t="s">
        <v>3001</v>
      </c>
      <c r="E1985" s="21" t="s">
        <v>719</v>
      </c>
      <c r="F1985" s="21" t="s">
        <v>724</v>
      </c>
      <c r="G1985" s="21" t="s">
        <v>833</v>
      </c>
    </row>
    <row r="1986" customFormat="false" ht="15" hidden="false" customHeight="false" outlineLevel="0" collapsed="false">
      <c r="B1986" s="19" t="s">
        <v>3010</v>
      </c>
      <c r="C1986" s="20" t="n">
        <f aca="false">ROUND(1.14/FX,2)</f>
        <v>0.16</v>
      </c>
      <c r="D1986" s="21" t="s">
        <v>3011</v>
      </c>
      <c r="E1986" s="21" t="s">
        <v>707</v>
      </c>
      <c r="F1986" s="21" t="s">
        <v>724</v>
      </c>
      <c r="G1986" s="21" t="s">
        <v>833</v>
      </c>
    </row>
    <row r="1987" customFormat="false" ht="15" hidden="false" customHeight="false" outlineLevel="0" collapsed="false">
      <c r="B1987" s="19" t="s">
        <v>3012</v>
      </c>
      <c r="C1987" s="20" t="n">
        <f aca="false">ROUND(1.14/FX,2)</f>
        <v>0.16</v>
      </c>
      <c r="D1987" s="21" t="s">
        <v>3011</v>
      </c>
      <c r="E1987" s="21" t="s">
        <v>761</v>
      </c>
      <c r="F1987" s="21" t="s">
        <v>724</v>
      </c>
      <c r="G1987" s="21" t="s">
        <v>833</v>
      </c>
    </row>
    <row r="1988" customFormat="false" ht="15" hidden="false" customHeight="false" outlineLevel="0" collapsed="false">
      <c r="B1988" s="19" t="s">
        <v>3013</v>
      </c>
      <c r="C1988" s="20" t="n">
        <f aca="false">ROUND(1.14/FX,2)</f>
        <v>0.16</v>
      </c>
      <c r="D1988" s="21" t="s">
        <v>3011</v>
      </c>
      <c r="E1988" s="21" t="s">
        <v>714</v>
      </c>
      <c r="F1988" s="21" t="s">
        <v>724</v>
      </c>
      <c r="G1988" s="21" t="s">
        <v>833</v>
      </c>
    </row>
    <row r="1989" customFormat="false" ht="15" hidden="false" customHeight="false" outlineLevel="0" collapsed="false">
      <c r="B1989" s="19" t="s">
        <v>3014</v>
      </c>
      <c r="C1989" s="20" t="n">
        <f aca="false">ROUND(0.59/FX,2)</f>
        <v>0.08</v>
      </c>
      <c r="D1989" s="21" t="s">
        <v>3011</v>
      </c>
      <c r="E1989" s="21" t="s">
        <v>837</v>
      </c>
      <c r="F1989" s="21" t="s">
        <v>724</v>
      </c>
      <c r="G1989" s="21" t="s">
        <v>833</v>
      </c>
    </row>
    <row r="1990" customFormat="false" ht="15" hidden="false" customHeight="false" outlineLevel="0" collapsed="false">
      <c r="B1990" s="19" t="s">
        <v>3015</v>
      </c>
      <c r="C1990" s="20" t="n">
        <f aca="false">ROUND(1.14/FX,2)</f>
        <v>0.16</v>
      </c>
      <c r="D1990" s="21" t="s">
        <v>3011</v>
      </c>
      <c r="E1990" s="21" t="s">
        <v>839</v>
      </c>
      <c r="F1990" s="21" t="s">
        <v>724</v>
      </c>
      <c r="G1990" s="21" t="s">
        <v>833</v>
      </c>
    </row>
    <row r="1991" customFormat="false" ht="15" hidden="false" customHeight="false" outlineLevel="0" collapsed="false">
      <c r="B1991" s="19" t="s">
        <v>3016</v>
      </c>
      <c r="C1991" s="20" t="n">
        <f aca="false">ROUND(1.14/FX,2)</f>
        <v>0.16</v>
      </c>
      <c r="D1991" s="21" t="s">
        <v>3011</v>
      </c>
      <c r="E1991" s="21" t="s">
        <v>841</v>
      </c>
      <c r="F1991" s="21" t="s">
        <v>724</v>
      </c>
      <c r="G1991" s="21" t="s">
        <v>833</v>
      </c>
    </row>
    <row r="1992" customFormat="false" ht="15" hidden="false" customHeight="false" outlineLevel="0" collapsed="false">
      <c r="B1992" s="19" t="s">
        <v>3017</v>
      </c>
      <c r="C1992" s="20" t="n">
        <f aca="false">ROUND(1.14/FX,2)</f>
        <v>0.16</v>
      </c>
      <c r="D1992" s="21" t="s">
        <v>3011</v>
      </c>
      <c r="E1992" s="21" t="s">
        <v>789</v>
      </c>
      <c r="F1992" s="21" t="s">
        <v>724</v>
      </c>
      <c r="G1992" s="21" t="s">
        <v>833</v>
      </c>
    </row>
    <row r="1993" customFormat="false" ht="15" hidden="false" customHeight="false" outlineLevel="0" collapsed="false">
      <c r="B1993" s="19" t="s">
        <v>3018</v>
      </c>
      <c r="C1993" s="20" t="n">
        <f aca="false">ROUND(1.04/FX,2)</f>
        <v>0.14</v>
      </c>
      <c r="D1993" s="21" t="s">
        <v>3011</v>
      </c>
      <c r="E1993" s="21" t="s">
        <v>716</v>
      </c>
      <c r="F1993" s="21" t="s">
        <v>724</v>
      </c>
      <c r="G1993" s="21" t="s">
        <v>833</v>
      </c>
    </row>
    <row r="1994" customFormat="false" ht="15" hidden="false" customHeight="false" outlineLevel="0" collapsed="false">
      <c r="B1994" s="19" t="s">
        <v>3019</v>
      </c>
      <c r="C1994" s="20" t="n">
        <f aca="false">ROUND(1.14/FX,2)</f>
        <v>0.16</v>
      </c>
      <c r="D1994" s="21" t="s">
        <v>3011</v>
      </c>
      <c r="E1994" s="21" t="s">
        <v>719</v>
      </c>
      <c r="F1994" s="21" t="s">
        <v>724</v>
      </c>
      <c r="G1994" s="21" t="s">
        <v>833</v>
      </c>
    </row>
    <row r="1995" customFormat="false" ht="15" hidden="false" customHeight="false" outlineLevel="0" collapsed="false">
      <c r="B1995" s="19" t="s">
        <v>3020</v>
      </c>
      <c r="C1995" s="20" t="n">
        <f aca="false">ROUND(1.14/FX,2)</f>
        <v>0.16</v>
      </c>
      <c r="D1995" s="21" t="s">
        <v>3021</v>
      </c>
      <c r="E1995" s="21" t="s">
        <v>707</v>
      </c>
      <c r="F1995" s="21" t="s">
        <v>724</v>
      </c>
      <c r="G1995" s="21" t="s">
        <v>833</v>
      </c>
    </row>
    <row r="1996" customFormat="false" ht="15" hidden="false" customHeight="false" outlineLevel="0" collapsed="false">
      <c r="B1996" s="19" t="s">
        <v>3022</v>
      </c>
      <c r="C1996" s="20" t="n">
        <f aca="false">ROUND(1.14/FX,2)</f>
        <v>0.16</v>
      </c>
      <c r="D1996" s="21" t="s">
        <v>3021</v>
      </c>
      <c r="E1996" s="21" t="s">
        <v>761</v>
      </c>
      <c r="F1996" s="21" t="s">
        <v>724</v>
      </c>
      <c r="G1996" s="21" t="s">
        <v>833</v>
      </c>
    </row>
    <row r="1997" customFormat="false" ht="15" hidden="false" customHeight="false" outlineLevel="0" collapsed="false">
      <c r="B1997" s="19" t="s">
        <v>3023</v>
      </c>
      <c r="C1997" s="20" t="n">
        <f aca="false">ROUND(1.14/FX,2)</f>
        <v>0.16</v>
      </c>
      <c r="D1997" s="21" t="s">
        <v>3021</v>
      </c>
      <c r="E1997" s="21" t="s">
        <v>714</v>
      </c>
      <c r="F1997" s="21" t="s">
        <v>724</v>
      </c>
      <c r="G1997" s="21" t="s">
        <v>833</v>
      </c>
    </row>
    <row r="1998" customFormat="false" ht="15" hidden="false" customHeight="false" outlineLevel="0" collapsed="false">
      <c r="B1998" s="19" t="s">
        <v>3024</v>
      </c>
      <c r="C1998" s="20" t="n">
        <f aca="false">ROUND(0.59/FX,2)</f>
        <v>0.08</v>
      </c>
      <c r="D1998" s="21" t="s">
        <v>3021</v>
      </c>
      <c r="E1998" s="21" t="s">
        <v>837</v>
      </c>
      <c r="F1998" s="21" t="s">
        <v>724</v>
      </c>
      <c r="G1998" s="21" t="s">
        <v>833</v>
      </c>
    </row>
    <row r="1999" customFormat="false" ht="15" hidden="false" customHeight="false" outlineLevel="0" collapsed="false">
      <c r="B1999" s="19" t="s">
        <v>3025</v>
      </c>
      <c r="C1999" s="20" t="n">
        <f aca="false">ROUND(1.14/FX,2)</f>
        <v>0.16</v>
      </c>
      <c r="D1999" s="21" t="s">
        <v>3021</v>
      </c>
      <c r="E1999" s="21" t="s">
        <v>839</v>
      </c>
      <c r="F1999" s="21" t="s">
        <v>724</v>
      </c>
      <c r="G1999" s="21" t="s">
        <v>833</v>
      </c>
    </row>
    <row r="2000" customFormat="false" ht="15" hidden="false" customHeight="false" outlineLevel="0" collapsed="false">
      <c r="B2000" s="19" t="s">
        <v>3026</v>
      </c>
      <c r="C2000" s="20" t="n">
        <f aca="false">ROUND(1.14/FX,2)</f>
        <v>0.16</v>
      </c>
      <c r="D2000" s="21" t="s">
        <v>3021</v>
      </c>
      <c r="E2000" s="21" t="s">
        <v>841</v>
      </c>
      <c r="F2000" s="21" t="s">
        <v>724</v>
      </c>
      <c r="G2000" s="21" t="s">
        <v>833</v>
      </c>
    </row>
    <row r="2001" customFormat="false" ht="15" hidden="false" customHeight="false" outlineLevel="0" collapsed="false">
      <c r="B2001" s="19" t="s">
        <v>3027</v>
      </c>
      <c r="C2001" s="20" t="n">
        <f aca="false">ROUND(1.14/FX,2)</f>
        <v>0.16</v>
      </c>
      <c r="D2001" s="21" t="s">
        <v>3021</v>
      </c>
      <c r="E2001" s="21" t="s">
        <v>789</v>
      </c>
      <c r="F2001" s="21" t="s">
        <v>724</v>
      </c>
      <c r="G2001" s="21" t="s">
        <v>833</v>
      </c>
    </row>
    <row r="2002" customFormat="false" ht="15" hidden="false" customHeight="false" outlineLevel="0" collapsed="false">
      <c r="B2002" s="19" t="s">
        <v>3028</v>
      </c>
      <c r="C2002" s="20" t="n">
        <f aca="false">ROUND(1.04/FX,2)</f>
        <v>0.14</v>
      </c>
      <c r="D2002" s="21" t="s">
        <v>3021</v>
      </c>
      <c r="E2002" s="21" t="s">
        <v>716</v>
      </c>
      <c r="F2002" s="21" t="s">
        <v>724</v>
      </c>
      <c r="G2002" s="21" t="s">
        <v>833</v>
      </c>
    </row>
    <row r="2003" customFormat="false" ht="15" hidden="false" customHeight="false" outlineLevel="0" collapsed="false">
      <c r="B2003" s="19" t="s">
        <v>3029</v>
      </c>
      <c r="C2003" s="20" t="n">
        <f aca="false">ROUND(1.14/FX,2)</f>
        <v>0.16</v>
      </c>
      <c r="D2003" s="21" t="s">
        <v>3021</v>
      </c>
      <c r="E2003" s="21" t="s">
        <v>719</v>
      </c>
      <c r="F2003" s="21" t="s">
        <v>724</v>
      </c>
      <c r="G2003" s="21" t="s">
        <v>833</v>
      </c>
    </row>
    <row r="2004" customFormat="false" ht="15" hidden="false" customHeight="false" outlineLevel="0" collapsed="false">
      <c r="B2004" s="19" t="s">
        <v>3030</v>
      </c>
      <c r="C2004" s="20" t="n">
        <f aca="false">ROUND(1.14/FX,2)</f>
        <v>0.16</v>
      </c>
      <c r="D2004" s="21" t="s">
        <v>3031</v>
      </c>
      <c r="E2004" s="21" t="s">
        <v>707</v>
      </c>
      <c r="F2004" s="21" t="s">
        <v>724</v>
      </c>
      <c r="G2004" s="21" t="s">
        <v>833</v>
      </c>
    </row>
    <row r="2005" customFormat="false" ht="15" hidden="false" customHeight="false" outlineLevel="0" collapsed="false">
      <c r="B2005" s="19" t="s">
        <v>3032</v>
      </c>
      <c r="C2005" s="20" t="n">
        <f aca="false">ROUND(1.14/FX,2)</f>
        <v>0.16</v>
      </c>
      <c r="D2005" s="21" t="s">
        <v>3031</v>
      </c>
      <c r="E2005" s="21" t="s">
        <v>761</v>
      </c>
      <c r="F2005" s="21" t="s">
        <v>724</v>
      </c>
      <c r="G2005" s="21" t="s">
        <v>833</v>
      </c>
    </row>
    <row r="2006" customFormat="false" ht="15" hidden="false" customHeight="false" outlineLevel="0" collapsed="false">
      <c r="B2006" s="19" t="s">
        <v>3033</v>
      </c>
      <c r="C2006" s="20" t="n">
        <f aca="false">ROUND(1.14/FX,2)</f>
        <v>0.16</v>
      </c>
      <c r="D2006" s="21" t="s">
        <v>3031</v>
      </c>
      <c r="E2006" s="21" t="s">
        <v>714</v>
      </c>
      <c r="F2006" s="21" t="s">
        <v>724</v>
      </c>
      <c r="G2006" s="21" t="s">
        <v>833</v>
      </c>
    </row>
    <row r="2007" customFormat="false" ht="15" hidden="false" customHeight="false" outlineLevel="0" collapsed="false">
      <c r="B2007" s="19" t="s">
        <v>3034</v>
      </c>
      <c r="C2007" s="20" t="n">
        <f aca="false">ROUND(0.59/FX,2)</f>
        <v>0.08</v>
      </c>
      <c r="D2007" s="21" t="s">
        <v>3031</v>
      </c>
      <c r="E2007" s="21" t="s">
        <v>837</v>
      </c>
      <c r="F2007" s="21" t="s">
        <v>724</v>
      </c>
      <c r="G2007" s="21" t="s">
        <v>833</v>
      </c>
    </row>
    <row r="2008" customFormat="false" ht="15" hidden="false" customHeight="false" outlineLevel="0" collapsed="false">
      <c r="B2008" s="19" t="s">
        <v>3035</v>
      </c>
      <c r="C2008" s="20" t="n">
        <f aca="false">ROUND(1.14/FX,2)</f>
        <v>0.16</v>
      </c>
      <c r="D2008" s="21" t="s">
        <v>3031</v>
      </c>
      <c r="E2008" s="21" t="s">
        <v>839</v>
      </c>
      <c r="F2008" s="21" t="s">
        <v>724</v>
      </c>
      <c r="G2008" s="21" t="s">
        <v>833</v>
      </c>
    </row>
    <row r="2009" customFormat="false" ht="15" hidden="false" customHeight="false" outlineLevel="0" collapsed="false">
      <c r="B2009" s="19" t="s">
        <v>3036</v>
      </c>
      <c r="C2009" s="20" t="n">
        <f aca="false">ROUND(1.14/FX,2)</f>
        <v>0.16</v>
      </c>
      <c r="D2009" s="21" t="s">
        <v>3031</v>
      </c>
      <c r="E2009" s="21" t="s">
        <v>841</v>
      </c>
      <c r="F2009" s="21" t="s">
        <v>724</v>
      </c>
      <c r="G2009" s="21" t="s">
        <v>833</v>
      </c>
    </row>
    <row r="2010" customFormat="false" ht="15" hidden="false" customHeight="false" outlineLevel="0" collapsed="false">
      <c r="B2010" s="19" t="s">
        <v>3037</v>
      </c>
      <c r="C2010" s="20" t="n">
        <f aca="false">ROUND(1.14/FX,2)</f>
        <v>0.16</v>
      </c>
      <c r="D2010" s="21" t="s">
        <v>3031</v>
      </c>
      <c r="E2010" s="21" t="s">
        <v>789</v>
      </c>
      <c r="F2010" s="21" t="s">
        <v>724</v>
      </c>
      <c r="G2010" s="21" t="s">
        <v>833</v>
      </c>
    </row>
    <row r="2011" customFormat="false" ht="15" hidden="false" customHeight="false" outlineLevel="0" collapsed="false">
      <c r="B2011" s="19" t="s">
        <v>3038</v>
      </c>
      <c r="C2011" s="20" t="n">
        <f aca="false">ROUND(1.04/FX,2)</f>
        <v>0.14</v>
      </c>
      <c r="D2011" s="21" t="s">
        <v>3031</v>
      </c>
      <c r="E2011" s="21" t="s">
        <v>716</v>
      </c>
      <c r="F2011" s="21" t="s">
        <v>724</v>
      </c>
      <c r="G2011" s="21" t="s">
        <v>833</v>
      </c>
    </row>
    <row r="2012" customFormat="false" ht="15" hidden="false" customHeight="false" outlineLevel="0" collapsed="false">
      <c r="B2012" s="19" t="s">
        <v>3039</v>
      </c>
      <c r="C2012" s="20" t="n">
        <f aca="false">ROUND(1.14/FX,2)</f>
        <v>0.16</v>
      </c>
      <c r="D2012" s="21" t="s">
        <v>3031</v>
      </c>
      <c r="E2012" s="21" t="s">
        <v>719</v>
      </c>
      <c r="F2012" s="21" t="s">
        <v>724</v>
      </c>
      <c r="G2012" s="21" t="s">
        <v>833</v>
      </c>
    </row>
    <row r="2013" customFormat="false" ht="15" hidden="false" customHeight="false" outlineLevel="0" collapsed="false">
      <c r="B2013" s="19" t="s">
        <v>3040</v>
      </c>
      <c r="C2013" s="20" t="n">
        <f aca="false">ROUND(1.73/FX,2)</f>
        <v>0.24</v>
      </c>
      <c r="D2013" s="21" t="s">
        <v>3041</v>
      </c>
      <c r="E2013" s="21" t="s">
        <v>707</v>
      </c>
      <c r="F2013" s="21" t="s">
        <v>724</v>
      </c>
      <c r="G2013" s="21" t="s">
        <v>833</v>
      </c>
    </row>
    <row r="2014" customFormat="false" ht="15" hidden="false" customHeight="false" outlineLevel="0" collapsed="false">
      <c r="B2014" s="19" t="s">
        <v>3042</v>
      </c>
      <c r="C2014" s="20" t="n">
        <f aca="false">ROUND(1.14/FX,2)</f>
        <v>0.16</v>
      </c>
      <c r="D2014" s="21" t="s">
        <v>3041</v>
      </c>
      <c r="E2014" s="21" t="s">
        <v>761</v>
      </c>
      <c r="F2014" s="21" t="s">
        <v>724</v>
      </c>
      <c r="G2014" s="21" t="s">
        <v>833</v>
      </c>
    </row>
    <row r="2015" customFormat="false" ht="15" hidden="false" customHeight="false" outlineLevel="0" collapsed="false">
      <c r="B2015" s="19" t="s">
        <v>3043</v>
      </c>
      <c r="C2015" s="20" t="n">
        <f aca="false">ROUND(1.14/FX,2)</f>
        <v>0.16</v>
      </c>
      <c r="D2015" s="21" t="s">
        <v>3041</v>
      </c>
      <c r="E2015" s="21" t="s">
        <v>714</v>
      </c>
      <c r="F2015" s="21" t="s">
        <v>724</v>
      </c>
      <c r="G2015" s="21" t="s">
        <v>833</v>
      </c>
    </row>
    <row r="2016" customFormat="false" ht="15" hidden="false" customHeight="false" outlineLevel="0" collapsed="false">
      <c r="B2016" s="19" t="s">
        <v>3044</v>
      </c>
      <c r="C2016" s="20" t="n">
        <f aca="false">ROUND(0.59/FX,2)</f>
        <v>0.08</v>
      </c>
      <c r="D2016" s="21" t="s">
        <v>3041</v>
      </c>
      <c r="E2016" s="21" t="s">
        <v>837</v>
      </c>
      <c r="F2016" s="21" t="s">
        <v>724</v>
      </c>
      <c r="G2016" s="21" t="s">
        <v>833</v>
      </c>
    </row>
    <row r="2017" customFormat="false" ht="15" hidden="false" customHeight="false" outlineLevel="0" collapsed="false">
      <c r="B2017" s="19" t="s">
        <v>3045</v>
      </c>
      <c r="C2017" s="20" t="n">
        <f aca="false">ROUND(1.14/FX,2)</f>
        <v>0.16</v>
      </c>
      <c r="D2017" s="21" t="s">
        <v>3041</v>
      </c>
      <c r="E2017" s="21" t="s">
        <v>839</v>
      </c>
      <c r="F2017" s="21" t="s">
        <v>724</v>
      </c>
      <c r="G2017" s="21" t="s">
        <v>833</v>
      </c>
    </row>
    <row r="2018" customFormat="false" ht="15" hidden="false" customHeight="false" outlineLevel="0" collapsed="false">
      <c r="B2018" s="19" t="s">
        <v>3046</v>
      </c>
      <c r="C2018" s="20" t="n">
        <f aca="false">ROUND(1.14/FX,2)</f>
        <v>0.16</v>
      </c>
      <c r="D2018" s="21" t="s">
        <v>3041</v>
      </c>
      <c r="E2018" s="21" t="s">
        <v>841</v>
      </c>
      <c r="F2018" s="21" t="s">
        <v>724</v>
      </c>
      <c r="G2018" s="21" t="s">
        <v>833</v>
      </c>
    </row>
    <row r="2019" customFormat="false" ht="15" hidden="false" customHeight="false" outlineLevel="0" collapsed="false">
      <c r="B2019" s="19" t="s">
        <v>3047</v>
      </c>
      <c r="C2019" s="20" t="n">
        <f aca="false">ROUND(1.14/FX,2)</f>
        <v>0.16</v>
      </c>
      <c r="D2019" s="21" t="s">
        <v>3041</v>
      </c>
      <c r="E2019" s="21" t="s">
        <v>789</v>
      </c>
      <c r="F2019" s="21" t="s">
        <v>724</v>
      </c>
      <c r="G2019" s="21" t="s">
        <v>833</v>
      </c>
    </row>
    <row r="2020" customFormat="false" ht="15" hidden="false" customHeight="false" outlineLevel="0" collapsed="false">
      <c r="B2020" s="19" t="s">
        <v>3048</v>
      </c>
      <c r="C2020" s="20" t="n">
        <f aca="false">ROUND(1.04/FX,2)</f>
        <v>0.14</v>
      </c>
      <c r="D2020" s="21" t="s">
        <v>3041</v>
      </c>
      <c r="E2020" s="21" t="s">
        <v>716</v>
      </c>
      <c r="F2020" s="21" t="s">
        <v>724</v>
      </c>
      <c r="G2020" s="21" t="s">
        <v>833</v>
      </c>
    </row>
    <row r="2021" customFormat="false" ht="15" hidden="false" customHeight="false" outlineLevel="0" collapsed="false">
      <c r="B2021" s="19" t="s">
        <v>3049</v>
      </c>
      <c r="C2021" s="20" t="n">
        <f aca="false">ROUND(1.14/FX,2)</f>
        <v>0.16</v>
      </c>
      <c r="D2021" s="21" t="s">
        <v>3041</v>
      </c>
      <c r="E2021" s="21" t="s">
        <v>719</v>
      </c>
      <c r="F2021" s="21" t="s">
        <v>724</v>
      </c>
      <c r="G2021" s="21" t="s">
        <v>833</v>
      </c>
    </row>
    <row r="2022" customFormat="false" ht="15" hidden="false" customHeight="false" outlineLevel="0" collapsed="false">
      <c r="B2022" s="19" t="s">
        <v>3050</v>
      </c>
      <c r="C2022" s="20" t="n">
        <f aca="false">ROUND(1.14/FX,2)</f>
        <v>0.16</v>
      </c>
      <c r="D2022" s="21" t="s">
        <v>3051</v>
      </c>
      <c r="E2022" s="21" t="s">
        <v>707</v>
      </c>
      <c r="F2022" s="21" t="s">
        <v>724</v>
      </c>
      <c r="G2022" s="21" t="s">
        <v>833</v>
      </c>
    </row>
    <row r="2023" customFormat="false" ht="15" hidden="false" customHeight="false" outlineLevel="0" collapsed="false">
      <c r="B2023" s="19" t="s">
        <v>3052</v>
      </c>
      <c r="C2023" s="20" t="n">
        <f aca="false">ROUND(1.14/FX,2)</f>
        <v>0.16</v>
      </c>
      <c r="D2023" s="21" t="s">
        <v>3051</v>
      </c>
      <c r="E2023" s="21" t="s">
        <v>761</v>
      </c>
      <c r="F2023" s="21" t="s">
        <v>724</v>
      </c>
      <c r="G2023" s="21" t="s">
        <v>833</v>
      </c>
    </row>
    <row r="2024" customFormat="false" ht="15" hidden="false" customHeight="false" outlineLevel="0" collapsed="false">
      <c r="B2024" s="19" t="s">
        <v>3053</v>
      </c>
      <c r="C2024" s="20" t="n">
        <f aca="false">ROUND(1.14/FX,2)</f>
        <v>0.16</v>
      </c>
      <c r="D2024" s="21" t="s">
        <v>3051</v>
      </c>
      <c r="E2024" s="21" t="s">
        <v>714</v>
      </c>
      <c r="F2024" s="21" t="s">
        <v>724</v>
      </c>
      <c r="G2024" s="21" t="s">
        <v>833</v>
      </c>
    </row>
    <row r="2025" customFormat="false" ht="15" hidden="false" customHeight="false" outlineLevel="0" collapsed="false">
      <c r="B2025" s="19" t="s">
        <v>3054</v>
      </c>
      <c r="C2025" s="20" t="n">
        <f aca="false">ROUND(0.59/FX,2)</f>
        <v>0.08</v>
      </c>
      <c r="D2025" s="21" t="s">
        <v>3051</v>
      </c>
      <c r="E2025" s="21" t="s">
        <v>837</v>
      </c>
      <c r="F2025" s="21" t="s">
        <v>724</v>
      </c>
      <c r="G2025" s="21" t="s">
        <v>833</v>
      </c>
    </row>
    <row r="2026" customFormat="false" ht="15" hidden="false" customHeight="false" outlineLevel="0" collapsed="false">
      <c r="B2026" s="19" t="s">
        <v>3055</v>
      </c>
      <c r="C2026" s="20" t="n">
        <f aca="false">ROUND(1.14/FX,2)</f>
        <v>0.16</v>
      </c>
      <c r="D2026" s="21" t="s">
        <v>3051</v>
      </c>
      <c r="E2026" s="21" t="s">
        <v>839</v>
      </c>
      <c r="F2026" s="21" t="s">
        <v>724</v>
      </c>
      <c r="G2026" s="21" t="s">
        <v>833</v>
      </c>
    </row>
    <row r="2027" customFormat="false" ht="15" hidden="false" customHeight="false" outlineLevel="0" collapsed="false">
      <c r="B2027" s="19" t="s">
        <v>3056</v>
      </c>
      <c r="C2027" s="20" t="n">
        <f aca="false">ROUND(1.14/FX,2)</f>
        <v>0.16</v>
      </c>
      <c r="D2027" s="21" t="s">
        <v>3051</v>
      </c>
      <c r="E2027" s="21" t="s">
        <v>841</v>
      </c>
      <c r="F2027" s="21" t="s">
        <v>724</v>
      </c>
      <c r="G2027" s="21" t="s">
        <v>833</v>
      </c>
    </row>
    <row r="2028" customFormat="false" ht="15" hidden="false" customHeight="false" outlineLevel="0" collapsed="false">
      <c r="B2028" s="19" t="s">
        <v>3057</v>
      </c>
      <c r="C2028" s="20" t="n">
        <f aca="false">ROUND(1.14/FX,2)</f>
        <v>0.16</v>
      </c>
      <c r="D2028" s="21" t="s">
        <v>3051</v>
      </c>
      <c r="E2028" s="21" t="s">
        <v>789</v>
      </c>
      <c r="F2028" s="21" t="s">
        <v>724</v>
      </c>
      <c r="G2028" s="21" t="s">
        <v>833</v>
      </c>
    </row>
    <row r="2029" customFormat="false" ht="15" hidden="false" customHeight="false" outlineLevel="0" collapsed="false">
      <c r="B2029" s="19" t="s">
        <v>3058</v>
      </c>
      <c r="C2029" s="20" t="n">
        <f aca="false">ROUND(1.11/FX,2)</f>
        <v>0.15</v>
      </c>
      <c r="D2029" s="21" t="s">
        <v>3051</v>
      </c>
      <c r="E2029" s="21" t="s">
        <v>716</v>
      </c>
      <c r="F2029" s="21" t="s">
        <v>724</v>
      </c>
      <c r="G2029" s="21" t="s">
        <v>833</v>
      </c>
    </row>
    <row r="2030" customFormat="false" ht="15" hidden="false" customHeight="false" outlineLevel="0" collapsed="false">
      <c r="B2030" s="19" t="s">
        <v>3059</v>
      </c>
      <c r="C2030" s="20" t="n">
        <f aca="false">ROUND(1.14/FX,2)</f>
        <v>0.16</v>
      </c>
      <c r="D2030" s="21" t="s">
        <v>3051</v>
      </c>
      <c r="E2030" s="21" t="s">
        <v>719</v>
      </c>
      <c r="F2030" s="21" t="s">
        <v>724</v>
      </c>
      <c r="G2030" s="21" t="s">
        <v>833</v>
      </c>
    </row>
    <row r="2031" customFormat="false" ht="15" hidden="false" customHeight="false" outlineLevel="0" collapsed="false">
      <c r="B2031" s="19" t="s">
        <v>3060</v>
      </c>
      <c r="C2031" s="20" t="n">
        <f aca="false">ROUND(1.73/FX,2)</f>
        <v>0.24</v>
      </c>
      <c r="D2031" s="21" t="s">
        <v>3061</v>
      </c>
      <c r="E2031" s="21" t="s">
        <v>707</v>
      </c>
      <c r="F2031" s="21" t="s">
        <v>724</v>
      </c>
      <c r="G2031" s="21" t="s">
        <v>833</v>
      </c>
    </row>
    <row r="2032" customFormat="false" ht="15" hidden="false" customHeight="false" outlineLevel="0" collapsed="false">
      <c r="B2032" s="19" t="s">
        <v>3062</v>
      </c>
      <c r="C2032" s="20" t="n">
        <f aca="false">ROUND(1.14/FX,2)</f>
        <v>0.16</v>
      </c>
      <c r="D2032" s="21" t="s">
        <v>3061</v>
      </c>
      <c r="E2032" s="21" t="s">
        <v>761</v>
      </c>
      <c r="F2032" s="21" t="s">
        <v>724</v>
      </c>
      <c r="G2032" s="21" t="s">
        <v>833</v>
      </c>
    </row>
    <row r="2033" customFormat="false" ht="15" hidden="false" customHeight="false" outlineLevel="0" collapsed="false">
      <c r="B2033" s="19" t="s">
        <v>3063</v>
      </c>
      <c r="C2033" s="20" t="n">
        <f aca="false">ROUND(1.14/FX,2)</f>
        <v>0.16</v>
      </c>
      <c r="D2033" s="21" t="s">
        <v>3061</v>
      </c>
      <c r="E2033" s="21" t="s">
        <v>714</v>
      </c>
      <c r="F2033" s="21" t="s">
        <v>724</v>
      </c>
      <c r="G2033" s="21" t="s">
        <v>833</v>
      </c>
    </row>
    <row r="2034" customFormat="false" ht="15" hidden="false" customHeight="false" outlineLevel="0" collapsed="false">
      <c r="B2034" s="19" t="s">
        <v>3064</v>
      </c>
      <c r="C2034" s="20" t="n">
        <f aca="false">ROUND(0.59/FX,2)</f>
        <v>0.08</v>
      </c>
      <c r="D2034" s="21" t="s">
        <v>3061</v>
      </c>
      <c r="E2034" s="21" t="s">
        <v>837</v>
      </c>
      <c r="F2034" s="21" t="s">
        <v>724</v>
      </c>
      <c r="G2034" s="21" t="s">
        <v>833</v>
      </c>
    </row>
    <row r="2035" customFormat="false" ht="15" hidden="false" customHeight="false" outlineLevel="0" collapsed="false">
      <c r="B2035" s="19" t="s">
        <v>3065</v>
      </c>
      <c r="C2035" s="20" t="n">
        <f aca="false">ROUND(1.14/FX,2)</f>
        <v>0.16</v>
      </c>
      <c r="D2035" s="21" t="s">
        <v>3061</v>
      </c>
      <c r="E2035" s="21" t="s">
        <v>839</v>
      </c>
      <c r="F2035" s="21" t="s">
        <v>724</v>
      </c>
      <c r="G2035" s="21" t="s">
        <v>833</v>
      </c>
    </row>
    <row r="2036" customFormat="false" ht="15" hidden="false" customHeight="false" outlineLevel="0" collapsed="false">
      <c r="B2036" s="19" t="s">
        <v>3066</v>
      </c>
      <c r="C2036" s="20" t="n">
        <f aca="false">ROUND(1.14/FX,2)</f>
        <v>0.16</v>
      </c>
      <c r="D2036" s="21" t="s">
        <v>3061</v>
      </c>
      <c r="E2036" s="21" t="s">
        <v>841</v>
      </c>
      <c r="F2036" s="21" t="s">
        <v>724</v>
      </c>
      <c r="G2036" s="21" t="s">
        <v>833</v>
      </c>
    </row>
    <row r="2037" customFormat="false" ht="15" hidden="false" customHeight="false" outlineLevel="0" collapsed="false">
      <c r="B2037" s="19" t="s">
        <v>3067</v>
      </c>
      <c r="C2037" s="20" t="n">
        <f aca="false">ROUND(1.14/FX,2)</f>
        <v>0.16</v>
      </c>
      <c r="D2037" s="21" t="s">
        <v>3061</v>
      </c>
      <c r="E2037" s="21" t="s">
        <v>789</v>
      </c>
      <c r="F2037" s="21" t="s">
        <v>724</v>
      </c>
      <c r="G2037" s="21" t="s">
        <v>833</v>
      </c>
    </row>
    <row r="2038" customFormat="false" ht="15" hidden="false" customHeight="false" outlineLevel="0" collapsed="false">
      <c r="B2038" s="19" t="s">
        <v>3068</v>
      </c>
      <c r="C2038" s="20" t="n">
        <f aca="false">ROUND(1.04/FX,2)</f>
        <v>0.14</v>
      </c>
      <c r="D2038" s="21" t="s">
        <v>3061</v>
      </c>
      <c r="E2038" s="21" t="s">
        <v>716</v>
      </c>
      <c r="F2038" s="21" t="s">
        <v>724</v>
      </c>
      <c r="G2038" s="21" t="s">
        <v>833</v>
      </c>
    </row>
    <row r="2039" customFormat="false" ht="15" hidden="false" customHeight="false" outlineLevel="0" collapsed="false">
      <c r="B2039" s="19" t="s">
        <v>3069</v>
      </c>
      <c r="C2039" s="20" t="n">
        <f aca="false">ROUND(1.14/FX,2)</f>
        <v>0.16</v>
      </c>
      <c r="D2039" s="21" t="s">
        <v>3061</v>
      </c>
      <c r="E2039" s="21" t="s">
        <v>719</v>
      </c>
      <c r="F2039" s="21" t="s">
        <v>724</v>
      </c>
      <c r="G2039" s="21" t="s">
        <v>833</v>
      </c>
    </row>
    <row r="2040" customFormat="false" ht="15" hidden="false" customHeight="false" outlineLevel="0" collapsed="false">
      <c r="B2040" s="19" t="s">
        <v>3070</v>
      </c>
      <c r="C2040" s="20" t="n">
        <f aca="false">ROUND(1.14/FX,2)</f>
        <v>0.16</v>
      </c>
      <c r="D2040" s="21" t="s">
        <v>3071</v>
      </c>
      <c r="E2040" s="21" t="s">
        <v>707</v>
      </c>
      <c r="F2040" s="21" t="s">
        <v>724</v>
      </c>
      <c r="G2040" s="21" t="s">
        <v>833</v>
      </c>
    </row>
    <row r="2041" customFormat="false" ht="15" hidden="false" customHeight="false" outlineLevel="0" collapsed="false">
      <c r="B2041" s="19" t="s">
        <v>3072</v>
      </c>
      <c r="C2041" s="20" t="n">
        <f aca="false">ROUND(1.14/FX,2)</f>
        <v>0.16</v>
      </c>
      <c r="D2041" s="21" t="s">
        <v>3071</v>
      </c>
      <c r="E2041" s="21" t="s">
        <v>761</v>
      </c>
      <c r="F2041" s="21" t="s">
        <v>724</v>
      </c>
      <c r="G2041" s="21" t="s">
        <v>833</v>
      </c>
    </row>
    <row r="2042" customFormat="false" ht="15" hidden="false" customHeight="false" outlineLevel="0" collapsed="false">
      <c r="B2042" s="19" t="s">
        <v>3073</v>
      </c>
      <c r="C2042" s="20" t="n">
        <f aca="false">ROUND(1.14/FX,2)</f>
        <v>0.16</v>
      </c>
      <c r="D2042" s="21" t="s">
        <v>3071</v>
      </c>
      <c r="E2042" s="21" t="s">
        <v>714</v>
      </c>
      <c r="F2042" s="21" t="s">
        <v>724</v>
      </c>
      <c r="G2042" s="21" t="s">
        <v>833</v>
      </c>
    </row>
    <row r="2043" customFormat="false" ht="15" hidden="false" customHeight="false" outlineLevel="0" collapsed="false">
      <c r="B2043" s="19" t="s">
        <v>3074</v>
      </c>
      <c r="C2043" s="20" t="n">
        <f aca="false">ROUND(0.59/FX,2)</f>
        <v>0.08</v>
      </c>
      <c r="D2043" s="21" t="s">
        <v>3071</v>
      </c>
      <c r="E2043" s="21" t="s">
        <v>837</v>
      </c>
      <c r="F2043" s="21" t="s">
        <v>724</v>
      </c>
      <c r="G2043" s="21" t="s">
        <v>833</v>
      </c>
    </row>
    <row r="2044" customFormat="false" ht="15" hidden="false" customHeight="false" outlineLevel="0" collapsed="false">
      <c r="B2044" s="19" t="s">
        <v>3075</v>
      </c>
      <c r="C2044" s="20" t="n">
        <f aca="false">ROUND(1.14/FX,2)</f>
        <v>0.16</v>
      </c>
      <c r="D2044" s="21" t="s">
        <v>3071</v>
      </c>
      <c r="E2044" s="21" t="s">
        <v>839</v>
      </c>
      <c r="F2044" s="21" t="s">
        <v>724</v>
      </c>
      <c r="G2044" s="21" t="s">
        <v>833</v>
      </c>
    </row>
    <row r="2045" customFormat="false" ht="15" hidden="false" customHeight="false" outlineLevel="0" collapsed="false">
      <c r="B2045" s="19" t="s">
        <v>3076</v>
      </c>
      <c r="C2045" s="20" t="n">
        <f aca="false">ROUND(1.14/FX,2)</f>
        <v>0.16</v>
      </c>
      <c r="D2045" s="21" t="s">
        <v>3071</v>
      </c>
      <c r="E2045" s="21" t="s">
        <v>841</v>
      </c>
      <c r="F2045" s="21" t="s">
        <v>724</v>
      </c>
      <c r="G2045" s="21" t="s">
        <v>833</v>
      </c>
    </row>
    <row r="2046" customFormat="false" ht="15" hidden="false" customHeight="false" outlineLevel="0" collapsed="false">
      <c r="B2046" s="19" t="s">
        <v>3077</v>
      </c>
      <c r="C2046" s="20" t="n">
        <f aca="false">ROUND(1.14/FX,2)</f>
        <v>0.16</v>
      </c>
      <c r="D2046" s="21" t="s">
        <v>3071</v>
      </c>
      <c r="E2046" s="21" t="s">
        <v>789</v>
      </c>
      <c r="F2046" s="21" t="s">
        <v>724</v>
      </c>
      <c r="G2046" s="21" t="s">
        <v>833</v>
      </c>
    </row>
    <row r="2047" customFormat="false" ht="15" hidden="false" customHeight="false" outlineLevel="0" collapsed="false">
      <c r="B2047" s="19" t="s">
        <v>3078</v>
      </c>
      <c r="C2047" s="20" t="n">
        <f aca="false">ROUND(1.04/FX,2)</f>
        <v>0.14</v>
      </c>
      <c r="D2047" s="21" t="s">
        <v>3071</v>
      </c>
      <c r="E2047" s="21" t="s">
        <v>716</v>
      </c>
      <c r="F2047" s="21" t="s">
        <v>724</v>
      </c>
      <c r="G2047" s="21" t="s">
        <v>833</v>
      </c>
    </row>
    <row r="2048" customFormat="false" ht="15" hidden="false" customHeight="false" outlineLevel="0" collapsed="false">
      <c r="B2048" s="19" t="s">
        <v>3079</v>
      </c>
      <c r="C2048" s="20" t="n">
        <f aca="false">ROUND(1.14/FX,2)</f>
        <v>0.16</v>
      </c>
      <c r="D2048" s="21" t="s">
        <v>3071</v>
      </c>
      <c r="E2048" s="21" t="s">
        <v>719</v>
      </c>
      <c r="F2048" s="21" t="s">
        <v>724</v>
      </c>
      <c r="G2048" s="21" t="s">
        <v>833</v>
      </c>
    </row>
    <row r="2049" customFormat="false" ht="15" hidden="false" customHeight="false" outlineLevel="0" collapsed="false">
      <c r="B2049" s="19" t="s">
        <v>3080</v>
      </c>
      <c r="C2049" s="20" t="n">
        <f aca="false">ROUND(1.14/FX,2)</f>
        <v>0.16</v>
      </c>
      <c r="D2049" s="21" t="s">
        <v>3081</v>
      </c>
      <c r="E2049" s="21" t="s">
        <v>707</v>
      </c>
      <c r="F2049" s="21" t="s">
        <v>724</v>
      </c>
      <c r="G2049" s="21" t="s">
        <v>833</v>
      </c>
    </row>
    <row r="2050" customFormat="false" ht="15" hidden="false" customHeight="false" outlineLevel="0" collapsed="false">
      <c r="B2050" s="19" t="s">
        <v>3082</v>
      </c>
      <c r="C2050" s="20" t="n">
        <f aca="false">ROUND(1.14/FX,2)</f>
        <v>0.16</v>
      </c>
      <c r="D2050" s="21" t="s">
        <v>3081</v>
      </c>
      <c r="E2050" s="21" t="s">
        <v>761</v>
      </c>
      <c r="F2050" s="21" t="s">
        <v>724</v>
      </c>
      <c r="G2050" s="21" t="s">
        <v>833</v>
      </c>
    </row>
    <row r="2051" customFormat="false" ht="15" hidden="false" customHeight="false" outlineLevel="0" collapsed="false">
      <c r="B2051" s="19" t="s">
        <v>3083</v>
      </c>
      <c r="C2051" s="20" t="n">
        <f aca="false">ROUND(1.14/FX,2)</f>
        <v>0.16</v>
      </c>
      <c r="D2051" s="21" t="s">
        <v>3081</v>
      </c>
      <c r="E2051" s="21" t="s">
        <v>714</v>
      </c>
      <c r="F2051" s="21" t="s">
        <v>724</v>
      </c>
      <c r="G2051" s="21" t="s">
        <v>833</v>
      </c>
    </row>
    <row r="2052" customFormat="false" ht="15" hidden="false" customHeight="false" outlineLevel="0" collapsed="false">
      <c r="B2052" s="19" t="s">
        <v>3084</v>
      </c>
      <c r="C2052" s="20" t="n">
        <f aca="false">ROUND(0.59/FX,2)</f>
        <v>0.08</v>
      </c>
      <c r="D2052" s="21" t="s">
        <v>3081</v>
      </c>
      <c r="E2052" s="21" t="s">
        <v>837</v>
      </c>
      <c r="F2052" s="21" t="s">
        <v>724</v>
      </c>
      <c r="G2052" s="21" t="s">
        <v>833</v>
      </c>
    </row>
    <row r="2053" customFormat="false" ht="15" hidden="false" customHeight="false" outlineLevel="0" collapsed="false">
      <c r="B2053" s="19" t="s">
        <v>3085</v>
      </c>
      <c r="C2053" s="20" t="n">
        <f aca="false">ROUND(1.14/FX,2)</f>
        <v>0.16</v>
      </c>
      <c r="D2053" s="21" t="s">
        <v>3081</v>
      </c>
      <c r="E2053" s="21" t="s">
        <v>839</v>
      </c>
      <c r="F2053" s="21" t="s">
        <v>724</v>
      </c>
      <c r="G2053" s="21" t="s">
        <v>833</v>
      </c>
    </row>
    <row r="2054" customFormat="false" ht="15" hidden="false" customHeight="false" outlineLevel="0" collapsed="false">
      <c r="B2054" s="19" t="s">
        <v>3086</v>
      </c>
      <c r="C2054" s="20" t="n">
        <f aca="false">ROUND(1.14/FX,2)</f>
        <v>0.16</v>
      </c>
      <c r="D2054" s="21" t="s">
        <v>3081</v>
      </c>
      <c r="E2054" s="21" t="s">
        <v>841</v>
      </c>
      <c r="F2054" s="21" t="s">
        <v>724</v>
      </c>
      <c r="G2054" s="21" t="s">
        <v>833</v>
      </c>
    </row>
    <row r="2055" customFormat="false" ht="15" hidden="false" customHeight="false" outlineLevel="0" collapsed="false">
      <c r="B2055" s="19" t="s">
        <v>3087</v>
      </c>
      <c r="C2055" s="20" t="n">
        <f aca="false">ROUND(0.87/FX,2)</f>
        <v>0.12</v>
      </c>
      <c r="D2055" s="21" t="s">
        <v>3081</v>
      </c>
      <c r="E2055" s="21" t="s">
        <v>789</v>
      </c>
      <c r="F2055" s="21" t="s">
        <v>724</v>
      </c>
      <c r="G2055" s="21" t="s">
        <v>833</v>
      </c>
    </row>
    <row r="2056" customFormat="false" ht="15" hidden="false" customHeight="false" outlineLevel="0" collapsed="false">
      <c r="B2056" s="19" t="s">
        <v>3088</v>
      </c>
      <c r="C2056" s="20" t="n">
        <f aca="false">ROUND(1.04/FX,2)</f>
        <v>0.14</v>
      </c>
      <c r="D2056" s="21" t="s">
        <v>3081</v>
      </c>
      <c r="E2056" s="21" t="s">
        <v>716</v>
      </c>
      <c r="F2056" s="21" t="s">
        <v>724</v>
      </c>
      <c r="G2056" s="21" t="s">
        <v>833</v>
      </c>
    </row>
    <row r="2057" customFormat="false" ht="15" hidden="false" customHeight="false" outlineLevel="0" collapsed="false">
      <c r="B2057" s="19" t="s">
        <v>3089</v>
      </c>
      <c r="C2057" s="20" t="n">
        <f aca="false">ROUND(1.14/FX,2)</f>
        <v>0.16</v>
      </c>
      <c r="D2057" s="21" t="s">
        <v>3081</v>
      </c>
      <c r="E2057" s="21" t="s">
        <v>719</v>
      </c>
      <c r="F2057" s="21" t="s">
        <v>724</v>
      </c>
      <c r="G2057" s="21" t="s">
        <v>833</v>
      </c>
    </row>
    <row r="2058" customFormat="false" ht="15" hidden="false" customHeight="false" outlineLevel="0" collapsed="false">
      <c r="B2058" s="19" t="s">
        <v>3090</v>
      </c>
      <c r="C2058" s="20" t="n">
        <f aca="false">ROUND(1.14/FX,2)</f>
        <v>0.16</v>
      </c>
      <c r="D2058" s="21" t="s">
        <v>3091</v>
      </c>
      <c r="E2058" s="21" t="s">
        <v>707</v>
      </c>
      <c r="F2058" s="21" t="s">
        <v>724</v>
      </c>
      <c r="G2058" s="21" t="s">
        <v>833</v>
      </c>
    </row>
    <row r="2059" customFormat="false" ht="15" hidden="false" customHeight="false" outlineLevel="0" collapsed="false">
      <c r="B2059" s="19" t="s">
        <v>3092</v>
      </c>
      <c r="C2059" s="20" t="n">
        <f aca="false">ROUND(1.14/FX,2)</f>
        <v>0.16</v>
      </c>
      <c r="D2059" s="21" t="s">
        <v>3091</v>
      </c>
      <c r="E2059" s="21" t="s">
        <v>761</v>
      </c>
      <c r="F2059" s="21" t="s">
        <v>724</v>
      </c>
      <c r="G2059" s="21" t="s">
        <v>833</v>
      </c>
    </row>
    <row r="2060" customFormat="false" ht="15" hidden="false" customHeight="false" outlineLevel="0" collapsed="false">
      <c r="B2060" s="19" t="s">
        <v>3093</v>
      </c>
      <c r="C2060" s="20" t="n">
        <f aca="false">ROUND(1.14/FX,2)</f>
        <v>0.16</v>
      </c>
      <c r="D2060" s="21" t="s">
        <v>3091</v>
      </c>
      <c r="E2060" s="21" t="s">
        <v>714</v>
      </c>
      <c r="F2060" s="21" t="s">
        <v>724</v>
      </c>
      <c r="G2060" s="21" t="s">
        <v>833</v>
      </c>
    </row>
    <row r="2061" customFormat="false" ht="15" hidden="false" customHeight="false" outlineLevel="0" collapsed="false">
      <c r="B2061" s="19" t="s">
        <v>3094</v>
      </c>
      <c r="C2061" s="20" t="n">
        <f aca="false">ROUND(0.59/FX,2)</f>
        <v>0.08</v>
      </c>
      <c r="D2061" s="21" t="s">
        <v>3091</v>
      </c>
      <c r="E2061" s="21" t="s">
        <v>837</v>
      </c>
      <c r="F2061" s="21" t="s">
        <v>724</v>
      </c>
      <c r="G2061" s="21" t="s">
        <v>833</v>
      </c>
    </row>
    <row r="2062" customFormat="false" ht="15" hidden="false" customHeight="false" outlineLevel="0" collapsed="false">
      <c r="B2062" s="19" t="s">
        <v>3095</v>
      </c>
      <c r="C2062" s="20" t="n">
        <f aca="false">ROUND(1.14/FX,2)</f>
        <v>0.16</v>
      </c>
      <c r="D2062" s="21" t="s">
        <v>3091</v>
      </c>
      <c r="E2062" s="21" t="s">
        <v>839</v>
      </c>
      <c r="F2062" s="21" t="s">
        <v>724</v>
      </c>
      <c r="G2062" s="21" t="s">
        <v>833</v>
      </c>
    </row>
    <row r="2063" customFormat="false" ht="15" hidden="false" customHeight="false" outlineLevel="0" collapsed="false">
      <c r="B2063" s="19" t="s">
        <v>3096</v>
      </c>
      <c r="C2063" s="20" t="n">
        <f aca="false">ROUND(1.14/FX,2)</f>
        <v>0.16</v>
      </c>
      <c r="D2063" s="21" t="s">
        <v>3091</v>
      </c>
      <c r="E2063" s="21" t="s">
        <v>841</v>
      </c>
      <c r="F2063" s="21" t="s">
        <v>724</v>
      </c>
      <c r="G2063" s="21" t="s">
        <v>833</v>
      </c>
    </row>
    <row r="2064" customFormat="false" ht="15" hidden="false" customHeight="false" outlineLevel="0" collapsed="false">
      <c r="B2064" s="19" t="s">
        <v>3097</v>
      </c>
      <c r="C2064" s="20" t="n">
        <f aca="false">ROUND(1.14/FX,2)</f>
        <v>0.16</v>
      </c>
      <c r="D2064" s="21" t="s">
        <v>3091</v>
      </c>
      <c r="E2064" s="21" t="s">
        <v>789</v>
      </c>
      <c r="F2064" s="21" t="s">
        <v>724</v>
      </c>
      <c r="G2064" s="21" t="s">
        <v>833</v>
      </c>
    </row>
    <row r="2065" customFormat="false" ht="15" hidden="false" customHeight="false" outlineLevel="0" collapsed="false">
      <c r="B2065" s="19" t="s">
        <v>3098</v>
      </c>
      <c r="C2065" s="20" t="n">
        <f aca="false">ROUND(1.04/FX,2)</f>
        <v>0.14</v>
      </c>
      <c r="D2065" s="21" t="s">
        <v>3091</v>
      </c>
      <c r="E2065" s="21" t="s">
        <v>716</v>
      </c>
      <c r="F2065" s="21" t="s">
        <v>724</v>
      </c>
      <c r="G2065" s="21" t="s">
        <v>833</v>
      </c>
    </row>
    <row r="2066" customFormat="false" ht="15" hidden="false" customHeight="false" outlineLevel="0" collapsed="false">
      <c r="B2066" s="19" t="s">
        <v>3099</v>
      </c>
      <c r="C2066" s="20" t="n">
        <f aca="false">ROUND(1.14/FX,2)</f>
        <v>0.16</v>
      </c>
      <c r="D2066" s="21" t="s">
        <v>3091</v>
      </c>
      <c r="E2066" s="21" t="s">
        <v>719</v>
      </c>
      <c r="F2066" s="21" t="s">
        <v>724</v>
      </c>
      <c r="G2066" s="21" t="s">
        <v>833</v>
      </c>
    </row>
    <row r="2067" customFormat="false" ht="15" hidden="false" customHeight="false" outlineLevel="0" collapsed="false">
      <c r="B2067" s="19" t="s">
        <v>3100</v>
      </c>
      <c r="C2067" s="20" t="n">
        <f aca="false">ROUND(1.14/FX,2)</f>
        <v>0.16</v>
      </c>
      <c r="D2067" s="21" t="s">
        <v>3101</v>
      </c>
      <c r="E2067" s="21" t="s">
        <v>707</v>
      </c>
      <c r="F2067" s="21" t="s">
        <v>724</v>
      </c>
      <c r="G2067" s="21" t="s">
        <v>833</v>
      </c>
    </row>
    <row r="2068" customFormat="false" ht="15" hidden="false" customHeight="false" outlineLevel="0" collapsed="false">
      <c r="B2068" s="19" t="s">
        <v>3102</v>
      </c>
      <c r="C2068" s="20" t="n">
        <f aca="false">ROUND(1.14/FX,2)</f>
        <v>0.16</v>
      </c>
      <c r="D2068" s="21" t="s">
        <v>3101</v>
      </c>
      <c r="E2068" s="21" t="s">
        <v>761</v>
      </c>
      <c r="F2068" s="21" t="s">
        <v>724</v>
      </c>
      <c r="G2068" s="21" t="s">
        <v>833</v>
      </c>
    </row>
    <row r="2069" customFormat="false" ht="15" hidden="false" customHeight="false" outlineLevel="0" collapsed="false">
      <c r="B2069" s="19" t="s">
        <v>3103</v>
      </c>
      <c r="C2069" s="20" t="n">
        <f aca="false">ROUND(1.14/FX,2)</f>
        <v>0.16</v>
      </c>
      <c r="D2069" s="21" t="s">
        <v>3101</v>
      </c>
      <c r="E2069" s="21" t="s">
        <v>714</v>
      </c>
      <c r="F2069" s="21" t="s">
        <v>724</v>
      </c>
      <c r="G2069" s="21" t="s">
        <v>833</v>
      </c>
    </row>
    <row r="2070" customFormat="false" ht="15" hidden="false" customHeight="false" outlineLevel="0" collapsed="false">
      <c r="B2070" s="19" t="s">
        <v>3104</v>
      </c>
      <c r="C2070" s="20" t="n">
        <f aca="false">ROUND(0.59/FX,2)</f>
        <v>0.08</v>
      </c>
      <c r="D2070" s="21" t="s">
        <v>3101</v>
      </c>
      <c r="E2070" s="21" t="s">
        <v>837</v>
      </c>
      <c r="F2070" s="21" t="s">
        <v>724</v>
      </c>
      <c r="G2070" s="21" t="s">
        <v>833</v>
      </c>
    </row>
    <row r="2071" customFormat="false" ht="15" hidden="false" customHeight="false" outlineLevel="0" collapsed="false">
      <c r="B2071" s="19" t="s">
        <v>3105</v>
      </c>
      <c r="C2071" s="20" t="n">
        <f aca="false">ROUND(1.14/FX,2)</f>
        <v>0.16</v>
      </c>
      <c r="D2071" s="21" t="s">
        <v>3101</v>
      </c>
      <c r="E2071" s="21" t="s">
        <v>839</v>
      </c>
      <c r="F2071" s="21" t="s">
        <v>724</v>
      </c>
      <c r="G2071" s="21" t="s">
        <v>833</v>
      </c>
    </row>
    <row r="2072" customFormat="false" ht="15" hidden="false" customHeight="false" outlineLevel="0" collapsed="false">
      <c r="B2072" s="19" t="s">
        <v>3106</v>
      </c>
      <c r="C2072" s="20" t="n">
        <f aca="false">ROUND(0.82/FX,2)</f>
        <v>0.11</v>
      </c>
      <c r="D2072" s="21" t="s">
        <v>3101</v>
      </c>
      <c r="E2072" s="21" t="s">
        <v>841</v>
      </c>
      <c r="F2072" s="21" t="s">
        <v>724</v>
      </c>
      <c r="G2072" s="21" t="s">
        <v>833</v>
      </c>
    </row>
    <row r="2073" customFormat="false" ht="15" hidden="false" customHeight="false" outlineLevel="0" collapsed="false">
      <c r="B2073" s="19" t="s">
        <v>3107</v>
      </c>
      <c r="C2073" s="20" t="n">
        <f aca="false">ROUND(1.14/FX,2)</f>
        <v>0.16</v>
      </c>
      <c r="D2073" s="21" t="s">
        <v>3101</v>
      </c>
      <c r="E2073" s="21" t="s">
        <v>789</v>
      </c>
      <c r="F2073" s="21" t="s">
        <v>724</v>
      </c>
      <c r="G2073" s="21" t="s">
        <v>833</v>
      </c>
    </row>
    <row r="2074" customFormat="false" ht="15" hidden="false" customHeight="false" outlineLevel="0" collapsed="false">
      <c r="B2074" s="19" t="s">
        <v>3108</v>
      </c>
      <c r="C2074" s="20" t="n">
        <f aca="false">ROUND(1.04/FX,2)</f>
        <v>0.14</v>
      </c>
      <c r="D2074" s="21" t="s">
        <v>3101</v>
      </c>
      <c r="E2074" s="21" t="s">
        <v>716</v>
      </c>
      <c r="F2074" s="21" t="s">
        <v>724</v>
      </c>
      <c r="G2074" s="21" t="s">
        <v>833</v>
      </c>
    </row>
    <row r="2075" customFormat="false" ht="15" hidden="false" customHeight="false" outlineLevel="0" collapsed="false">
      <c r="B2075" s="19" t="s">
        <v>3109</v>
      </c>
      <c r="C2075" s="20" t="n">
        <f aca="false">ROUND(1.14/FX,2)</f>
        <v>0.16</v>
      </c>
      <c r="D2075" s="21" t="s">
        <v>3101</v>
      </c>
      <c r="E2075" s="21" t="s">
        <v>719</v>
      </c>
      <c r="F2075" s="21" t="s">
        <v>724</v>
      </c>
      <c r="G2075" s="21" t="s">
        <v>833</v>
      </c>
    </row>
    <row r="2076" customFormat="false" ht="15" hidden="false" customHeight="false" outlineLevel="0" collapsed="false">
      <c r="B2076" s="19" t="s">
        <v>3110</v>
      </c>
      <c r="C2076" s="20" t="n">
        <f aca="false">ROUND(1.73/FX,2)</f>
        <v>0.24</v>
      </c>
      <c r="D2076" s="21" t="s">
        <v>3111</v>
      </c>
      <c r="E2076" s="21" t="s">
        <v>707</v>
      </c>
      <c r="F2076" s="21" t="s">
        <v>724</v>
      </c>
      <c r="G2076" s="21" t="s">
        <v>833</v>
      </c>
    </row>
    <row r="2077" customFormat="false" ht="15" hidden="false" customHeight="false" outlineLevel="0" collapsed="false">
      <c r="B2077" s="19" t="s">
        <v>3112</v>
      </c>
      <c r="C2077" s="20" t="n">
        <f aca="false">ROUND(1.14/FX,2)</f>
        <v>0.16</v>
      </c>
      <c r="D2077" s="21" t="s">
        <v>3111</v>
      </c>
      <c r="E2077" s="21" t="s">
        <v>761</v>
      </c>
      <c r="F2077" s="21" t="s">
        <v>724</v>
      </c>
      <c r="G2077" s="21" t="s">
        <v>833</v>
      </c>
    </row>
    <row r="2078" customFormat="false" ht="15" hidden="false" customHeight="false" outlineLevel="0" collapsed="false">
      <c r="B2078" s="19" t="s">
        <v>3113</v>
      </c>
      <c r="C2078" s="20" t="n">
        <f aca="false">ROUND(1.14/FX,2)</f>
        <v>0.16</v>
      </c>
      <c r="D2078" s="21" t="s">
        <v>3111</v>
      </c>
      <c r="E2078" s="21" t="s">
        <v>714</v>
      </c>
      <c r="F2078" s="21" t="s">
        <v>724</v>
      </c>
      <c r="G2078" s="21" t="s">
        <v>833</v>
      </c>
    </row>
    <row r="2079" customFormat="false" ht="15" hidden="false" customHeight="false" outlineLevel="0" collapsed="false">
      <c r="B2079" s="19" t="s">
        <v>3114</v>
      </c>
      <c r="C2079" s="20" t="n">
        <f aca="false">ROUND(0.59/FX,2)</f>
        <v>0.08</v>
      </c>
      <c r="D2079" s="21" t="s">
        <v>3111</v>
      </c>
      <c r="E2079" s="21" t="s">
        <v>837</v>
      </c>
      <c r="F2079" s="21" t="s">
        <v>724</v>
      </c>
      <c r="G2079" s="21" t="s">
        <v>833</v>
      </c>
    </row>
    <row r="2080" customFormat="false" ht="15" hidden="false" customHeight="false" outlineLevel="0" collapsed="false">
      <c r="B2080" s="19" t="s">
        <v>3115</v>
      </c>
      <c r="C2080" s="20" t="n">
        <f aca="false">ROUND(0.59/FX,2)</f>
        <v>0.08</v>
      </c>
      <c r="D2080" s="21" t="s">
        <v>3111</v>
      </c>
      <c r="E2080" s="21" t="s">
        <v>839</v>
      </c>
      <c r="F2080" s="21" t="s">
        <v>724</v>
      </c>
      <c r="G2080" s="21" t="s">
        <v>833</v>
      </c>
    </row>
    <row r="2081" customFormat="false" ht="15" hidden="false" customHeight="false" outlineLevel="0" collapsed="false">
      <c r="B2081" s="19" t="s">
        <v>3116</v>
      </c>
      <c r="C2081" s="20" t="n">
        <f aca="false">ROUND(1.14/FX,2)</f>
        <v>0.16</v>
      </c>
      <c r="D2081" s="21" t="s">
        <v>3111</v>
      </c>
      <c r="E2081" s="21" t="s">
        <v>841</v>
      </c>
      <c r="F2081" s="21" t="s">
        <v>724</v>
      </c>
      <c r="G2081" s="21" t="s">
        <v>833</v>
      </c>
    </row>
    <row r="2082" customFormat="false" ht="15" hidden="false" customHeight="false" outlineLevel="0" collapsed="false">
      <c r="B2082" s="19" t="s">
        <v>3117</v>
      </c>
      <c r="C2082" s="20" t="n">
        <f aca="false">ROUND(1.14/FX,2)</f>
        <v>0.16</v>
      </c>
      <c r="D2082" s="21" t="s">
        <v>3111</v>
      </c>
      <c r="E2082" s="21" t="s">
        <v>789</v>
      </c>
      <c r="F2082" s="21" t="s">
        <v>724</v>
      </c>
      <c r="G2082" s="21" t="s">
        <v>833</v>
      </c>
    </row>
    <row r="2083" customFormat="false" ht="15" hidden="false" customHeight="false" outlineLevel="0" collapsed="false">
      <c r="B2083" s="19" t="s">
        <v>3118</v>
      </c>
      <c r="C2083" s="20" t="n">
        <f aca="false">ROUND(1.11/FX,2)</f>
        <v>0.15</v>
      </c>
      <c r="D2083" s="21" t="s">
        <v>3111</v>
      </c>
      <c r="E2083" s="21" t="s">
        <v>716</v>
      </c>
      <c r="F2083" s="21" t="s">
        <v>724</v>
      </c>
      <c r="G2083" s="21" t="s">
        <v>833</v>
      </c>
    </row>
    <row r="2084" customFormat="false" ht="15" hidden="false" customHeight="false" outlineLevel="0" collapsed="false">
      <c r="B2084" s="19" t="s">
        <v>3119</v>
      </c>
      <c r="C2084" s="20" t="n">
        <f aca="false">ROUND(1.14/FX,2)</f>
        <v>0.16</v>
      </c>
      <c r="D2084" s="21" t="s">
        <v>3111</v>
      </c>
      <c r="E2084" s="21" t="s">
        <v>719</v>
      </c>
      <c r="F2084" s="21" t="s">
        <v>724</v>
      </c>
      <c r="G2084" s="21" t="s">
        <v>833</v>
      </c>
    </row>
    <row r="2085" customFormat="false" ht="15" hidden="false" customHeight="false" outlineLevel="0" collapsed="false">
      <c r="B2085" s="19" t="s">
        <v>3120</v>
      </c>
      <c r="C2085" s="20" t="n">
        <f aca="false">ROUND(1.73/FX,2)</f>
        <v>0.24</v>
      </c>
      <c r="D2085" s="21" t="s">
        <v>3121</v>
      </c>
      <c r="E2085" s="21" t="s">
        <v>707</v>
      </c>
      <c r="F2085" s="21" t="s">
        <v>724</v>
      </c>
      <c r="G2085" s="21" t="s">
        <v>833</v>
      </c>
    </row>
    <row r="2086" customFormat="false" ht="15" hidden="false" customHeight="false" outlineLevel="0" collapsed="false">
      <c r="B2086" s="19" t="s">
        <v>3122</v>
      </c>
      <c r="C2086" s="20" t="n">
        <f aca="false">ROUND(1.14/FX,2)</f>
        <v>0.16</v>
      </c>
      <c r="D2086" s="21" t="s">
        <v>3121</v>
      </c>
      <c r="E2086" s="21" t="s">
        <v>761</v>
      </c>
      <c r="F2086" s="21" t="s">
        <v>724</v>
      </c>
      <c r="G2086" s="21" t="s">
        <v>833</v>
      </c>
    </row>
    <row r="2087" customFormat="false" ht="15" hidden="false" customHeight="false" outlineLevel="0" collapsed="false">
      <c r="B2087" s="19" t="s">
        <v>3123</v>
      </c>
      <c r="C2087" s="20" t="n">
        <f aca="false">ROUND(1.14/FX,2)</f>
        <v>0.16</v>
      </c>
      <c r="D2087" s="21" t="s">
        <v>3121</v>
      </c>
      <c r="E2087" s="21" t="s">
        <v>714</v>
      </c>
      <c r="F2087" s="21" t="s">
        <v>724</v>
      </c>
      <c r="G2087" s="21" t="s">
        <v>833</v>
      </c>
    </row>
    <row r="2088" customFormat="false" ht="15" hidden="false" customHeight="false" outlineLevel="0" collapsed="false">
      <c r="B2088" s="19" t="s">
        <v>3124</v>
      </c>
      <c r="C2088" s="20" t="n">
        <f aca="false">ROUND(0.59/FX,2)</f>
        <v>0.08</v>
      </c>
      <c r="D2088" s="21" t="s">
        <v>3121</v>
      </c>
      <c r="E2088" s="21" t="s">
        <v>837</v>
      </c>
      <c r="F2088" s="21" t="s">
        <v>724</v>
      </c>
      <c r="G2088" s="21" t="s">
        <v>833</v>
      </c>
    </row>
    <row r="2089" customFormat="false" ht="15" hidden="false" customHeight="false" outlineLevel="0" collapsed="false">
      <c r="B2089" s="19" t="s">
        <v>3125</v>
      </c>
      <c r="C2089" s="20" t="n">
        <f aca="false">ROUND(0.59/FX,2)</f>
        <v>0.08</v>
      </c>
      <c r="D2089" s="21" t="s">
        <v>3121</v>
      </c>
      <c r="E2089" s="21" t="s">
        <v>839</v>
      </c>
      <c r="F2089" s="21" t="s">
        <v>724</v>
      </c>
      <c r="G2089" s="21" t="s">
        <v>833</v>
      </c>
    </row>
    <row r="2090" customFormat="false" ht="15" hidden="false" customHeight="false" outlineLevel="0" collapsed="false">
      <c r="B2090" s="19" t="s">
        <v>3126</v>
      </c>
      <c r="C2090" s="20" t="n">
        <f aca="false">ROUND(0.82/FX,2)</f>
        <v>0.11</v>
      </c>
      <c r="D2090" s="21" t="s">
        <v>3121</v>
      </c>
      <c r="E2090" s="21" t="s">
        <v>841</v>
      </c>
      <c r="F2090" s="21" t="s">
        <v>724</v>
      </c>
      <c r="G2090" s="21" t="s">
        <v>833</v>
      </c>
    </row>
    <row r="2091" customFormat="false" ht="15" hidden="false" customHeight="false" outlineLevel="0" collapsed="false">
      <c r="B2091" s="19" t="s">
        <v>3127</v>
      </c>
      <c r="C2091" s="20" t="n">
        <f aca="false">ROUND(1.14/FX,2)</f>
        <v>0.16</v>
      </c>
      <c r="D2091" s="21" t="s">
        <v>3121</v>
      </c>
      <c r="E2091" s="21" t="s">
        <v>789</v>
      </c>
      <c r="F2091" s="21" t="s">
        <v>724</v>
      </c>
      <c r="G2091" s="21" t="s">
        <v>833</v>
      </c>
    </row>
    <row r="2092" customFormat="false" ht="15" hidden="false" customHeight="false" outlineLevel="0" collapsed="false">
      <c r="B2092" s="19" t="s">
        <v>3128</v>
      </c>
      <c r="C2092" s="20" t="n">
        <f aca="false">ROUND(1.1/FX,2)</f>
        <v>0.15</v>
      </c>
      <c r="D2092" s="21" t="s">
        <v>3121</v>
      </c>
      <c r="E2092" s="21" t="s">
        <v>716</v>
      </c>
      <c r="F2092" s="21" t="s">
        <v>724</v>
      </c>
      <c r="G2092" s="21" t="s">
        <v>833</v>
      </c>
    </row>
    <row r="2093" customFormat="false" ht="15" hidden="false" customHeight="false" outlineLevel="0" collapsed="false">
      <c r="B2093" s="19" t="s">
        <v>3129</v>
      </c>
      <c r="C2093" s="20" t="n">
        <f aca="false">ROUND(1.14/FX,2)</f>
        <v>0.16</v>
      </c>
      <c r="D2093" s="21" t="s">
        <v>3121</v>
      </c>
      <c r="E2093" s="21" t="s">
        <v>719</v>
      </c>
      <c r="F2093" s="21" t="s">
        <v>724</v>
      </c>
      <c r="G2093" s="21" t="s">
        <v>833</v>
      </c>
    </row>
    <row r="2094" customFormat="false" ht="15" hidden="false" customHeight="false" outlineLevel="0" collapsed="false">
      <c r="B2094" s="19" t="s">
        <v>3130</v>
      </c>
      <c r="C2094" s="20" t="n">
        <f aca="false">ROUND(1.82/FX,2)</f>
        <v>0.25</v>
      </c>
      <c r="D2094" s="21" t="s">
        <v>3131</v>
      </c>
      <c r="E2094" s="21" t="s">
        <v>707</v>
      </c>
      <c r="F2094" s="21" t="s">
        <v>724</v>
      </c>
      <c r="G2094" s="21" t="s">
        <v>833</v>
      </c>
    </row>
    <row r="2095" customFormat="false" ht="15" hidden="false" customHeight="false" outlineLevel="0" collapsed="false">
      <c r="B2095" s="19" t="s">
        <v>3132</v>
      </c>
      <c r="C2095" s="20" t="n">
        <f aca="false">ROUND(1.14/FX,2)</f>
        <v>0.16</v>
      </c>
      <c r="D2095" s="21" t="s">
        <v>3131</v>
      </c>
      <c r="E2095" s="21" t="s">
        <v>761</v>
      </c>
      <c r="F2095" s="21" t="s">
        <v>724</v>
      </c>
      <c r="G2095" s="21" t="s">
        <v>833</v>
      </c>
    </row>
    <row r="2096" customFormat="false" ht="15" hidden="false" customHeight="false" outlineLevel="0" collapsed="false">
      <c r="B2096" s="19" t="s">
        <v>3133</v>
      </c>
      <c r="C2096" s="20" t="n">
        <f aca="false">ROUND(1.14/FX,2)</f>
        <v>0.16</v>
      </c>
      <c r="D2096" s="21" t="s">
        <v>3131</v>
      </c>
      <c r="E2096" s="21" t="s">
        <v>714</v>
      </c>
      <c r="F2096" s="21" t="s">
        <v>724</v>
      </c>
      <c r="G2096" s="21" t="s">
        <v>833</v>
      </c>
    </row>
    <row r="2097" customFormat="false" ht="15" hidden="false" customHeight="false" outlineLevel="0" collapsed="false">
      <c r="B2097" s="19" t="s">
        <v>3134</v>
      </c>
      <c r="C2097" s="20" t="n">
        <f aca="false">ROUND(0.59/FX,2)</f>
        <v>0.08</v>
      </c>
      <c r="D2097" s="21" t="s">
        <v>3131</v>
      </c>
      <c r="E2097" s="21" t="s">
        <v>837</v>
      </c>
      <c r="F2097" s="21" t="s">
        <v>724</v>
      </c>
      <c r="G2097" s="21" t="s">
        <v>833</v>
      </c>
    </row>
    <row r="2098" customFormat="false" ht="15" hidden="false" customHeight="false" outlineLevel="0" collapsed="false">
      <c r="B2098" s="19" t="s">
        <v>3135</v>
      </c>
      <c r="C2098" s="20" t="n">
        <f aca="false">ROUND(0.59/FX,2)</f>
        <v>0.08</v>
      </c>
      <c r="D2098" s="21" t="s">
        <v>3131</v>
      </c>
      <c r="E2098" s="21" t="s">
        <v>839</v>
      </c>
      <c r="F2098" s="21" t="s">
        <v>724</v>
      </c>
      <c r="G2098" s="21" t="s">
        <v>833</v>
      </c>
    </row>
    <row r="2099" customFormat="false" ht="15" hidden="false" customHeight="false" outlineLevel="0" collapsed="false">
      <c r="B2099" s="19" t="s">
        <v>3136</v>
      </c>
      <c r="C2099" s="20" t="n">
        <f aca="false">ROUND(1.14/FX,2)</f>
        <v>0.16</v>
      </c>
      <c r="D2099" s="21" t="s">
        <v>3131</v>
      </c>
      <c r="E2099" s="21" t="s">
        <v>841</v>
      </c>
      <c r="F2099" s="21" t="s">
        <v>724</v>
      </c>
      <c r="G2099" s="21" t="s">
        <v>833</v>
      </c>
    </row>
    <row r="2100" customFormat="false" ht="15" hidden="false" customHeight="false" outlineLevel="0" collapsed="false">
      <c r="B2100" s="19" t="s">
        <v>3137</v>
      </c>
      <c r="C2100" s="20" t="n">
        <f aca="false">ROUND(1.14/FX,2)</f>
        <v>0.16</v>
      </c>
      <c r="D2100" s="21" t="s">
        <v>3131</v>
      </c>
      <c r="E2100" s="21" t="s">
        <v>789</v>
      </c>
      <c r="F2100" s="21" t="s">
        <v>724</v>
      </c>
      <c r="G2100" s="21" t="s">
        <v>833</v>
      </c>
    </row>
    <row r="2101" customFormat="false" ht="15" hidden="false" customHeight="false" outlineLevel="0" collapsed="false">
      <c r="B2101" s="19" t="s">
        <v>3138</v>
      </c>
      <c r="C2101" s="20" t="n">
        <f aca="false">ROUND(1.04/FX,2)</f>
        <v>0.14</v>
      </c>
      <c r="D2101" s="21" t="s">
        <v>3131</v>
      </c>
      <c r="E2101" s="21" t="s">
        <v>716</v>
      </c>
      <c r="F2101" s="21" t="s">
        <v>724</v>
      </c>
      <c r="G2101" s="21" t="s">
        <v>833</v>
      </c>
    </row>
    <row r="2102" customFormat="false" ht="15" hidden="false" customHeight="false" outlineLevel="0" collapsed="false">
      <c r="B2102" s="19" t="s">
        <v>3139</v>
      </c>
      <c r="C2102" s="20" t="n">
        <f aca="false">ROUND(1.14/FX,2)</f>
        <v>0.16</v>
      </c>
      <c r="D2102" s="21" t="s">
        <v>3131</v>
      </c>
      <c r="E2102" s="21" t="s">
        <v>719</v>
      </c>
      <c r="F2102" s="21" t="s">
        <v>724</v>
      </c>
      <c r="G2102" s="21" t="s">
        <v>833</v>
      </c>
    </row>
    <row r="2103" customFormat="false" ht="15" hidden="false" customHeight="false" outlineLevel="0" collapsed="false">
      <c r="B2103" s="19" t="s">
        <v>3140</v>
      </c>
      <c r="C2103" s="20" t="n">
        <f aca="false">ROUND(1.73/FX,2)</f>
        <v>0.24</v>
      </c>
      <c r="D2103" s="21" t="s">
        <v>3141</v>
      </c>
      <c r="E2103" s="21" t="s">
        <v>707</v>
      </c>
      <c r="F2103" s="21" t="s">
        <v>724</v>
      </c>
      <c r="G2103" s="21" t="s">
        <v>833</v>
      </c>
    </row>
    <row r="2104" customFormat="false" ht="15" hidden="false" customHeight="false" outlineLevel="0" collapsed="false">
      <c r="B2104" s="19" t="s">
        <v>3142</v>
      </c>
      <c r="C2104" s="20" t="n">
        <f aca="false">ROUND(1.14/FX,2)</f>
        <v>0.16</v>
      </c>
      <c r="D2104" s="21" t="s">
        <v>3141</v>
      </c>
      <c r="E2104" s="21" t="s">
        <v>761</v>
      </c>
      <c r="F2104" s="21" t="s">
        <v>724</v>
      </c>
      <c r="G2104" s="21" t="s">
        <v>833</v>
      </c>
    </row>
    <row r="2105" customFormat="false" ht="15" hidden="false" customHeight="false" outlineLevel="0" collapsed="false">
      <c r="B2105" s="19" t="s">
        <v>3143</v>
      </c>
      <c r="C2105" s="20" t="n">
        <f aca="false">ROUND(1.14/FX,2)</f>
        <v>0.16</v>
      </c>
      <c r="D2105" s="21" t="s">
        <v>3141</v>
      </c>
      <c r="E2105" s="21" t="s">
        <v>714</v>
      </c>
      <c r="F2105" s="21" t="s">
        <v>724</v>
      </c>
      <c r="G2105" s="21" t="s">
        <v>833</v>
      </c>
    </row>
    <row r="2106" customFormat="false" ht="15" hidden="false" customHeight="false" outlineLevel="0" collapsed="false">
      <c r="B2106" s="19" t="s">
        <v>3144</v>
      </c>
      <c r="C2106" s="20" t="n">
        <f aca="false">ROUND(0.59/FX,2)</f>
        <v>0.08</v>
      </c>
      <c r="D2106" s="21" t="s">
        <v>3141</v>
      </c>
      <c r="E2106" s="21" t="s">
        <v>837</v>
      </c>
      <c r="F2106" s="21" t="s">
        <v>724</v>
      </c>
      <c r="G2106" s="21" t="s">
        <v>833</v>
      </c>
    </row>
    <row r="2107" customFormat="false" ht="15" hidden="false" customHeight="false" outlineLevel="0" collapsed="false">
      <c r="B2107" s="19" t="s">
        <v>3145</v>
      </c>
      <c r="C2107" s="20" t="n">
        <f aca="false">ROUND(0.59/FX,2)</f>
        <v>0.08</v>
      </c>
      <c r="D2107" s="21" t="s">
        <v>3141</v>
      </c>
      <c r="E2107" s="21" t="s">
        <v>839</v>
      </c>
      <c r="F2107" s="21" t="s">
        <v>724</v>
      </c>
      <c r="G2107" s="21" t="s">
        <v>833</v>
      </c>
    </row>
    <row r="2108" customFormat="false" ht="15" hidden="false" customHeight="false" outlineLevel="0" collapsed="false">
      <c r="B2108" s="19" t="s">
        <v>3146</v>
      </c>
      <c r="C2108" s="20" t="n">
        <f aca="false">ROUND(1.14/FX,2)</f>
        <v>0.16</v>
      </c>
      <c r="D2108" s="21" t="s">
        <v>3141</v>
      </c>
      <c r="E2108" s="21" t="s">
        <v>841</v>
      </c>
      <c r="F2108" s="21" t="s">
        <v>724</v>
      </c>
      <c r="G2108" s="21" t="s">
        <v>833</v>
      </c>
    </row>
    <row r="2109" customFormat="false" ht="15" hidden="false" customHeight="false" outlineLevel="0" collapsed="false">
      <c r="B2109" s="19" t="s">
        <v>3147</v>
      </c>
      <c r="C2109" s="20" t="n">
        <f aca="false">ROUND(1.14/FX,2)</f>
        <v>0.16</v>
      </c>
      <c r="D2109" s="21" t="s">
        <v>3141</v>
      </c>
      <c r="E2109" s="21" t="s">
        <v>789</v>
      </c>
      <c r="F2109" s="21" t="s">
        <v>724</v>
      </c>
      <c r="G2109" s="21" t="s">
        <v>833</v>
      </c>
    </row>
    <row r="2110" customFormat="false" ht="15" hidden="false" customHeight="false" outlineLevel="0" collapsed="false">
      <c r="B2110" s="19" t="s">
        <v>3148</v>
      </c>
      <c r="C2110" s="20" t="n">
        <f aca="false">ROUND(1.04/FX,2)</f>
        <v>0.14</v>
      </c>
      <c r="D2110" s="21" t="s">
        <v>3141</v>
      </c>
      <c r="E2110" s="21" t="s">
        <v>716</v>
      </c>
      <c r="F2110" s="21" t="s">
        <v>724</v>
      </c>
      <c r="G2110" s="21" t="s">
        <v>833</v>
      </c>
    </row>
    <row r="2111" customFormat="false" ht="15" hidden="false" customHeight="false" outlineLevel="0" collapsed="false">
      <c r="B2111" s="19" t="s">
        <v>3149</v>
      </c>
      <c r="C2111" s="20" t="n">
        <f aca="false">ROUND(1.56/FX,2)</f>
        <v>0.22</v>
      </c>
      <c r="D2111" s="21" t="s">
        <v>3141</v>
      </c>
      <c r="E2111" s="21" t="s">
        <v>719</v>
      </c>
      <c r="F2111" s="21" t="s">
        <v>724</v>
      </c>
      <c r="G2111" s="21" t="s">
        <v>833</v>
      </c>
    </row>
    <row r="2112" customFormat="false" ht="15" hidden="false" customHeight="false" outlineLevel="0" collapsed="false">
      <c r="B2112" s="19" t="s">
        <v>3150</v>
      </c>
      <c r="C2112" s="20" t="n">
        <f aca="false">ROUND(2.82/FX,2)</f>
        <v>0.39</v>
      </c>
      <c r="D2112" s="21" t="s">
        <v>3151</v>
      </c>
      <c r="E2112" s="21" t="s">
        <v>707</v>
      </c>
      <c r="F2112" s="21" t="s">
        <v>724</v>
      </c>
      <c r="G2112" s="21" t="s">
        <v>833</v>
      </c>
    </row>
    <row r="2113" customFormat="false" ht="15" hidden="false" customHeight="false" outlineLevel="0" collapsed="false">
      <c r="B2113" s="19" t="s">
        <v>3152</v>
      </c>
      <c r="C2113" s="20" t="n">
        <f aca="false">ROUND(1.14/FX,2)</f>
        <v>0.16</v>
      </c>
      <c r="D2113" s="21" t="s">
        <v>3151</v>
      </c>
      <c r="E2113" s="21" t="s">
        <v>761</v>
      </c>
      <c r="F2113" s="21" t="s">
        <v>724</v>
      </c>
      <c r="G2113" s="21" t="s">
        <v>833</v>
      </c>
    </row>
    <row r="2114" customFormat="false" ht="15" hidden="false" customHeight="false" outlineLevel="0" collapsed="false">
      <c r="B2114" s="19" t="s">
        <v>3153</v>
      </c>
      <c r="C2114" s="20" t="n">
        <f aca="false">ROUND(1.14/FX,2)</f>
        <v>0.16</v>
      </c>
      <c r="D2114" s="21" t="s">
        <v>3151</v>
      </c>
      <c r="E2114" s="21" t="s">
        <v>714</v>
      </c>
      <c r="F2114" s="21" t="s">
        <v>724</v>
      </c>
      <c r="G2114" s="21" t="s">
        <v>833</v>
      </c>
    </row>
    <row r="2115" customFormat="false" ht="15" hidden="false" customHeight="false" outlineLevel="0" collapsed="false">
      <c r="B2115" s="19" t="s">
        <v>3154</v>
      </c>
      <c r="C2115" s="20" t="n">
        <f aca="false">ROUND(0.59/FX,2)</f>
        <v>0.08</v>
      </c>
      <c r="D2115" s="21" t="s">
        <v>3151</v>
      </c>
      <c r="E2115" s="21" t="s">
        <v>837</v>
      </c>
      <c r="F2115" s="21" t="s">
        <v>724</v>
      </c>
      <c r="G2115" s="21" t="s">
        <v>833</v>
      </c>
    </row>
    <row r="2116" customFormat="false" ht="15" hidden="false" customHeight="false" outlineLevel="0" collapsed="false">
      <c r="B2116" s="19" t="s">
        <v>3155</v>
      </c>
      <c r="C2116" s="20" t="n">
        <f aca="false">ROUND(1.13/FX,2)</f>
        <v>0.16</v>
      </c>
      <c r="D2116" s="21" t="s">
        <v>3151</v>
      </c>
      <c r="E2116" s="21" t="s">
        <v>839</v>
      </c>
      <c r="F2116" s="21" t="s">
        <v>724</v>
      </c>
      <c r="G2116" s="21" t="s">
        <v>833</v>
      </c>
    </row>
    <row r="2117" customFormat="false" ht="15" hidden="false" customHeight="false" outlineLevel="0" collapsed="false">
      <c r="B2117" s="19" t="s">
        <v>3156</v>
      </c>
      <c r="C2117" s="20" t="n">
        <f aca="false">ROUND(1.14/FX,2)</f>
        <v>0.16</v>
      </c>
      <c r="D2117" s="21" t="s">
        <v>3151</v>
      </c>
      <c r="E2117" s="21" t="s">
        <v>841</v>
      </c>
      <c r="F2117" s="21" t="s">
        <v>724</v>
      </c>
      <c r="G2117" s="21" t="s">
        <v>833</v>
      </c>
    </row>
    <row r="2118" customFormat="false" ht="15" hidden="false" customHeight="false" outlineLevel="0" collapsed="false">
      <c r="B2118" s="19" t="s">
        <v>3157</v>
      </c>
      <c r="C2118" s="20" t="n">
        <f aca="false">ROUND(1.14/FX,2)</f>
        <v>0.16</v>
      </c>
      <c r="D2118" s="21" t="s">
        <v>3151</v>
      </c>
      <c r="E2118" s="21" t="s">
        <v>789</v>
      </c>
      <c r="F2118" s="21" t="s">
        <v>724</v>
      </c>
      <c r="G2118" s="21" t="s">
        <v>833</v>
      </c>
    </row>
    <row r="2119" customFormat="false" ht="15" hidden="false" customHeight="false" outlineLevel="0" collapsed="false">
      <c r="B2119" s="19" t="s">
        <v>3158</v>
      </c>
      <c r="C2119" s="20" t="n">
        <f aca="false">ROUND(1.04/FX,2)</f>
        <v>0.14</v>
      </c>
      <c r="D2119" s="21" t="s">
        <v>3151</v>
      </c>
      <c r="E2119" s="21" t="s">
        <v>716</v>
      </c>
      <c r="F2119" s="21" t="s">
        <v>724</v>
      </c>
      <c r="G2119" s="21" t="s">
        <v>833</v>
      </c>
    </row>
    <row r="2120" customFormat="false" ht="15" hidden="false" customHeight="false" outlineLevel="0" collapsed="false">
      <c r="B2120" s="19" t="s">
        <v>3159</v>
      </c>
      <c r="C2120" s="20" t="n">
        <f aca="false">ROUND(1.56/FX,2)</f>
        <v>0.22</v>
      </c>
      <c r="D2120" s="21" t="s">
        <v>3151</v>
      </c>
      <c r="E2120" s="21" t="s">
        <v>719</v>
      </c>
      <c r="F2120" s="21" t="s">
        <v>724</v>
      </c>
      <c r="G2120" s="21" t="s">
        <v>833</v>
      </c>
    </row>
    <row r="2121" customFormat="false" ht="15" hidden="false" customHeight="false" outlineLevel="0" collapsed="false">
      <c r="B2121" s="19" t="s">
        <v>3160</v>
      </c>
      <c r="C2121" s="20" t="n">
        <f aca="false">ROUND(6.32/FX,2)</f>
        <v>0.88</v>
      </c>
      <c r="D2121" s="21" t="s">
        <v>2600</v>
      </c>
      <c r="E2121" s="21" t="s">
        <v>707</v>
      </c>
      <c r="F2121" s="21" t="s">
        <v>1695</v>
      </c>
      <c r="G2121" s="21" t="s">
        <v>1696</v>
      </c>
    </row>
    <row r="2122" customFormat="false" ht="15" hidden="false" customHeight="false" outlineLevel="0" collapsed="false">
      <c r="B2122" s="19" t="s">
        <v>3161</v>
      </c>
      <c r="C2122" s="20" t="n">
        <f aca="false">ROUND(6.32/FX,2)</f>
        <v>0.88</v>
      </c>
      <c r="D2122" s="21" t="s">
        <v>2600</v>
      </c>
      <c r="E2122" s="21" t="s">
        <v>714</v>
      </c>
      <c r="F2122" s="21" t="s">
        <v>1695</v>
      </c>
      <c r="G2122" s="21" t="s">
        <v>1696</v>
      </c>
    </row>
    <row r="2123" customFormat="false" ht="15" hidden="false" customHeight="false" outlineLevel="0" collapsed="false">
      <c r="B2123" s="19" t="s">
        <v>3162</v>
      </c>
      <c r="C2123" s="20" t="n">
        <f aca="false">ROUND(1.19/FX,2)</f>
        <v>0.17</v>
      </c>
      <c r="D2123" s="21" t="s">
        <v>2600</v>
      </c>
      <c r="E2123" s="21" t="s">
        <v>716</v>
      </c>
      <c r="F2123" s="21" t="s">
        <v>1695</v>
      </c>
      <c r="G2123" s="21" t="s">
        <v>1696</v>
      </c>
    </row>
    <row r="2124" customFormat="false" ht="15" hidden="false" customHeight="false" outlineLevel="0" collapsed="false">
      <c r="B2124" s="19" t="s">
        <v>3163</v>
      </c>
      <c r="C2124" s="20" t="n">
        <f aca="false">ROUND(6.32/FX,2)</f>
        <v>0.88</v>
      </c>
      <c r="D2124" s="21" t="s">
        <v>2600</v>
      </c>
      <c r="E2124" s="21" t="s">
        <v>719</v>
      </c>
      <c r="F2124" s="21" t="s">
        <v>1695</v>
      </c>
      <c r="G2124" s="21" t="s">
        <v>1696</v>
      </c>
    </row>
    <row r="2125" customFormat="false" ht="15" hidden="false" customHeight="false" outlineLevel="0" collapsed="false">
      <c r="B2125" s="19" t="s">
        <v>3164</v>
      </c>
      <c r="C2125" s="20" t="n">
        <f aca="false">ROUND(1.56/FX,2)</f>
        <v>0.22</v>
      </c>
      <c r="D2125" s="21" t="s">
        <v>2651</v>
      </c>
      <c r="E2125" s="21" t="s">
        <v>707</v>
      </c>
      <c r="F2125" s="21" t="s">
        <v>1695</v>
      </c>
      <c r="G2125" s="21" t="s">
        <v>1696</v>
      </c>
    </row>
    <row r="2126" customFormat="false" ht="15" hidden="false" customHeight="false" outlineLevel="0" collapsed="false">
      <c r="B2126" s="19" t="s">
        <v>3165</v>
      </c>
      <c r="C2126" s="20" t="n">
        <f aca="false">ROUND(1.56/FX,2)</f>
        <v>0.22</v>
      </c>
      <c r="D2126" s="21" t="s">
        <v>2651</v>
      </c>
      <c r="E2126" s="21" t="s">
        <v>714</v>
      </c>
      <c r="F2126" s="21" t="s">
        <v>1695</v>
      </c>
      <c r="G2126" s="21" t="s">
        <v>1696</v>
      </c>
    </row>
    <row r="2127" customFormat="false" ht="15" hidden="false" customHeight="false" outlineLevel="0" collapsed="false">
      <c r="B2127" s="19" t="s">
        <v>3166</v>
      </c>
      <c r="C2127" s="20" t="n">
        <f aca="false">ROUND(1.56/FX,2)</f>
        <v>0.22</v>
      </c>
      <c r="D2127" s="21" t="s">
        <v>2651</v>
      </c>
      <c r="E2127" s="21" t="s">
        <v>716</v>
      </c>
      <c r="F2127" s="21" t="s">
        <v>1695</v>
      </c>
      <c r="G2127" s="21" t="s">
        <v>1696</v>
      </c>
    </row>
    <row r="2128" customFormat="false" ht="15" hidden="false" customHeight="false" outlineLevel="0" collapsed="false">
      <c r="B2128" s="19" t="s">
        <v>3167</v>
      </c>
      <c r="C2128" s="20" t="n">
        <f aca="false">ROUND(1.56/FX,2)</f>
        <v>0.22</v>
      </c>
      <c r="D2128" s="21" t="s">
        <v>2651</v>
      </c>
      <c r="E2128" s="21" t="s">
        <v>719</v>
      </c>
      <c r="F2128" s="21" t="s">
        <v>1695</v>
      </c>
      <c r="G2128" s="21" t="s">
        <v>1696</v>
      </c>
    </row>
    <row r="2129" customFormat="false" ht="15" hidden="false" customHeight="false" outlineLevel="0" collapsed="false">
      <c r="B2129" s="19" t="s">
        <v>3168</v>
      </c>
      <c r="C2129" s="20" t="n">
        <f aca="false">ROUND(1.56/FX,2)</f>
        <v>0.22</v>
      </c>
      <c r="D2129" s="21" t="s">
        <v>2661</v>
      </c>
      <c r="E2129" s="21" t="s">
        <v>707</v>
      </c>
      <c r="F2129" s="21" t="s">
        <v>1695</v>
      </c>
      <c r="G2129" s="21" t="s">
        <v>1696</v>
      </c>
    </row>
    <row r="2130" customFormat="false" ht="15" hidden="false" customHeight="false" outlineLevel="0" collapsed="false">
      <c r="B2130" s="19" t="s">
        <v>3169</v>
      </c>
      <c r="C2130" s="20" t="n">
        <f aca="false">ROUND(1.56/FX,2)</f>
        <v>0.22</v>
      </c>
      <c r="D2130" s="21" t="s">
        <v>2661</v>
      </c>
      <c r="E2130" s="21" t="s">
        <v>714</v>
      </c>
      <c r="F2130" s="21" t="s">
        <v>1695</v>
      </c>
      <c r="G2130" s="21" t="s">
        <v>1696</v>
      </c>
    </row>
    <row r="2131" customFormat="false" ht="15" hidden="false" customHeight="false" outlineLevel="0" collapsed="false">
      <c r="B2131" s="19" t="s">
        <v>3170</v>
      </c>
      <c r="C2131" s="20" t="n">
        <f aca="false">ROUND(1.18/FX,2)</f>
        <v>0.16</v>
      </c>
      <c r="D2131" s="21" t="s">
        <v>2661</v>
      </c>
      <c r="E2131" s="21" t="s">
        <v>716</v>
      </c>
      <c r="F2131" s="21" t="s">
        <v>1695</v>
      </c>
      <c r="G2131" s="21" t="s">
        <v>1696</v>
      </c>
    </row>
    <row r="2132" customFormat="false" ht="15" hidden="false" customHeight="false" outlineLevel="0" collapsed="false">
      <c r="B2132" s="19" t="s">
        <v>3171</v>
      </c>
      <c r="C2132" s="20" t="n">
        <f aca="false">ROUND(1.56/FX,2)</f>
        <v>0.22</v>
      </c>
      <c r="D2132" s="21" t="s">
        <v>2661</v>
      </c>
      <c r="E2132" s="21" t="s">
        <v>719</v>
      </c>
      <c r="F2132" s="21" t="s">
        <v>1695</v>
      </c>
      <c r="G2132" s="21" t="s">
        <v>1696</v>
      </c>
    </row>
    <row r="2133" customFormat="false" ht="15" hidden="false" customHeight="false" outlineLevel="0" collapsed="false">
      <c r="B2133" s="19" t="s">
        <v>3172</v>
      </c>
      <c r="C2133" s="20" t="n">
        <f aca="false">ROUND(2.6/FX,2)</f>
        <v>0.36</v>
      </c>
      <c r="D2133" s="21" t="s">
        <v>2801</v>
      </c>
      <c r="E2133" s="21" t="s">
        <v>707</v>
      </c>
      <c r="F2133" s="21" t="s">
        <v>1695</v>
      </c>
      <c r="G2133" s="21" t="s">
        <v>1696</v>
      </c>
    </row>
    <row r="2134" customFormat="false" ht="15" hidden="false" customHeight="false" outlineLevel="0" collapsed="false">
      <c r="B2134" s="19" t="s">
        <v>3173</v>
      </c>
      <c r="C2134" s="20" t="n">
        <f aca="false">ROUND(3.9/FX,2)</f>
        <v>0.54</v>
      </c>
      <c r="D2134" s="21" t="s">
        <v>2801</v>
      </c>
      <c r="E2134" s="21" t="s">
        <v>714</v>
      </c>
      <c r="F2134" s="21" t="s">
        <v>1695</v>
      </c>
      <c r="G2134" s="21" t="s">
        <v>1696</v>
      </c>
    </row>
    <row r="2135" customFormat="false" ht="15" hidden="false" customHeight="false" outlineLevel="0" collapsed="false">
      <c r="B2135" s="19" t="s">
        <v>3174</v>
      </c>
      <c r="C2135" s="20" t="n">
        <f aca="false">ROUND(1.56/FX,2)</f>
        <v>0.22</v>
      </c>
      <c r="D2135" s="21" t="s">
        <v>2801</v>
      </c>
      <c r="E2135" s="21" t="s">
        <v>716</v>
      </c>
      <c r="F2135" s="21" t="s">
        <v>1695</v>
      </c>
      <c r="G2135" s="21" t="s">
        <v>1696</v>
      </c>
    </row>
    <row r="2136" customFormat="false" ht="15" hidden="false" customHeight="false" outlineLevel="0" collapsed="false">
      <c r="B2136" s="19" t="s">
        <v>3175</v>
      </c>
      <c r="C2136" s="20" t="n">
        <f aca="false">ROUND(1.56/FX,2)</f>
        <v>0.22</v>
      </c>
      <c r="D2136" s="21" t="s">
        <v>2801</v>
      </c>
      <c r="E2136" s="21" t="s">
        <v>719</v>
      </c>
      <c r="F2136" s="21" t="s">
        <v>1695</v>
      </c>
      <c r="G2136" s="21" t="s">
        <v>1696</v>
      </c>
    </row>
    <row r="2137" customFormat="false" ht="15" hidden="false" customHeight="false" outlineLevel="0" collapsed="false">
      <c r="B2137" s="19" t="s">
        <v>3176</v>
      </c>
      <c r="C2137" s="20" t="n">
        <f aca="false">ROUND(1.56/FX,2)</f>
        <v>0.22</v>
      </c>
      <c r="D2137" s="21" t="s">
        <v>2871</v>
      </c>
      <c r="E2137" s="21" t="s">
        <v>707</v>
      </c>
      <c r="F2137" s="21" t="s">
        <v>1695</v>
      </c>
      <c r="G2137" s="21" t="s">
        <v>1696</v>
      </c>
    </row>
    <row r="2138" customFormat="false" ht="15" hidden="false" customHeight="false" outlineLevel="0" collapsed="false">
      <c r="B2138" s="19" t="s">
        <v>3177</v>
      </c>
      <c r="C2138" s="20" t="n">
        <f aca="false">ROUND(1.56/FX,2)</f>
        <v>0.22</v>
      </c>
      <c r="D2138" s="21" t="s">
        <v>2871</v>
      </c>
      <c r="E2138" s="21" t="s">
        <v>714</v>
      </c>
      <c r="F2138" s="21" t="s">
        <v>1695</v>
      </c>
      <c r="G2138" s="21" t="s">
        <v>1696</v>
      </c>
    </row>
    <row r="2139" customFormat="false" ht="15" hidden="false" customHeight="false" outlineLevel="0" collapsed="false">
      <c r="B2139" s="19" t="s">
        <v>3178</v>
      </c>
      <c r="C2139" s="20" t="n">
        <f aca="false">ROUND(1.3/FX,2)</f>
        <v>0.18</v>
      </c>
      <c r="D2139" s="21" t="s">
        <v>2871</v>
      </c>
      <c r="E2139" s="21" t="s">
        <v>716</v>
      </c>
      <c r="F2139" s="21" t="s">
        <v>1695</v>
      </c>
      <c r="G2139" s="21" t="s">
        <v>1696</v>
      </c>
    </row>
    <row r="2140" customFormat="false" ht="15" hidden="false" customHeight="false" outlineLevel="0" collapsed="false">
      <c r="B2140" s="19" t="s">
        <v>3179</v>
      </c>
      <c r="C2140" s="20" t="n">
        <f aca="false">ROUND(1.56/FX,2)</f>
        <v>0.22</v>
      </c>
      <c r="D2140" s="21" t="s">
        <v>2871</v>
      </c>
      <c r="E2140" s="21" t="s">
        <v>719</v>
      </c>
      <c r="F2140" s="21" t="s">
        <v>1695</v>
      </c>
      <c r="G2140" s="21" t="s">
        <v>1696</v>
      </c>
    </row>
    <row r="2141" customFormat="false" ht="15" hidden="false" customHeight="false" outlineLevel="0" collapsed="false">
      <c r="B2141" s="19" t="s">
        <v>3180</v>
      </c>
      <c r="C2141" s="20" t="n">
        <f aca="false">ROUND(6.32/FX,2)</f>
        <v>0.88</v>
      </c>
      <c r="D2141" s="21" t="s">
        <v>2891</v>
      </c>
      <c r="E2141" s="21" t="s">
        <v>707</v>
      </c>
      <c r="F2141" s="21" t="s">
        <v>1695</v>
      </c>
      <c r="G2141" s="21" t="s">
        <v>1696</v>
      </c>
    </row>
    <row r="2142" customFormat="false" ht="15" hidden="false" customHeight="false" outlineLevel="0" collapsed="false">
      <c r="B2142" s="19" t="s">
        <v>3181</v>
      </c>
      <c r="C2142" s="20" t="n">
        <f aca="false">ROUND(6.32/FX,2)</f>
        <v>0.88</v>
      </c>
      <c r="D2142" s="21" t="s">
        <v>2891</v>
      </c>
      <c r="E2142" s="21" t="s">
        <v>714</v>
      </c>
      <c r="F2142" s="21" t="s">
        <v>1695</v>
      </c>
      <c r="G2142" s="21" t="s">
        <v>1696</v>
      </c>
    </row>
    <row r="2143" customFormat="false" ht="15" hidden="false" customHeight="false" outlineLevel="0" collapsed="false">
      <c r="B2143" s="19" t="s">
        <v>3182</v>
      </c>
      <c r="C2143" s="20" t="n">
        <f aca="false">ROUND(1.43/FX,2)</f>
        <v>0.2</v>
      </c>
      <c r="D2143" s="21" t="s">
        <v>2891</v>
      </c>
      <c r="E2143" s="21" t="s">
        <v>716</v>
      </c>
      <c r="F2143" s="21" t="s">
        <v>1695</v>
      </c>
      <c r="G2143" s="21" t="s">
        <v>1696</v>
      </c>
    </row>
    <row r="2144" customFormat="false" ht="15" hidden="false" customHeight="false" outlineLevel="0" collapsed="false">
      <c r="B2144" s="19" t="s">
        <v>3183</v>
      </c>
      <c r="C2144" s="20" t="n">
        <f aca="false">ROUND(6.32/FX,2)</f>
        <v>0.88</v>
      </c>
      <c r="D2144" s="21" t="s">
        <v>2891</v>
      </c>
      <c r="E2144" s="21" t="s">
        <v>719</v>
      </c>
      <c r="F2144" s="21" t="s">
        <v>1695</v>
      </c>
      <c r="G2144" s="21" t="s">
        <v>1696</v>
      </c>
    </row>
    <row r="2145" customFormat="false" ht="15" hidden="false" customHeight="false" outlineLevel="0" collapsed="false">
      <c r="B2145" s="19" t="s">
        <v>3184</v>
      </c>
      <c r="C2145" s="20" t="n">
        <f aca="false">ROUND(1.56/FX,2)</f>
        <v>0.22</v>
      </c>
      <c r="D2145" s="21" t="s">
        <v>2901</v>
      </c>
      <c r="E2145" s="21" t="s">
        <v>707</v>
      </c>
      <c r="F2145" s="21" t="s">
        <v>1695</v>
      </c>
      <c r="G2145" s="21" t="s">
        <v>1696</v>
      </c>
    </row>
    <row r="2146" customFormat="false" ht="15" hidden="false" customHeight="false" outlineLevel="0" collapsed="false">
      <c r="B2146" s="19" t="s">
        <v>3185</v>
      </c>
      <c r="C2146" s="20" t="n">
        <f aca="false">ROUND(1.56/FX,2)</f>
        <v>0.22</v>
      </c>
      <c r="D2146" s="21" t="s">
        <v>2901</v>
      </c>
      <c r="E2146" s="21" t="s">
        <v>714</v>
      </c>
      <c r="F2146" s="21" t="s">
        <v>1695</v>
      </c>
      <c r="G2146" s="21" t="s">
        <v>1696</v>
      </c>
    </row>
    <row r="2147" customFormat="false" ht="15" hidden="false" customHeight="false" outlineLevel="0" collapsed="false">
      <c r="B2147" s="19" t="s">
        <v>3186</v>
      </c>
      <c r="C2147" s="20" t="n">
        <f aca="false">ROUND(1.15/FX,2)</f>
        <v>0.16</v>
      </c>
      <c r="D2147" s="21" t="s">
        <v>2901</v>
      </c>
      <c r="E2147" s="21" t="s">
        <v>716</v>
      </c>
      <c r="F2147" s="21" t="s">
        <v>1695</v>
      </c>
      <c r="G2147" s="21" t="s">
        <v>1696</v>
      </c>
    </row>
    <row r="2148" customFormat="false" ht="15" hidden="false" customHeight="false" outlineLevel="0" collapsed="false">
      <c r="B2148" s="19" t="s">
        <v>3187</v>
      </c>
      <c r="C2148" s="20" t="n">
        <f aca="false">ROUND(1.56/FX,2)</f>
        <v>0.22</v>
      </c>
      <c r="D2148" s="21" t="s">
        <v>2901</v>
      </c>
      <c r="E2148" s="21" t="s">
        <v>719</v>
      </c>
      <c r="F2148" s="21" t="s">
        <v>1695</v>
      </c>
      <c r="G2148" s="21" t="s">
        <v>1696</v>
      </c>
    </row>
    <row r="2149" customFormat="false" ht="15" hidden="false" customHeight="false" outlineLevel="0" collapsed="false">
      <c r="B2149" s="19" t="s">
        <v>3188</v>
      </c>
      <c r="C2149" s="20" t="n">
        <f aca="false">ROUND(1.56/FX,2)</f>
        <v>0.22</v>
      </c>
      <c r="D2149" s="21" t="s">
        <v>3121</v>
      </c>
      <c r="E2149" s="21" t="s">
        <v>707</v>
      </c>
      <c r="F2149" s="21" t="s">
        <v>1695</v>
      </c>
      <c r="G2149" s="21" t="s">
        <v>1696</v>
      </c>
    </row>
    <row r="2150" customFormat="false" ht="15" hidden="false" customHeight="false" outlineLevel="0" collapsed="false">
      <c r="B2150" s="19" t="s">
        <v>3189</v>
      </c>
      <c r="C2150" s="20" t="n">
        <f aca="false">ROUND(1.56/FX,2)</f>
        <v>0.22</v>
      </c>
      <c r="D2150" s="21" t="s">
        <v>3121</v>
      </c>
      <c r="E2150" s="21" t="s">
        <v>714</v>
      </c>
      <c r="F2150" s="21" t="s">
        <v>1695</v>
      </c>
      <c r="G2150" s="21" t="s">
        <v>1696</v>
      </c>
    </row>
    <row r="2151" customFormat="false" ht="15" hidden="false" customHeight="false" outlineLevel="0" collapsed="false">
      <c r="B2151" s="19" t="s">
        <v>3190</v>
      </c>
      <c r="C2151" s="20" t="n">
        <f aca="false">ROUND(6.32/FX,2)</f>
        <v>0.88</v>
      </c>
      <c r="D2151" s="21" t="s">
        <v>3121</v>
      </c>
      <c r="E2151" s="21" t="s">
        <v>716</v>
      </c>
      <c r="F2151" s="21" t="s">
        <v>1695</v>
      </c>
      <c r="G2151" s="21" t="s">
        <v>1696</v>
      </c>
    </row>
    <row r="2152" customFormat="false" ht="15" hidden="false" customHeight="false" outlineLevel="0" collapsed="false">
      <c r="B2152" s="19" t="s">
        <v>3191</v>
      </c>
      <c r="C2152" s="20" t="n">
        <f aca="false">ROUND(1.56/FX,2)</f>
        <v>0.22</v>
      </c>
      <c r="D2152" s="21" t="s">
        <v>3121</v>
      </c>
      <c r="E2152" s="21" t="s">
        <v>719</v>
      </c>
      <c r="F2152" s="21" t="s">
        <v>1695</v>
      </c>
      <c r="G2152" s="21" t="s">
        <v>1696</v>
      </c>
    </row>
    <row r="2155" customFormat="false" ht="61.5" hidden="false" customHeight="true" outlineLevel="0" collapsed="false">
      <c r="A2155" s="9"/>
      <c r="B2155" s="10" t="s">
        <v>3192</v>
      </c>
      <c r="C2155" s="10"/>
      <c r="D2155" s="10"/>
      <c r="E2155" s="10"/>
      <c r="F2155" s="10"/>
    </row>
    <row r="2156" customFormat="false" ht="15" hidden="false" customHeight="false" outlineLevel="0" collapsed="false">
      <c r="A2156" s="12" t="s">
        <v>700</v>
      </c>
      <c r="B2156" s="13" t="s">
        <v>701</v>
      </c>
      <c r="C2156" s="13" t="s">
        <v>702</v>
      </c>
      <c r="D2156" s="13" t="s">
        <v>830</v>
      </c>
      <c r="E2156" s="13" t="s">
        <v>703</v>
      </c>
      <c r="F2156" s="13" t="s">
        <v>704</v>
      </c>
    </row>
    <row r="2157" customFormat="false" ht="30" hidden="false" customHeight="true" outlineLevel="0" collapsed="false">
      <c r="A2157" s="14" t="s">
        <v>706</v>
      </c>
      <c r="B2157" s="15" t="str">
        <f aca="false">IF(COUNTIFS($D$2160:$D$2171,IF(D2157="","*",D2157),$E$2160:$E$2171,IF(E2157="","*",E2157),$F$2160:$F$2171,IF(F2157="","*",F2157))=1,INDEX($B:$B,SUMPRODUCT(((D2157="")+($D$2160:$D$2171=D2157)&gt;0)*((E2157="")+($E$2160:$E$2171=E2157)&gt;0)*((F2157="")+($F$2160:$F$2171=F2157)&gt;0)*ROW($B$2160:$B$2171))),IF(COUNTIFS($D$2160:$D$2171,IF(D2157="","*",D2157),$E$2160:$E$2171,IF(E2157="","*",E2157),$F$2160:$F$2171,IF(F2157="","*",F2157))=0,"Not available",COUNTIFS($D$2160:$D$2171,IF(D2157="","*",D2157),$E$2160:$E$2171,IF(E2157="","*",E2157),$F$2160:$F$2171,IF(F2157="","*",F2157))&amp;" match, keep choosing"))</f>
        <v>AS-2GT-320-10</v>
      </c>
      <c r="C2157" s="16" t="n">
        <f aca="false">IF(COUNTIFS($D$2160:$D$2171,IF(D2157="","*",D2157),$E$2160:$E$2171,IF(E2157="","*",E2157),$F$2160:$F$2171,IF(F2157="","*",F2157))=1,INDEX($C:$C,SUMPRODUCT(((D2157="")+($D$2160:$D$2171=D2157)&gt;0)*((E2157="")+($E$2160:$E$2171=E2157)&gt;0)*((F2157="")+($F$2160:$F$2171=F2157)&gt;0)*ROW($B$2160:$B$2171))),"")</f>
        <v>1.17</v>
      </c>
      <c r="D2157" s="17" t="s">
        <v>1570</v>
      </c>
      <c r="E2157" s="17" t="s">
        <v>707</v>
      </c>
      <c r="F2157" s="17" t="s">
        <v>3193</v>
      </c>
    </row>
    <row r="2159" customFormat="false" ht="15" hidden="false" customHeight="false" outlineLevel="0" collapsed="false">
      <c r="B2159" s="18" t="s">
        <v>701</v>
      </c>
      <c r="C2159" s="18" t="s">
        <v>702</v>
      </c>
      <c r="D2159" s="18" t="s">
        <v>830</v>
      </c>
      <c r="E2159" s="18" t="s">
        <v>703</v>
      </c>
      <c r="F2159" s="18" t="s">
        <v>704</v>
      </c>
    </row>
    <row r="2160" customFormat="false" ht="15" hidden="false" customHeight="false" outlineLevel="0" collapsed="false">
      <c r="B2160" s="19" t="s">
        <v>3194</v>
      </c>
      <c r="C2160" s="20" t="n">
        <f aca="false">ROUND(8.45/FX,2)</f>
        <v>1.17</v>
      </c>
      <c r="D2160" s="21" t="s">
        <v>1570</v>
      </c>
      <c r="E2160" s="21" t="s">
        <v>707</v>
      </c>
      <c r="F2160" s="21" t="s">
        <v>3193</v>
      </c>
    </row>
    <row r="2161" customFormat="false" ht="15" hidden="false" customHeight="false" outlineLevel="0" collapsed="false">
      <c r="B2161" s="19" t="s">
        <v>3195</v>
      </c>
      <c r="C2161" s="20" t="n">
        <f aca="false">ROUND(1.56/FX,2)</f>
        <v>0.22</v>
      </c>
      <c r="D2161" s="21" t="s">
        <v>1570</v>
      </c>
      <c r="E2161" s="21" t="s">
        <v>716</v>
      </c>
      <c r="F2161" s="21" t="s">
        <v>3193</v>
      </c>
    </row>
    <row r="2162" customFormat="false" ht="15" hidden="false" customHeight="false" outlineLevel="0" collapsed="false">
      <c r="B2162" s="19" t="s">
        <v>3196</v>
      </c>
      <c r="C2162" s="20" t="n">
        <f aca="false">ROUND(2.86/FX,2)</f>
        <v>0.4</v>
      </c>
      <c r="D2162" s="21" t="s">
        <v>1640</v>
      </c>
      <c r="E2162" s="21" t="s">
        <v>707</v>
      </c>
      <c r="F2162" s="21" t="s">
        <v>3193</v>
      </c>
    </row>
    <row r="2163" customFormat="false" ht="15" hidden="false" customHeight="false" outlineLevel="0" collapsed="false">
      <c r="B2163" s="19" t="s">
        <v>3197</v>
      </c>
      <c r="C2163" s="20" t="n">
        <f aca="false">ROUND(5.07/FX,2)</f>
        <v>0.7</v>
      </c>
      <c r="D2163" s="21" t="s">
        <v>1640</v>
      </c>
      <c r="E2163" s="21" t="s">
        <v>716</v>
      </c>
      <c r="F2163" s="21" t="s">
        <v>3193</v>
      </c>
    </row>
    <row r="2164" customFormat="false" ht="15" hidden="false" customHeight="false" outlineLevel="0" collapsed="false">
      <c r="B2164" s="19" t="s">
        <v>3198</v>
      </c>
      <c r="C2164" s="20" t="n">
        <f aca="false">ROUND(1.56/FX,2)</f>
        <v>0.22</v>
      </c>
      <c r="D2164" s="21" t="s">
        <v>2309</v>
      </c>
      <c r="E2164" s="21" t="s">
        <v>707</v>
      </c>
      <c r="F2164" s="21" t="s">
        <v>3193</v>
      </c>
    </row>
    <row r="2165" customFormat="false" ht="15" hidden="false" customHeight="false" outlineLevel="0" collapsed="false">
      <c r="B2165" s="19" t="s">
        <v>3199</v>
      </c>
      <c r="C2165" s="20" t="n">
        <f aca="false">ROUND(2.86/FX,2)</f>
        <v>0.4</v>
      </c>
      <c r="D2165" s="21" t="s">
        <v>2309</v>
      </c>
      <c r="E2165" s="21" t="s">
        <v>716</v>
      </c>
      <c r="F2165" s="21" t="s">
        <v>3193</v>
      </c>
    </row>
    <row r="2166" customFormat="false" ht="15" hidden="false" customHeight="false" outlineLevel="0" collapsed="false">
      <c r="B2166" s="19" t="s">
        <v>3200</v>
      </c>
      <c r="C2166" s="20" t="n">
        <f aca="false">ROUND(1.22/FX,2)</f>
        <v>0.17</v>
      </c>
      <c r="D2166" s="21" t="s">
        <v>1224</v>
      </c>
      <c r="E2166" s="21" t="s">
        <v>716</v>
      </c>
      <c r="F2166" s="21" t="s">
        <v>3201</v>
      </c>
    </row>
    <row r="2167" customFormat="false" ht="15" hidden="false" customHeight="false" outlineLevel="0" collapsed="false">
      <c r="B2167" s="19" t="s">
        <v>3202</v>
      </c>
      <c r="C2167" s="20" t="n">
        <f aca="false">ROUND(2.15/FX,2)</f>
        <v>0.3</v>
      </c>
      <c r="D2167" s="21" t="s">
        <v>2067</v>
      </c>
      <c r="E2167" s="21" t="s">
        <v>716</v>
      </c>
      <c r="F2167" s="21" t="s">
        <v>3201</v>
      </c>
    </row>
    <row r="2168" customFormat="false" ht="15" hidden="false" customHeight="false" outlineLevel="0" collapsed="false">
      <c r="B2168" s="19" t="s">
        <v>3203</v>
      </c>
      <c r="C2168" s="20" t="n">
        <f aca="false">ROUND(2.55/FX,2)</f>
        <v>0.35</v>
      </c>
      <c r="D2168" s="21" t="s">
        <v>2212</v>
      </c>
      <c r="E2168" s="21" t="s">
        <v>716</v>
      </c>
      <c r="F2168" s="21" t="s">
        <v>3201</v>
      </c>
    </row>
    <row r="2169" customFormat="false" ht="15" hidden="false" customHeight="false" outlineLevel="0" collapsed="false">
      <c r="B2169" s="19" t="s">
        <v>3204</v>
      </c>
      <c r="C2169" s="20" t="n">
        <f aca="false">ROUND(8.97/FX,2)</f>
        <v>1.25</v>
      </c>
      <c r="D2169" s="21" t="s">
        <v>2363</v>
      </c>
      <c r="E2169" s="21" t="s">
        <v>719</v>
      </c>
      <c r="F2169" s="21" t="s">
        <v>3205</v>
      </c>
    </row>
    <row r="2170" customFormat="false" ht="15" hidden="false" customHeight="false" outlineLevel="0" collapsed="false">
      <c r="B2170" s="19" t="s">
        <v>3206</v>
      </c>
      <c r="C2170" s="20" t="n">
        <f aca="false">ROUND(9.49/FX,2)</f>
        <v>1.32</v>
      </c>
      <c r="D2170" s="21" t="s">
        <v>2440</v>
      </c>
      <c r="E2170" s="21" t="s">
        <v>719</v>
      </c>
      <c r="F2170" s="21" t="s">
        <v>3205</v>
      </c>
    </row>
    <row r="2171" customFormat="false" ht="15" hidden="false" customHeight="false" outlineLevel="0" collapsed="false">
      <c r="B2171" s="19" t="s">
        <v>3207</v>
      </c>
      <c r="C2171" s="20" t="n">
        <f aca="false">ROUND(2.47/FX,2)</f>
        <v>0.34</v>
      </c>
      <c r="D2171" s="21" t="s">
        <v>1268</v>
      </c>
      <c r="E2171" s="21" t="s">
        <v>716</v>
      </c>
      <c r="F2171" s="21" t="s">
        <v>3208</v>
      </c>
    </row>
    <row r="2174" customFormat="false" ht="61.5" hidden="false" customHeight="true" outlineLevel="0" collapsed="false">
      <c r="A2174" s="9"/>
      <c r="B2174" s="10" t="s">
        <v>3209</v>
      </c>
      <c r="C2174" s="10"/>
      <c r="D2174" s="10"/>
      <c r="E2174" s="10"/>
    </row>
    <row r="2175" customFormat="false" ht="22.35" hidden="false" customHeight="true" outlineLevel="0" collapsed="false">
      <c r="B2175" s="11" t="s">
        <v>699</v>
      </c>
      <c r="C2175" s="11"/>
      <c r="D2175" s="11"/>
      <c r="E2175" s="11"/>
    </row>
    <row r="2176" customFormat="false" ht="15" hidden="false" customHeight="false" outlineLevel="0" collapsed="false">
      <c r="A2176" s="12" t="s">
        <v>700</v>
      </c>
      <c r="B2176" s="13" t="s">
        <v>701</v>
      </c>
      <c r="C2176" s="13" t="s">
        <v>702</v>
      </c>
      <c r="D2176" s="13" t="s">
        <v>703</v>
      </c>
      <c r="E2176" s="13" t="s">
        <v>705</v>
      </c>
    </row>
    <row r="2177" customFormat="false" ht="30" hidden="false" customHeight="true" outlineLevel="0" collapsed="false">
      <c r="A2177" s="14" t="s">
        <v>706</v>
      </c>
      <c r="B2177" s="15" t="str">
        <f aca="false">IF(COUNTIFS($D$2180:$D$2184,IF(D2177="","*",D2177),$E$2180:$E$2184,IF(E2177="","*",E2177))=1,INDEX($B:$B,SUMPRODUCT(((D2177="")+($D$2180:$D$2184=D2177)&gt;0)*((E2177="")+($E$2180:$E$2184=E2177)&gt;0)*ROW($B$2180:$B$2184))),IF(COUNTIFS($D$2180:$D$2184,IF(D2177="","*",D2177),$E$2180:$E$2184,IF(E2177="","*",E2177))=0,"Not available",COUNTIFS($D$2180:$D$2184,IF(D2177="","*",D2177),$E$2180:$E$2184,IF(E2177="","*",E2177))&amp;" match, keep choosing"))</f>
        <v>3GT-10-R-1M</v>
      </c>
      <c r="C2177" s="16" t="n">
        <f aca="false">IF(COUNTIFS($D$2180:$D$2184,IF(D2177="","*",D2177),$E$2180:$E$2184,IF(E2177="","*",E2177))=1,INDEX($C:$C,SUMPRODUCT(((D2177="")+($D$2180:$D$2184=D2177)&gt;0)*((E2177="")+($E$2180:$E$2184=E2177)&gt;0)*ROW($B$2180:$B$2184))),"")</f>
        <v>1.08</v>
      </c>
      <c r="D2177" s="17" t="s">
        <v>707</v>
      </c>
      <c r="E2177" s="17" t="s">
        <v>709</v>
      </c>
    </row>
    <row r="2179" customFormat="false" ht="15" hidden="false" customHeight="false" outlineLevel="0" collapsed="false">
      <c r="B2179" s="18" t="s">
        <v>701</v>
      </c>
      <c r="C2179" s="18" t="s">
        <v>702</v>
      </c>
      <c r="D2179" s="18" t="s">
        <v>703</v>
      </c>
      <c r="E2179" s="18" t="s">
        <v>705</v>
      </c>
    </row>
    <row r="2180" customFormat="false" ht="15" hidden="false" customHeight="false" outlineLevel="0" collapsed="false">
      <c r="B2180" s="19" t="s">
        <v>3210</v>
      </c>
      <c r="C2180" s="20" t="n">
        <f aca="false">ROUND(7.8/FX,2)</f>
        <v>1.08</v>
      </c>
      <c r="D2180" s="21" t="s">
        <v>707</v>
      </c>
      <c r="E2180" s="21" t="s">
        <v>709</v>
      </c>
    </row>
    <row r="2181" customFormat="false" ht="15" hidden="false" customHeight="false" outlineLevel="0" collapsed="false">
      <c r="B2181" s="19" t="s">
        <v>3211</v>
      </c>
      <c r="C2181" s="20" t="n">
        <f aca="false">ROUND(780/FX,2)</f>
        <v>108.33</v>
      </c>
      <c r="D2181" s="21" t="s">
        <v>707</v>
      </c>
      <c r="E2181" s="21" t="s">
        <v>739</v>
      </c>
    </row>
    <row r="2182" customFormat="false" ht="15" hidden="false" customHeight="false" outlineLevel="0" collapsed="false">
      <c r="B2182" s="19" t="s">
        <v>3212</v>
      </c>
      <c r="C2182" s="20" t="n">
        <f aca="false">ROUND(11.7/FX,2)</f>
        <v>1.63</v>
      </c>
      <c r="D2182" s="21" t="s">
        <v>714</v>
      </c>
      <c r="E2182" s="21" t="s">
        <v>709</v>
      </c>
    </row>
    <row r="2183" customFormat="false" ht="15" hidden="false" customHeight="false" outlineLevel="0" collapsed="false">
      <c r="B2183" s="19" t="s">
        <v>3213</v>
      </c>
      <c r="C2183" s="20" t="n">
        <f aca="false">ROUND(4.68/FX,2)</f>
        <v>0.65</v>
      </c>
      <c r="D2183" s="21" t="s">
        <v>716</v>
      </c>
      <c r="E2183" s="21" t="s">
        <v>709</v>
      </c>
    </row>
    <row r="2184" customFormat="false" ht="15" hidden="false" customHeight="false" outlineLevel="0" collapsed="false">
      <c r="B2184" s="19" t="s">
        <v>3214</v>
      </c>
      <c r="C2184" s="20" t="n">
        <f aca="false">ROUND(7.8/FX,2)</f>
        <v>1.08</v>
      </c>
      <c r="D2184" s="21" t="s">
        <v>719</v>
      </c>
      <c r="E2184" s="21" t="s">
        <v>709</v>
      </c>
    </row>
    <row r="2187" customFormat="false" ht="61.5" hidden="false" customHeight="true" outlineLevel="0" collapsed="false">
      <c r="A2187" s="9"/>
      <c r="B2187" s="10" t="s">
        <v>3215</v>
      </c>
      <c r="C2187" s="10"/>
      <c r="D2187" s="10"/>
      <c r="E2187" s="10"/>
      <c r="F2187" s="10"/>
    </row>
    <row r="2188" customFormat="false" ht="15" hidden="false" customHeight="false" outlineLevel="0" collapsed="false">
      <c r="A2188" s="12" t="s">
        <v>700</v>
      </c>
      <c r="B2188" s="13" t="s">
        <v>701</v>
      </c>
      <c r="C2188" s="13" t="s">
        <v>702</v>
      </c>
      <c r="D2188" s="13" t="s">
        <v>830</v>
      </c>
      <c r="E2188" s="13" t="s">
        <v>703</v>
      </c>
      <c r="F2188" s="13" t="s">
        <v>704</v>
      </c>
    </row>
    <row r="2189" customFormat="false" ht="30" hidden="false" customHeight="true" outlineLevel="0" collapsed="false">
      <c r="A2189" s="14" t="s">
        <v>706</v>
      </c>
      <c r="B2189" s="15" t="str">
        <f aca="false">IF(COUNTIFS($D$2192:$D$2214,IF(D2189="","*",D2189),$E$2192:$E$2214,IF(E2189="","*",E2189),$F$2192:$F$2214,IF(F2189="","*",F2189))=1,INDEX($B:$B,SUMPRODUCT(((D2189="")+($D$2192:$D$2214=D2189)&gt;0)*((E2189="")+($E$2192:$E$2214=E2189)&gt;0)*((F2189="")+($F$2192:$F$2214=F2189)&gt;0)*ROW($B$2192:$B$2214))),IF(COUNTIFS($D$2192:$D$2214,IF(D2189="","*",D2189),$E$2192:$E$2214,IF(E2189="","*",E2189),$F$2192:$F$2214,IF(F2189="","*",F2189))=0,"Not available",COUNTIFS($D$2192:$D$2214,IF(D2189="","*",D2189),$E$2192:$E$2214,IF(E2189="","*",E2189),$F$2192:$F$2214,IF(F2189="","*",F2189))&amp;" match, keep choosing"))</f>
        <v>3GT-1041-10</v>
      </c>
      <c r="C2189" s="16" t="n">
        <f aca="false">IF(COUNTIFS($D$2192:$D$2214,IF(D2189="","*",D2189),$E$2192:$E$2214,IF(E2189="","*",E2189),$F$2192:$F$2214,IF(F2189="","*",F2189))=1,INDEX($C:$C,SUMPRODUCT(((D2189="")+($D$2192:$D$2214=D2189)&gt;0)*((E2189="")+($E$2192:$E$2214=E2189)&gt;0)*((F2189="")+($F$2192:$F$2214=F2189)&gt;0)*ROW($B$2192:$B$2214))),"")</f>
        <v>0.56</v>
      </c>
      <c r="D2189" s="17" t="s">
        <v>3216</v>
      </c>
      <c r="E2189" s="17" t="s">
        <v>707</v>
      </c>
      <c r="F2189" s="17" t="s">
        <v>708</v>
      </c>
    </row>
    <row r="2191" customFormat="false" ht="15" hidden="false" customHeight="false" outlineLevel="0" collapsed="false">
      <c r="B2191" s="18" t="s">
        <v>701</v>
      </c>
      <c r="C2191" s="18" t="s">
        <v>702</v>
      </c>
      <c r="D2191" s="18" t="s">
        <v>830</v>
      </c>
      <c r="E2191" s="18" t="s">
        <v>703</v>
      </c>
      <c r="F2191" s="18" t="s">
        <v>704</v>
      </c>
    </row>
    <row r="2192" customFormat="false" ht="15" hidden="false" customHeight="false" outlineLevel="0" collapsed="false">
      <c r="B2192" s="19" t="s">
        <v>3217</v>
      </c>
      <c r="C2192" s="20" t="n">
        <f aca="false">ROUND(4.03/FX,2)</f>
        <v>0.56</v>
      </c>
      <c r="D2192" s="21" t="s">
        <v>3216</v>
      </c>
      <c r="E2192" s="21" t="s">
        <v>707</v>
      </c>
      <c r="F2192" s="21" t="s">
        <v>708</v>
      </c>
    </row>
    <row r="2193" customFormat="false" ht="15" hidden="false" customHeight="false" outlineLevel="0" collapsed="false">
      <c r="B2193" s="19" t="s">
        <v>3218</v>
      </c>
      <c r="C2193" s="20" t="n">
        <f aca="false">ROUND(4.55/FX,2)</f>
        <v>0.63</v>
      </c>
      <c r="D2193" s="21" t="s">
        <v>3216</v>
      </c>
      <c r="E2193" s="21" t="s">
        <v>716</v>
      </c>
      <c r="F2193" s="21" t="s">
        <v>708</v>
      </c>
    </row>
    <row r="2194" customFormat="false" ht="15" hidden="false" customHeight="false" outlineLevel="0" collapsed="false">
      <c r="B2194" s="19" t="s">
        <v>3219</v>
      </c>
      <c r="C2194" s="20" t="n">
        <f aca="false">ROUND(4.03/FX,2)</f>
        <v>0.56</v>
      </c>
      <c r="D2194" s="21" t="s">
        <v>3216</v>
      </c>
      <c r="E2194" s="21" t="s">
        <v>719</v>
      </c>
      <c r="F2194" s="21" t="s">
        <v>708</v>
      </c>
    </row>
    <row r="2195" customFormat="false" ht="15" hidden="false" customHeight="false" outlineLevel="0" collapsed="false">
      <c r="B2195" s="19" t="s">
        <v>3220</v>
      </c>
      <c r="C2195" s="20" t="n">
        <f aca="false">ROUND(8.45/FX,2)</f>
        <v>1.17</v>
      </c>
      <c r="D2195" s="21" t="s">
        <v>1746</v>
      </c>
      <c r="E2195" s="21" t="s">
        <v>707</v>
      </c>
      <c r="F2195" s="21" t="s">
        <v>708</v>
      </c>
    </row>
    <row r="2196" customFormat="false" ht="15" hidden="false" customHeight="false" outlineLevel="0" collapsed="false">
      <c r="B2196" s="19" t="s">
        <v>3221</v>
      </c>
      <c r="C2196" s="20" t="n">
        <f aca="false">ROUND(4.03/FX,2)</f>
        <v>0.56</v>
      </c>
      <c r="D2196" s="21" t="s">
        <v>1746</v>
      </c>
      <c r="E2196" s="21" t="s">
        <v>716</v>
      </c>
      <c r="F2196" s="21" t="s">
        <v>708</v>
      </c>
    </row>
    <row r="2197" customFormat="false" ht="15" hidden="false" customHeight="false" outlineLevel="0" collapsed="false">
      <c r="B2197" s="19" t="s">
        <v>3222</v>
      </c>
      <c r="C2197" s="20" t="n">
        <f aca="false">ROUND(8.45/FX,2)</f>
        <v>1.17</v>
      </c>
      <c r="D2197" s="21" t="s">
        <v>1746</v>
      </c>
      <c r="E2197" s="21" t="s">
        <v>719</v>
      </c>
      <c r="F2197" s="21" t="s">
        <v>708</v>
      </c>
    </row>
    <row r="2198" customFormat="false" ht="15" hidden="false" customHeight="false" outlineLevel="0" collapsed="false">
      <c r="B2198" s="19" t="s">
        <v>3223</v>
      </c>
      <c r="C2198" s="20" t="n">
        <f aca="false">ROUND(4.03/FX,2)</f>
        <v>0.56</v>
      </c>
      <c r="D2198" s="21" t="s">
        <v>3224</v>
      </c>
      <c r="E2198" s="21" t="s">
        <v>707</v>
      </c>
      <c r="F2198" s="21" t="s">
        <v>708</v>
      </c>
    </row>
    <row r="2199" customFormat="false" ht="15" hidden="false" customHeight="false" outlineLevel="0" collapsed="false">
      <c r="B2199" s="19" t="s">
        <v>3225</v>
      </c>
      <c r="C2199" s="20" t="n">
        <f aca="false">ROUND(6.5/FX,2)</f>
        <v>0.9</v>
      </c>
      <c r="D2199" s="21" t="s">
        <v>3224</v>
      </c>
      <c r="E2199" s="21" t="s">
        <v>716</v>
      </c>
      <c r="F2199" s="21" t="s">
        <v>708</v>
      </c>
    </row>
    <row r="2200" customFormat="false" ht="15" hidden="false" customHeight="false" outlineLevel="0" collapsed="false">
      <c r="B2200" s="19" t="s">
        <v>3226</v>
      </c>
      <c r="C2200" s="20" t="n">
        <f aca="false">ROUND(4.03/FX,2)</f>
        <v>0.56</v>
      </c>
      <c r="D2200" s="21" t="s">
        <v>3224</v>
      </c>
      <c r="E2200" s="21" t="s">
        <v>719</v>
      </c>
      <c r="F2200" s="21" t="s">
        <v>708</v>
      </c>
    </row>
    <row r="2201" customFormat="false" ht="15" hidden="false" customHeight="false" outlineLevel="0" collapsed="false">
      <c r="B2201" s="19" t="s">
        <v>3227</v>
      </c>
      <c r="C2201" s="20" t="n">
        <f aca="false">ROUND(4.03/FX,2)</f>
        <v>0.56</v>
      </c>
      <c r="D2201" s="21" t="s">
        <v>3228</v>
      </c>
      <c r="E2201" s="21" t="s">
        <v>707</v>
      </c>
      <c r="F2201" s="21" t="s">
        <v>708</v>
      </c>
    </row>
    <row r="2202" customFormat="false" ht="15" hidden="false" customHeight="false" outlineLevel="0" collapsed="false">
      <c r="B2202" s="19" t="s">
        <v>3229</v>
      </c>
      <c r="C2202" s="20" t="n">
        <f aca="false">ROUND(4.03/FX,2)</f>
        <v>0.56</v>
      </c>
      <c r="D2202" s="21" t="s">
        <v>3228</v>
      </c>
      <c r="E2202" s="21" t="s">
        <v>716</v>
      </c>
      <c r="F2202" s="21" t="s">
        <v>708</v>
      </c>
    </row>
    <row r="2203" customFormat="false" ht="15" hidden="false" customHeight="false" outlineLevel="0" collapsed="false">
      <c r="B2203" s="19" t="s">
        <v>3230</v>
      </c>
      <c r="C2203" s="20" t="n">
        <f aca="false">ROUND(11.05/FX,2)</f>
        <v>1.53</v>
      </c>
      <c r="D2203" s="21" t="s">
        <v>3228</v>
      </c>
      <c r="E2203" s="21" t="s">
        <v>719</v>
      </c>
      <c r="F2203" s="21" t="s">
        <v>708</v>
      </c>
    </row>
    <row r="2204" customFormat="false" ht="15" hidden="false" customHeight="false" outlineLevel="0" collapsed="false">
      <c r="B2204" s="19" t="s">
        <v>3231</v>
      </c>
      <c r="C2204" s="20" t="n">
        <f aca="false">ROUND(16.9/FX,2)</f>
        <v>2.35</v>
      </c>
      <c r="D2204" s="21" t="s">
        <v>3232</v>
      </c>
      <c r="E2204" s="21" t="s">
        <v>707</v>
      </c>
      <c r="F2204" s="21" t="s">
        <v>708</v>
      </c>
    </row>
    <row r="2205" customFormat="false" ht="15" hidden="false" customHeight="false" outlineLevel="0" collapsed="false">
      <c r="B2205" s="19" t="s">
        <v>3233</v>
      </c>
      <c r="C2205" s="20" t="n">
        <f aca="false">ROUND(4.03/FX,2)</f>
        <v>0.56</v>
      </c>
      <c r="D2205" s="21" t="s">
        <v>3232</v>
      </c>
      <c r="E2205" s="21" t="s">
        <v>716</v>
      </c>
      <c r="F2205" s="21" t="s">
        <v>708</v>
      </c>
    </row>
    <row r="2206" customFormat="false" ht="15" hidden="false" customHeight="false" outlineLevel="0" collapsed="false">
      <c r="B2206" s="19" t="s">
        <v>3234</v>
      </c>
      <c r="C2206" s="20" t="n">
        <f aca="false">ROUND(16.9/FX,2)</f>
        <v>2.35</v>
      </c>
      <c r="D2206" s="21" t="s">
        <v>3232</v>
      </c>
      <c r="E2206" s="21" t="s">
        <v>719</v>
      </c>
      <c r="F2206" s="21" t="s">
        <v>708</v>
      </c>
    </row>
    <row r="2207" customFormat="false" ht="15" hidden="false" customHeight="false" outlineLevel="0" collapsed="false">
      <c r="B2207" s="19" t="s">
        <v>3235</v>
      </c>
      <c r="C2207" s="20" t="n">
        <f aca="false">ROUND(4.48/FX,2)</f>
        <v>0.62</v>
      </c>
      <c r="D2207" s="21" t="s">
        <v>3236</v>
      </c>
      <c r="E2207" s="21" t="s">
        <v>707</v>
      </c>
      <c r="F2207" s="21" t="s">
        <v>708</v>
      </c>
    </row>
    <row r="2208" customFormat="false" ht="15" hidden="false" customHeight="false" outlineLevel="0" collapsed="false">
      <c r="B2208" s="19" t="s">
        <v>3237</v>
      </c>
      <c r="C2208" s="20" t="n">
        <f aca="false">ROUND(4.03/FX,2)</f>
        <v>0.56</v>
      </c>
      <c r="D2208" s="21" t="s">
        <v>3236</v>
      </c>
      <c r="E2208" s="21" t="s">
        <v>716</v>
      </c>
      <c r="F2208" s="21" t="s">
        <v>708</v>
      </c>
    </row>
    <row r="2209" customFormat="false" ht="15" hidden="false" customHeight="false" outlineLevel="0" collapsed="false">
      <c r="B2209" s="19" t="s">
        <v>3238</v>
      </c>
      <c r="C2209" s="20" t="n">
        <f aca="false">ROUND(4.03/FX,2)</f>
        <v>0.56</v>
      </c>
      <c r="D2209" s="21" t="s">
        <v>3236</v>
      </c>
      <c r="E2209" s="21" t="s">
        <v>719</v>
      </c>
      <c r="F2209" s="21" t="s">
        <v>708</v>
      </c>
    </row>
    <row r="2210" customFormat="false" ht="15" hidden="false" customHeight="false" outlineLevel="0" collapsed="false">
      <c r="B2210" s="19" t="s">
        <v>3239</v>
      </c>
      <c r="C2210" s="20" t="n">
        <f aca="false">ROUND(4.03/FX,2)</f>
        <v>0.56</v>
      </c>
      <c r="D2210" s="21" t="s">
        <v>3240</v>
      </c>
      <c r="E2210" s="21" t="s">
        <v>707</v>
      </c>
      <c r="F2210" s="21" t="s">
        <v>708</v>
      </c>
    </row>
    <row r="2211" customFormat="false" ht="15" hidden="false" customHeight="false" outlineLevel="0" collapsed="false">
      <c r="B2211" s="19" t="s">
        <v>3241</v>
      </c>
      <c r="C2211" s="20" t="n">
        <f aca="false">ROUND(3.12/FX,2)</f>
        <v>0.43</v>
      </c>
      <c r="D2211" s="21" t="s">
        <v>3240</v>
      </c>
      <c r="E2211" s="21" t="s">
        <v>716</v>
      </c>
      <c r="F2211" s="21" t="s">
        <v>708</v>
      </c>
    </row>
    <row r="2212" customFormat="false" ht="15" hidden="false" customHeight="false" outlineLevel="0" collapsed="false">
      <c r="B2212" s="19" t="s">
        <v>3242</v>
      </c>
      <c r="C2212" s="20" t="n">
        <f aca="false">ROUND(4.03/FX,2)</f>
        <v>0.56</v>
      </c>
      <c r="D2212" s="21" t="s">
        <v>3240</v>
      </c>
      <c r="E2212" s="21" t="s">
        <v>719</v>
      </c>
      <c r="F2212" s="21" t="s">
        <v>708</v>
      </c>
    </row>
    <row r="2213" customFormat="false" ht="15" hidden="false" customHeight="false" outlineLevel="0" collapsed="false">
      <c r="B2213" s="19" t="s">
        <v>3243</v>
      </c>
      <c r="C2213" s="20" t="n">
        <f aca="false">ROUND(16.9/FX,2)</f>
        <v>2.35</v>
      </c>
      <c r="D2213" s="21" t="s">
        <v>3232</v>
      </c>
      <c r="E2213" s="21" t="s">
        <v>707</v>
      </c>
      <c r="F2213" s="21" t="s">
        <v>3244</v>
      </c>
    </row>
    <row r="2214" customFormat="false" ht="15" hidden="false" customHeight="false" outlineLevel="0" collapsed="false">
      <c r="B2214" s="19" t="s">
        <v>3245</v>
      </c>
      <c r="C2214" s="20" t="n">
        <f aca="false">ROUND(4.42/FX,2)</f>
        <v>0.61</v>
      </c>
      <c r="D2214" s="21" t="s">
        <v>3236</v>
      </c>
      <c r="E2214" s="21" t="s">
        <v>707</v>
      </c>
      <c r="F2214" s="21" t="s">
        <v>3244</v>
      </c>
    </row>
    <row r="2217" customFormat="false" ht="61.5" hidden="false" customHeight="true" outlineLevel="0" collapsed="false">
      <c r="A2217" s="9"/>
      <c r="B2217" s="10" t="s">
        <v>3246</v>
      </c>
      <c r="C2217" s="10"/>
      <c r="D2217" s="10"/>
      <c r="E2217" s="10"/>
      <c r="F2217" s="10"/>
      <c r="G2217" s="10"/>
      <c r="H2217" s="10"/>
    </row>
    <row r="2218" customFormat="false" ht="22.35" hidden="false" customHeight="true" outlineLevel="0" collapsed="false">
      <c r="B2218" s="11" t="s">
        <v>699</v>
      </c>
      <c r="C2218" s="11"/>
      <c r="D2218" s="11"/>
      <c r="E2218" s="11"/>
      <c r="F2218" s="11"/>
      <c r="G2218" s="11"/>
      <c r="H2218" s="11"/>
    </row>
    <row r="2219" customFormat="false" ht="15" hidden="false" customHeight="false" outlineLevel="0" collapsed="false">
      <c r="A2219" s="12" t="s">
        <v>700</v>
      </c>
      <c r="B2219" s="13" t="s">
        <v>701</v>
      </c>
      <c r="C2219" s="13" t="s">
        <v>702</v>
      </c>
      <c r="D2219" s="13" t="s">
        <v>703</v>
      </c>
      <c r="E2219" s="13" t="s">
        <v>722</v>
      </c>
      <c r="F2219" s="13" t="s">
        <v>704</v>
      </c>
      <c r="G2219" s="13" t="s">
        <v>705</v>
      </c>
      <c r="H2219" s="13" t="s">
        <v>723</v>
      </c>
    </row>
    <row r="2220" customFormat="false" ht="30" hidden="false" customHeight="true" outlineLevel="0" collapsed="false">
      <c r="A2220" s="14" t="s">
        <v>706</v>
      </c>
      <c r="B2220" s="15" t="str">
        <f aca="false">IF(COUNTIFS($D$2223:$D$2226,IF(D2220="","*",D2220),$E$2223:$E$2226,IF(E2220="","*",E2220),$F$2223:$F$2226,IF(F2220="","*",F2220),$G$2223:$G$2226,IF(G2220="","*",G2220),$H$2223:$H$2226,IF(H2220="","*",H2220))=1,INDEX($B:$B,SUMPRODUCT(((D2220="")+($D$2223:$D$2226=D2220)&gt;0)*((E2220="")+($E$2223:$E$2226=E2220)&gt;0)*((F2220="")+($F$2223:$F$2226=F2220)&gt;0)*((G2220="")+($G$2223:$G$2226=G2220)&gt;0)*((H2220="")+($H$2223:$H$2226=H2220)&gt;0)*ROW($B$2223:$B$2226))),IF(COUNTIFS($D$2223:$D$2226,IF(D2220="","*",D2220),$E$2223:$E$2226,IF(E2220="","*",E2220),$F$2223:$F$2226,IF(F2220="","*",F2220),$G$2223:$G$2226,IF(G2220="","*",G2220),$H$2223:$H$2226,IF(H2220="","*",H2220))=0,"Not available",COUNTIFS($D$2223:$D$2226,IF(D2220="","*",D2220),$E$2223:$E$2226,IF(E2220="","*",E2220),$F$2223:$F$2226,IF(F2220="","*",F2220),$G$2223:$G$2226,IF(G2220="","*",G2220),$H$2223:$H$2226,IF(H2220="","*",H2220))&amp;" match, keep choosing"))</f>
        <v>HTD8M-20-BPU-1M</v>
      </c>
      <c r="C2220" s="16" t="n">
        <f aca="false">IF(COUNTIFS($D$2223:$D$2226,IF(D2220="","*",D2220),$E$2223:$E$2226,IF(E2220="","*",E2220),$F$2223:$F$2226,IF(F2220="","*",F2220),$G$2223:$G$2226,IF(G2220="","*",G2220),$H$2223:$H$2226,IF(H2220="","*",H2220))=1,INDEX($C:$C,SUMPRODUCT(((D2220="")+($D$2223:$D$2226=D2220)&gt;0)*((E2220="")+($E$2223:$E$2226=E2220)&gt;0)*((F2220="")+($F$2223:$F$2226=F2220)&gt;0)*((G2220="")+($G$2223:$G$2226=G2220)&gt;0)*((H2220="")+($H$2223:$H$2226=H2220)&gt;0)*ROW($B$2223:$B$2226))),"")</f>
        <v>1.08</v>
      </c>
      <c r="D2220" s="17" t="s">
        <v>3247</v>
      </c>
      <c r="E2220" s="17" t="s">
        <v>724</v>
      </c>
      <c r="F2220" s="17" t="s">
        <v>725</v>
      </c>
      <c r="G2220" s="17" t="s">
        <v>709</v>
      </c>
      <c r="H2220" s="17" t="s">
        <v>734</v>
      </c>
    </row>
    <row r="2222" customFormat="false" ht="15" hidden="false" customHeight="false" outlineLevel="0" collapsed="false">
      <c r="B2222" s="18" t="s">
        <v>701</v>
      </c>
      <c r="C2222" s="18" t="s">
        <v>702</v>
      </c>
      <c r="D2222" s="18" t="s">
        <v>703</v>
      </c>
      <c r="E2222" s="18" t="s">
        <v>722</v>
      </c>
      <c r="F2222" s="18" t="s">
        <v>704</v>
      </c>
      <c r="G2222" s="18" t="s">
        <v>705</v>
      </c>
      <c r="H2222" s="18" t="s">
        <v>723</v>
      </c>
    </row>
    <row r="2223" customFormat="false" ht="15" hidden="false" customHeight="false" outlineLevel="0" collapsed="false">
      <c r="B2223" s="19" t="s">
        <v>3248</v>
      </c>
      <c r="C2223" s="20" t="n">
        <f aca="false">ROUND(7.8/FX,2)</f>
        <v>1.08</v>
      </c>
      <c r="D2223" s="21" t="s">
        <v>3247</v>
      </c>
      <c r="E2223" s="21" t="s">
        <v>724</v>
      </c>
      <c r="F2223" s="21" t="s">
        <v>725</v>
      </c>
      <c r="G2223" s="21" t="s">
        <v>709</v>
      </c>
      <c r="H2223" s="21" t="s">
        <v>734</v>
      </c>
    </row>
    <row r="2224" customFormat="false" ht="15" hidden="false" customHeight="false" outlineLevel="0" collapsed="false">
      <c r="B2224" s="19" t="s">
        <v>3249</v>
      </c>
      <c r="C2224" s="20" t="n">
        <f aca="false">ROUND(7.8/FX,2)</f>
        <v>1.08</v>
      </c>
      <c r="D2224" s="21" t="s">
        <v>3247</v>
      </c>
      <c r="E2224" s="21" t="s">
        <v>751</v>
      </c>
      <c r="F2224" s="21" t="s">
        <v>725</v>
      </c>
      <c r="G2224" s="21" t="s">
        <v>709</v>
      </c>
      <c r="H2224" s="21" t="s">
        <v>734</v>
      </c>
    </row>
    <row r="2225" customFormat="false" ht="28.35" hidden="false" customHeight="false" outlineLevel="0" collapsed="false">
      <c r="B2225" s="19" t="s">
        <v>3250</v>
      </c>
      <c r="C2225" s="20" t="n">
        <f aca="false">ROUND(11/FX,2)</f>
        <v>1.53</v>
      </c>
      <c r="D2225" s="21" t="s">
        <v>3247</v>
      </c>
      <c r="E2225" s="21" t="s">
        <v>751</v>
      </c>
      <c r="F2225" s="21" t="s">
        <v>725</v>
      </c>
      <c r="G2225" s="21" t="s">
        <v>709</v>
      </c>
      <c r="H2225" s="21" t="s">
        <v>752</v>
      </c>
    </row>
    <row r="2226" customFormat="false" ht="15" hidden="false" customHeight="false" outlineLevel="0" collapsed="false">
      <c r="B2226" s="19" t="s">
        <v>3251</v>
      </c>
      <c r="C2226" s="20" t="n">
        <f aca="false">ROUND(20.8/FX,2)</f>
        <v>2.89</v>
      </c>
      <c r="D2226" s="21" t="s">
        <v>784</v>
      </c>
      <c r="E2226" s="21" t="s">
        <v>724</v>
      </c>
      <c r="F2226" s="21" t="s">
        <v>708</v>
      </c>
      <c r="G2226" s="21" t="s">
        <v>709</v>
      </c>
      <c r="H2226" s="21" t="s">
        <v>734</v>
      </c>
    </row>
    <row r="2229" customFormat="false" ht="61.5" hidden="false" customHeight="true" outlineLevel="0" collapsed="false">
      <c r="A2229" s="9"/>
      <c r="B2229" s="10" t="s">
        <v>3252</v>
      </c>
      <c r="C2229" s="10"/>
      <c r="D2229" s="10"/>
      <c r="E2229" s="10"/>
      <c r="F2229" s="10"/>
    </row>
    <row r="2230" customFormat="false" ht="15" hidden="false" customHeight="false" outlineLevel="0" collapsed="false">
      <c r="A2230" s="12" t="s">
        <v>700</v>
      </c>
      <c r="B2230" s="13" t="s">
        <v>701</v>
      </c>
      <c r="C2230" s="13" t="s">
        <v>702</v>
      </c>
      <c r="D2230" s="13" t="s">
        <v>830</v>
      </c>
      <c r="E2230" s="13" t="s">
        <v>703</v>
      </c>
      <c r="F2230" s="13" t="s">
        <v>704</v>
      </c>
    </row>
    <row r="2231" customFormat="false" ht="30" hidden="false" customHeight="true" outlineLevel="0" collapsed="false">
      <c r="A2231" s="14" t="s">
        <v>706</v>
      </c>
      <c r="B2231" s="15" t="str">
        <f aca="false">IF(COUNTIFS($D$2234:$D$2244,IF(D2231="","*",D2231),$E$2234:$E$2244,IF(E2231="","*",E2231),$F$2234:$F$2244,IF(F2231="","*",F2231))=1,INDEX($B:$B,SUMPRODUCT(((D2231="")+($D$2234:$D$2244=D2231)&gt;0)*((E2231="")+($E$2234:$E$2244=E2231)&gt;0)*((F2231="")+($F$2234:$F$2244=F2231)&gt;0)*ROW($B$2234:$B$2244))),IF(COUNTIFS($D$2234:$D$2244,IF(D2231="","*",D2231),$E$2234:$E$2244,IF(E2231="","*",E2231),$F$2234:$F$2244,IF(F2231="","*",F2231))=0,"Not available",COUNTIFS($D$2234:$D$2244,IF(D2231="","*",D2231),$E$2234:$E$2244,IF(E2231="","*",E2231),$F$2234:$F$2244,IF(F2231="","*",F2231))&amp;" match, keep choosing"))</f>
        <v>8M-1200-20</v>
      </c>
      <c r="C2231" s="16" t="n">
        <f aca="false">IF(COUNTIFS($D$2234:$D$2244,IF(D2231="","*",D2231),$E$2234:$E$2244,IF(E2231="","*",E2231),$F$2234:$F$2244,IF(F2231="","*",F2231))=1,INDEX($C:$C,SUMPRODUCT(((D2231="")+($D$2234:$D$2244=D2231)&gt;0)*((E2231="")+($E$2234:$E$2244=E2231)&gt;0)*((F2231="")+($F$2234:$F$2244=F2231)&gt;0)*ROW($B$2234:$B$2244))),"")</f>
        <v>1.95</v>
      </c>
      <c r="D2231" s="17" t="s">
        <v>3253</v>
      </c>
      <c r="E2231" s="17" t="s">
        <v>3247</v>
      </c>
      <c r="F2231" s="17" t="s">
        <v>708</v>
      </c>
    </row>
    <row r="2233" customFormat="false" ht="15" hidden="false" customHeight="false" outlineLevel="0" collapsed="false">
      <c r="B2233" s="18" t="s">
        <v>701</v>
      </c>
      <c r="C2233" s="18" t="s">
        <v>702</v>
      </c>
      <c r="D2233" s="18" t="s">
        <v>830</v>
      </c>
      <c r="E2233" s="18" t="s">
        <v>703</v>
      </c>
      <c r="F2233" s="18" t="s">
        <v>704</v>
      </c>
    </row>
    <row r="2234" customFormat="false" ht="15" hidden="false" customHeight="false" outlineLevel="0" collapsed="false">
      <c r="B2234" s="19" t="s">
        <v>3254</v>
      </c>
      <c r="C2234" s="20" t="n">
        <f aca="false">ROUND(14.04/FX,2)</f>
        <v>1.95</v>
      </c>
      <c r="D2234" s="21" t="s">
        <v>3253</v>
      </c>
      <c r="E2234" s="21" t="s">
        <v>3247</v>
      </c>
      <c r="F2234" s="21" t="s">
        <v>708</v>
      </c>
    </row>
    <row r="2235" customFormat="false" ht="15" hidden="false" customHeight="false" outlineLevel="0" collapsed="false">
      <c r="B2235" s="19" t="s">
        <v>3255</v>
      </c>
      <c r="C2235" s="20" t="n">
        <f aca="false">ROUND(45.5/FX,2)</f>
        <v>6.32</v>
      </c>
      <c r="D2235" s="21" t="s">
        <v>3253</v>
      </c>
      <c r="E2235" s="21" t="s">
        <v>2911</v>
      </c>
      <c r="F2235" s="21" t="s">
        <v>708</v>
      </c>
    </row>
    <row r="2236" customFormat="false" ht="15" hidden="false" customHeight="false" outlineLevel="0" collapsed="false">
      <c r="B2236" s="19" t="s">
        <v>3256</v>
      </c>
      <c r="C2236" s="20" t="n">
        <f aca="false">ROUND(45.5/FX,2)</f>
        <v>6.32</v>
      </c>
      <c r="D2236" s="21" t="s">
        <v>3257</v>
      </c>
      <c r="E2236" s="21" t="s">
        <v>3247</v>
      </c>
      <c r="F2236" s="21" t="s">
        <v>708</v>
      </c>
    </row>
    <row r="2237" customFormat="false" ht="15" hidden="false" customHeight="false" outlineLevel="0" collapsed="false">
      <c r="B2237" s="19" t="s">
        <v>3258</v>
      </c>
      <c r="C2237" s="20" t="n">
        <f aca="false">ROUND(45.5/FX,2)</f>
        <v>6.32</v>
      </c>
      <c r="D2237" s="21" t="s">
        <v>3257</v>
      </c>
      <c r="E2237" s="21" t="s">
        <v>2911</v>
      </c>
      <c r="F2237" s="21" t="s">
        <v>708</v>
      </c>
    </row>
    <row r="2238" customFormat="false" ht="15" hidden="false" customHeight="false" outlineLevel="0" collapsed="false">
      <c r="B2238" s="19" t="s">
        <v>3259</v>
      </c>
      <c r="C2238" s="20" t="n">
        <f aca="false">ROUND(18.72/FX,2)</f>
        <v>2.6</v>
      </c>
      <c r="D2238" s="21" t="s">
        <v>1910</v>
      </c>
      <c r="E2238" s="21" t="s">
        <v>3247</v>
      </c>
      <c r="F2238" s="21" t="s">
        <v>708</v>
      </c>
    </row>
    <row r="2239" customFormat="false" ht="15" hidden="false" customHeight="false" outlineLevel="0" collapsed="false">
      <c r="B2239" s="19" t="s">
        <v>3260</v>
      </c>
      <c r="C2239" s="20" t="n">
        <f aca="false">ROUND(45.5/FX,2)</f>
        <v>6.32</v>
      </c>
      <c r="D2239" s="21" t="s">
        <v>1910</v>
      </c>
      <c r="E2239" s="21" t="s">
        <v>2911</v>
      </c>
      <c r="F2239" s="21" t="s">
        <v>708</v>
      </c>
    </row>
    <row r="2240" customFormat="false" ht="15" hidden="false" customHeight="false" outlineLevel="0" collapsed="false">
      <c r="B2240" s="19" t="s">
        <v>3261</v>
      </c>
      <c r="C2240" s="20" t="n">
        <f aca="false">ROUND(23.4/FX,2)</f>
        <v>3.25</v>
      </c>
      <c r="D2240" s="21" t="s">
        <v>1924</v>
      </c>
      <c r="E2240" s="21" t="s">
        <v>3247</v>
      </c>
      <c r="F2240" s="21" t="s">
        <v>708</v>
      </c>
    </row>
    <row r="2241" customFormat="false" ht="15" hidden="false" customHeight="false" outlineLevel="0" collapsed="false">
      <c r="B2241" s="19" t="s">
        <v>3262</v>
      </c>
      <c r="C2241" s="20" t="n">
        <f aca="false">ROUND(45.5/FX,2)</f>
        <v>6.32</v>
      </c>
      <c r="D2241" s="21" t="s">
        <v>1924</v>
      </c>
      <c r="E2241" s="21" t="s">
        <v>2911</v>
      </c>
      <c r="F2241" s="21" t="s">
        <v>708</v>
      </c>
    </row>
    <row r="2242" customFormat="false" ht="15" hidden="false" customHeight="false" outlineLevel="0" collapsed="false">
      <c r="B2242" s="19" t="s">
        <v>3263</v>
      </c>
      <c r="C2242" s="20" t="n">
        <f aca="false">ROUND(9.36/FX,2)</f>
        <v>1.3</v>
      </c>
      <c r="D2242" s="21" t="s">
        <v>2440</v>
      </c>
      <c r="E2242" s="21" t="s">
        <v>3247</v>
      </c>
      <c r="F2242" s="21" t="s">
        <v>708</v>
      </c>
    </row>
    <row r="2243" customFormat="false" ht="15" hidden="false" customHeight="false" outlineLevel="0" collapsed="false">
      <c r="B2243" s="19" t="s">
        <v>3264</v>
      </c>
      <c r="C2243" s="20" t="n">
        <f aca="false">ROUND(45.5/FX,2)</f>
        <v>6.32</v>
      </c>
      <c r="D2243" s="21" t="s">
        <v>2440</v>
      </c>
      <c r="E2243" s="21" t="s">
        <v>2911</v>
      </c>
      <c r="F2243" s="21" t="s">
        <v>708</v>
      </c>
    </row>
    <row r="2244" customFormat="false" ht="28.35" hidden="false" customHeight="false" outlineLevel="0" collapsed="false">
      <c r="B2244" s="19" t="s">
        <v>3265</v>
      </c>
      <c r="C2244" s="20" t="n">
        <f aca="false">ROUND(20.8/FX,2)</f>
        <v>2.89</v>
      </c>
      <c r="D2244" s="21" t="s">
        <v>2227</v>
      </c>
      <c r="E2244" s="21" t="s">
        <v>2911</v>
      </c>
      <c r="F2244" s="21" t="s">
        <v>3266</v>
      </c>
    </row>
    <row r="2247" customFormat="false" ht="61.5" hidden="false" customHeight="true" outlineLevel="0" collapsed="false">
      <c r="A2247" s="9"/>
      <c r="B2247" s="10" t="s">
        <v>3267</v>
      </c>
      <c r="C2247" s="10"/>
      <c r="D2247" s="10"/>
      <c r="E2247" s="10"/>
      <c r="F2247" s="10"/>
      <c r="G2247" s="10"/>
      <c r="H2247" s="10"/>
    </row>
    <row r="2248" customFormat="false" ht="22.35" hidden="false" customHeight="true" outlineLevel="0" collapsed="false">
      <c r="B2248" s="11" t="s">
        <v>699</v>
      </c>
      <c r="C2248" s="11"/>
      <c r="D2248" s="11"/>
      <c r="E2248" s="11"/>
      <c r="F2248" s="11"/>
      <c r="G2248" s="11"/>
      <c r="H2248" s="11"/>
    </row>
    <row r="2249" customFormat="false" ht="15" hidden="false" customHeight="false" outlineLevel="0" collapsed="false">
      <c r="A2249" s="12" t="s">
        <v>700</v>
      </c>
      <c r="B2249" s="13" t="s">
        <v>701</v>
      </c>
      <c r="C2249" s="13" t="s">
        <v>702</v>
      </c>
      <c r="D2249" s="13" t="s">
        <v>703</v>
      </c>
      <c r="E2249" s="13" t="s">
        <v>722</v>
      </c>
      <c r="F2249" s="13" t="s">
        <v>704</v>
      </c>
      <c r="G2249" s="13" t="s">
        <v>705</v>
      </c>
      <c r="H2249" s="13" t="s">
        <v>723</v>
      </c>
    </row>
    <row r="2250" customFormat="false" ht="30" hidden="false" customHeight="true" outlineLevel="0" collapsed="false">
      <c r="A2250" s="14" t="s">
        <v>706</v>
      </c>
      <c r="B2250" s="15" t="str">
        <f aca="false">IF(COUNTIFS($D$2253:$D$2322,IF(D2250="","*",D2250),$E$2253:$E$2322,IF(E2250="","*",E2250),$F$2253:$F$2322,IF(F2250="","*",F2250),$G$2253:$G$2322,IF(G2250="","*",G2250),$H$2253:$H$2322,IF(H2250="","*",H2250))=1,INDEX($B:$B,SUMPRODUCT(((D2250="")+($D$2253:$D$2322=D2250)&gt;0)*((E2250="")+($E$2253:$E$2322=E2250)&gt;0)*((F2250="")+($F$2253:$F$2322=F2250)&gt;0)*((G2250="")+($G$2253:$G$2322=G2250)&gt;0)*((H2250="")+($H$2253:$H$2322=H2250)&gt;0)*ROW($B$2253:$B$2322))),IF(COUNTIFS($D$2253:$D$2322,IF(D2250="","*",D2250),$E$2253:$E$2322,IF(E2250="","*",E2250),$F$2253:$F$2322,IF(F2250="","*",F2250),$G$2253:$G$2322,IF(G2250="","*",G2250),$H$2253:$H$2322,IF(H2250="","*",H2250))=0,"Not available",COUNTIFS($D$2253:$D$2322,IF(D2250="","*",D2250),$E$2253:$E$2322,IF(E2250="","*",E2250),$F$2253:$F$2322,IF(F2250="","*",F2250),$G$2253:$G$2322,IF(G2250="","*",G2250),$H$2253:$H$2322,IF(H2250="","*",H2250))&amp;" match, keep choosing"))</f>
        <v>HTD3M-10-BPU-1M</v>
      </c>
      <c r="C2250" s="16" t="n">
        <f aca="false">IF(COUNTIFS($D$2253:$D$2322,IF(D2250="","*",D2250),$E$2253:$E$2322,IF(E2250="","*",E2250),$F$2253:$F$2322,IF(F2250="","*",F2250),$G$2253:$G$2322,IF(G2250="","*",G2250),$H$2253:$H$2322,IF(H2250="","*",H2250))=1,INDEX($C:$C,SUMPRODUCT(((D2250="")+($D$2253:$D$2322=D2250)&gt;0)*((E2250="")+($E$2253:$E$2322=E2250)&gt;0)*((F2250="")+($F$2253:$F$2322=F2250)&gt;0)*((G2250="")+($G$2253:$G$2322=G2250)&gt;0)*((H2250="")+($H$2253:$H$2322=H2250)&gt;0)*ROW($B$2253:$B$2322))),"")</f>
        <v>0.33</v>
      </c>
      <c r="D2250" s="17" t="s">
        <v>707</v>
      </c>
      <c r="E2250" s="17" t="s">
        <v>724</v>
      </c>
      <c r="F2250" s="17" t="s">
        <v>725</v>
      </c>
      <c r="G2250" s="17" t="s">
        <v>709</v>
      </c>
      <c r="H2250" s="17" t="s">
        <v>734</v>
      </c>
    </row>
    <row r="2252" customFormat="false" ht="15" hidden="false" customHeight="false" outlineLevel="0" collapsed="false">
      <c r="B2252" s="18" t="s">
        <v>701</v>
      </c>
      <c r="C2252" s="18" t="s">
        <v>702</v>
      </c>
      <c r="D2252" s="18" t="s">
        <v>703</v>
      </c>
      <c r="E2252" s="18" t="s">
        <v>722</v>
      </c>
      <c r="F2252" s="18" t="s">
        <v>704</v>
      </c>
      <c r="G2252" s="18" t="s">
        <v>705</v>
      </c>
      <c r="H2252" s="18" t="s">
        <v>723</v>
      </c>
    </row>
    <row r="2253" customFormat="false" ht="15" hidden="false" customHeight="false" outlineLevel="0" collapsed="false">
      <c r="B2253" s="19" t="s">
        <v>3268</v>
      </c>
      <c r="C2253" s="20" t="n">
        <f aca="false">ROUND(2.34/FX,2)</f>
        <v>0.33</v>
      </c>
      <c r="D2253" s="21" t="s">
        <v>707</v>
      </c>
      <c r="E2253" s="21" t="s">
        <v>724</v>
      </c>
      <c r="F2253" s="21" t="s">
        <v>725</v>
      </c>
      <c r="G2253" s="21" t="s">
        <v>709</v>
      </c>
      <c r="H2253" s="21" t="s">
        <v>734</v>
      </c>
    </row>
    <row r="2254" customFormat="false" ht="15" hidden="false" customHeight="false" outlineLevel="0" collapsed="false">
      <c r="B2254" s="19" t="s">
        <v>3269</v>
      </c>
      <c r="C2254" s="20" t="n">
        <f aca="false">ROUND(23.4/FX,2)</f>
        <v>3.25</v>
      </c>
      <c r="D2254" s="21" t="s">
        <v>707</v>
      </c>
      <c r="E2254" s="21" t="s">
        <v>724</v>
      </c>
      <c r="F2254" s="21" t="s">
        <v>725</v>
      </c>
      <c r="G2254" s="21" t="s">
        <v>729</v>
      </c>
      <c r="H2254" s="21" t="s">
        <v>734</v>
      </c>
    </row>
    <row r="2255" customFormat="false" ht="15" hidden="false" customHeight="false" outlineLevel="0" collapsed="false">
      <c r="B2255" s="19" t="s">
        <v>3270</v>
      </c>
      <c r="C2255" s="20" t="n">
        <f aca="false">ROUND(11.7/FX,2)</f>
        <v>1.63</v>
      </c>
      <c r="D2255" s="21" t="s">
        <v>707</v>
      </c>
      <c r="E2255" s="21" t="s">
        <v>724</v>
      </c>
      <c r="F2255" s="21" t="s">
        <v>725</v>
      </c>
      <c r="G2255" s="21" t="s">
        <v>731</v>
      </c>
      <c r="H2255" s="21" t="s">
        <v>734</v>
      </c>
    </row>
    <row r="2256" customFormat="false" ht="15" hidden="false" customHeight="false" outlineLevel="0" collapsed="false">
      <c r="B2256" s="19" t="s">
        <v>3271</v>
      </c>
      <c r="C2256" s="20" t="n">
        <f aca="false">ROUND(2.73/FX,2)</f>
        <v>0.38</v>
      </c>
      <c r="D2256" s="21" t="s">
        <v>707</v>
      </c>
      <c r="E2256" s="21" t="s">
        <v>724</v>
      </c>
      <c r="F2256" s="21" t="s">
        <v>725</v>
      </c>
      <c r="G2256" s="21" t="s">
        <v>709</v>
      </c>
      <c r="H2256" s="21" t="s">
        <v>726</v>
      </c>
    </row>
    <row r="2257" customFormat="false" ht="15" hidden="false" customHeight="false" outlineLevel="0" collapsed="false">
      <c r="B2257" s="19" t="s">
        <v>3272</v>
      </c>
      <c r="C2257" s="20" t="n">
        <f aca="false">ROUND(27.3/FX,2)</f>
        <v>3.79</v>
      </c>
      <c r="D2257" s="21" t="s">
        <v>707</v>
      </c>
      <c r="E2257" s="21" t="s">
        <v>724</v>
      </c>
      <c r="F2257" s="21" t="s">
        <v>725</v>
      </c>
      <c r="G2257" s="21" t="s">
        <v>729</v>
      </c>
      <c r="H2257" s="21" t="s">
        <v>726</v>
      </c>
    </row>
    <row r="2258" customFormat="false" ht="15" hidden="false" customHeight="false" outlineLevel="0" collapsed="false">
      <c r="B2258" s="19" t="s">
        <v>3273</v>
      </c>
      <c r="C2258" s="20" t="n">
        <f aca="false">ROUND(54.6/FX,2)</f>
        <v>7.58</v>
      </c>
      <c r="D2258" s="21" t="s">
        <v>707</v>
      </c>
      <c r="E2258" s="21" t="s">
        <v>724</v>
      </c>
      <c r="F2258" s="21" t="s">
        <v>725</v>
      </c>
      <c r="G2258" s="21" t="s">
        <v>741</v>
      </c>
      <c r="H2258" s="21" t="s">
        <v>726</v>
      </c>
    </row>
    <row r="2259" customFormat="false" ht="15" hidden="false" customHeight="false" outlineLevel="0" collapsed="false">
      <c r="B2259" s="19" t="s">
        <v>3274</v>
      </c>
      <c r="C2259" s="20" t="n">
        <f aca="false">ROUND(13.65/FX,2)</f>
        <v>1.9</v>
      </c>
      <c r="D2259" s="21" t="s">
        <v>707</v>
      </c>
      <c r="E2259" s="21" t="s">
        <v>724</v>
      </c>
      <c r="F2259" s="21" t="s">
        <v>725</v>
      </c>
      <c r="G2259" s="21" t="s">
        <v>731</v>
      </c>
      <c r="H2259" s="21" t="s">
        <v>726</v>
      </c>
    </row>
    <row r="2260" customFormat="false" ht="15" hidden="false" customHeight="false" outlineLevel="0" collapsed="false">
      <c r="B2260" s="19" t="s">
        <v>3275</v>
      </c>
      <c r="C2260" s="20" t="n">
        <f aca="false">ROUND(3.25/FX,2)</f>
        <v>0.45</v>
      </c>
      <c r="D2260" s="21" t="s">
        <v>707</v>
      </c>
      <c r="E2260" s="21" t="s">
        <v>724</v>
      </c>
      <c r="F2260" s="21" t="s">
        <v>733</v>
      </c>
      <c r="G2260" s="21" t="s">
        <v>709</v>
      </c>
      <c r="H2260" s="21" t="s">
        <v>734</v>
      </c>
    </row>
    <row r="2261" customFormat="false" ht="15" hidden="false" customHeight="false" outlineLevel="0" collapsed="false">
      <c r="B2261" s="19" t="s">
        <v>3276</v>
      </c>
      <c r="C2261" s="20" t="n">
        <f aca="false">ROUND(6.07/FX,2)</f>
        <v>0.84</v>
      </c>
      <c r="D2261" s="21" t="s">
        <v>707</v>
      </c>
      <c r="E2261" s="21" t="s">
        <v>724</v>
      </c>
      <c r="F2261" s="21" t="s">
        <v>708</v>
      </c>
      <c r="G2261" s="21" t="s">
        <v>709</v>
      </c>
      <c r="H2261" s="21" t="s">
        <v>734</v>
      </c>
    </row>
    <row r="2262" customFormat="false" ht="15" hidden="false" customHeight="false" outlineLevel="0" collapsed="false">
      <c r="B2262" s="19" t="s">
        <v>3277</v>
      </c>
      <c r="C2262" s="20" t="n">
        <f aca="false">ROUND(9.1/FX,2)</f>
        <v>1.26</v>
      </c>
      <c r="D2262" s="21" t="s">
        <v>707</v>
      </c>
      <c r="E2262" s="21" t="s">
        <v>724</v>
      </c>
      <c r="F2262" s="21" t="s">
        <v>712</v>
      </c>
      <c r="G2262" s="21" t="s">
        <v>709</v>
      </c>
      <c r="H2262" s="21" t="s">
        <v>734</v>
      </c>
    </row>
    <row r="2263" customFormat="false" ht="15" hidden="false" customHeight="false" outlineLevel="0" collapsed="false">
      <c r="B2263" s="19" t="s">
        <v>3278</v>
      </c>
      <c r="C2263" s="20" t="n">
        <f aca="false">ROUND(2.6/FX,2)</f>
        <v>0.36</v>
      </c>
      <c r="D2263" s="21" t="s">
        <v>707</v>
      </c>
      <c r="E2263" s="21" t="s">
        <v>751</v>
      </c>
      <c r="F2263" s="21" t="s">
        <v>725</v>
      </c>
      <c r="G2263" s="21" t="s">
        <v>709</v>
      </c>
      <c r="H2263" s="21" t="s">
        <v>734</v>
      </c>
    </row>
    <row r="2264" customFormat="false" ht="15" hidden="false" customHeight="false" outlineLevel="0" collapsed="false">
      <c r="B2264" s="19" t="s">
        <v>3279</v>
      </c>
      <c r="C2264" s="20" t="n">
        <f aca="false">ROUND(23.4/FX,2)</f>
        <v>3.25</v>
      </c>
      <c r="D2264" s="21" t="s">
        <v>707</v>
      </c>
      <c r="E2264" s="21" t="s">
        <v>751</v>
      </c>
      <c r="F2264" s="21" t="s">
        <v>725</v>
      </c>
      <c r="G2264" s="21" t="s">
        <v>729</v>
      </c>
      <c r="H2264" s="21" t="s">
        <v>734</v>
      </c>
    </row>
    <row r="2265" customFormat="false" ht="15" hidden="false" customHeight="false" outlineLevel="0" collapsed="false">
      <c r="B2265" s="19" t="s">
        <v>3280</v>
      </c>
      <c r="C2265" s="20" t="n">
        <f aca="false">ROUND(11.7/FX,2)</f>
        <v>1.63</v>
      </c>
      <c r="D2265" s="21" t="s">
        <v>707</v>
      </c>
      <c r="E2265" s="21" t="s">
        <v>751</v>
      </c>
      <c r="F2265" s="21" t="s">
        <v>725</v>
      </c>
      <c r="G2265" s="21" t="s">
        <v>731</v>
      </c>
      <c r="H2265" s="21" t="s">
        <v>734</v>
      </c>
    </row>
    <row r="2266" customFormat="false" ht="28.35" hidden="false" customHeight="false" outlineLevel="0" collapsed="false">
      <c r="B2266" s="19" t="s">
        <v>3281</v>
      </c>
      <c r="C2266" s="20" t="n">
        <f aca="false">ROUND(2.73/FX,2)</f>
        <v>0.38</v>
      </c>
      <c r="D2266" s="21" t="s">
        <v>707</v>
      </c>
      <c r="E2266" s="21" t="s">
        <v>751</v>
      </c>
      <c r="F2266" s="21" t="s">
        <v>725</v>
      </c>
      <c r="G2266" s="21" t="s">
        <v>709</v>
      </c>
      <c r="H2266" s="21" t="s">
        <v>752</v>
      </c>
    </row>
    <row r="2267" customFormat="false" ht="28.35" hidden="false" customHeight="false" outlineLevel="0" collapsed="false">
      <c r="B2267" s="19" t="s">
        <v>3282</v>
      </c>
      <c r="C2267" s="20" t="n">
        <f aca="false">ROUND(27.3/FX,2)</f>
        <v>3.79</v>
      </c>
      <c r="D2267" s="21" t="s">
        <v>707</v>
      </c>
      <c r="E2267" s="21" t="s">
        <v>751</v>
      </c>
      <c r="F2267" s="21" t="s">
        <v>725</v>
      </c>
      <c r="G2267" s="21" t="s">
        <v>729</v>
      </c>
      <c r="H2267" s="21" t="s">
        <v>752</v>
      </c>
    </row>
    <row r="2268" customFormat="false" ht="28.35" hidden="false" customHeight="false" outlineLevel="0" collapsed="false">
      <c r="B2268" s="19" t="s">
        <v>3283</v>
      </c>
      <c r="C2268" s="20" t="n">
        <f aca="false">ROUND(54.6/FX,2)</f>
        <v>7.58</v>
      </c>
      <c r="D2268" s="21" t="s">
        <v>707</v>
      </c>
      <c r="E2268" s="21" t="s">
        <v>751</v>
      </c>
      <c r="F2268" s="21" t="s">
        <v>725</v>
      </c>
      <c r="G2268" s="21" t="s">
        <v>741</v>
      </c>
      <c r="H2268" s="21" t="s">
        <v>752</v>
      </c>
    </row>
    <row r="2269" customFormat="false" ht="15" hidden="false" customHeight="false" outlineLevel="0" collapsed="false">
      <c r="B2269" s="19" t="s">
        <v>3284</v>
      </c>
      <c r="C2269" s="20" t="n">
        <f aca="false">ROUND(3.64/FX,2)</f>
        <v>0.51</v>
      </c>
      <c r="D2269" s="21" t="s">
        <v>761</v>
      </c>
      <c r="E2269" s="21" t="s">
        <v>724</v>
      </c>
      <c r="F2269" s="21" t="s">
        <v>725</v>
      </c>
      <c r="G2269" s="21" t="s">
        <v>709</v>
      </c>
      <c r="H2269" s="21" t="s">
        <v>734</v>
      </c>
    </row>
    <row r="2270" customFormat="false" ht="15" hidden="false" customHeight="false" outlineLevel="0" collapsed="false">
      <c r="B2270" s="19" t="s">
        <v>3285</v>
      </c>
      <c r="C2270" s="20" t="n">
        <f aca="false">ROUND(8.06/FX,2)</f>
        <v>1.12</v>
      </c>
      <c r="D2270" s="21" t="s">
        <v>761</v>
      </c>
      <c r="E2270" s="21" t="s">
        <v>724</v>
      </c>
      <c r="F2270" s="21" t="s">
        <v>708</v>
      </c>
      <c r="G2270" s="21" t="s">
        <v>709</v>
      </c>
      <c r="H2270" s="21" t="s">
        <v>734</v>
      </c>
    </row>
    <row r="2271" customFormat="false" ht="15" hidden="false" customHeight="false" outlineLevel="0" collapsed="false">
      <c r="B2271" s="19" t="s">
        <v>3286</v>
      </c>
      <c r="C2271" s="20" t="n">
        <f aca="false">ROUND(10.92/FX,2)</f>
        <v>1.52</v>
      </c>
      <c r="D2271" s="21" t="s">
        <v>761</v>
      </c>
      <c r="E2271" s="21" t="s">
        <v>724</v>
      </c>
      <c r="F2271" s="21" t="s">
        <v>712</v>
      </c>
      <c r="G2271" s="21" t="s">
        <v>709</v>
      </c>
      <c r="H2271" s="21" t="s">
        <v>734</v>
      </c>
    </row>
    <row r="2272" customFormat="false" ht="15" hidden="false" customHeight="false" outlineLevel="0" collapsed="false">
      <c r="B2272" s="19" t="s">
        <v>3287</v>
      </c>
      <c r="C2272" s="20" t="n">
        <f aca="false">ROUND(3.64/FX,2)</f>
        <v>0.51</v>
      </c>
      <c r="D2272" s="21" t="s">
        <v>761</v>
      </c>
      <c r="E2272" s="21" t="s">
        <v>751</v>
      </c>
      <c r="F2272" s="21" t="s">
        <v>725</v>
      </c>
      <c r="G2272" s="21" t="s">
        <v>709</v>
      </c>
      <c r="H2272" s="21" t="s">
        <v>734</v>
      </c>
    </row>
    <row r="2273" customFormat="false" ht="28.35" hidden="false" customHeight="false" outlineLevel="0" collapsed="false">
      <c r="B2273" s="19" t="s">
        <v>3288</v>
      </c>
      <c r="C2273" s="20" t="n">
        <f aca="false">ROUND(3.28/FX,2)</f>
        <v>0.46</v>
      </c>
      <c r="D2273" s="21" t="s">
        <v>761</v>
      </c>
      <c r="E2273" s="21" t="s">
        <v>751</v>
      </c>
      <c r="F2273" s="21" t="s">
        <v>725</v>
      </c>
      <c r="G2273" s="21" t="s">
        <v>709</v>
      </c>
      <c r="H2273" s="21" t="s">
        <v>752</v>
      </c>
    </row>
    <row r="2274" customFormat="false" ht="15" hidden="false" customHeight="false" outlineLevel="0" collapsed="false">
      <c r="B2274" s="19" t="s">
        <v>3289</v>
      </c>
      <c r="C2274" s="20" t="n">
        <f aca="false">ROUND(3.51/FX,2)</f>
        <v>0.49</v>
      </c>
      <c r="D2274" s="21" t="s">
        <v>714</v>
      </c>
      <c r="E2274" s="21" t="s">
        <v>724</v>
      </c>
      <c r="F2274" s="21" t="s">
        <v>725</v>
      </c>
      <c r="G2274" s="21" t="s">
        <v>709</v>
      </c>
      <c r="H2274" s="21" t="s">
        <v>734</v>
      </c>
    </row>
    <row r="2275" customFormat="false" ht="15" hidden="false" customHeight="false" outlineLevel="0" collapsed="false">
      <c r="B2275" s="19" t="s">
        <v>3290</v>
      </c>
      <c r="C2275" s="20" t="n">
        <f aca="false">ROUND(35.1/FX,2)</f>
        <v>4.88</v>
      </c>
      <c r="D2275" s="21" t="s">
        <v>714</v>
      </c>
      <c r="E2275" s="21" t="s">
        <v>724</v>
      </c>
      <c r="F2275" s="21" t="s">
        <v>725</v>
      </c>
      <c r="G2275" s="21" t="s">
        <v>729</v>
      </c>
      <c r="H2275" s="21" t="s">
        <v>734</v>
      </c>
    </row>
    <row r="2276" customFormat="false" ht="15" hidden="false" customHeight="false" outlineLevel="0" collapsed="false">
      <c r="B2276" s="19" t="s">
        <v>3291</v>
      </c>
      <c r="C2276" s="20" t="n">
        <f aca="false">ROUND(70.2/FX,2)</f>
        <v>9.75</v>
      </c>
      <c r="D2276" s="21" t="s">
        <v>714</v>
      </c>
      <c r="E2276" s="21" t="s">
        <v>724</v>
      </c>
      <c r="F2276" s="21" t="s">
        <v>725</v>
      </c>
      <c r="G2276" s="21" t="s">
        <v>741</v>
      </c>
      <c r="H2276" s="21" t="s">
        <v>734</v>
      </c>
    </row>
    <row r="2277" customFormat="false" ht="15" hidden="false" customHeight="false" outlineLevel="0" collapsed="false">
      <c r="B2277" s="19" t="s">
        <v>3292</v>
      </c>
      <c r="C2277" s="20" t="n">
        <f aca="false">ROUND(105.3/FX,2)</f>
        <v>14.63</v>
      </c>
      <c r="D2277" s="21" t="s">
        <v>714</v>
      </c>
      <c r="E2277" s="21" t="s">
        <v>724</v>
      </c>
      <c r="F2277" s="21" t="s">
        <v>725</v>
      </c>
      <c r="G2277" s="21" t="s">
        <v>3293</v>
      </c>
      <c r="H2277" s="21" t="s">
        <v>734</v>
      </c>
    </row>
    <row r="2278" customFormat="false" ht="15" hidden="false" customHeight="false" outlineLevel="0" collapsed="false">
      <c r="B2278" s="19" t="s">
        <v>3294</v>
      </c>
      <c r="C2278" s="20" t="n">
        <f aca="false">ROUND(17.55/FX,2)</f>
        <v>2.44</v>
      </c>
      <c r="D2278" s="21" t="s">
        <v>714</v>
      </c>
      <c r="E2278" s="21" t="s">
        <v>724</v>
      </c>
      <c r="F2278" s="21" t="s">
        <v>725</v>
      </c>
      <c r="G2278" s="21" t="s">
        <v>731</v>
      </c>
      <c r="H2278" s="21" t="s">
        <v>734</v>
      </c>
    </row>
    <row r="2279" customFormat="false" ht="15" hidden="false" customHeight="false" outlineLevel="0" collapsed="false">
      <c r="B2279" s="19" t="s">
        <v>3295</v>
      </c>
      <c r="C2279" s="20" t="n">
        <f aca="false">ROUND(2.73/FX,2)</f>
        <v>0.38</v>
      </c>
      <c r="D2279" s="21" t="s">
        <v>714</v>
      </c>
      <c r="E2279" s="21" t="s">
        <v>724</v>
      </c>
      <c r="F2279" s="21" t="s">
        <v>725</v>
      </c>
      <c r="G2279" s="21" t="s">
        <v>709</v>
      </c>
      <c r="H2279" s="21" t="s">
        <v>726</v>
      </c>
    </row>
    <row r="2280" customFormat="false" ht="15" hidden="false" customHeight="false" outlineLevel="0" collapsed="false">
      <c r="B2280" s="19" t="s">
        <v>3296</v>
      </c>
      <c r="C2280" s="20" t="n">
        <f aca="false">ROUND(4.88/FX,2)</f>
        <v>0.68</v>
      </c>
      <c r="D2280" s="21" t="s">
        <v>714</v>
      </c>
      <c r="E2280" s="21" t="s">
        <v>724</v>
      </c>
      <c r="F2280" s="21" t="s">
        <v>733</v>
      </c>
      <c r="G2280" s="21" t="s">
        <v>709</v>
      </c>
      <c r="H2280" s="21" t="s">
        <v>734</v>
      </c>
    </row>
    <row r="2281" customFormat="false" ht="15" hidden="false" customHeight="false" outlineLevel="0" collapsed="false">
      <c r="B2281" s="19" t="s">
        <v>3297</v>
      </c>
      <c r="C2281" s="20" t="n">
        <f aca="false">ROUND(9.1/FX,2)</f>
        <v>1.26</v>
      </c>
      <c r="D2281" s="21" t="s">
        <v>714</v>
      </c>
      <c r="E2281" s="21" t="s">
        <v>724</v>
      </c>
      <c r="F2281" s="21" t="s">
        <v>708</v>
      </c>
      <c r="G2281" s="21" t="s">
        <v>709</v>
      </c>
      <c r="H2281" s="21" t="s">
        <v>734</v>
      </c>
    </row>
    <row r="2282" customFormat="false" ht="15" hidden="false" customHeight="false" outlineLevel="0" collapsed="false">
      <c r="B2282" s="19" t="s">
        <v>3298</v>
      </c>
      <c r="C2282" s="20" t="n">
        <f aca="false">ROUND(45.5/FX,2)</f>
        <v>6.32</v>
      </c>
      <c r="D2282" s="21" t="s">
        <v>714</v>
      </c>
      <c r="E2282" s="21" t="s">
        <v>724</v>
      </c>
      <c r="F2282" s="21" t="s">
        <v>708</v>
      </c>
      <c r="G2282" s="21" t="s">
        <v>731</v>
      </c>
      <c r="H2282" s="21" t="s">
        <v>734</v>
      </c>
    </row>
    <row r="2283" customFormat="false" ht="15" hidden="false" customHeight="false" outlineLevel="0" collapsed="false">
      <c r="B2283" s="19" t="s">
        <v>3299</v>
      </c>
      <c r="C2283" s="20" t="n">
        <f aca="false">ROUND(455/FX,2)</f>
        <v>63.19</v>
      </c>
      <c r="D2283" s="21" t="s">
        <v>714</v>
      </c>
      <c r="E2283" s="21" t="s">
        <v>724</v>
      </c>
      <c r="F2283" s="21" t="s">
        <v>708</v>
      </c>
      <c r="G2283" s="21" t="s">
        <v>799</v>
      </c>
      <c r="H2283" s="21" t="s">
        <v>734</v>
      </c>
    </row>
    <row r="2284" customFormat="false" ht="15" hidden="false" customHeight="false" outlineLevel="0" collapsed="false">
      <c r="B2284" s="19" t="s">
        <v>3300</v>
      </c>
      <c r="C2284" s="20" t="n">
        <f aca="false">ROUND(13.39/FX,2)</f>
        <v>1.86</v>
      </c>
      <c r="D2284" s="21" t="s">
        <v>714</v>
      </c>
      <c r="E2284" s="21" t="s">
        <v>724</v>
      </c>
      <c r="F2284" s="21" t="s">
        <v>712</v>
      </c>
      <c r="G2284" s="21" t="s">
        <v>709</v>
      </c>
      <c r="H2284" s="21" t="s">
        <v>734</v>
      </c>
    </row>
    <row r="2285" customFormat="false" ht="15" hidden="false" customHeight="false" outlineLevel="0" collapsed="false">
      <c r="B2285" s="19" t="s">
        <v>3301</v>
      </c>
      <c r="C2285" s="20" t="n">
        <f aca="false">ROUND(3.51/FX,2)</f>
        <v>0.49</v>
      </c>
      <c r="D2285" s="21" t="s">
        <v>714</v>
      </c>
      <c r="E2285" s="21" t="s">
        <v>751</v>
      </c>
      <c r="F2285" s="21" t="s">
        <v>725</v>
      </c>
      <c r="G2285" s="21" t="s">
        <v>709</v>
      </c>
      <c r="H2285" s="21" t="s">
        <v>734</v>
      </c>
    </row>
    <row r="2286" customFormat="false" ht="15" hidden="false" customHeight="false" outlineLevel="0" collapsed="false">
      <c r="B2286" s="19" t="s">
        <v>3302</v>
      </c>
      <c r="C2286" s="20" t="n">
        <f aca="false">ROUND(35.1/FX,2)</f>
        <v>4.88</v>
      </c>
      <c r="D2286" s="21" t="s">
        <v>714</v>
      </c>
      <c r="E2286" s="21" t="s">
        <v>751</v>
      </c>
      <c r="F2286" s="21" t="s">
        <v>725</v>
      </c>
      <c r="G2286" s="21" t="s">
        <v>729</v>
      </c>
      <c r="H2286" s="21" t="s">
        <v>734</v>
      </c>
    </row>
    <row r="2287" customFormat="false" ht="15" hidden="false" customHeight="false" outlineLevel="0" collapsed="false">
      <c r="B2287" s="19" t="s">
        <v>3303</v>
      </c>
      <c r="C2287" s="20" t="n">
        <f aca="false">ROUND(70.2/FX,2)</f>
        <v>9.75</v>
      </c>
      <c r="D2287" s="21" t="s">
        <v>714</v>
      </c>
      <c r="E2287" s="21" t="s">
        <v>751</v>
      </c>
      <c r="F2287" s="21" t="s">
        <v>725</v>
      </c>
      <c r="G2287" s="21" t="s">
        <v>741</v>
      </c>
      <c r="H2287" s="21" t="s">
        <v>734</v>
      </c>
    </row>
    <row r="2288" customFormat="false" ht="15" hidden="false" customHeight="false" outlineLevel="0" collapsed="false">
      <c r="B2288" s="19" t="s">
        <v>3304</v>
      </c>
      <c r="C2288" s="20" t="n">
        <f aca="false">ROUND(105.3/FX,2)</f>
        <v>14.63</v>
      </c>
      <c r="D2288" s="21" t="s">
        <v>714</v>
      </c>
      <c r="E2288" s="21" t="s">
        <v>751</v>
      </c>
      <c r="F2288" s="21" t="s">
        <v>725</v>
      </c>
      <c r="G2288" s="21" t="s">
        <v>3293</v>
      </c>
      <c r="H2288" s="21" t="s">
        <v>734</v>
      </c>
    </row>
    <row r="2289" customFormat="false" ht="15" hidden="false" customHeight="false" outlineLevel="0" collapsed="false">
      <c r="B2289" s="19" t="s">
        <v>3305</v>
      </c>
      <c r="C2289" s="20" t="n">
        <f aca="false">ROUND(17.55/FX,2)</f>
        <v>2.44</v>
      </c>
      <c r="D2289" s="21" t="s">
        <v>714</v>
      </c>
      <c r="E2289" s="21" t="s">
        <v>751</v>
      </c>
      <c r="F2289" s="21" t="s">
        <v>725</v>
      </c>
      <c r="G2289" s="21" t="s">
        <v>731</v>
      </c>
      <c r="H2289" s="21" t="s">
        <v>734</v>
      </c>
    </row>
    <row r="2290" customFormat="false" ht="28.35" hidden="false" customHeight="false" outlineLevel="0" collapsed="false">
      <c r="B2290" s="19" t="s">
        <v>3306</v>
      </c>
      <c r="C2290" s="20" t="n">
        <f aca="false">ROUND(4.1/FX,2)</f>
        <v>0.57</v>
      </c>
      <c r="D2290" s="21" t="s">
        <v>714</v>
      </c>
      <c r="E2290" s="21" t="s">
        <v>751</v>
      </c>
      <c r="F2290" s="21" t="s">
        <v>725</v>
      </c>
      <c r="G2290" s="21" t="s">
        <v>709</v>
      </c>
      <c r="H2290" s="21" t="s">
        <v>752</v>
      </c>
    </row>
    <row r="2291" customFormat="false" ht="28.35" hidden="false" customHeight="false" outlineLevel="0" collapsed="false">
      <c r="B2291" s="19" t="s">
        <v>3307</v>
      </c>
      <c r="C2291" s="20" t="n">
        <f aca="false">ROUND(40.95/FX,2)</f>
        <v>5.69</v>
      </c>
      <c r="D2291" s="21" t="s">
        <v>714</v>
      </c>
      <c r="E2291" s="21" t="s">
        <v>751</v>
      </c>
      <c r="F2291" s="21" t="s">
        <v>725</v>
      </c>
      <c r="G2291" s="21" t="s">
        <v>729</v>
      </c>
      <c r="H2291" s="21" t="s">
        <v>752</v>
      </c>
    </row>
    <row r="2292" customFormat="false" ht="28.35" hidden="false" customHeight="false" outlineLevel="0" collapsed="false">
      <c r="B2292" s="19" t="s">
        <v>3308</v>
      </c>
      <c r="C2292" s="20" t="n">
        <f aca="false">ROUND(81.9/FX,2)</f>
        <v>11.38</v>
      </c>
      <c r="D2292" s="21" t="s">
        <v>714</v>
      </c>
      <c r="E2292" s="21" t="s">
        <v>751</v>
      </c>
      <c r="F2292" s="21" t="s">
        <v>725</v>
      </c>
      <c r="G2292" s="21" t="s">
        <v>741</v>
      </c>
      <c r="H2292" s="21" t="s">
        <v>752</v>
      </c>
    </row>
    <row r="2293" customFormat="false" ht="15" hidden="false" customHeight="false" outlineLevel="0" collapsed="false">
      <c r="B2293" s="19" t="s">
        <v>3309</v>
      </c>
      <c r="C2293" s="20" t="n">
        <f aca="false">ROUND(5.2/FX,2)</f>
        <v>0.72</v>
      </c>
      <c r="D2293" s="21" t="s">
        <v>3247</v>
      </c>
      <c r="E2293" s="21" t="s">
        <v>724</v>
      </c>
      <c r="F2293" s="21" t="s">
        <v>725</v>
      </c>
      <c r="G2293" s="21" t="s">
        <v>709</v>
      </c>
      <c r="H2293" s="21" t="s">
        <v>734</v>
      </c>
    </row>
    <row r="2294" customFormat="false" ht="15" hidden="false" customHeight="false" outlineLevel="0" collapsed="false">
      <c r="B2294" s="19" t="s">
        <v>3310</v>
      </c>
      <c r="C2294" s="20" t="n">
        <f aca="false">ROUND(12.09/FX,2)</f>
        <v>1.68</v>
      </c>
      <c r="D2294" s="21" t="s">
        <v>3247</v>
      </c>
      <c r="E2294" s="21" t="s">
        <v>724</v>
      </c>
      <c r="F2294" s="21" t="s">
        <v>708</v>
      </c>
      <c r="G2294" s="21" t="s">
        <v>709</v>
      </c>
      <c r="H2294" s="21" t="s">
        <v>734</v>
      </c>
    </row>
    <row r="2295" customFormat="false" ht="15" hidden="false" customHeight="false" outlineLevel="0" collapsed="false">
      <c r="B2295" s="19" t="s">
        <v>3311</v>
      </c>
      <c r="C2295" s="20" t="n">
        <f aca="false">ROUND(18.2/FX,2)</f>
        <v>2.53</v>
      </c>
      <c r="D2295" s="21" t="s">
        <v>3247</v>
      </c>
      <c r="E2295" s="21" t="s">
        <v>724</v>
      </c>
      <c r="F2295" s="21" t="s">
        <v>712</v>
      </c>
      <c r="G2295" s="21" t="s">
        <v>709</v>
      </c>
      <c r="H2295" s="21" t="s">
        <v>734</v>
      </c>
    </row>
    <row r="2296" customFormat="false" ht="15" hidden="false" customHeight="false" outlineLevel="0" collapsed="false">
      <c r="B2296" s="19" t="s">
        <v>3312</v>
      </c>
      <c r="C2296" s="20" t="n">
        <f aca="false">ROUND(5.2/FX,2)</f>
        <v>0.72</v>
      </c>
      <c r="D2296" s="21" t="s">
        <v>3247</v>
      </c>
      <c r="E2296" s="21" t="s">
        <v>751</v>
      </c>
      <c r="F2296" s="21" t="s">
        <v>725</v>
      </c>
      <c r="G2296" s="21" t="s">
        <v>709</v>
      </c>
      <c r="H2296" s="21" t="s">
        <v>734</v>
      </c>
    </row>
    <row r="2297" customFormat="false" ht="15" hidden="false" customHeight="false" outlineLevel="0" collapsed="false">
      <c r="B2297" s="19" t="s">
        <v>3313</v>
      </c>
      <c r="C2297" s="20" t="n">
        <f aca="false">ROUND(46.8/FX,2)</f>
        <v>6.5</v>
      </c>
      <c r="D2297" s="21" t="s">
        <v>3247</v>
      </c>
      <c r="E2297" s="21" t="s">
        <v>751</v>
      </c>
      <c r="F2297" s="21" t="s">
        <v>725</v>
      </c>
      <c r="G2297" s="21" t="s">
        <v>729</v>
      </c>
      <c r="H2297" s="21" t="s">
        <v>734</v>
      </c>
    </row>
    <row r="2298" customFormat="false" ht="28.35" hidden="false" customHeight="false" outlineLevel="0" collapsed="false">
      <c r="B2298" s="19" t="s">
        <v>3314</v>
      </c>
      <c r="C2298" s="20" t="n">
        <f aca="false">ROUND(6.5/FX,2)</f>
        <v>0.9</v>
      </c>
      <c r="D2298" s="21" t="s">
        <v>3247</v>
      </c>
      <c r="E2298" s="21" t="s">
        <v>751</v>
      </c>
      <c r="F2298" s="21" t="s">
        <v>725</v>
      </c>
      <c r="G2298" s="21" t="s">
        <v>709</v>
      </c>
      <c r="H2298" s="21" t="s">
        <v>752</v>
      </c>
    </row>
    <row r="2299" customFormat="false" ht="28.35" hidden="false" customHeight="false" outlineLevel="0" collapsed="false">
      <c r="B2299" s="19" t="s">
        <v>3315</v>
      </c>
      <c r="C2299" s="20" t="n">
        <f aca="false">ROUND(32.5/FX,2)</f>
        <v>4.51</v>
      </c>
      <c r="D2299" s="21" t="s">
        <v>3247</v>
      </c>
      <c r="E2299" s="21" t="s">
        <v>751</v>
      </c>
      <c r="F2299" s="21" t="s">
        <v>725</v>
      </c>
      <c r="G2299" s="21" t="s">
        <v>731</v>
      </c>
      <c r="H2299" s="21" t="s">
        <v>752</v>
      </c>
    </row>
    <row r="2300" customFormat="false" ht="15" hidden="false" customHeight="false" outlineLevel="0" collapsed="false">
      <c r="B2300" s="19" t="s">
        <v>3316</v>
      </c>
      <c r="C2300" s="20" t="n">
        <f aca="false">ROUND(6.5/FX,2)</f>
        <v>0.9</v>
      </c>
      <c r="D2300" s="21" t="s">
        <v>3317</v>
      </c>
      <c r="E2300" s="21" t="s">
        <v>724</v>
      </c>
      <c r="F2300" s="21" t="s">
        <v>725</v>
      </c>
      <c r="G2300" s="21" t="s">
        <v>709</v>
      </c>
      <c r="H2300" s="21" t="s">
        <v>734</v>
      </c>
    </row>
    <row r="2301" customFormat="false" ht="15" hidden="false" customHeight="false" outlineLevel="0" collapsed="false">
      <c r="B2301" s="19" t="s">
        <v>3318</v>
      </c>
      <c r="C2301" s="20" t="n">
        <f aca="false">ROUND(16.64/FX,2)</f>
        <v>2.31</v>
      </c>
      <c r="D2301" s="21" t="s">
        <v>3317</v>
      </c>
      <c r="E2301" s="21" t="s">
        <v>724</v>
      </c>
      <c r="F2301" s="21" t="s">
        <v>708</v>
      </c>
      <c r="G2301" s="21" t="s">
        <v>709</v>
      </c>
      <c r="H2301" s="21" t="s">
        <v>734</v>
      </c>
    </row>
    <row r="2302" customFormat="false" ht="15" hidden="false" customHeight="false" outlineLevel="0" collapsed="false">
      <c r="B2302" s="19" t="s">
        <v>3319</v>
      </c>
      <c r="C2302" s="20" t="n">
        <f aca="false">ROUND(22.75/FX,2)</f>
        <v>3.16</v>
      </c>
      <c r="D2302" s="21" t="s">
        <v>3317</v>
      </c>
      <c r="E2302" s="21" t="s">
        <v>724</v>
      </c>
      <c r="F2302" s="21" t="s">
        <v>712</v>
      </c>
      <c r="G2302" s="21" t="s">
        <v>709</v>
      </c>
      <c r="H2302" s="21" t="s">
        <v>734</v>
      </c>
    </row>
    <row r="2303" customFormat="false" ht="15" hidden="false" customHeight="false" outlineLevel="0" collapsed="false">
      <c r="B2303" s="19" t="s">
        <v>3320</v>
      </c>
      <c r="C2303" s="20" t="n">
        <f aca="false">ROUND(6.5/FX,2)</f>
        <v>0.9</v>
      </c>
      <c r="D2303" s="21" t="s">
        <v>3317</v>
      </c>
      <c r="E2303" s="21" t="s">
        <v>751</v>
      </c>
      <c r="F2303" s="21" t="s">
        <v>725</v>
      </c>
      <c r="G2303" s="21" t="s">
        <v>709</v>
      </c>
      <c r="H2303" s="21" t="s">
        <v>734</v>
      </c>
    </row>
    <row r="2304" customFormat="false" ht="28.35" hidden="false" customHeight="false" outlineLevel="0" collapsed="false">
      <c r="B2304" s="19" t="s">
        <v>3321</v>
      </c>
      <c r="C2304" s="20" t="n">
        <f aca="false">ROUND(6.83/FX,2)</f>
        <v>0.95</v>
      </c>
      <c r="D2304" s="21" t="s">
        <v>3317</v>
      </c>
      <c r="E2304" s="21" t="s">
        <v>751</v>
      </c>
      <c r="F2304" s="21" t="s">
        <v>725</v>
      </c>
      <c r="G2304" s="21" t="s">
        <v>709</v>
      </c>
      <c r="H2304" s="21" t="s">
        <v>752</v>
      </c>
    </row>
    <row r="2305" customFormat="false" ht="15" hidden="false" customHeight="false" outlineLevel="0" collapsed="false">
      <c r="B2305" s="19" t="s">
        <v>3322</v>
      </c>
      <c r="C2305" s="20" t="n">
        <f aca="false">ROUND(9.75/FX,2)</f>
        <v>1.35</v>
      </c>
      <c r="D2305" s="21" t="s">
        <v>784</v>
      </c>
      <c r="E2305" s="21" t="s">
        <v>724</v>
      </c>
      <c r="F2305" s="21" t="s">
        <v>725</v>
      </c>
      <c r="G2305" s="21" t="s">
        <v>709</v>
      </c>
      <c r="H2305" s="21" t="s">
        <v>734</v>
      </c>
    </row>
    <row r="2306" customFormat="false" ht="15" hidden="false" customHeight="false" outlineLevel="0" collapsed="false">
      <c r="B2306" s="19" t="s">
        <v>3323</v>
      </c>
      <c r="C2306" s="20" t="n">
        <f aca="false">ROUND(19.5/FX,2)</f>
        <v>2.71</v>
      </c>
      <c r="D2306" s="21" t="s">
        <v>784</v>
      </c>
      <c r="E2306" s="21" t="s">
        <v>724</v>
      </c>
      <c r="F2306" s="21" t="s">
        <v>708</v>
      </c>
      <c r="G2306" s="21" t="s">
        <v>709</v>
      </c>
      <c r="H2306" s="21" t="s">
        <v>734</v>
      </c>
    </row>
    <row r="2307" customFormat="false" ht="15" hidden="false" customHeight="false" outlineLevel="0" collapsed="false">
      <c r="B2307" s="19" t="s">
        <v>3324</v>
      </c>
      <c r="C2307" s="20" t="n">
        <f aca="false">ROUND(27.3/FX,2)</f>
        <v>3.79</v>
      </c>
      <c r="D2307" s="21" t="s">
        <v>784</v>
      </c>
      <c r="E2307" s="21" t="s">
        <v>724</v>
      </c>
      <c r="F2307" s="21" t="s">
        <v>712</v>
      </c>
      <c r="G2307" s="21" t="s">
        <v>709</v>
      </c>
      <c r="H2307" s="21" t="s">
        <v>734</v>
      </c>
    </row>
    <row r="2308" customFormat="false" ht="15" hidden="false" customHeight="false" outlineLevel="0" collapsed="false">
      <c r="B2308" s="19" t="s">
        <v>3325</v>
      </c>
      <c r="C2308" s="20" t="n">
        <f aca="false">ROUND(9.75/FX,2)</f>
        <v>1.35</v>
      </c>
      <c r="D2308" s="21" t="s">
        <v>784</v>
      </c>
      <c r="E2308" s="21" t="s">
        <v>751</v>
      </c>
      <c r="F2308" s="21" t="s">
        <v>725</v>
      </c>
      <c r="G2308" s="21" t="s">
        <v>709</v>
      </c>
      <c r="H2308" s="21" t="s">
        <v>734</v>
      </c>
    </row>
    <row r="2309" customFormat="false" ht="28.35" hidden="false" customHeight="false" outlineLevel="0" collapsed="false">
      <c r="B2309" s="19" t="s">
        <v>3326</v>
      </c>
      <c r="C2309" s="20" t="n">
        <f aca="false">ROUND(9.75/FX,2)</f>
        <v>1.35</v>
      </c>
      <c r="D2309" s="21" t="s">
        <v>784</v>
      </c>
      <c r="E2309" s="21" t="s">
        <v>751</v>
      </c>
      <c r="F2309" s="21" t="s">
        <v>725</v>
      </c>
      <c r="G2309" s="21" t="s">
        <v>709</v>
      </c>
      <c r="H2309" s="21" t="s">
        <v>752</v>
      </c>
    </row>
    <row r="2310" customFormat="false" ht="15" hidden="false" customHeight="false" outlineLevel="0" collapsed="false">
      <c r="B2310" s="19" t="s">
        <v>3327</v>
      </c>
      <c r="C2310" s="20" t="n">
        <f aca="false">ROUND(8.19/FX,2)</f>
        <v>1.14</v>
      </c>
      <c r="D2310" s="21" t="s">
        <v>3328</v>
      </c>
      <c r="E2310" s="21" t="s">
        <v>724</v>
      </c>
      <c r="F2310" s="21" t="s">
        <v>725</v>
      </c>
      <c r="G2310" s="21" t="s">
        <v>709</v>
      </c>
      <c r="H2310" s="21" t="s">
        <v>734</v>
      </c>
    </row>
    <row r="2311" customFormat="false" ht="15" hidden="false" customHeight="false" outlineLevel="0" collapsed="false">
      <c r="B2311" s="19" t="s">
        <v>3329</v>
      </c>
      <c r="C2311" s="20" t="n">
        <f aca="false">ROUND(8.19/FX,2)</f>
        <v>1.14</v>
      </c>
      <c r="D2311" s="21" t="s">
        <v>3328</v>
      </c>
      <c r="E2311" s="21" t="s">
        <v>751</v>
      </c>
      <c r="F2311" s="21" t="s">
        <v>725</v>
      </c>
      <c r="G2311" s="21" t="s">
        <v>709</v>
      </c>
      <c r="H2311" s="21" t="s">
        <v>734</v>
      </c>
    </row>
    <row r="2312" customFormat="false" ht="15" hidden="false" customHeight="false" outlineLevel="0" collapsed="false">
      <c r="B2312" s="19" t="s">
        <v>3330</v>
      </c>
      <c r="C2312" s="20" t="n">
        <f aca="false">ROUND(2.86/FX,2)</f>
        <v>0.4</v>
      </c>
      <c r="D2312" s="21" t="s">
        <v>789</v>
      </c>
      <c r="E2312" s="21" t="s">
        <v>724</v>
      </c>
      <c r="F2312" s="21" t="s">
        <v>725</v>
      </c>
      <c r="G2312" s="21" t="s">
        <v>709</v>
      </c>
      <c r="H2312" s="21" t="s">
        <v>734</v>
      </c>
    </row>
    <row r="2313" customFormat="false" ht="15" hidden="false" customHeight="false" outlineLevel="0" collapsed="false">
      <c r="B2313" s="19" t="s">
        <v>3331</v>
      </c>
      <c r="C2313" s="20" t="n">
        <f aca="false">ROUND(3.38/FX,2)</f>
        <v>0.47</v>
      </c>
      <c r="D2313" s="21" t="s">
        <v>789</v>
      </c>
      <c r="E2313" s="21" t="s">
        <v>724</v>
      </c>
      <c r="F2313" s="21" t="s">
        <v>708</v>
      </c>
      <c r="G2313" s="21" t="s">
        <v>709</v>
      </c>
      <c r="H2313" s="21" t="s">
        <v>734</v>
      </c>
    </row>
    <row r="2314" customFormat="false" ht="15" hidden="false" customHeight="false" outlineLevel="0" collapsed="false">
      <c r="B2314" s="19" t="s">
        <v>3332</v>
      </c>
      <c r="C2314" s="20" t="n">
        <f aca="false">ROUND(9.1/FX,2)</f>
        <v>1.26</v>
      </c>
      <c r="D2314" s="21" t="s">
        <v>789</v>
      </c>
      <c r="E2314" s="21" t="s">
        <v>724</v>
      </c>
      <c r="F2314" s="21" t="s">
        <v>712</v>
      </c>
      <c r="G2314" s="21" t="s">
        <v>709</v>
      </c>
      <c r="H2314" s="21" t="s">
        <v>734</v>
      </c>
    </row>
    <row r="2315" customFormat="false" ht="15" hidden="false" customHeight="false" outlineLevel="0" collapsed="false">
      <c r="B2315" s="19" t="s">
        <v>3333</v>
      </c>
      <c r="C2315" s="20" t="n">
        <f aca="false">ROUND(2.86/FX,2)</f>
        <v>0.4</v>
      </c>
      <c r="D2315" s="21" t="s">
        <v>789</v>
      </c>
      <c r="E2315" s="21" t="s">
        <v>751</v>
      </c>
      <c r="F2315" s="21" t="s">
        <v>725</v>
      </c>
      <c r="G2315" s="21" t="s">
        <v>709</v>
      </c>
      <c r="H2315" s="21" t="s">
        <v>734</v>
      </c>
    </row>
    <row r="2316" customFormat="false" ht="28.35" hidden="false" customHeight="false" outlineLevel="0" collapsed="false">
      <c r="B2316" s="19" t="s">
        <v>3334</v>
      </c>
      <c r="C2316" s="20" t="n">
        <f aca="false">ROUND(1.95/FX,2)</f>
        <v>0.27</v>
      </c>
      <c r="D2316" s="21" t="s">
        <v>789</v>
      </c>
      <c r="E2316" s="21" t="s">
        <v>751</v>
      </c>
      <c r="F2316" s="21" t="s">
        <v>725</v>
      </c>
      <c r="G2316" s="21" t="s">
        <v>709</v>
      </c>
      <c r="H2316" s="21" t="s">
        <v>752</v>
      </c>
    </row>
    <row r="2317" customFormat="false" ht="15" hidden="false" customHeight="false" outlineLevel="0" collapsed="false">
      <c r="B2317" s="19" t="s">
        <v>3335</v>
      </c>
      <c r="C2317" s="20" t="n">
        <f aca="false">ROUND(4.03/FX,2)</f>
        <v>0.56</v>
      </c>
      <c r="D2317" s="21" t="s">
        <v>716</v>
      </c>
      <c r="E2317" s="21" t="s">
        <v>724</v>
      </c>
      <c r="F2317" s="21" t="s">
        <v>708</v>
      </c>
      <c r="G2317" s="21" t="s">
        <v>709</v>
      </c>
      <c r="H2317" s="21" t="s">
        <v>734</v>
      </c>
    </row>
    <row r="2318" customFormat="false" ht="15" hidden="false" customHeight="false" outlineLevel="0" collapsed="false">
      <c r="B2318" s="19" t="s">
        <v>3336</v>
      </c>
      <c r="C2318" s="20" t="n">
        <f aca="false">ROUND(2.86/FX,2)</f>
        <v>0.4</v>
      </c>
      <c r="D2318" s="21" t="s">
        <v>719</v>
      </c>
      <c r="E2318" s="21" t="s">
        <v>724</v>
      </c>
      <c r="F2318" s="21" t="s">
        <v>725</v>
      </c>
      <c r="G2318" s="21" t="s">
        <v>709</v>
      </c>
      <c r="H2318" s="21" t="s">
        <v>734</v>
      </c>
    </row>
    <row r="2319" customFormat="false" ht="15" hidden="false" customHeight="false" outlineLevel="0" collapsed="false">
      <c r="B2319" s="19" t="s">
        <v>3337</v>
      </c>
      <c r="C2319" s="20" t="n">
        <f aca="false">ROUND(5.46/FX,2)</f>
        <v>0.76</v>
      </c>
      <c r="D2319" s="21" t="s">
        <v>719</v>
      </c>
      <c r="E2319" s="21" t="s">
        <v>724</v>
      </c>
      <c r="F2319" s="21" t="s">
        <v>708</v>
      </c>
      <c r="G2319" s="21" t="s">
        <v>709</v>
      </c>
      <c r="H2319" s="21" t="s">
        <v>734</v>
      </c>
    </row>
    <row r="2320" customFormat="false" ht="15" hidden="false" customHeight="false" outlineLevel="0" collapsed="false">
      <c r="B2320" s="19" t="s">
        <v>3338</v>
      </c>
      <c r="C2320" s="20" t="n">
        <f aca="false">ROUND(9.1/FX,2)</f>
        <v>1.26</v>
      </c>
      <c r="D2320" s="21" t="s">
        <v>719</v>
      </c>
      <c r="E2320" s="21" t="s">
        <v>724</v>
      </c>
      <c r="F2320" s="21" t="s">
        <v>712</v>
      </c>
      <c r="G2320" s="21" t="s">
        <v>709</v>
      </c>
      <c r="H2320" s="21" t="s">
        <v>734</v>
      </c>
    </row>
    <row r="2321" customFormat="false" ht="15" hidden="false" customHeight="false" outlineLevel="0" collapsed="false">
      <c r="B2321" s="19" t="s">
        <v>3339</v>
      </c>
      <c r="C2321" s="20" t="n">
        <f aca="false">ROUND(2.86/FX,2)</f>
        <v>0.4</v>
      </c>
      <c r="D2321" s="21" t="s">
        <v>719</v>
      </c>
      <c r="E2321" s="21" t="s">
        <v>751</v>
      </c>
      <c r="F2321" s="21" t="s">
        <v>725</v>
      </c>
      <c r="G2321" s="21" t="s">
        <v>709</v>
      </c>
      <c r="H2321" s="21" t="s">
        <v>734</v>
      </c>
    </row>
    <row r="2322" customFormat="false" ht="28.35" hidden="false" customHeight="false" outlineLevel="0" collapsed="false">
      <c r="B2322" s="19" t="s">
        <v>3340</v>
      </c>
      <c r="C2322" s="20" t="n">
        <f aca="false">ROUND(2.58/FX,2)</f>
        <v>0.36</v>
      </c>
      <c r="D2322" s="21" t="s">
        <v>719</v>
      </c>
      <c r="E2322" s="21" t="s">
        <v>751</v>
      </c>
      <c r="F2322" s="21" t="s">
        <v>725</v>
      </c>
      <c r="G2322" s="21" t="s">
        <v>709</v>
      </c>
      <c r="H2322" s="21" t="s">
        <v>752</v>
      </c>
    </row>
    <row r="2325" customFormat="false" ht="61.5" hidden="false" customHeight="true" outlineLevel="0" collapsed="false">
      <c r="A2325" s="9"/>
      <c r="B2325" s="10" t="s">
        <v>3341</v>
      </c>
      <c r="C2325" s="10"/>
      <c r="D2325" s="10"/>
      <c r="E2325" s="10"/>
      <c r="F2325" s="10"/>
    </row>
    <row r="2326" customFormat="false" ht="15" hidden="false" customHeight="false" outlineLevel="0" collapsed="false">
      <c r="A2326" s="12" t="s">
        <v>700</v>
      </c>
      <c r="B2326" s="13" t="s">
        <v>701</v>
      </c>
      <c r="C2326" s="13" t="s">
        <v>702</v>
      </c>
      <c r="D2326" s="13" t="s">
        <v>830</v>
      </c>
      <c r="E2326" s="13" t="s">
        <v>703</v>
      </c>
      <c r="F2326" s="13" t="s">
        <v>704</v>
      </c>
    </row>
    <row r="2327" customFormat="false" ht="30" hidden="false" customHeight="true" outlineLevel="0" collapsed="false">
      <c r="A2327" s="14" t="s">
        <v>706</v>
      </c>
      <c r="B2327" s="15" t="str">
        <f aca="false">IF(COUNTIFS($D$2330:$D$2765,IF(D2327="","*",D2327),$E$2330:$E$2765,IF(E2327="","*",E2327),$F$2330:$F$2765,IF(F2327="","*",F2327))=1,INDEX($B:$B,SUMPRODUCT(((D2327="")+($D$2330:$D$2765=D2327)&gt;0)*((E2327="")+($E$2330:$E$2765=E2327)&gt;0)*((F2327="")+($F$2330:$F$2765=F2327)&gt;0)*ROW($B$2330:$B$2765))),IF(COUNTIFS($D$2330:$D$2765,IF(D2327="","*",D2327),$E$2330:$E$2765,IF(E2327="","*",E2327),$F$2330:$F$2765,IF(F2327="","*",F2327))=0,"Not available",COUNTIFS($D$2330:$D$2765,IF(D2327="","*",D2327),$E$2330:$E$2765,IF(E2327="","*",E2327),$F$2330:$F$2765,IF(F2327="","*",F2327))&amp;" match, keep choosing"))</f>
        <v>3M-396-10</v>
      </c>
      <c r="C2327" s="16" t="n">
        <f aca="false">IF(COUNTIFS($D$2330:$D$2765,IF(D2327="","*",D2327),$E$2330:$E$2765,IF(E2327="","*",E2327),$F$2330:$F$2765,IF(F2327="","*",F2327))=1,INDEX($C:$C,SUMPRODUCT(((D2327="")+($D$2330:$D$2765=D2327)&gt;0)*((E2327="")+($E$2330:$E$2765=E2327)&gt;0)*((F2327="")+($F$2330:$F$2765=F2327)&gt;0)*ROW($B$2330:$B$2765))),"")</f>
        <v>0.34</v>
      </c>
      <c r="D2327" s="17" t="s">
        <v>1997</v>
      </c>
      <c r="E2327" s="17" t="s">
        <v>707</v>
      </c>
      <c r="F2327" s="17" t="s">
        <v>708</v>
      </c>
    </row>
    <row r="2329" customFormat="false" ht="15" hidden="false" customHeight="false" outlineLevel="0" collapsed="false">
      <c r="B2329" s="18" t="s">
        <v>701</v>
      </c>
      <c r="C2329" s="18" t="s">
        <v>702</v>
      </c>
      <c r="D2329" s="18" t="s">
        <v>830</v>
      </c>
      <c r="E2329" s="18" t="s">
        <v>703</v>
      </c>
      <c r="F2329" s="18" t="s">
        <v>704</v>
      </c>
    </row>
    <row r="2330" customFormat="false" ht="15" hidden="false" customHeight="false" outlineLevel="0" collapsed="false">
      <c r="B2330" s="19" t="s">
        <v>3342</v>
      </c>
      <c r="C2330" s="20" t="n">
        <f aca="false">ROUND(2.47/FX,2)</f>
        <v>0.34</v>
      </c>
      <c r="D2330" s="21" t="s">
        <v>1997</v>
      </c>
      <c r="E2330" s="21" t="s">
        <v>707</v>
      </c>
      <c r="F2330" s="21" t="s">
        <v>708</v>
      </c>
    </row>
    <row r="2331" customFormat="false" ht="15" hidden="false" customHeight="false" outlineLevel="0" collapsed="false">
      <c r="B2331" s="19" t="s">
        <v>3343</v>
      </c>
      <c r="C2331" s="20" t="n">
        <f aca="false">ROUND(2.54/FX,2)</f>
        <v>0.35</v>
      </c>
      <c r="D2331" s="21" t="s">
        <v>1997</v>
      </c>
      <c r="E2331" s="21" t="s">
        <v>714</v>
      </c>
      <c r="F2331" s="21" t="s">
        <v>708</v>
      </c>
    </row>
    <row r="2332" customFormat="false" ht="15" hidden="false" customHeight="false" outlineLevel="0" collapsed="false">
      <c r="B2332" s="19" t="s">
        <v>3344</v>
      </c>
      <c r="C2332" s="20" t="n">
        <f aca="false">ROUND(1.3/FX,2)</f>
        <v>0.18</v>
      </c>
      <c r="D2332" s="21" t="s">
        <v>1997</v>
      </c>
      <c r="E2332" s="21" t="s">
        <v>841</v>
      </c>
      <c r="F2332" s="21" t="s">
        <v>708</v>
      </c>
    </row>
    <row r="2333" customFormat="false" ht="15" hidden="false" customHeight="false" outlineLevel="0" collapsed="false">
      <c r="B2333" s="19" t="s">
        <v>3345</v>
      </c>
      <c r="C2333" s="20" t="n">
        <f aca="false">ROUND(1.3/FX,2)</f>
        <v>0.18</v>
      </c>
      <c r="D2333" s="21" t="s">
        <v>1997</v>
      </c>
      <c r="E2333" s="21" t="s">
        <v>789</v>
      </c>
      <c r="F2333" s="21" t="s">
        <v>708</v>
      </c>
    </row>
    <row r="2334" customFormat="false" ht="15" hidden="false" customHeight="false" outlineLevel="0" collapsed="false">
      <c r="B2334" s="19" t="s">
        <v>3346</v>
      </c>
      <c r="C2334" s="20" t="n">
        <f aca="false">ROUND(1.69/FX,2)</f>
        <v>0.23</v>
      </c>
      <c r="D2334" s="21" t="s">
        <v>1997</v>
      </c>
      <c r="E2334" s="21" t="s">
        <v>716</v>
      </c>
      <c r="F2334" s="21" t="s">
        <v>708</v>
      </c>
    </row>
    <row r="2335" customFormat="false" ht="15" hidden="false" customHeight="false" outlineLevel="0" collapsed="false">
      <c r="B2335" s="19" t="s">
        <v>3347</v>
      </c>
      <c r="C2335" s="20" t="n">
        <f aca="false">ROUND(1.3/FX,2)</f>
        <v>0.18</v>
      </c>
      <c r="D2335" s="21" t="s">
        <v>1997</v>
      </c>
      <c r="E2335" s="21" t="s">
        <v>847</v>
      </c>
      <c r="F2335" s="21" t="s">
        <v>708</v>
      </c>
    </row>
    <row r="2336" customFormat="false" ht="15" hidden="false" customHeight="false" outlineLevel="0" collapsed="false">
      <c r="B2336" s="19" t="s">
        <v>3348</v>
      </c>
      <c r="C2336" s="20" t="n">
        <f aca="false">ROUND(2.34/FX,2)</f>
        <v>0.33</v>
      </c>
      <c r="D2336" s="21" t="s">
        <v>1997</v>
      </c>
      <c r="E2336" s="21" t="s">
        <v>719</v>
      </c>
      <c r="F2336" s="21" t="s">
        <v>708</v>
      </c>
    </row>
    <row r="2337" customFormat="false" ht="15" hidden="false" customHeight="false" outlineLevel="0" collapsed="false">
      <c r="B2337" s="19" t="s">
        <v>3349</v>
      </c>
      <c r="C2337" s="20" t="n">
        <f aca="false">ROUND(2.6/FX,2)</f>
        <v>0.36</v>
      </c>
      <c r="D2337" s="21" t="s">
        <v>3350</v>
      </c>
      <c r="E2337" s="21" t="s">
        <v>707</v>
      </c>
      <c r="F2337" s="21" t="s">
        <v>708</v>
      </c>
    </row>
    <row r="2338" customFormat="false" ht="15" hidden="false" customHeight="false" outlineLevel="0" collapsed="false">
      <c r="B2338" s="19" t="s">
        <v>3351</v>
      </c>
      <c r="C2338" s="20" t="n">
        <f aca="false">ROUND(2.54/FX,2)</f>
        <v>0.35</v>
      </c>
      <c r="D2338" s="21" t="s">
        <v>3350</v>
      </c>
      <c r="E2338" s="21" t="s">
        <v>714</v>
      </c>
      <c r="F2338" s="21" t="s">
        <v>708</v>
      </c>
    </row>
    <row r="2339" customFormat="false" ht="15" hidden="false" customHeight="false" outlineLevel="0" collapsed="false">
      <c r="B2339" s="19" t="s">
        <v>3352</v>
      </c>
      <c r="C2339" s="20" t="n">
        <f aca="false">ROUND(1.3/FX,2)</f>
        <v>0.18</v>
      </c>
      <c r="D2339" s="21" t="s">
        <v>3350</v>
      </c>
      <c r="E2339" s="21" t="s">
        <v>841</v>
      </c>
      <c r="F2339" s="21" t="s">
        <v>708</v>
      </c>
    </row>
    <row r="2340" customFormat="false" ht="15" hidden="false" customHeight="false" outlineLevel="0" collapsed="false">
      <c r="B2340" s="19" t="s">
        <v>3353</v>
      </c>
      <c r="C2340" s="20" t="n">
        <f aca="false">ROUND(1.3/FX,2)</f>
        <v>0.18</v>
      </c>
      <c r="D2340" s="21" t="s">
        <v>3350</v>
      </c>
      <c r="E2340" s="21" t="s">
        <v>789</v>
      </c>
      <c r="F2340" s="21" t="s">
        <v>708</v>
      </c>
    </row>
    <row r="2341" customFormat="false" ht="15" hidden="false" customHeight="false" outlineLevel="0" collapsed="false">
      <c r="B2341" s="19" t="s">
        <v>3354</v>
      </c>
      <c r="C2341" s="20" t="n">
        <f aca="false">ROUND(1.3/FX,2)</f>
        <v>0.18</v>
      </c>
      <c r="D2341" s="21" t="s">
        <v>3350</v>
      </c>
      <c r="E2341" s="21" t="s">
        <v>716</v>
      </c>
      <c r="F2341" s="21" t="s">
        <v>708</v>
      </c>
    </row>
    <row r="2342" customFormat="false" ht="15" hidden="false" customHeight="false" outlineLevel="0" collapsed="false">
      <c r="B2342" s="19" t="s">
        <v>3355</v>
      </c>
      <c r="C2342" s="20" t="n">
        <f aca="false">ROUND(1.3/FX,2)</f>
        <v>0.18</v>
      </c>
      <c r="D2342" s="21" t="s">
        <v>3350</v>
      </c>
      <c r="E2342" s="21" t="s">
        <v>847</v>
      </c>
      <c r="F2342" s="21" t="s">
        <v>708</v>
      </c>
    </row>
    <row r="2343" customFormat="false" ht="15" hidden="false" customHeight="false" outlineLevel="0" collapsed="false">
      <c r="B2343" s="19" t="s">
        <v>3356</v>
      </c>
      <c r="C2343" s="20" t="n">
        <f aca="false">ROUND(2.34/FX,2)</f>
        <v>0.33</v>
      </c>
      <c r="D2343" s="21" t="s">
        <v>3350</v>
      </c>
      <c r="E2343" s="21" t="s">
        <v>719</v>
      </c>
      <c r="F2343" s="21" t="s">
        <v>708</v>
      </c>
    </row>
    <row r="2344" customFormat="false" ht="15" hidden="false" customHeight="false" outlineLevel="0" collapsed="false">
      <c r="B2344" s="19" t="s">
        <v>3357</v>
      </c>
      <c r="C2344" s="20" t="n">
        <f aca="false">ROUND(3.9/FX,2)</f>
        <v>0.54</v>
      </c>
      <c r="D2344" s="21" t="s">
        <v>3358</v>
      </c>
      <c r="E2344" s="21" t="s">
        <v>707</v>
      </c>
      <c r="F2344" s="21" t="s">
        <v>708</v>
      </c>
    </row>
    <row r="2345" customFormat="false" ht="15" hidden="false" customHeight="false" outlineLevel="0" collapsed="false">
      <c r="B2345" s="19" t="s">
        <v>3359</v>
      </c>
      <c r="C2345" s="20" t="n">
        <f aca="false">ROUND(5.14/FX,2)</f>
        <v>0.71</v>
      </c>
      <c r="D2345" s="21" t="s">
        <v>3358</v>
      </c>
      <c r="E2345" s="21" t="s">
        <v>714</v>
      </c>
      <c r="F2345" s="21" t="s">
        <v>708</v>
      </c>
    </row>
    <row r="2346" customFormat="false" ht="15" hidden="false" customHeight="false" outlineLevel="0" collapsed="false">
      <c r="B2346" s="19" t="s">
        <v>3360</v>
      </c>
      <c r="C2346" s="20" t="n">
        <f aca="false">ROUND(1.3/FX,2)</f>
        <v>0.18</v>
      </c>
      <c r="D2346" s="21" t="s">
        <v>3358</v>
      </c>
      <c r="E2346" s="21" t="s">
        <v>841</v>
      </c>
      <c r="F2346" s="21" t="s">
        <v>708</v>
      </c>
    </row>
    <row r="2347" customFormat="false" ht="15" hidden="false" customHeight="false" outlineLevel="0" collapsed="false">
      <c r="B2347" s="19" t="s">
        <v>3361</v>
      </c>
      <c r="C2347" s="20" t="n">
        <f aca="false">ROUND(1.3/FX,2)</f>
        <v>0.18</v>
      </c>
      <c r="D2347" s="21" t="s">
        <v>3358</v>
      </c>
      <c r="E2347" s="21" t="s">
        <v>789</v>
      </c>
      <c r="F2347" s="21" t="s">
        <v>708</v>
      </c>
    </row>
    <row r="2348" customFormat="false" ht="15" hidden="false" customHeight="false" outlineLevel="0" collapsed="false">
      <c r="B2348" s="19" t="s">
        <v>3362</v>
      </c>
      <c r="C2348" s="20" t="n">
        <f aca="false">ROUND(1.3/FX,2)</f>
        <v>0.18</v>
      </c>
      <c r="D2348" s="21" t="s">
        <v>3358</v>
      </c>
      <c r="E2348" s="21" t="s">
        <v>716</v>
      </c>
      <c r="F2348" s="21" t="s">
        <v>708</v>
      </c>
    </row>
    <row r="2349" customFormat="false" ht="15" hidden="false" customHeight="false" outlineLevel="0" collapsed="false">
      <c r="B2349" s="19" t="s">
        <v>3363</v>
      </c>
      <c r="C2349" s="20" t="n">
        <f aca="false">ROUND(1.3/FX,2)</f>
        <v>0.18</v>
      </c>
      <c r="D2349" s="21" t="s">
        <v>3358</v>
      </c>
      <c r="E2349" s="21" t="s">
        <v>847</v>
      </c>
      <c r="F2349" s="21" t="s">
        <v>708</v>
      </c>
    </row>
    <row r="2350" customFormat="false" ht="15" hidden="false" customHeight="false" outlineLevel="0" collapsed="false">
      <c r="B2350" s="19" t="s">
        <v>3364</v>
      </c>
      <c r="C2350" s="20" t="n">
        <f aca="false">ROUND(2.34/FX,2)</f>
        <v>0.33</v>
      </c>
      <c r="D2350" s="21" t="s">
        <v>3358</v>
      </c>
      <c r="E2350" s="21" t="s">
        <v>719</v>
      </c>
      <c r="F2350" s="21" t="s">
        <v>708</v>
      </c>
    </row>
    <row r="2351" customFormat="false" ht="15" hidden="false" customHeight="false" outlineLevel="0" collapsed="false">
      <c r="B2351" s="19" t="s">
        <v>3365</v>
      </c>
      <c r="C2351" s="20" t="n">
        <f aca="false">ROUND(2.73/FX,2)</f>
        <v>0.38</v>
      </c>
      <c r="D2351" s="21" t="s">
        <v>3366</v>
      </c>
      <c r="E2351" s="21" t="s">
        <v>707</v>
      </c>
      <c r="F2351" s="21" t="s">
        <v>708</v>
      </c>
    </row>
    <row r="2352" customFormat="false" ht="15" hidden="false" customHeight="false" outlineLevel="0" collapsed="false">
      <c r="B2352" s="19" t="s">
        <v>3367</v>
      </c>
      <c r="C2352" s="20" t="n">
        <f aca="false">ROUND(3.77/FX,2)</f>
        <v>0.52</v>
      </c>
      <c r="D2352" s="21" t="s">
        <v>3366</v>
      </c>
      <c r="E2352" s="21" t="s">
        <v>714</v>
      </c>
      <c r="F2352" s="21" t="s">
        <v>708</v>
      </c>
    </row>
    <row r="2353" customFormat="false" ht="15" hidden="false" customHeight="false" outlineLevel="0" collapsed="false">
      <c r="B2353" s="19" t="s">
        <v>3368</v>
      </c>
      <c r="C2353" s="20" t="n">
        <f aca="false">ROUND(1.3/FX,2)</f>
        <v>0.18</v>
      </c>
      <c r="D2353" s="21" t="s">
        <v>3366</v>
      </c>
      <c r="E2353" s="21" t="s">
        <v>841</v>
      </c>
      <c r="F2353" s="21" t="s">
        <v>708</v>
      </c>
    </row>
    <row r="2354" customFormat="false" ht="15" hidden="false" customHeight="false" outlineLevel="0" collapsed="false">
      <c r="B2354" s="19" t="s">
        <v>3369</v>
      </c>
      <c r="C2354" s="20" t="n">
        <f aca="false">ROUND(1.3/FX,2)</f>
        <v>0.18</v>
      </c>
      <c r="D2354" s="21" t="s">
        <v>3366</v>
      </c>
      <c r="E2354" s="21" t="s">
        <v>789</v>
      </c>
      <c r="F2354" s="21" t="s">
        <v>708</v>
      </c>
    </row>
    <row r="2355" customFormat="false" ht="15" hidden="false" customHeight="false" outlineLevel="0" collapsed="false">
      <c r="B2355" s="19" t="s">
        <v>3370</v>
      </c>
      <c r="C2355" s="20" t="n">
        <f aca="false">ROUND(1.3/FX,2)</f>
        <v>0.18</v>
      </c>
      <c r="D2355" s="21" t="s">
        <v>3366</v>
      </c>
      <c r="E2355" s="21" t="s">
        <v>716</v>
      </c>
      <c r="F2355" s="21" t="s">
        <v>708</v>
      </c>
    </row>
    <row r="2356" customFormat="false" ht="15" hidden="false" customHeight="false" outlineLevel="0" collapsed="false">
      <c r="B2356" s="19" t="s">
        <v>3371</v>
      </c>
      <c r="C2356" s="20" t="n">
        <f aca="false">ROUND(1.3/FX,2)</f>
        <v>0.18</v>
      </c>
      <c r="D2356" s="21" t="s">
        <v>3366</v>
      </c>
      <c r="E2356" s="21" t="s">
        <v>847</v>
      </c>
      <c r="F2356" s="21" t="s">
        <v>708</v>
      </c>
    </row>
    <row r="2357" customFormat="false" ht="15" hidden="false" customHeight="false" outlineLevel="0" collapsed="false">
      <c r="B2357" s="19" t="s">
        <v>3372</v>
      </c>
      <c r="C2357" s="20" t="n">
        <f aca="false">ROUND(2.34/FX,2)</f>
        <v>0.33</v>
      </c>
      <c r="D2357" s="21" t="s">
        <v>3366</v>
      </c>
      <c r="E2357" s="21" t="s">
        <v>719</v>
      </c>
      <c r="F2357" s="21" t="s">
        <v>708</v>
      </c>
    </row>
    <row r="2358" customFormat="false" ht="15" hidden="false" customHeight="false" outlineLevel="0" collapsed="false">
      <c r="B2358" s="19" t="s">
        <v>3373</v>
      </c>
      <c r="C2358" s="20" t="n">
        <f aca="false">ROUND(3.51/FX,2)</f>
        <v>0.49</v>
      </c>
      <c r="D2358" s="21" t="s">
        <v>3374</v>
      </c>
      <c r="E2358" s="21" t="s">
        <v>707</v>
      </c>
      <c r="F2358" s="21" t="s">
        <v>708</v>
      </c>
    </row>
    <row r="2359" customFormat="false" ht="15" hidden="false" customHeight="false" outlineLevel="0" collapsed="false">
      <c r="B2359" s="19" t="s">
        <v>3375</v>
      </c>
      <c r="C2359" s="20" t="n">
        <f aca="false">ROUND(4.29/FX,2)</f>
        <v>0.6</v>
      </c>
      <c r="D2359" s="21" t="s">
        <v>3374</v>
      </c>
      <c r="E2359" s="21" t="s">
        <v>714</v>
      </c>
      <c r="F2359" s="21" t="s">
        <v>708</v>
      </c>
    </row>
    <row r="2360" customFormat="false" ht="15" hidden="false" customHeight="false" outlineLevel="0" collapsed="false">
      <c r="B2360" s="19" t="s">
        <v>3376</v>
      </c>
      <c r="C2360" s="20" t="n">
        <f aca="false">ROUND(1.3/FX,2)</f>
        <v>0.18</v>
      </c>
      <c r="D2360" s="21" t="s">
        <v>3374</v>
      </c>
      <c r="E2360" s="21" t="s">
        <v>841</v>
      </c>
      <c r="F2360" s="21" t="s">
        <v>708</v>
      </c>
    </row>
    <row r="2361" customFormat="false" ht="15" hidden="false" customHeight="false" outlineLevel="0" collapsed="false">
      <c r="B2361" s="19" t="s">
        <v>3377</v>
      </c>
      <c r="C2361" s="20" t="n">
        <f aca="false">ROUND(1.3/FX,2)</f>
        <v>0.18</v>
      </c>
      <c r="D2361" s="21" t="s">
        <v>3374</v>
      </c>
      <c r="E2361" s="21" t="s">
        <v>789</v>
      </c>
      <c r="F2361" s="21" t="s">
        <v>708</v>
      </c>
    </row>
    <row r="2362" customFormat="false" ht="15" hidden="false" customHeight="false" outlineLevel="0" collapsed="false">
      <c r="B2362" s="19" t="s">
        <v>3378</v>
      </c>
      <c r="C2362" s="20" t="n">
        <f aca="false">ROUND(1.3/FX,2)</f>
        <v>0.18</v>
      </c>
      <c r="D2362" s="21" t="s">
        <v>3374</v>
      </c>
      <c r="E2362" s="21" t="s">
        <v>716</v>
      </c>
      <c r="F2362" s="21" t="s">
        <v>708</v>
      </c>
    </row>
    <row r="2363" customFormat="false" ht="15" hidden="false" customHeight="false" outlineLevel="0" collapsed="false">
      <c r="B2363" s="19" t="s">
        <v>3379</v>
      </c>
      <c r="C2363" s="20" t="n">
        <f aca="false">ROUND(1.87/FX,2)</f>
        <v>0.26</v>
      </c>
      <c r="D2363" s="21" t="s">
        <v>3374</v>
      </c>
      <c r="E2363" s="21" t="s">
        <v>847</v>
      </c>
      <c r="F2363" s="21" t="s">
        <v>708</v>
      </c>
    </row>
    <row r="2364" customFormat="false" ht="15" hidden="false" customHeight="false" outlineLevel="0" collapsed="false">
      <c r="B2364" s="19" t="s">
        <v>3380</v>
      </c>
      <c r="C2364" s="20" t="n">
        <f aca="false">ROUND(2.34/FX,2)</f>
        <v>0.33</v>
      </c>
      <c r="D2364" s="21" t="s">
        <v>3374</v>
      </c>
      <c r="E2364" s="21" t="s">
        <v>719</v>
      </c>
      <c r="F2364" s="21" t="s">
        <v>708</v>
      </c>
    </row>
    <row r="2365" customFormat="false" ht="15" hidden="false" customHeight="false" outlineLevel="0" collapsed="false">
      <c r="B2365" s="19" t="s">
        <v>3381</v>
      </c>
      <c r="C2365" s="20" t="n">
        <f aca="false">ROUND(3.9/FX,2)</f>
        <v>0.54</v>
      </c>
      <c r="D2365" s="21" t="s">
        <v>3382</v>
      </c>
      <c r="E2365" s="21" t="s">
        <v>707</v>
      </c>
      <c r="F2365" s="21" t="s">
        <v>708</v>
      </c>
    </row>
    <row r="2366" customFormat="false" ht="15" hidden="false" customHeight="false" outlineLevel="0" collapsed="false">
      <c r="B2366" s="19" t="s">
        <v>3383</v>
      </c>
      <c r="C2366" s="20" t="n">
        <f aca="false">ROUND(5.33/FX,2)</f>
        <v>0.74</v>
      </c>
      <c r="D2366" s="21" t="s">
        <v>3382</v>
      </c>
      <c r="E2366" s="21" t="s">
        <v>714</v>
      </c>
      <c r="F2366" s="21" t="s">
        <v>708</v>
      </c>
    </row>
    <row r="2367" customFormat="false" ht="15" hidden="false" customHeight="false" outlineLevel="0" collapsed="false">
      <c r="B2367" s="19" t="s">
        <v>3384</v>
      </c>
      <c r="C2367" s="20" t="n">
        <f aca="false">ROUND(1.3/FX,2)</f>
        <v>0.18</v>
      </c>
      <c r="D2367" s="21" t="s">
        <v>3382</v>
      </c>
      <c r="E2367" s="21" t="s">
        <v>841</v>
      </c>
      <c r="F2367" s="21" t="s">
        <v>708</v>
      </c>
    </row>
    <row r="2368" customFormat="false" ht="15" hidden="false" customHeight="false" outlineLevel="0" collapsed="false">
      <c r="B2368" s="19" t="s">
        <v>3385</v>
      </c>
      <c r="C2368" s="20" t="n">
        <f aca="false">ROUND(1.3/FX,2)</f>
        <v>0.18</v>
      </c>
      <c r="D2368" s="21" t="s">
        <v>3382</v>
      </c>
      <c r="E2368" s="21" t="s">
        <v>789</v>
      </c>
      <c r="F2368" s="21" t="s">
        <v>708</v>
      </c>
    </row>
    <row r="2369" customFormat="false" ht="15" hidden="false" customHeight="false" outlineLevel="0" collapsed="false">
      <c r="B2369" s="19" t="s">
        <v>3386</v>
      </c>
      <c r="C2369" s="20" t="n">
        <f aca="false">ROUND(1.3/FX,2)</f>
        <v>0.18</v>
      </c>
      <c r="D2369" s="21" t="s">
        <v>3382</v>
      </c>
      <c r="E2369" s="21" t="s">
        <v>716</v>
      </c>
      <c r="F2369" s="21" t="s">
        <v>708</v>
      </c>
    </row>
    <row r="2370" customFormat="false" ht="15" hidden="false" customHeight="false" outlineLevel="0" collapsed="false">
      <c r="B2370" s="19" t="s">
        <v>3387</v>
      </c>
      <c r="C2370" s="20" t="n">
        <f aca="false">ROUND(1.3/FX,2)</f>
        <v>0.18</v>
      </c>
      <c r="D2370" s="21" t="s">
        <v>3382</v>
      </c>
      <c r="E2370" s="21" t="s">
        <v>847</v>
      </c>
      <c r="F2370" s="21" t="s">
        <v>708</v>
      </c>
    </row>
    <row r="2371" customFormat="false" ht="15" hidden="false" customHeight="false" outlineLevel="0" collapsed="false">
      <c r="B2371" s="19" t="s">
        <v>3388</v>
      </c>
      <c r="C2371" s="20" t="n">
        <f aca="false">ROUND(2.34/FX,2)</f>
        <v>0.33</v>
      </c>
      <c r="D2371" s="21" t="s">
        <v>3382</v>
      </c>
      <c r="E2371" s="21" t="s">
        <v>719</v>
      </c>
      <c r="F2371" s="21" t="s">
        <v>708</v>
      </c>
    </row>
    <row r="2372" customFormat="false" ht="15" hidden="false" customHeight="false" outlineLevel="0" collapsed="false">
      <c r="B2372" s="19" t="s">
        <v>3389</v>
      </c>
      <c r="C2372" s="20" t="n">
        <f aca="false">ROUND(3.9/FX,2)</f>
        <v>0.54</v>
      </c>
      <c r="D2372" s="21" t="s">
        <v>3390</v>
      </c>
      <c r="E2372" s="21" t="s">
        <v>707</v>
      </c>
      <c r="F2372" s="21" t="s">
        <v>708</v>
      </c>
    </row>
    <row r="2373" customFormat="false" ht="15" hidden="false" customHeight="false" outlineLevel="0" collapsed="false">
      <c r="B2373" s="19" t="s">
        <v>3391</v>
      </c>
      <c r="C2373" s="20" t="n">
        <f aca="false">ROUND(2.54/FX,2)</f>
        <v>0.35</v>
      </c>
      <c r="D2373" s="21" t="s">
        <v>3390</v>
      </c>
      <c r="E2373" s="21" t="s">
        <v>714</v>
      </c>
      <c r="F2373" s="21" t="s">
        <v>708</v>
      </c>
    </row>
    <row r="2374" customFormat="false" ht="15" hidden="false" customHeight="false" outlineLevel="0" collapsed="false">
      <c r="B2374" s="19" t="s">
        <v>3392</v>
      </c>
      <c r="C2374" s="20" t="n">
        <f aca="false">ROUND(1.3/FX,2)</f>
        <v>0.18</v>
      </c>
      <c r="D2374" s="21" t="s">
        <v>3390</v>
      </c>
      <c r="E2374" s="21" t="s">
        <v>841</v>
      </c>
      <c r="F2374" s="21" t="s">
        <v>708</v>
      </c>
    </row>
    <row r="2375" customFormat="false" ht="15" hidden="false" customHeight="false" outlineLevel="0" collapsed="false">
      <c r="B2375" s="19" t="s">
        <v>3393</v>
      </c>
      <c r="C2375" s="20" t="n">
        <f aca="false">ROUND(1.3/FX,2)</f>
        <v>0.18</v>
      </c>
      <c r="D2375" s="21" t="s">
        <v>3390</v>
      </c>
      <c r="E2375" s="21" t="s">
        <v>789</v>
      </c>
      <c r="F2375" s="21" t="s">
        <v>708</v>
      </c>
    </row>
    <row r="2376" customFormat="false" ht="15" hidden="false" customHeight="false" outlineLevel="0" collapsed="false">
      <c r="B2376" s="19" t="s">
        <v>3394</v>
      </c>
      <c r="C2376" s="20" t="n">
        <f aca="false">ROUND(1.3/FX,2)</f>
        <v>0.18</v>
      </c>
      <c r="D2376" s="21" t="s">
        <v>3390</v>
      </c>
      <c r="E2376" s="21" t="s">
        <v>716</v>
      </c>
      <c r="F2376" s="21" t="s">
        <v>708</v>
      </c>
    </row>
    <row r="2377" customFormat="false" ht="15" hidden="false" customHeight="false" outlineLevel="0" collapsed="false">
      <c r="B2377" s="19" t="s">
        <v>3395</v>
      </c>
      <c r="C2377" s="20" t="n">
        <f aca="false">ROUND(1.3/FX,2)</f>
        <v>0.18</v>
      </c>
      <c r="D2377" s="21" t="s">
        <v>3390</v>
      </c>
      <c r="E2377" s="21" t="s">
        <v>847</v>
      </c>
      <c r="F2377" s="21" t="s">
        <v>708</v>
      </c>
    </row>
    <row r="2378" customFormat="false" ht="15" hidden="false" customHeight="false" outlineLevel="0" collapsed="false">
      <c r="B2378" s="19" t="s">
        <v>3396</v>
      </c>
      <c r="C2378" s="20" t="n">
        <f aca="false">ROUND(2.34/FX,2)</f>
        <v>0.33</v>
      </c>
      <c r="D2378" s="21" t="s">
        <v>3390</v>
      </c>
      <c r="E2378" s="21" t="s">
        <v>719</v>
      </c>
      <c r="F2378" s="21" t="s">
        <v>708</v>
      </c>
    </row>
    <row r="2379" customFormat="false" ht="15" hidden="false" customHeight="false" outlineLevel="0" collapsed="false">
      <c r="B2379" s="19" t="s">
        <v>3397</v>
      </c>
      <c r="C2379" s="20" t="n">
        <f aca="false">ROUND(3.51/FX,2)</f>
        <v>0.49</v>
      </c>
      <c r="D2379" s="21" t="s">
        <v>3398</v>
      </c>
      <c r="E2379" s="21" t="s">
        <v>707</v>
      </c>
      <c r="F2379" s="21" t="s">
        <v>708</v>
      </c>
    </row>
    <row r="2380" customFormat="false" ht="15" hidden="false" customHeight="false" outlineLevel="0" collapsed="false">
      <c r="B2380" s="19" t="s">
        <v>3399</v>
      </c>
      <c r="C2380" s="20" t="n">
        <f aca="false">ROUND(4.29/FX,2)</f>
        <v>0.6</v>
      </c>
      <c r="D2380" s="21" t="s">
        <v>3398</v>
      </c>
      <c r="E2380" s="21" t="s">
        <v>714</v>
      </c>
      <c r="F2380" s="21" t="s">
        <v>708</v>
      </c>
    </row>
    <row r="2381" customFormat="false" ht="15" hidden="false" customHeight="false" outlineLevel="0" collapsed="false">
      <c r="B2381" s="19" t="s">
        <v>3400</v>
      </c>
      <c r="C2381" s="20" t="n">
        <f aca="false">ROUND(1.3/FX,2)</f>
        <v>0.18</v>
      </c>
      <c r="D2381" s="21" t="s">
        <v>3398</v>
      </c>
      <c r="E2381" s="21" t="s">
        <v>841</v>
      </c>
      <c r="F2381" s="21" t="s">
        <v>708</v>
      </c>
    </row>
    <row r="2382" customFormat="false" ht="15" hidden="false" customHeight="false" outlineLevel="0" collapsed="false">
      <c r="B2382" s="19" t="s">
        <v>3401</v>
      </c>
      <c r="C2382" s="20" t="n">
        <f aca="false">ROUND(1.3/FX,2)</f>
        <v>0.18</v>
      </c>
      <c r="D2382" s="21" t="s">
        <v>3398</v>
      </c>
      <c r="E2382" s="21" t="s">
        <v>789</v>
      </c>
      <c r="F2382" s="21" t="s">
        <v>708</v>
      </c>
    </row>
    <row r="2383" customFormat="false" ht="15" hidden="false" customHeight="false" outlineLevel="0" collapsed="false">
      <c r="B2383" s="19" t="s">
        <v>3402</v>
      </c>
      <c r="C2383" s="20" t="n">
        <f aca="false">ROUND(1.04/FX,2)</f>
        <v>0.14</v>
      </c>
      <c r="D2383" s="21" t="s">
        <v>3398</v>
      </c>
      <c r="E2383" s="21" t="s">
        <v>716</v>
      </c>
      <c r="F2383" s="21" t="s">
        <v>708</v>
      </c>
    </row>
    <row r="2384" customFormat="false" ht="15" hidden="false" customHeight="false" outlineLevel="0" collapsed="false">
      <c r="B2384" s="19" t="s">
        <v>3403</v>
      </c>
      <c r="C2384" s="20" t="n">
        <f aca="false">ROUND(1.3/FX,2)</f>
        <v>0.18</v>
      </c>
      <c r="D2384" s="21" t="s">
        <v>3398</v>
      </c>
      <c r="E2384" s="21" t="s">
        <v>847</v>
      </c>
      <c r="F2384" s="21" t="s">
        <v>708</v>
      </c>
    </row>
    <row r="2385" customFormat="false" ht="15" hidden="false" customHeight="false" outlineLevel="0" collapsed="false">
      <c r="B2385" s="19" t="s">
        <v>3404</v>
      </c>
      <c r="C2385" s="20" t="n">
        <f aca="false">ROUND(3.51/FX,2)</f>
        <v>0.49</v>
      </c>
      <c r="D2385" s="21" t="s">
        <v>3398</v>
      </c>
      <c r="E2385" s="21" t="s">
        <v>719</v>
      </c>
      <c r="F2385" s="21" t="s">
        <v>708</v>
      </c>
    </row>
    <row r="2386" customFormat="false" ht="15" hidden="false" customHeight="false" outlineLevel="0" collapsed="false">
      <c r="B2386" s="19" t="s">
        <v>3405</v>
      </c>
      <c r="C2386" s="20" t="n">
        <f aca="false">ROUND(2.41/FX,2)</f>
        <v>0.33</v>
      </c>
      <c r="D2386" s="21" t="s">
        <v>2022</v>
      </c>
      <c r="E2386" s="21" t="s">
        <v>707</v>
      </c>
      <c r="F2386" s="21" t="s">
        <v>708</v>
      </c>
    </row>
    <row r="2387" customFormat="false" ht="15" hidden="false" customHeight="false" outlineLevel="0" collapsed="false">
      <c r="B2387" s="19" t="s">
        <v>3406</v>
      </c>
      <c r="C2387" s="20" t="n">
        <f aca="false">ROUND(3.64/FX,2)</f>
        <v>0.51</v>
      </c>
      <c r="D2387" s="21" t="s">
        <v>2022</v>
      </c>
      <c r="E2387" s="21" t="s">
        <v>714</v>
      </c>
      <c r="F2387" s="21" t="s">
        <v>708</v>
      </c>
    </row>
    <row r="2388" customFormat="false" ht="15" hidden="false" customHeight="false" outlineLevel="0" collapsed="false">
      <c r="B2388" s="19" t="s">
        <v>3407</v>
      </c>
      <c r="C2388" s="20" t="n">
        <f aca="false">ROUND(1.3/FX,2)</f>
        <v>0.18</v>
      </c>
      <c r="D2388" s="21" t="s">
        <v>2022</v>
      </c>
      <c r="E2388" s="21" t="s">
        <v>841</v>
      </c>
      <c r="F2388" s="21" t="s">
        <v>708</v>
      </c>
    </row>
    <row r="2389" customFormat="false" ht="15" hidden="false" customHeight="false" outlineLevel="0" collapsed="false">
      <c r="B2389" s="19" t="s">
        <v>3408</v>
      </c>
      <c r="C2389" s="20" t="n">
        <f aca="false">ROUND(1.3/FX,2)</f>
        <v>0.18</v>
      </c>
      <c r="D2389" s="21" t="s">
        <v>2022</v>
      </c>
      <c r="E2389" s="21" t="s">
        <v>789</v>
      </c>
      <c r="F2389" s="21" t="s">
        <v>708</v>
      </c>
    </row>
    <row r="2390" customFormat="false" ht="15" hidden="false" customHeight="false" outlineLevel="0" collapsed="false">
      <c r="B2390" s="19" t="s">
        <v>3409</v>
      </c>
      <c r="C2390" s="20" t="n">
        <f aca="false">ROUND(1.3/FX,2)</f>
        <v>0.18</v>
      </c>
      <c r="D2390" s="21" t="s">
        <v>2022</v>
      </c>
      <c r="E2390" s="21" t="s">
        <v>716</v>
      </c>
      <c r="F2390" s="21" t="s">
        <v>708</v>
      </c>
    </row>
    <row r="2391" customFormat="false" ht="15" hidden="false" customHeight="false" outlineLevel="0" collapsed="false">
      <c r="B2391" s="19" t="s">
        <v>3410</v>
      </c>
      <c r="C2391" s="20" t="n">
        <f aca="false">ROUND(1.3/FX,2)</f>
        <v>0.18</v>
      </c>
      <c r="D2391" s="21" t="s">
        <v>2022</v>
      </c>
      <c r="E2391" s="21" t="s">
        <v>847</v>
      </c>
      <c r="F2391" s="21" t="s">
        <v>708</v>
      </c>
    </row>
    <row r="2392" customFormat="false" ht="15" hidden="false" customHeight="false" outlineLevel="0" collapsed="false">
      <c r="B2392" s="19" t="s">
        <v>3411</v>
      </c>
      <c r="C2392" s="20" t="n">
        <f aca="false">ROUND(2.34/FX,2)</f>
        <v>0.33</v>
      </c>
      <c r="D2392" s="21" t="s">
        <v>2022</v>
      </c>
      <c r="E2392" s="21" t="s">
        <v>719</v>
      </c>
      <c r="F2392" s="21" t="s">
        <v>708</v>
      </c>
    </row>
    <row r="2393" customFormat="false" ht="15" hidden="false" customHeight="false" outlineLevel="0" collapsed="false">
      <c r="B2393" s="19" t="s">
        <v>3412</v>
      </c>
      <c r="C2393" s="20" t="n">
        <f aca="false">ROUND(3.9/FX,2)</f>
        <v>0.54</v>
      </c>
      <c r="D2393" s="21" t="s">
        <v>3413</v>
      </c>
      <c r="E2393" s="21" t="s">
        <v>707</v>
      </c>
      <c r="F2393" s="21" t="s">
        <v>708</v>
      </c>
    </row>
    <row r="2394" customFormat="false" ht="15" hidden="false" customHeight="false" outlineLevel="0" collapsed="false">
      <c r="B2394" s="19" t="s">
        <v>3414</v>
      </c>
      <c r="C2394" s="20" t="n">
        <f aca="false">ROUND(2.54/FX,2)</f>
        <v>0.35</v>
      </c>
      <c r="D2394" s="21" t="s">
        <v>3413</v>
      </c>
      <c r="E2394" s="21" t="s">
        <v>714</v>
      </c>
      <c r="F2394" s="21" t="s">
        <v>708</v>
      </c>
    </row>
    <row r="2395" customFormat="false" ht="15" hidden="false" customHeight="false" outlineLevel="0" collapsed="false">
      <c r="B2395" s="19" t="s">
        <v>3415</v>
      </c>
      <c r="C2395" s="20" t="n">
        <f aca="false">ROUND(1.3/FX,2)</f>
        <v>0.18</v>
      </c>
      <c r="D2395" s="21" t="s">
        <v>3413</v>
      </c>
      <c r="E2395" s="21" t="s">
        <v>841</v>
      </c>
      <c r="F2395" s="21" t="s">
        <v>708</v>
      </c>
    </row>
    <row r="2396" customFormat="false" ht="15" hidden="false" customHeight="false" outlineLevel="0" collapsed="false">
      <c r="B2396" s="19" t="s">
        <v>3416</v>
      </c>
      <c r="C2396" s="20" t="n">
        <f aca="false">ROUND(1.3/FX,2)</f>
        <v>0.18</v>
      </c>
      <c r="D2396" s="21" t="s">
        <v>3413</v>
      </c>
      <c r="E2396" s="21" t="s">
        <v>789</v>
      </c>
      <c r="F2396" s="21" t="s">
        <v>708</v>
      </c>
    </row>
    <row r="2397" customFormat="false" ht="15" hidden="false" customHeight="false" outlineLevel="0" collapsed="false">
      <c r="B2397" s="19" t="s">
        <v>3417</v>
      </c>
      <c r="C2397" s="20" t="n">
        <f aca="false">ROUND(1.3/FX,2)</f>
        <v>0.18</v>
      </c>
      <c r="D2397" s="21" t="s">
        <v>3413</v>
      </c>
      <c r="E2397" s="21" t="s">
        <v>716</v>
      </c>
      <c r="F2397" s="21" t="s">
        <v>708</v>
      </c>
    </row>
    <row r="2398" customFormat="false" ht="15" hidden="false" customHeight="false" outlineLevel="0" collapsed="false">
      <c r="B2398" s="19" t="s">
        <v>3418</v>
      </c>
      <c r="C2398" s="20" t="n">
        <f aca="false">ROUND(1.3/FX,2)</f>
        <v>0.18</v>
      </c>
      <c r="D2398" s="21" t="s">
        <v>3413</v>
      </c>
      <c r="E2398" s="21" t="s">
        <v>847</v>
      </c>
      <c r="F2398" s="21" t="s">
        <v>708</v>
      </c>
    </row>
    <row r="2399" customFormat="false" ht="15" hidden="false" customHeight="false" outlineLevel="0" collapsed="false">
      <c r="B2399" s="19" t="s">
        <v>3419</v>
      </c>
      <c r="C2399" s="20" t="n">
        <f aca="false">ROUND(2.34/FX,2)</f>
        <v>0.33</v>
      </c>
      <c r="D2399" s="21" t="s">
        <v>3413</v>
      </c>
      <c r="E2399" s="21" t="s">
        <v>719</v>
      </c>
      <c r="F2399" s="21" t="s">
        <v>708</v>
      </c>
    </row>
    <row r="2400" customFormat="false" ht="15" hidden="false" customHeight="false" outlineLevel="0" collapsed="false">
      <c r="B2400" s="19" t="s">
        <v>3420</v>
      </c>
      <c r="C2400" s="20" t="n">
        <f aca="false">ROUND(2.64/FX,2)</f>
        <v>0.37</v>
      </c>
      <c r="D2400" s="21" t="s">
        <v>2027</v>
      </c>
      <c r="E2400" s="21" t="s">
        <v>707</v>
      </c>
      <c r="F2400" s="21" t="s">
        <v>708</v>
      </c>
    </row>
    <row r="2401" customFormat="false" ht="15" hidden="false" customHeight="false" outlineLevel="0" collapsed="false">
      <c r="B2401" s="19" t="s">
        <v>3421</v>
      </c>
      <c r="C2401" s="20" t="n">
        <f aca="false">ROUND(2.54/FX,2)</f>
        <v>0.35</v>
      </c>
      <c r="D2401" s="21" t="s">
        <v>2027</v>
      </c>
      <c r="E2401" s="21" t="s">
        <v>714</v>
      </c>
      <c r="F2401" s="21" t="s">
        <v>708</v>
      </c>
    </row>
    <row r="2402" customFormat="false" ht="15" hidden="false" customHeight="false" outlineLevel="0" collapsed="false">
      <c r="B2402" s="19" t="s">
        <v>3422</v>
      </c>
      <c r="C2402" s="20" t="n">
        <f aca="false">ROUND(1.3/FX,2)</f>
        <v>0.18</v>
      </c>
      <c r="D2402" s="21" t="s">
        <v>2027</v>
      </c>
      <c r="E2402" s="21" t="s">
        <v>841</v>
      </c>
      <c r="F2402" s="21" t="s">
        <v>708</v>
      </c>
    </row>
    <row r="2403" customFormat="false" ht="15" hidden="false" customHeight="false" outlineLevel="0" collapsed="false">
      <c r="B2403" s="19" t="s">
        <v>3423</v>
      </c>
      <c r="C2403" s="20" t="n">
        <f aca="false">ROUND(1.3/FX,2)</f>
        <v>0.18</v>
      </c>
      <c r="D2403" s="21" t="s">
        <v>2027</v>
      </c>
      <c r="E2403" s="21" t="s">
        <v>789</v>
      </c>
      <c r="F2403" s="21" t="s">
        <v>708</v>
      </c>
    </row>
    <row r="2404" customFormat="false" ht="15" hidden="false" customHeight="false" outlineLevel="0" collapsed="false">
      <c r="B2404" s="19" t="s">
        <v>3424</v>
      </c>
      <c r="C2404" s="20" t="n">
        <f aca="false">ROUND(1.72/FX,2)</f>
        <v>0.24</v>
      </c>
      <c r="D2404" s="21" t="s">
        <v>2027</v>
      </c>
      <c r="E2404" s="21" t="s">
        <v>716</v>
      </c>
      <c r="F2404" s="21" t="s">
        <v>708</v>
      </c>
    </row>
    <row r="2405" customFormat="false" ht="15" hidden="false" customHeight="false" outlineLevel="0" collapsed="false">
      <c r="B2405" s="19" t="s">
        <v>3425</v>
      </c>
      <c r="C2405" s="20" t="n">
        <f aca="false">ROUND(1.3/FX,2)</f>
        <v>0.18</v>
      </c>
      <c r="D2405" s="21" t="s">
        <v>2027</v>
      </c>
      <c r="E2405" s="21" t="s">
        <v>847</v>
      </c>
      <c r="F2405" s="21" t="s">
        <v>708</v>
      </c>
    </row>
    <row r="2406" customFormat="false" ht="15" hidden="false" customHeight="false" outlineLevel="0" collapsed="false">
      <c r="B2406" s="19" t="s">
        <v>3426</v>
      </c>
      <c r="C2406" s="20" t="n">
        <f aca="false">ROUND(2.34/FX,2)</f>
        <v>0.33</v>
      </c>
      <c r="D2406" s="21" t="s">
        <v>2027</v>
      </c>
      <c r="E2406" s="21" t="s">
        <v>719</v>
      </c>
      <c r="F2406" s="21" t="s">
        <v>708</v>
      </c>
    </row>
    <row r="2407" customFormat="false" ht="15" hidden="false" customHeight="false" outlineLevel="0" collapsed="false">
      <c r="B2407" s="19" t="s">
        <v>3427</v>
      </c>
      <c r="C2407" s="20" t="n">
        <f aca="false">ROUND(3.9/FX,2)</f>
        <v>0.54</v>
      </c>
      <c r="D2407" s="21" t="s">
        <v>3428</v>
      </c>
      <c r="E2407" s="21" t="s">
        <v>707</v>
      </c>
      <c r="F2407" s="21" t="s">
        <v>708</v>
      </c>
    </row>
    <row r="2408" customFormat="false" ht="15" hidden="false" customHeight="false" outlineLevel="0" collapsed="false">
      <c r="B2408" s="19" t="s">
        <v>3429</v>
      </c>
      <c r="C2408" s="20" t="n">
        <f aca="false">ROUND(2.54/FX,2)</f>
        <v>0.35</v>
      </c>
      <c r="D2408" s="21" t="s">
        <v>3428</v>
      </c>
      <c r="E2408" s="21" t="s">
        <v>714</v>
      </c>
      <c r="F2408" s="21" t="s">
        <v>708</v>
      </c>
    </row>
    <row r="2409" customFormat="false" ht="15" hidden="false" customHeight="false" outlineLevel="0" collapsed="false">
      <c r="B2409" s="19" t="s">
        <v>3430</v>
      </c>
      <c r="C2409" s="20" t="n">
        <f aca="false">ROUND(1.3/FX,2)</f>
        <v>0.18</v>
      </c>
      <c r="D2409" s="21" t="s">
        <v>3428</v>
      </c>
      <c r="E2409" s="21" t="s">
        <v>841</v>
      </c>
      <c r="F2409" s="21" t="s">
        <v>708</v>
      </c>
    </row>
    <row r="2410" customFormat="false" ht="15" hidden="false" customHeight="false" outlineLevel="0" collapsed="false">
      <c r="B2410" s="19" t="s">
        <v>3431</v>
      </c>
      <c r="C2410" s="20" t="n">
        <f aca="false">ROUND(1.3/FX,2)</f>
        <v>0.18</v>
      </c>
      <c r="D2410" s="21" t="s">
        <v>3428</v>
      </c>
      <c r="E2410" s="21" t="s">
        <v>789</v>
      </c>
      <c r="F2410" s="21" t="s">
        <v>708</v>
      </c>
    </row>
    <row r="2411" customFormat="false" ht="15" hidden="false" customHeight="false" outlineLevel="0" collapsed="false">
      <c r="B2411" s="19" t="s">
        <v>3432</v>
      </c>
      <c r="C2411" s="20" t="n">
        <f aca="false">ROUND(1.3/FX,2)</f>
        <v>0.18</v>
      </c>
      <c r="D2411" s="21" t="s">
        <v>3428</v>
      </c>
      <c r="E2411" s="21" t="s">
        <v>716</v>
      </c>
      <c r="F2411" s="21" t="s">
        <v>708</v>
      </c>
    </row>
    <row r="2412" customFormat="false" ht="15" hidden="false" customHeight="false" outlineLevel="0" collapsed="false">
      <c r="B2412" s="19" t="s">
        <v>3433</v>
      </c>
      <c r="C2412" s="20" t="n">
        <f aca="false">ROUND(1.3/FX,2)</f>
        <v>0.18</v>
      </c>
      <c r="D2412" s="21" t="s">
        <v>3428</v>
      </c>
      <c r="E2412" s="21" t="s">
        <v>847</v>
      </c>
      <c r="F2412" s="21" t="s">
        <v>708</v>
      </c>
    </row>
    <row r="2413" customFormat="false" ht="15" hidden="false" customHeight="false" outlineLevel="0" collapsed="false">
      <c r="B2413" s="19" t="s">
        <v>3434</v>
      </c>
      <c r="C2413" s="20" t="n">
        <f aca="false">ROUND(2.34/FX,2)</f>
        <v>0.33</v>
      </c>
      <c r="D2413" s="21" t="s">
        <v>3428</v>
      </c>
      <c r="E2413" s="21" t="s">
        <v>719</v>
      </c>
      <c r="F2413" s="21" t="s">
        <v>708</v>
      </c>
    </row>
    <row r="2414" customFormat="false" ht="15" hidden="false" customHeight="false" outlineLevel="0" collapsed="false">
      <c r="B2414" s="19" t="s">
        <v>3435</v>
      </c>
      <c r="C2414" s="20" t="n">
        <f aca="false">ROUND(2.28/FX,2)</f>
        <v>0.32</v>
      </c>
      <c r="D2414" s="21" t="s">
        <v>3436</v>
      </c>
      <c r="E2414" s="21" t="s">
        <v>707</v>
      </c>
      <c r="F2414" s="21" t="s">
        <v>708</v>
      </c>
    </row>
    <row r="2415" customFormat="false" ht="15" hidden="false" customHeight="false" outlineLevel="0" collapsed="false">
      <c r="B2415" s="19" t="s">
        <v>3437</v>
      </c>
      <c r="C2415" s="20" t="n">
        <f aca="false">ROUND(2.93/FX,2)</f>
        <v>0.41</v>
      </c>
      <c r="D2415" s="21" t="s">
        <v>3436</v>
      </c>
      <c r="E2415" s="21" t="s">
        <v>714</v>
      </c>
      <c r="F2415" s="21" t="s">
        <v>708</v>
      </c>
    </row>
    <row r="2416" customFormat="false" ht="15" hidden="false" customHeight="false" outlineLevel="0" collapsed="false">
      <c r="B2416" s="19" t="s">
        <v>3438</v>
      </c>
      <c r="C2416" s="20" t="n">
        <f aca="false">ROUND(1.3/FX,2)</f>
        <v>0.18</v>
      </c>
      <c r="D2416" s="21" t="s">
        <v>3436</v>
      </c>
      <c r="E2416" s="21" t="s">
        <v>841</v>
      </c>
      <c r="F2416" s="21" t="s">
        <v>708</v>
      </c>
    </row>
    <row r="2417" customFormat="false" ht="15" hidden="false" customHeight="false" outlineLevel="0" collapsed="false">
      <c r="B2417" s="19" t="s">
        <v>3439</v>
      </c>
      <c r="C2417" s="20" t="n">
        <f aca="false">ROUND(1.3/FX,2)</f>
        <v>0.18</v>
      </c>
      <c r="D2417" s="21" t="s">
        <v>3436</v>
      </c>
      <c r="E2417" s="21" t="s">
        <v>789</v>
      </c>
      <c r="F2417" s="21" t="s">
        <v>708</v>
      </c>
    </row>
    <row r="2418" customFormat="false" ht="15" hidden="false" customHeight="false" outlineLevel="0" collapsed="false">
      <c r="B2418" s="19" t="s">
        <v>3440</v>
      </c>
      <c r="C2418" s="20" t="n">
        <f aca="false">ROUND(1.3/FX,2)</f>
        <v>0.18</v>
      </c>
      <c r="D2418" s="21" t="s">
        <v>3436</v>
      </c>
      <c r="E2418" s="21" t="s">
        <v>716</v>
      </c>
      <c r="F2418" s="21" t="s">
        <v>708</v>
      </c>
    </row>
    <row r="2419" customFormat="false" ht="15" hidden="false" customHeight="false" outlineLevel="0" collapsed="false">
      <c r="B2419" s="19" t="s">
        <v>3441</v>
      </c>
      <c r="C2419" s="20" t="n">
        <f aca="false">ROUND(1.3/FX,2)</f>
        <v>0.18</v>
      </c>
      <c r="D2419" s="21" t="s">
        <v>3436</v>
      </c>
      <c r="E2419" s="21" t="s">
        <v>847</v>
      </c>
      <c r="F2419" s="21" t="s">
        <v>708</v>
      </c>
    </row>
    <row r="2420" customFormat="false" ht="15" hidden="false" customHeight="false" outlineLevel="0" collapsed="false">
      <c r="B2420" s="19" t="s">
        <v>3442</v>
      </c>
      <c r="C2420" s="20" t="n">
        <f aca="false">ROUND(2.34/FX,2)</f>
        <v>0.33</v>
      </c>
      <c r="D2420" s="21" t="s">
        <v>3436</v>
      </c>
      <c r="E2420" s="21" t="s">
        <v>719</v>
      </c>
      <c r="F2420" s="21" t="s">
        <v>708</v>
      </c>
    </row>
    <row r="2421" customFormat="false" ht="15" hidden="false" customHeight="false" outlineLevel="0" collapsed="false">
      <c r="B2421" s="19" t="s">
        <v>3443</v>
      </c>
      <c r="C2421" s="20" t="n">
        <f aca="false">ROUND(3.51/FX,2)</f>
        <v>0.49</v>
      </c>
      <c r="D2421" s="21" t="s">
        <v>3444</v>
      </c>
      <c r="E2421" s="21" t="s">
        <v>707</v>
      </c>
      <c r="F2421" s="21" t="s">
        <v>708</v>
      </c>
    </row>
    <row r="2422" customFormat="false" ht="15" hidden="false" customHeight="false" outlineLevel="0" collapsed="false">
      <c r="B2422" s="19" t="s">
        <v>3445</v>
      </c>
      <c r="C2422" s="20" t="n">
        <f aca="false">ROUND(2.93/FX,2)</f>
        <v>0.41</v>
      </c>
      <c r="D2422" s="21" t="s">
        <v>3444</v>
      </c>
      <c r="E2422" s="21" t="s">
        <v>714</v>
      </c>
      <c r="F2422" s="21" t="s">
        <v>708</v>
      </c>
    </row>
    <row r="2423" customFormat="false" ht="15" hidden="false" customHeight="false" outlineLevel="0" collapsed="false">
      <c r="B2423" s="19" t="s">
        <v>3446</v>
      </c>
      <c r="C2423" s="20" t="n">
        <f aca="false">ROUND(1.3/FX,2)</f>
        <v>0.18</v>
      </c>
      <c r="D2423" s="21" t="s">
        <v>3444</v>
      </c>
      <c r="E2423" s="21" t="s">
        <v>841</v>
      </c>
      <c r="F2423" s="21" t="s">
        <v>708</v>
      </c>
    </row>
    <row r="2424" customFormat="false" ht="15" hidden="false" customHeight="false" outlineLevel="0" collapsed="false">
      <c r="B2424" s="19" t="s">
        <v>3447</v>
      </c>
      <c r="C2424" s="20" t="n">
        <f aca="false">ROUND(1.3/FX,2)</f>
        <v>0.18</v>
      </c>
      <c r="D2424" s="21" t="s">
        <v>3444</v>
      </c>
      <c r="E2424" s="21" t="s">
        <v>789</v>
      </c>
      <c r="F2424" s="21" t="s">
        <v>708</v>
      </c>
    </row>
    <row r="2425" customFormat="false" ht="15" hidden="false" customHeight="false" outlineLevel="0" collapsed="false">
      <c r="B2425" s="19" t="s">
        <v>3448</v>
      </c>
      <c r="C2425" s="20" t="n">
        <f aca="false">ROUND(1.3/FX,2)</f>
        <v>0.18</v>
      </c>
      <c r="D2425" s="21" t="s">
        <v>3444</v>
      </c>
      <c r="E2425" s="21" t="s">
        <v>716</v>
      </c>
      <c r="F2425" s="21" t="s">
        <v>708</v>
      </c>
    </row>
    <row r="2426" customFormat="false" ht="15" hidden="false" customHeight="false" outlineLevel="0" collapsed="false">
      <c r="B2426" s="19" t="s">
        <v>3449</v>
      </c>
      <c r="C2426" s="20" t="n">
        <f aca="false">ROUND(1.3/FX,2)</f>
        <v>0.18</v>
      </c>
      <c r="D2426" s="21" t="s">
        <v>3444</v>
      </c>
      <c r="E2426" s="21" t="s">
        <v>847</v>
      </c>
      <c r="F2426" s="21" t="s">
        <v>708</v>
      </c>
    </row>
    <row r="2427" customFormat="false" ht="15" hidden="false" customHeight="false" outlineLevel="0" collapsed="false">
      <c r="B2427" s="19" t="s">
        <v>3450</v>
      </c>
      <c r="C2427" s="20" t="n">
        <f aca="false">ROUND(2.34/FX,2)</f>
        <v>0.33</v>
      </c>
      <c r="D2427" s="21" t="s">
        <v>3444</v>
      </c>
      <c r="E2427" s="21" t="s">
        <v>719</v>
      </c>
      <c r="F2427" s="21" t="s">
        <v>708</v>
      </c>
    </row>
    <row r="2428" customFormat="false" ht="15" hidden="false" customHeight="false" outlineLevel="0" collapsed="false">
      <c r="B2428" s="19" t="s">
        <v>3451</v>
      </c>
      <c r="C2428" s="20" t="n">
        <f aca="false">ROUND(2.86/FX,2)</f>
        <v>0.4</v>
      </c>
      <c r="D2428" s="21" t="s">
        <v>2047</v>
      </c>
      <c r="E2428" s="21" t="s">
        <v>707</v>
      </c>
      <c r="F2428" s="21" t="s">
        <v>708</v>
      </c>
    </row>
    <row r="2429" customFormat="false" ht="15" hidden="false" customHeight="false" outlineLevel="0" collapsed="false">
      <c r="B2429" s="19" t="s">
        <v>3452</v>
      </c>
      <c r="C2429" s="20" t="n">
        <f aca="false">ROUND(2.93/FX,2)</f>
        <v>0.41</v>
      </c>
      <c r="D2429" s="21" t="s">
        <v>2047</v>
      </c>
      <c r="E2429" s="21" t="s">
        <v>714</v>
      </c>
      <c r="F2429" s="21" t="s">
        <v>708</v>
      </c>
    </row>
    <row r="2430" customFormat="false" ht="15" hidden="false" customHeight="false" outlineLevel="0" collapsed="false">
      <c r="B2430" s="19" t="s">
        <v>3453</v>
      </c>
      <c r="C2430" s="20" t="n">
        <f aca="false">ROUND(1.3/FX,2)</f>
        <v>0.18</v>
      </c>
      <c r="D2430" s="21" t="s">
        <v>2047</v>
      </c>
      <c r="E2430" s="21" t="s">
        <v>841</v>
      </c>
      <c r="F2430" s="21" t="s">
        <v>708</v>
      </c>
    </row>
    <row r="2431" customFormat="false" ht="15" hidden="false" customHeight="false" outlineLevel="0" collapsed="false">
      <c r="B2431" s="19" t="s">
        <v>3454</v>
      </c>
      <c r="C2431" s="20" t="n">
        <f aca="false">ROUND(1.3/FX,2)</f>
        <v>0.18</v>
      </c>
      <c r="D2431" s="21" t="s">
        <v>2047</v>
      </c>
      <c r="E2431" s="21" t="s">
        <v>789</v>
      </c>
      <c r="F2431" s="21" t="s">
        <v>708</v>
      </c>
    </row>
    <row r="2432" customFormat="false" ht="15" hidden="false" customHeight="false" outlineLevel="0" collapsed="false">
      <c r="B2432" s="19" t="s">
        <v>3455</v>
      </c>
      <c r="C2432" s="20" t="n">
        <f aca="false">ROUND(1.3/FX,2)</f>
        <v>0.18</v>
      </c>
      <c r="D2432" s="21" t="s">
        <v>2047</v>
      </c>
      <c r="E2432" s="21" t="s">
        <v>716</v>
      </c>
      <c r="F2432" s="21" t="s">
        <v>708</v>
      </c>
    </row>
    <row r="2433" customFormat="false" ht="15" hidden="false" customHeight="false" outlineLevel="0" collapsed="false">
      <c r="B2433" s="19" t="s">
        <v>3456</v>
      </c>
      <c r="C2433" s="20" t="n">
        <f aca="false">ROUND(1.3/FX,2)</f>
        <v>0.18</v>
      </c>
      <c r="D2433" s="21" t="s">
        <v>2047</v>
      </c>
      <c r="E2433" s="21" t="s">
        <v>847</v>
      </c>
      <c r="F2433" s="21" t="s">
        <v>708</v>
      </c>
    </row>
    <row r="2434" customFormat="false" ht="15" hidden="false" customHeight="false" outlineLevel="0" collapsed="false">
      <c r="B2434" s="19" t="s">
        <v>3457</v>
      </c>
      <c r="C2434" s="20" t="n">
        <f aca="false">ROUND(2.34/FX,2)</f>
        <v>0.33</v>
      </c>
      <c r="D2434" s="21" t="s">
        <v>2047</v>
      </c>
      <c r="E2434" s="21" t="s">
        <v>719</v>
      </c>
      <c r="F2434" s="21" t="s">
        <v>708</v>
      </c>
    </row>
    <row r="2435" customFormat="false" ht="15" hidden="false" customHeight="false" outlineLevel="0" collapsed="false">
      <c r="B2435" s="19" t="s">
        <v>3458</v>
      </c>
      <c r="C2435" s="20" t="n">
        <f aca="false">ROUND(3.77/FX,2)</f>
        <v>0.52</v>
      </c>
      <c r="D2435" s="21" t="s">
        <v>3459</v>
      </c>
      <c r="E2435" s="21" t="s">
        <v>707</v>
      </c>
      <c r="F2435" s="21" t="s">
        <v>708</v>
      </c>
    </row>
    <row r="2436" customFormat="false" ht="15" hidden="false" customHeight="false" outlineLevel="0" collapsed="false">
      <c r="B2436" s="19" t="s">
        <v>3460</v>
      </c>
      <c r="C2436" s="20" t="n">
        <f aca="false">ROUND(2.93/FX,2)</f>
        <v>0.41</v>
      </c>
      <c r="D2436" s="21" t="s">
        <v>3459</v>
      </c>
      <c r="E2436" s="21" t="s">
        <v>714</v>
      </c>
      <c r="F2436" s="21" t="s">
        <v>708</v>
      </c>
    </row>
    <row r="2437" customFormat="false" ht="15" hidden="false" customHeight="false" outlineLevel="0" collapsed="false">
      <c r="B2437" s="19" t="s">
        <v>3461</v>
      </c>
      <c r="C2437" s="20" t="n">
        <f aca="false">ROUND(1.3/FX,2)</f>
        <v>0.18</v>
      </c>
      <c r="D2437" s="21" t="s">
        <v>3459</v>
      </c>
      <c r="E2437" s="21" t="s">
        <v>841</v>
      </c>
      <c r="F2437" s="21" t="s">
        <v>708</v>
      </c>
    </row>
    <row r="2438" customFormat="false" ht="15" hidden="false" customHeight="false" outlineLevel="0" collapsed="false">
      <c r="B2438" s="19" t="s">
        <v>3462</v>
      </c>
      <c r="C2438" s="20" t="n">
        <f aca="false">ROUND(1.3/FX,2)</f>
        <v>0.18</v>
      </c>
      <c r="D2438" s="21" t="s">
        <v>3459</v>
      </c>
      <c r="E2438" s="21" t="s">
        <v>789</v>
      </c>
      <c r="F2438" s="21" t="s">
        <v>708</v>
      </c>
    </row>
    <row r="2439" customFormat="false" ht="15" hidden="false" customHeight="false" outlineLevel="0" collapsed="false">
      <c r="B2439" s="19" t="s">
        <v>3463</v>
      </c>
      <c r="C2439" s="20" t="n">
        <f aca="false">ROUND(1.3/FX,2)</f>
        <v>0.18</v>
      </c>
      <c r="D2439" s="21" t="s">
        <v>3459</v>
      </c>
      <c r="E2439" s="21" t="s">
        <v>716</v>
      </c>
      <c r="F2439" s="21" t="s">
        <v>708</v>
      </c>
    </row>
    <row r="2440" customFormat="false" ht="15" hidden="false" customHeight="false" outlineLevel="0" collapsed="false">
      <c r="B2440" s="19" t="s">
        <v>3464</v>
      </c>
      <c r="C2440" s="20" t="n">
        <f aca="false">ROUND(1.3/FX,2)</f>
        <v>0.18</v>
      </c>
      <c r="D2440" s="21" t="s">
        <v>3459</v>
      </c>
      <c r="E2440" s="21" t="s">
        <v>847</v>
      </c>
      <c r="F2440" s="21" t="s">
        <v>708</v>
      </c>
    </row>
    <row r="2441" customFormat="false" ht="15" hidden="false" customHeight="false" outlineLevel="0" collapsed="false">
      <c r="B2441" s="19" t="s">
        <v>3465</v>
      </c>
      <c r="C2441" s="20" t="n">
        <f aca="false">ROUND(2.34/FX,2)</f>
        <v>0.33</v>
      </c>
      <c r="D2441" s="21" t="s">
        <v>3459</v>
      </c>
      <c r="E2441" s="21" t="s">
        <v>719</v>
      </c>
      <c r="F2441" s="21" t="s">
        <v>708</v>
      </c>
    </row>
    <row r="2442" customFormat="false" ht="15" hidden="false" customHeight="false" outlineLevel="0" collapsed="false">
      <c r="B2442" s="19" t="s">
        <v>3466</v>
      </c>
      <c r="C2442" s="20" t="n">
        <f aca="false">ROUND(2.86/FX,2)</f>
        <v>0.4</v>
      </c>
      <c r="D2442" s="21" t="s">
        <v>2057</v>
      </c>
      <c r="E2442" s="21" t="s">
        <v>707</v>
      </c>
      <c r="F2442" s="21" t="s">
        <v>708</v>
      </c>
    </row>
    <row r="2443" customFormat="false" ht="15" hidden="false" customHeight="false" outlineLevel="0" collapsed="false">
      <c r="B2443" s="19" t="s">
        <v>3467</v>
      </c>
      <c r="C2443" s="20" t="n">
        <f aca="false">ROUND(2.93/FX,2)</f>
        <v>0.41</v>
      </c>
      <c r="D2443" s="21" t="s">
        <v>2057</v>
      </c>
      <c r="E2443" s="21" t="s">
        <v>714</v>
      </c>
      <c r="F2443" s="21" t="s">
        <v>708</v>
      </c>
    </row>
    <row r="2444" customFormat="false" ht="15" hidden="false" customHeight="false" outlineLevel="0" collapsed="false">
      <c r="B2444" s="19" t="s">
        <v>3468</v>
      </c>
      <c r="C2444" s="20" t="n">
        <f aca="false">ROUND(1.3/FX,2)</f>
        <v>0.18</v>
      </c>
      <c r="D2444" s="21" t="s">
        <v>2057</v>
      </c>
      <c r="E2444" s="21" t="s">
        <v>841</v>
      </c>
      <c r="F2444" s="21" t="s">
        <v>708</v>
      </c>
    </row>
    <row r="2445" customFormat="false" ht="15" hidden="false" customHeight="false" outlineLevel="0" collapsed="false">
      <c r="B2445" s="19" t="s">
        <v>3469</v>
      </c>
      <c r="C2445" s="20" t="n">
        <f aca="false">ROUND(1.3/FX,2)</f>
        <v>0.18</v>
      </c>
      <c r="D2445" s="21" t="s">
        <v>2057</v>
      </c>
      <c r="E2445" s="21" t="s">
        <v>789</v>
      </c>
      <c r="F2445" s="21" t="s">
        <v>708</v>
      </c>
    </row>
    <row r="2446" customFormat="false" ht="15" hidden="false" customHeight="false" outlineLevel="0" collapsed="false">
      <c r="B2446" s="19" t="s">
        <v>3470</v>
      </c>
      <c r="C2446" s="20" t="n">
        <f aca="false">ROUND(1.3/FX,2)</f>
        <v>0.18</v>
      </c>
      <c r="D2446" s="21" t="s">
        <v>2057</v>
      </c>
      <c r="E2446" s="21" t="s">
        <v>716</v>
      </c>
      <c r="F2446" s="21" t="s">
        <v>708</v>
      </c>
    </row>
    <row r="2447" customFormat="false" ht="15" hidden="false" customHeight="false" outlineLevel="0" collapsed="false">
      <c r="B2447" s="19" t="s">
        <v>3471</v>
      </c>
      <c r="C2447" s="20" t="n">
        <f aca="false">ROUND(1.3/FX,2)</f>
        <v>0.18</v>
      </c>
      <c r="D2447" s="21" t="s">
        <v>2057</v>
      </c>
      <c r="E2447" s="21" t="s">
        <v>847</v>
      </c>
      <c r="F2447" s="21" t="s">
        <v>708</v>
      </c>
    </row>
    <row r="2448" customFormat="false" ht="15" hidden="false" customHeight="false" outlineLevel="0" collapsed="false">
      <c r="B2448" s="19" t="s">
        <v>3472</v>
      </c>
      <c r="C2448" s="20" t="n">
        <f aca="false">ROUND(2.34/FX,2)</f>
        <v>0.33</v>
      </c>
      <c r="D2448" s="21" t="s">
        <v>2057</v>
      </c>
      <c r="E2448" s="21" t="s">
        <v>719</v>
      </c>
      <c r="F2448" s="21" t="s">
        <v>708</v>
      </c>
    </row>
    <row r="2449" customFormat="false" ht="15" hidden="false" customHeight="false" outlineLevel="0" collapsed="false">
      <c r="B2449" s="19" t="s">
        <v>3473</v>
      </c>
      <c r="C2449" s="20" t="n">
        <f aca="false">ROUND(2.86/FX,2)</f>
        <v>0.4</v>
      </c>
      <c r="D2449" s="21" t="s">
        <v>3474</v>
      </c>
      <c r="E2449" s="21" t="s">
        <v>707</v>
      </c>
      <c r="F2449" s="21" t="s">
        <v>708</v>
      </c>
    </row>
    <row r="2450" customFormat="false" ht="15" hidden="false" customHeight="false" outlineLevel="0" collapsed="false">
      <c r="B2450" s="19" t="s">
        <v>3475</v>
      </c>
      <c r="C2450" s="20" t="n">
        <f aca="false">ROUND(2.93/FX,2)</f>
        <v>0.41</v>
      </c>
      <c r="D2450" s="21" t="s">
        <v>3474</v>
      </c>
      <c r="E2450" s="21" t="s">
        <v>714</v>
      </c>
      <c r="F2450" s="21" t="s">
        <v>708</v>
      </c>
    </row>
    <row r="2451" customFormat="false" ht="15" hidden="false" customHeight="false" outlineLevel="0" collapsed="false">
      <c r="B2451" s="19" t="s">
        <v>3476</v>
      </c>
      <c r="C2451" s="20" t="n">
        <f aca="false">ROUND(1.3/FX,2)</f>
        <v>0.18</v>
      </c>
      <c r="D2451" s="21" t="s">
        <v>3474</v>
      </c>
      <c r="E2451" s="21" t="s">
        <v>841</v>
      </c>
      <c r="F2451" s="21" t="s">
        <v>708</v>
      </c>
    </row>
    <row r="2452" customFormat="false" ht="15" hidden="false" customHeight="false" outlineLevel="0" collapsed="false">
      <c r="B2452" s="19" t="s">
        <v>3477</v>
      </c>
      <c r="C2452" s="20" t="n">
        <f aca="false">ROUND(1.3/FX,2)</f>
        <v>0.18</v>
      </c>
      <c r="D2452" s="21" t="s">
        <v>3474</v>
      </c>
      <c r="E2452" s="21" t="s">
        <v>789</v>
      </c>
      <c r="F2452" s="21" t="s">
        <v>708</v>
      </c>
    </row>
    <row r="2453" customFormat="false" ht="15" hidden="false" customHeight="false" outlineLevel="0" collapsed="false">
      <c r="B2453" s="19" t="s">
        <v>3478</v>
      </c>
      <c r="C2453" s="20" t="n">
        <f aca="false">ROUND(1.3/FX,2)</f>
        <v>0.18</v>
      </c>
      <c r="D2453" s="21" t="s">
        <v>3474</v>
      </c>
      <c r="E2453" s="21" t="s">
        <v>716</v>
      </c>
      <c r="F2453" s="21" t="s">
        <v>708</v>
      </c>
    </row>
    <row r="2454" customFormat="false" ht="15" hidden="false" customHeight="false" outlineLevel="0" collapsed="false">
      <c r="B2454" s="19" t="s">
        <v>3479</v>
      </c>
      <c r="C2454" s="20" t="n">
        <f aca="false">ROUND(1.3/FX,2)</f>
        <v>0.18</v>
      </c>
      <c r="D2454" s="21" t="s">
        <v>3474</v>
      </c>
      <c r="E2454" s="21" t="s">
        <v>847</v>
      </c>
      <c r="F2454" s="21" t="s">
        <v>708</v>
      </c>
    </row>
    <row r="2455" customFormat="false" ht="15" hidden="false" customHeight="false" outlineLevel="0" collapsed="false">
      <c r="B2455" s="19" t="s">
        <v>3480</v>
      </c>
      <c r="C2455" s="20" t="n">
        <f aca="false">ROUND(2.34/FX,2)</f>
        <v>0.33</v>
      </c>
      <c r="D2455" s="21" t="s">
        <v>3474</v>
      </c>
      <c r="E2455" s="21" t="s">
        <v>719</v>
      </c>
      <c r="F2455" s="21" t="s">
        <v>708</v>
      </c>
    </row>
    <row r="2456" customFormat="false" ht="15" hidden="false" customHeight="false" outlineLevel="0" collapsed="false">
      <c r="B2456" s="19" t="s">
        <v>3481</v>
      </c>
      <c r="C2456" s="20" t="n">
        <f aca="false">ROUND(2.6/FX,2)</f>
        <v>0.36</v>
      </c>
      <c r="D2456" s="21" t="s">
        <v>2067</v>
      </c>
      <c r="E2456" s="21" t="s">
        <v>707</v>
      </c>
      <c r="F2456" s="21" t="s">
        <v>708</v>
      </c>
    </row>
    <row r="2457" customFormat="false" ht="15" hidden="false" customHeight="false" outlineLevel="0" collapsed="false">
      <c r="B2457" s="19" t="s">
        <v>3482</v>
      </c>
      <c r="C2457" s="20" t="n">
        <f aca="false">ROUND(4.18/FX,2)</f>
        <v>0.58</v>
      </c>
      <c r="D2457" s="21" t="s">
        <v>2067</v>
      </c>
      <c r="E2457" s="21" t="s">
        <v>714</v>
      </c>
      <c r="F2457" s="21" t="s">
        <v>708</v>
      </c>
    </row>
    <row r="2458" customFormat="false" ht="15" hidden="false" customHeight="false" outlineLevel="0" collapsed="false">
      <c r="B2458" s="19" t="s">
        <v>3483</v>
      </c>
      <c r="C2458" s="20" t="n">
        <f aca="false">ROUND(1.3/FX,2)</f>
        <v>0.18</v>
      </c>
      <c r="D2458" s="21" t="s">
        <v>2067</v>
      </c>
      <c r="E2458" s="21" t="s">
        <v>841</v>
      </c>
      <c r="F2458" s="21" t="s">
        <v>708</v>
      </c>
    </row>
    <row r="2459" customFormat="false" ht="15" hidden="false" customHeight="false" outlineLevel="0" collapsed="false">
      <c r="B2459" s="19" t="s">
        <v>3484</v>
      </c>
      <c r="C2459" s="20" t="n">
        <f aca="false">ROUND(1.3/FX,2)</f>
        <v>0.18</v>
      </c>
      <c r="D2459" s="21" t="s">
        <v>2067</v>
      </c>
      <c r="E2459" s="21" t="s">
        <v>789</v>
      </c>
      <c r="F2459" s="21" t="s">
        <v>708</v>
      </c>
    </row>
    <row r="2460" customFormat="false" ht="15" hidden="false" customHeight="false" outlineLevel="0" collapsed="false">
      <c r="B2460" s="19" t="s">
        <v>3485</v>
      </c>
      <c r="C2460" s="20" t="n">
        <f aca="false">ROUND(1.3/FX,2)</f>
        <v>0.18</v>
      </c>
      <c r="D2460" s="21" t="s">
        <v>2067</v>
      </c>
      <c r="E2460" s="21" t="s">
        <v>716</v>
      </c>
      <c r="F2460" s="21" t="s">
        <v>708</v>
      </c>
    </row>
    <row r="2461" customFormat="false" ht="15" hidden="false" customHeight="false" outlineLevel="0" collapsed="false">
      <c r="B2461" s="19" t="s">
        <v>3486</v>
      </c>
      <c r="C2461" s="20" t="n">
        <f aca="false">ROUND(1.3/FX,2)</f>
        <v>0.18</v>
      </c>
      <c r="D2461" s="21" t="s">
        <v>2067</v>
      </c>
      <c r="E2461" s="21" t="s">
        <v>847</v>
      </c>
      <c r="F2461" s="21" t="s">
        <v>708</v>
      </c>
    </row>
    <row r="2462" customFormat="false" ht="15" hidden="false" customHeight="false" outlineLevel="0" collapsed="false">
      <c r="B2462" s="19" t="s">
        <v>3487</v>
      </c>
      <c r="C2462" s="20" t="n">
        <f aca="false">ROUND(2.34/FX,2)</f>
        <v>0.33</v>
      </c>
      <c r="D2462" s="21" t="s">
        <v>2067</v>
      </c>
      <c r="E2462" s="21" t="s">
        <v>719</v>
      </c>
      <c r="F2462" s="21" t="s">
        <v>708</v>
      </c>
    </row>
    <row r="2463" customFormat="false" ht="15" hidden="false" customHeight="false" outlineLevel="0" collapsed="false">
      <c r="B2463" s="19" t="s">
        <v>3488</v>
      </c>
      <c r="C2463" s="20" t="n">
        <f aca="false">ROUND(3.9/FX,2)</f>
        <v>0.54</v>
      </c>
      <c r="D2463" s="21" t="s">
        <v>3489</v>
      </c>
      <c r="E2463" s="21" t="s">
        <v>707</v>
      </c>
      <c r="F2463" s="21" t="s">
        <v>708</v>
      </c>
    </row>
    <row r="2464" customFormat="false" ht="15" hidden="false" customHeight="false" outlineLevel="0" collapsed="false">
      <c r="B2464" s="19" t="s">
        <v>3490</v>
      </c>
      <c r="C2464" s="20" t="n">
        <f aca="false">ROUND(2.21/FX,2)</f>
        <v>0.31</v>
      </c>
      <c r="D2464" s="21" t="s">
        <v>3489</v>
      </c>
      <c r="E2464" s="21" t="s">
        <v>714</v>
      </c>
      <c r="F2464" s="21" t="s">
        <v>708</v>
      </c>
    </row>
    <row r="2465" customFormat="false" ht="15" hidden="false" customHeight="false" outlineLevel="0" collapsed="false">
      <c r="B2465" s="19" t="s">
        <v>3491</v>
      </c>
      <c r="C2465" s="20" t="n">
        <f aca="false">ROUND(1.3/FX,2)</f>
        <v>0.18</v>
      </c>
      <c r="D2465" s="21" t="s">
        <v>3489</v>
      </c>
      <c r="E2465" s="21" t="s">
        <v>841</v>
      </c>
      <c r="F2465" s="21" t="s">
        <v>708</v>
      </c>
    </row>
    <row r="2466" customFormat="false" ht="15" hidden="false" customHeight="false" outlineLevel="0" collapsed="false">
      <c r="B2466" s="19" t="s">
        <v>3492</v>
      </c>
      <c r="C2466" s="20" t="n">
        <f aca="false">ROUND(1.3/FX,2)</f>
        <v>0.18</v>
      </c>
      <c r="D2466" s="21" t="s">
        <v>3489</v>
      </c>
      <c r="E2466" s="21" t="s">
        <v>789</v>
      </c>
      <c r="F2466" s="21" t="s">
        <v>708</v>
      </c>
    </row>
    <row r="2467" customFormat="false" ht="15" hidden="false" customHeight="false" outlineLevel="0" collapsed="false">
      <c r="B2467" s="19" t="s">
        <v>3493</v>
      </c>
      <c r="C2467" s="20" t="n">
        <f aca="false">ROUND(1.3/FX,2)</f>
        <v>0.18</v>
      </c>
      <c r="D2467" s="21" t="s">
        <v>3489</v>
      </c>
      <c r="E2467" s="21" t="s">
        <v>716</v>
      </c>
      <c r="F2467" s="21" t="s">
        <v>708</v>
      </c>
    </row>
    <row r="2468" customFormat="false" ht="15" hidden="false" customHeight="false" outlineLevel="0" collapsed="false">
      <c r="B2468" s="19" t="s">
        <v>3494</v>
      </c>
      <c r="C2468" s="20" t="n">
        <f aca="false">ROUND(1.3/FX,2)</f>
        <v>0.18</v>
      </c>
      <c r="D2468" s="21" t="s">
        <v>3489</v>
      </c>
      <c r="E2468" s="21" t="s">
        <v>847</v>
      </c>
      <c r="F2468" s="21" t="s">
        <v>708</v>
      </c>
    </row>
    <row r="2469" customFormat="false" ht="15" hidden="false" customHeight="false" outlineLevel="0" collapsed="false">
      <c r="B2469" s="19" t="s">
        <v>3495</v>
      </c>
      <c r="C2469" s="20" t="n">
        <f aca="false">ROUND(2.34/FX,2)</f>
        <v>0.33</v>
      </c>
      <c r="D2469" s="21" t="s">
        <v>3489</v>
      </c>
      <c r="E2469" s="21" t="s">
        <v>719</v>
      </c>
      <c r="F2469" s="21" t="s">
        <v>708</v>
      </c>
    </row>
    <row r="2470" customFormat="false" ht="15" hidden="false" customHeight="false" outlineLevel="0" collapsed="false">
      <c r="B2470" s="19" t="s">
        <v>3496</v>
      </c>
      <c r="C2470" s="20" t="n">
        <f aca="false">ROUND(3.9/FX,2)</f>
        <v>0.54</v>
      </c>
      <c r="D2470" s="21" t="s">
        <v>2077</v>
      </c>
      <c r="E2470" s="21" t="s">
        <v>707</v>
      </c>
      <c r="F2470" s="21" t="s">
        <v>708</v>
      </c>
    </row>
    <row r="2471" customFormat="false" ht="15" hidden="false" customHeight="false" outlineLevel="0" collapsed="false">
      <c r="B2471" s="19" t="s">
        <v>3497</v>
      </c>
      <c r="C2471" s="20" t="n">
        <f aca="false">ROUND(5.85/FX,2)</f>
        <v>0.81</v>
      </c>
      <c r="D2471" s="21" t="s">
        <v>2077</v>
      </c>
      <c r="E2471" s="21" t="s">
        <v>714</v>
      </c>
      <c r="F2471" s="21" t="s">
        <v>708</v>
      </c>
    </row>
    <row r="2472" customFormat="false" ht="15" hidden="false" customHeight="false" outlineLevel="0" collapsed="false">
      <c r="B2472" s="19" t="s">
        <v>3498</v>
      </c>
      <c r="C2472" s="20" t="n">
        <f aca="false">ROUND(1.3/FX,2)</f>
        <v>0.18</v>
      </c>
      <c r="D2472" s="21" t="s">
        <v>2077</v>
      </c>
      <c r="E2472" s="21" t="s">
        <v>841</v>
      </c>
      <c r="F2472" s="21" t="s">
        <v>708</v>
      </c>
    </row>
    <row r="2473" customFormat="false" ht="15" hidden="false" customHeight="false" outlineLevel="0" collapsed="false">
      <c r="B2473" s="19" t="s">
        <v>3499</v>
      </c>
      <c r="C2473" s="20" t="n">
        <f aca="false">ROUND(1.3/FX,2)</f>
        <v>0.18</v>
      </c>
      <c r="D2473" s="21" t="s">
        <v>2077</v>
      </c>
      <c r="E2473" s="21" t="s">
        <v>789</v>
      </c>
      <c r="F2473" s="21" t="s">
        <v>708</v>
      </c>
    </row>
    <row r="2474" customFormat="false" ht="15" hidden="false" customHeight="false" outlineLevel="0" collapsed="false">
      <c r="B2474" s="19" t="s">
        <v>3500</v>
      </c>
      <c r="C2474" s="20" t="n">
        <f aca="false">ROUND(1.3/FX,2)</f>
        <v>0.18</v>
      </c>
      <c r="D2474" s="21" t="s">
        <v>2077</v>
      </c>
      <c r="E2474" s="21" t="s">
        <v>716</v>
      </c>
      <c r="F2474" s="21" t="s">
        <v>708</v>
      </c>
    </row>
    <row r="2475" customFormat="false" ht="15" hidden="false" customHeight="false" outlineLevel="0" collapsed="false">
      <c r="B2475" s="19" t="s">
        <v>3501</v>
      </c>
      <c r="C2475" s="20" t="n">
        <f aca="false">ROUND(1.3/FX,2)</f>
        <v>0.18</v>
      </c>
      <c r="D2475" s="21" t="s">
        <v>2077</v>
      </c>
      <c r="E2475" s="21" t="s">
        <v>847</v>
      </c>
      <c r="F2475" s="21" t="s">
        <v>708</v>
      </c>
    </row>
    <row r="2476" customFormat="false" ht="15" hidden="false" customHeight="false" outlineLevel="0" collapsed="false">
      <c r="B2476" s="19" t="s">
        <v>3502</v>
      </c>
      <c r="C2476" s="20" t="n">
        <f aca="false">ROUND(2.34/FX,2)</f>
        <v>0.33</v>
      </c>
      <c r="D2476" s="21" t="s">
        <v>2077</v>
      </c>
      <c r="E2476" s="21" t="s">
        <v>719</v>
      </c>
      <c r="F2476" s="21" t="s">
        <v>708</v>
      </c>
    </row>
    <row r="2477" customFormat="false" ht="15" hidden="false" customHeight="false" outlineLevel="0" collapsed="false">
      <c r="B2477" s="19" t="s">
        <v>3503</v>
      </c>
      <c r="C2477" s="20" t="n">
        <f aca="false">ROUND(2.99/FX,2)</f>
        <v>0.42</v>
      </c>
      <c r="D2477" s="21" t="s">
        <v>3504</v>
      </c>
      <c r="E2477" s="21" t="s">
        <v>707</v>
      </c>
      <c r="F2477" s="21" t="s">
        <v>708</v>
      </c>
    </row>
    <row r="2478" customFormat="false" ht="15" hidden="false" customHeight="false" outlineLevel="0" collapsed="false">
      <c r="B2478" s="19" t="s">
        <v>3505</v>
      </c>
      <c r="C2478" s="20" t="n">
        <f aca="false">ROUND(2.21/FX,2)</f>
        <v>0.31</v>
      </c>
      <c r="D2478" s="21" t="s">
        <v>3504</v>
      </c>
      <c r="E2478" s="21" t="s">
        <v>714</v>
      </c>
      <c r="F2478" s="21" t="s">
        <v>708</v>
      </c>
    </row>
    <row r="2479" customFormat="false" ht="15" hidden="false" customHeight="false" outlineLevel="0" collapsed="false">
      <c r="B2479" s="19" t="s">
        <v>3506</v>
      </c>
      <c r="C2479" s="20" t="n">
        <f aca="false">ROUND(1.3/FX,2)</f>
        <v>0.18</v>
      </c>
      <c r="D2479" s="21" t="s">
        <v>3504</v>
      </c>
      <c r="E2479" s="21" t="s">
        <v>841</v>
      </c>
      <c r="F2479" s="21" t="s">
        <v>708</v>
      </c>
    </row>
    <row r="2480" customFormat="false" ht="15" hidden="false" customHeight="false" outlineLevel="0" collapsed="false">
      <c r="B2480" s="19" t="s">
        <v>3507</v>
      </c>
      <c r="C2480" s="20" t="n">
        <f aca="false">ROUND(1.3/FX,2)</f>
        <v>0.18</v>
      </c>
      <c r="D2480" s="21" t="s">
        <v>3504</v>
      </c>
      <c r="E2480" s="21" t="s">
        <v>789</v>
      </c>
      <c r="F2480" s="21" t="s">
        <v>708</v>
      </c>
    </row>
    <row r="2481" customFormat="false" ht="15" hidden="false" customHeight="false" outlineLevel="0" collapsed="false">
      <c r="B2481" s="19" t="s">
        <v>3508</v>
      </c>
      <c r="C2481" s="20" t="n">
        <f aca="false">ROUND(1.3/FX,2)</f>
        <v>0.18</v>
      </c>
      <c r="D2481" s="21" t="s">
        <v>3504</v>
      </c>
      <c r="E2481" s="21" t="s">
        <v>716</v>
      </c>
      <c r="F2481" s="21" t="s">
        <v>708</v>
      </c>
    </row>
    <row r="2482" customFormat="false" ht="15" hidden="false" customHeight="false" outlineLevel="0" collapsed="false">
      <c r="B2482" s="19" t="s">
        <v>3509</v>
      </c>
      <c r="C2482" s="20" t="n">
        <f aca="false">ROUND(1.3/FX,2)</f>
        <v>0.18</v>
      </c>
      <c r="D2482" s="21" t="s">
        <v>3504</v>
      </c>
      <c r="E2482" s="21" t="s">
        <v>847</v>
      </c>
      <c r="F2482" s="21" t="s">
        <v>708</v>
      </c>
    </row>
    <row r="2483" customFormat="false" ht="15" hidden="false" customHeight="false" outlineLevel="0" collapsed="false">
      <c r="B2483" s="19" t="s">
        <v>3510</v>
      </c>
      <c r="C2483" s="20" t="n">
        <f aca="false">ROUND(2.34/FX,2)</f>
        <v>0.33</v>
      </c>
      <c r="D2483" s="21" t="s">
        <v>3504</v>
      </c>
      <c r="E2483" s="21" t="s">
        <v>719</v>
      </c>
      <c r="F2483" s="21" t="s">
        <v>708</v>
      </c>
    </row>
    <row r="2484" customFormat="false" ht="15" hidden="false" customHeight="false" outlineLevel="0" collapsed="false">
      <c r="B2484" s="19" t="s">
        <v>3511</v>
      </c>
      <c r="C2484" s="20" t="n">
        <f aca="false">ROUND(3.12/FX,2)</f>
        <v>0.43</v>
      </c>
      <c r="D2484" s="21" t="s">
        <v>3512</v>
      </c>
      <c r="E2484" s="21" t="s">
        <v>707</v>
      </c>
      <c r="F2484" s="21" t="s">
        <v>708</v>
      </c>
    </row>
    <row r="2485" customFormat="false" ht="15" hidden="false" customHeight="false" outlineLevel="0" collapsed="false">
      <c r="B2485" s="19" t="s">
        <v>3513</v>
      </c>
      <c r="C2485" s="20" t="n">
        <f aca="false">ROUND(2.34/FX,2)</f>
        <v>0.33</v>
      </c>
      <c r="D2485" s="21" t="s">
        <v>3512</v>
      </c>
      <c r="E2485" s="21" t="s">
        <v>714</v>
      </c>
      <c r="F2485" s="21" t="s">
        <v>708</v>
      </c>
    </row>
    <row r="2486" customFormat="false" ht="15" hidden="false" customHeight="false" outlineLevel="0" collapsed="false">
      <c r="B2486" s="19" t="s">
        <v>3514</v>
      </c>
      <c r="C2486" s="20" t="n">
        <f aca="false">ROUND(1.3/FX,2)</f>
        <v>0.18</v>
      </c>
      <c r="D2486" s="21" t="s">
        <v>3512</v>
      </c>
      <c r="E2486" s="21" t="s">
        <v>841</v>
      </c>
      <c r="F2486" s="21" t="s">
        <v>708</v>
      </c>
    </row>
    <row r="2487" customFormat="false" ht="15" hidden="false" customHeight="false" outlineLevel="0" collapsed="false">
      <c r="B2487" s="19" t="s">
        <v>3515</v>
      </c>
      <c r="C2487" s="20" t="n">
        <f aca="false">ROUND(1.3/FX,2)</f>
        <v>0.18</v>
      </c>
      <c r="D2487" s="21" t="s">
        <v>3512</v>
      </c>
      <c r="E2487" s="21" t="s">
        <v>789</v>
      </c>
      <c r="F2487" s="21" t="s">
        <v>708</v>
      </c>
    </row>
    <row r="2488" customFormat="false" ht="15" hidden="false" customHeight="false" outlineLevel="0" collapsed="false">
      <c r="B2488" s="19" t="s">
        <v>3516</v>
      </c>
      <c r="C2488" s="20" t="n">
        <f aca="false">ROUND(1.3/FX,2)</f>
        <v>0.18</v>
      </c>
      <c r="D2488" s="21" t="s">
        <v>3512</v>
      </c>
      <c r="E2488" s="21" t="s">
        <v>716</v>
      </c>
      <c r="F2488" s="21" t="s">
        <v>708</v>
      </c>
    </row>
    <row r="2489" customFormat="false" ht="15" hidden="false" customHeight="false" outlineLevel="0" collapsed="false">
      <c r="B2489" s="19" t="s">
        <v>3517</v>
      </c>
      <c r="C2489" s="20" t="n">
        <f aca="false">ROUND(1.3/FX,2)</f>
        <v>0.18</v>
      </c>
      <c r="D2489" s="21" t="s">
        <v>3512</v>
      </c>
      <c r="E2489" s="21" t="s">
        <v>847</v>
      </c>
      <c r="F2489" s="21" t="s">
        <v>708</v>
      </c>
    </row>
    <row r="2490" customFormat="false" ht="15" hidden="false" customHeight="false" outlineLevel="0" collapsed="false">
      <c r="B2490" s="19" t="s">
        <v>3518</v>
      </c>
      <c r="C2490" s="20" t="n">
        <f aca="false">ROUND(2.34/FX,2)</f>
        <v>0.33</v>
      </c>
      <c r="D2490" s="21" t="s">
        <v>3512</v>
      </c>
      <c r="E2490" s="21" t="s">
        <v>719</v>
      </c>
      <c r="F2490" s="21" t="s">
        <v>708</v>
      </c>
    </row>
    <row r="2491" customFormat="false" ht="15" hidden="false" customHeight="false" outlineLevel="0" collapsed="false">
      <c r="B2491" s="19" t="s">
        <v>3519</v>
      </c>
      <c r="C2491" s="20" t="n">
        <f aca="false">ROUND(2.95/FX,2)</f>
        <v>0.41</v>
      </c>
      <c r="D2491" s="21" t="s">
        <v>3520</v>
      </c>
      <c r="E2491" s="21" t="s">
        <v>707</v>
      </c>
      <c r="F2491" s="21" t="s">
        <v>708</v>
      </c>
    </row>
    <row r="2492" customFormat="false" ht="15" hidden="false" customHeight="false" outlineLevel="0" collapsed="false">
      <c r="B2492" s="19" t="s">
        <v>3521</v>
      </c>
      <c r="C2492" s="20" t="n">
        <f aca="false">ROUND(3.25/FX,2)</f>
        <v>0.45</v>
      </c>
      <c r="D2492" s="21" t="s">
        <v>3520</v>
      </c>
      <c r="E2492" s="21" t="s">
        <v>714</v>
      </c>
      <c r="F2492" s="21" t="s">
        <v>708</v>
      </c>
    </row>
    <row r="2493" customFormat="false" ht="15" hidden="false" customHeight="false" outlineLevel="0" collapsed="false">
      <c r="B2493" s="19" t="s">
        <v>3522</v>
      </c>
      <c r="C2493" s="20" t="n">
        <f aca="false">ROUND(1.3/FX,2)</f>
        <v>0.18</v>
      </c>
      <c r="D2493" s="21" t="s">
        <v>3520</v>
      </c>
      <c r="E2493" s="21" t="s">
        <v>841</v>
      </c>
      <c r="F2493" s="21" t="s">
        <v>708</v>
      </c>
    </row>
    <row r="2494" customFormat="false" ht="15" hidden="false" customHeight="false" outlineLevel="0" collapsed="false">
      <c r="B2494" s="19" t="s">
        <v>3523</v>
      </c>
      <c r="C2494" s="20" t="n">
        <f aca="false">ROUND(1.3/FX,2)</f>
        <v>0.18</v>
      </c>
      <c r="D2494" s="21" t="s">
        <v>3520</v>
      </c>
      <c r="E2494" s="21" t="s">
        <v>789</v>
      </c>
      <c r="F2494" s="21" t="s">
        <v>708</v>
      </c>
    </row>
    <row r="2495" customFormat="false" ht="15" hidden="false" customHeight="false" outlineLevel="0" collapsed="false">
      <c r="B2495" s="19" t="s">
        <v>3524</v>
      </c>
      <c r="C2495" s="20" t="n">
        <f aca="false">ROUND(1.3/FX,2)</f>
        <v>0.18</v>
      </c>
      <c r="D2495" s="21" t="s">
        <v>3520</v>
      </c>
      <c r="E2495" s="21" t="s">
        <v>716</v>
      </c>
      <c r="F2495" s="21" t="s">
        <v>708</v>
      </c>
    </row>
    <row r="2496" customFormat="false" ht="15" hidden="false" customHeight="false" outlineLevel="0" collapsed="false">
      <c r="B2496" s="19" t="s">
        <v>3525</v>
      </c>
      <c r="C2496" s="20" t="n">
        <f aca="false">ROUND(1.3/FX,2)</f>
        <v>0.18</v>
      </c>
      <c r="D2496" s="21" t="s">
        <v>3520</v>
      </c>
      <c r="E2496" s="21" t="s">
        <v>847</v>
      </c>
      <c r="F2496" s="21" t="s">
        <v>708</v>
      </c>
    </row>
    <row r="2497" customFormat="false" ht="15" hidden="false" customHeight="false" outlineLevel="0" collapsed="false">
      <c r="B2497" s="19" t="s">
        <v>3526</v>
      </c>
      <c r="C2497" s="20" t="n">
        <f aca="false">ROUND(2.34/FX,2)</f>
        <v>0.33</v>
      </c>
      <c r="D2497" s="21" t="s">
        <v>3520</v>
      </c>
      <c r="E2497" s="21" t="s">
        <v>719</v>
      </c>
      <c r="F2497" s="21" t="s">
        <v>708</v>
      </c>
    </row>
    <row r="2498" customFormat="false" ht="15" hidden="false" customHeight="false" outlineLevel="0" collapsed="false">
      <c r="B2498" s="19" t="s">
        <v>3527</v>
      </c>
      <c r="C2498" s="20" t="n">
        <f aca="false">ROUND(3.25/FX,2)</f>
        <v>0.45</v>
      </c>
      <c r="D2498" s="21" t="s">
        <v>2092</v>
      </c>
      <c r="E2498" s="21" t="s">
        <v>707</v>
      </c>
      <c r="F2498" s="21" t="s">
        <v>708</v>
      </c>
    </row>
    <row r="2499" customFormat="false" ht="15" hidden="false" customHeight="false" outlineLevel="0" collapsed="false">
      <c r="B2499" s="19" t="s">
        <v>3528</v>
      </c>
      <c r="C2499" s="20" t="n">
        <f aca="false">ROUND(1.3/FX,2)</f>
        <v>0.18</v>
      </c>
      <c r="D2499" s="21" t="s">
        <v>2092</v>
      </c>
      <c r="E2499" s="21" t="s">
        <v>714</v>
      </c>
      <c r="F2499" s="21" t="s">
        <v>708</v>
      </c>
    </row>
    <row r="2500" customFormat="false" ht="15" hidden="false" customHeight="false" outlineLevel="0" collapsed="false">
      <c r="B2500" s="19" t="s">
        <v>3529</v>
      </c>
      <c r="C2500" s="20" t="n">
        <f aca="false">ROUND(1.3/FX,2)</f>
        <v>0.18</v>
      </c>
      <c r="D2500" s="21" t="s">
        <v>2092</v>
      </c>
      <c r="E2500" s="21" t="s">
        <v>841</v>
      </c>
      <c r="F2500" s="21" t="s">
        <v>708</v>
      </c>
    </row>
    <row r="2501" customFormat="false" ht="15" hidden="false" customHeight="false" outlineLevel="0" collapsed="false">
      <c r="B2501" s="19" t="s">
        <v>3530</v>
      </c>
      <c r="C2501" s="20" t="n">
        <f aca="false">ROUND(1.43/FX,2)</f>
        <v>0.2</v>
      </c>
      <c r="D2501" s="21" t="s">
        <v>2092</v>
      </c>
      <c r="E2501" s="21" t="s">
        <v>789</v>
      </c>
      <c r="F2501" s="21" t="s">
        <v>708</v>
      </c>
    </row>
    <row r="2502" customFormat="false" ht="15" hidden="false" customHeight="false" outlineLevel="0" collapsed="false">
      <c r="B2502" s="19" t="s">
        <v>3531</v>
      </c>
      <c r="C2502" s="20" t="n">
        <f aca="false">ROUND(1.3/FX,2)</f>
        <v>0.18</v>
      </c>
      <c r="D2502" s="21" t="s">
        <v>2092</v>
      </c>
      <c r="E2502" s="21" t="s">
        <v>716</v>
      </c>
      <c r="F2502" s="21" t="s">
        <v>708</v>
      </c>
    </row>
    <row r="2503" customFormat="false" ht="15" hidden="false" customHeight="false" outlineLevel="0" collapsed="false">
      <c r="B2503" s="19" t="s">
        <v>3532</v>
      </c>
      <c r="C2503" s="20" t="n">
        <f aca="false">ROUND(1.3/FX,2)</f>
        <v>0.18</v>
      </c>
      <c r="D2503" s="21" t="s">
        <v>2092</v>
      </c>
      <c r="E2503" s="21" t="s">
        <v>847</v>
      </c>
      <c r="F2503" s="21" t="s">
        <v>708</v>
      </c>
    </row>
    <row r="2504" customFormat="false" ht="15" hidden="false" customHeight="false" outlineLevel="0" collapsed="false">
      <c r="B2504" s="19" t="s">
        <v>3533</v>
      </c>
      <c r="C2504" s="20" t="n">
        <f aca="false">ROUND(1.3/FX,2)</f>
        <v>0.18</v>
      </c>
      <c r="D2504" s="21" t="s">
        <v>2092</v>
      </c>
      <c r="E2504" s="21" t="s">
        <v>719</v>
      </c>
      <c r="F2504" s="21" t="s">
        <v>708</v>
      </c>
    </row>
    <row r="2505" customFormat="false" ht="15" hidden="false" customHeight="false" outlineLevel="0" collapsed="false">
      <c r="B2505" s="19" t="s">
        <v>3534</v>
      </c>
      <c r="C2505" s="20" t="n">
        <f aca="false">ROUND(2.99/FX,2)</f>
        <v>0.42</v>
      </c>
      <c r="D2505" s="21" t="s">
        <v>3535</v>
      </c>
      <c r="E2505" s="21" t="s">
        <v>707</v>
      </c>
      <c r="F2505" s="21" t="s">
        <v>708</v>
      </c>
    </row>
    <row r="2506" customFormat="false" ht="15" hidden="false" customHeight="false" outlineLevel="0" collapsed="false">
      <c r="B2506" s="19" t="s">
        <v>3536</v>
      </c>
      <c r="C2506" s="20" t="n">
        <f aca="false">ROUND(1.3/FX,2)</f>
        <v>0.18</v>
      </c>
      <c r="D2506" s="21" t="s">
        <v>3535</v>
      </c>
      <c r="E2506" s="21" t="s">
        <v>714</v>
      </c>
      <c r="F2506" s="21" t="s">
        <v>708</v>
      </c>
    </row>
    <row r="2507" customFormat="false" ht="15" hidden="false" customHeight="false" outlineLevel="0" collapsed="false">
      <c r="B2507" s="19" t="s">
        <v>3537</v>
      </c>
      <c r="C2507" s="20" t="n">
        <f aca="false">ROUND(1.3/FX,2)</f>
        <v>0.18</v>
      </c>
      <c r="D2507" s="21" t="s">
        <v>3535</v>
      </c>
      <c r="E2507" s="21" t="s">
        <v>841</v>
      </c>
      <c r="F2507" s="21" t="s">
        <v>708</v>
      </c>
    </row>
    <row r="2508" customFormat="false" ht="15" hidden="false" customHeight="false" outlineLevel="0" collapsed="false">
      <c r="B2508" s="19" t="s">
        <v>3538</v>
      </c>
      <c r="C2508" s="20" t="n">
        <f aca="false">ROUND(1.3/FX,2)</f>
        <v>0.18</v>
      </c>
      <c r="D2508" s="21" t="s">
        <v>3535</v>
      </c>
      <c r="E2508" s="21" t="s">
        <v>789</v>
      </c>
      <c r="F2508" s="21" t="s">
        <v>708</v>
      </c>
    </row>
    <row r="2509" customFormat="false" ht="15" hidden="false" customHeight="false" outlineLevel="0" collapsed="false">
      <c r="B2509" s="19" t="s">
        <v>3539</v>
      </c>
      <c r="C2509" s="20" t="n">
        <f aca="false">ROUND(1.3/FX,2)</f>
        <v>0.18</v>
      </c>
      <c r="D2509" s="21" t="s">
        <v>3535</v>
      </c>
      <c r="E2509" s="21" t="s">
        <v>716</v>
      </c>
      <c r="F2509" s="21" t="s">
        <v>708</v>
      </c>
    </row>
    <row r="2510" customFormat="false" ht="15" hidden="false" customHeight="false" outlineLevel="0" collapsed="false">
      <c r="B2510" s="19" t="s">
        <v>3540</v>
      </c>
      <c r="C2510" s="20" t="n">
        <f aca="false">ROUND(1.3/FX,2)</f>
        <v>0.18</v>
      </c>
      <c r="D2510" s="21" t="s">
        <v>3535</v>
      </c>
      <c r="E2510" s="21" t="s">
        <v>847</v>
      </c>
      <c r="F2510" s="21" t="s">
        <v>708</v>
      </c>
    </row>
    <row r="2511" customFormat="false" ht="15" hidden="false" customHeight="false" outlineLevel="0" collapsed="false">
      <c r="B2511" s="19" t="s">
        <v>3541</v>
      </c>
      <c r="C2511" s="20" t="n">
        <f aca="false">ROUND(1.3/FX,2)</f>
        <v>0.18</v>
      </c>
      <c r="D2511" s="21" t="s">
        <v>3535</v>
      </c>
      <c r="E2511" s="21" t="s">
        <v>719</v>
      </c>
      <c r="F2511" s="21" t="s">
        <v>708</v>
      </c>
    </row>
    <row r="2512" customFormat="false" ht="15" hidden="false" customHeight="false" outlineLevel="0" collapsed="false">
      <c r="B2512" s="19" t="s">
        <v>3542</v>
      </c>
      <c r="C2512" s="20" t="n">
        <f aca="false">ROUND(2.99/FX,2)</f>
        <v>0.42</v>
      </c>
      <c r="D2512" s="21" t="s">
        <v>3543</v>
      </c>
      <c r="E2512" s="21" t="s">
        <v>707</v>
      </c>
      <c r="F2512" s="21" t="s">
        <v>708</v>
      </c>
    </row>
    <row r="2513" customFormat="false" ht="15" hidden="false" customHeight="false" outlineLevel="0" collapsed="false">
      <c r="B2513" s="19" t="s">
        <v>3544</v>
      </c>
      <c r="C2513" s="20" t="n">
        <f aca="false">ROUND(1.3/FX,2)</f>
        <v>0.18</v>
      </c>
      <c r="D2513" s="21" t="s">
        <v>3543</v>
      </c>
      <c r="E2513" s="21" t="s">
        <v>714</v>
      </c>
      <c r="F2513" s="21" t="s">
        <v>708</v>
      </c>
    </row>
    <row r="2514" customFormat="false" ht="15" hidden="false" customHeight="false" outlineLevel="0" collapsed="false">
      <c r="B2514" s="19" t="s">
        <v>3545</v>
      </c>
      <c r="C2514" s="20" t="n">
        <f aca="false">ROUND(1.3/FX,2)</f>
        <v>0.18</v>
      </c>
      <c r="D2514" s="21" t="s">
        <v>3543</v>
      </c>
      <c r="E2514" s="21" t="s">
        <v>841</v>
      </c>
      <c r="F2514" s="21" t="s">
        <v>708</v>
      </c>
    </row>
    <row r="2515" customFormat="false" ht="15" hidden="false" customHeight="false" outlineLevel="0" collapsed="false">
      <c r="B2515" s="19" t="s">
        <v>3546</v>
      </c>
      <c r="C2515" s="20" t="n">
        <f aca="false">ROUND(1.3/FX,2)</f>
        <v>0.18</v>
      </c>
      <c r="D2515" s="21" t="s">
        <v>3543</v>
      </c>
      <c r="E2515" s="21" t="s">
        <v>789</v>
      </c>
      <c r="F2515" s="21" t="s">
        <v>708</v>
      </c>
    </row>
    <row r="2516" customFormat="false" ht="15" hidden="false" customHeight="false" outlineLevel="0" collapsed="false">
      <c r="B2516" s="19" t="s">
        <v>3547</v>
      </c>
      <c r="C2516" s="20" t="n">
        <f aca="false">ROUND(1.3/FX,2)</f>
        <v>0.18</v>
      </c>
      <c r="D2516" s="21" t="s">
        <v>3543</v>
      </c>
      <c r="E2516" s="21" t="s">
        <v>716</v>
      </c>
      <c r="F2516" s="21" t="s">
        <v>708</v>
      </c>
    </row>
    <row r="2517" customFormat="false" ht="15" hidden="false" customHeight="false" outlineLevel="0" collapsed="false">
      <c r="B2517" s="19" t="s">
        <v>3548</v>
      </c>
      <c r="C2517" s="20" t="n">
        <f aca="false">ROUND(1.3/FX,2)</f>
        <v>0.18</v>
      </c>
      <c r="D2517" s="21" t="s">
        <v>3543</v>
      </c>
      <c r="E2517" s="21" t="s">
        <v>847</v>
      </c>
      <c r="F2517" s="21" t="s">
        <v>708</v>
      </c>
    </row>
    <row r="2518" customFormat="false" ht="15" hidden="false" customHeight="false" outlineLevel="0" collapsed="false">
      <c r="B2518" s="19" t="s">
        <v>3549</v>
      </c>
      <c r="C2518" s="20" t="n">
        <f aca="false">ROUND(1.3/FX,2)</f>
        <v>0.18</v>
      </c>
      <c r="D2518" s="21" t="s">
        <v>3543</v>
      </c>
      <c r="E2518" s="21" t="s">
        <v>719</v>
      </c>
      <c r="F2518" s="21" t="s">
        <v>708</v>
      </c>
    </row>
    <row r="2519" customFormat="false" ht="15" hidden="false" customHeight="false" outlineLevel="0" collapsed="false">
      <c r="B2519" s="19" t="s">
        <v>3550</v>
      </c>
      <c r="C2519" s="20" t="n">
        <f aca="false">ROUND(2.96/FX,2)</f>
        <v>0.41</v>
      </c>
      <c r="D2519" s="21" t="s">
        <v>3551</v>
      </c>
      <c r="E2519" s="21" t="s">
        <v>707</v>
      </c>
      <c r="F2519" s="21" t="s">
        <v>708</v>
      </c>
    </row>
    <row r="2520" customFormat="false" ht="15" hidden="false" customHeight="false" outlineLevel="0" collapsed="false">
      <c r="B2520" s="19" t="s">
        <v>3552</v>
      </c>
      <c r="C2520" s="20" t="n">
        <f aca="false">ROUND(1.3/FX,2)</f>
        <v>0.18</v>
      </c>
      <c r="D2520" s="21" t="s">
        <v>3551</v>
      </c>
      <c r="E2520" s="21" t="s">
        <v>714</v>
      </c>
      <c r="F2520" s="21" t="s">
        <v>708</v>
      </c>
    </row>
    <row r="2521" customFormat="false" ht="15" hidden="false" customHeight="false" outlineLevel="0" collapsed="false">
      <c r="B2521" s="19" t="s">
        <v>3553</v>
      </c>
      <c r="C2521" s="20" t="n">
        <f aca="false">ROUND(1.3/FX,2)</f>
        <v>0.18</v>
      </c>
      <c r="D2521" s="21" t="s">
        <v>3551</v>
      </c>
      <c r="E2521" s="21" t="s">
        <v>841</v>
      </c>
      <c r="F2521" s="21" t="s">
        <v>708</v>
      </c>
    </row>
    <row r="2522" customFormat="false" ht="15" hidden="false" customHeight="false" outlineLevel="0" collapsed="false">
      <c r="B2522" s="19" t="s">
        <v>3554</v>
      </c>
      <c r="C2522" s="20" t="n">
        <f aca="false">ROUND(1.3/FX,2)</f>
        <v>0.18</v>
      </c>
      <c r="D2522" s="21" t="s">
        <v>3551</v>
      </c>
      <c r="E2522" s="21" t="s">
        <v>789</v>
      </c>
      <c r="F2522" s="21" t="s">
        <v>708</v>
      </c>
    </row>
    <row r="2523" customFormat="false" ht="15" hidden="false" customHeight="false" outlineLevel="0" collapsed="false">
      <c r="B2523" s="19" t="s">
        <v>3555</v>
      </c>
      <c r="C2523" s="20" t="n">
        <f aca="false">ROUND(1.3/FX,2)</f>
        <v>0.18</v>
      </c>
      <c r="D2523" s="21" t="s">
        <v>3551</v>
      </c>
      <c r="E2523" s="21" t="s">
        <v>716</v>
      </c>
      <c r="F2523" s="21" t="s">
        <v>708</v>
      </c>
    </row>
    <row r="2524" customFormat="false" ht="15" hidden="false" customHeight="false" outlineLevel="0" collapsed="false">
      <c r="B2524" s="19" t="s">
        <v>3556</v>
      </c>
      <c r="C2524" s="20" t="n">
        <f aca="false">ROUND(1.3/FX,2)</f>
        <v>0.18</v>
      </c>
      <c r="D2524" s="21" t="s">
        <v>3551</v>
      </c>
      <c r="E2524" s="21" t="s">
        <v>847</v>
      </c>
      <c r="F2524" s="21" t="s">
        <v>708</v>
      </c>
    </row>
    <row r="2525" customFormat="false" ht="15" hidden="false" customHeight="false" outlineLevel="0" collapsed="false">
      <c r="B2525" s="19" t="s">
        <v>3557</v>
      </c>
      <c r="C2525" s="20" t="n">
        <f aca="false">ROUND(1.3/FX,2)</f>
        <v>0.18</v>
      </c>
      <c r="D2525" s="21" t="s">
        <v>3551</v>
      </c>
      <c r="E2525" s="21" t="s">
        <v>719</v>
      </c>
      <c r="F2525" s="21" t="s">
        <v>708</v>
      </c>
    </row>
    <row r="2526" customFormat="false" ht="15" hidden="false" customHeight="false" outlineLevel="0" collapsed="false">
      <c r="B2526" s="19" t="s">
        <v>3558</v>
      </c>
      <c r="C2526" s="20" t="n">
        <f aca="false">ROUND(3.12/FX,2)</f>
        <v>0.43</v>
      </c>
      <c r="D2526" s="21" t="s">
        <v>2112</v>
      </c>
      <c r="E2526" s="21" t="s">
        <v>707</v>
      </c>
      <c r="F2526" s="21" t="s">
        <v>708</v>
      </c>
    </row>
    <row r="2527" customFormat="false" ht="15" hidden="false" customHeight="false" outlineLevel="0" collapsed="false">
      <c r="B2527" s="19" t="s">
        <v>3559</v>
      </c>
      <c r="C2527" s="20" t="n">
        <f aca="false">ROUND(1.3/FX,2)</f>
        <v>0.18</v>
      </c>
      <c r="D2527" s="21" t="s">
        <v>2112</v>
      </c>
      <c r="E2527" s="21" t="s">
        <v>714</v>
      </c>
      <c r="F2527" s="21" t="s">
        <v>708</v>
      </c>
    </row>
    <row r="2528" customFormat="false" ht="15" hidden="false" customHeight="false" outlineLevel="0" collapsed="false">
      <c r="B2528" s="19" t="s">
        <v>3560</v>
      </c>
      <c r="C2528" s="20" t="n">
        <f aca="false">ROUND(1.3/FX,2)</f>
        <v>0.18</v>
      </c>
      <c r="D2528" s="21" t="s">
        <v>2112</v>
      </c>
      <c r="E2528" s="21" t="s">
        <v>841</v>
      </c>
      <c r="F2528" s="21" t="s">
        <v>708</v>
      </c>
    </row>
    <row r="2529" customFormat="false" ht="15" hidden="false" customHeight="false" outlineLevel="0" collapsed="false">
      <c r="B2529" s="19" t="s">
        <v>3561</v>
      </c>
      <c r="C2529" s="20" t="n">
        <f aca="false">ROUND(1.3/FX,2)</f>
        <v>0.18</v>
      </c>
      <c r="D2529" s="21" t="s">
        <v>2112</v>
      </c>
      <c r="E2529" s="21" t="s">
        <v>789</v>
      </c>
      <c r="F2529" s="21" t="s">
        <v>708</v>
      </c>
    </row>
    <row r="2530" customFormat="false" ht="15" hidden="false" customHeight="false" outlineLevel="0" collapsed="false">
      <c r="B2530" s="19" t="s">
        <v>3562</v>
      </c>
      <c r="C2530" s="20" t="n">
        <f aca="false">ROUND(1.3/FX,2)</f>
        <v>0.18</v>
      </c>
      <c r="D2530" s="21" t="s">
        <v>2112</v>
      </c>
      <c r="E2530" s="21" t="s">
        <v>716</v>
      </c>
      <c r="F2530" s="21" t="s">
        <v>708</v>
      </c>
    </row>
    <row r="2531" customFormat="false" ht="15" hidden="false" customHeight="false" outlineLevel="0" collapsed="false">
      <c r="B2531" s="19" t="s">
        <v>3563</v>
      </c>
      <c r="C2531" s="20" t="n">
        <f aca="false">ROUND(1.3/FX,2)</f>
        <v>0.18</v>
      </c>
      <c r="D2531" s="21" t="s">
        <v>2112</v>
      </c>
      <c r="E2531" s="21" t="s">
        <v>847</v>
      </c>
      <c r="F2531" s="21" t="s">
        <v>708</v>
      </c>
    </row>
    <row r="2532" customFormat="false" ht="15" hidden="false" customHeight="false" outlineLevel="0" collapsed="false">
      <c r="B2532" s="19" t="s">
        <v>3564</v>
      </c>
      <c r="C2532" s="20" t="n">
        <f aca="false">ROUND(1.3/FX,2)</f>
        <v>0.18</v>
      </c>
      <c r="D2532" s="21" t="s">
        <v>2112</v>
      </c>
      <c r="E2532" s="21" t="s">
        <v>719</v>
      </c>
      <c r="F2532" s="21" t="s">
        <v>708</v>
      </c>
    </row>
    <row r="2533" customFormat="false" ht="15" hidden="false" customHeight="false" outlineLevel="0" collapsed="false">
      <c r="B2533" s="19" t="s">
        <v>3565</v>
      </c>
      <c r="C2533" s="20" t="n">
        <f aca="false">ROUND(3.12/FX,2)</f>
        <v>0.43</v>
      </c>
      <c r="D2533" s="21" t="s">
        <v>3566</v>
      </c>
      <c r="E2533" s="21" t="s">
        <v>707</v>
      </c>
      <c r="F2533" s="21" t="s">
        <v>708</v>
      </c>
    </row>
    <row r="2534" customFormat="false" ht="15" hidden="false" customHeight="false" outlineLevel="0" collapsed="false">
      <c r="B2534" s="19" t="s">
        <v>3567</v>
      </c>
      <c r="C2534" s="20" t="n">
        <f aca="false">ROUND(1.3/FX,2)</f>
        <v>0.18</v>
      </c>
      <c r="D2534" s="21" t="s">
        <v>3566</v>
      </c>
      <c r="E2534" s="21" t="s">
        <v>714</v>
      </c>
      <c r="F2534" s="21" t="s">
        <v>708</v>
      </c>
    </row>
    <row r="2535" customFormat="false" ht="15" hidden="false" customHeight="false" outlineLevel="0" collapsed="false">
      <c r="B2535" s="19" t="s">
        <v>3568</v>
      </c>
      <c r="C2535" s="20" t="n">
        <f aca="false">ROUND(1.3/FX,2)</f>
        <v>0.18</v>
      </c>
      <c r="D2535" s="21" t="s">
        <v>3566</v>
      </c>
      <c r="E2535" s="21" t="s">
        <v>841</v>
      </c>
      <c r="F2535" s="21" t="s">
        <v>708</v>
      </c>
    </row>
    <row r="2536" customFormat="false" ht="15" hidden="false" customHeight="false" outlineLevel="0" collapsed="false">
      <c r="B2536" s="19" t="s">
        <v>3569</v>
      </c>
      <c r="C2536" s="20" t="n">
        <f aca="false">ROUND(1.3/FX,2)</f>
        <v>0.18</v>
      </c>
      <c r="D2536" s="21" t="s">
        <v>3566</v>
      </c>
      <c r="E2536" s="21" t="s">
        <v>789</v>
      </c>
      <c r="F2536" s="21" t="s">
        <v>708</v>
      </c>
    </row>
    <row r="2537" customFormat="false" ht="15" hidden="false" customHeight="false" outlineLevel="0" collapsed="false">
      <c r="B2537" s="19" t="s">
        <v>3570</v>
      </c>
      <c r="C2537" s="20" t="n">
        <f aca="false">ROUND(1.3/FX,2)</f>
        <v>0.18</v>
      </c>
      <c r="D2537" s="21" t="s">
        <v>3566</v>
      </c>
      <c r="E2537" s="21" t="s">
        <v>716</v>
      </c>
      <c r="F2537" s="21" t="s">
        <v>708</v>
      </c>
    </row>
    <row r="2538" customFormat="false" ht="15" hidden="false" customHeight="false" outlineLevel="0" collapsed="false">
      <c r="B2538" s="19" t="s">
        <v>3571</v>
      </c>
      <c r="C2538" s="20" t="n">
        <f aca="false">ROUND(1.3/FX,2)</f>
        <v>0.18</v>
      </c>
      <c r="D2538" s="21" t="s">
        <v>3566</v>
      </c>
      <c r="E2538" s="21" t="s">
        <v>847</v>
      </c>
      <c r="F2538" s="21" t="s">
        <v>708</v>
      </c>
    </row>
    <row r="2539" customFormat="false" ht="15" hidden="false" customHeight="false" outlineLevel="0" collapsed="false">
      <c r="B2539" s="19" t="s">
        <v>3572</v>
      </c>
      <c r="C2539" s="20" t="n">
        <f aca="false">ROUND(1.3/FX,2)</f>
        <v>0.18</v>
      </c>
      <c r="D2539" s="21" t="s">
        <v>3566</v>
      </c>
      <c r="E2539" s="21" t="s">
        <v>719</v>
      </c>
      <c r="F2539" s="21" t="s">
        <v>708</v>
      </c>
    </row>
    <row r="2540" customFormat="false" ht="15" hidden="false" customHeight="false" outlineLevel="0" collapsed="false">
      <c r="B2540" s="19" t="s">
        <v>3573</v>
      </c>
      <c r="C2540" s="20" t="n">
        <f aca="false">ROUND(3.12/FX,2)</f>
        <v>0.43</v>
      </c>
      <c r="D2540" s="21" t="s">
        <v>3574</v>
      </c>
      <c r="E2540" s="21" t="s">
        <v>707</v>
      </c>
      <c r="F2540" s="21" t="s">
        <v>708</v>
      </c>
    </row>
    <row r="2541" customFormat="false" ht="15" hidden="false" customHeight="false" outlineLevel="0" collapsed="false">
      <c r="B2541" s="19" t="s">
        <v>3575</v>
      </c>
      <c r="C2541" s="20" t="n">
        <f aca="false">ROUND(1.3/FX,2)</f>
        <v>0.18</v>
      </c>
      <c r="D2541" s="21" t="s">
        <v>3574</v>
      </c>
      <c r="E2541" s="21" t="s">
        <v>714</v>
      </c>
      <c r="F2541" s="21" t="s">
        <v>708</v>
      </c>
    </row>
    <row r="2542" customFormat="false" ht="15" hidden="false" customHeight="false" outlineLevel="0" collapsed="false">
      <c r="B2542" s="19" t="s">
        <v>3576</v>
      </c>
      <c r="C2542" s="20" t="n">
        <f aca="false">ROUND(1.3/FX,2)</f>
        <v>0.18</v>
      </c>
      <c r="D2542" s="21" t="s">
        <v>3574</v>
      </c>
      <c r="E2542" s="21" t="s">
        <v>841</v>
      </c>
      <c r="F2542" s="21" t="s">
        <v>708</v>
      </c>
    </row>
    <row r="2543" customFormat="false" ht="15" hidden="false" customHeight="false" outlineLevel="0" collapsed="false">
      <c r="B2543" s="19" t="s">
        <v>3577</v>
      </c>
      <c r="C2543" s="20" t="n">
        <f aca="false">ROUND(1.3/FX,2)</f>
        <v>0.18</v>
      </c>
      <c r="D2543" s="21" t="s">
        <v>3574</v>
      </c>
      <c r="E2543" s="21" t="s">
        <v>789</v>
      </c>
      <c r="F2543" s="21" t="s">
        <v>708</v>
      </c>
    </row>
    <row r="2544" customFormat="false" ht="15" hidden="false" customHeight="false" outlineLevel="0" collapsed="false">
      <c r="B2544" s="19" t="s">
        <v>3578</v>
      </c>
      <c r="C2544" s="20" t="n">
        <f aca="false">ROUND(1.3/FX,2)</f>
        <v>0.18</v>
      </c>
      <c r="D2544" s="21" t="s">
        <v>3574</v>
      </c>
      <c r="E2544" s="21" t="s">
        <v>716</v>
      </c>
      <c r="F2544" s="21" t="s">
        <v>708</v>
      </c>
    </row>
    <row r="2545" customFormat="false" ht="15" hidden="false" customHeight="false" outlineLevel="0" collapsed="false">
      <c r="B2545" s="19" t="s">
        <v>3579</v>
      </c>
      <c r="C2545" s="20" t="n">
        <f aca="false">ROUND(1.3/FX,2)</f>
        <v>0.18</v>
      </c>
      <c r="D2545" s="21" t="s">
        <v>3574</v>
      </c>
      <c r="E2545" s="21" t="s">
        <v>847</v>
      </c>
      <c r="F2545" s="21" t="s">
        <v>708</v>
      </c>
    </row>
    <row r="2546" customFormat="false" ht="15" hidden="false" customHeight="false" outlineLevel="0" collapsed="false">
      <c r="B2546" s="19" t="s">
        <v>3580</v>
      </c>
      <c r="C2546" s="20" t="n">
        <f aca="false">ROUND(1.3/FX,2)</f>
        <v>0.18</v>
      </c>
      <c r="D2546" s="21" t="s">
        <v>3574</v>
      </c>
      <c r="E2546" s="21" t="s">
        <v>719</v>
      </c>
      <c r="F2546" s="21" t="s">
        <v>708</v>
      </c>
    </row>
    <row r="2547" customFormat="false" ht="15" hidden="false" customHeight="false" outlineLevel="0" collapsed="false">
      <c r="B2547" s="19" t="s">
        <v>3581</v>
      </c>
      <c r="C2547" s="20" t="n">
        <f aca="false">ROUND(4.55/FX,2)</f>
        <v>0.63</v>
      </c>
      <c r="D2547" s="21" t="s">
        <v>3582</v>
      </c>
      <c r="E2547" s="21" t="s">
        <v>707</v>
      </c>
      <c r="F2547" s="21" t="s">
        <v>708</v>
      </c>
    </row>
    <row r="2548" customFormat="false" ht="15" hidden="false" customHeight="false" outlineLevel="0" collapsed="false">
      <c r="B2548" s="19" t="s">
        <v>3583</v>
      </c>
      <c r="C2548" s="20" t="n">
        <f aca="false">ROUND(1.3/FX,2)</f>
        <v>0.18</v>
      </c>
      <c r="D2548" s="21" t="s">
        <v>3582</v>
      </c>
      <c r="E2548" s="21" t="s">
        <v>714</v>
      </c>
      <c r="F2548" s="21" t="s">
        <v>708</v>
      </c>
    </row>
    <row r="2549" customFormat="false" ht="15" hidden="false" customHeight="false" outlineLevel="0" collapsed="false">
      <c r="B2549" s="19" t="s">
        <v>3584</v>
      </c>
      <c r="C2549" s="20" t="n">
        <f aca="false">ROUND(1.3/FX,2)</f>
        <v>0.18</v>
      </c>
      <c r="D2549" s="21" t="s">
        <v>3582</v>
      </c>
      <c r="E2549" s="21" t="s">
        <v>841</v>
      </c>
      <c r="F2549" s="21" t="s">
        <v>708</v>
      </c>
    </row>
    <row r="2550" customFormat="false" ht="15" hidden="false" customHeight="false" outlineLevel="0" collapsed="false">
      <c r="B2550" s="19" t="s">
        <v>3585</v>
      </c>
      <c r="C2550" s="20" t="n">
        <f aca="false">ROUND(1.3/FX,2)</f>
        <v>0.18</v>
      </c>
      <c r="D2550" s="21" t="s">
        <v>3582</v>
      </c>
      <c r="E2550" s="21" t="s">
        <v>789</v>
      </c>
      <c r="F2550" s="21" t="s">
        <v>708</v>
      </c>
    </row>
    <row r="2551" customFormat="false" ht="15" hidden="false" customHeight="false" outlineLevel="0" collapsed="false">
      <c r="B2551" s="19" t="s">
        <v>3586</v>
      </c>
      <c r="C2551" s="20" t="n">
        <f aca="false">ROUND(1.3/FX,2)</f>
        <v>0.18</v>
      </c>
      <c r="D2551" s="21" t="s">
        <v>3582</v>
      </c>
      <c r="E2551" s="21" t="s">
        <v>716</v>
      </c>
      <c r="F2551" s="21" t="s">
        <v>708</v>
      </c>
    </row>
    <row r="2552" customFormat="false" ht="15" hidden="false" customHeight="false" outlineLevel="0" collapsed="false">
      <c r="B2552" s="19" t="s">
        <v>3587</v>
      </c>
      <c r="C2552" s="20" t="n">
        <f aca="false">ROUND(1.3/FX,2)</f>
        <v>0.18</v>
      </c>
      <c r="D2552" s="21" t="s">
        <v>3582</v>
      </c>
      <c r="E2552" s="21" t="s">
        <v>847</v>
      </c>
      <c r="F2552" s="21" t="s">
        <v>708</v>
      </c>
    </row>
    <row r="2553" customFormat="false" ht="15" hidden="false" customHeight="false" outlineLevel="0" collapsed="false">
      <c r="B2553" s="19" t="s">
        <v>3588</v>
      </c>
      <c r="C2553" s="20" t="n">
        <f aca="false">ROUND(1.3/FX,2)</f>
        <v>0.18</v>
      </c>
      <c r="D2553" s="21" t="s">
        <v>3582</v>
      </c>
      <c r="E2553" s="21" t="s">
        <v>719</v>
      </c>
      <c r="F2553" s="21" t="s">
        <v>708</v>
      </c>
    </row>
    <row r="2554" customFormat="false" ht="15" hidden="false" customHeight="false" outlineLevel="0" collapsed="false">
      <c r="B2554" s="19" t="s">
        <v>3589</v>
      </c>
      <c r="C2554" s="20" t="n">
        <f aca="false">ROUND(4.29/FX,2)</f>
        <v>0.6</v>
      </c>
      <c r="D2554" s="21" t="s">
        <v>2132</v>
      </c>
      <c r="E2554" s="21" t="s">
        <v>707</v>
      </c>
      <c r="F2554" s="21" t="s">
        <v>708</v>
      </c>
    </row>
    <row r="2555" customFormat="false" ht="15" hidden="false" customHeight="false" outlineLevel="0" collapsed="false">
      <c r="B2555" s="19" t="s">
        <v>3590</v>
      </c>
      <c r="C2555" s="20" t="n">
        <f aca="false">ROUND(1.3/FX,2)</f>
        <v>0.18</v>
      </c>
      <c r="D2555" s="21" t="s">
        <v>2132</v>
      </c>
      <c r="E2555" s="21" t="s">
        <v>714</v>
      </c>
      <c r="F2555" s="21" t="s">
        <v>708</v>
      </c>
    </row>
    <row r="2556" customFormat="false" ht="15" hidden="false" customHeight="false" outlineLevel="0" collapsed="false">
      <c r="B2556" s="19" t="s">
        <v>3591</v>
      </c>
      <c r="C2556" s="20" t="n">
        <f aca="false">ROUND(1.3/FX,2)</f>
        <v>0.18</v>
      </c>
      <c r="D2556" s="21" t="s">
        <v>2132</v>
      </c>
      <c r="E2556" s="21" t="s">
        <v>841</v>
      </c>
      <c r="F2556" s="21" t="s">
        <v>708</v>
      </c>
    </row>
    <row r="2557" customFormat="false" ht="15" hidden="false" customHeight="false" outlineLevel="0" collapsed="false">
      <c r="B2557" s="19" t="s">
        <v>3592</v>
      </c>
      <c r="C2557" s="20" t="n">
        <f aca="false">ROUND(1.3/FX,2)</f>
        <v>0.18</v>
      </c>
      <c r="D2557" s="21" t="s">
        <v>2132</v>
      </c>
      <c r="E2557" s="21" t="s">
        <v>789</v>
      </c>
      <c r="F2557" s="21" t="s">
        <v>708</v>
      </c>
    </row>
    <row r="2558" customFormat="false" ht="15" hidden="false" customHeight="false" outlineLevel="0" collapsed="false">
      <c r="B2558" s="19" t="s">
        <v>3593</v>
      </c>
      <c r="C2558" s="20" t="n">
        <f aca="false">ROUND(1.3/FX,2)</f>
        <v>0.18</v>
      </c>
      <c r="D2558" s="21" t="s">
        <v>2132</v>
      </c>
      <c r="E2558" s="21" t="s">
        <v>716</v>
      </c>
      <c r="F2558" s="21" t="s">
        <v>708</v>
      </c>
    </row>
    <row r="2559" customFormat="false" ht="15" hidden="false" customHeight="false" outlineLevel="0" collapsed="false">
      <c r="B2559" s="19" t="s">
        <v>3594</v>
      </c>
      <c r="C2559" s="20" t="n">
        <f aca="false">ROUND(1.3/FX,2)</f>
        <v>0.18</v>
      </c>
      <c r="D2559" s="21" t="s">
        <v>2132</v>
      </c>
      <c r="E2559" s="21" t="s">
        <v>847</v>
      </c>
      <c r="F2559" s="21" t="s">
        <v>708</v>
      </c>
    </row>
    <row r="2560" customFormat="false" ht="15" hidden="false" customHeight="false" outlineLevel="0" collapsed="false">
      <c r="B2560" s="19" t="s">
        <v>3595</v>
      </c>
      <c r="C2560" s="20" t="n">
        <f aca="false">ROUND(1.3/FX,2)</f>
        <v>0.18</v>
      </c>
      <c r="D2560" s="21" t="s">
        <v>2132</v>
      </c>
      <c r="E2560" s="21" t="s">
        <v>719</v>
      </c>
      <c r="F2560" s="21" t="s">
        <v>708</v>
      </c>
    </row>
    <row r="2561" customFormat="false" ht="15" hidden="false" customHeight="false" outlineLevel="0" collapsed="false">
      <c r="B2561" s="19" t="s">
        <v>3596</v>
      </c>
      <c r="C2561" s="20" t="n">
        <f aca="false">ROUND(3.12/FX,2)</f>
        <v>0.43</v>
      </c>
      <c r="D2561" s="21" t="s">
        <v>3597</v>
      </c>
      <c r="E2561" s="21" t="s">
        <v>707</v>
      </c>
      <c r="F2561" s="21" t="s">
        <v>708</v>
      </c>
    </row>
    <row r="2562" customFormat="false" ht="15" hidden="false" customHeight="false" outlineLevel="0" collapsed="false">
      <c r="B2562" s="19" t="s">
        <v>3598</v>
      </c>
      <c r="C2562" s="20" t="n">
        <f aca="false">ROUND(1.3/FX,2)</f>
        <v>0.18</v>
      </c>
      <c r="D2562" s="21" t="s">
        <v>3597</v>
      </c>
      <c r="E2562" s="21" t="s">
        <v>714</v>
      </c>
      <c r="F2562" s="21" t="s">
        <v>708</v>
      </c>
    </row>
    <row r="2563" customFormat="false" ht="15" hidden="false" customHeight="false" outlineLevel="0" collapsed="false">
      <c r="B2563" s="19" t="s">
        <v>3599</v>
      </c>
      <c r="C2563" s="20" t="n">
        <f aca="false">ROUND(1.3/FX,2)</f>
        <v>0.18</v>
      </c>
      <c r="D2563" s="21" t="s">
        <v>3597</v>
      </c>
      <c r="E2563" s="21" t="s">
        <v>841</v>
      </c>
      <c r="F2563" s="21" t="s">
        <v>708</v>
      </c>
    </row>
    <row r="2564" customFormat="false" ht="15" hidden="false" customHeight="false" outlineLevel="0" collapsed="false">
      <c r="B2564" s="19" t="s">
        <v>3600</v>
      </c>
      <c r="C2564" s="20" t="n">
        <f aca="false">ROUND(1.3/FX,2)</f>
        <v>0.18</v>
      </c>
      <c r="D2564" s="21" t="s">
        <v>3597</v>
      </c>
      <c r="E2564" s="21" t="s">
        <v>789</v>
      </c>
      <c r="F2564" s="21" t="s">
        <v>708</v>
      </c>
    </row>
    <row r="2565" customFormat="false" ht="15" hidden="false" customHeight="false" outlineLevel="0" collapsed="false">
      <c r="B2565" s="19" t="s">
        <v>3601</v>
      </c>
      <c r="C2565" s="20" t="n">
        <f aca="false">ROUND(1.3/FX,2)</f>
        <v>0.18</v>
      </c>
      <c r="D2565" s="21" t="s">
        <v>3597</v>
      </c>
      <c r="E2565" s="21" t="s">
        <v>716</v>
      </c>
      <c r="F2565" s="21" t="s">
        <v>708</v>
      </c>
    </row>
    <row r="2566" customFormat="false" ht="15" hidden="false" customHeight="false" outlineLevel="0" collapsed="false">
      <c r="B2566" s="19" t="s">
        <v>3602</v>
      </c>
      <c r="C2566" s="20" t="n">
        <f aca="false">ROUND(1.3/FX,2)</f>
        <v>0.18</v>
      </c>
      <c r="D2566" s="21" t="s">
        <v>3597</v>
      </c>
      <c r="E2566" s="21" t="s">
        <v>847</v>
      </c>
      <c r="F2566" s="21" t="s">
        <v>708</v>
      </c>
    </row>
    <row r="2567" customFormat="false" ht="15" hidden="false" customHeight="false" outlineLevel="0" collapsed="false">
      <c r="B2567" s="19" t="s">
        <v>3603</v>
      </c>
      <c r="C2567" s="20" t="n">
        <f aca="false">ROUND(1.3/FX,2)</f>
        <v>0.18</v>
      </c>
      <c r="D2567" s="21" t="s">
        <v>3597</v>
      </c>
      <c r="E2567" s="21" t="s">
        <v>719</v>
      </c>
      <c r="F2567" s="21" t="s">
        <v>708</v>
      </c>
    </row>
    <row r="2568" customFormat="false" ht="15" hidden="false" customHeight="false" outlineLevel="0" collapsed="false">
      <c r="B2568" s="19" t="s">
        <v>3604</v>
      </c>
      <c r="C2568" s="20" t="n">
        <f aca="false">ROUND(3.08/FX,2)</f>
        <v>0.43</v>
      </c>
      <c r="D2568" s="21" t="s">
        <v>3605</v>
      </c>
      <c r="E2568" s="21" t="s">
        <v>707</v>
      </c>
      <c r="F2568" s="21" t="s">
        <v>708</v>
      </c>
    </row>
    <row r="2569" customFormat="false" ht="15" hidden="false" customHeight="false" outlineLevel="0" collapsed="false">
      <c r="B2569" s="19" t="s">
        <v>3606</v>
      </c>
      <c r="C2569" s="20" t="n">
        <f aca="false">ROUND(4.63/FX,2)</f>
        <v>0.64</v>
      </c>
      <c r="D2569" s="21" t="s">
        <v>3605</v>
      </c>
      <c r="E2569" s="21" t="s">
        <v>714</v>
      </c>
      <c r="F2569" s="21" t="s">
        <v>708</v>
      </c>
    </row>
    <row r="2570" customFormat="false" ht="15" hidden="false" customHeight="false" outlineLevel="0" collapsed="false">
      <c r="B2570" s="19" t="s">
        <v>3607</v>
      </c>
      <c r="C2570" s="20" t="n">
        <f aca="false">ROUND(1.3/FX,2)</f>
        <v>0.18</v>
      </c>
      <c r="D2570" s="21" t="s">
        <v>3605</v>
      </c>
      <c r="E2570" s="21" t="s">
        <v>841</v>
      </c>
      <c r="F2570" s="21" t="s">
        <v>708</v>
      </c>
    </row>
    <row r="2571" customFormat="false" ht="15" hidden="false" customHeight="false" outlineLevel="0" collapsed="false">
      <c r="B2571" s="19" t="s">
        <v>3608</v>
      </c>
      <c r="C2571" s="20" t="n">
        <f aca="false">ROUND(1.3/FX,2)</f>
        <v>0.18</v>
      </c>
      <c r="D2571" s="21" t="s">
        <v>3605</v>
      </c>
      <c r="E2571" s="21" t="s">
        <v>789</v>
      </c>
      <c r="F2571" s="21" t="s">
        <v>708</v>
      </c>
    </row>
    <row r="2572" customFormat="false" ht="15" hidden="false" customHeight="false" outlineLevel="0" collapsed="false">
      <c r="B2572" s="19" t="s">
        <v>3609</v>
      </c>
      <c r="C2572" s="20" t="n">
        <f aca="false">ROUND(1.3/FX,2)</f>
        <v>0.18</v>
      </c>
      <c r="D2572" s="21" t="s">
        <v>3605</v>
      </c>
      <c r="E2572" s="21" t="s">
        <v>716</v>
      </c>
      <c r="F2572" s="21" t="s">
        <v>708</v>
      </c>
    </row>
    <row r="2573" customFormat="false" ht="15" hidden="false" customHeight="false" outlineLevel="0" collapsed="false">
      <c r="B2573" s="19" t="s">
        <v>3610</v>
      </c>
      <c r="C2573" s="20" t="n">
        <f aca="false">ROUND(1.3/FX,2)</f>
        <v>0.18</v>
      </c>
      <c r="D2573" s="21" t="s">
        <v>3605</v>
      </c>
      <c r="E2573" s="21" t="s">
        <v>847</v>
      </c>
      <c r="F2573" s="21" t="s">
        <v>708</v>
      </c>
    </row>
    <row r="2574" customFormat="false" ht="15" hidden="false" customHeight="false" outlineLevel="0" collapsed="false">
      <c r="B2574" s="19" t="s">
        <v>3611</v>
      </c>
      <c r="C2574" s="20" t="n">
        <f aca="false">ROUND(1.3/FX,2)</f>
        <v>0.18</v>
      </c>
      <c r="D2574" s="21" t="s">
        <v>3605</v>
      </c>
      <c r="E2574" s="21" t="s">
        <v>719</v>
      </c>
      <c r="F2574" s="21" t="s">
        <v>708</v>
      </c>
    </row>
    <row r="2575" customFormat="false" ht="15" hidden="false" customHeight="false" outlineLevel="0" collapsed="false">
      <c r="B2575" s="19" t="s">
        <v>3612</v>
      </c>
      <c r="C2575" s="20" t="n">
        <f aca="false">ROUND(3.12/FX,2)</f>
        <v>0.43</v>
      </c>
      <c r="D2575" s="21" t="s">
        <v>3613</v>
      </c>
      <c r="E2575" s="21" t="s">
        <v>707</v>
      </c>
      <c r="F2575" s="21" t="s">
        <v>708</v>
      </c>
    </row>
    <row r="2576" customFormat="false" ht="15" hidden="false" customHeight="false" outlineLevel="0" collapsed="false">
      <c r="B2576" s="19" t="s">
        <v>3614</v>
      </c>
      <c r="C2576" s="20" t="n">
        <f aca="false">ROUND(4.65/FX,2)</f>
        <v>0.65</v>
      </c>
      <c r="D2576" s="21" t="s">
        <v>3613</v>
      </c>
      <c r="E2576" s="21" t="s">
        <v>714</v>
      </c>
      <c r="F2576" s="21" t="s">
        <v>708</v>
      </c>
    </row>
    <row r="2577" customFormat="false" ht="15" hidden="false" customHeight="false" outlineLevel="0" collapsed="false">
      <c r="B2577" s="19" t="s">
        <v>3615</v>
      </c>
      <c r="C2577" s="20" t="n">
        <f aca="false">ROUND(1.3/FX,2)</f>
        <v>0.18</v>
      </c>
      <c r="D2577" s="21" t="s">
        <v>3613</v>
      </c>
      <c r="E2577" s="21" t="s">
        <v>841</v>
      </c>
      <c r="F2577" s="21" t="s">
        <v>708</v>
      </c>
    </row>
    <row r="2578" customFormat="false" ht="15" hidden="false" customHeight="false" outlineLevel="0" collapsed="false">
      <c r="B2578" s="19" t="s">
        <v>3616</v>
      </c>
      <c r="C2578" s="20" t="n">
        <f aca="false">ROUND(1.3/FX,2)</f>
        <v>0.18</v>
      </c>
      <c r="D2578" s="21" t="s">
        <v>3613</v>
      </c>
      <c r="E2578" s="21" t="s">
        <v>789</v>
      </c>
      <c r="F2578" s="21" t="s">
        <v>708</v>
      </c>
    </row>
    <row r="2579" customFormat="false" ht="15" hidden="false" customHeight="false" outlineLevel="0" collapsed="false">
      <c r="B2579" s="19" t="s">
        <v>3617</v>
      </c>
      <c r="C2579" s="20" t="n">
        <f aca="false">ROUND(1.3/FX,2)</f>
        <v>0.18</v>
      </c>
      <c r="D2579" s="21" t="s">
        <v>3613</v>
      </c>
      <c r="E2579" s="21" t="s">
        <v>716</v>
      </c>
      <c r="F2579" s="21" t="s">
        <v>708</v>
      </c>
    </row>
    <row r="2580" customFormat="false" ht="15" hidden="false" customHeight="false" outlineLevel="0" collapsed="false">
      <c r="B2580" s="19" t="s">
        <v>3618</v>
      </c>
      <c r="C2580" s="20" t="n">
        <f aca="false">ROUND(1.3/FX,2)</f>
        <v>0.18</v>
      </c>
      <c r="D2580" s="21" t="s">
        <v>3613</v>
      </c>
      <c r="E2580" s="21" t="s">
        <v>847</v>
      </c>
      <c r="F2580" s="21" t="s">
        <v>708</v>
      </c>
    </row>
    <row r="2581" customFormat="false" ht="15" hidden="false" customHeight="false" outlineLevel="0" collapsed="false">
      <c r="B2581" s="19" t="s">
        <v>3619</v>
      </c>
      <c r="C2581" s="20" t="n">
        <f aca="false">ROUND(1.3/FX,2)</f>
        <v>0.18</v>
      </c>
      <c r="D2581" s="21" t="s">
        <v>3613</v>
      </c>
      <c r="E2581" s="21" t="s">
        <v>719</v>
      </c>
      <c r="F2581" s="21" t="s">
        <v>708</v>
      </c>
    </row>
    <row r="2582" customFormat="false" ht="15" hidden="false" customHeight="false" outlineLevel="0" collapsed="false">
      <c r="B2582" s="19" t="s">
        <v>3620</v>
      </c>
      <c r="C2582" s="20" t="n">
        <f aca="false">ROUND(4.16/FX,2)</f>
        <v>0.58</v>
      </c>
      <c r="D2582" s="21" t="s">
        <v>3621</v>
      </c>
      <c r="E2582" s="21" t="s">
        <v>707</v>
      </c>
      <c r="F2582" s="21" t="s">
        <v>708</v>
      </c>
    </row>
    <row r="2583" customFormat="false" ht="15" hidden="false" customHeight="false" outlineLevel="0" collapsed="false">
      <c r="B2583" s="19" t="s">
        <v>3622</v>
      </c>
      <c r="C2583" s="20" t="n">
        <f aca="false">ROUND(1.3/FX,2)</f>
        <v>0.18</v>
      </c>
      <c r="D2583" s="21" t="s">
        <v>3621</v>
      </c>
      <c r="E2583" s="21" t="s">
        <v>714</v>
      </c>
      <c r="F2583" s="21" t="s">
        <v>708</v>
      </c>
    </row>
    <row r="2584" customFormat="false" ht="15" hidden="false" customHeight="false" outlineLevel="0" collapsed="false">
      <c r="B2584" s="19" t="s">
        <v>3623</v>
      </c>
      <c r="C2584" s="20" t="n">
        <f aca="false">ROUND(1.3/FX,2)</f>
        <v>0.18</v>
      </c>
      <c r="D2584" s="21" t="s">
        <v>3621</v>
      </c>
      <c r="E2584" s="21" t="s">
        <v>841</v>
      </c>
      <c r="F2584" s="21" t="s">
        <v>708</v>
      </c>
    </row>
    <row r="2585" customFormat="false" ht="15" hidden="false" customHeight="false" outlineLevel="0" collapsed="false">
      <c r="B2585" s="19" t="s">
        <v>3624</v>
      </c>
      <c r="C2585" s="20" t="n">
        <f aca="false">ROUND(1.3/FX,2)</f>
        <v>0.18</v>
      </c>
      <c r="D2585" s="21" t="s">
        <v>3621</v>
      </c>
      <c r="E2585" s="21" t="s">
        <v>789</v>
      </c>
      <c r="F2585" s="21" t="s">
        <v>708</v>
      </c>
    </row>
    <row r="2586" customFormat="false" ht="15" hidden="false" customHeight="false" outlineLevel="0" collapsed="false">
      <c r="B2586" s="19" t="s">
        <v>3625</v>
      </c>
      <c r="C2586" s="20" t="n">
        <f aca="false">ROUND(1.3/FX,2)</f>
        <v>0.18</v>
      </c>
      <c r="D2586" s="21" t="s">
        <v>3621</v>
      </c>
      <c r="E2586" s="21" t="s">
        <v>716</v>
      </c>
      <c r="F2586" s="21" t="s">
        <v>708</v>
      </c>
    </row>
    <row r="2587" customFormat="false" ht="15" hidden="false" customHeight="false" outlineLevel="0" collapsed="false">
      <c r="B2587" s="19" t="s">
        <v>3626</v>
      </c>
      <c r="C2587" s="20" t="n">
        <f aca="false">ROUND(1.3/FX,2)</f>
        <v>0.18</v>
      </c>
      <c r="D2587" s="21" t="s">
        <v>3621</v>
      </c>
      <c r="E2587" s="21" t="s">
        <v>847</v>
      </c>
      <c r="F2587" s="21" t="s">
        <v>708</v>
      </c>
    </row>
    <row r="2588" customFormat="false" ht="15" hidden="false" customHeight="false" outlineLevel="0" collapsed="false">
      <c r="B2588" s="19" t="s">
        <v>3627</v>
      </c>
      <c r="C2588" s="20" t="n">
        <f aca="false">ROUND(1.3/FX,2)</f>
        <v>0.18</v>
      </c>
      <c r="D2588" s="21" t="s">
        <v>3621</v>
      </c>
      <c r="E2588" s="21" t="s">
        <v>719</v>
      </c>
      <c r="F2588" s="21" t="s">
        <v>708</v>
      </c>
    </row>
    <row r="2589" customFormat="false" ht="15" hidden="false" customHeight="false" outlineLevel="0" collapsed="false">
      <c r="B2589" s="19" t="s">
        <v>3628</v>
      </c>
      <c r="C2589" s="20" t="n">
        <f aca="false">ROUND(4.16/FX,2)</f>
        <v>0.58</v>
      </c>
      <c r="D2589" s="21" t="s">
        <v>3629</v>
      </c>
      <c r="E2589" s="21" t="s">
        <v>707</v>
      </c>
      <c r="F2589" s="21" t="s">
        <v>708</v>
      </c>
    </row>
    <row r="2590" customFormat="false" ht="15" hidden="false" customHeight="false" outlineLevel="0" collapsed="false">
      <c r="B2590" s="19" t="s">
        <v>3630</v>
      </c>
      <c r="C2590" s="20" t="n">
        <f aca="false">ROUND(1.3/FX,2)</f>
        <v>0.18</v>
      </c>
      <c r="D2590" s="21" t="s">
        <v>3629</v>
      </c>
      <c r="E2590" s="21" t="s">
        <v>714</v>
      </c>
      <c r="F2590" s="21" t="s">
        <v>708</v>
      </c>
    </row>
    <row r="2591" customFormat="false" ht="15" hidden="false" customHeight="false" outlineLevel="0" collapsed="false">
      <c r="B2591" s="19" t="s">
        <v>3631</v>
      </c>
      <c r="C2591" s="20" t="n">
        <f aca="false">ROUND(1.3/FX,2)</f>
        <v>0.18</v>
      </c>
      <c r="D2591" s="21" t="s">
        <v>3629</v>
      </c>
      <c r="E2591" s="21" t="s">
        <v>841</v>
      </c>
      <c r="F2591" s="21" t="s">
        <v>708</v>
      </c>
    </row>
    <row r="2592" customFormat="false" ht="15" hidden="false" customHeight="false" outlineLevel="0" collapsed="false">
      <c r="B2592" s="19" t="s">
        <v>3632</v>
      </c>
      <c r="C2592" s="20" t="n">
        <f aca="false">ROUND(1.3/FX,2)</f>
        <v>0.18</v>
      </c>
      <c r="D2592" s="21" t="s">
        <v>3629</v>
      </c>
      <c r="E2592" s="21" t="s">
        <v>789</v>
      </c>
      <c r="F2592" s="21" t="s">
        <v>708</v>
      </c>
    </row>
    <row r="2593" customFormat="false" ht="15" hidden="false" customHeight="false" outlineLevel="0" collapsed="false">
      <c r="B2593" s="19" t="s">
        <v>3633</v>
      </c>
      <c r="C2593" s="20" t="n">
        <f aca="false">ROUND(1.3/FX,2)</f>
        <v>0.18</v>
      </c>
      <c r="D2593" s="21" t="s">
        <v>3629</v>
      </c>
      <c r="E2593" s="21" t="s">
        <v>716</v>
      </c>
      <c r="F2593" s="21" t="s">
        <v>708</v>
      </c>
    </row>
    <row r="2594" customFormat="false" ht="15" hidden="false" customHeight="false" outlineLevel="0" collapsed="false">
      <c r="B2594" s="19" t="s">
        <v>3634</v>
      </c>
      <c r="C2594" s="20" t="n">
        <f aca="false">ROUND(1.3/FX,2)</f>
        <v>0.18</v>
      </c>
      <c r="D2594" s="21" t="s">
        <v>3629</v>
      </c>
      <c r="E2594" s="21" t="s">
        <v>847</v>
      </c>
      <c r="F2594" s="21" t="s">
        <v>708</v>
      </c>
    </row>
    <row r="2595" customFormat="false" ht="15" hidden="false" customHeight="false" outlineLevel="0" collapsed="false">
      <c r="B2595" s="19" t="s">
        <v>3635</v>
      </c>
      <c r="C2595" s="20" t="n">
        <f aca="false">ROUND(1.3/FX,2)</f>
        <v>0.18</v>
      </c>
      <c r="D2595" s="21" t="s">
        <v>3629</v>
      </c>
      <c r="E2595" s="21" t="s">
        <v>719</v>
      </c>
      <c r="F2595" s="21" t="s">
        <v>708</v>
      </c>
    </row>
    <row r="2596" customFormat="false" ht="15" hidden="false" customHeight="false" outlineLevel="0" collapsed="false">
      <c r="B2596" s="19" t="s">
        <v>3636</v>
      </c>
      <c r="C2596" s="20" t="n">
        <f aca="false">ROUND(3.16/FX,2)</f>
        <v>0.44</v>
      </c>
      <c r="D2596" s="21" t="s">
        <v>3637</v>
      </c>
      <c r="E2596" s="21" t="s">
        <v>707</v>
      </c>
      <c r="F2596" s="21" t="s">
        <v>708</v>
      </c>
    </row>
    <row r="2597" customFormat="false" ht="15" hidden="false" customHeight="false" outlineLevel="0" collapsed="false">
      <c r="B2597" s="19" t="s">
        <v>3638</v>
      </c>
      <c r="C2597" s="20" t="n">
        <f aca="false">ROUND(4.81/FX,2)</f>
        <v>0.67</v>
      </c>
      <c r="D2597" s="21" t="s">
        <v>3637</v>
      </c>
      <c r="E2597" s="21" t="s">
        <v>714</v>
      </c>
      <c r="F2597" s="21" t="s">
        <v>708</v>
      </c>
    </row>
    <row r="2598" customFormat="false" ht="15" hidden="false" customHeight="false" outlineLevel="0" collapsed="false">
      <c r="B2598" s="19" t="s">
        <v>3639</v>
      </c>
      <c r="C2598" s="20" t="n">
        <f aca="false">ROUND(1.3/FX,2)</f>
        <v>0.18</v>
      </c>
      <c r="D2598" s="21" t="s">
        <v>3637</v>
      </c>
      <c r="E2598" s="21" t="s">
        <v>841</v>
      </c>
      <c r="F2598" s="21" t="s">
        <v>708</v>
      </c>
    </row>
    <row r="2599" customFormat="false" ht="15" hidden="false" customHeight="false" outlineLevel="0" collapsed="false">
      <c r="B2599" s="19" t="s">
        <v>3640</v>
      </c>
      <c r="C2599" s="20" t="n">
        <f aca="false">ROUND(1.3/FX,2)</f>
        <v>0.18</v>
      </c>
      <c r="D2599" s="21" t="s">
        <v>3637</v>
      </c>
      <c r="E2599" s="21" t="s">
        <v>789</v>
      </c>
      <c r="F2599" s="21" t="s">
        <v>708</v>
      </c>
    </row>
    <row r="2600" customFormat="false" ht="15" hidden="false" customHeight="false" outlineLevel="0" collapsed="false">
      <c r="B2600" s="19" t="s">
        <v>3641</v>
      </c>
      <c r="C2600" s="20" t="n">
        <f aca="false">ROUND(1.3/FX,2)</f>
        <v>0.18</v>
      </c>
      <c r="D2600" s="21" t="s">
        <v>3637</v>
      </c>
      <c r="E2600" s="21" t="s">
        <v>716</v>
      </c>
      <c r="F2600" s="21" t="s">
        <v>708</v>
      </c>
    </row>
    <row r="2601" customFormat="false" ht="15" hidden="false" customHeight="false" outlineLevel="0" collapsed="false">
      <c r="B2601" s="19" t="s">
        <v>3642</v>
      </c>
      <c r="C2601" s="20" t="n">
        <f aca="false">ROUND(1.3/FX,2)</f>
        <v>0.18</v>
      </c>
      <c r="D2601" s="21" t="s">
        <v>3637</v>
      </c>
      <c r="E2601" s="21" t="s">
        <v>847</v>
      </c>
      <c r="F2601" s="21" t="s">
        <v>708</v>
      </c>
    </row>
    <row r="2602" customFormat="false" ht="15" hidden="false" customHeight="false" outlineLevel="0" collapsed="false">
      <c r="B2602" s="19" t="s">
        <v>3643</v>
      </c>
      <c r="C2602" s="20" t="n">
        <f aca="false">ROUND(1.3/FX,2)</f>
        <v>0.18</v>
      </c>
      <c r="D2602" s="21" t="s">
        <v>3637</v>
      </c>
      <c r="E2602" s="21" t="s">
        <v>719</v>
      </c>
      <c r="F2602" s="21" t="s">
        <v>708</v>
      </c>
    </row>
    <row r="2603" customFormat="false" ht="15" hidden="false" customHeight="false" outlineLevel="0" collapsed="false">
      <c r="B2603" s="19" t="s">
        <v>3644</v>
      </c>
      <c r="C2603" s="20" t="n">
        <f aca="false">ROUND(3.51/FX,2)</f>
        <v>0.49</v>
      </c>
      <c r="D2603" s="21" t="s">
        <v>3645</v>
      </c>
      <c r="E2603" s="21" t="s">
        <v>707</v>
      </c>
      <c r="F2603" s="21" t="s">
        <v>708</v>
      </c>
    </row>
    <row r="2604" customFormat="false" ht="15" hidden="false" customHeight="false" outlineLevel="0" collapsed="false">
      <c r="B2604" s="19" t="s">
        <v>3646</v>
      </c>
      <c r="C2604" s="20" t="n">
        <f aca="false">ROUND(1.3/FX,2)</f>
        <v>0.18</v>
      </c>
      <c r="D2604" s="21" t="s">
        <v>3645</v>
      </c>
      <c r="E2604" s="21" t="s">
        <v>714</v>
      </c>
      <c r="F2604" s="21" t="s">
        <v>708</v>
      </c>
    </row>
    <row r="2605" customFormat="false" ht="15" hidden="false" customHeight="false" outlineLevel="0" collapsed="false">
      <c r="B2605" s="19" t="s">
        <v>3647</v>
      </c>
      <c r="C2605" s="20" t="n">
        <f aca="false">ROUND(1.3/FX,2)</f>
        <v>0.18</v>
      </c>
      <c r="D2605" s="21" t="s">
        <v>3645</v>
      </c>
      <c r="E2605" s="21" t="s">
        <v>841</v>
      </c>
      <c r="F2605" s="21" t="s">
        <v>708</v>
      </c>
    </row>
    <row r="2606" customFormat="false" ht="15" hidden="false" customHeight="false" outlineLevel="0" collapsed="false">
      <c r="B2606" s="19" t="s">
        <v>3648</v>
      </c>
      <c r="C2606" s="20" t="n">
        <f aca="false">ROUND(1.3/FX,2)</f>
        <v>0.18</v>
      </c>
      <c r="D2606" s="21" t="s">
        <v>3645</v>
      </c>
      <c r="E2606" s="21" t="s">
        <v>789</v>
      </c>
      <c r="F2606" s="21" t="s">
        <v>708</v>
      </c>
    </row>
    <row r="2607" customFormat="false" ht="15" hidden="false" customHeight="false" outlineLevel="0" collapsed="false">
      <c r="B2607" s="19" t="s">
        <v>3649</v>
      </c>
      <c r="C2607" s="20" t="n">
        <f aca="false">ROUND(1.3/FX,2)</f>
        <v>0.18</v>
      </c>
      <c r="D2607" s="21" t="s">
        <v>3645</v>
      </c>
      <c r="E2607" s="21" t="s">
        <v>716</v>
      </c>
      <c r="F2607" s="21" t="s">
        <v>708</v>
      </c>
    </row>
    <row r="2608" customFormat="false" ht="15" hidden="false" customHeight="false" outlineLevel="0" collapsed="false">
      <c r="B2608" s="19" t="s">
        <v>3650</v>
      </c>
      <c r="C2608" s="20" t="n">
        <f aca="false">ROUND(1.3/FX,2)</f>
        <v>0.18</v>
      </c>
      <c r="D2608" s="21" t="s">
        <v>3645</v>
      </c>
      <c r="E2608" s="21" t="s">
        <v>847</v>
      </c>
      <c r="F2608" s="21" t="s">
        <v>708</v>
      </c>
    </row>
    <row r="2609" customFormat="false" ht="15" hidden="false" customHeight="false" outlineLevel="0" collapsed="false">
      <c r="B2609" s="19" t="s">
        <v>3651</v>
      </c>
      <c r="C2609" s="20" t="n">
        <f aca="false">ROUND(1.3/FX,2)</f>
        <v>0.18</v>
      </c>
      <c r="D2609" s="21" t="s">
        <v>3645</v>
      </c>
      <c r="E2609" s="21" t="s">
        <v>719</v>
      </c>
      <c r="F2609" s="21" t="s">
        <v>708</v>
      </c>
    </row>
    <row r="2610" customFormat="false" ht="15" hidden="false" customHeight="false" outlineLevel="0" collapsed="false">
      <c r="B2610" s="19" t="s">
        <v>3652</v>
      </c>
      <c r="C2610" s="20" t="n">
        <f aca="false">ROUND(4.16/FX,2)</f>
        <v>0.58</v>
      </c>
      <c r="D2610" s="21" t="s">
        <v>2152</v>
      </c>
      <c r="E2610" s="21" t="s">
        <v>707</v>
      </c>
      <c r="F2610" s="21" t="s">
        <v>708</v>
      </c>
    </row>
    <row r="2611" customFormat="false" ht="15" hidden="false" customHeight="false" outlineLevel="0" collapsed="false">
      <c r="B2611" s="19" t="s">
        <v>3653</v>
      </c>
      <c r="C2611" s="20" t="n">
        <f aca="false">ROUND(1.3/FX,2)</f>
        <v>0.18</v>
      </c>
      <c r="D2611" s="21" t="s">
        <v>2152</v>
      </c>
      <c r="E2611" s="21" t="s">
        <v>714</v>
      </c>
      <c r="F2611" s="21" t="s">
        <v>708</v>
      </c>
    </row>
    <row r="2612" customFormat="false" ht="15" hidden="false" customHeight="false" outlineLevel="0" collapsed="false">
      <c r="B2612" s="19" t="s">
        <v>3654</v>
      </c>
      <c r="C2612" s="20" t="n">
        <f aca="false">ROUND(1.3/FX,2)</f>
        <v>0.18</v>
      </c>
      <c r="D2612" s="21" t="s">
        <v>2152</v>
      </c>
      <c r="E2612" s="21" t="s">
        <v>841</v>
      </c>
      <c r="F2612" s="21" t="s">
        <v>708</v>
      </c>
    </row>
    <row r="2613" customFormat="false" ht="15" hidden="false" customHeight="false" outlineLevel="0" collapsed="false">
      <c r="B2613" s="19" t="s">
        <v>3655</v>
      </c>
      <c r="C2613" s="20" t="n">
        <f aca="false">ROUND(1.3/FX,2)</f>
        <v>0.18</v>
      </c>
      <c r="D2613" s="21" t="s">
        <v>2152</v>
      </c>
      <c r="E2613" s="21" t="s">
        <v>789</v>
      </c>
      <c r="F2613" s="21" t="s">
        <v>708</v>
      </c>
    </row>
    <row r="2614" customFormat="false" ht="15" hidden="false" customHeight="false" outlineLevel="0" collapsed="false">
      <c r="B2614" s="19" t="s">
        <v>3656</v>
      </c>
      <c r="C2614" s="20" t="n">
        <f aca="false">ROUND(1.3/FX,2)</f>
        <v>0.18</v>
      </c>
      <c r="D2614" s="21" t="s">
        <v>2152</v>
      </c>
      <c r="E2614" s="21" t="s">
        <v>716</v>
      </c>
      <c r="F2614" s="21" t="s">
        <v>708</v>
      </c>
    </row>
    <row r="2615" customFormat="false" ht="15" hidden="false" customHeight="false" outlineLevel="0" collapsed="false">
      <c r="B2615" s="19" t="s">
        <v>3657</v>
      </c>
      <c r="C2615" s="20" t="n">
        <f aca="false">ROUND(1.3/FX,2)</f>
        <v>0.18</v>
      </c>
      <c r="D2615" s="21" t="s">
        <v>2152</v>
      </c>
      <c r="E2615" s="21" t="s">
        <v>847</v>
      </c>
      <c r="F2615" s="21" t="s">
        <v>708</v>
      </c>
    </row>
    <row r="2616" customFormat="false" ht="15" hidden="false" customHeight="false" outlineLevel="0" collapsed="false">
      <c r="B2616" s="19" t="s">
        <v>3658</v>
      </c>
      <c r="C2616" s="20" t="n">
        <f aca="false">ROUND(1.3/FX,2)</f>
        <v>0.18</v>
      </c>
      <c r="D2616" s="21" t="s">
        <v>2152</v>
      </c>
      <c r="E2616" s="21" t="s">
        <v>719</v>
      </c>
      <c r="F2616" s="21" t="s">
        <v>708</v>
      </c>
    </row>
    <row r="2617" customFormat="false" ht="15" hidden="false" customHeight="false" outlineLevel="0" collapsed="false">
      <c r="B2617" s="19" t="s">
        <v>3659</v>
      </c>
      <c r="C2617" s="20" t="n">
        <f aca="false">ROUND(2.97/FX,2)</f>
        <v>0.41</v>
      </c>
      <c r="D2617" s="21" t="s">
        <v>3236</v>
      </c>
      <c r="E2617" s="21" t="s">
        <v>707</v>
      </c>
      <c r="F2617" s="21" t="s">
        <v>708</v>
      </c>
    </row>
    <row r="2618" customFormat="false" ht="15" hidden="false" customHeight="false" outlineLevel="0" collapsed="false">
      <c r="B2618" s="19" t="s">
        <v>3660</v>
      </c>
      <c r="C2618" s="20" t="n">
        <f aca="false">ROUND(1.3/FX,2)</f>
        <v>0.18</v>
      </c>
      <c r="D2618" s="21" t="s">
        <v>3236</v>
      </c>
      <c r="E2618" s="21" t="s">
        <v>714</v>
      </c>
      <c r="F2618" s="21" t="s">
        <v>708</v>
      </c>
    </row>
    <row r="2619" customFormat="false" ht="15" hidden="false" customHeight="false" outlineLevel="0" collapsed="false">
      <c r="B2619" s="19" t="s">
        <v>3661</v>
      </c>
      <c r="C2619" s="20" t="n">
        <f aca="false">ROUND(1.3/FX,2)</f>
        <v>0.18</v>
      </c>
      <c r="D2619" s="21" t="s">
        <v>3236</v>
      </c>
      <c r="E2619" s="21" t="s">
        <v>841</v>
      </c>
      <c r="F2619" s="21" t="s">
        <v>708</v>
      </c>
    </row>
    <row r="2620" customFormat="false" ht="15" hidden="false" customHeight="false" outlineLevel="0" collapsed="false">
      <c r="B2620" s="19" t="s">
        <v>3662</v>
      </c>
      <c r="C2620" s="20" t="n">
        <f aca="false">ROUND(1.3/FX,2)</f>
        <v>0.18</v>
      </c>
      <c r="D2620" s="21" t="s">
        <v>3236</v>
      </c>
      <c r="E2620" s="21" t="s">
        <v>789</v>
      </c>
      <c r="F2620" s="21" t="s">
        <v>708</v>
      </c>
    </row>
    <row r="2621" customFormat="false" ht="15" hidden="false" customHeight="false" outlineLevel="0" collapsed="false">
      <c r="B2621" s="19" t="s">
        <v>3663</v>
      </c>
      <c r="C2621" s="20" t="n">
        <f aca="false">ROUND(1.3/FX,2)</f>
        <v>0.18</v>
      </c>
      <c r="D2621" s="21" t="s">
        <v>3236</v>
      </c>
      <c r="E2621" s="21" t="s">
        <v>716</v>
      </c>
      <c r="F2621" s="21" t="s">
        <v>708</v>
      </c>
    </row>
    <row r="2622" customFormat="false" ht="15" hidden="false" customHeight="false" outlineLevel="0" collapsed="false">
      <c r="B2622" s="19" t="s">
        <v>3664</v>
      </c>
      <c r="C2622" s="20" t="n">
        <f aca="false">ROUND(1.3/FX,2)</f>
        <v>0.18</v>
      </c>
      <c r="D2622" s="21" t="s">
        <v>3236</v>
      </c>
      <c r="E2622" s="21" t="s">
        <v>847</v>
      </c>
      <c r="F2622" s="21" t="s">
        <v>708</v>
      </c>
    </row>
    <row r="2623" customFormat="false" ht="15" hidden="false" customHeight="false" outlineLevel="0" collapsed="false">
      <c r="B2623" s="19" t="s">
        <v>3665</v>
      </c>
      <c r="C2623" s="20" t="n">
        <f aca="false">ROUND(1.3/FX,2)</f>
        <v>0.18</v>
      </c>
      <c r="D2623" s="21" t="s">
        <v>3236</v>
      </c>
      <c r="E2623" s="21" t="s">
        <v>719</v>
      </c>
      <c r="F2623" s="21" t="s">
        <v>708</v>
      </c>
    </row>
    <row r="2624" customFormat="false" ht="15" hidden="false" customHeight="false" outlineLevel="0" collapsed="false">
      <c r="B2624" s="19" t="s">
        <v>3666</v>
      </c>
      <c r="C2624" s="20" t="n">
        <f aca="false">ROUND(3.25/FX,2)</f>
        <v>0.45</v>
      </c>
      <c r="D2624" s="21" t="s">
        <v>3667</v>
      </c>
      <c r="E2624" s="21" t="s">
        <v>707</v>
      </c>
      <c r="F2624" s="21" t="s">
        <v>708</v>
      </c>
    </row>
    <row r="2625" customFormat="false" ht="15" hidden="false" customHeight="false" outlineLevel="0" collapsed="false">
      <c r="B2625" s="19" t="s">
        <v>3668</v>
      </c>
      <c r="C2625" s="20" t="n">
        <f aca="false">ROUND(4.94/FX,2)</f>
        <v>0.69</v>
      </c>
      <c r="D2625" s="21" t="s">
        <v>3667</v>
      </c>
      <c r="E2625" s="21" t="s">
        <v>714</v>
      </c>
      <c r="F2625" s="21" t="s">
        <v>708</v>
      </c>
    </row>
    <row r="2626" customFormat="false" ht="15" hidden="false" customHeight="false" outlineLevel="0" collapsed="false">
      <c r="B2626" s="19" t="s">
        <v>3669</v>
      </c>
      <c r="C2626" s="20" t="n">
        <f aca="false">ROUND(1.3/FX,2)</f>
        <v>0.18</v>
      </c>
      <c r="D2626" s="21" t="s">
        <v>3667</v>
      </c>
      <c r="E2626" s="21" t="s">
        <v>841</v>
      </c>
      <c r="F2626" s="21" t="s">
        <v>708</v>
      </c>
    </row>
    <row r="2627" customFormat="false" ht="15" hidden="false" customHeight="false" outlineLevel="0" collapsed="false">
      <c r="B2627" s="19" t="s">
        <v>3670</v>
      </c>
      <c r="C2627" s="20" t="n">
        <f aca="false">ROUND(1.3/FX,2)</f>
        <v>0.18</v>
      </c>
      <c r="D2627" s="21" t="s">
        <v>3667</v>
      </c>
      <c r="E2627" s="21" t="s">
        <v>789</v>
      </c>
      <c r="F2627" s="21" t="s">
        <v>708</v>
      </c>
    </row>
    <row r="2628" customFormat="false" ht="15" hidden="false" customHeight="false" outlineLevel="0" collapsed="false">
      <c r="B2628" s="19" t="s">
        <v>3671</v>
      </c>
      <c r="C2628" s="20" t="n">
        <f aca="false">ROUND(1.3/FX,2)</f>
        <v>0.18</v>
      </c>
      <c r="D2628" s="21" t="s">
        <v>3667</v>
      </c>
      <c r="E2628" s="21" t="s">
        <v>716</v>
      </c>
      <c r="F2628" s="21" t="s">
        <v>708</v>
      </c>
    </row>
    <row r="2629" customFormat="false" ht="15" hidden="false" customHeight="false" outlineLevel="0" collapsed="false">
      <c r="B2629" s="19" t="s">
        <v>3672</v>
      </c>
      <c r="C2629" s="20" t="n">
        <f aca="false">ROUND(1.3/FX,2)</f>
        <v>0.18</v>
      </c>
      <c r="D2629" s="21" t="s">
        <v>3667</v>
      </c>
      <c r="E2629" s="21" t="s">
        <v>847</v>
      </c>
      <c r="F2629" s="21" t="s">
        <v>708</v>
      </c>
    </row>
    <row r="2630" customFormat="false" ht="15" hidden="false" customHeight="false" outlineLevel="0" collapsed="false">
      <c r="B2630" s="19" t="s">
        <v>3673</v>
      </c>
      <c r="C2630" s="20" t="n">
        <f aca="false">ROUND(1.3/FX,2)</f>
        <v>0.18</v>
      </c>
      <c r="D2630" s="21" t="s">
        <v>3667</v>
      </c>
      <c r="E2630" s="21" t="s">
        <v>719</v>
      </c>
      <c r="F2630" s="21" t="s">
        <v>708</v>
      </c>
    </row>
    <row r="2631" customFormat="false" ht="15" hidden="false" customHeight="false" outlineLevel="0" collapsed="false">
      <c r="B2631" s="19" t="s">
        <v>3674</v>
      </c>
      <c r="C2631" s="20" t="n">
        <f aca="false">ROUND(3.25/FX,2)</f>
        <v>0.45</v>
      </c>
      <c r="D2631" s="21" t="s">
        <v>3675</v>
      </c>
      <c r="E2631" s="21" t="s">
        <v>707</v>
      </c>
      <c r="F2631" s="21" t="s">
        <v>708</v>
      </c>
    </row>
    <row r="2632" customFormat="false" ht="15" hidden="false" customHeight="false" outlineLevel="0" collapsed="false">
      <c r="B2632" s="19" t="s">
        <v>3676</v>
      </c>
      <c r="C2632" s="20" t="n">
        <f aca="false">ROUND(1.3/FX,2)</f>
        <v>0.18</v>
      </c>
      <c r="D2632" s="21" t="s">
        <v>3675</v>
      </c>
      <c r="E2632" s="21" t="s">
        <v>714</v>
      </c>
      <c r="F2632" s="21" t="s">
        <v>708</v>
      </c>
    </row>
    <row r="2633" customFormat="false" ht="15" hidden="false" customHeight="false" outlineLevel="0" collapsed="false">
      <c r="B2633" s="19" t="s">
        <v>3677</v>
      </c>
      <c r="C2633" s="20" t="n">
        <f aca="false">ROUND(1.3/FX,2)</f>
        <v>0.18</v>
      </c>
      <c r="D2633" s="21" t="s">
        <v>3675</v>
      </c>
      <c r="E2633" s="21" t="s">
        <v>841</v>
      </c>
      <c r="F2633" s="21" t="s">
        <v>708</v>
      </c>
    </row>
    <row r="2634" customFormat="false" ht="15" hidden="false" customHeight="false" outlineLevel="0" collapsed="false">
      <c r="B2634" s="19" t="s">
        <v>3678</v>
      </c>
      <c r="C2634" s="20" t="n">
        <f aca="false">ROUND(1.3/FX,2)</f>
        <v>0.18</v>
      </c>
      <c r="D2634" s="21" t="s">
        <v>3675</v>
      </c>
      <c r="E2634" s="21" t="s">
        <v>789</v>
      </c>
      <c r="F2634" s="21" t="s">
        <v>708</v>
      </c>
    </row>
    <row r="2635" customFormat="false" ht="15" hidden="false" customHeight="false" outlineLevel="0" collapsed="false">
      <c r="B2635" s="19" t="s">
        <v>3679</v>
      </c>
      <c r="C2635" s="20" t="n">
        <f aca="false">ROUND(1.3/FX,2)</f>
        <v>0.18</v>
      </c>
      <c r="D2635" s="21" t="s">
        <v>3675</v>
      </c>
      <c r="E2635" s="21" t="s">
        <v>716</v>
      </c>
      <c r="F2635" s="21" t="s">
        <v>708</v>
      </c>
    </row>
    <row r="2636" customFormat="false" ht="15" hidden="false" customHeight="false" outlineLevel="0" collapsed="false">
      <c r="B2636" s="19" t="s">
        <v>3680</v>
      </c>
      <c r="C2636" s="20" t="n">
        <f aca="false">ROUND(1.3/FX,2)</f>
        <v>0.18</v>
      </c>
      <c r="D2636" s="21" t="s">
        <v>3675</v>
      </c>
      <c r="E2636" s="21" t="s">
        <v>847</v>
      </c>
      <c r="F2636" s="21" t="s">
        <v>708</v>
      </c>
    </row>
    <row r="2637" customFormat="false" ht="15" hidden="false" customHeight="false" outlineLevel="0" collapsed="false">
      <c r="B2637" s="19" t="s">
        <v>3681</v>
      </c>
      <c r="C2637" s="20" t="n">
        <f aca="false">ROUND(1.3/FX,2)</f>
        <v>0.18</v>
      </c>
      <c r="D2637" s="21" t="s">
        <v>3675</v>
      </c>
      <c r="E2637" s="21" t="s">
        <v>719</v>
      </c>
      <c r="F2637" s="21" t="s">
        <v>708</v>
      </c>
    </row>
    <row r="2638" customFormat="false" ht="15" hidden="false" customHeight="false" outlineLevel="0" collapsed="false">
      <c r="B2638" s="19" t="s">
        <v>3682</v>
      </c>
      <c r="C2638" s="20" t="n">
        <f aca="false">ROUND(4.29/FX,2)</f>
        <v>0.6</v>
      </c>
      <c r="D2638" s="21" t="s">
        <v>2172</v>
      </c>
      <c r="E2638" s="21" t="s">
        <v>707</v>
      </c>
      <c r="F2638" s="21" t="s">
        <v>708</v>
      </c>
    </row>
    <row r="2639" customFormat="false" ht="15" hidden="false" customHeight="false" outlineLevel="0" collapsed="false">
      <c r="B2639" s="19" t="s">
        <v>3683</v>
      </c>
      <c r="C2639" s="20" t="n">
        <f aca="false">ROUND(1.3/FX,2)</f>
        <v>0.18</v>
      </c>
      <c r="D2639" s="21" t="s">
        <v>2172</v>
      </c>
      <c r="E2639" s="21" t="s">
        <v>714</v>
      </c>
      <c r="F2639" s="21" t="s">
        <v>708</v>
      </c>
    </row>
    <row r="2640" customFormat="false" ht="15" hidden="false" customHeight="false" outlineLevel="0" collapsed="false">
      <c r="B2640" s="19" t="s">
        <v>3684</v>
      </c>
      <c r="C2640" s="20" t="n">
        <f aca="false">ROUND(1.3/FX,2)</f>
        <v>0.18</v>
      </c>
      <c r="D2640" s="21" t="s">
        <v>2172</v>
      </c>
      <c r="E2640" s="21" t="s">
        <v>841</v>
      </c>
      <c r="F2640" s="21" t="s">
        <v>708</v>
      </c>
    </row>
    <row r="2641" customFormat="false" ht="15" hidden="false" customHeight="false" outlineLevel="0" collapsed="false">
      <c r="B2641" s="19" t="s">
        <v>3685</v>
      </c>
      <c r="C2641" s="20" t="n">
        <f aca="false">ROUND(1.3/FX,2)</f>
        <v>0.18</v>
      </c>
      <c r="D2641" s="21" t="s">
        <v>2172</v>
      </c>
      <c r="E2641" s="21" t="s">
        <v>789</v>
      </c>
      <c r="F2641" s="21" t="s">
        <v>708</v>
      </c>
    </row>
    <row r="2642" customFormat="false" ht="15" hidden="false" customHeight="false" outlineLevel="0" collapsed="false">
      <c r="B2642" s="19" t="s">
        <v>3686</v>
      </c>
      <c r="C2642" s="20" t="n">
        <f aca="false">ROUND(1.3/FX,2)</f>
        <v>0.18</v>
      </c>
      <c r="D2642" s="21" t="s">
        <v>2172</v>
      </c>
      <c r="E2642" s="21" t="s">
        <v>716</v>
      </c>
      <c r="F2642" s="21" t="s">
        <v>708</v>
      </c>
    </row>
    <row r="2643" customFormat="false" ht="15" hidden="false" customHeight="false" outlineLevel="0" collapsed="false">
      <c r="B2643" s="19" t="s">
        <v>3687</v>
      </c>
      <c r="C2643" s="20" t="n">
        <f aca="false">ROUND(1.3/FX,2)</f>
        <v>0.18</v>
      </c>
      <c r="D2643" s="21" t="s">
        <v>2172</v>
      </c>
      <c r="E2643" s="21" t="s">
        <v>847</v>
      </c>
      <c r="F2643" s="21" t="s">
        <v>708</v>
      </c>
    </row>
    <row r="2644" customFormat="false" ht="15" hidden="false" customHeight="false" outlineLevel="0" collapsed="false">
      <c r="B2644" s="19" t="s">
        <v>3688</v>
      </c>
      <c r="C2644" s="20" t="n">
        <f aca="false">ROUND(1.3/FX,2)</f>
        <v>0.18</v>
      </c>
      <c r="D2644" s="21" t="s">
        <v>2172</v>
      </c>
      <c r="E2644" s="21" t="s">
        <v>719</v>
      </c>
      <c r="F2644" s="21" t="s">
        <v>708</v>
      </c>
    </row>
    <row r="2645" customFormat="false" ht="15" hidden="false" customHeight="false" outlineLevel="0" collapsed="false">
      <c r="B2645" s="19" t="s">
        <v>3689</v>
      </c>
      <c r="C2645" s="20" t="n">
        <f aca="false">ROUND(3.38/FX,2)</f>
        <v>0.47</v>
      </c>
      <c r="D2645" s="21" t="s">
        <v>3690</v>
      </c>
      <c r="E2645" s="21" t="s">
        <v>707</v>
      </c>
      <c r="F2645" s="21" t="s">
        <v>708</v>
      </c>
    </row>
    <row r="2646" customFormat="false" ht="15" hidden="false" customHeight="false" outlineLevel="0" collapsed="false">
      <c r="B2646" s="19" t="s">
        <v>3691</v>
      </c>
      <c r="C2646" s="20" t="n">
        <f aca="false">ROUND(4.94/FX,2)</f>
        <v>0.69</v>
      </c>
      <c r="D2646" s="21" t="s">
        <v>3690</v>
      </c>
      <c r="E2646" s="21" t="s">
        <v>714</v>
      </c>
      <c r="F2646" s="21" t="s">
        <v>708</v>
      </c>
    </row>
    <row r="2647" customFormat="false" ht="15" hidden="false" customHeight="false" outlineLevel="0" collapsed="false">
      <c r="B2647" s="19" t="s">
        <v>3692</v>
      </c>
      <c r="C2647" s="20" t="n">
        <f aca="false">ROUND(1.3/FX,2)</f>
        <v>0.18</v>
      </c>
      <c r="D2647" s="21" t="s">
        <v>3690</v>
      </c>
      <c r="E2647" s="21" t="s">
        <v>841</v>
      </c>
      <c r="F2647" s="21" t="s">
        <v>708</v>
      </c>
    </row>
    <row r="2648" customFormat="false" ht="15" hidden="false" customHeight="false" outlineLevel="0" collapsed="false">
      <c r="B2648" s="19" t="s">
        <v>3693</v>
      </c>
      <c r="C2648" s="20" t="n">
        <f aca="false">ROUND(1.3/FX,2)</f>
        <v>0.18</v>
      </c>
      <c r="D2648" s="21" t="s">
        <v>3690</v>
      </c>
      <c r="E2648" s="21" t="s">
        <v>789</v>
      </c>
      <c r="F2648" s="21" t="s">
        <v>708</v>
      </c>
    </row>
    <row r="2649" customFormat="false" ht="15" hidden="false" customHeight="false" outlineLevel="0" collapsed="false">
      <c r="B2649" s="19" t="s">
        <v>3694</v>
      </c>
      <c r="C2649" s="20" t="n">
        <f aca="false">ROUND(1.3/FX,2)</f>
        <v>0.18</v>
      </c>
      <c r="D2649" s="21" t="s">
        <v>3690</v>
      </c>
      <c r="E2649" s="21" t="s">
        <v>716</v>
      </c>
      <c r="F2649" s="21" t="s">
        <v>708</v>
      </c>
    </row>
    <row r="2650" customFormat="false" ht="15" hidden="false" customHeight="false" outlineLevel="0" collapsed="false">
      <c r="B2650" s="19" t="s">
        <v>3695</v>
      </c>
      <c r="C2650" s="20" t="n">
        <f aca="false">ROUND(1.3/FX,2)</f>
        <v>0.18</v>
      </c>
      <c r="D2650" s="21" t="s">
        <v>3690</v>
      </c>
      <c r="E2650" s="21" t="s">
        <v>847</v>
      </c>
      <c r="F2650" s="21" t="s">
        <v>708</v>
      </c>
    </row>
    <row r="2651" customFormat="false" ht="15" hidden="false" customHeight="false" outlineLevel="0" collapsed="false">
      <c r="B2651" s="19" t="s">
        <v>3696</v>
      </c>
      <c r="C2651" s="20" t="n">
        <f aca="false">ROUND(1.3/FX,2)</f>
        <v>0.18</v>
      </c>
      <c r="D2651" s="21" t="s">
        <v>3690</v>
      </c>
      <c r="E2651" s="21" t="s">
        <v>719</v>
      </c>
      <c r="F2651" s="21" t="s">
        <v>708</v>
      </c>
    </row>
    <row r="2652" customFormat="false" ht="15" hidden="false" customHeight="false" outlineLevel="0" collapsed="false">
      <c r="B2652" s="19" t="s">
        <v>3697</v>
      </c>
      <c r="C2652" s="20" t="n">
        <f aca="false">ROUND(3.38/FX,2)</f>
        <v>0.47</v>
      </c>
      <c r="D2652" s="21" t="s">
        <v>3698</v>
      </c>
      <c r="E2652" s="21" t="s">
        <v>707</v>
      </c>
      <c r="F2652" s="21" t="s">
        <v>708</v>
      </c>
    </row>
    <row r="2653" customFormat="false" ht="15" hidden="false" customHeight="false" outlineLevel="0" collapsed="false">
      <c r="B2653" s="19" t="s">
        <v>3699</v>
      </c>
      <c r="C2653" s="20" t="n">
        <f aca="false">ROUND(1.3/FX,2)</f>
        <v>0.18</v>
      </c>
      <c r="D2653" s="21" t="s">
        <v>3698</v>
      </c>
      <c r="E2653" s="21" t="s">
        <v>714</v>
      </c>
      <c r="F2653" s="21" t="s">
        <v>708</v>
      </c>
    </row>
    <row r="2654" customFormat="false" ht="15" hidden="false" customHeight="false" outlineLevel="0" collapsed="false">
      <c r="B2654" s="19" t="s">
        <v>3700</v>
      </c>
      <c r="C2654" s="20" t="n">
        <f aca="false">ROUND(1.3/FX,2)</f>
        <v>0.18</v>
      </c>
      <c r="D2654" s="21" t="s">
        <v>3698</v>
      </c>
      <c r="E2654" s="21" t="s">
        <v>841</v>
      </c>
      <c r="F2654" s="21" t="s">
        <v>708</v>
      </c>
    </row>
    <row r="2655" customFormat="false" ht="15" hidden="false" customHeight="false" outlineLevel="0" collapsed="false">
      <c r="B2655" s="19" t="s">
        <v>3701</v>
      </c>
      <c r="C2655" s="20" t="n">
        <f aca="false">ROUND(1.3/FX,2)</f>
        <v>0.18</v>
      </c>
      <c r="D2655" s="21" t="s">
        <v>3698</v>
      </c>
      <c r="E2655" s="21" t="s">
        <v>789</v>
      </c>
      <c r="F2655" s="21" t="s">
        <v>708</v>
      </c>
    </row>
    <row r="2656" customFormat="false" ht="15" hidden="false" customHeight="false" outlineLevel="0" collapsed="false">
      <c r="B2656" s="19" t="s">
        <v>3702</v>
      </c>
      <c r="C2656" s="20" t="n">
        <f aca="false">ROUND(1.3/FX,2)</f>
        <v>0.18</v>
      </c>
      <c r="D2656" s="21" t="s">
        <v>3698</v>
      </c>
      <c r="E2656" s="21" t="s">
        <v>716</v>
      </c>
      <c r="F2656" s="21" t="s">
        <v>708</v>
      </c>
    </row>
    <row r="2657" customFormat="false" ht="15" hidden="false" customHeight="false" outlineLevel="0" collapsed="false">
      <c r="B2657" s="19" t="s">
        <v>3703</v>
      </c>
      <c r="C2657" s="20" t="n">
        <f aca="false">ROUND(1.3/FX,2)</f>
        <v>0.18</v>
      </c>
      <c r="D2657" s="21" t="s">
        <v>3698</v>
      </c>
      <c r="E2657" s="21" t="s">
        <v>847</v>
      </c>
      <c r="F2657" s="21" t="s">
        <v>708</v>
      </c>
    </row>
    <row r="2658" customFormat="false" ht="15" hidden="false" customHeight="false" outlineLevel="0" collapsed="false">
      <c r="B2658" s="19" t="s">
        <v>3704</v>
      </c>
      <c r="C2658" s="20" t="n">
        <f aca="false">ROUND(1.3/FX,2)</f>
        <v>0.18</v>
      </c>
      <c r="D2658" s="21" t="s">
        <v>3698</v>
      </c>
      <c r="E2658" s="21" t="s">
        <v>719</v>
      </c>
      <c r="F2658" s="21" t="s">
        <v>708</v>
      </c>
    </row>
    <row r="2659" customFormat="false" ht="15" hidden="false" customHeight="false" outlineLevel="0" collapsed="false">
      <c r="B2659" s="19" t="s">
        <v>3705</v>
      </c>
      <c r="C2659" s="20" t="n">
        <f aca="false">ROUND(3.38/FX,2)</f>
        <v>0.47</v>
      </c>
      <c r="D2659" s="21" t="s">
        <v>2182</v>
      </c>
      <c r="E2659" s="21" t="s">
        <v>707</v>
      </c>
      <c r="F2659" s="21" t="s">
        <v>708</v>
      </c>
    </row>
    <row r="2660" customFormat="false" ht="15" hidden="false" customHeight="false" outlineLevel="0" collapsed="false">
      <c r="B2660" s="19" t="s">
        <v>3706</v>
      </c>
      <c r="C2660" s="20" t="n">
        <f aca="false">ROUND(1.3/FX,2)</f>
        <v>0.18</v>
      </c>
      <c r="D2660" s="21" t="s">
        <v>2182</v>
      </c>
      <c r="E2660" s="21" t="s">
        <v>714</v>
      </c>
      <c r="F2660" s="21" t="s">
        <v>708</v>
      </c>
    </row>
    <row r="2661" customFormat="false" ht="15" hidden="false" customHeight="false" outlineLevel="0" collapsed="false">
      <c r="B2661" s="19" t="s">
        <v>3707</v>
      </c>
      <c r="C2661" s="20" t="n">
        <f aca="false">ROUND(1.3/FX,2)</f>
        <v>0.18</v>
      </c>
      <c r="D2661" s="21" t="s">
        <v>2182</v>
      </c>
      <c r="E2661" s="21" t="s">
        <v>841</v>
      </c>
      <c r="F2661" s="21" t="s">
        <v>708</v>
      </c>
    </row>
    <row r="2662" customFormat="false" ht="15" hidden="false" customHeight="false" outlineLevel="0" collapsed="false">
      <c r="B2662" s="19" t="s">
        <v>3708</v>
      </c>
      <c r="C2662" s="20" t="n">
        <f aca="false">ROUND(1.3/FX,2)</f>
        <v>0.18</v>
      </c>
      <c r="D2662" s="21" t="s">
        <v>2182</v>
      </c>
      <c r="E2662" s="21" t="s">
        <v>789</v>
      </c>
      <c r="F2662" s="21" t="s">
        <v>708</v>
      </c>
    </row>
    <row r="2663" customFormat="false" ht="15" hidden="false" customHeight="false" outlineLevel="0" collapsed="false">
      <c r="B2663" s="19" t="s">
        <v>3709</v>
      </c>
      <c r="C2663" s="20" t="n">
        <f aca="false">ROUND(1.3/FX,2)</f>
        <v>0.18</v>
      </c>
      <c r="D2663" s="21" t="s">
        <v>2182</v>
      </c>
      <c r="E2663" s="21" t="s">
        <v>716</v>
      </c>
      <c r="F2663" s="21" t="s">
        <v>708</v>
      </c>
    </row>
    <row r="2664" customFormat="false" ht="15" hidden="false" customHeight="false" outlineLevel="0" collapsed="false">
      <c r="B2664" s="19" t="s">
        <v>3710</v>
      </c>
      <c r="C2664" s="20" t="n">
        <f aca="false">ROUND(1.3/FX,2)</f>
        <v>0.18</v>
      </c>
      <c r="D2664" s="21" t="s">
        <v>2182</v>
      </c>
      <c r="E2664" s="21" t="s">
        <v>847</v>
      </c>
      <c r="F2664" s="21" t="s">
        <v>708</v>
      </c>
    </row>
    <row r="2665" customFormat="false" ht="15" hidden="false" customHeight="false" outlineLevel="0" collapsed="false">
      <c r="B2665" s="19" t="s">
        <v>3711</v>
      </c>
      <c r="C2665" s="20" t="n">
        <f aca="false">ROUND(2.86/FX,2)</f>
        <v>0.4</v>
      </c>
      <c r="D2665" s="21" t="s">
        <v>2182</v>
      </c>
      <c r="E2665" s="21" t="s">
        <v>719</v>
      </c>
      <c r="F2665" s="21" t="s">
        <v>708</v>
      </c>
    </row>
    <row r="2666" customFormat="false" ht="15" hidden="false" customHeight="false" outlineLevel="0" collapsed="false">
      <c r="B2666" s="19" t="s">
        <v>3712</v>
      </c>
      <c r="C2666" s="20" t="n">
        <f aca="false">ROUND(1.3/FX,2)</f>
        <v>0.18</v>
      </c>
      <c r="D2666" s="21" t="s">
        <v>3240</v>
      </c>
      <c r="E2666" s="21" t="s">
        <v>707</v>
      </c>
      <c r="F2666" s="21" t="s">
        <v>708</v>
      </c>
    </row>
    <row r="2667" customFormat="false" ht="15" hidden="false" customHeight="false" outlineLevel="0" collapsed="false">
      <c r="B2667" s="19" t="s">
        <v>3713</v>
      </c>
      <c r="C2667" s="20" t="n">
        <f aca="false">ROUND(1.3/FX,2)</f>
        <v>0.18</v>
      </c>
      <c r="D2667" s="21" t="s">
        <v>3240</v>
      </c>
      <c r="E2667" s="21" t="s">
        <v>714</v>
      </c>
      <c r="F2667" s="21" t="s">
        <v>708</v>
      </c>
    </row>
    <row r="2668" customFormat="false" ht="15" hidden="false" customHeight="false" outlineLevel="0" collapsed="false">
      <c r="B2668" s="19" t="s">
        <v>3714</v>
      </c>
      <c r="C2668" s="20" t="n">
        <f aca="false">ROUND(1.3/FX,2)</f>
        <v>0.18</v>
      </c>
      <c r="D2668" s="21" t="s">
        <v>3240</v>
      </c>
      <c r="E2668" s="21" t="s">
        <v>841</v>
      </c>
      <c r="F2668" s="21" t="s">
        <v>708</v>
      </c>
    </row>
    <row r="2669" customFormat="false" ht="15" hidden="false" customHeight="false" outlineLevel="0" collapsed="false">
      <c r="B2669" s="19" t="s">
        <v>3715</v>
      </c>
      <c r="C2669" s="20" t="n">
        <f aca="false">ROUND(1.3/FX,2)</f>
        <v>0.18</v>
      </c>
      <c r="D2669" s="21" t="s">
        <v>3240</v>
      </c>
      <c r="E2669" s="21" t="s">
        <v>789</v>
      </c>
      <c r="F2669" s="21" t="s">
        <v>708</v>
      </c>
    </row>
    <row r="2670" customFormat="false" ht="15" hidden="false" customHeight="false" outlineLevel="0" collapsed="false">
      <c r="B2670" s="19" t="s">
        <v>3716</v>
      </c>
      <c r="C2670" s="20" t="n">
        <f aca="false">ROUND(3.12/FX,2)</f>
        <v>0.43</v>
      </c>
      <c r="D2670" s="21" t="s">
        <v>3240</v>
      </c>
      <c r="E2670" s="21" t="s">
        <v>716</v>
      </c>
      <c r="F2670" s="21" t="s">
        <v>708</v>
      </c>
    </row>
    <row r="2671" customFormat="false" ht="15" hidden="false" customHeight="false" outlineLevel="0" collapsed="false">
      <c r="B2671" s="19" t="s">
        <v>3717</v>
      </c>
      <c r="C2671" s="20" t="n">
        <f aca="false">ROUND(1.3/FX,2)</f>
        <v>0.18</v>
      </c>
      <c r="D2671" s="21" t="s">
        <v>3240</v>
      </c>
      <c r="E2671" s="21" t="s">
        <v>847</v>
      </c>
      <c r="F2671" s="21" t="s">
        <v>708</v>
      </c>
    </row>
    <row r="2672" customFormat="false" ht="15" hidden="false" customHeight="false" outlineLevel="0" collapsed="false">
      <c r="B2672" s="19" t="s">
        <v>3718</v>
      </c>
      <c r="C2672" s="20" t="n">
        <f aca="false">ROUND(1.3/FX,2)</f>
        <v>0.18</v>
      </c>
      <c r="D2672" s="21" t="s">
        <v>3240</v>
      </c>
      <c r="E2672" s="21" t="s">
        <v>719</v>
      </c>
      <c r="F2672" s="21" t="s">
        <v>708</v>
      </c>
    </row>
    <row r="2673" customFormat="false" ht="15" hidden="false" customHeight="false" outlineLevel="0" collapsed="false">
      <c r="B2673" s="19" t="s">
        <v>3719</v>
      </c>
      <c r="C2673" s="20" t="n">
        <f aca="false">ROUND(3.51/FX,2)</f>
        <v>0.49</v>
      </c>
      <c r="D2673" s="21" t="s">
        <v>3720</v>
      </c>
      <c r="E2673" s="21" t="s">
        <v>707</v>
      </c>
      <c r="F2673" s="21" t="s">
        <v>708</v>
      </c>
    </row>
    <row r="2674" customFormat="false" ht="15" hidden="false" customHeight="false" outlineLevel="0" collapsed="false">
      <c r="B2674" s="19" t="s">
        <v>3721</v>
      </c>
      <c r="C2674" s="20" t="n">
        <f aca="false">ROUND(2.21/FX,2)</f>
        <v>0.31</v>
      </c>
      <c r="D2674" s="21" t="s">
        <v>3720</v>
      </c>
      <c r="E2674" s="21" t="s">
        <v>714</v>
      </c>
      <c r="F2674" s="21" t="s">
        <v>708</v>
      </c>
    </row>
    <row r="2675" customFormat="false" ht="15" hidden="false" customHeight="false" outlineLevel="0" collapsed="false">
      <c r="B2675" s="19" t="s">
        <v>3722</v>
      </c>
      <c r="C2675" s="20" t="n">
        <f aca="false">ROUND(3.51/FX,2)</f>
        <v>0.49</v>
      </c>
      <c r="D2675" s="21" t="s">
        <v>3720</v>
      </c>
      <c r="E2675" s="21" t="s">
        <v>716</v>
      </c>
      <c r="F2675" s="21" t="s">
        <v>708</v>
      </c>
    </row>
    <row r="2676" customFormat="false" ht="15" hidden="false" customHeight="false" outlineLevel="0" collapsed="false">
      <c r="B2676" s="19" t="s">
        <v>3723</v>
      </c>
      <c r="C2676" s="20" t="n">
        <f aca="false">ROUND(2/FX,2)</f>
        <v>0.28</v>
      </c>
      <c r="D2676" s="21" t="s">
        <v>3720</v>
      </c>
      <c r="E2676" s="21" t="s">
        <v>719</v>
      </c>
      <c r="F2676" s="21" t="s">
        <v>708</v>
      </c>
    </row>
    <row r="2677" customFormat="false" ht="15" hidden="false" customHeight="false" outlineLevel="0" collapsed="false">
      <c r="B2677" s="19" t="s">
        <v>3724</v>
      </c>
      <c r="C2677" s="20" t="n">
        <f aca="false">ROUND(3.64/FX,2)</f>
        <v>0.51</v>
      </c>
      <c r="D2677" s="21" t="s">
        <v>2212</v>
      </c>
      <c r="E2677" s="21" t="s">
        <v>707</v>
      </c>
      <c r="F2677" s="21" t="s">
        <v>708</v>
      </c>
    </row>
    <row r="2678" customFormat="false" ht="15" hidden="false" customHeight="false" outlineLevel="0" collapsed="false">
      <c r="B2678" s="19" t="s">
        <v>3725</v>
      </c>
      <c r="C2678" s="20" t="n">
        <f aca="false">ROUND(2.21/FX,2)</f>
        <v>0.31</v>
      </c>
      <c r="D2678" s="21" t="s">
        <v>2212</v>
      </c>
      <c r="E2678" s="21" t="s">
        <v>714</v>
      </c>
      <c r="F2678" s="21" t="s">
        <v>708</v>
      </c>
    </row>
    <row r="2679" customFormat="false" ht="15" hidden="false" customHeight="false" outlineLevel="0" collapsed="false">
      <c r="B2679" s="19" t="s">
        <v>3726</v>
      </c>
      <c r="C2679" s="20" t="n">
        <f aca="false">ROUND(3.51/FX,2)</f>
        <v>0.49</v>
      </c>
      <c r="D2679" s="21" t="s">
        <v>2212</v>
      </c>
      <c r="E2679" s="21" t="s">
        <v>716</v>
      </c>
      <c r="F2679" s="21" t="s">
        <v>708</v>
      </c>
    </row>
    <row r="2680" customFormat="false" ht="15" hidden="false" customHeight="false" outlineLevel="0" collapsed="false">
      <c r="B2680" s="19" t="s">
        <v>3727</v>
      </c>
      <c r="C2680" s="20" t="n">
        <f aca="false">ROUND(2/FX,2)</f>
        <v>0.28</v>
      </c>
      <c r="D2680" s="21" t="s">
        <v>2212</v>
      </c>
      <c r="E2680" s="21" t="s">
        <v>719</v>
      </c>
      <c r="F2680" s="21" t="s">
        <v>708</v>
      </c>
    </row>
    <row r="2681" customFormat="false" ht="15" hidden="false" customHeight="false" outlineLevel="0" collapsed="false">
      <c r="B2681" s="19" t="s">
        <v>3728</v>
      </c>
      <c r="C2681" s="20" t="n">
        <f aca="false">ROUND(3.64/FX,2)</f>
        <v>0.51</v>
      </c>
      <c r="D2681" s="21" t="s">
        <v>3729</v>
      </c>
      <c r="E2681" s="21" t="s">
        <v>707</v>
      </c>
      <c r="F2681" s="21" t="s">
        <v>708</v>
      </c>
    </row>
    <row r="2682" customFormat="false" ht="15" hidden="false" customHeight="false" outlineLevel="0" collapsed="false">
      <c r="B2682" s="19" t="s">
        <v>3730</v>
      </c>
      <c r="C2682" s="20" t="n">
        <f aca="false">ROUND(2.21/FX,2)</f>
        <v>0.31</v>
      </c>
      <c r="D2682" s="21" t="s">
        <v>3729</v>
      </c>
      <c r="E2682" s="21" t="s">
        <v>714</v>
      </c>
      <c r="F2682" s="21" t="s">
        <v>708</v>
      </c>
    </row>
    <row r="2683" customFormat="false" ht="15" hidden="false" customHeight="false" outlineLevel="0" collapsed="false">
      <c r="B2683" s="19" t="s">
        <v>3731</v>
      </c>
      <c r="C2683" s="20" t="n">
        <f aca="false">ROUND(3.51/FX,2)</f>
        <v>0.49</v>
      </c>
      <c r="D2683" s="21" t="s">
        <v>3729</v>
      </c>
      <c r="E2683" s="21" t="s">
        <v>716</v>
      </c>
      <c r="F2683" s="21" t="s">
        <v>708</v>
      </c>
    </row>
    <row r="2684" customFormat="false" ht="15" hidden="false" customHeight="false" outlineLevel="0" collapsed="false">
      <c r="B2684" s="19" t="s">
        <v>3732</v>
      </c>
      <c r="C2684" s="20" t="n">
        <f aca="false">ROUND(2/FX,2)</f>
        <v>0.28</v>
      </c>
      <c r="D2684" s="21" t="s">
        <v>3729</v>
      </c>
      <c r="E2684" s="21" t="s">
        <v>719</v>
      </c>
      <c r="F2684" s="21" t="s">
        <v>708</v>
      </c>
    </row>
    <row r="2685" customFormat="false" ht="15" hidden="false" customHeight="false" outlineLevel="0" collapsed="false">
      <c r="B2685" s="19" t="s">
        <v>3733</v>
      </c>
      <c r="C2685" s="20" t="n">
        <f aca="false">ROUND(3.77/FX,2)</f>
        <v>0.52</v>
      </c>
      <c r="D2685" s="21" t="s">
        <v>3734</v>
      </c>
      <c r="E2685" s="21" t="s">
        <v>707</v>
      </c>
      <c r="F2685" s="21" t="s">
        <v>708</v>
      </c>
    </row>
    <row r="2686" customFormat="false" ht="15" hidden="false" customHeight="false" outlineLevel="0" collapsed="false">
      <c r="B2686" s="19" t="s">
        <v>3735</v>
      </c>
      <c r="C2686" s="20" t="n">
        <f aca="false">ROUND(2.6/FX,2)</f>
        <v>0.36</v>
      </c>
      <c r="D2686" s="21" t="s">
        <v>3734</v>
      </c>
      <c r="E2686" s="21" t="s">
        <v>714</v>
      </c>
      <c r="F2686" s="21" t="s">
        <v>708</v>
      </c>
    </row>
    <row r="2687" customFormat="false" ht="15" hidden="false" customHeight="false" outlineLevel="0" collapsed="false">
      <c r="B2687" s="19" t="s">
        <v>3736</v>
      </c>
      <c r="C2687" s="20" t="n">
        <f aca="false">ROUND(3.51/FX,2)</f>
        <v>0.49</v>
      </c>
      <c r="D2687" s="21" t="s">
        <v>3734</v>
      </c>
      <c r="E2687" s="21" t="s">
        <v>716</v>
      </c>
      <c r="F2687" s="21" t="s">
        <v>708</v>
      </c>
    </row>
    <row r="2688" customFormat="false" ht="15" hidden="false" customHeight="false" outlineLevel="0" collapsed="false">
      <c r="B2688" s="19" t="s">
        <v>3737</v>
      </c>
      <c r="C2688" s="20" t="n">
        <f aca="false">ROUND(1.3/FX,2)</f>
        <v>0.18</v>
      </c>
      <c r="D2688" s="21" t="s">
        <v>3734</v>
      </c>
      <c r="E2688" s="21" t="s">
        <v>719</v>
      </c>
      <c r="F2688" s="21" t="s">
        <v>708</v>
      </c>
    </row>
    <row r="2689" customFormat="false" ht="15" hidden="false" customHeight="false" outlineLevel="0" collapsed="false">
      <c r="B2689" s="19" t="s">
        <v>3738</v>
      </c>
      <c r="C2689" s="20" t="n">
        <f aca="false">ROUND(3.77/FX,2)</f>
        <v>0.52</v>
      </c>
      <c r="D2689" s="21" t="s">
        <v>2227</v>
      </c>
      <c r="E2689" s="21" t="s">
        <v>707</v>
      </c>
      <c r="F2689" s="21" t="s">
        <v>708</v>
      </c>
    </row>
    <row r="2690" customFormat="false" ht="15" hidden="false" customHeight="false" outlineLevel="0" collapsed="false">
      <c r="B2690" s="19" t="s">
        <v>3739</v>
      </c>
      <c r="C2690" s="20" t="n">
        <f aca="false">ROUND(5.59/FX,2)</f>
        <v>0.78</v>
      </c>
      <c r="D2690" s="21" t="s">
        <v>2227</v>
      </c>
      <c r="E2690" s="21" t="s">
        <v>714</v>
      </c>
      <c r="F2690" s="21" t="s">
        <v>708</v>
      </c>
    </row>
    <row r="2691" customFormat="false" ht="15" hidden="false" customHeight="false" outlineLevel="0" collapsed="false">
      <c r="B2691" s="19" t="s">
        <v>3740</v>
      </c>
      <c r="C2691" s="20" t="n">
        <f aca="false">ROUND(3.51/FX,2)</f>
        <v>0.49</v>
      </c>
      <c r="D2691" s="21" t="s">
        <v>2227</v>
      </c>
      <c r="E2691" s="21" t="s">
        <v>716</v>
      </c>
      <c r="F2691" s="21" t="s">
        <v>708</v>
      </c>
    </row>
    <row r="2692" customFormat="false" ht="15" hidden="false" customHeight="false" outlineLevel="0" collapsed="false">
      <c r="B2692" s="19" t="s">
        <v>3741</v>
      </c>
      <c r="C2692" s="20" t="n">
        <f aca="false">ROUND(2/FX,2)</f>
        <v>0.28</v>
      </c>
      <c r="D2692" s="21" t="s">
        <v>2227</v>
      </c>
      <c r="E2692" s="21" t="s">
        <v>719</v>
      </c>
      <c r="F2692" s="21" t="s">
        <v>708</v>
      </c>
    </row>
    <row r="2693" customFormat="false" ht="15" hidden="false" customHeight="false" outlineLevel="0" collapsed="false">
      <c r="B2693" s="19" t="s">
        <v>3742</v>
      </c>
      <c r="C2693" s="20" t="n">
        <f aca="false">ROUND(4.55/FX,2)</f>
        <v>0.63</v>
      </c>
      <c r="D2693" s="21" t="s">
        <v>3743</v>
      </c>
      <c r="E2693" s="21" t="s">
        <v>707</v>
      </c>
      <c r="F2693" s="21" t="s">
        <v>708</v>
      </c>
    </row>
    <row r="2694" customFormat="false" ht="15" hidden="false" customHeight="false" outlineLevel="0" collapsed="false">
      <c r="B2694" s="19" t="s">
        <v>3744</v>
      </c>
      <c r="C2694" s="20" t="n">
        <f aca="false">ROUND(6.83/FX,2)</f>
        <v>0.95</v>
      </c>
      <c r="D2694" s="21" t="s">
        <v>3743</v>
      </c>
      <c r="E2694" s="21" t="s">
        <v>714</v>
      </c>
      <c r="F2694" s="21" t="s">
        <v>708</v>
      </c>
    </row>
    <row r="2695" customFormat="false" ht="15" hidden="false" customHeight="false" outlineLevel="0" collapsed="false">
      <c r="B2695" s="19" t="s">
        <v>3745</v>
      </c>
      <c r="C2695" s="20" t="n">
        <f aca="false">ROUND(3.51/FX,2)</f>
        <v>0.49</v>
      </c>
      <c r="D2695" s="21" t="s">
        <v>3743</v>
      </c>
      <c r="E2695" s="21" t="s">
        <v>716</v>
      </c>
      <c r="F2695" s="21" t="s">
        <v>708</v>
      </c>
    </row>
    <row r="2696" customFormat="false" ht="15" hidden="false" customHeight="false" outlineLevel="0" collapsed="false">
      <c r="B2696" s="19" t="s">
        <v>3746</v>
      </c>
      <c r="C2696" s="20" t="n">
        <f aca="false">ROUND(4.55/FX,2)</f>
        <v>0.63</v>
      </c>
      <c r="D2696" s="21" t="s">
        <v>3743</v>
      </c>
      <c r="E2696" s="21" t="s">
        <v>719</v>
      </c>
      <c r="F2696" s="21" t="s">
        <v>708</v>
      </c>
    </row>
    <row r="2697" customFormat="false" ht="15" hidden="false" customHeight="false" outlineLevel="0" collapsed="false">
      <c r="B2697" s="19" t="s">
        <v>3747</v>
      </c>
      <c r="C2697" s="20" t="n">
        <f aca="false">ROUND(1.3/FX,2)</f>
        <v>0.18</v>
      </c>
      <c r="D2697" s="21" t="s">
        <v>3748</v>
      </c>
      <c r="E2697" s="21" t="s">
        <v>707</v>
      </c>
      <c r="F2697" s="21" t="s">
        <v>708</v>
      </c>
    </row>
    <row r="2698" customFormat="false" ht="15" hidden="false" customHeight="false" outlineLevel="0" collapsed="false">
      <c r="B2698" s="19" t="s">
        <v>3749</v>
      </c>
      <c r="C2698" s="20" t="n">
        <f aca="false">ROUND(1.3/FX,2)</f>
        <v>0.18</v>
      </c>
      <c r="D2698" s="21" t="s">
        <v>3748</v>
      </c>
      <c r="E2698" s="21" t="s">
        <v>714</v>
      </c>
      <c r="F2698" s="21" t="s">
        <v>708</v>
      </c>
    </row>
    <row r="2699" customFormat="false" ht="15" hidden="false" customHeight="false" outlineLevel="0" collapsed="false">
      <c r="B2699" s="19" t="s">
        <v>3750</v>
      </c>
      <c r="C2699" s="20" t="n">
        <f aca="false">ROUND(3.51/FX,2)</f>
        <v>0.49</v>
      </c>
      <c r="D2699" s="21" t="s">
        <v>3748</v>
      </c>
      <c r="E2699" s="21" t="s">
        <v>716</v>
      </c>
      <c r="F2699" s="21" t="s">
        <v>708</v>
      </c>
    </row>
    <row r="2700" customFormat="false" ht="15" hidden="false" customHeight="false" outlineLevel="0" collapsed="false">
      <c r="B2700" s="19" t="s">
        <v>3751</v>
      </c>
      <c r="C2700" s="20" t="n">
        <f aca="false">ROUND(4.55/FX,2)</f>
        <v>0.63</v>
      </c>
      <c r="D2700" s="21" t="s">
        <v>3748</v>
      </c>
      <c r="E2700" s="21" t="s">
        <v>719</v>
      </c>
      <c r="F2700" s="21" t="s">
        <v>708</v>
      </c>
    </row>
    <row r="2701" customFormat="false" ht="15" hidden="false" customHeight="false" outlineLevel="0" collapsed="false">
      <c r="B2701" s="19" t="s">
        <v>3752</v>
      </c>
      <c r="C2701" s="20" t="n">
        <f aca="false">ROUND(3.9/FX,2)</f>
        <v>0.54</v>
      </c>
      <c r="D2701" s="21" t="s">
        <v>2261</v>
      </c>
      <c r="E2701" s="21" t="s">
        <v>707</v>
      </c>
      <c r="F2701" s="21" t="s">
        <v>708</v>
      </c>
    </row>
    <row r="2702" customFormat="false" ht="15" hidden="false" customHeight="false" outlineLevel="0" collapsed="false">
      <c r="B2702" s="19" t="s">
        <v>3753</v>
      </c>
      <c r="C2702" s="20" t="n">
        <f aca="false">ROUND(2.21/FX,2)</f>
        <v>0.31</v>
      </c>
      <c r="D2702" s="21" t="s">
        <v>2261</v>
      </c>
      <c r="E2702" s="21" t="s">
        <v>714</v>
      </c>
      <c r="F2702" s="21" t="s">
        <v>708</v>
      </c>
    </row>
    <row r="2703" customFormat="false" ht="15" hidden="false" customHeight="false" outlineLevel="0" collapsed="false">
      <c r="B2703" s="19" t="s">
        <v>3754</v>
      </c>
      <c r="C2703" s="20" t="n">
        <f aca="false">ROUND(3.51/FX,2)</f>
        <v>0.49</v>
      </c>
      <c r="D2703" s="21" t="s">
        <v>2261</v>
      </c>
      <c r="E2703" s="21" t="s">
        <v>716</v>
      </c>
      <c r="F2703" s="21" t="s">
        <v>708</v>
      </c>
    </row>
    <row r="2704" customFormat="false" ht="15" hidden="false" customHeight="false" outlineLevel="0" collapsed="false">
      <c r="B2704" s="19" t="s">
        <v>3755</v>
      </c>
      <c r="C2704" s="20" t="n">
        <f aca="false">ROUND(2/FX,2)</f>
        <v>0.28</v>
      </c>
      <c r="D2704" s="21" t="s">
        <v>2261</v>
      </c>
      <c r="E2704" s="21" t="s">
        <v>719</v>
      </c>
      <c r="F2704" s="21" t="s">
        <v>708</v>
      </c>
    </row>
    <row r="2705" customFormat="false" ht="15" hidden="false" customHeight="false" outlineLevel="0" collapsed="false">
      <c r="B2705" s="19" t="s">
        <v>3756</v>
      </c>
      <c r="C2705" s="20" t="n">
        <f aca="false">ROUND(4.42/FX,2)</f>
        <v>0.61</v>
      </c>
      <c r="D2705" s="21" t="s">
        <v>3757</v>
      </c>
      <c r="E2705" s="21" t="s">
        <v>707</v>
      </c>
      <c r="F2705" s="21" t="s">
        <v>708</v>
      </c>
    </row>
    <row r="2706" customFormat="false" ht="15" hidden="false" customHeight="false" outlineLevel="0" collapsed="false">
      <c r="B2706" s="19" t="s">
        <v>3758</v>
      </c>
      <c r="C2706" s="20" t="n">
        <f aca="false">ROUND(7.41/FX,2)</f>
        <v>1.03</v>
      </c>
      <c r="D2706" s="21" t="s">
        <v>3757</v>
      </c>
      <c r="E2706" s="21" t="s">
        <v>714</v>
      </c>
      <c r="F2706" s="21" t="s">
        <v>708</v>
      </c>
    </row>
    <row r="2707" customFormat="false" ht="15" hidden="false" customHeight="false" outlineLevel="0" collapsed="false">
      <c r="B2707" s="19" t="s">
        <v>3759</v>
      </c>
      <c r="C2707" s="20" t="n">
        <f aca="false">ROUND(3.51/FX,2)</f>
        <v>0.49</v>
      </c>
      <c r="D2707" s="21" t="s">
        <v>3757</v>
      </c>
      <c r="E2707" s="21" t="s">
        <v>716</v>
      </c>
      <c r="F2707" s="21" t="s">
        <v>708</v>
      </c>
    </row>
    <row r="2708" customFormat="false" ht="15" hidden="false" customHeight="false" outlineLevel="0" collapsed="false">
      <c r="B2708" s="19" t="s">
        <v>3760</v>
      </c>
      <c r="C2708" s="20" t="n">
        <f aca="false">ROUND(4.55/FX,2)</f>
        <v>0.63</v>
      </c>
      <c r="D2708" s="21" t="s">
        <v>3757</v>
      </c>
      <c r="E2708" s="21" t="s">
        <v>719</v>
      </c>
      <c r="F2708" s="21" t="s">
        <v>708</v>
      </c>
    </row>
    <row r="2709" customFormat="false" ht="15" hidden="false" customHeight="false" outlineLevel="0" collapsed="false">
      <c r="B2709" s="19" t="s">
        <v>3761</v>
      </c>
      <c r="C2709" s="20" t="n">
        <f aca="false">ROUND(4.02/FX,2)</f>
        <v>0.56</v>
      </c>
      <c r="D2709" s="21" t="s">
        <v>2291</v>
      </c>
      <c r="E2709" s="21" t="s">
        <v>707</v>
      </c>
      <c r="F2709" s="21" t="s">
        <v>708</v>
      </c>
    </row>
    <row r="2710" customFormat="false" ht="15" hidden="false" customHeight="false" outlineLevel="0" collapsed="false">
      <c r="B2710" s="19" t="s">
        <v>3762</v>
      </c>
      <c r="C2710" s="20" t="n">
        <f aca="false">ROUND(1.95/FX,2)</f>
        <v>0.27</v>
      </c>
      <c r="D2710" s="21" t="s">
        <v>2291</v>
      </c>
      <c r="E2710" s="21" t="s">
        <v>714</v>
      </c>
      <c r="F2710" s="21" t="s">
        <v>708</v>
      </c>
    </row>
    <row r="2711" customFormat="false" ht="15" hidden="false" customHeight="false" outlineLevel="0" collapsed="false">
      <c r="B2711" s="19" t="s">
        <v>3763</v>
      </c>
      <c r="C2711" s="20" t="n">
        <f aca="false">ROUND(3.51/FX,2)</f>
        <v>0.49</v>
      </c>
      <c r="D2711" s="21" t="s">
        <v>2291</v>
      </c>
      <c r="E2711" s="21" t="s">
        <v>716</v>
      </c>
      <c r="F2711" s="21" t="s">
        <v>708</v>
      </c>
    </row>
    <row r="2712" customFormat="false" ht="15" hidden="false" customHeight="false" outlineLevel="0" collapsed="false">
      <c r="B2712" s="19" t="s">
        <v>3764</v>
      </c>
      <c r="C2712" s="20" t="n">
        <f aca="false">ROUND(1.3/FX,2)</f>
        <v>0.18</v>
      </c>
      <c r="D2712" s="21" t="s">
        <v>2291</v>
      </c>
      <c r="E2712" s="21" t="s">
        <v>719</v>
      </c>
      <c r="F2712" s="21" t="s">
        <v>708</v>
      </c>
    </row>
    <row r="2713" customFormat="false" ht="15" hidden="false" customHeight="false" outlineLevel="0" collapsed="false">
      <c r="B2713" s="19" t="s">
        <v>3765</v>
      </c>
      <c r="C2713" s="20" t="n">
        <f aca="false">ROUND(3.51/FX,2)</f>
        <v>0.49</v>
      </c>
      <c r="D2713" s="21" t="s">
        <v>3766</v>
      </c>
      <c r="E2713" s="21" t="s">
        <v>707</v>
      </c>
      <c r="F2713" s="21" t="s">
        <v>708</v>
      </c>
    </row>
    <row r="2714" customFormat="false" ht="15" hidden="false" customHeight="false" outlineLevel="0" collapsed="false">
      <c r="B2714" s="19" t="s">
        <v>3767</v>
      </c>
      <c r="C2714" s="20" t="n">
        <f aca="false">ROUND(3.51/FX,2)</f>
        <v>0.49</v>
      </c>
      <c r="D2714" s="21" t="s">
        <v>3766</v>
      </c>
      <c r="E2714" s="21" t="s">
        <v>714</v>
      </c>
      <c r="F2714" s="21" t="s">
        <v>708</v>
      </c>
    </row>
    <row r="2715" customFormat="false" ht="15" hidden="false" customHeight="false" outlineLevel="0" collapsed="false">
      <c r="B2715" s="19" t="s">
        <v>3768</v>
      </c>
      <c r="C2715" s="20" t="n">
        <f aca="false">ROUND(3.9/FX,2)</f>
        <v>0.54</v>
      </c>
      <c r="D2715" s="21" t="s">
        <v>3766</v>
      </c>
      <c r="E2715" s="21" t="s">
        <v>716</v>
      </c>
      <c r="F2715" s="21" t="s">
        <v>708</v>
      </c>
    </row>
    <row r="2716" customFormat="false" ht="15" hidden="false" customHeight="false" outlineLevel="0" collapsed="false">
      <c r="B2716" s="19" t="s">
        <v>3769</v>
      </c>
      <c r="C2716" s="20" t="n">
        <f aca="false">ROUND(3.51/FX,2)</f>
        <v>0.49</v>
      </c>
      <c r="D2716" s="21" t="s">
        <v>3766</v>
      </c>
      <c r="E2716" s="21" t="s">
        <v>719</v>
      </c>
      <c r="F2716" s="21" t="s">
        <v>708</v>
      </c>
    </row>
    <row r="2717" customFormat="false" ht="15" hidden="false" customHeight="false" outlineLevel="0" collapsed="false">
      <c r="B2717" s="19" t="s">
        <v>3770</v>
      </c>
      <c r="C2717" s="20" t="n">
        <f aca="false">ROUND(4.16/FX,2)</f>
        <v>0.58</v>
      </c>
      <c r="D2717" s="21" t="s">
        <v>3771</v>
      </c>
      <c r="E2717" s="21" t="s">
        <v>707</v>
      </c>
      <c r="F2717" s="21" t="s">
        <v>708</v>
      </c>
    </row>
    <row r="2718" customFormat="false" ht="15" hidden="false" customHeight="false" outlineLevel="0" collapsed="false">
      <c r="B2718" s="19" t="s">
        <v>3772</v>
      </c>
      <c r="C2718" s="20" t="n">
        <f aca="false">ROUND(2.73/FX,2)</f>
        <v>0.38</v>
      </c>
      <c r="D2718" s="21" t="s">
        <v>3771</v>
      </c>
      <c r="E2718" s="21" t="s">
        <v>714</v>
      </c>
      <c r="F2718" s="21" t="s">
        <v>708</v>
      </c>
    </row>
    <row r="2719" customFormat="false" ht="15" hidden="false" customHeight="false" outlineLevel="0" collapsed="false">
      <c r="B2719" s="19" t="s">
        <v>3773</v>
      </c>
      <c r="C2719" s="20" t="n">
        <f aca="false">ROUND(3.51/FX,2)</f>
        <v>0.49</v>
      </c>
      <c r="D2719" s="21" t="s">
        <v>3771</v>
      </c>
      <c r="E2719" s="21" t="s">
        <v>716</v>
      </c>
      <c r="F2719" s="21" t="s">
        <v>708</v>
      </c>
    </row>
    <row r="2720" customFormat="false" ht="15" hidden="false" customHeight="false" outlineLevel="0" collapsed="false">
      <c r="B2720" s="19" t="s">
        <v>3774</v>
      </c>
      <c r="C2720" s="20" t="n">
        <f aca="false">ROUND(2/FX,2)</f>
        <v>0.28</v>
      </c>
      <c r="D2720" s="21" t="s">
        <v>3771</v>
      </c>
      <c r="E2720" s="21" t="s">
        <v>719</v>
      </c>
      <c r="F2720" s="21" t="s">
        <v>708</v>
      </c>
    </row>
    <row r="2721" customFormat="false" ht="15" hidden="false" customHeight="false" outlineLevel="0" collapsed="false">
      <c r="B2721" s="19" t="s">
        <v>3775</v>
      </c>
      <c r="C2721" s="20" t="n">
        <f aca="false">ROUND(4.15/FX,2)</f>
        <v>0.58</v>
      </c>
      <c r="D2721" s="21" t="s">
        <v>3776</v>
      </c>
      <c r="E2721" s="21" t="s">
        <v>707</v>
      </c>
      <c r="F2721" s="21" t="s">
        <v>708</v>
      </c>
    </row>
    <row r="2722" customFormat="false" ht="15" hidden="false" customHeight="false" outlineLevel="0" collapsed="false">
      <c r="B2722" s="19" t="s">
        <v>3777</v>
      </c>
      <c r="C2722" s="20" t="n">
        <f aca="false">ROUND(6.24/FX,2)</f>
        <v>0.87</v>
      </c>
      <c r="D2722" s="21" t="s">
        <v>3776</v>
      </c>
      <c r="E2722" s="21" t="s">
        <v>714</v>
      </c>
      <c r="F2722" s="21" t="s">
        <v>708</v>
      </c>
    </row>
    <row r="2723" customFormat="false" ht="15" hidden="false" customHeight="false" outlineLevel="0" collapsed="false">
      <c r="B2723" s="19" t="s">
        <v>3778</v>
      </c>
      <c r="C2723" s="20" t="n">
        <f aca="false">ROUND(3.51/FX,2)</f>
        <v>0.49</v>
      </c>
      <c r="D2723" s="21" t="s">
        <v>3776</v>
      </c>
      <c r="E2723" s="21" t="s">
        <v>716</v>
      </c>
      <c r="F2723" s="21" t="s">
        <v>708</v>
      </c>
    </row>
    <row r="2724" customFormat="false" ht="15" hidden="false" customHeight="false" outlineLevel="0" collapsed="false">
      <c r="B2724" s="19" t="s">
        <v>3779</v>
      </c>
      <c r="C2724" s="20" t="n">
        <f aca="false">ROUND(2/FX,2)</f>
        <v>0.28</v>
      </c>
      <c r="D2724" s="21" t="s">
        <v>3776</v>
      </c>
      <c r="E2724" s="21" t="s">
        <v>719</v>
      </c>
      <c r="F2724" s="21" t="s">
        <v>708</v>
      </c>
    </row>
    <row r="2725" customFormat="false" ht="15" hidden="false" customHeight="false" outlineLevel="0" collapsed="false">
      <c r="B2725" s="19" t="s">
        <v>3780</v>
      </c>
      <c r="C2725" s="20" t="n">
        <f aca="false">ROUND(4.18/FX,2)</f>
        <v>0.58</v>
      </c>
      <c r="D2725" s="21" t="s">
        <v>3781</v>
      </c>
      <c r="E2725" s="21" t="s">
        <v>707</v>
      </c>
      <c r="F2725" s="21" t="s">
        <v>708</v>
      </c>
    </row>
    <row r="2726" customFormat="false" ht="15" hidden="false" customHeight="false" outlineLevel="0" collapsed="false">
      <c r="B2726" s="19" t="s">
        <v>3782</v>
      </c>
      <c r="C2726" s="20" t="n">
        <f aca="false">ROUND(2.73/FX,2)</f>
        <v>0.38</v>
      </c>
      <c r="D2726" s="21" t="s">
        <v>3781</v>
      </c>
      <c r="E2726" s="21" t="s">
        <v>714</v>
      </c>
      <c r="F2726" s="21" t="s">
        <v>708</v>
      </c>
    </row>
    <row r="2727" customFormat="false" ht="15" hidden="false" customHeight="false" outlineLevel="0" collapsed="false">
      <c r="B2727" s="19" t="s">
        <v>3783</v>
      </c>
      <c r="C2727" s="20" t="n">
        <f aca="false">ROUND(3.51/FX,2)</f>
        <v>0.49</v>
      </c>
      <c r="D2727" s="21" t="s">
        <v>3781</v>
      </c>
      <c r="E2727" s="21" t="s">
        <v>716</v>
      </c>
      <c r="F2727" s="21" t="s">
        <v>708</v>
      </c>
    </row>
    <row r="2728" customFormat="false" ht="15" hidden="false" customHeight="false" outlineLevel="0" collapsed="false">
      <c r="B2728" s="19" t="s">
        <v>3784</v>
      </c>
      <c r="C2728" s="20" t="n">
        <f aca="false">ROUND(2/FX,2)</f>
        <v>0.28</v>
      </c>
      <c r="D2728" s="21" t="s">
        <v>3781</v>
      </c>
      <c r="E2728" s="21" t="s">
        <v>719</v>
      </c>
      <c r="F2728" s="21" t="s">
        <v>708</v>
      </c>
    </row>
    <row r="2729" customFormat="false" ht="15" hidden="false" customHeight="false" outlineLevel="0" collapsed="false">
      <c r="B2729" s="19" t="s">
        <v>3785</v>
      </c>
      <c r="C2729" s="20" t="n">
        <f aca="false">ROUND(4.29/FX,2)</f>
        <v>0.6</v>
      </c>
      <c r="D2729" s="21" t="s">
        <v>3786</v>
      </c>
      <c r="E2729" s="21" t="s">
        <v>707</v>
      </c>
      <c r="F2729" s="21" t="s">
        <v>708</v>
      </c>
    </row>
    <row r="2730" customFormat="false" ht="15" hidden="false" customHeight="false" outlineLevel="0" collapsed="false">
      <c r="B2730" s="19" t="s">
        <v>3787</v>
      </c>
      <c r="C2730" s="20" t="n">
        <f aca="false">ROUND(2.73/FX,2)</f>
        <v>0.38</v>
      </c>
      <c r="D2730" s="21" t="s">
        <v>3786</v>
      </c>
      <c r="E2730" s="21" t="s">
        <v>714</v>
      </c>
      <c r="F2730" s="21" t="s">
        <v>708</v>
      </c>
    </row>
    <row r="2731" customFormat="false" ht="15" hidden="false" customHeight="false" outlineLevel="0" collapsed="false">
      <c r="B2731" s="19" t="s">
        <v>3788</v>
      </c>
      <c r="C2731" s="20" t="n">
        <f aca="false">ROUND(3.51/FX,2)</f>
        <v>0.49</v>
      </c>
      <c r="D2731" s="21" t="s">
        <v>3786</v>
      </c>
      <c r="E2731" s="21" t="s">
        <v>716</v>
      </c>
      <c r="F2731" s="21" t="s">
        <v>708</v>
      </c>
    </row>
    <row r="2732" customFormat="false" ht="15" hidden="false" customHeight="false" outlineLevel="0" collapsed="false">
      <c r="B2732" s="19" t="s">
        <v>3789</v>
      </c>
      <c r="C2732" s="20" t="n">
        <f aca="false">ROUND(2/FX,2)</f>
        <v>0.28</v>
      </c>
      <c r="D2732" s="21" t="s">
        <v>3786</v>
      </c>
      <c r="E2732" s="21" t="s">
        <v>719</v>
      </c>
      <c r="F2732" s="21" t="s">
        <v>708</v>
      </c>
    </row>
    <row r="2733" customFormat="false" ht="15" hidden="false" customHeight="false" outlineLevel="0" collapsed="false">
      <c r="B2733" s="19" t="s">
        <v>3790</v>
      </c>
      <c r="C2733" s="20" t="n">
        <f aca="false">ROUND(4.29/FX,2)</f>
        <v>0.6</v>
      </c>
      <c r="D2733" s="21" t="s">
        <v>3791</v>
      </c>
      <c r="E2733" s="21" t="s">
        <v>707</v>
      </c>
      <c r="F2733" s="21" t="s">
        <v>708</v>
      </c>
    </row>
    <row r="2734" customFormat="false" ht="15" hidden="false" customHeight="false" outlineLevel="0" collapsed="false">
      <c r="B2734" s="19" t="s">
        <v>3792</v>
      </c>
      <c r="C2734" s="20" t="n">
        <f aca="false">ROUND(3.51/FX,2)</f>
        <v>0.49</v>
      </c>
      <c r="D2734" s="21" t="s">
        <v>3791</v>
      </c>
      <c r="E2734" s="21" t="s">
        <v>714</v>
      </c>
      <c r="F2734" s="21" t="s">
        <v>708</v>
      </c>
    </row>
    <row r="2735" customFormat="false" ht="15" hidden="false" customHeight="false" outlineLevel="0" collapsed="false">
      <c r="B2735" s="19" t="s">
        <v>3793</v>
      </c>
      <c r="C2735" s="20" t="n">
        <f aca="false">ROUND(3.51/FX,2)</f>
        <v>0.49</v>
      </c>
      <c r="D2735" s="21" t="s">
        <v>3791</v>
      </c>
      <c r="E2735" s="21" t="s">
        <v>716</v>
      </c>
      <c r="F2735" s="21" t="s">
        <v>708</v>
      </c>
    </row>
    <row r="2736" customFormat="false" ht="15" hidden="false" customHeight="false" outlineLevel="0" collapsed="false">
      <c r="B2736" s="19" t="s">
        <v>3794</v>
      </c>
      <c r="C2736" s="20" t="n">
        <f aca="false">ROUND(3.51/FX,2)</f>
        <v>0.49</v>
      </c>
      <c r="D2736" s="21" t="s">
        <v>3791</v>
      </c>
      <c r="E2736" s="21" t="s">
        <v>719</v>
      </c>
      <c r="F2736" s="21" t="s">
        <v>708</v>
      </c>
    </row>
    <row r="2737" customFormat="false" ht="15" hidden="false" customHeight="false" outlineLevel="0" collapsed="false">
      <c r="B2737" s="19" t="s">
        <v>3795</v>
      </c>
      <c r="C2737" s="20" t="n">
        <f aca="false">ROUND(6.5/FX,2)</f>
        <v>0.9</v>
      </c>
      <c r="D2737" s="21" t="s">
        <v>2339</v>
      </c>
      <c r="E2737" s="21" t="s">
        <v>707</v>
      </c>
      <c r="F2737" s="21" t="s">
        <v>708</v>
      </c>
    </row>
    <row r="2738" customFormat="false" ht="15" hidden="false" customHeight="false" outlineLevel="0" collapsed="false">
      <c r="B2738" s="19" t="s">
        <v>3796</v>
      </c>
      <c r="C2738" s="20" t="n">
        <f aca="false">ROUND(3.51/FX,2)</f>
        <v>0.49</v>
      </c>
      <c r="D2738" s="21" t="s">
        <v>2339</v>
      </c>
      <c r="E2738" s="21" t="s">
        <v>714</v>
      </c>
      <c r="F2738" s="21" t="s">
        <v>708</v>
      </c>
    </row>
    <row r="2739" customFormat="false" ht="15" hidden="false" customHeight="false" outlineLevel="0" collapsed="false">
      <c r="B2739" s="19" t="s">
        <v>3797</v>
      </c>
      <c r="C2739" s="20" t="n">
        <f aca="false">ROUND(3.51/FX,2)</f>
        <v>0.49</v>
      </c>
      <c r="D2739" s="21" t="s">
        <v>2339</v>
      </c>
      <c r="E2739" s="21" t="s">
        <v>716</v>
      </c>
      <c r="F2739" s="21" t="s">
        <v>708</v>
      </c>
    </row>
    <row r="2740" customFormat="false" ht="15" hidden="false" customHeight="false" outlineLevel="0" collapsed="false">
      <c r="B2740" s="19" t="s">
        <v>3798</v>
      </c>
      <c r="C2740" s="20" t="n">
        <f aca="false">ROUND(3.51/FX,2)</f>
        <v>0.49</v>
      </c>
      <c r="D2740" s="21" t="s">
        <v>2339</v>
      </c>
      <c r="E2740" s="21" t="s">
        <v>719</v>
      </c>
      <c r="F2740" s="21" t="s">
        <v>708</v>
      </c>
    </row>
    <row r="2741" customFormat="false" ht="15" hidden="false" customHeight="false" outlineLevel="0" collapsed="false">
      <c r="B2741" s="19" t="s">
        <v>3799</v>
      </c>
      <c r="C2741" s="20" t="n">
        <f aca="false">ROUND(6.5/FX,2)</f>
        <v>0.9</v>
      </c>
      <c r="D2741" s="21" t="s">
        <v>2345</v>
      </c>
      <c r="E2741" s="21" t="s">
        <v>707</v>
      </c>
      <c r="F2741" s="21" t="s">
        <v>708</v>
      </c>
    </row>
    <row r="2742" customFormat="false" ht="15" hidden="false" customHeight="false" outlineLevel="0" collapsed="false">
      <c r="B2742" s="19" t="s">
        <v>3800</v>
      </c>
      <c r="C2742" s="20" t="n">
        <f aca="false">ROUND(3.51/FX,2)</f>
        <v>0.49</v>
      </c>
      <c r="D2742" s="21" t="s">
        <v>2345</v>
      </c>
      <c r="E2742" s="21" t="s">
        <v>714</v>
      </c>
      <c r="F2742" s="21" t="s">
        <v>708</v>
      </c>
    </row>
    <row r="2743" customFormat="false" ht="15" hidden="false" customHeight="false" outlineLevel="0" collapsed="false">
      <c r="B2743" s="19" t="s">
        <v>3801</v>
      </c>
      <c r="C2743" s="20" t="n">
        <f aca="false">ROUND(3.51/FX,2)</f>
        <v>0.49</v>
      </c>
      <c r="D2743" s="21" t="s">
        <v>2345</v>
      </c>
      <c r="E2743" s="21" t="s">
        <v>716</v>
      </c>
      <c r="F2743" s="21" t="s">
        <v>708</v>
      </c>
    </row>
    <row r="2744" customFormat="false" ht="15" hidden="false" customHeight="false" outlineLevel="0" collapsed="false">
      <c r="B2744" s="19" t="s">
        <v>3802</v>
      </c>
      <c r="C2744" s="20" t="n">
        <f aca="false">ROUND(3.51/FX,2)</f>
        <v>0.49</v>
      </c>
      <c r="D2744" s="21" t="s">
        <v>2345</v>
      </c>
      <c r="E2744" s="21" t="s">
        <v>719</v>
      </c>
      <c r="F2744" s="21" t="s">
        <v>708</v>
      </c>
    </row>
    <row r="2745" customFormat="false" ht="15" hidden="false" customHeight="false" outlineLevel="0" collapsed="false">
      <c r="B2745" s="19" t="s">
        <v>3803</v>
      </c>
      <c r="C2745" s="20" t="n">
        <f aca="false">ROUND(4.33/FX,2)</f>
        <v>0.6</v>
      </c>
      <c r="D2745" s="21" t="s">
        <v>3804</v>
      </c>
      <c r="E2745" s="21" t="s">
        <v>707</v>
      </c>
      <c r="F2745" s="21" t="s">
        <v>708</v>
      </c>
    </row>
    <row r="2746" customFormat="false" ht="15" hidden="false" customHeight="false" outlineLevel="0" collapsed="false">
      <c r="B2746" s="19" t="s">
        <v>3805</v>
      </c>
      <c r="C2746" s="20" t="n">
        <f aca="false">ROUND(3.51/FX,2)</f>
        <v>0.49</v>
      </c>
      <c r="D2746" s="21" t="s">
        <v>3804</v>
      </c>
      <c r="E2746" s="21" t="s">
        <v>714</v>
      </c>
      <c r="F2746" s="21" t="s">
        <v>708</v>
      </c>
    </row>
    <row r="2747" customFormat="false" ht="15" hidden="false" customHeight="false" outlineLevel="0" collapsed="false">
      <c r="B2747" s="19" t="s">
        <v>3806</v>
      </c>
      <c r="C2747" s="20" t="n">
        <f aca="false">ROUND(3.51/FX,2)</f>
        <v>0.49</v>
      </c>
      <c r="D2747" s="21" t="s">
        <v>3804</v>
      </c>
      <c r="E2747" s="21" t="s">
        <v>716</v>
      </c>
      <c r="F2747" s="21" t="s">
        <v>708</v>
      </c>
    </row>
    <row r="2748" customFormat="false" ht="15" hidden="false" customHeight="false" outlineLevel="0" collapsed="false">
      <c r="B2748" s="19" t="s">
        <v>3807</v>
      </c>
      <c r="C2748" s="20" t="n">
        <f aca="false">ROUND(3.51/FX,2)</f>
        <v>0.49</v>
      </c>
      <c r="D2748" s="21" t="s">
        <v>3804</v>
      </c>
      <c r="E2748" s="21" t="s">
        <v>719</v>
      </c>
      <c r="F2748" s="21" t="s">
        <v>708</v>
      </c>
    </row>
    <row r="2749" customFormat="false" ht="15" hidden="false" customHeight="false" outlineLevel="0" collapsed="false">
      <c r="B2749" s="19" t="s">
        <v>3808</v>
      </c>
      <c r="C2749" s="20" t="n">
        <f aca="false">ROUND(1.95/FX,2)</f>
        <v>0.27</v>
      </c>
      <c r="D2749" s="21" t="s">
        <v>3809</v>
      </c>
      <c r="E2749" s="21" t="s">
        <v>707</v>
      </c>
      <c r="F2749" s="21" t="s">
        <v>708</v>
      </c>
    </row>
    <row r="2750" customFormat="false" ht="15" hidden="false" customHeight="false" outlineLevel="0" collapsed="false">
      <c r="B2750" s="19" t="s">
        <v>3810</v>
      </c>
      <c r="C2750" s="20" t="n">
        <f aca="false">ROUND(6.58/FX,2)</f>
        <v>0.91</v>
      </c>
      <c r="D2750" s="21" t="s">
        <v>3809</v>
      </c>
      <c r="E2750" s="21" t="s">
        <v>714</v>
      </c>
      <c r="F2750" s="21" t="s">
        <v>708</v>
      </c>
    </row>
    <row r="2751" customFormat="false" ht="15" hidden="false" customHeight="false" outlineLevel="0" collapsed="false">
      <c r="B2751" s="19" t="s">
        <v>3811</v>
      </c>
      <c r="C2751" s="20" t="n">
        <f aca="false">ROUND(3.51/FX,2)</f>
        <v>0.49</v>
      </c>
      <c r="D2751" s="21" t="s">
        <v>3809</v>
      </c>
      <c r="E2751" s="21" t="s">
        <v>716</v>
      </c>
      <c r="F2751" s="21" t="s">
        <v>708</v>
      </c>
    </row>
    <row r="2752" customFormat="false" ht="15" hidden="false" customHeight="false" outlineLevel="0" collapsed="false">
      <c r="B2752" s="19" t="s">
        <v>3812</v>
      </c>
      <c r="C2752" s="20" t="n">
        <f aca="false">ROUND(1.95/FX,2)</f>
        <v>0.27</v>
      </c>
      <c r="D2752" s="21" t="s">
        <v>3809</v>
      </c>
      <c r="E2752" s="21" t="s">
        <v>719</v>
      </c>
      <c r="F2752" s="21" t="s">
        <v>708</v>
      </c>
    </row>
    <row r="2753" customFormat="false" ht="15" hidden="false" customHeight="false" outlineLevel="0" collapsed="false">
      <c r="B2753" s="19" t="s">
        <v>3813</v>
      </c>
      <c r="C2753" s="20" t="n">
        <f aca="false">ROUND(1/FX,2)</f>
        <v>0.14</v>
      </c>
      <c r="D2753" s="21" t="s">
        <v>3748</v>
      </c>
      <c r="E2753" s="21" t="s">
        <v>707</v>
      </c>
      <c r="F2753" s="21" t="s">
        <v>3814</v>
      </c>
    </row>
    <row r="2754" customFormat="false" ht="15" hidden="false" customHeight="false" outlineLevel="0" collapsed="false">
      <c r="B2754" s="19" t="s">
        <v>3815</v>
      </c>
      <c r="C2754" s="20" t="n">
        <f aca="false">ROUND(16.9/FX,2)</f>
        <v>2.35</v>
      </c>
      <c r="D2754" s="21" t="s">
        <v>3748</v>
      </c>
      <c r="E2754" s="21" t="s">
        <v>714</v>
      </c>
      <c r="F2754" s="21" t="s">
        <v>3814</v>
      </c>
    </row>
    <row r="2755" customFormat="false" ht="15" hidden="false" customHeight="false" outlineLevel="0" collapsed="false">
      <c r="B2755" s="19" t="s">
        <v>3816</v>
      </c>
      <c r="C2755" s="20" t="n">
        <f aca="false">ROUND(3.9/FX,2)</f>
        <v>0.54</v>
      </c>
      <c r="D2755" s="21" t="s">
        <v>3398</v>
      </c>
      <c r="E2755" s="21" t="s">
        <v>707</v>
      </c>
      <c r="F2755" s="21" t="s">
        <v>3817</v>
      </c>
    </row>
    <row r="2756" customFormat="false" ht="15" hidden="false" customHeight="false" outlineLevel="0" collapsed="false">
      <c r="B2756" s="19" t="s">
        <v>3818</v>
      </c>
      <c r="C2756" s="20" t="n">
        <f aca="false">ROUND(4.16/FX,2)</f>
        <v>0.58</v>
      </c>
      <c r="D2756" s="21" t="s">
        <v>3436</v>
      </c>
      <c r="E2756" s="21" t="s">
        <v>707</v>
      </c>
      <c r="F2756" s="21" t="s">
        <v>3817</v>
      </c>
    </row>
    <row r="2757" customFormat="false" ht="15" hidden="false" customHeight="false" outlineLevel="0" collapsed="false">
      <c r="B2757" s="19" t="s">
        <v>3819</v>
      </c>
      <c r="C2757" s="20" t="n">
        <f aca="false">ROUND(4.55/FX,2)</f>
        <v>0.63</v>
      </c>
      <c r="D2757" s="21" t="s">
        <v>3535</v>
      </c>
      <c r="E2757" s="21" t="s">
        <v>707</v>
      </c>
      <c r="F2757" s="21" t="s">
        <v>3244</v>
      </c>
    </row>
    <row r="2758" customFormat="false" ht="15" hidden="false" customHeight="false" outlineLevel="0" collapsed="false">
      <c r="B2758" s="19" t="s">
        <v>3820</v>
      </c>
      <c r="C2758" s="20" t="n">
        <f aca="false">ROUND(4.55/FX,2)</f>
        <v>0.63</v>
      </c>
      <c r="D2758" s="21" t="s">
        <v>3535</v>
      </c>
      <c r="E2758" s="21" t="s">
        <v>714</v>
      </c>
      <c r="F2758" s="21" t="s">
        <v>3244</v>
      </c>
    </row>
    <row r="2759" customFormat="false" ht="15" hidden="false" customHeight="false" outlineLevel="0" collapsed="false">
      <c r="B2759" s="19" t="s">
        <v>3821</v>
      </c>
      <c r="C2759" s="20" t="n">
        <f aca="false">ROUND(4.55/FX,2)</f>
        <v>0.63</v>
      </c>
      <c r="D2759" s="21" t="s">
        <v>3535</v>
      </c>
      <c r="E2759" s="21" t="s">
        <v>716</v>
      </c>
      <c r="F2759" s="21" t="s">
        <v>3244</v>
      </c>
    </row>
    <row r="2760" customFormat="false" ht="15" hidden="false" customHeight="false" outlineLevel="0" collapsed="false">
      <c r="B2760" s="19" t="s">
        <v>3822</v>
      </c>
      <c r="C2760" s="20" t="n">
        <f aca="false">ROUND(6.5/FX,2)</f>
        <v>0.9</v>
      </c>
      <c r="D2760" s="21" t="s">
        <v>3766</v>
      </c>
      <c r="E2760" s="21" t="s">
        <v>707</v>
      </c>
      <c r="F2760" s="21" t="s">
        <v>3244</v>
      </c>
    </row>
    <row r="2761" customFormat="false" ht="15" hidden="false" customHeight="false" outlineLevel="0" collapsed="false">
      <c r="B2761" s="19" t="s">
        <v>3823</v>
      </c>
      <c r="C2761" s="20" t="n">
        <f aca="false">ROUND(4.55/FX,2)</f>
        <v>0.63</v>
      </c>
      <c r="D2761" s="21" t="s">
        <v>3766</v>
      </c>
      <c r="E2761" s="21" t="s">
        <v>714</v>
      </c>
      <c r="F2761" s="21" t="s">
        <v>3244</v>
      </c>
    </row>
    <row r="2762" customFormat="false" ht="15" hidden="false" customHeight="false" outlineLevel="0" collapsed="false">
      <c r="B2762" s="19" t="s">
        <v>3824</v>
      </c>
      <c r="C2762" s="20" t="n">
        <f aca="false">ROUND(3.9/FX,2)</f>
        <v>0.54</v>
      </c>
      <c r="D2762" s="21" t="s">
        <v>3766</v>
      </c>
      <c r="E2762" s="21" t="s">
        <v>716</v>
      </c>
      <c r="F2762" s="21" t="s">
        <v>3244</v>
      </c>
    </row>
    <row r="2763" customFormat="false" ht="15" hidden="false" customHeight="false" outlineLevel="0" collapsed="false">
      <c r="B2763" s="19" t="s">
        <v>3825</v>
      </c>
      <c r="C2763" s="20" t="n">
        <f aca="false">ROUND(6.5/FX,2)</f>
        <v>0.9</v>
      </c>
      <c r="D2763" s="21" t="s">
        <v>2339</v>
      </c>
      <c r="E2763" s="21" t="s">
        <v>707</v>
      </c>
      <c r="F2763" s="21" t="s">
        <v>3244</v>
      </c>
    </row>
    <row r="2764" customFormat="false" ht="15" hidden="false" customHeight="false" outlineLevel="0" collapsed="false">
      <c r="B2764" s="19" t="s">
        <v>3826</v>
      </c>
      <c r="C2764" s="20" t="n">
        <f aca="false">ROUND(4.55/FX,2)</f>
        <v>0.63</v>
      </c>
      <c r="D2764" s="21" t="s">
        <v>2339</v>
      </c>
      <c r="E2764" s="21" t="s">
        <v>714</v>
      </c>
      <c r="F2764" s="21" t="s">
        <v>3244</v>
      </c>
    </row>
    <row r="2765" customFormat="false" ht="15" hidden="false" customHeight="false" outlineLevel="0" collapsed="false">
      <c r="B2765" s="19" t="s">
        <v>3827</v>
      </c>
      <c r="C2765" s="20" t="n">
        <f aca="false">ROUND(4.55/FX,2)</f>
        <v>0.63</v>
      </c>
      <c r="D2765" s="21" t="s">
        <v>2339</v>
      </c>
      <c r="E2765" s="21" t="s">
        <v>716</v>
      </c>
      <c r="F2765" s="21" t="s">
        <v>3244</v>
      </c>
    </row>
    <row r="2768" customFormat="false" ht="61.5" hidden="false" customHeight="true" outlineLevel="0" collapsed="false">
      <c r="A2768" s="9"/>
      <c r="B2768" s="10" t="s">
        <v>3828</v>
      </c>
      <c r="C2768" s="10"/>
      <c r="D2768" s="10"/>
      <c r="E2768" s="10"/>
      <c r="F2768" s="10"/>
    </row>
    <row r="2769" customFormat="false" ht="15" hidden="false" customHeight="false" outlineLevel="0" collapsed="false">
      <c r="A2769" s="12" t="s">
        <v>700</v>
      </c>
      <c r="B2769" s="13" t="s">
        <v>701</v>
      </c>
      <c r="C2769" s="13" t="s">
        <v>702</v>
      </c>
      <c r="D2769" s="13" t="s">
        <v>830</v>
      </c>
      <c r="E2769" s="13" t="s">
        <v>703</v>
      </c>
      <c r="F2769" s="13" t="s">
        <v>704</v>
      </c>
    </row>
    <row r="2770" customFormat="false" ht="30" hidden="false" customHeight="true" outlineLevel="0" collapsed="false">
      <c r="A2770" s="14" t="s">
        <v>706</v>
      </c>
      <c r="B2770" s="15" t="str">
        <f aca="false">IF(COUNTIFS($D$2773:$D$3457,IF(D2770="","*",D2770),$E$2773:$E$3457,IF(E2770="","*",E2770),$F$2773:$F$3457,IF(F2770="","*",F2770))=1,INDEX($B:$B,SUMPRODUCT(((D2770="")+($D$2773:$D$3457=D2770)&gt;0)*((E2770="")+($E$2773:$E$3457=E2770)&gt;0)*((F2770="")+($F$2773:$F$3457=F2770)&gt;0)*ROW($B$2773:$B$3457))),IF(COUNTIFS($D$2773:$D$3457,IF(D2770="","*",D2770),$E$2773:$E$3457,IF(E2770="","*",E2770),$F$2773:$F$3457,IF(F2770="","*",F2770))=0,"Not available",COUNTIFS($D$2773:$D$3457,IF(D2770="","*",D2770),$E$2773:$E$3457,IF(E2770="","*",E2770),$F$2773:$F$3457,IF(F2770="","*",F2770))&amp;" match, keep choosing"))</f>
        <v>3M-117-10</v>
      </c>
      <c r="C2770" s="16" t="n">
        <f aca="false">IF(COUNTIFS($D$2773:$D$3457,IF(D2770="","*",D2770),$E$2773:$E$3457,IF(E2770="","*",E2770),$F$2773:$F$3457,IF(F2770="","*",F2770))=1,INDEX($C:$C,SUMPRODUCT(((D2770="")+($D$2773:$D$3457=D2770)&gt;0)*((E2770="")+($E$2773:$E$3457=E2770)&gt;0)*((F2770="")+($F$2773:$F$3457=F2770)&gt;0)*ROW($B$2773:$B$3457))),"")</f>
        <v>0.18</v>
      </c>
      <c r="D2770" s="17" t="s">
        <v>3829</v>
      </c>
      <c r="E2770" s="17" t="s">
        <v>707</v>
      </c>
      <c r="F2770" s="17" t="s">
        <v>708</v>
      </c>
    </row>
    <row r="2772" customFormat="false" ht="15" hidden="false" customHeight="false" outlineLevel="0" collapsed="false">
      <c r="B2772" s="18" t="s">
        <v>701</v>
      </c>
      <c r="C2772" s="18" t="s">
        <v>702</v>
      </c>
      <c r="D2772" s="18" t="s">
        <v>830</v>
      </c>
      <c r="E2772" s="18" t="s">
        <v>703</v>
      </c>
      <c r="F2772" s="18" t="s">
        <v>704</v>
      </c>
    </row>
    <row r="2773" customFormat="false" ht="15" hidden="false" customHeight="false" outlineLevel="0" collapsed="false">
      <c r="B2773" s="19" t="s">
        <v>3830</v>
      </c>
      <c r="C2773" s="20" t="n">
        <f aca="false">ROUND(1.3/FX,2)</f>
        <v>0.18</v>
      </c>
      <c r="D2773" s="21" t="s">
        <v>3829</v>
      </c>
      <c r="E2773" s="21" t="s">
        <v>707</v>
      </c>
      <c r="F2773" s="21" t="s">
        <v>708</v>
      </c>
    </row>
    <row r="2774" customFormat="false" ht="15" hidden="false" customHeight="false" outlineLevel="0" collapsed="false">
      <c r="B2774" s="19" t="s">
        <v>3831</v>
      </c>
      <c r="C2774" s="20" t="n">
        <f aca="false">ROUND(3.9/FX,2)</f>
        <v>0.54</v>
      </c>
      <c r="D2774" s="21" t="s">
        <v>3829</v>
      </c>
      <c r="E2774" s="21" t="s">
        <v>714</v>
      </c>
      <c r="F2774" s="21" t="s">
        <v>708</v>
      </c>
    </row>
    <row r="2775" customFormat="false" ht="15" hidden="false" customHeight="false" outlineLevel="0" collapsed="false">
      <c r="B2775" s="19" t="s">
        <v>3832</v>
      </c>
      <c r="C2775" s="20" t="n">
        <f aca="false">ROUND(3.9/FX,2)</f>
        <v>0.54</v>
      </c>
      <c r="D2775" s="21" t="s">
        <v>3829</v>
      </c>
      <c r="E2775" s="21" t="s">
        <v>3833</v>
      </c>
      <c r="F2775" s="21" t="s">
        <v>708</v>
      </c>
    </row>
    <row r="2776" customFormat="false" ht="15" hidden="false" customHeight="false" outlineLevel="0" collapsed="false">
      <c r="B2776" s="19" t="s">
        <v>3834</v>
      </c>
      <c r="C2776" s="20" t="n">
        <f aca="false">ROUND(3.9/FX,2)</f>
        <v>0.54</v>
      </c>
      <c r="D2776" s="21" t="s">
        <v>3829</v>
      </c>
      <c r="E2776" s="21" t="s">
        <v>716</v>
      </c>
      <c r="F2776" s="21" t="s">
        <v>708</v>
      </c>
    </row>
    <row r="2777" customFormat="false" ht="15" hidden="false" customHeight="false" outlineLevel="0" collapsed="false">
      <c r="B2777" s="19" t="s">
        <v>3835</v>
      </c>
      <c r="C2777" s="20" t="n">
        <f aca="false">ROUND(3.9/FX,2)</f>
        <v>0.54</v>
      </c>
      <c r="D2777" s="21" t="s">
        <v>3829</v>
      </c>
      <c r="E2777" s="21" t="s">
        <v>719</v>
      </c>
      <c r="F2777" s="21" t="s">
        <v>708</v>
      </c>
    </row>
    <row r="2778" customFormat="false" ht="15" hidden="false" customHeight="false" outlineLevel="0" collapsed="false">
      <c r="B2778" s="19" t="s">
        <v>3836</v>
      </c>
      <c r="C2778" s="20" t="n">
        <f aca="false">ROUND(0.91/FX,2)</f>
        <v>0.13</v>
      </c>
      <c r="D2778" s="21" t="s">
        <v>3837</v>
      </c>
      <c r="E2778" s="21" t="s">
        <v>707</v>
      </c>
      <c r="F2778" s="21" t="s">
        <v>708</v>
      </c>
    </row>
    <row r="2779" customFormat="false" ht="15" hidden="false" customHeight="false" outlineLevel="0" collapsed="false">
      <c r="B2779" s="19" t="s">
        <v>3838</v>
      </c>
      <c r="C2779" s="20" t="n">
        <f aca="false">ROUND(0.72/FX,2)</f>
        <v>0.1</v>
      </c>
      <c r="D2779" s="21" t="s">
        <v>3837</v>
      </c>
      <c r="E2779" s="21" t="s">
        <v>714</v>
      </c>
      <c r="F2779" s="21" t="s">
        <v>708</v>
      </c>
    </row>
    <row r="2780" customFormat="false" ht="15" hidden="false" customHeight="false" outlineLevel="0" collapsed="false">
      <c r="B2780" s="19" t="s">
        <v>3839</v>
      </c>
      <c r="C2780" s="20" t="n">
        <f aca="false">ROUND(0.72/FX,2)</f>
        <v>0.1</v>
      </c>
      <c r="D2780" s="21" t="s">
        <v>3837</v>
      </c>
      <c r="E2780" s="21" t="s">
        <v>3833</v>
      </c>
      <c r="F2780" s="21" t="s">
        <v>708</v>
      </c>
    </row>
    <row r="2781" customFormat="false" ht="15" hidden="false" customHeight="false" outlineLevel="0" collapsed="false">
      <c r="B2781" s="19" t="s">
        <v>3840</v>
      </c>
      <c r="C2781" s="20" t="n">
        <f aca="false">ROUND(0.72/FX,2)</f>
        <v>0.1</v>
      </c>
      <c r="D2781" s="21" t="s">
        <v>3837</v>
      </c>
      <c r="E2781" s="21" t="s">
        <v>716</v>
      </c>
      <c r="F2781" s="21" t="s">
        <v>708</v>
      </c>
    </row>
    <row r="2782" customFormat="false" ht="15" hidden="false" customHeight="false" outlineLevel="0" collapsed="false">
      <c r="B2782" s="19" t="s">
        <v>3841</v>
      </c>
      <c r="C2782" s="20" t="n">
        <f aca="false">ROUND(0.72/FX,2)</f>
        <v>0.1</v>
      </c>
      <c r="D2782" s="21" t="s">
        <v>3837</v>
      </c>
      <c r="E2782" s="21" t="s">
        <v>719</v>
      </c>
      <c r="F2782" s="21" t="s">
        <v>708</v>
      </c>
    </row>
    <row r="2783" customFormat="false" ht="15" hidden="false" customHeight="false" outlineLevel="0" collapsed="false">
      <c r="B2783" s="19" t="s">
        <v>3842</v>
      </c>
      <c r="C2783" s="20" t="n">
        <f aca="false">ROUND(3.9/FX,2)</f>
        <v>0.54</v>
      </c>
      <c r="D2783" s="21" t="s">
        <v>2821</v>
      </c>
      <c r="E2783" s="21" t="s">
        <v>707</v>
      </c>
      <c r="F2783" s="21" t="s">
        <v>708</v>
      </c>
    </row>
    <row r="2784" customFormat="false" ht="15" hidden="false" customHeight="false" outlineLevel="0" collapsed="false">
      <c r="B2784" s="19" t="s">
        <v>3843</v>
      </c>
      <c r="C2784" s="20" t="n">
        <f aca="false">ROUND(3.9/FX,2)</f>
        <v>0.54</v>
      </c>
      <c r="D2784" s="21" t="s">
        <v>2821</v>
      </c>
      <c r="E2784" s="21" t="s">
        <v>714</v>
      </c>
      <c r="F2784" s="21" t="s">
        <v>708</v>
      </c>
    </row>
    <row r="2785" customFormat="false" ht="15" hidden="false" customHeight="false" outlineLevel="0" collapsed="false">
      <c r="B2785" s="19" t="s">
        <v>3844</v>
      </c>
      <c r="C2785" s="20" t="n">
        <f aca="false">ROUND(3.9/FX,2)</f>
        <v>0.54</v>
      </c>
      <c r="D2785" s="21" t="s">
        <v>2821</v>
      </c>
      <c r="E2785" s="21" t="s">
        <v>3833</v>
      </c>
      <c r="F2785" s="21" t="s">
        <v>708</v>
      </c>
    </row>
    <row r="2786" customFormat="false" ht="15" hidden="false" customHeight="false" outlineLevel="0" collapsed="false">
      <c r="B2786" s="19" t="s">
        <v>3845</v>
      </c>
      <c r="C2786" s="20" t="n">
        <f aca="false">ROUND(1.04/FX,2)</f>
        <v>0.14</v>
      </c>
      <c r="D2786" s="21" t="s">
        <v>2821</v>
      </c>
      <c r="E2786" s="21" t="s">
        <v>716</v>
      </c>
      <c r="F2786" s="21" t="s">
        <v>708</v>
      </c>
    </row>
    <row r="2787" customFormat="false" ht="15" hidden="false" customHeight="false" outlineLevel="0" collapsed="false">
      <c r="B2787" s="19" t="s">
        <v>3846</v>
      </c>
      <c r="C2787" s="20" t="n">
        <f aca="false">ROUND(3.9/FX,2)</f>
        <v>0.54</v>
      </c>
      <c r="D2787" s="21" t="s">
        <v>2821</v>
      </c>
      <c r="E2787" s="21" t="s">
        <v>719</v>
      </c>
      <c r="F2787" s="21" t="s">
        <v>708</v>
      </c>
    </row>
    <row r="2788" customFormat="false" ht="15" hidden="false" customHeight="false" outlineLevel="0" collapsed="false">
      <c r="B2788" s="19" t="s">
        <v>3847</v>
      </c>
      <c r="C2788" s="20" t="n">
        <f aca="false">ROUND(3.9/FX,2)</f>
        <v>0.54</v>
      </c>
      <c r="D2788" s="21" t="s">
        <v>3848</v>
      </c>
      <c r="E2788" s="21" t="s">
        <v>707</v>
      </c>
      <c r="F2788" s="21" t="s">
        <v>708</v>
      </c>
    </row>
    <row r="2789" customFormat="false" ht="15" hidden="false" customHeight="false" outlineLevel="0" collapsed="false">
      <c r="B2789" s="19" t="s">
        <v>3849</v>
      </c>
      <c r="C2789" s="20" t="n">
        <f aca="false">ROUND(3.9/FX,2)</f>
        <v>0.54</v>
      </c>
      <c r="D2789" s="21" t="s">
        <v>3848</v>
      </c>
      <c r="E2789" s="21" t="s">
        <v>714</v>
      </c>
      <c r="F2789" s="21" t="s">
        <v>708</v>
      </c>
    </row>
    <row r="2790" customFormat="false" ht="15" hidden="false" customHeight="false" outlineLevel="0" collapsed="false">
      <c r="B2790" s="19" t="s">
        <v>3850</v>
      </c>
      <c r="C2790" s="20" t="n">
        <f aca="false">ROUND(3.9/FX,2)</f>
        <v>0.54</v>
      </c>
      <c r="D2790" s="21" t="s">
        <v>3848</v>
      </c>
      <c r="E2790" s="21" t="s">
        <v>3833</v>
      </c>
      <c r="F2790" s="21" t="s">
        <v>708</v>
      </c>
    </row>
    <row r="2791" customFormat="false" ht="15" hidden="false" customHeight="false" outlineLevel="0" collapsed="false">
      <c r="B2791" s="19" t="s">
        <v>3851</v>
      </c>
      <c r="C2791" s="20" t="n">
        <f aca="false">ROUND(0.65/FX,2)</f>
        <v>0.09</v>
      </c>
      <c r="D2791" s="21" t="s">
        <v>3848</v>
      </c>
      <c r="E2791" s="21" t="s">
        <v>716</v>
      </c>
      <c r="F2791" s="21" t="s">
        <v>708</v>
      </c>
    </row>
    <row r="2792" customFormat="false" ht="15" hidden="false" customHeight="false" outlineLevel="0" collapsed="false">
      <c r="B2792" s="19" t="s">
        <v>3852</v>
      </c>
      <c r="C2792" s="20" t="n">
        <f aca="false">ROUND(3.9/FX,2)</f>
        <v>0.54</v>
      </c>
      <c r="D2792" s="21" t="s">
        <v>3848</v>
      </c>
      <c r="E2792" s="21" t="s">
        <v>719</v>
      </c>
      <c r="F2792" s="21" t="s">
        <v>708</v>
      </c>
    </row>
    <row r="2793" customFormat="false" ht="15" hidden="false" customHeight="false" outlineLevel="0" collapsed="false">
      <c r="B2793" s="19" t="s">
        <v>3853</v>
      </c>
      <c r="C2793" s="20" t="n">
        <f aca="false">ROUND(3.9/FX,2)</f>
        <v>0.54</v>
      </c>
      <c r="D2793" s="21" t="s">
        <v>2851</v>
      </c>
      <c r="E2793" s="21" t="s">
        <v>707</v>
      </c>
      <c r="F2793" s="21" t="s">
        <v>708</v>
      </c>
    </row>
    <row r="2794" customFormat="false" ht="15" hidden="false" customHeight="false" outlineLevel="0" collapsed="false">
      <c r="B2794" s="19" t="s">
        <v>3854</v>
      </c>
      <c r="C2794" s="20" t="n">
        <f aca="false">ROUND(3.9/FX,2)</f>
        <v>0.54</v>
      </c>
      <c r="D2794" s="21" t="s">
        <v>2851</v>
      </c>
      <c r="E2794" s="21" t="s">
        <v>714</v>
      </c>
      <c r="F2794" s="21" t="s">
        <v>708</v>
      </c>
    </row>
    <row r="2795" customFormat="false" ht="15" hidden="false" customHeight="false" outlineLevel="0" collapsed="false">
      <c r="B2795" s="19" t="s">
        <v>3855</v>
      </c>
      <c r="C2795" s="20" t="n">
        <f aca="false">ROUND(3.9/FX,2)</f>
        <v>0.54</v>
      </c>
      <c r="D2795" s="21" t="s">
        <v>2851</v>
      </c>
      <c r="E2795" s="21" t="s">
        <v>3833</v>
      </c>
      <c r="F2795" s="21" t="s">
        <v>708</v>
      </c>
    </row>
    <row r="2796" customFormat="false" ht="15" hidden="false" customHeight="false" outlineLevel="0" collapsed="false">
      <c r="B2796" s="19" t="s">
        <v>3856</v>
      </c>
      <c r="C2796" s="20" t="n">
        <f aca="false">ROUND(1.04/FX,2)</f>
        <v>0.14</v>
      </c>
      <c r="D2796" s="21" t="s">
        <v>2851</v>
      </c>
      <c r="E2796" s="21" t="s">
        <v>716</v>
      </c>
      <c r="F2796" s="21" t="s">
        <v>708</v>
      </c>
    </row>
    <row r="2797" customFormat="false" ht="15" hidden="false" customHeight="false" outlineLevel="0" collapsed="false">
      <c r="B2797" s="19" t="s">
        <v>3857</v>
      </c>
      <c r="C2797" s="20" t="n">
        <f aca="false">ROUND(3.9/FX,2)</f>
        <v>0.54</v>
      </c>
      <c r="D2797" s="21" t="s">
        <v>2851</v>
      </c>
      <c r="E2797" s="21" t="s">
        <v>719</v>
      </c>
      <c r="F2797" s="21" t="s">
        <v>708</v>
      </c>
    </row>
    <row r="2798" customFormat="false" ht="15" hidden="false" customHeight="false" outlineLevel="0" collapsed="false">
      <c r="B2798" s="19" t="s">
        <v>3858</v>
      </c>
      <c r="C2798" s="20" t="n">
        <f aca="false">ROUND(1.69/FX,2)</f>
        <v>0.23</v>
      </c>
      <c r="D2798" s="21" t="s">
        <v>3859</v>
      </c>
      <c r="E2798" s="21" t="s">
        <v>707</v>
      </c>
      <c r="F2798" s="21" t="s">
        <v>708</v>
      </c>
    </row>
    <row r="2799" customFormat="false" ht="15" hidden="false" customHeight="false" outlineLevel="0" collapsed="false">
      <c r="B2799" s="19" t="s">
        <v>3860</v>
      </c>
      <c r="C2799" s="20" t="n">
        <f aca="false">ROUND(2.54/FX,2)</f>
        <v>0.35</v>
      </c>
      <c r="D2799" s="21" t="s">
        <v>3859</v>
      </c>
      <c r="E2799" s="21" t="s">
        <v>714</v>
      </c>
      <c r="F2799" s="21" t="s">
        <v>708</v>
      </c>
    </row>
    <row r="2800" customFormat="false" ht="15" hidden="false" customHeight="false" outlineLevel="0" collapsed="false">
      <c r="B2800" s="19" t="s">
        <v>3861</v>
      </c>
      <c r="C2800" s="20" t="n">
        <f aca="false">ROUND(3.9/FX,2)</f>
        <v>0.54</v>
      </c>
      <c r="D2800" s="21" t="s">
        <v>3859</v>
      </c>
      <c r="E2800" s="21" t="s">
        <v>3833</v>
      </c>
      <c r="F2800" s="21" t="s">
        <v>708</v>
      </c>
    </row>
    <row r="2801" customFormat="false" ht="15" hidden="false" customHeight="false" outlineLevel="0" collapsed="false">
      <c r="B2801" s="19" t="s">
        <v>3862</v>
      </c>
      <c r="C2801" s="20" t="n">
        <f aca="false">ROUND(1.04/FX,2)</f>
        <v>0.14</v>
      </c>
      <c r="D2801" s="21" t="s">
        <v>3859</v>
      </c>
      <c r="E2801" s="21" t="s">
        <v>716</v>
      </c>
      <c r="F2801" s="21" t="s">
        <v>708</v>
      </c>
    </row>
    <row r="2802" customFormat="false" ht="15" hidden="false" customHeight="false" outlineLevel="0" collapsed="false">
      <c r="B2802" s="19" t="s">
        <v>3863</v>
      </c>
      <c r="C2802" s="20" t="n">
        <f aca="false">ROUND(3.9/FX,2)</f>
        <v>0.54</v>
      </c>
      <c r="D2802" s="21" t="s">
        <v>3859</v>
      </c>
      <c r="E2802" s="21" t="s">
        <v>719</v>
      </c>
      <c r="F2802" s="21" t="s">
        <v>708</v>
      </c>
    </row>
    <row r="2803" customFormat="false" ht="15" hidden="false" customHeight="false" outlineLevel="0" collapsed="false">
      <c r="B2803" s="19" t="s">
        <v>3864</v>
      </c>
      <c r="C2803" s="20" t="n">
        <f aca="false">ROUND(1.69/FX,2)</f>
        <v>0.23</v>
      </c>
      <c r="D2803" s="21" t="s">
        <v>2881</v>
      </c>
      <c r="E2803" s="21" t="s">
        <v>707</v>
      </c>
      <c r="F2803" s="21" t="s">
        <v>708</v>
      </c>
    </row>
    <row r="2804" customFormat="false" ht="15" hidden="false" customHeight="false" outlineLevel="0" collapsed="false">
      <c r="B2804" s="19" t="s">
        <v>3865</v>
      </c>
      <c r="C2804" s="20" t="n">
        <f aca="false">ROUND(3.9/FX,2)</f>
        <v>0.54</v>
      </c>
      <c r="D2804" s="21" t="s">
        <v>2881</v>
      </c>
      <c r="E2804" s="21" t="s">
        <v>714</v>
      </c>
      <c r="F2804" s="21" t="s">
        <v>708</v>
      </c>
    </row>
    <row r="2805" customFormat="false" ht="15" hidden="false" customHeight="false" outlineLevel="0" collapsed="false">
      <c r="B2805" s="19" t="s">
        <v>3866</v>
      </c>
      <c r="C2805" s="20" t="n">
        <f aca="false">ROUND(3.9/FX,2)</f>
        <v>0.54</v>
      </c>
      <c r="D2805" s="21" t="s">
        <v>2881</v>
      </c>
      <c r="E2805" s="21" t="s">
        <v>3833</v>
      </c>
      <c r="F2805" s="21" t="s">
        <v>708</v>
      </c>
    </row>
    <row r="2806" customFormat="false" ht="15" hidden="false" customHeight="false" outlineLevel="0" collapsed="false">
      <c r="B2806" s="19" t="s">
        <v>3867</v>
      </c>
      <c r="C2806" s="20" t="n">
        <f aca="false">ROUND(3.9/FX,2)</f>
        <v>0.54</v>
      </c>
      <c r="D2806" s="21" t="s">
        <v>2881</v>
      </c>
      <c r="E2806" s="21" t="s">
        <v>716</v>
      </c>
      <c r="F2806" s="21" t="s">
        <v>708</v>
      </c>
    </row>
    <row r="2807" customFormat="false" ht="15" hidden="false" customHeight="false" outlineLevel="0" collapsed="false">
      <c r="B2807" s="19" t="s">
        <v>3868</v>
      </c>
      <c r="C2807" s="20" t="n">
        <f aca="false">ROUND(3.9/FX,2)</f>
        <v>0.54</v>
      </c>
      <c r="D2807" s="21" t="s">
        <v>2881</v>
      </c>
      <c r="E2807" s="21" t="s">
        <v>719</v>
      </c>
      <c r="F2807" s="21" t="s">
        <v>708</v>
      </c>
    </row>
    <row r="2808" customFormat="false" ht="15" hidden="false" customHeight="false" outlineLevel="0" collapsed="false">
      <c r="B2808" s="19" t="s">
        <v>3869</v>
      </c>
      <c r="C2808" s="20" t="n">
        <f aca="false">ROUND(1.69/FX,2)</f>
        <v>0.23</v>
      </c>
      <c r="D2808" s="21" t="s">
        <v>3870</v>
      </c>
      <c r="E2808" s="21" t="s">
        <v>707</v>
      </c>
      <c r="F2808" s="21" t="s">
        <v>708</v>
      </c>
    </row>
    <row r="2809" customFormat="false" ht="15" hidden="false" customHeight="false" outlineLevel="0" collapsed="false">
      <c r="B2809" s="19" t="s">
        <v>3871</v>
      </c>
      <c r="C2809" s="20" t="n">
        <f aca="false">ROUND(2.54/FX,2)</f>
        <v>0.35</v>
      </c>
      <c r="D2809" s="21" t="s">
        <v>3870</v>
      </c>
      <c r="E2809" s="21" t="s">
        <v>714</v>
      </c>
      <c r="F2809" s="21" t="s">
        <v>708</v>
      </c>
    </row>
    <row r="2810" customFormat="false" ht="15" hidden="false" customHeight="false" outlineLevel="0" collapsed="false">
      <c r="B2810" s="19" t="s">
        <v>3872</v>
      </c>
      <c r="C2810" s="20" t="n">
        <f aca="false">ROUND(3.9/FX,2)</f>
        <v>0.54</v>
      </c>
      <c r="D2810" s="21" t="s">
        <v>3870</v>
      </c>
      <c r="E2810" s="21" t="s">
        <v>3833</v>
      </c>
      <c r="F2810" s="21" t="s">
        <v>708</v>
      </c>
    </row>
    <row r="2811" customFormat="false" ht="15" hidden="false" customHeight="false" outlineLevel="0" collapsed="false">
      <c r="B2811" s="19" t="s">
        <v>3873</v>
      </c>
      <c r="C2811" s="20" t="n">
        <f aca="false">ROUND(3.9/FX,2)</f>
        <v>0.54</v>
      </c>
      <c r="D2811" s="21" t="s">
        <v>3870</v>
      </c>
      <c r="E2811" s="21" t="s">
        <v>716</v>
      </c>
      <c r="F2811" s="21" t="s">
        <v>708</v>
      </c>
    </row>
    <row r="2812" customFormat="false" ht="15" hidden="false" customHeight="false" outlineLevel="0" collapsed="false">
      <c r="B2812" s="19" t="s">
        <v>3874</v>
      </c>
      <c r="C2812" s="20" t="n">
        <f aca="false">ROUND(3.9/FX,2)</f>
        <v>0.54</v>
      </c>
      <c r="D2812" s="21" t="s">
        <v>3870</v>
      </c>
      <c r="E2812" s="21" t="s">
        <v>719</v>
      </c>
      <c r="F2812" s="21" t="s">
        <v>708</v>
      </c>
    </row>
    <row r="2813" customFormat="false" ht="15" hidden="false" customHeight="false" outlineLevel="0" collapsed="false">
      <c r="B2813" s="19" t="s">
        <v>3875</v>
      </c>
      <c r="C2813" s="20" t="n">
        <f aca="false">ROUND(1.69/FX,2)</f>
        <v>0.23</v>
      </c>
      <c r="D2813" s="21" t="s">
        <v>832</v>
      </c>
      <c r="E2813" s="21" t="s">
        <v>707</v>
      </c>
      <c r="F2813" s="21" t="s">
        <v>708</v>
      </c>
    </row>
    <row r="2814" customFormat="false" ht="15" hidden="false" customHeight="false" outlineLevel="0" collapsed="false">
      <c r="B2814" s="19" t="s">
        <v>3876</v>
      </c>
      <c r="C2814" s="20" t="n">
        <f aca="false">ROUND(2.54/FX,2)</f>
        <v>0.35</v>
      </c>
      <c r="D2814" s="21" t="s">
        <v>832</v>
      </c>
      <c r="E2814" s="21" t="s">
        <v>714</v>
      </c>
      <c r="F2814" s="21" t="s">
        <v>708</v>
      </c>
    </row>
    <row r="2815" customFormat="false" ht="15" hidden="false" customHeight="false" outlineLevel="0" collapsed="false">
      <c r="B2815" s="19" t="s">
        <v>3877</v>
      </c>
      <c r="C2815" s="20" t="n">
        <f aca="false">ROUND(3.9/FX,2)</f>
        <v>0.54</v>
      </c>
      <c r="D2815" s="21" t="s">
        <v>832</v>
      </c>
      <c r="E2815" s="21" t="s">
        <v>3833</v>
      </c>
      <c r="F2815" s="21" t="s">
        <v>708</v>
      </c>
    </row>
    <row r="2816" customFormat="false" ht="15" hidden="false" customHeight="false" outlineLevel="0" collapsed="false">
      <c r="B2816" s="19" t="s">
        <v>3878</v>
      </c>
      <c r="C2816" s="20" t="n">
        <f aca="false">ROUND(3.9/FX,2)</f>
        <v>0.54</v>
      </c>
      <c r="D2816" s="21" t="s">
        <v>832</v>
      </c>
      <c r="E2816" s="21" t="s">
        <v>716</v>
      </c>
      <c r="F2816" s="21" t="s">
        <v>708</v>
      </c>
    </row>
    <row r="2817" customFormat="false" ht="15" hidden="false" customHeight="false" outlineLevel="0" collapsed="false">
      <c r="B2817" s="19" t="s">
        <v>3879</v>
      </c>
      <c r="C2817" s="20" t="n">
        <f aca="false">ROUND(3.9/FX,2)</f>
        <v>0.54</v>
      </c>
      <c r="D2817" s="21" t="s">
        <v>832</v>
      </c>
      <c r="E2817" s="21" t="s">
        <v>719</v>
      </c>
      <c r="F2817" s="21" t="s">
        <v>708</v>
      </c>
    </row>
    <row r="2818" customFormat="false" ht="15" hidden="false" customHeight="false" outlineLevel="0" collapsed="false">
      <c r="B2818" s="19" t="s">
        <v>3880</v>
      </c>
      <c r="C2818" s="20" t="n">
        <f aca="false">ROUND(1.69/FX,2)</f>
        <v>0.23</v>
      </c>
      <c r="D2818" s="21" t="s">
        <v>3881</v>
      </c>
      <c r="E2818" s="21" t="s">
        <v>707</v>
      </c>
      <c r="F2818" s="21" t="s">
        <v>708</v>
      </c>
    </row>
    <row r="2819" customFormat="false" ht="15" hidden="false" customHeight="false" outlineLevel="0" collapsed="false">
      <c r="B2819" s="19" t="s">
        <v>3882</v>
      </c>
      <c r="C2819" s="20" t="n">
        <f aca="false">ROUND(2.54/FX,2)</f>
        <v>0.35</v>
      </c>
      <c r="D2819" s="21" t="s">
        <v>3881</v>
      </c>
      <c r="E2819" s="21" t="s">
        <v>714</v>
      </c>
      <c r="F2819" s="21" t="s">
        <v>708</v>
      </c>
    </row>
    <row r="2820" customFormat="false" ht="15" hidden="false" customHeight="false" outlineLevel="0" collapsed="false">
      <c r="B2820" s="19" t="s">
        <v>3883</v>
      </c>
      <c r="C2820" s="20" t="n">
        <f aca="false">ROUND(3.9/FX,2)</f>
        <v>0.54</v>
      </c>
      <c r="D2820" s="21" t="s">
        <v>3881</v>
      </c>
      <c r="E2820" s="21" t="s">
        <v>3833</v>
      </c>
      <c r="F2820" s="21" t="s">
        <v>708</v>
      </c>
    </row>
    <row r="2821" customFormat="false" ht="15" hidden="false" customHeight="false" outlineLevel="0" collapsed="false">
      <c r="B2821" s="19" t="s">
        <v>3884</v>
      </c>
      <c r="C2821" s="20" t="n">
        <f aca="false">ROUND(3.9/FX,2)</f>
        <v>0.54</v>
      </c>
      <c r="D2821" s="21" t="s">
        <v>3881</v>
      </c>
      <c r="E2821" s="21" t="s">
        <v>716</v>
      </c>
      <c r="F2821" s="21" t="s">
        <v>708</v>
      </c>
    </row>
    <row r="2822" customFormat="false" ht="15" hidden="false" customHeight="false" outlineLevel="0" collapsed="false">
      <c r="B2822" s="19" t="s">
        <v>3885</v>
      </c>
      <c r="C2822" s="20" t="n">
        <f aca="false">ROUND(3.9/FX,2)</f>
        <v>0.54</v>
      </c>
      <c r="D2822" s="21" t="s">
        <v>3881</v>
      </c>
      <c r="E2822" s="21" t="s">
        <v>719</v>
      </c>
      <c r="F2822" s="21" t="s">
        <v>708</v>
      </c>
    </row>
    <row r="2823" customFormat="false" ht="15" hidden="false" customHeight="false" outlineLevel="0" collapsed="false">
      <c r="B2823" s="19" t="s">
        <v>3886</v>
      </c>
      <c r="C2823" s="20" t="n">
        <f aca="false">ROUND(1.69/FX,2)</f>
        <v>0.23</v>
      </c>
      <c r="D2823" s="21" t="s">
        <v>872</v>
      </c>
      <c r="E2823" s="21" t="s">
        <v>707</v>
      </c>
      <c r="F2823" s="21" t="s">
        <v>708</v>
      </c>
    </row>
    <row r="2824" customFormat="false" ht="15" hidden="false" customHeight="false" outlineLevel="0" collapsed="false">
      <c r="B2824" s="19" t="s">
        <v>3887</v>
      </c>
      <c r="C2824" s="20" t="n">
        <f aca="false">ROUND(2.54/FX,2)</f>
        <v>0.35</v>
      </c>
      <c r="D2824" s="21" t="s">
        <v>872</v>
      </c>
      <c r="E2824" s="21" t="s">
        <v>714</v>
      </c>
      <c r="F2824" s="21" t="s">
        <v>708</v>
      </c>
    </row>
    <row r="2825" customFormat="false" ht="15" hidden="false" customHeight="false" outlineLevel="0" collapsed="false">
      <c r="B2825" s="19" t="s">
        <v>3888</v>
      </c>
      <c r="C2825" s="20" t="n">
        <f aca="false">ROUND(3.9/FX,2)</f>
        <v>0.54</v>
      </c>
      <c r="D2825" s="21" t="s">
        <v>872</v>
      </c>
      <c r="E2825" s="21" t="s">
        <v>3833</v>
      </c>
      <c r="F2825" s="21" t="s">
        <v>708</v>
      </c>
    </row>
    <row r="2826" customFormat="false" ht="15" hidden="false" customHeight="false" outlineLevel="0" collapsed="false">
      <c r="B2826" s="19" t="s">
        <v>3889</v>
      </c>
      <c r="C2826" s="20" t="n">
        <f aca="false">ROUND(3.9/FX,2)</f>
        <v>0.54</v>
      </c>
      <c r="D2826" s="21" t="s">
        <v>872</v>
      </c>
      <c r="E2826" s="21" t="s">
        <v>716</v>
      </c>
      <c r="F2826" s="21" t="s">
        <v>708</v>
      </c>
    </row>
    <row r="2827" customFormat="false" ht="15" hidden="false" customHeight="false" outlineLevel="0" collapsed="false">
      <c r="B2827" s="19" t="s">
        <v>3890</v>
      </c>
      <c r="C2827" s="20" t="n">
        <f aca="false">ROUND(3.9/FX,2)</f>
        <v>0.54</v>
      </c>
      <c r="D2827" s="21" t="s">
        <v>872</v>
      </c>
      <c r="E2827" s="21" t="s">
        <v>719</v>
      </c>
      <c r="F2827" s="21" t="s">
        <v>708</v>
      </c>
    </row>
    <row r="2828" customFormat="false" ht="15" hidden="false" customHeight="false" outlineLevel="0" collapsed="false">
      <c r="B2828" s="19" t="s">
        <v>3891</v>
      </c>
      <c r="C2828" s="20" t="n">
        <f aca="false">ROUND(1.17/FX,2)</f>
        <v>0.16</v>
      </c>
      <c r="D2828" s="21" t="s">
        <v>3892</v>
      </c>
      <c r="E2828" s="21" t="s">
        <v>707</v>
      </c>
      <c r="F2828" s="21" t="s">
        <v>708</v>
      </c>
    </row>
    <row r="2829" customFormat="false" ht="15" hidden="false" customHeight="false" outlineLevel="0" collapsed="false">
      <c r="B2829" s="19" t="s">
        <v>3893</v>
      </c>
      <c r="C2829" s="20" t="n">
        <f aca="false">ROUND(2.54/FX,2)</f>
        <v>0.35</v>
      </c>
      <c r="D2829" s="21" t="s">
        <v>3892</v>
      </c>
      <c r="E2829" s="21" t="s">
        <v>714</v>
      </c>
      <c r="F2829" s="21" t="s">
        <v>708</v>
      </c>
    </row>
    <row r="2830" customFormat="false" ht="15" hidden="false" customHeight="false" outlineLevel="0" collapsed="false">
      <c r="B2830" s="19" t="s">
        <v>3894</v>
      </c>
      <c r="C2830" s="20" t="n">
        <f aca="false">ROUND(3.9/FX,2)</f>
        <v>0.54</v>
      </c>
      <c r="D2830" s="21" t="s">
        <v>3892</v>
      </c>
      <c r="E2830" s="21" t="s">
        <v>3833</v>
      </c>
      <c r="F2830" s="21" t="s">
        <v>708</v>
      </c>
    </row>
    <row r="2831" customFormat="false" ht="15" hidden="false" customHeight="false" outlineLevel="0" collapsed="false">
      <c r="B2831" s="19" t="s">
        <v>3895</v>
      </c>
      <c r="C2831" s="20" t="n">
        <f aca="false">ROUND(3.9/FX,2)</f>
        <v>0.54</v>
      </c>
      <c r="D2831" s="21" t="s">
        <v>3892</v>
      </c>
      <c r="E2831" s="21" t="s">
        <v>716</v>
      </c>
      <c r="F2831" s="21" t="s">
        <v>708</v>
      </c>
    </row>
    <row r="2832" customFormat="false" ht="15" hidden="false" customHeight="false" outlineLevel="0" collapsed="false">
      <c r="B2832" s="19" t="s">
        <v>3896</v>
      </c>
      <c r="C2832" s="20" t="n">
        <f aca="false">ROUND(3.9/FX,2)</f>
        <v>0.54</v>
      </c>
      <c r="D2832" s="21" t="s">
        <v>3892</v>
      </c>
      <c r="E2832" s="21" t="s">
        <v>719</v>
      </c>
      <c r="F2832" s="21" t="s">
        <v>708</v>
      </c>
    </row>
    <row r="2833" customFormat="false" ht="15" hidden="false" customHeight="false" outlineLevel="0" collapsed="false">
      <c r="B2833" s="19" t="s">
        <v>3897</v>
      </c>
      <c r="C2833" s="20" t="n">
        <f aca="false">ROUND(1.69/FX,2)</f>
        <v>0.23</v>
      </c>
      <c r="D2833" s="21" t="s">
        <v>905</v>
      </c>
      <c r="E2833" s="21" t="s">
        <v>707</v>
      </c>
      <c r="F2833" s="21" t="s">
        <v>708</v>
      </c>
    </row>
    <row r="2834" customFormat="false" ht="15" hidden="false" customHeight="false" outlineLevel="0" collapsed="false">
      <c r="B2834" s="19" t="s">
        <v>3898</v>
      </c>
      <c r="C2834" s="20" t="n">
        <f aca="false">ROUND(2.54/FX,2)</f>
        <v>0.35</v>
      </c>
      <c r="D2834" s="21" t="s">
        <v>905</v>
      </c>
      <c r="E2834" s="21" t="s">
        <v>714</v>
      </c>
      <c r="F2834" s="21" t="s">
        <v>708</v>
      </c>
    </row>
    <row r="2835" customFormat="false" ht="15" hidden="false" customHeight="false" outlineLevel="0" collapsed="false">
      <c r="B2835" s="19" t="s">
        <v>3899</v>
      </c>
      <c r="C2835" s="20" t="n">
        <f aca="false">ROUND(3.9/FX,2)</f>
        <v>0.54</v>
      </c>
      <c r="D2835" s="21" t="s">
        <v>905</v>
      </c>
      <c r="E2835" s="21" t="s">
        <v>3833</v>
      </c>
      <c r="F2835" s="21" t="s">
        <v>708</v>
      </c>
    </row>
    <row r="2836" customFormat="false" ht="15" hidden="false" customHeight="false" outlineLevel="0" collapsed="false">
      <c r="B2836" s="19" t="s">
        <v>3900</v>
      </c>
      <c r="C2836" s="20" t="n">
        <f aca="false">ROUND(3.9/FX,2)</f>
        <v>0.54</v>
      </c>
      <c r="D2836" s="21" t="s">
        <v>905</v>
      </c>
      <c r="E2836" s="21" t="s">
        <v>716</v>
      </c>
      <c r="F2836" s="21" t="s">
        <v>708</v>
      </c>
    </row>
    <row r="2837" customFormat="false" ht="15" hidden="false" customHeight="false" outlineLevel="0" collapsed="false">
      <c r="B2837" s="19" t="s">
        <v>3901</v>
      </c>
      <c r="C2837" s="20" t="n">
        <f aca="false">ROUND(3.9/FX,2)</f>
        <v>0.54</v>
      </c>
      <c r="D2837" s="21" t="s">
        <v>905</v>
      </c>
      <c r="E2837" s="21" t="s">
        <v>719</v>
      </c>
      <c r="F2837" s="21" t="s">
        <v>708</v>
      </c>
    </row>
    <row r="2838" customFormat="false" ht="15" hidden="false" customHeight="false" outlineLevel="0" collapsed="false">
      <c r="B2838" s="19" t="s">
        <v>3902</v>
      </c>
      <c r="C2838" s="20" t="n">
        <f aca="false">ROUND(1.69/FX,2)</f>
        <v>0.23</v>
      </c>
      <c r="D2838" s="21" t="s">
        <v>3903</v>
      </c>
      <c r="E2838" s="21" t="s">
        <v>707</v>
      </c>
      <c r="F2838" s="21" t="s">
        <v>708</v>
      </c>
    </row>
    <row r="2839" customFormat="false" ht="15" hidden="false" customHeight="false" outlineLevel="0" collapsed="false">
      <c r="B2839" s="19" t="s">
        <v>3904</v>
      </c>
      <c r="C2839" s="20" t="n">
        <f aca="false">ROUND(2.54/FX,2)</f>
        <v>0.35</v>
      </c>
      <c r="D2839" s="21" t="s">
        <v>3903</v>
      </c>
      <c r="E2839" s="21" t="s">
        <v>714</v>
      </c>
      <c r="F2839" s="21" t="s">
        <v>708</v>
      </c>
    </row>
    <row r="2840" customFormat="false" ht="15" hidden="false" customHeight="false" outlineLevel="0" collapsed="false">
      <c r="B2840" s="19" t="s">
        <v>3905</v>
      </c>
      <c r="C2840" s="20" t="n">
        <f aca="false">ROUND(3.9/FX,2)</f>
        <v>0.54</v>
      </c>
      <c r="D2840" s="21" t="s">
        <v>3903</v>
      </c>
      <c r="E2840" s="21" t="s">
        <v>3833</v>
      </c>
      <c r="F2840" s="21" t="s">
        <v>708</v>
      </c>
    </row>
    <row r="2841" customFormat="false" ht="15" hidden="false" customHeight="false" outlineLevel="0" collapsed="false">
      <c r="B2841" s="19" t="s">
        <v>3906</v>
      </c>
      <c r="C2841" s="20" t="n">
        <f aca="false">ROUND(3.9/FX,2)</f>
        <v>0.54</v>
      </c>
      <c r="D2841" s="21" t="s">
        <v>3903</v>
      </c>
      <c r="E2841" s="21" t="s">
        <v>716</v>
      </c>
      <c r="F2841" s="21" t="s">
        <v>708</v>
      </c>
    </row>
    <row r="2842" customFormat="false" ht="15" hidden="false" customHeight="false" outlineLevel="0" collapsed="false">
      <c r="B2842" s="19" t="s">
        <v>3907</v>
      </c>
      <c r="C2842" s="20" t="n">
        <f aca="false">ROUND(3.9/FX,2)</f>
        <v>0.54</v>
      </c>
      <c r="D2842" s="21" t="s">
        <v>3903</v>
      </c>
      <c r="E2842" s="21" t="s">
        <v>719</v>
      </c>
      <c r="F2842" s="21" t="s">
        <v>708</v>
      </c>
    </row>
    <row r="2843" customFormat="false" ht="15" hidden="false" customHeight="false" outlineLevel="0" collapsed="false">
      <c r="B2843" s="19" t="s">
        <v>3908</v>
      </c>
      <c r="C2843" s="20" t="n">
        <f aca="false">ROUND(1.69/FX,2)</f>
        <v>0.23</v>
      </c>
      <c r="D2843" s="21" t="s">
        <v>938</v>
      </c>
      <c r="E2843" s="21" t="s">
        <v>707</v>
      </c>
      <c r="F2843" s="21" t="s">
        <v>708</v>
      </c>
    </row>
    <row r="2844" customFormat="false" ht="15" hidden="false" customHeight="false" outlineLevel="0" collapsed="false">
      <c r="B2844" s="19" t="s">
        <v>3909</v>
      </c>
      <c r="C2844" s="20" t="n">
        <f aca="false">ROUND(1.67/FX,2)</f>
        <v>0.23</v>
      </c>
      <c r="D2844" s="21" t="s">
        <v>938</v>
      </c>
      <c r="E2844" s="21" t="s">
        <v>714</v>
      </c>
      <c r="F2844" s="21" t="s">
        <v>708</v>
      </c>
    </row>
    <row r="2845" customFormat="false" ht="15" hidden="false" customHeight="false" outlineLevel="0" collapsed="false">
      <c r="B2845" s="19" t="s">
        <v>3910</v>
      </c>
      <c r="C2845" s="20" t="n">
        <f aca="false">ROUND(3.9/FX,2)</f>
        <v>0.54</v>
      </c>
      <c r="D2845" s="21" t="s">
        <v>938</v>
      </c>
      <c r="E2845" s="21" t="s">
        <v>3833</v>
      </c>
      <c r="F2845" s="21" t="s">
        <v>708</v>
      </c>
    </row>
    <row r="2846" customFormat="false" ht="15" hidden="false" customHeight="false" outlineLevel="0" collapsed="false">
      <c r="B2846" s="19" t="s">
        <v>3911</v>
      </c>
      <c r="C2846" s="20" t="n">
        <f aca="false">ROUND(3.9/FX,2)</f>
        <v>0.54</v>
      </c>
      <c r="D2846" s="21" t="s">
        <v>938</v>
      </c>
      <c r="E2846" s="21" t="s">
        <v>716</v>
      </c>
      <c r="F2846" s="21" t="s">
        <v>708</v>
      </c>
    </row>
    <row r="2847" customFormat="false" ht="15" hidden="false" customHeight="false" outlineLevel="0" collapsed="false">
      <c r="B2847" s="19" t="s">
        <v>3912</v>
      </c>
      <c r="C2847" s="20" t="n">
        <f aca="false">ROUND(3.9/FX,2)</f>
        <v>0.54</v>
      </c>
      <c r="D2847" s="21" t="s">
        <v>938</v>
      </c>
      <c r="E2847" s="21" t="s">
        <v>719</v>
      </c>
      <c r="F2847" s="21" t="s">
        <v>708</v>
      </c>
    </row>
    <row r="2848" customFormat="false" ht="15" hidden="false" customHeight="false" outlineLevel="0" collapsed="false">
      <c r="B2848" s="19" t="s">
        <v>3913</v>
      </c>
      <c r="C2848" s="20" t="n">
        <f aca="false">ROUND(1.43/FX,2)</f>
        <v>0.2</v>
      </c>
      <c r="D2848" s="21" t="s">
        <v>3914</v>
      </c>
      <c r="E2848" s="21" t="s">
        <v>707</v>
      </c>
      <c r="F2848" s="21" t="s">
        <v>708</v>
      </c>
    </row>
    <row r="2849" customFormat="false" ht="15" hidden="false" customHeight="false" outlineLevel="0" collapsed="false">
      <c r="B2849" s="19" t="s">
        <v>3915</v>
      </c>
      <c r="C2849" s="20" t="n">
        <f aca="false">ROUND(2.54/FX,2)</f>
        <v>0.35</v>
      </c>
      <c r="D2849" s="21" t="s">
        <v>3914</v>
      </c>
      <c r="E2849" s="21" t="s">
        <v>714</v>
      </c>
      <c r="F2849" s="21" t="s">
        <v>708</v>
      </c>
    </row>
    <row r="2850" customFormat="false" ht="15" hidden="false" customHeight="false" outlineLevel="0" collapsed="false">
      <c r="B2850" s="19" t="s">
        <v>3916</v>
      </c>
      <c r="C2850" s="20" t="n">
        <f aca="false">ROUND(3.9/FX,2)</f>
        <v>0.54</v>
      </c>
      <c r="D2850" s="21" t="s">
        <v>3914</v>
      </c>
      <c r="E2850" s="21" t="s">
        <v>3833</v>
      </c>
      <c r="F2850" s="21" t="s">
        <v>708</v>
      </c>
    </row>
    <row r="2851" customFormat="false" ht="15" hidden="false" customHeight="false" outlineLevel="0" collapsed="false">
      <c r="B2851" s="19" t="s">
        <v>3917</v>
      </c>
      <c r="C2851" s="20" t="n">
        <f aca="false">ROUND(3.9/FX,2)</f>
        <v>0.54</v>
      </c>
      <c r="D2851" s="21" t="s">
        <v>3914</v>
      </c>
      <c r="E2851" s="21" t="s">
        <v>716</v>
      </c>
      <c r="F2851" s="21" t="s">
        <v>708</v>
      </c>
    </row>
    <row r="2852" customFormat="false" ht="15" hidden="false" customHeight="false" outlineLevel="0" collapsed="false">
      <c r="B2852" s="19" t="s">
        <v>3918</v>
      </c>
      <c r="C2852" s="20" t="n">
        <f aca="false">ROUND(3.9/FX,2)</f>
        <v>0.54</v>
      </c>
      <c r="D2852" s="21" t="s">
        <v>3914</v>
      </c>
      <c r="E2852" s="21" t="s">
        <v>719</v>
      </c>
      <c r="F2852" s="21" t="s">
        <v>708</v>
      </c>
    </row>
    <row r="2853" customFormat="false" ht="15" hidden="false" customHeight="false" outlineLevel="0" collapsed="false">
      <c r="B2853" s="19" t="s">
        <v>3919</v>
      </c>
      <c r="C2853" s="20" t="n">
        <f aca="false">ROUND(1.3/FX,2)</f>
        <v>0.18</v>
      </c>
      <c r="D2853" s="21" t="s">
        <v>971</v>
      </c>
      <c r="E2853" s="21" t="s">
        <v>707</v>
      </c>
      <c r="F2853" s="21" t="s">
        <v>708</v>
      </c>
    </row>
    <row r="2854" customFormat="false" ht="15" hidden="false" customHeight="false" outlineLevel="0" collapsed="false">
      <c r="B2854" s="19" t="s">
        <v>3920</v>
      </c>
      <c r="C2854" s="20" t="n">
        <f aca="false">ROUND(2.54/FX,2)</f>
        <v>0.35</v>
      </c>
      <c r="D2854" s="21" t="s">
        <v>971</v>
      </c>
      <c r="E2854" s="21" t="s">
        <v>714</v>
      </c>
      <c r="F2854" s="21" t="s">
        <v>708</v>
      </c>
    </row>
    <row r="2855" customFormat="false" ht="15" hidden="false" customHeight="false" outlineLevel="0" collapsed="false">
      <c r="B2855" s="19" t="s">
        <v>3921</v>
      </c>
      <c r="C2855" s="20" t="n">
        <f aca="false">ROUND(3.9/FX,2)</f>
        <v>0.54</v>
      </c>
      <c r="D2855" s="21" t="s">
        <v>971</v>
      </c>
      <c r="E2855" s="21" t="s">
        <v>3833</v>
      </c>
      <c r="F2855" s="21" t="s">
        <v>708</v>
      </c>
    </row>
    <row r="2856" customFormat="false" ht="15" hidden="false" customHeight="false" outlineLevel="0" collapsed="false">
      <c r="B2856" s="19" t="s">
        <v>3922</v>
      </c>
      <c r="C2856" s="20" t="n">
        <f aca="false">ROUND(0.72/FX,2)</f>
        <v>0.1</v>
      </c>
      <c r="D2856" s="21" t="s">
        <v>971</v>
      </c>
      <c r="E2856" s="21" t="s">
        <v>716</v>
      </c>
      <c r="F2856" s="21" t="s">
        <v>708</v>
      </c>
    </row>
    <row r="2857" customFormat="false" ht="15" hidden="false" customHeight="false" outlineLevel="0" collapsed="false">
      <c r="B2857" s="19" t="s">
        <v>3923</v>
      </c>
      <c r="C2857" s="20" t="n">
        <f aca="false">ROUND(3.9/FX,2)</f>
        <v>0.54</v>
      </c>
      <c r="D2857" s="21" t="s">
        <v>971</v>
      </c>
      <c r="E2857" s="21" t="s">
        <v>719</v>
      </c>
      <c r="F2857" s="21" t="s">
        <v>708</v>
      </c>
    </row>
    <row r="2858" customFormat="false" ht="15" hidden="false" customHeight="false" outlineLevel="0" collapsed="false">
      <c r="B2858" s="19" t="s">
        <v>3924</v>
      </c>
      <c r="C2858" s="20" t="n">
        <f aca="false">ROUND(1.69/FX,2)</f>
        <v>0.23</v>
      </c>
      <c r="D2858" s="21" t="s">
        <v>3925</v>
      </c>
      <c r="E2858" s="21" t="s">
        <v>707</v>
      </c>
      <c r="F2858" s="21" t="s">
        <v>708</v>
      </c>
    </row>
    <row r="2859" customFormat="false" ht="15" hidden="false" customHeight="false" outlineLevel="0" collapsed="false">
      <c r="B2859" s="19" t="s">
        <v>3926</v>
      </c>
      <c r="C2859" s="20" t="n">
        <f aca="false">ROUND(2.54/FX,2)</f>
        <v>0.35</v>
      </c>
      <c r="D2859" s="21" t="s">
        <v>3925</v>
      </c>
      <c r="E2859" s="21" t="s">
        <v>714</v>
      </c>
      <c r="F2859" s="21" t="s">
        <v>708</v>
      </c>
    </row>
    <row r="2860" customFormat="false" ht="15" hidden="false" customHeight="false" outlineLevel="0" collapsed="false">
      <c r="B2860" s="19" t="s">
        <v>3927</v>
      </c>
      <c r="C2860" s="20" t="n">
        <f aca="false">ROUND(3.9/FX,2)</f>
        <v>0.54</v>
      </c>
      <c r="D2860" s="21" t="s">
        <v>3925</v>
      </c>
      <c r="E2860" s="21" t="s">
        <v>3833</v>
      </c>
      <c r="F2860" s="21" t="s">
        <v>708</v>
      </c>
    </row>
    <row r="2861" customFormat="false" ht="15" hidden="false" customHeight="false" outlineLevel="0" collapsed="false">
      <c r="B2861" s="19" t="s">
        <v>3928</v>
      </c>
      <c r="C2861" s="20" t="n">
        <f aca="false">ROUND(3.9/FX,2)</f>
        <v>0.54</v>
      </c>
      <c r="D2861" s="21" t="s">
        <v>3925</v>
      </c>
      <c r="E2861" s="21" t="s">
        <v>716</v>
      </c>
      <c r="F2861" s="21" t="s">
        <v>708</v>
      </c>
    </row>
    <row r="2862" customFormat="false" ht="15" hidden="false" customHeight="false" outlineLevel="0" collapsed="false">
      <c r="B2862" s="19" t="s">
        <v>3929</v>
      </c>
      <c r="C2862" s="20" t="n">
        <f aca="false">ROUND(3.9/FX,2)</f>
        <v>0.54</v>
      </c>
      <c r="D2862" s="21" t="s">
        <v>3925</v>
      </c>
      <c r="E2862" s="21" t="s">
        <v>719</v>
      </c>
      <c r="F2862" s="21" t="s">
        <v>708</v>
      </c>
    </row>
    <row r="2863" customFormat="false" ht="15" hidden="false" customHeight="false" outlineLevel="0" collapsed="false">
      <c r="B2863" s="19" t="s">
        <v>3930</v>
      </c>
      <c r="C2863" s="20" t="n">
        <f aca="false">ROUND(1.3/FX,2)</f>
        <v>0.18</v>
      </c>
      <c r="D2863" s="21" t="s">
        <v>1004</v>
      </c>
      <c r="E2863" s="21" t="s">
        <v>707</v>
      </c>
      <c r="F2863" s="21" t="s">
        <v>708</v>
      </c>
    </row>
    <row r="2864" customFormat="false" ht="15" hidden="false" customHeight="false" outlineLevel="0" collapsed="false">
      <c r="B2864" s="19" t="s">
        <v>3931</v>
      </c>
      <c r="C2864" s="20" t="n">
        <f aca="false">ROUND(2.54/FX,2)</f>
        <v>0.35</v>
      </c>
      <c r="D2864" s="21" t="s">
        <v>1004</v>
      </c>
      <c r="E2864" s="21" t="s">
        <v>714</v>
      </c>
      <c r="F2864" s="21" t="s">
        <v>708</v>
      </c>
    </row>
    <row r="2865" customFormat="false" ht="15" hidden="false" customHeight="false" outlineLevel="0" collapsed="false">
      <c r="B2865" s="19" t="s">
        <v>3932</v>
      </c>
      <c r="C2865" s="20" t="n">
        <f aca="false">ROUND(3.9/FX,2)</f>
        <v>0.54</v>
      </c>
      <c r="D2865" s="21" t="s">
        <v>1004</v>
      </c>
      <c r="E2865" s="21" t="s">
        <v>3833</v>
      </c>
      <c r="F2865" s="21" t="s">
        <v>708</v>
      </c>
    </row>
    <row r="2866" customFormat="false" ht="15" hidden="false" customHeight="false" outlineLevel="0" collapsed="false">
      <c r="B2866" s="19" t="s">
        <v>3933</v>
      </c>
      <c r="C2866" s="20" t="n">
        <f aca="false">ROUND(3.9/FX,2)</f>
        <v>0.54</v>
      </c>
      <c r="D2866" s="21" t="s">
        <v>1004</v>
      </c>
      <c r="E2866" s="21" t="s">
        <v>716</v>
      </c>
      <c r="F2866" s="21" t="s">
        <v>708</v>
      </c>
    </row>
    <row r="2867" customFormat="false" ht="15" hidden="false" customHeight="false" outlineLevel="0" collapsed="false">
      <c r="B2867" s="19" t="s">
        <v>3934</v>
      </c>
      <c r="C2867" s="20" t="n">
        <f aca="false">ROUND(3.9/FX,2)</f>
        <v>0.54</v>
      </c>
      <c r="D2867" s="21" t="s">
        <v>1004</v>
      </c>
      <c r="E2867" s="21" t="s">
        <v>719</v>
      </c>
      <c r="F2867" s="21" t="s">
        <v>708</v>
      </c>
    </row>
    <row r="2868" customFormat="false" ht="15" hidden="false" customHeight="false" outlineLevel="0" collapsed="false">
      <c r="B2868" s="19" t="s">
        <v>3935</v>
      </c>
      <c r="C2868" s="20" t="n">
        <f aca="false">ROUND(1.3/FX,2)</f>
        <v>0.18</v>
      </c>
      <c r="D2868" s="21" t="s">
        <v>3936</v>
      </c>
      <c r="E2868" s="21" t="s">
        <v>707</v>
      </c>
      <c r="F2868" s="21" t="s">
        <v>708</v>
      </c>
    </row>
    <row r="2869" customFormat="false" ht="15" hidden="false" customHeight="false" outlineLevel="0" collapsed="false">
      <c r="B2869" s="19" t="s">
        <v>3937</v>
      </c>
      <c r="C2869" s="20" t="n">
        <f aca="false">ROUND(1.95/FX,2)</f>
        <v>0.27</v>
      </c>
      <c r="D2869" s="21" t="s">
        <v>3936</v>
      </c>
      <c r="E2869" s="21" t="s">
        <v>714</v>
      </c>
      <c r="F2869" s="21" t="s">
        <v>708</v>
      </c>
    </row>
    <row r="2870" customFormat="false" ht="15" hidden="false" customHeight="false" outlineLevel="0" collapsed="false">
      <c r="B2870" s="19" t="s">
        <v>3938</v>
      </c>
      <c r="C2870" s="20" t="n">
        <f aca="false">ROUND(3.9/FX,2)</f>
        <v>0.54</v>
      </c>
      <c r="D2870" s="21" t="s">
        <v>3936</v>
      </c>
      <c r="E2870" s="21" t="s">
        <v>3833</v>
      </c>
      <c r="F2870" s="21" t="s">
        <v>708</v>
      </c>
    </row>
    <row r="2871" customFormat="false" ht="15" hidden="false" customHeight="false" outlineLevel="0" collapsed="false">
      <c r="B2871" s="19" t="s">
        <v>3939</v>
      </c>
      <c r="C2871" s="20" t="n">
        <f aca="false">ROUND(3.9/FX,2)</f>
        <v>0.54</v>
      </c>
      <c r="D2871" s="21" t="s">
        <v>3936</v>
      </c>
      <c r="E2871" s="21" t="s">
        <v>716</v>
      </c>
      <c r="F2871" s="21" t="s">
        <v>708</v>
      </c>
    </row>
    <row r="2872" customFormat="false" ht="15" hidden="false" customHeight="false" outlineLevel="0" collapsed="false">
      <c r="B2872" s="19" t="s">
        <v>3940</v>
      </c>
      <c r="C2872" s="20" t="n">
        <f aca="false">ROUND(3.9/FX,2)</f>
        <v>0.54</v>
      </c>
      <c r="D2872" s="21" t="s">
        <v>3936</v>
      </c>
      <c r="E2872" s="21" t="s">
        <v>719</v>
      </c>
      <c r="F2872" s="21" t="s">
        <v>708</v>
      </c>
    </row>
    <row r="2873" customFormat="false" ht="15" hidden="false" customHeight="false" outlineLevel="0" collapsed="false">
      <c r="B2873" s="19" t="s">
        <v>3941</v>
      </c>
      <c r="C2873" s="20" t="n">
        <f aca="false">ROUND(1.95/FX,2)</f>
        <v>0.27</v>
      </c>
      <c r="D2873" s="21" t="s">
        <v>1037</v>
      </c>
      <c r="E2873" s="21" t="s">
        <v>707</v>
      </c>
      <c r="F2873" s="21" t="s">
        <v>708</v>
      </c>
    </row>
    <row r="2874" customFormat="false" ht="15" hidden="false" customHeight="false" outlineLevel="0" collapsed="false">
      <c r="B2874" s="19" t="s">
        <v>3942</v>
      </c>
      <c r="C2874" s="20" t="n">
        <f aca="false">ROUND(2.93/FX,2)</f>
        <v>0.41</v>
      </c>
      <c r="D2874" s="21" t="s">
        <v>1037</v>
      </c>
      <c r="E2874" s="21" t="s">
        <v>714</v>
      </c>
      <c r="F2874" s="21" t="s">
        <v>708</v>
      </c>
    </row>
    <row r="2875" customFormat="false" ht="15" hidden="false" customHeight="false" outlineLevel="0" collapsed="false">
      <c r="B2875" s="19" t="s">
        <v>3943</v>
      </c>
      <c r="C2875" s="20" t="n">
        <f aca="false">ROUND(3.9/FX,2)</f>
        <v>0.54</v>
      </c>
      <c r="D2875" s="21" t="s">
        <v>1037</v>
      </c>
      <c r="E2875" s="21" t="s">
        <v>3833</v>
      </c>
      <c r="F2875" s="21" t="s">
        <v>708</v>
      </c>
    </row>
    <row r="2876" customFormat="false" ht="15" hidden="false" customHeight="false" outlineLevel="0" collapsed="false">
      <c r="B2876" s="19" t="s">
        <v>3944</v>
      </c>
      <c r="C2876" s="20" t="n">
        <f aca="false">ROUND(0.82/FX,2)</f>
        <v>0.11</v>
      </c>
      <c r="D2876" s="21" t="s">
        <v>1037</v>
      </c>
      <c r="E2876" s="21" t="s">
        <v>716</v>
      </c>
      <c r="F2876" s="21" t="s">
        <v>708</v>
      </c>
    </row>
    <row r="2877" customFormat="false" ht="15" hidden="false" customHeight="false" outlineLevel="0" collapsed="false">
      <c r="B2877" s="19" t="s">
        <v>3945</v>
      </c>
      <c r="C2877" s="20" t="n">
        <f aca="false">ROUND(3.9/FX,2)</f>
        <v>0.54</v>
      </c>
      <c r="D2877" s="21" t="s">
        <v>1037</v>
      </c>
      <c r="E2877" s="21" t="s">
        <v>719</v>
      </c>
      <c r="F2877" s="21" t="s">
        <v>708</v>
      </c>
    </row>
    <row r="2878" customFormat="false" ht="15" hidden="false" customHeight="false" outlineLevel="0" collapsed="false">
      <c r="B2878" s="19" t="s">
        <v>3946</v>
      </c>
      <c r="C2878" s="20" t="n">
        <f aca="false">ROUND(1.95/FX,2)</f>
        <v>0.27</v>
      </c>
      <c r="D2878" s="21" t="s">
        <v>3947</v>
      </c>
      <c r="E2878" s="21" t="s">
        <v>707</v>
      </c>
      <c r="F2878" s="21" t="s">
        <v>708</v>
      </c>
    </row>
    <row r="2879" customFormat="false" ht="15" hidden="false" customHeight="false" outlineLevel="0" collapsed="false">
      <c r="B2879" s="19" t="s">
        <v>3948</v>
      </c>
      <c r="C2879" s="20" t="n">
        <f aca="false">ROUND(1.95/FX,2)</f>
        <v>0.27</v>
      </c>
      <c r="D2879" s="21" t="s">
        <v>3947</v>
      </c>
      <c r="E2879" s="21" t="s">
        <v>714</v>
      </c>
      <c r="F2879" s="21" t="s">
        <v>708</v>
      </c>
    </row>
    <row r="2880" customFormat="false" ht="15" hidden="false" customHeight="false" outlineLevel="0" collapsed="false">
      <c r="B2880" s="19" t="s">
        <v>3949</v>
      </c>
      <c r="C2880" s="20" t="n">
        <f aca="false">ROUND(3.9/FX,2)</f>
        <v>0.54</v>
      </c>
      <c r="D2880" s="21" t="s">
        <v>3947</v>
      </c>
      <c r="E2880" s="21" t="s">
        <v>3833</v>
      </c>
      <c r="F2880" s="21" t="s">
        <v>708</v>
      </c>
    </row>
    <row r="2881" customFormat="false" ht="15" hidden="false" customHeight="false" outlineLevel="0" collapsed="false">
      <c r="B2881" s="19" t="s">
        <v>3950</v>
      </c>
      <c r="C2881" s="20" t="n">
        <f aca="false">ROUND(1.3/FX,2)</f>
        <v>0.18</v>
      </c>
      <c r="D2881" s="21" t="s">
        <v>3947</v>
      </c>
      <c r="E2881" s="21" t="s">
        <v>716</v>
      </c>
      <c r="F2881" s="21" t="s">
        <v>708</v>
      </c>
    </row>
    <row r="2882" customFormat="false" ht="15" hidden="false" customHeight="false" outlineLevel="0" collapsed="false">
      <c r="B2882" s="19" t="s">
        <v>3951</v>
      </c>
      <c r="C2882" s="20" t="n">
        <f aca="false">ROUND(3.9/FX,2)</f>
        <v>0.54</v>
      </c>
      <c r="D2882" s="21" t="s">
        <v>3947</v>
      </c>
      <c r="E2882" s="21" t="s">
        <v>719</v>
      </c>
      <c r="F2882" s="21" t="s">
        <v>708</v>
      </c>
    </row>
    <row r="2883" customFormat="false" ht="15" hidden="false" customHeight="false" outlineLevel="0" collapsed="false">
      <c r="B2883" s="19" t="s">
        <v>3952</v>
      </c>
      <c r="C2883" s="20" t="n">
        <f aca="false">ROUND(1.95/FX,2)</f>
        <v>0.27</v>
      </c>
      <c r="D2883" s="21" t="s">
        <v>1070</v>
      </c>
      <c r="E2883" s="21" t="s">
        <v>707</v>
      </c>
      <c r="F2883" s="21" t="s">
        <v>708</v>
      </c>
    </row>
    <row r="2884" customFormat="false" ht="15" hidden="false" customHeight="false" outlineLevel="0" collapsed="false">
      <c r="B2884" s="19" t="s">
        <v>3953</v>
      </c>
      <c r="C2884" s="20" t="n">
        <f aca="false">ROUND(2.93/FX,2)</f>
        <v>0.41</v>
      </c>
      <c r="D2884" s="21" t="s">
        <v>1070</v>
      </c>
      <c r="E2884" s="21" t="s">
        <v>714</v>
      </c>
      <c r="F2884" s="21" t="s">
        <v>708</v>
      </c>
    </row>
    <row r="2885" customFormat="false" ht="15" hidden="false" customHeight="false" outlineLevel="0" collapsed="false">
      <c r="B2885" s="19" t="s">
        <v>3954</v>
      </c>
      <c r="C2885" s="20" t="n">
        <f aca="false">ROUND(3.9/FX,2)</f>
        <v>0.54</v>
      </c>
      <c r="D2885" s="21" t="s">
        <v>1070</v>
      </c>
      <c r="E2885" s="21" t="s">
        <v>3833</v>
      </c>
      <c r="F2885" s="21" t="s">
        <v>708</v>
      </c>
    </row>
    <row r="2886" customFormat="false" ht="15" hidden="false" customHeight="false" outlineLevel="0" collapsed="false">
      <c r="B2886" s="19" t="s">
        <v>3955</v>
      </c>
      <c r="C2886" s="20" t="n">
        <f aca="false">ROUND(3.9/FX,2)</f>
        <v>0.54</v>
      </c>
      <c r="D2886" s="21" t="s">
        <v>1070</v>
      </c>
      <c r="E2886" s="21" t="s">
        <v>716</v>
      </c>
      <c r="F2886" s="21" t="s">
        <v>708</v>
      </c>
    </row>
    <row r="2887" customFormat="false" ht="15" hidden="false" customHeight="false" outlineLevel="0" collapsed="false">
      <c r="B2887" s="19" t="s">
        <v>3956</v>
      </c>
      <c r="C2887" s="20" t="n">
        <f aca="false">ROUND(3.9/FX,2)</f>
        <v>0.54</v>
      </c>
      <c r="D2887" s="21" t="s">
        <v>1070</v>
      </c>
      <c r="E2887" s="21" t="s">
        <v>719</v>
      </c>
      <c r="F2887" s="21" t="s">
        <v>708</v>
      </c>
    </row>
    <row r="2888" customFormat="false" ht="15" hidden="false" customHeight="false" outlineLevel="0" collapsed="false">
      <c r="B2888" s="19" t="s">
        <v>3957</v>
      </c>
      <c r="C2888" s="20" t="n">
        <f aca="false">ROUND(1.3/FX,2)</f>
        <v>0.18</v>
      </c>
      <c r="D2888" s="21" t="s">
        <v>3958</v>
      </c>
      <c r="E2888" s="21" t="s">
        <v>707</v>
      </c>
      <c r="F2888" s="21" t="s">
        <v>708</v>
      </c>
    </row>
    <row r="2889" customFormat="false" ht="15" hidden="false" customHeight="false" outlineLevel="0" collapsed="false">
      <c r="B2889" s="19" t="s">
        <v>3959</v>
      </c>
      <c r="C2889" s="20" t="n">
        <f aca="false">ROUND(2.93/FX,2)</f>
        <v>0.41</v>
      </c>
      <c r="D2889" s="21" t="s">
        <v>3958</v>
      </c>
      <c r="E2889" s="21" t="s">
        <v>714</v>
      </c>
      <c r="F2889" s="21" t="s">
        <v>708</v>
      </c>
    </row>
    <row r="2890" customFormat="false" ht="15" hidden="false" customHeight="false" outlineLevel="0" collapsed="false">
      <c r="B2890" s="19" t="s">
        <v>3960</v>
      </c>
      <c r="C2890" s="20" t="n">
        <f aca="false">ROUND(3.9/FX,2)</f>
        <v>0.54</v>
      </c>
      <c r="D2890" s="21" t="s">
        <v>3958</v>
      </c>
      <c r="E2890" s="21" t="s">
        <v>3833</v>
      </c>
      <c r="F2890" s="21" t="s">
        <v>708</v>
      </c>
    </row>
    <row r="2891" customFormat="false" ht="15" hidden="false" customHeight="false" outlineLevel="0" collapsed="false">
      <c r="B2891" s="19" t="s">
        <v>3961</v>
      </c>
      <c r="C2891" s="20" t="n">
        <f aca="false">ROUND(3.9/FX,2)</f>
        <v>0.54</v>
      </c>
      <c r="D2891" s="21" t="s">
        <v>3958</v>
      </c>
      <c r="E2891" s="21" t="s">
        <v>716</v>
      </c>
      <c r="F2891" s="21" t="s">
        <v>708</v>
      </c>
    </row>
    <row r="2892" customFormat="false" ht="15" hidden="false" customHeight="false" outlineLevel="0" collapsed="false">
      <c r="B2892" s="19" t="s">
        <v>3962</v>
      </c>
      <c r="C2892" s="20" t="n">
        <f aca="false">ROUND(3.9/FX,2)</f>
        <v>0.54</v>
      </c>
      <c r="D2892" s="21" t="s">
        <v>3958</v>
      </c>
      <c r="E2892" s="21" t="s">
        <v>719</v>
      </c>
      <c r="F2892" s="21" t="s">
        <v>708</v>
      </c>
    </row>
    <row r="2893" customFormat="false" ht="15" hidden="false" customHeight="false" outlineLevel="0" collapsed="false">
      <c r="B2893" s="19" t="s">
        <v>3963</v>
      </c>
      <c r="C2893" s="20" t="n">
        <f aca="false">ROUND(1.3/FX,2)</f>
        <v>0.18</v>
      </c>
      <c r="D2893" s="21" t="s">
        <v>1103</v>
      </c>
      <c r="E2893" s="21" t="s">
        <v>707</v>
      </c>
      <c r="F2893" s="21" t="s">
        <v>708</v>
      </c>
    </row>
    <row r="2894" customFormat="false" ht="15" hidden="false" customHeight="false" outlineLevel="0" collapsed="false">
      <c r="B2894" s="19" t="s">
        <v>3964</v>
      </c>
      <c r="C2894" s="20" t="n">
        <f aca="false">ROUND(1.95/FX,2)</f>
        <v>0.27</v>
      </c>
      <c r="D2894" s="21" t="s">
        <v>1103</v>
      </c>
      <c r="E2894" s="21" t="s">
        <v>714</v>
      </c>
      <c r="F2894" s="21" t="s">
        <v>708</v>
      </c>
    </row>
    <row r="2895" customFormat="false" ht="15" hidden="false" customHeight="false" outlineLevel="0" collapsed="false">
      <c r="B2895" s="19" t="s">
        <v>3965</v>
      </c>
      <c r="C2895" s="20" t="n">
        <f aca="false">ROUND(3.9/FX,2)</f>
        <v>0.54</v>
      </c>
      <c r="D2895" s="21" t="s">
        <v>1103</v>
      </c>
      <c r="E2895" s="21" t="s">
        <v>3833</v>
      </c>
      <c r="F2895" s="21" t="s">
        <v>708</v>
      </c>
    </row>
    <row r="2896" customFormat="false" ht="15" hidden="false" customHeight="false" outlineLevel="0" collapsed="false">
      <c r="B2896" s="19" t="s">
        <v>3966</v>
      </c>
      <c r="C2896" s="20" t="n">
        <f aca="false">ROUND(3.9/FX,2)</f>
        <v>0.54</v>
      </c>
      <c r="D2896" s="21" t="s">
        <v>1103</v>
      </c>
      <c r="E2896" s="21" t="s">
        <v>716</v>
      </c>
      <c r="F2896" s="21" t="s">
        <v>708</v>
      </c>
    </row>
    <row r="2897" customFormat="false" ht="15" hidden="false" customHeight="false" outlineLevel="0" collapsed="false">
      <c r="B2897" s="19" t="s">
        <v>3967</v>
      </c>
      <c r="C2897" s="20" t="n">
        <f aca="false">ROUND(3.9/FX,2)</f>
        <v>0.54</v>
      </c>
      <c r="D2897" s="21" t="s">
        <v>1103</v>
      </c>
      <c r="E2897" s="21" t="s">
        <v>719</v>
      </c>
      <c r="F2897" s="21" t="s">
        <v>708</v>
      </c>
    </row>
    <row r="2898" customFormat="false" ht="15" hidden="false" customHeight="false" outlineLevel="0" collapsed="false">
      <c r="B2898" s="19" t="s">
        <v>3968</v>
      </c>
      <c r="C2898" s="20" t="n">
        <f aca="false">ROUND(1.95/FX,2)</f>
        <v>0.27</v>
      </c>
      <c r="D2898" s="21" t="s">
        <v>3969</v>
      </c>
      <c r="E2898" s="21" t="s">
        <v>707</v>
      </c>
      <c r="F2898" s="21" t="s">
        <v>708</v>
      </c>
    </row>
    <row r="2899" customFormat="false" ht="15" hidden="false" customHeight="false" outlineLevel="0" collapsed="false">
      <c r="B2899" s="19" t="s">
        <v>3970</v>
      </c>
      <c r="C2899" s="20" t="n">
        <f aca="false">ROUND(2.93/FX,2)</f>
        <v>0.41</v>
      </c>
      <c r="D2899" s="21" t="s">
        <v>3969</v>
      </c>
      <c r="E2899" s="21" t="s">
        <v>714</v>
      </c>
      <c r="F2899" s="21" t="s">
        <v>708</v>
      </c>
    </row>
    <row r="2900" customFormat="false" ht="15" hidden="false" customHeight="false" outlineLevel="0" collapsed="false">
      <c r="B2900" s="19" t="s">
        <v>3971</v>
      </c>
      <c r="C2900" s="20" t="n">
        <f aca="false">ROUND(3.9/FX,2)</f>
        <v>0.54</v>
      </c>
      <c r="D2900" s="21" t="s">
        <v>3969</v>
      </c>
      <c r="E2900" s="21" t="s">
        <v>3833</v>
      </c>
      <c r="F2900" s="21" t="s">
        <v>708</v>
      </c>
    </row>
    <row r="2901" customFormat="false" ht="15" hidden="false" customHeight="false" outlineLevel="0" collapsed="false">
      <c r="B2901" s="19" t="s">
        <v>3972</v>
      </c>
      <c r="C2901" s="20" t="n">
        <f aca="false">ROUND(3.9/FX,2)</f>
        <v>0.54</v>
      </c>
      <c r="D2901" s="21" t="s">
        <v>3969</v>
      </c>
      <c r="E2901" s="21" t="s">
        <v>716</v>
      </c>
      <c r="F2901" s="21" t="s">
        <v>708</v>
      </c>
    </row>
    <row r="2902" customFormat="false" ht="15" hidden="false" customHeight="false" outlineLevel="0" collapsed="false">
      <c r="B2902" s="19" t="s">
        <v>3973</v>
      </c>
      <c r="C2902" s="20" t="n">
        <f aca="false">ROUND(2.34/FX,2)</f>
        <v>0.33</v>
      </c>
      <c r="D2902" s="21" t="s">
        <v>3969</v>
      </c>
      <c r="E2902" s="21" t="s">
        <v>719</v>
      </c>
      <c r="F2902" s="21" t="s">
        <v>708</v>
      </c>
    </row>
    <row r="2903" customFormat="false" ht="15" hidden="false" customHeight="false" outlineLevel="0" collapsed="false">
      <c r="B2903" s="19" t="s">
        <v>3974</v>
      </c>
      <c r="C2903" s="20" t="n">
        <f aca="false">ROUND(1.56/FX,2)</f>
        <v>0.22</v>
      </c>
      <c r="D2903" s="21" t="s">
        <v>1136</v>
      </c>
      <c r="E2903" s="21" t="s">
        <v>707</v>
      </c>
      <c r="F2903" s="21" t="s">
        <v>708</v>
      </c>
    </row>
    <row r="2904" customFormat="false" ht="15" hidden="false" customHeight="false" outlineLevel="0" collapsed="false">
      <c r="B2904" s="19" t="s">
        <v>3975</v>
      </c>
      <c r="C2904" s="20" t="n">
        <f aca="false">ROUND(3.9/FX,2)</f>
        <v>0.54</v>
      </c>
      <c r="D2904" s="21" t="s">
        <v>1136</v>
      </c>
      <c r="E2904" s="21" t="s">
        <v>714</v>
      </c>
      <c r="F2904" s="21" t="s">
        <v>708</v>
      </c>
    </row>
    <row r="2905" customFormat="false" ht="15" hidden="false" customHeight="false" outlineLevel="0" collapsed="false">
      <c r="B2905" s="19" t="s">
        <v>3976</v>
      </c>
      <c r="C2905" s="20" t="n">
        <f aca="false">ROUND(3.9/FX,2)</f>
        <v>0.54</v>
      </c>
      <c r="D2905" s="21" t="s">
        <v>1136</v>
      </c>
      <c r="E2905" s="21" t="s">
        <v>3833</v>
      </c>
      <c r="F2905" s="21" t="s">
        <v>708</v>
      </c>
    </row>
    <row r="2906" customFormat="false" ht="15" hidden="false" customHeight="false" outlineLevel="0" collapsed="false">
      <c r="B2906" s="19" t="s">
        <v>3977</v>
      </c>
      <c r="C2906" s="20" t="n">
        <f aca="false">ROUND(3.9/FX,2)</f>
        <v>0.54</v>
      </c>
      <c r="D2906" s="21" t="s">
        <v>1136</v>
      </c>
      <c r="E2906" s="21" t="s">
        <v>716</v>
      </c>
      <c r="F2906" s="21" t="s">
        <v>708</v>
      </c>
    </row>
    <row r="2907" customFormat="false" ht="15" hidden="false" customHeight="false" outlineLevel="0" collapsed="false">
      <c r="B2907" s="19" t="s">
        <v>3978</v>
      </c>
      <c r="C2907" s="20" t="n">
        <f aca="false">ROUND(3.9/FX,2)</f>
        <v>0.54</v>
      </c>
      <c r="D2907" s="21" t="s">
        <v>1136</v>
      </c>
      <c r="E2907" s="21" t="s">
        <v>719</v>
      </c>
      <c r="F2907" s="21" t="s">
        <v>708</v>
      </c>
    </row>
    <row r="2908" customFormat="false" ht="15" hidden="false" customHeight="false" outlineLevel="0" collapsed="false">
      <c r="B2908" s="19" t="s">
        <v>3979</v>
      </c>
      <c r="C2908" s="20" t="n">
        <f aca="false">ROUND(1.3/FX,2)</f>
        <v>0.18</v>
      </c>
      <c r="D2908" s="21" t="s">
        <v>3980</v>
      </c>
      <c r="E2908" s="21" t="s">
        <v>707</v>
      </c>
      <c r="F2908" s="21" t="s">
        <v>708</v>
      </c>
    </row>
    <row r="2909" customFormat="false" ht="15" hidden="false" customHeight="false" outlineLevel="0" collapsed="false">
      <c r="B2909" s="19" t="s">
        <v>3981</v>
      </c>
      <c r="C2909" s="20" t="n">
        <f aca="false">ROUND(3.9/FX,2)</f>
        <v>0.54</v>
      </c>
      <c r="D2909" s="21" t="s">
        <v>3980</v>
      </c>
      <c r="E2909" s="21" t="s">
        <v>714</v>
      </c>
      <c r="F2909" s="21" t="s">
        <v>708</v>
      </c>
    </row>
    <row r="2910" customFormat="false" ht="15" hidden="false" customHeight="false" outlineLevel="0" collapsed="false">
      <c r="B2910" s="19" t="s">
        <v>3982</v>
      </c>
      <c r="C2910" s="20" t="n">
        <f aca="false">ROUND(3.9/FX,2)</f>
        <v>0.54</v>
      </c>
      <c r="D2910" s="21" t="s">
        <v>3980</v>
      </c>
      <c r="E2910" s="21" t="s">
        <v>3833</v>
      </c>
      <c r="F2910" s="21" t="s">
        <v>708</v>
      </c>
    </row>
    <row r="2911" customFormat="false" ht="15" hidden="false" customHeight="false" outlineLevel="0" collapsed="false">
      <c r="B2911" s="19" t="s">
        <v>3983</v>
      </c>
      <c r="C2911" s="20" t="n">
        <f aca="false">ROUND(3.9/FX,2)</f>
        <v>0.54</v>
      </c>
      <c r="D2911" s="21" t="s">
        <v>3980</v>
      </c>
      <c r="E2911" s="21" t="s">
        <v>716</v>
      </c>
      <c r="F2911" s="21" t="s">
        <v>708</v>
      </c>
    </row>
    <row r="2912" customFormat="false" ht="15" hidden="false" customHeight="false" outlineLevel="0" collapsed="false">
      <c r="B2912" s="19" t="s">
        <v>3984</v>
      </c>
      <c r="C2912" s="20" t="n">
        <f aca="false">ROUND(3.9/FX,2)</f>
        <v>0.54</v>
      </c>
      <c r="D2912" s="21" t="s">
        <v>3980</v>
      </c>
      <c r="E2912" s="21" t="s">
        <v>719</v>
      </c>
      <c r="F2912" s="21" t="s">
        <v>708</v>
      </c>
    </row>
    <row r="2913" customFormat="false" ht="15" hidden="false" customHeight="false" outlineLevel="0" collapsed="false">
      <c r="B2913" s="19" t="s">
        <v>3985</v>
      </c>
      <c r="C2913" s="20" t="n">
        <f aca="false">ROUND(1.69/FX,2)</f>
        <v>0.23</v>
      </c>
      <c r="D2913" s="21" t="s">
        <v>1169</v>
      </c>
      <c r="E2913" s="21" t="s">
        <v>707</v>
      </c>
      <c r="F2913" s="21" t="s">
        <v>708</v>
      </c>
    </row>
    <row r="2914" customFormat="false" ht="15" hidden="false" customHeight="false" outlineLevel="0" collapsed="false">
      <c r="B2914" s="19" t="s">
        <v>3986</v>
      </c>
      <c r="C2914" s="20" t="n">
        <f aca="false">ROUND(3.9/FX,2)</f>
        <v>0.54</v>
      </c>
      <c r="D2914" s="21" t="s">
        <v>1169</v>
      </c>
      <c r="E2914" s="21" t="s">
        <v>714</v>
      </c>
      <c r="F2914" s="21" t="s">
        <v>708</v>
      </c>
    </row>
    <row r="2915" customFormat="false" ht="15" hidden="false" customHeight="false" outlineLevel="0" collapsed="false">
      <c r="B2915" s="19" t="s">
        <v>3987</v>
      </c>
      <c r="C2915" s="20" t="n">
        <f aca="false">ROUND(3.9/FX,2)</f>
        <v>0.54</v>
      </c>
      <c r="D2915" s="21" t="s">
        <v>1169</v>
      </c>
      <c r="E2915" s="21" t="s">
        <v>3833</v>
      </c>
      <c r="F2915" s="21" t="s">
        <v>708</v>
      </c>
    </row>
    <row r="2916" customFormat="false" ht="15" hidden="false" customHeight="false" outlineLevel="0" collapsed="false">
      <c r="B2916" s="19" t="s">
        <v>3988</v>
      </c>
      <c r="C2916" s="20" t="n">
        <f aca="false">ROUND(3.9/FX,2)</f>
        <v>0.54</v>
      </c>
      <c r="D2916" s="21" t="s">
        <v>1169</v>
      </c>
      <c r="E2916" s="21" t="s">
        <v>716</v>
      </c>
      <c r="F2916" s="21" t="s">
        <v>708</v>
      </c>
    </row>
    <row r="2917" customFormat="false" ht="15" hidden="false" customHeight="false" outlineLevel="0" collapsed="false">
      <c r="B2917" s="19" t="s">
        <v>3989</v>
      </c>
      <c r="C2917" s="20" t="n">
        <f aca="false">ROUND(3.9/FX,2)</f>
        <v>0.54</v>
      </c>
      <c r="D2917" s="21" t="s">
        <v>1169</v>
      </c>
      <c r="E2917" s="21" t="s">
        <v>719</v>
      </c>
      <c r="F2917" s="21" t="s">
        <v>708</v>
      </c>
    </row>
    <row r="2918" customFormat="false" ht="15" hidden="false" customHeight="false" outlineLevel="0" collapsed="false">
      <c r="B2918" s="19" t="s">
        <v>3990</v>
      </c>
      <c r="C2918" s="20" t="n">
        <f aca="false">ROUND(1.56/FX,2)</f>
        <v>0.22</v>
      </c>
      <c r="D2918" s="21" t="s">
        <v>3991</v>
      </c>
      <c r="E2918" s="21" t="s">
        <v>707</v>
      </c>
      <c r="F2918" s="21" t="s">
        <v>708</v>
      </c>
    </row>
    <row r="2919" customFormat="false" ht="15" hidden="false" customHeight="false" outlineLevel="0" collapsed="false">
      <c r="B2919" s="19" t="s">
        <v>3992</v>
      </c>
      <c r="C2919" s="20" t="n">
        <f aca="false">ROUND(2.34/FX,2)</f>
        <v>0.33</v>
      </c>
      <c r="D2919" s="21" t="s">
        <v>3991</v>
      </c>
      <c r="E2919" s="21" t="s">
        <v>714</v>
      </c>
      <c r="F2919" s="21" t="s">
        <v>708</v>
      </c>
    </row>
    <row r="2920" customFormat="false" ht="15" hidden="false" customHeight="false" outlineLevel="0" collapsed="false">
      <c r="B2920" s="19" t="s">
        <v>3993</v>
      </c>
      <c r="C2920" s="20" t="n">
        <f aca="false">ROUND(2.21/FX,2)</f>
        <v>0.31</v>
      </c>
      <c r="D2920" s="21" t="s">
        <v>3991</v>
      </c>
      <c r="E2920" s="21" t="s">
        <v>3833</v>
      </c>
      <c r="F2920" s="21" t="s">
        <v>708</v>
      </c>
    </row>
    <row r="2921" customFormat="false" ht="15" hidden="false" customHeight="false" outlineLevel="0" collapsed="false">
      <c r="B2921" s="19" t="s">
        <v>3994</v>
      </c>
      <c r="C2921" s="20" t="n">
        <f aca="false">ROUND(0.91/FX,2)</f>
        <v>0.13</v>
      </c>
      <c r="D2921" s="21" t="s">
        <v>3991</v>
      </c>
      <c r="E2921" s="21" t="s">
        <v>716</v>
      </c>
      <c r="F2921" s="21" t="s">
        <v>708</v>
      </c>
    </row>
    <row r="2922" customFormat="false" ht="15" hidden="false" customHeight="false" outlineLevel="0" collapsed="false">
      <c r="B2922" s="19" t="s">
        <v>3995</v>
      </c>
      <c r="C2922" s="20" t="n">
        <f aca="false">ROUND(3.9/FX,2)</f>
        <v>0.54</v>
      </c>
      <c r="D2922" s="21" t="s">
        <v>3991</v>
      </c>
      <c r="E2922" s="21" t="s">
        <v>719</v>
      </c>
      <c r="F2922" s="21" t="s">
        <v>708</v>
      </c>
    </row>
    <row r="2923" customFormat="false" ht="15" hidden="false" customHeight="false" outlineLevel="0" collapsed="false">
      <c r="B2923" s="19" t="s">
        <v>3996</v>
      </c>
      <c r="C2923" s="20" t="n">
        <f aca="false">ROUND(1.3/FX,2)</f>
        <v>0.18</v>
      </c>
      <c r="D2923" s="21" t="s">
        <v>1202</v>
      </c>
      <c r="E2923" s="21" t="s">
        <v>707</v>
      </c>
      <c r="F2923" s="21" t="s">
        <v>708</v>
      </c>
    </row>
    <row r="2924" customFormat="false" ht="15" hidden="false" customHeight="false" outlineLevel="0" collapsed="false">
      <c r="B2924" s="19" t="s">
        <v>3997</v>
      </c>
      <c r="C2924" s="20" t="n">
        <f aca="false">ROUND(2.6/FX,2)</f>
        <v>0.36</v>
      </c>
      <c r="D2924" s="21" t="s">
        <v>1202</v>
      </c>
      <c r="E2924" s="21" t="s">
        <v>714</v>
      </c>
      <c r="F2924" s="21" t="s">
        <v>708</v>
      </c>
    </row>
    <row r="2925" customFormat="false" ht="15" hidden="false" customHeight="false" outlineLevel="0" collapsed="false">
      <c r="B2925" s="19" t="s">
        <v>3998</v>
      </c>
      <c r="C2925" s="20" t="n">
        <f aca="false">ROUND(2.7/FX,2)</f>
        <v>0.38</v>
      </c>
      <c r="D2925" s="21" t="s">
        <v>1202</v>
      </c>
      <c r="E2925" s="21" t="s">
        <v>3833</v>
      </c>
      <c r="F2925" s="21" t="s">
        <v>708</v>
      </c>
    </row>
    <row r="2926" customFormat="false" ht="15" hidden="false" customHeight="false" outlineLevel="0" collapsed="false">
      <c r="B2926" s="19" t="s">
        <v>3999</v>
      </c>
      <c r="C2926" s="20" t="n">
        <f aca="false">ROUND(1.69/FX,2)</f>
        <v>0.23</v>
      </c>
      <c r="D2926" s="21" t="s">
        <v>1202</v>
      </c>
      <c r="E2926" s="21" t="s">
        <v>4000</v>
      </c>
      <c r="F2926" s="21" t="s">
        <v>708</v>
      </c>
    </row>
    <row r="2927" customFormat="false" ht="15" hidden="false" customHeight="false" outlineLevel="0" collapsed="false">
      <c r="B2927" s="19" t="s">
        <v>4001</v>
      </c>
      <c r="C2927" s="20" t="n">
        <f aca="false">ROUND(1.69/FX,2)</f>
        <v>0.23</v>
      </c>
      <c r="D2927" s="21" t="s">
        <v>1202</v>
      </c>
      <c r="E2927" s="21" t="s">
        <v>3247</v>
      </c>
      <c r="F2927" s="21" t="s">
        <v>708</v>
      </c>
    </row>
    <row r="2928" customFormat="false" ht="15" hidden="false" customHeight="false" outlineLevel="0" collapsed="false">
      <c r="B2928" s="19" t="s">
        <v>4002</v>
      </c>
      <c r="C2928" s="20" t="n">
        <f aca="false">ROUND(1.69/FX,2)</f>
        <v>0.23</v>
      </c>
      <c r="D2928" s="21" t="s">
        <v>1202</v>
      </c>
      <c r="E2928" s="21" t="s">
        <v>3317</v>
      </c>
      <c r="F2928" s="21" t="s">
        <v>708</v>
      </c>
    </row>
    <row r="2929" customFormat="false" ht="15" hidden="false" customHeight="false" outlineLevel="0" collapsed="false">
      <c r="B2929" s="19" t="s">
        <v>4003</v>
      </c>
      <c r="C2929" s="20" t="n">
        <f aca="false">ROUND(1.69/FX,2)</f>
        <v>0.23</v>
      </c>
      <c r="D2929" s="21" t="s">
        <v>1202</v>
      </c>
      <c r="E2929" s="21" t="s">
        <v>716</v>
      </c>
      <c r="F2929" s="21" t="s">
        <v>708</v>
      </c>
    </row>
    <row r="2930" customFormat="false" ht="15" hidden="false" customHeight="false" outlineLevel="0" collapsed="false">
      <c r="B2930" s="19" t="s">
        <v>4004</v>
      </c>
      <c r="C2930" s="20" t="n">
        <f aca="false">ROUND(1.69/FX,2)</f>
        <v>0.23</v>
      </c>
      <c r="D2930" s="21" t="s">
        <v>1202</v>
      </c>
      <c r="E2930" s="21" t="s">
        <v>847</v>
      </c>
      <c r="F2930" s="21" t="s">
        <v>708</v>
      </c>
    </row>
    <row r="2931" customFormat="false" ht="15" hidden="false" customHeight="false" outlineLevel="0" collapsed="false">
      <c r="B2931" s="19" t="s">
        <v>4005</v>
      </c>
      <c r="C2931" s="20" t="n">
        <f aca="false">ROUND(1.52/FX,2)</f>
        <v>0.21</v>
      </c>
      <c r="D2931" s="21" t="s">
        <v>1202</v>
      </c>
      <c r="E2931" s="21" t="s">
        <v>719</v>
      </c>
      <c r="F2931" s="21" t="s">
        <v>708</v>
      </c>
    </row>
    <row r="2932" customFormat="false" ht="15" hidden="false" customHeight="false" outlineLevel="0" collapsed="false">
      <c r="B2932" s="19" t="s">
        <v>4006</v>
      </c>
      <c r="C2932" s="20" t="n">
        <f aca="false">ROUND(1.43/FX,2)</f>
        <v>0.2</v>
      </c>
      <c r="D2932" s="21" t="s">
        <v>4007</v>
      </c>
      <c r="E2932" s="21" t="s">
        <v>707</v>
      </c>
      <c r="F2932" s="21" t="s">
        <v>708</v>
      </c>
    </row>
    <row r="2933" customFormat="false" ht="15" hidden="false" customHeight="false" outlineLevel="0" collapsed="false">
      <c r="B2933" s="19" t="s">
        <v>4008</v>
      </c>
      <c r="C2933" s="20" t="n">
        <f aca="false">ROUND(2.6/FX,2)</f>
        <v>0.36</v>
      </c>
      <c r="D2933" s="21" t="s">
        <v>4007</v>
      </c>
      <c r="E2933" s="21" t="s">
        <v>714</v>
      </c>
      <c r="F2933" s="21" t="s">
        <v>708</v>
      </c>
    </row>
    <row r="2934" customFormat="false" ht="15" hidden="false" customHeight="false" outlineLevel="0" collapsed="false">
      <c r="B2934" s="19" t="s">
        <v>4009</v>
      </c>
      <c r="C2934" s="20" t="n">
        <f aca="false">ROUND(2.7/FX,2)</f>
        <v>0.38</v>
      </c>
      <c r="D2934" s="21" t="s">
        <v>4007</v>
      </c>
      <c r="E2934" s="21" t="s">
        <v>3833</v>
      </c>
      <c r="F2934" s="21" t="s">
        <v>708</v>
      </c>
    </row>
    <row r="2935" customFormat="false" ht="15" hidden="false" customHeight="false" outlineLevel="0" collapsed="false">
      <c r="B2935" s="19" t="s">
        <v>4010</v>
      </c>
      <c r="C2935" s="20" t="n">
        <f aca="false">ROUND(1.69/FX,2)</f>
        <v>0.23</v>
      </c>
      <c r="D2935" s="21" t="s">
        <v>4007</v>
      </c>
      <c r="E2935" s="21" t="s">
        <v>4000</v>
      </c>
      <c r="F2935" s="21" t="s">
        <v>708</v>
      </c>
    </row>
    <row r="2936" customFormat="false" ht="15" hidden="false" customHeight="false" outlineLevel="0" collapsed="false">
      <c r="B2936" s="19" t="s">
        <v>4011</v>
      </c>
      <c r="C2936" s="20" t="n">
        <f aca="false">ROUND(1.69/FX,2)</f>
        <v>0.23</v>
      </c>
      <c r="D2936" s="21" t="s">
        <v>4007</v>
      </c>
      <c r="E2936" s="21" t="s">
        <v>3247</v>
      </c>
      <c r="F2936" s="21" t="s">
        <v>708</v>
      </c>
    </row>
    <row r="2937" customFormat="false" ht="15" hidden="false" customHeight="false" outlineLevel="0" collapsed="false">
      <c r="B2937" s="19" t="s">
        <v>4012</v>
      </c>
      <c r="C2937" s="20" t="n">
        <f aca="false">ROUND(1.69/FX,2)</f>
        <v>0.23</v>
      </c>
      <c r="D2937" s="21" t="s">
        <v>4007</v>
      </c>
      <c r="E2937" s="21" t="s">
        <v>3317</v>
      </c>
      <c r="F2937" s="21" t="s">
        <v>708</v>
      </c>
    </row>
    <row r="2938" customFormat="false" ht="15" hidden="false" customHeight="false" outlineLevel="0" collapsed="false">
      <c r="B2938" s="19" t="s">
        <v>4013</v>
      </c>
      <c r="C2938" s="20" t="n">
        <f aca="false">ROUND(1.69/FX,2)</f>
        <v>0.23</v>
      </c>
      <c r="D2938" s="21" t="s">
        <v>4007</v>
      </c>
      <c r="E2938" s="21" t="s">
        <v>716</v>
      </c>
      <c r="F2938" s="21" t="s">
        <v>708</v>
      </c>
    </row>
    <row r="2939" customFormat="false" ht="15" hidden="false" customHeight="false" outlineLevel="0" collapsed="false">
      <c r="B2939" s="19" t="s">
        <v>4014</v>
      </c>
      <c r="C2939" s="20" t="n">
        <f aca="false">ROUND(1.69/FX,2)</f>
        <v>0.23</v>
      </c>
      <c r="D2939" s="21" t="s">
        <v>4007</v>
      </c>
      <c r="E2939" s="21" t="s">
        <v>847</v>
      </c>
      <c r="F2939" s="21" t="s">
        <v>708</v>
      </c>
    </row>
    <row r="2940" customFormat="false" ht="15" hidden="false" customHeight="false" outlineLevel="0" collapsed="false">
      <c r="B2940" s="19" t="s">
        <v>4015</v>
      </c>
      <c r="C2940" s="20" t="n">
        <f aca="false">ROUND(1.52/FX,2)</f>
        <v>0.21</v>
      </c>
      <c r="D2940" s="21" t="s">
        <v>4007</v>
      </c>
      <c r="E2940" s="21" t="s">
        <v>719</v>
      </c>
      <c r="F2940" s="21" t="s">
        <v>708</v>
      </c>
    </row>
    <row r="2941" customFormat="false" ht="15" hidden="false" customHeight="false" outlineLevel="0" collapsed="false">
      <c r="B2941" s="19" t="s">
        <v>4016</v>
      </c>
      <c r="C2941" s="20" t="n">
        <f aca="false">ROUND(1.56/FX,2)</f>
        <v>0.22</v>
      </c>
      <c r="D2941" s="21" t="s">
        <v>1235</v>
      </c>
      <c r="E2941" s="21" t="s">
        <v>707</v>
      </c>
      <c r="F2941" s="21" t="s">
        <v>708</v>
      </c>
    </row>
    <row r="2942" customFormat="false" ht="15" hidden="false" customHeight="false" outlineLevel="0" collapsed="false">
      <c r="B2942" s="19" t="s">
        <v>4017</v>
      </c>
      <c r="C2942" s="20" t="n">
        <f aca="false">ROUND(2.54/FX,2)</f>
        <v>0.35</v>
      </c>
      <c r="D2942" s="21" t="s">
        <v>1235</v>
      </c>
      <c r="E2942" s="21" t="s">
        <v>714</v>
      </c>
      <c r="F2942" s="21" t="s">
        <v>708</v>
      </c>
    </row>
    <row r="2943" customFormat="false" ht="15" hidden="false" customHeight="false" outlineLevel="0" collapsed="false">
      <c r="B2943" s="19" t="s">
        <v>4018</v>
      </c>
      <c r="C2943" s="20" t="n">
        <f aca="false">ROUND(2.7/FX,2)</f>
        <v>0.38</v>
      </c>
      <c r="D2943" s="21" t="s">
        <v>1235</v>
      </c>
      <c r="E2943" s="21" t="s">
        <v>3833</v>
      </c>
      <c r="F2943" s="21" t="s">
        <v>708</v>
      </c>
    </row>
    <row r="2944" customFormat="false" ht="15" hidden="false" customHeight="false" outlineLevel="0" collapsed="false">
      <c r="B2944" s="19" t="s">
        <v>4019</v>
      </c>
      <c r="C2944" s="20" t="n">
        <f aca="false">ROUND(1.69/FX,2)</f>
        <v>0.23</v>
      </c>
      <c r="D2944" s="21" t="s">
        <v>1235</v>
      </c>
      <c r="E2944" s="21" t="s">
        <v>4000</v>
      </c>
      <c r="F2944" s="21" t="s">
        <v>708</v>
      </c>
    </row>
    <row r="2945" customFormat="false" ht="15" hidden="false" customHeight="false" outlineLevel="0" collapsed="false">
      <c r="B2945" s="19" t="s">
        <v>4020</v>
      </c>
      <c r="C2945" s="20" t="n">
        <f aca="false">ROUND(1.69/FX,2)</f>
        <v>0.23</v>
      </c>
      <c r="D2945" s="21" t="s">
        <v>1235</v>
      </c>
      <c r="E2945" s="21" t="s">
        <v>3247</v>
      </c>
      <c r="F2945" s="21" t="s">
        <v>708</v>
      </c>
    </row>
    <row r="2946" customFormat="false" ht="15" hidden="false" customHeight="false" outlineLevel="0" collapsed="false">
      <c r="B2946" s="19" t="s">
        <v>4021</v>
      </c>
      <c r="C2946" s="20" t="n">
        <f aca="false">ROUND(1.69/FX,2)</f>
        <v>0.23</v>
      </c>
      <c r="D2946" s="21" t="s">
        <v>1235</v>
      </c>
      <c r="E2946" s="21" t="s">
        <v>3317</v>
      </c>
      <c r="F2946" s="21" t="s">
        <v>708</v>
      </c>
    </row>
    <row r="2947" customFormat="false" ht="15" hidden="false" customHeight="false" outlineLevel="0" collapsed="false">
      <c r="B2947" s="19" t="s">
        <v>4022</v>
      </c>
      <c r="C2947" s="20" t="n">
        <f aca="false">ROUND(1.69/FX,2)</f>
        <v>0.23</v>
      </c>
      <c r="D2947" s="21" t="s">
        <v>1235</v>
      </c>
      <c r="E2947" s="21" t="s">
        <v>716</v>
      </c>
      <c r="F2947" s="21" t="s">
        <v>708</v>
      </c>
    </row>
    <row r="2948" customFormat="false" ht="15" hidden="false" customHeight="false" outlineLevel="0" collapsed="false">
      <c r="B2948" s="19" t="s">
        <v>4023</v>
      </c>
      <c r="C2948" s="20" t="n">
        <f aca="false">ROUND(1.69/FX,2)</f>
        <v>0.23</v>
      </c>
      <c r="D2948" s="21" t="s">
        <v>1235</v>
      </c>
      <c r="E2948" s="21" t="s">
        <v>847</v>
      </c>
      <c r="F2948" s="21" t="s">
        <v>708</v>
      </c>
    </row>
    <row r="2949" customFormat="false" ht="15" hidden="false" customHeight="false" outlineLevel="0" collapsed="false">
      <c r="B2949" s="19" t="s">
        <v>4024</v>
      </c>
      <c r="C2949" s="20" t="n">
        <f aca="false">ROUND(1.69/FX,2)</f>
        <v>0.23</v>
      </c>
      <c r="D2949" s="21" t="s">
        <v>1235</v>
      </c>
      <c r="E2949" s="21" t="s">
        <v>719</v>
      </c>
      <c r="F2949" s="21" t="s">
        <v>708</v>
      </c>
    </row>
    <row r="2950" customFormat="false" ht="15" hidden="false" customHeight="false" outlineLevel="0" collapsed="false">
      <c r="B2950" s="19" t="s">
        <v>4025</v>
      </c>
      <c r="C2950" s="20" t="n">
        <f aca="false">ROUND(1.56/FX,2)</f>
        <v>0.22</v>
      </c>
      <c r="D2950" s="21" t="s">
        <v>4026</v>
      </c>
      <c r="E2950" s="21" t="s">
        <v>707</v>
      </c>
      <c r="F2950" s="21" t="s">
        <v>708</v>
      </c>
    </row>
    <row r="2951" customFormat="false" ht="15" hidden="false" customHeight="false" outlineLevel="0" collapsed="false">
      <c r="B2951" s="19" t="s">
        <v>4027</v>
      </c>
      <c r="C2951" s="20" t="n">
        <f aca="false">ROUND(2.54/FX,2)</f>
        <v>0.35</v>
      </c>
      <c r="D2951" s="21" t="s">
        <v>4026</v>
      </c>
      <c r="E2951" s="21" t="s">
        <v>714</v>
      </c>
      <c r="F2951" s="21" t="s">
        <v>708</v>
      </c>
    </row>
    <row r="2952" customFormat="false" ht="15" hidden="false" customHeight="false" outlineLevel="0" collapsed="false">
      <c r="B2952" s="19" t="s">
        <v>4028</v>
      </c>
      <c r="C2952" s="20" t="n">
        <f aca="false">ROUND(2.7/FX,2)</f>
        <v>0.38</v>
      </c>
      <c r="D2952" s="21" t="s">
        <v>4026</v>
      </c>
      <c r="E2952" s="21" t="s">
        <v>3833</v>
      </c>
      <c r="F2952" s="21" t="s">
        <v>708</v>
      </c>
    </row>
    <row r="2953" customFormat="false" ht="15" hidden="false" customHeight="false" outlineLevel="0" collapsed="false">
      <c r="B2953" s="19" t="s">
        <v>4029</v>
      </c>
      <c r="C2953" s="20" t="n">
        <f aca="false">ROUND(1.69/FX,2)</f>
        <v>0.23</v>
      </c>
      <c r="D2953" s="21" t="s">
        <v>4026</v>
      </c>
      <c r="E2953" s="21" t="s">
        <v>4000</v>
      </c>
      <c r="F2953" s="21" t="s">
        <v>708</v>
      </c>
    </row>
    <row r="2954" customFormat="false" ht="15" hidden="false" customHeight="false" outlineLevel="0" collapsed="false">
      <c r="B2954" s="19" t="s">
        <v>4030</v>
      </c>
      <c r="C2954" s="20" t="n">
        <f aca="false">ROUND(1.69/FX,2)</f>
        <v>0.23</v>
      </c>
      <c r="D2954" s="21" t="s">
        <v>4026</v>
      </c>
      <c r="E2954" s="21" t="s">
        <v>3247</v>
      </c>
      <c r="F2954" s="21" t="s">
        <v>708</v>
      </c>
    </row>
    <row r="2955" customFormat="false" ht="15" hidden="false" customHeight="false" outlineLevel="0" collapsed="false">
      <c r="B2955" s="19" t="s">
        <v>4031</v>
      </c>
      <c r="C2955" s="20" t="n">
        <f aca="false">ROUND(1.69/FX,2)</f>
        <v>0.23</v>
      </c>
      <c r="D2955" s="21" t="s">
        <v>4026</v>
      </c>
      <c r="E2955" s="21" t="s">
        <v>3317</v>
      </c>
      <c r="F2955" s="21" t="s">
        <v>708</v>
      </c>
    </row>
    <row r="2956" customFormat="false" ht="15" hidden="false" customHeight="false" outlineLevel="0" collapsed="false">
      <c r="B2956" s="19" t="s">
        <v>4032</v>
      </c>
      <c r="C2956" s="20" t="n">
        <f aca="false">ROUND(1.69/FX,2)</f>
        <v>0.23</v>
      </c>
      <c r="D2956" s="21" t="s">
        <v>4026</v>
      </c>
      <c r="E2956" s="21" t="s">
        <v>716</v>
      </c>
      <c r="F2956" s="21" t="s">
        <v>708</v>
      </c>
    </row>
    <row r="2957" customFormat="false" ht="15" hidden="false" customHeight="false" outlineLevel="0" collapsed="false">
      <c r="B2957" s="19" t="s">
        <v>4033</v>
      </c>
      <c r="C2957" s="20" t="n">
        <f aca="false">ROUND(1.69/FX,2)</f>
        <v>0.23</v>
      </c>
      <c r="D2957" s="21" t="s">
        <v>4026</v>
      </c>
      <c r="E2957" s="21" t="s">
        <v>847</v>
      </c>
      <c r="F2957" s="21" t="s">
        <v>708</v>
      </c>
    </row>
    <row r="2958" customFormat="false" ht="15" hidden="false" customHeight="false" outlineLevel="0" collapsed="false">
      <c r="B2958" s="19" t="s">
        <v>4034</v>
      </c>
      <c r="C2958" s="20" t="n">
        <f aca="false">ROUND(1.69/FX,2)</f>
        <v>0.23</v>
      </c>
      <c r="D2958" s="21" t="s">
        <v>4026</v>
      </c>
      <c r="E2958" s="21" t="s">
        <v>719</v>
      </c>
      <c r="F2958" s="21" t="s">
        <v>708</v>
      </c>
    </row>
    <row r="2959" customFormat="false" ht="15" hidden="false" customHeight="false" outlineLevel="0" collapsed="false">
      <c r="B2959" s="19" t="s">
        <v>4035</v>
      </c>
      <c r="C2959" s="20" t="n">
        <f aca="false">ROUND(1.43/FX,2)</f>
        <v>0.2</v>
      </c>
      <c r="D2959" s="21" t="s">
        <v>1268</v>
      </c>
      <c r="E2959" s="21" t="s">
        <v>707</v>
      </c>
      <c r="F2959" s="21" t="s">
        <v>708</v>
      </c>
    </row>
    <row r="2960" customFormat="false" ht="15" hidden="false" customHeight="false" outlineLevel="0" collapsed="false">
      <c r="B2960" s="19" t="s">
        <v>4036</v>
      </c>
      <c r="C2960" s="20" t="n">
        <f aca="false">ROUND(2.34/FX,2)</f>
        <v>0.33</v>
      </c>
      <c r="D2960" s="21" t="s">
        <v>1268</v>
      </c>
      <c r="E2960" s="21" t="s">
        <v>714</v>
      </c>
      <c r="F2960" s="21" t="s">
        <v>708</v>
      </c>
    </row>
    <row r="2961" customFormat="false" ht="15" hidden="false" customHeight="false" outlineLevel="0" collapsed="false">
      <c r="B2961" s="19" t="s">
        <v>4037</v>
      </c>
      <c r="C2961" s="20" t="n">
        <f aca="false">ROUND(2.7/FX,2)</f>
        <v>0.38</v>
      </c>
      <c r="D2961" s="21" t="s">
        <v>1268</v>
      </c>
      <c r="E2961" s="21" t="s">
        <v>3833</v>
      </c>
      <c r="F2961" s="21" t="s">
        <v>708</v>
      </c>
    </row>
    <row r="2962" customFormat="false" ht="15" hidden="false" customHeight="false" outlineLevel="0" collapsed="false">
      <c r="B2962" s="19" t="s">
        <v>4038</v>
      </c>
      <c r="C2962" s="20" t="n">
        <f aca="false">ROUND(1.69/FX,2)</f>
        <v>0.23</v>
      </c>
      <c r="D2962" s="21" t="s">
        <v>1268</v>
      </c>
      <c r="E2962" s="21" t="s">
        <v>4000</v>
      </c>
      <c r="F2962" s="21" t="s">
        <v>708</v>
      </c>
    </row>
    <row r="2963" customFormat="false" ht="15" hidden="false" customHeight="false" outlineLevel="0" collapsed="false">
      <c r="B2963" s="19" t="s">
        <v>4039</v>
      </c>
      <c r="C2963" s="20" t="n">
        <f aca="false">ROUND(1.69/FX,2)</f>
        <v>0.23</v>
      </c>
      <c r="D2963" s="21" t="s">
        <v>1268</v>
      </c>
      <c r="E2963" s="21" t="s">
        <v>3247</v>
      </c>
      <c r="F2963" s="21" t="s">
        <v>708</v>
      </c>
    </row>
    <row r="2964" customFormat="false" ht="15" hidden="false" customHeight="false" outlineLevel="0" collapsed="false">
      <c r="B2964" s="19" t="s">
        <v>4040</v>
      </c>
      <c r="C2964" s="20" t="n">
        <f aca="false">ROUND(1.69/FX,2)</f>
        <v>0.23</v>
      </c>
      <c r="D2964" s="21" t="s">
        <v>1268</v>
      </c>
      <c r="E2964" s="21" t="s">
        <v>3317</v>
      </c>
      <c r="F2964" s="21" t="s">
        <v>708</v>
      </c>
    </row>
    <row r="2965" customFormat="false" ht="15" hidden="false" customHeight="false" outlineLevel="0" collapsed="false">
      <c r="B2965" s="19" t="s">
        <v>4041</v>
      </c>
      <c r="C2965" s="20" t="n">
        <f aca="false">ROUND(1.69/FX,2)</f>
        <v>0.23</v>
      </c>
      <c r="D2965" s="21" t="s">
        <v>1268</v>
      </c>
      <c r="E2965" s="21" t="s">
        <v>716</v>
      </c>
      <c r="F2965" s="21" t="s">
        <v>708</v>
      </c>
    </row>
    <row r="2966" customFormat="false" ht="15" hidden="false" customHeight="false" outlineLevel="0" collapsed="false">
      <c r="B2966" s="19" t="s">
        <v>4042</v>
      </c>
      <c r="C2966" s="20" t="n">
        <f aca="false">ROUND(1.69/FX,2)</f>
        <v>0.23</v>
      </c>
      <c r="D2966" s="21" t="s">
        <v>1268</v>
      </c>
      <c r="E2966" s="21" t="s">
        <v>847</v>
      </c>
      <c r="F2966" s="21" t="s">
        <v>708</v>
      </c>
    </row>
    <row r="2967" customFormat="false" ht="15" hidden="false" customHeight="false" outlineLevel="0" collapsed="false">
      <c r="B2967" s="19" t="s">
        <v>4043</v>
      </c>
      <c r="C2967" s="20" t="n">
        <f aca="false">ROUND(2.34/FX,2)</f>
        <v>0.33</v>
      </c>
      <c r="D2967" s="21" t="s">
        <v>1268</v>
      </c>
      <c r="E2967" s="21" t="s">
        <v>719</v>
      </c>
      <c r="F2967" s="21" t="s">
        <v>708</v>
      </c>
    </row>
    <row r="2968" customFormat="false" ht="15" hidden="false" customHeight="false" outlineLevel="0" collapsed="false">
      <c r="B2968" s="19" t="s">
        <v>4044</v>
      </c>
      <c r="C2968" s="20" t="n">
        <f aca="false">ROUND(1.69/FX,2)</f>
        <v>0.23</v>
      </c>
      <c r="D2968" s="21" t="s">
        <v>4045</v>
      </c>
      <c r="E2968" s="21" t="s">
        <v>707</v>
      </c>
      <c r="F2968" s="21" t="s">
        <v>708</v>
      </c>
    </row>
    <row r="2969" customFormat="false" ht="15" hidden="false" customHeight="false" outlineLevel="0" collapsed="false">
      <c r="B2969" s="19" t="s">
        <v>4046</v>
      </c>
      <c r="C2969" s="20" t="n">
        <f aca="false">ROUND(2.54/FX,2)</f>
        <v>0.35</v>
      </c>
      <c r="D2969" s="21" t="s">
        <v>4045</v>
      </c>
      <c r="E2969" s="21" t="s">
        <v>714</v>
      </c>
      <c r="F2969" s="21" t="s">
        <v>708</v>
      </c>
    </row>
    <row r="2970" customFormat="false" ht="15" hidden="false" customHeight="false" outlineLevel="0" collapsed="false">
      <c r="B2970" s="19" t="s">
        <v>4047</v>
      </c>
      <c r="C2970" s="20" t="n">
        <f aca="false">ROUND(2.7/FX,2)</f>
        <v>0.38</v>
      </c>
      <c r="D2970" s="21" t="s">
        <v>4045</v>
      </c>
      <c r="E2970" s="21" t="s">
        <v>3833</v>
      </c>
      <c r="F2970" s="21" t="s">
        <v>708</v>
      </c>
    </row>
    <row r="2971" customFormat="false" ht="15" hidden="false" customHeight="false" outlineLevel="0" collapsed="false">
      <c r="B2971" s="19" t="s">
        <v>4048</v>
      </c>
      <c r="C2971" s="20" t="n">
        <f aca="false">ROUND(1.69/FX,2)</f>
        <v>0.23</v>
      </c>
      <c r="D2971" s="21" t="s">
        <v>4045</v>
      </c>
      <c r="E2971" s="21" t="s">
        <v>4000</v>
      </c>
      <c r="F2971" s="21" t="s">
        <v>708</v>
      </c>
    </row>
    <row r="2972" customFormat="false" ht="15" hidden="false" customHeight="false" outlineLevel="0" collapsed="false">
      <c r="B2972" s="19" t="s">
        <v>4049</v>
      </c>
      <c r="C2972" s="20" t="n">
        <f aca="false">ROUND(1.69/FX,2)</f>
        <v>0.23</v>
      </c>
      <c r="D2972" s="21" t="s">
        <v>4045</v>
      </c>
      <c r="E2972" s="21" t="s">
        <v>3247</v>
      </c>
      <c r="F2972" s="21" t="s">
        <v>708</v>
      </c>
    </row>
    <row r="2973" customFormat="false" ht="15" hidden="false" customHeight="false" outlineLevel="0" collapsed="false">
      <c r="B2973" s="19" t="s">
        <v>4050</v>
      </c>
      <c r="C2973" s="20" t="n">
        <f aca="false">ROUND(1.69/FX,2)</f>
        <v>0.23</v>
      </c>
      <c r="D2973" s="21" t="s">
        <v>4045</v>
      </c>
      <c r="E2973" s="21" t="s">
        <v>3317</v>
      </c>
      <c r="F2973" s="21" t="s">
        <v>708</v>
      </c>
    </row>
    <row r="2974" customFormat="false" ht="15" hidden="false" customHeight="false" outlineLevel="0" collapsed="false">
      <c r="B2974" s="19" t="s">
        <v>4051</v>
      </c>
      <c r="C2974" s="20" t="n">
        <f aca="false">ROUND(1.69/FX,2)</f>
        <v>0.23</v>
      </c>
      <c r="D2974" s="21" t="s">
        <v>4045</v>
      </c>
      <c r="E2974" s="21" t="s">
        <v>716</v>
      </c>
      <c r="F2974" s="21" t="s">
        <v>708</v>
      </c>
    </row>
    <row r="2975" customFormat="false" ht="15" hidden="false" customHeight="false" outlineLevel="0" collapsed="false">
      <c r="B2975" s="19" t="s">
        <v>4052</v>
      </c>
      <c r="C2975" s="20" t="n">
        <f aca="false">ROUND(1.69/FX,2)</f>
        <v>0.23</v>
      </c>
      <c r="D2975" s="21" t="s">
        <v>4045</v>
      </c>
      <c r="E2975" s="21" t="s">
        <v>847</v>
      </c>
      <c r="F2975" s="21" t="s">
        <v>708</v>
      </c>
    </row>
    <row r="2976" customFormat="false" ht="15" hidden="false" customHeight="false" outlineLevel="0" collapsed="false">
      <c r="B2976" s="19" t="s">
        <v>4053</v>
      </c>
      <c r="C2976" s="20" t="n">
        <f aca="false">ROUND(1.69/FX,2)</f>
        <v>0.23</v>
      </c>
      <c r="D2976" s="21" t="s">
        <v>4045</v>
      </c>
      <c r="E2976" s="21" t="s">
        <v>719</v>
      </c>
      <c r="F2976" s="21" t="s">
        <v>708</v>
      </c>
    </row>
    <row r="2977" customFormat="false" ht="15" hidden="false" customHeight="false" outlineLevel="0" collapsed="false">
      <c r="B2977" s="19" t="s">
        <v>4054</v>
      </c>
      <c r="C2977" s="20" t="n">
        <f aca="false">ROUND(1.43/FX,2)</f>
        <v>0.2</v>
      </c>
      <c r="D2977" s="21" t="s">
        <v>1301</v>
      </c>
      <c r="E2977" s="21" t="s">
        <v>707</v>
      </c>
      <c r="F2977" s="21" t="s">
        <v>708</v>
      </c>
    </row>
    <row r="2978" customFormat="false" ht="15" hidden="false" customHeight="false" outlineLevel="0" collapsed="false">
      <c r="B2978" s="19" t="s">
        <v>4055</v>
      </c>
      <c r="C2978" s="20" t="n">
        <f aca="false">ROUND(2.54/FX,2)</f>
        <v>0.35</v>
      </c>
      <c r="D2978" s="21" t="s">
        <v>1301</v>
      </c>
      <c r="E2978" s="21" t="s">
        <v>714</v>
      </c>
      <c r="F2978" s="21" t="s">
        <v>708</v>
      </c>
    </row>
    <row r="2979" customFormat="false" ht="15" hidden="false" customHeight="false" outlineLevel="0" collapsed="false">
      <c r="B2979" s="19" t="s">
        <v>4056</v>
      </c>
      <c r="C2979" s="20" t="n">
        <f aca="false">ROUND(2.7/FX,2)</f>
        <v>0.38</v>
      </c>
      <c r="D2979" s="21" t="s">
        <v>1301</v>
      </c>
      <c r="E2979" s="21" t="s">
        <v>3833</v>
      </c>
      <c r="F2979" s="21" t="s">
        <v>708</v>
      </c>
    </row>
    <row r="2980" customFormat="false" ht="15" hidden="false" customHeight="false" outlineLevel="0" collapsed="false">
      <c r="B2980" s="19" t="s">
        <v>4057</v>
      </c>
      <c r="C2980" s="20" t="n">
        <f aca="false">ROUND(1.69/FX,2)</f>
        <v>0.23</v>
      </c>
      <c r="D2980" s="21" t="s">
        <v>1301</v>
      </c>
      <c r="E2980" s="21" t="s">
        <v>4000</v>
      </c>
      <c r="F2980" s="21" t="s">
        <v>708</v>
      </c>
    </row>
    <row r="2981" customFormat="false" ht="15" hidden="false" customHeight="false" outlineLevel="0" collapsed="false">
      <c r="B2981" s="19" t="s">
        <v>4058</v>
      </c>
      <c r="C2981" s="20" t="n">
        <f aca="false">ROUND(1.69/FX,2)</f>
        <v>0.23</v>
      </c>
      <c r="D2981" s="21" t="s">
        <v>1301</v>
      </c>
      <c r="E2981" s="21" t="s">
        <v>3247</v>
      </c>
      <c r="F2981" s="21" t="s">
        <v>708</v>
      </c>
    </row>
    <row r="2982" customFormat="false" ht="15" hidden="false" customHeight="false" outlineLevel="0" collapsed="false">
      <c r="B2982" s="19" t="s">
        <v>4059</v>
      </c>
      <c r="C2982" s="20" t="n">
        <f aca="false">ROUND(1.69/FX,2)</f>
        <v>0.23</v>
      </c>
      <c r="D2982" s="21" t="s">
        <v>1301</v>
      </c>
      <c r="E2982" s="21" t="s">
        <v>3317</v>
      </c>
      <c r="F2982" s="21" t="s">
        <v>708</v>
      </c>
    </row>
    <row r="2983" customFormat="false" ht="15" hidden="false" customHeight="false" outlineLevel="0" collapsed="false">
      <c r="B2983" s="19" t="s">
        <v>4060</v>
      </c>
      <c r="C2983" s="20" t="n">
        <f aca="false">ROUND(1.3/FX,2)</f>
        <v>0.18</v>
      </c>
      <c r="D2983" s="21" t="s">
        <v>1301</v>
      </c>
      <c r="E2983" s="21" t="s">
        <v>716</v>
      </c>
      <c r="F2983" s="21" t="s">
        <v>708</v>
      </c>
    </row>
    <row r="2984" customFormat="false" ht="15" hidden="false" customHeight="false" outlineLevel="0" collapsed="false">
      <c r="B2984" s="19" t="s">
        <v>4061</v>
      </c>
      <c r="C2984" s="20" t="n">
        <f aca="false">ROUND(1.69/FX,2)</f>
        <v>0.23</v>
      </c>
      <c r="D2984" s="21" t="s">
        <v>1301</v>
      </c>
      <c r="E2984" s="21" t="s">
        <v>847</v>
      </c>
      <c r="F2984" s="21" t="s">
        <v>708</v>
      </c>
    </row>
    <row r="2985" customFormat="false" ht="15" hidden="false" customHeight="false" outlineLevel="0" collapsed="false">
      <c r="B2985" s="19" t="s">
        <v>4062</v>
      </c>
      <c r="C2985" s="20" t="n">
        <f aca="false">ROUND(1.69/FX,2)</f>
        <v>0.23</v>
      </c>
      <c r="D2985" s="21" t="s">
        <v>1301</v>
      </c>
      <c r="E2985" s="21" t="s">
        <v>719</v>
      </c>
      <c r="F2985" s="21" t="s">
        <v>708</v>
      </c>
    </row>
    <row r="2986" customFormat="false" ht="15" hidden="false" customHeight="false" outlineLevel="0" collapsed="false">
      <c r="B2986" s="19" t="s">
        <v>4063</v>
      </c>
      <c r="C2986" s="20" t="n">
        <f aca="false">ROUND(1.3/FX,2)</f>
        <v>0.18</v>
      </c>
      <c r="D2986" s="21" t="s">
        <v>4064</v>
      </c>
      <c r="E2986" s="21" t="s">
        <v>707</v>
      </c>
      <c r="F2986" s="21" t="s">
        <v>708</v>
      </c>
    </row>
    <row r="2987" customFormat="false" ht="15" hidden="false" customHeight="false" outlineLevel="0" collapsed="false">
      <c r="B2987" s="19" t="s">
        <v>4065</v>
      </c>
      <c r="C2987" s="20" t="n">
        <f aca="false">ROUND(2.54/FX,2)</f>
        <v>0.35</v>
      </c>
      <c r="D2987" s="21" t="s">
        <v>4064</v>
      </c>
      <c r="E2987" s="21" t="s">
        <v>714</v>
      </c>
      <c r="F2987" s="21" t="s">
        <v>708</v>
      </c>
    </row>
    <row r="2988" customFormat="false" ht="15" hidden="false" customHeight="false" outlineLevel="0" collapsed="false">
      <c r="B2988" s="19" t="s">
        <v>4066</v>
      </c>
      <c r="C2988" s="20" t="n">
        <f aca="false">ROUND(2.7/FX,2)</f>
        <v>0.38</v>
      </c>
      <c r="D2988" s="21" t="s">
        <v>4064</v>
      </c>
      <c r="E2988" s="21" t="s">
        <v>3833</v>
      </c>
      <c r="F2988" s="21" t="s">
        <v>708</v>
      </c>
    </row>
    <row r="2989" customFormat="false" ht="15" hidden="false" customHeight="false" outlineLevel="0" collapsed="false">
      <c r="B2989" s="19" t="s">
        <v>4067</v>
      </c>
      <c r="C2989" s="20" t="n">
        <f aca="false">ROUND(1.69/FX,2)</f>
        <v>0.23</v>
      </c>
      <c r="D2989" s="21" t="s">
        <v>4064</v>
      </c>
      <c r="E2989" s="21" t="s">
        <v>4000</v>
      </c>
      <c r="F2989" s="21" t="s">
        <v>708</v>
      </c>
    </row>
    <row r="2990" customFormat="false" ht="15" hidden="false" customHeight="false" outlineLevel="0" collapsed="false">
      <c r="B2990" s="19" t="s">
        <v>4068</v>
      </c>
      <c r="C2990" s="20" t="n">
        <f aca="false">ROUND(1.69/FX,2)</f>
        <v>0.23</v>
      </c>
      <c r="D2990" s="21" t="s">
        <v>4064</v>
      </c>
      <c r="E2990" s="21" t="s">
        <v>3247</v>
      </c>
      <c r="F2990" s="21" t="s">
        <v>708</v>
      </c>
    </row>
    <row r="2991" customFormat="false" ht="15" hidden="false" customHeight="false" outlineLevel="0" collapsed="false">
      <c r="B2991" s="19" t="s">
        <v>4069</v>
      </c>
      <c r="C2991" s="20" t="n">
        <f aca="false">ROUND(4.16/FX,2)</f>
        <v>0.58</v>
      </c>
      <c r="D2991" s="21" t="s">
        <v>4064</v>
      </c>
      <c r="E2991" s="21" t="s">
        <v>3317</v>
      </c>
      <c r="F2991" s="21" t="s">
        <v>708</v>
      </c>
    </row>
    <row r="2992" customFormat="false" ht="15" hidden="false" customHeight="false" outlineLevel="0" collapsed="false">
      <c r="B2992" s="19" t="s">
        <v>4070</v>
      </c>
      <c r="C2992" s="20" t="n">
        <f aca="false">ROUND(1.69/FX,2)</f>
        <v>0.23</v>
      </c>
      <c r="D2992" s="21" t="s">
        <v>4064</v>
      </c>
      <c r="E2992" s="21" t="s">
        <v>716</v>
      </c>
      <c r="F2992" s="21" t="s">
        <v>708</v>
      </c>
    </row>
    <row r="2993" customFormat="false" ht="15" hidden="false" customHeight="false" outlineLevel="0" collapsed="false">
      <c r="B2993" s="19" t="s">
        <v>4071</v>
      </c>
      <c r="C2993" s="20" t="n">
        <f aca="false">ROUND(1.69/FX,2)</f>
        <v>0.23</v>
      </c>
      <c r="D2993" s="21" t="s">
        <v>4064</v>
      </c>
      <c r="E2993" s="21" t="s">
        <v>847</v>
      </c>
      <c r="F2993" s="21" t="s">
        <v>708</v>
      </c>
    </row>
    <row r="2994" customFormat="false" ht="15" hidden="false" customHeight="false" outlineLevel="0" collapsed="false">
      <c r="B2994" s="19" t="s">
        <v>4072</v>
      </c>
      <c r="C2994" s="20" t="n">
        <f aca="false">ROUND(1.69/FX,2)</f>
        <v>0.23</v>
      </c>
      <c r="D2994" s="21" t="s">
        <v>4064</v>
      </c>
      <c r="E2994" s="21" t="s">
        <v>719</v>
      </c>
      <c r="F2994" s="21" t="s">
        <v>708</v>
      </c>
    </row>
    <row r="2995" customFormat="false" ht="15" hidden="false" customHeight="false" outlineLevel="0" collapsed="false">
      <c r="B2995" s="19" t="s">
        <v>4073</v>
      </c>
      <c r="C2995" s="20" t="n">
        <f aca="false">ROUND(1.69/FX,2)</f>
        <v>0.23</v>
      </c>
      <c r="D2995" s="21" t="s">
        <v>1334</v>
      </c>
      <c r="E2995" s="21" t="s">
        <v>707</v>
      </c>
      <c r="F2995" s="21" t="s">
        <v>708</v>
      </c>
    </row>
    <row r="2996" customFormat="false" ht="15" hidden="false" customHeight="false" outlineLevel="0" collapsed="false">
      <c r="B2996" s="19" t="s">
        <v>4074</v>
      </c>
      <c r="C2996" s="20" t="n">
        <f aca="false">ROUND(2.21/FX,2)</f>
        <v>0.31</v>
      </c>
      <c r="D2996" s="21" t="s">
        <v>1334</v>
      </c>
      <c r="E2996" s="21" t="s">
        <v>714</v>
      </c>
      <c r="F2996" s="21" t="s">
        <v>708</v>
      </c>
    </row>
    <row r="2997" customFormat="false" ht="15" hidden="false" customHeight="false" outlineLevel="0" collapsed="false">
      <c r="B2997" s="19" t="s">
        <v>4075</v>
      </c>
      <c r="C2997" s="20" t="n">
        <f aca="false">ROUND(2.7/FX,2)</f>
        <v>0.38</v>
      </c>
      <c r="D2997" s="21" t="s">
        <v>1334</v>
      </c>
      <c r="E2997" s="21" t="s">
        <v>3833</v>
      </c>
      <c r="F2997" s="21" t="s">
        <v>708</v>
      </c>
    </row>
    <row r="2998" customFormat="false" ht="15" hidden="false" customHeight="false" outlineLevel="0" collapsed="false">
      <c r="B2998" s="19" t="s">
        <v>4076</v>
      </c>
      <c r="C2998" s="20" t="n">
        <f aca="false">ROUND(2.86/FX,2)</f>
        <v>0.4</v>
      </c>
      <c r="D2998" s="21" t="s">
        <v>1334</v>
      </c>
      <c r="E2998" s="21" t="s">
        <v>4000</v>
      </c>
      <c r="F2998" s="21" t="s">
        <v>708</v>
      </c>
    </row>
    <row r="2999" customFormat="false" ht="15" hidden="false" customHeight="false" outlineLevel="0" collapsed="false">
      <c r="B2999" s="19" t="s">
        <v>4077</v>
      </c>
      <c r="C2999" s="20" t="n">
        <f aca="false">ROUND(1.69/FX,2)</f>
        <v>0.23</v>
      </c>
      <c r="D2999" s="21" t="s">
        <v>1334</v>
      </c>
      <c r="E2999" s="21" t="s">
        <v>3247</v>
      </c>
      <c r="F2999" s="21" t="s">
        <v>708</v>
      </c>
    </row>
    <row r="3000" customFormat="false" ht="15" hidden="false" customHeight="false" outlineLevel="0" collapsed="false">
      <c r="B3000" s="19" t="s">
        <v>4078</v>
      </c>
      <c r="C3000" s="20" t="n">
        <f aca="false">ROUND(1.69/FX,2)</f>
        <v>0.23</v>
      </c>
      <c r="D3000" s="21" t="s">
        <v>1334</v>
      </c>
      <c r="E3000" s="21" t="s">
        <v>3317</v>
      </c>
      <c r="F3000" s="21" t="s">
        <v>708</v>
      </c>
    </row>
    <row r="3001" customFormat="false" ht="15" hidden="false" customHeight="false" outlineLevel="0" collapsed="false">
      <c r="B3001" s="19" t="s">
        <v>4079</v>
      </c>
      <c r="C3001" s="20" t="n">
        <f aca="false">ROUND(1.69/FX,2)</f>
        <v>0.23</v>
      </c>
      <c r="D3001" s="21" t="s">
        <v>1334</v>
      </c>
      <c r="E3001" s="21" t="s">
        <v>716</v>
      </c>
      <c r="F3001" s="21" t="s">
        <v>708</v>
      </c>
    </row>
    <row r="3002" customFormat="false" ht="15" hidden="false" customHeight="false" outlineLevel="0" collapsed="false">
      <c r="B3002" s="19" t="s">
        <v>4080</v>
      </c>
      <c r="C3002" s="20" t="n">
        <f aca="false">ROUND(1.69/FX,2)</f>
        <v>0.23</v>
      </c>
      <c r="D3002" s="21" t="s">
        <v>1334</v>
      </c>
      <c r="E3002" s="21" t="s">
        <v>847</v>
      </c>
      <c r="F3002" s="21" t="s">
        <v>708</v>
      </c>
    </row>
    <row r="3003" customFormat="false" ht="15" hidden="false" customHeight="false" outlineLevel="0" collapsed="false">
      <c r="B3003" s="19" t="s">
        <v>4081</v>
      </c>
      <c r="C3003" s="20" t="n">
        <f aca="false">ROUND(1.69/FX,2)</f>
        <v>0.23</v>
      </c>
      <c r="D3003" s="21" t="s">
        <v>1334</v>
      </c>
      <c r="E3003" s="21" t="s">
        <v>719</v>
      </c>
      <c r="F3003" s="21" t="s">
        <v>708</v>
      </c>
    </row>
    <row r="3004" customFormat="false" ht="15" hidden="false" customHeight="false" outlineLevel="0" collapsed="false">
      <c r="B3004" s="19" t="s">
        <v>4082</v>
      </c>
      <c r="C3004" s="20" t="n">
        <f aca="false">ROUND(1.46/FX,2)</f>
        <v>0.2</v>
      </c>
      <c r="D3004" s="21" t="s">
        <v>4083</v>
      </c>
      <c r="E3004" s="21" t="s">
        <v>707</v>
      </c>
      <c r="F3004" s="21" t="s">
        <v>708</v>
      </c>
    </row>
    <row r="3005" customFormat="false" ht="15" hidden="false" customHeight="false" outlineLevel="0" collapsed="false">
      <c r="B3005" s="19" t="s">
        <v>4084</v>
      </c>
      <c r="C3005" s="20" t="n">
        <f aca="false">ROUND(2.19/FX,2)</f>
        <v>0.3</v>
      </c>
      <c r="D3005" s="21" t="s">
        <v>4083</v>
      </c>
      <c r="E3005" s="21" t="s">
        <v>714</v>
      </c>
      <c r="F3005" s="21" t="s">
        <v>708</v>
      </c>
    </row>
    <row r="3006" customFormat="false" ht="15" hidden="false" customHeight="false" outlineLevel="0" collapsed="false">
      <c r="B3006" s="19" t="s">
        <v>4085</v>
      </c>
      <c r="C3006" s="20" t="n">
        <f aca="false">ROUND(2.47/FX,2)</f>
        <v>0.34</v>
      </c>
      <c r="D3006" s="21" t="s">
        <v>4083</v>
      </c>
      <c r="E3006" s="21" t="s">
        <v>3833</v>
      </c>
      <c r="F3006" s="21" t="s">
        <v>708</v>
      </c>
    </row>
    <row r="3007" customFormat="false" ht="15" hidden="false" customHeight="false" outlineLevel="0" collapsed="false">
      <c r="B3007" s="19" t="s">
        <v>4086</v>
      </c>
      <c r="C3007" s="20" t="n">
        <f aca="false">ROUND(1.69/FX,2)</f>
        <v>0.23</v>
      </c>
      <c r="D3007" s="21" t="s">
        <v>4083</v>
      </c>
      <c r="E3007" s="21" t="s">
        <v>4000</v>
      </c>
      <c r="F3007" s="21" t="s">
        <v>708</v>
      </c>
    </row>
    <row r="3008" customFormat="false" ht="15" hidden="false" customHeight="false" outlineLevel="0" collapsed="false">
      <c r="B3008" s="19" t="s">
        <v>4087</v>
      </c>
      <c r="C3008" s="20" t="n">
        <f aca="false">ROUND(1.69/FX,2)</f>
        <v>0.23</v>
      </c>
      <c r="D3008" s="21" t="s">
        <v>4083</v>
      </c>
      <c r="E3008" s="21" t="s">
        <v>3247</v>
      </c>
      <c r="F3008" s="21" t="s">
        <v>708</v>
      </c>
    </row>
    <row r="3009" customFormat="false" ht="15" hidden="false" customHeight="false" outlineLevel="0" collapsed="false">
      <c r="B3009" s="19" t="s">
        <v>4088</v>
      </c>
      <c r="C3009" s="20" t="n">
        <f aca="false">ROUND(1.69/FX,2)</f>
        <v>0.23</v>
      </c>
      <c r="D3009" s="21" t="s">
        <v>4083</v>
      </c>
      <c r="E3009" s="21" t="s">
        <v>3317</v>
      </c>
      <c r="F3009" s="21" t="s">
        <v>708</v>
      </c>
    </row>
    <row r="3010" customFormat="false" ht="15" hidden="false" customHeight="false" outlineLevel="0" collapsed="false">
      <c r="B3010" s="19" t="s">
        <v>4089</v>
      </c>
      <c r="C3010" s="20" t="n">
        <f aca="false">ROUND(1.69/FX,2)</f>
        <v>0.23</v>
      </c>
      <c r="D3010" s="21" t="s">
        <v>4083</v>
      </c>
      <c r="E3010" s="21" t="s">
        <v>716</v>
      </c>
      <c r="F3010" s="21" t="s">
        <v>708</v>
      </c>
    </row>
    <row r="3011" customFormat="false" ht="15" hidden="false" customHeight="false" outlineLevel="0" collapsed="false">
      <c r="B3011" s="19" t="s">
        <v>4090</v>
      </c>
      <c r="C3011" s="20" t="n">
        <f aca="false">ROUND(1.69/FX,2)</f>
        <v>0.23</v>
      </c>
      <c r="D3011" s="21" t="s">
        <v>4083</v>
      </c>
      <c r="E3011" s="21" t="s">
        <v>847</v>
      </c>
      <c r="F3011" s="21" t="s">
        <v>708</v>
      </c>
    </row>
    <row r="3012" customFormat="false" ht="15" hidden="false" customHeight="false" outlineLevel="0" collapsed="false">
      <c r="B3012" s="19" t="s">
        <v>4091</v>
      </c>
      <c r="C3012" s="20" t="n">
        <f aca="false">ROUND(1.3/FX,2)</f>
        <v>0.18</v>
      </c>
      <c r="D3012" s="21" t="s">
        <v>4083</v>
      </c>
      <c r="E3012" s="21" t="s">
        <v>719</v>
      </c>
      <c r="F3012" s="21" t="s">
        <v>708</v>
      </c>
    </row>
    <row r="3013" customFormat="false" ht="15" hidden="false" customHeight="false" outlineLevel="0" collapsed="false">
      <c r="B3013" s="19" t="s">
        <v>4092</v>
      </c>
      <c r="C3013" s="20" t="n">
        <f aca="false">ROUND(1.82/FX,2)</f>
        <v>0.25</v>
      </c>
      <c r="D3013" s="21" t="s">
        <v>1367</v>
      </c>
      <c r="E3013" s="21" t="s">
        <v>707</v>
      </c>
      <c r="F3013" s="21" t="s">
        <v>708</v>
      </c>
    </row>
    <row r="3014" customFormat="false" ht="15" hidden="false" customHeight="false" outlineLevel="0" collapsed="false">
      <c r="B3014" s="19" t="s">
        <v>4093</v>
      </c>
      <c r="C3014" s="20" t="n">
        <f aca="false">ROUND(2.6/FX,2)</f>
        <v>0.36</v>
      </c>
      <c r="D3014" s="21" t="s">
        <v>1367</v>
      </c>
      <c r="E3014" s="21" t="s">
        <v>714</v>
      </c>
      <c r="F3014" s="21" t="s">
        <v>708</v>
      </c>
    </row>
    <row r="3015" customFormat="false" ht="15" hidden="false" customHeight="false" outlineLevel="0" collapsed="false">
      <c r="B3015" s="19" t="s">
        <v>4094</v>
      </c>
      <c r="C3015" s="20" t="n">
        <f aca="false">ROUND(2.7/FX,2)</f>
        <v>0.38</v>
      </c>
      <c r="D3015" s="21" t="s">
        <v>1367</v>
      </c>
      <c r="E3015" s="21" t="s">
        <v>3833</v>
      </c>
      <c r="F3015" s="21" t="s">
        <v>708</v>
      </c>
    </row>
    <row r="3016" customFormat="false" ht="15" hidden="false" customHeight="false" outlineLevel="0" collapsed="false">
      <c r="B3016" s="19" t="s">
        <v>4095</v>
      </c>
      <c r="C3016" s="20" t="n">
        <f aca="false">ROUND(1.69/FX,2)</f>
        <v>0.23</v>
      </c>
      <c r="D3016" s="21" t="s">
        <v>1367</v>
      </c>
      <c r="E3016" s="21" t="s">
        <v>4000</v>
      </c>
      <c r="F3016" s="21" t="s">
        <v>708</v>
      </c>
    </row>
    <row r="3017" customFormat="false" ht="15" hidden="false" customHeight="false" outlineLevel="0" collapsed="false">
      <c r="B3017" s="19" t="s">
        <v>4096</v>
      </c>
      <c r="C3017" s="20" t="n">
        <f aca="false">ROUND(1.69/FX,2)</f>
        <v>0.23</v>
      </c>
      <c r="D3017" s="21" t="s">
        <v>1367</v>
      </c>
      <c r="E3017" s="21" t="s">
        <v>3247</v>
      </c>
      <c r="F3017" s="21" t="s">
        <v>708</v>
      </c>
    </row>
    <row r="3018" customFormat="false" ht="15" hidden="false" customHeight="false" outlineLevel="0" collapsed="false">
      <c r="B3018" s="19" t="s">
        <v>4097</v>
      </c>
      <c r="C3018" s="20" t="n">
        <f aca="false">ROUND(1.69/FX,2)</f>
        <v>0.23</v>
      </c>
      <c r="D3018" s="21" t="s">
        <v>1367</v>
      </c>
      <c r="E3018" s="21" t="s">
        <v>3317</v>
      </c>
      <c r="F3018" s="21" t="s">
        <v>708</v>
      </c>
    </row>
    <row r="3019" customFormat="false" ht="15" hidden="false" customHeight="false" outlineLevel="0" collapsed="false">
      <c r="B3019" s="19" t="s">
        <v>4098</v>
      </c>
      <c r="C3019" s="20" t="n">
        <f aca="false">ROUND(1.69/FX,2)</f>
        <v>0.23</v>
      </c>
      <c r="D3019" s="21" t="s">
        <v>1367</v>
      </c>
      <c r="E3019" s="21" t="s">
        <v>716</v>
      </c>
      <c r="F3019" s="21" t="s">
        <v>708</v>
      </c>
    </row>
    <row r="3020" customFormat="false" ht="15" hidden="false" customHeight="false" outlineLevel="0" collapsed="false">
      <c r="B3020" s="19" t="s">
        <v>4099</v>
      </c>
      <c r="C3020" s="20" t="n">
        <f aca="false">ROUND(1.69/FX,2)</f>
        <v>0.23</v>
      </c>
      <c r="D3020" s="21" t="s">
        <v>1367</v>
      </c>
      <c r="E3020" s="21" t="s">
        <v>847</v>
      </c>
      <c r="F3020" s="21" t="s">
        <v>708</v>
      </c>
    </row>
    <row r="3021" customFormat="false" ht="15" hidden="false" customHeight="false" outlineLevel="0" collapsed="false">
      <c r="B3021" s="19" t="s">
        <v>4100</v>
      </c>
      <c r="C3021" s="20" t="n">
        <f aca="false">ROUND(1.69/FX,2)</f>
        <v>0.23</v>
      </c>
      <c r="D3021" s="21" t="s">
        <v>1367</v>
      </c>
      <c r="E3021" s="21" t="s">
        <v>719</v>
      </c>
      <c r="F3021" s="21" t="s">
        <v>708</v>
      </c>
    </row>
    <row r="3022" customFormat="false" ht="15" hidden="false" customHeight="false" outlineLevel="0" collapsed="false">
      <c r="B3022" s="19" t="s">
        <v>4101</v>
      </c>
      <c r="C3022" s="20" t="n">
        <f aca="false">ROUND(1.68/FX,2)</f>
        <v>0.23</v>
      </c>
      <c r="D3022" s="21" t="s">
        <v>1378</v>
      </c>
      <c r="E3022" s="21" t="s">
        <v>707</v>
      </c>
      <c r="F3022" s="21" t="s">
        <v>708</v>
      </c>
    </row>
    <row r="3023" customFormat="false" ht="15" hidden="false" customHeight="false" outlineLevel="0" collapsed="false">
      <c r="B3023" s="19" t="s">
        <v>4102</v>
      </c>
      <c r="C3023" s="20" t="n">
        <f aca="false">ROUND(2.86/FX,2)</f>
        <v>0.4</v>
      </c>
      <c r="D3023" s="21" t="s">
        <v>1378</v>
      </c>
      <c r="E3023" s="21" t="s">
        <v>714</v>
      </c>
      <c r="F3023" s="21" t="s">
        <v>708</v>
      </c>
    </row>
    <row r="3024" customFormat="false" ht="15" hidden="false" customHeight="false" outlineLevel="0" collapsed="false">
      <c r="B3024" s="19" t="s">
        <v>4103</v>
      </c>
      <c r="C3024" s="20" t="n">
        <f aca="false">ROUND(1.69/FX,2)</f>
        <v>0.23</v>
      </c>
      <c r="D3024" s="21" t="s">
        <v>1378</v>
      </c>
      <c r="E3024" s="21" t="s">
        <v>3833</v>
      </c>
      <c r="F3024" s="21" t="s">
        <v>708</v>
      </c>
    </row>
    <row r="3025" customFormat="false" ht="15" hidden="false" customHeight="false" outlineLevel="0" collapsed="false">
      <c r="B3025" s="19" t="s">
        <v>4104</v>
      </c>
      <c r="C3025" s="20" t="n">
        <f aca="false">ROUND(1.69/FX,2)</f>
        <v>0.23</v>
      </c>
      <c r="D3025" s="21" t="s">
        <v>1378</v>
      </c>
      <c r="E3025" s="21" t="s">
        <v>4000</v>
      </c>
      <c r="F3025" s="21" t="s">
        <v>708</v>
      </c>
    </row>
    <row r="3026" customFormat="false" ht="15" hidden="false" customHeight="false" outlineLevel="0" collapsed="false">
      <c r="B3026" s="19" t="s">
        <v>4105</v>
      </c>
      <c r="C3026" s="20" t="n">
        <f aca="false">ROUND(1.69/FX,2)</f>
        <v>0.23</v>
      </c>
      <c r="D3026" s="21" t="s">
        <v>1378</v>
      </c>
      <c r="E3026" s="21" t="s">
        <v>3247</v>
      </c>
      <c r="F3026" s="21" t="s">
        <v>708</v>
      </c>
    </row>
    <row r="3027" customFormat="false" ht="15" hidden="false" customHeight="false" outlineLevel="0" collapsed="false">
      <c r="B3027" s="19" t="s">
        <v>4106</v>
      </c>
      <c r="C3027" s="20" t="n">
        <f aca="false">ROUND(1.69/FX,2)</f>
        <v>0.23</v>
      </c>
      <c r="D3027" s="21" t="s">
        <v>1378</v>
      </c>
      <c r="E3027" s="21" t="s">
        <v>3317</v>
      </c>
      <c r="F3027" s="21" t="s">
        <v>708</v>
      </c>
    </row>
    <row r="3028" customFormat="false" ht="15" hidden="false" customHeight="false" outlineLevel="0" collapsed="false">
      <c r="B3028" s="19" t="s">
        <v>4107</v>
      </c>
      <c r="C3028" s="20" t="n">
        <f aca="false">ROUND(1.69/FX,2)</f>
        <v>0.23</v>
      </c>
      <c r="D3028" s="21" t="s">
        <v>1378</v>
      </c>
      <c r="E3028" s="21" t="s">
        <v>716</v>
      </c>
      <c r="F3028" s="21" t="s">
        <v>708</v>
      </c>
    </row>
    <row r="3029" customFormat="false" ht="15" hidden="false" customHeight="false" outlineLevel="0" collapsed="false">
      <c r="B3029" s="19" t="s">
        <v>4108</v>
      </c>
      <c r="C3029" s="20" t="n">
        <f aca="false">ROUND(1.69/FX,2)</f>
        <v>0.23</v>
      </c>
      <c r="D3029" s="21" t="s">
        <v>1378</v>
      </c>
      <c r="E3029" s="21" t="s">
        <v>847</v>
      </c>
      <c r="F3029" s="21" t="s">
        <v>708</v>
      </c>
    </row>
    <row r="3030" customFormat="false" ht="15" hidden="false" customHeight="false" outlineLevel="0" collapsed="false">
      <c r="B3030" s="19" t="s">
        <v>4109</v>
      </c>
      <c r="C3030" s="20" t="n">
        <f aca="false">ROUND(1.69/FX,2)</f>
        <v>0.23</v>
      </c>
      <c r="D3030" s="21" t="s">
        <v>1378</v>
      </c>
      <c r="E3030" s="21" t="s">
        <v>719</v>
      </c>
      <c r="F3030" s="21" t="s">
        <v>708</v>
      </c>
    </row>
    <row r="3031" customFormat="false" ht="15" hidden="false" customHeight="false" outlineLevel="0" collapsed="false">
      <c r="B3031" s="19" t="s">
        <v>4110</v>
      </c>
      <c r="C3031" s="20" t="n">
        <f aca="false">ROUND(1.62/FX,2)</f>
        <v>0.23</v>
      </c>
      <c r="D3031" s="21" t="s">
        <v>4111</v>
      </c>
      <c r="E3031" s="21" t="s">
        <v>707</v>
      </c>
      <c r="F3031" s="21" t="s">
        <v>708</v>
      </c>
    </row>
    <row r="3032" customFormat="false" ht="15" hidden="false" customHeight="false" outlineLevel="0" collapsed="false">
      <c r="B3032" s="19" t="s">
        <v>4112</v>
      </c>
      <c r="C3032" s="20" t="n">
        <f aca="false">ROUND(2.43/FX,2)</f>
        <v>0.34</v>
      </c>
      <c r="D3032" s="21" t="s">
        <v>4111</v>
      </c>
      <c r="E3032" s="21" t="s">
        <v>714</v>
      </c>
      <c r="F3032" s="21" t="s">
        <v>708</v>
      </c>
    </row>
    <row r="3033" customFormat="false" ht="15" hidden="false" customHeight="false" outlineLevel="0" collapsed="false">
      <c r="B3033" s="19" t="s">
        <v>4113</v>
      </c>
      <c r="C3033" s="20" t="n">
        <f aca="false">ROUND(2.7/FX,2)</f>
        <v>0.38</v>
      </c>
      <c r="D3033" s="21" t="s">
        <v>4111</v>
      </c>
      <c r="E3033" s="21" t="s">
        <v>3833</v>
      </c>
      <c r="F3033" s="21" t="s">
        <v>708</v>
      </c>
    </row>
    <row r="3034" customFormat="false" ht="15" hidden="false" customHeight="false" outlineLevel="0" collapsed="false">
      <c r="B3034" s="19" t="s">
        <v>4114</v>
      </c>
      <c r="C3034" s="20" t="n">
        <f aca="false">ROUND(1.69/FX,2)</f>
        <v>0.23</v>
      </c>
      <c r="D3034" s="21" t="s">
        <v>4111</v>
      </c>
      <c r="E3034" s="21" t="s">
        <v>4000</v>
      </c>
      <c r="F3034" s="21" t="s">
        <v>708</v>
      </c>
    </row>
    <row r="3035" customFormat="false" ht="15" hidden="false" customHeight="false" outlineLevel="0" collapsed="false">
      <c r="B3035" s="19" t="s">
        <v>4115</v>
      </c>
      <c r="C3035" s="20" t="n">
        <f aca="false">ROUND(1.69/FX,2)</f>
        <v>0.23</v>
      </c>
      <c r="D3035" s="21" t="s">
        <v>4111</v>
      </c>
      <c r="E3035" s="21" t="s">
        <v>3247</v>
      </c>
      <c r="F3035" s="21" t="s">
        <v>708</v>
      </c>
    </row>
    <row r="3036" customFormat="false" ht="15" hidden="false" customHeight="false" outlineLevel="0" collapsed="false">
      <c r="B3036" s="19" t="s">
        <v>4116</v>
      </c>
      <c r="C3036" s="20" t="n">
        <f aca="false">ROUND(1.69/FX,2)</f>
        <v>0.23</v>
      </c>
      <c r="D3036" s="21" t="s">
        <v>4111</v>
      </c>
      <c r="E3036" s="21" t="s">
        <v>3317</v>
      </c>
      <c r="F3036" s="21" t="s">
        <v>708</v>
      </c>
    </row>
    <row r="3037" customFormat="false" ht="15" hidden="false" customHeight="false" outlineLevel="0" collapsed="false">
      <c r="B3037" s="19" t="s">
        <v>4117</v>
      </c>
      <c r="C3037" s="20" t="n">
        <f aca="false">ROUND(1.69/FX,2)</f>
        <v>0.23</v>
      </c>
      <c r="D3037" s="21" t="s">
        <v>4111</v>
      </c>
      <c r="E3037" s="21" t="s">
        <v>716</v>
      </c>
      <c r="F3037" s="21" t="s">
        <v>708</v>
      </c>
    </row>
    <row r="3038" customFormat="false" ht="15" hidden="false" customHeight="false" outlineLevel="0" collapsed="false">
      <c r="B3038" s="19" t="s">
        <v>4118</v>
      </c>
      <c r="C3038" s="20" t="n">
        <f aca="false">ROUND(1.69/FX,2)</f>
        <v>0.23</v>
      </c>
      <c r="D3038" s="21" t="s">
        <v>4111</v>
      </c>
      <c r="E3038" s="21" t="s">
        <v>847</v>
      </c>
      <c r="F3038" s="21" t="s">
        <v>708</v>
      </c>
    </row>
    <row r="3039" customFormat="false" ht="15" hidden="false" customHeight="false" outlineLevel="0" collapsed="false">
      <c r="B3039" s="19" t="s">
        <v>4119</v>
      </c>
      <c r="C3039" s="20" t="n">
        <f aca="false">ROUND(1.69/FX,2)</f>
        <v>0.23</v>
      </c>
      <c r="D3039" s="21" t="s">
        <v>4111</v>
      </c>
      <c r="E3039" s="21" t="s">
        <v>719</v>
      </c>
      <c r="F3039" s="21" t="s">
        <v>708</v>
      </c>
    </row>
    <row r="3040" customFormat="false" ht="15" hidden="false" customHeight="false" outlineLevel="0" collapsed="false">
      <c r="B3040" s="19" t="s">
        <v>4120</v>
      </c>
      <c r="C3040" s="20" t="n">
        <f aca="false">ROUND(1.82/FX,2)</f>
        <v>0.25</v>
      </c>
      <c r="D3040" s="21" t="s">
        <v>1400</v>
      </c>
      <c r="E3040" s="21" t="s">
        <v>707</v>
      </c>
      <c r="F3040" s="21" t="s">
        <v>708</v>
      </c>
    </row>
    <row r="3041" customFormat="false" ht="15" hidden="false" customHeight="false" outlineLevel="0" collapsed="false">
      <c r="B3041" s="19" t="s">
        <v>4121</v>
      </c>
      <c r="C3041" s="20" t="n">
        <f aca="false">ROUND(2.54/FX,2)</f>
        <v>0.35</v>
      </c>
      <c r="D3041" s="21" t="s">
        <v>1400</v>
      </c>
      <c r="E3041" s="21" t="s">
        <v>714</v>
      </c>
      <c r="F3041" s="21" t="s">
        <v>708</v>
      </c>
    </row>
    <row r="3042" customFormat="false" ht="15" hidden="false" customHeight="false" outlineLevel="0" collapsed="false">
      <c r="B3042" s="19" t="s">
        <v>4122</v>
      </c>
      <c r="C3042" s="20" t="n">
        <f aca="false">ROUND(2.7/FX,2)</f>
        <v>0.38</v>
      </c>
      <c r="D3042" s="21" t="s">
        <v>1400</v>
      </c>
      <c r="E3042" s="21" t="s">
        <v>3833</v>
      </c>
      <c r="F3042" s="21" t="s">
        <v>708</v>
      </c>
    </row>
    <row r="3043" customFormat="false" ht="15" hidden="false" customHeight="false" outlineLevel="0" collapsed="false">
      <c r="B3043" s="19" t="s">
        <v>4123</v>
      </c>
      <c r="C3043" s="20" t="n">
        <f aca="false">ROUND(1.69/FX,2)</f>
        <v>0.23</v>
      </c>
      <c r="D3043" s="21" t="s">
        <v>1400</v>
      </c>
      <c r="E3043" s="21" t="s">
        <v>4000</v>
      </c>
      <c r="F3043" s="21" t="s">
        <v>708</v>
      </c>
    </row>
    <row r="3044" customFormat="false" ht="15" hidden="false" customHeight="false" outlineLevel="0" collapsed="false">
      <c r="B3044" s="19" t="s">
        <v>4124</v>
      </c>
      <c r="C3044" s="20" t="n">
        <f aca="false">ROUND(1.69/FX,2)</f>
        <v>0.23</v>
      </c>
      <c r="D3044" s="21" t="s">
        <v>1400</v>
      </c>
      <c r="E3044" s="21" t="s">
        <v>3247</v>
      </c>
      <c r="F3044" s="21" t="s">
        <v>708</v>
      </c>
    </row>
    <row r="3045" customFormat="false" ht="15" hidden="false" customHeight="false" outlineLevel="0" collapsed="false">
      <c r="B3045" s="19" t="s">
        <v>4125</v>
      </c>
      <c r="C3045" s="20" t="n">
        <f aca="false">ROUND(1.69/FX,2)</f>
        <v>0.23</v>
      </c>
      <c r="D3045" s="21" t="s">
        <v>1400</v>
      </c>
      <c r="E3045" s="21" t="s">
        <v>3317</v>
      </c>
      <c r="F3045" s="21" t="s">
        <v>708</v>
      </c>
    </row>
    <row r="3046" customFormat="false" ht="15" hidden="false" customHeight="false" outlineLevel="0" collapsed="false">
      <c r="B3046" s="19" t="s">
        <v>4126</v>
      </c>
      <c r="C3046" s="20" t="n">
        <f aca="false">ROUND(1.69/FX,2)</f>
        <v>0.23</v>
      </c>
      <c r="D3046" s="21" t="s">
        <v>1400</v>
      </c>
      <c r="E3046" s="21" t="s">
        <v>716</v>
      </c>
      <c r="F3046" s="21" t="s">
        <v>708</v>
      </c>
    </row>
    <row r="3047" customFormat="false" ht="15" hidden="false" customHeight="false" outlineLevel="0" collapsed="false">
      <c r="B3047" s="19" t="s">
        <v>4127</v>
      </c>
      <c r="C3047" s="20" t="n">
        <f aca="false">ROUND(1.69/FX,2)</f>
        <v>0.23</v>
      </c>
      <c r="D3047" s="21" t="s">
        <v>1400</v>
      </c>
      <c r="E3047" s="21" t="s">
        <v>847</v>
      </c>
      <c r="F3047" s="21" t="s">
        <v>708</v>
      </c>
    </row>
    <row r="3048" customFormat="false" ht="15" hidden="false" customHeight="false" outlineLevel="0" collapsed="false">
      <c r="B3048" s="19" t="s">
        <v>4128</v>
      </c>
      <c r="C3048" s="20" t="n">
        <f aca="false">ROUND(1.69/FX,2)</f>
        <v>0.23</v>
      </c>
      <c r="D3048" s="21" t="s">
        <v>1400</v>
      </c>
      <c r="E3048" s="21" t="s">
        <v>719</v>
      </c>
      <c r="F3048" s="21" t="s">
        <v>708</v>
      </c>
    </row>
    <row r="3049" customFormat="false" ht="15" hidden="false" customHeight="false" outlineLevel="0" collapsed="false">
      <c r="B3049" s="19" t="s">
        <v>4129</v>
      </c>
      <c r="C3049" s="20" t="n">
        <f aca="false">ROUND(1.69/FX,2)</f>
        <v>0.23</v>
      </c>
      <c r="D3049" s="21" t="s">
        <v>4130</v>
      </c>
      <c r="E3049" s="21" t="s">
        <v>707</v>
      </c>
      <c r="F3049" s="21" t="s">
        <v>708</v>
      </c>
    </row>
    <row r="3050" customFormat="false" ht="15" hidden="false" customHeight="false" outlineLevel="0" collapsed="false">
      <c r="B3050" s="19" t="s">
        <v>4131</v>
      </c>
      <c r="C3050" s="20" t="n">
        <f aca="false">ROUND(1.68/FX,2)</f>
        <v>0.23</v>
      </c>
      <c r="D3050" s="21" t="s">
        <v>4130</v>
      </c>
      <c r="E3050" s="21" t="s">
        <v>714</v>
      </c>
      <c r="F3050" s="21" t="s">
        <v>708</v>
      </c>
    </row>
    <row r="3051" customFormat="false" ht="15" hidden="false" customHeight="false" outlineLevel="0" collapsed="false">
      <c r="B3051" s="19" t="s">
        <v>4132</v>
      </c>
      <c r="C3051" s="20" t="n">
        <f aca="false">ROUND(1.69/FX,2)</f>
        <v>0.23</v>
      </c>
      <c r="D3051" s="21" t="s">
        <v>4130</v>
      </c>
      <c r="E3051" s="21" t="s">
        <v>3833</v>
      </c>
      <c r="F3051" s="21" t="s">
        <v>708</v>
      </c>
    </row>
    <row r="3052" customFormat="false" ht="15" hidden="false" customHeight="false" outlineLevel="0" collapsed="false">
      <c r="B3052" s="19" t="s">
        <v>4133</v>
      </c>
      <c r="C3052" s="20" t="n">
        <f aca="false">ROUND(1.69/FX,2)</f>
        <v>0.23</v>
      </c>
      <c r="D3052" s="21" t="s">
        <v>4130</v>
      </c>
      <c r="E3052" s="21" t="s">
        <v>4000</v>
      </c>
      <c r="F3052" s="21" t="s">
        <v>708</v>
      </c>
    </row>
    <row r="3053" customFormat="false" ht="15" hidden="false" customHeight="false" outlineLevel="0" collapsed="false">
      <c r="B3053" s="19" t="s">
        <v>4134</v>
      </c>
      <c r="C3053" s="20" t="n">
        <f aca="false">ROUND(1.69/FX,2)</f>
        <v>0.23</v>
      </c>
      <c r="D3053" s="21" t="s">
        <v>4130</v>
      </c>
      <c r="E3053" s="21" t="s">
        <v>3247</v>
      </c>
      <c r="F3053" s="21" t="s">
        <v>708</v>
      </c>
    </row>
    <row r="3054" customFormat="false" ht="15" hidden="false" customHeight="false" outlineLevel="0" collapsed="false">
      <c r="B3054" s="19" t="s">
        <v>4135</v>
      </c>
      <c r="C3054" s="20" t="n">
        <f aca="false">ROUND(1.69/FX,2)</f>
        <v>0.23</v>
      </c>
      <c r="D3054" s="21" t="s">
        <v>4130</v>
      </c>
      <c r="E3054" s="21" t="s">
        <v>3317</v>
      </c>
      <c r="F3054" s="21" t="s">
        <v>708</v>
      </c>
    </row>
    <row r="3055" customFormat="false" ht="15" hidden="false" customHeight="false" outlineLevel="0" collapsed="false">
      <c r="B3055" s="19" t="s">
        <v>4136</v>
      </c>
      <c r="C3055" s="20" t="n">
        <f aca="false">ROUND(1.69/FX,2)</f>
        <v>0.23</v>
      </c>
      <c r="D3055" s="21" t="s">
        <v>4130</v>
      </c>
      <c r="E3055" s="21" t="s">
        <v>716</v>
      </c>
      <c r="F3055" s="21" t="s">
        <v>708</v>
      </c>
    </row>
    <row r="3056" customFormat="false" ht="15" hidden="false" customHeight="false" outlineLevel="0" collapsed="false">
      <c r="B3056" s="19" t="s">
        <v>4137</v>
      </c>
      <c r="C3056" s="20" t="n">
        <f aca="false">ROUND(1.69/FX,2)</f>
        <v>0.23</v>
      </c>
      <c r="D3056" s="21" t="s">
        <v>4130</v>
      </c>
      <c r="E3056" s="21" t="s">
        <v>847</v>
      </c>
      <c r="F3056" s="21" t="s">
        <v>708</v>
      </c>
    </row>
    <row r="3057" customFormat="false" ht="15" hidden="false" customHeight="false" outlineLevel="0" collapsed="false">
      <c r="B3057" s="19" t="s">
        <v>4138</v>
      </c>
      <c r="C3057" s="20" t="n">
        <f aca="false">ROUND(1.69/FX,2)</f>
        <v>0.23</v>
      </c>
      <c r="D3057" s="21" t="s">
        <v>4130</v>
      </c>
      <c r="E3057" s="21" t="s">
        <v>719</v>
      </c>
      <c r="F3057" s="21" t="s">
        <v>708</v>
      </c>
    </row>
    <row r="3058" customFormat="false" ht="15" hidden="false" customHeight="false" outlineLevel="0" collapsed="false">
      <c r="B3058" s="19" t="s">
        <v>4139</v>
      </c>
      <c r="C3058" s="20" t="n">
        <f aca="false">ROUND(1.69/FX,2)</f>
        <v>0.23</v>
      </c>
      <c r="D3058" s="21" t="s">
        <v>4140</v>
      </c>
      <c r="E3058" s="21" t="s">
        <v>707</v>
      </c>
      <c r="F3058" s="21" t="s">
        <v>708</v>
      </c>
    </row>
    <row r="3059" customFormat="false" ht="15" hidden="false" customHeight="false" outlineLevel="0" collapsed="false">
      <c r="B3059" s="19" t="s">
        <v>4141</v>
      </c>
      <c r="C3059" s="20" t="n">
        <f aca="false">ROUND(2.34/FX,2)</f>
        <v>0.33</v>
      </c>
      <c r="D3059" s="21" t="s">
        <v>4140</v>
      </c>
      <c r="E3059" s="21" t="s">
        <v>714</v>
      </c>
      <c r="F3059" s="21" t="s">
        <v>708</v>
      </c>
    </row>
    <row r="3060" customFormat="false" ht="15" hidden="false" customHeight="false" outlineLevel="0" collapsed="false">
      <c r="B3060" s="19" t="s">
        <v>4142</v>
      </c>
      <c r="C3060" s="20" t="n">
        <f aca="false">ROUND(2.7/FX,2)</f>
        <v>0.38</v>
      </c>
      <c r="D3060" s="21" t="s">
        <v>4140</v>
      </c>
      <c r="E3060" s="21" t="s">
        <v>3833</v>
      </c>
      <c r="F3060" s="21" t="s">
        <v>708</v>
      </c>
    </row>
    <row r="3061" customFormat="false" ht="15" hidden="false" customHeight="false" outlineLevel="0" collapsed="false">
      <c r="B3061" s="19" t="s">
        <v>4143</v>
      </c>
      <c r="C3061" s="20" t="n">
        <f aca="false">ROUND(1.69/FX,2)</f>
        <v>0.23</v>
      </c>
      <c r="D3061" s="21" t="s">
        <v>4140</v>
      </c>
      <c r="E3061" s="21" t="s">
        <v>4000</v>
      </c>
      <c r="F3061" s="21" t="s">
        <v>708</v>
      </c>
    </row>
    <row r="3062" customFormat="false" ht="15" hidden="false" customHeight="false" outlineLevel="0" collapsed="false">
      <c r="B3062" s="19" t="s">
        <v>4144</v>
      </c>
      <c r="C3062" s="20" t="n">
        <f aca="false">ROUND(1.69/FX,2)</f>
        <v>0.23</v>
      </c>
      <c r="D3062" s="21" t="s">
        <v>4140</v>
      </c>
      <c r="E3062" s="21" t="s">
        <v>3247</v>
      </c>
      <c r="F3062" s="21" t="s">
        <v>708</v>
      </c>
    </row>
    <row r="3063" customFormat="false" ht="15" hidden="false" customHeight="false" outlineLevel="0" collapsed="false">
      <c r="B3063" s="19" t="s">
        <v>4145</v>
      </c>
      <c r="C3063" s="20" t="n">
        <f aca="false">ROUND(1.69/FX,2)</f>
        <v>0.23</v>
      </c>
      <c r="D3063" s="21" t="s">
        <v>4140</v>
      </c>
      <c r="E3063" s="21" t="s">
        <v>3317</v>
      </c>
      <c r="F3063" s="21" t="s">
        <v>708</v>
      </c>
    </row>
    <row r="3064" customFormat="false" ht="15" hidden="false" customHeight="false" outlineLevel="0" collapsed="false">
      <c r="B3064" s="19" t="s">
        <v>4146</v>
      </c>
      <c r="C3064" s="20" t="n">
        <f aca="false">ROUND(1.69/FX,2)</f>
        <v>0.23</v>
      </c>
      <c r="D3064" s="21" t="s">
        <v>4140</v>
      </c>
      <c r="E3064" s="21" t="s">
        <v>716</v>
      </c>
      <c r="F3064" s="21" t="s">
        <v>708</v>
      </c>
    </row>
    <row r="3065" customFormat="false" ht="15" hidden="false" customHeight="false" outlineLevel="0" collapsed="false">
      <c r="B3065" s="19" t="s">
        <v>4147</v>
      </c>
      <c r="C3065" s="20" t="n">
        <f aca="false">ROUND(1.3/FX,2)</f>
        <v>0.18</v>
      </c>
      <c r="D3065" s="21" t="s">
        <v>4140</v>
      </c>
      <c r="E3065" s="21" t="s">
        <v>847</v>
      </c>
      <c r="F3065" s="21" t="s">
        <v>708</v>
      </c>
    </row>
    <row r="3066" customFormat="false" ht="15" hidden="false" customHeight="false" outlineLevel="0" collapsed="false">
      <c r="B3066" s="19" t="s">
        <v>4148</v>
      </c>
      <c r="C3066" s="20" t="n">
        <f aca="false">ROUND(1.76/FX,2)</f>
        <v>0.24</v>
      </c>
      <c r="D3066" s="21" t="s">
        <v>4140</v>
      </c>
      <c r="E3066" s="21" t="s">
        <v>719</v>
      </c>
      <c r="F3066" s="21" t="s">
        <v>708</v>
      </c>
    </row>
    <row r="3067" customFormat="false" ht="15" hidden="false" customHeight="false" outlineLevel="0" collapsed="false">
      <c r="B3067" s="19" t="s">
        <v>4149</v>
      </c>
      <c r="C3067" s="20" t="n">
        <f aca="false">ROUND(1.82/FX,2)</f>
        <v>0.25</v>
      </c>
      <c r="D3067" s="21" t="s">
        <v>1433</v>
      </c>
      <c r="E3067" s="21" t="s">
        <v>707</v>
      </c>
      <c r="F3067" s="21" t="s">
        <v>708</v>
      </c>
    </row>
    <row r="3068" customFormat="false" ht="15" hidden="false" customHeight="false" outlineLevel="0" collapsed="false">
      <c r="B3068" s="19" t="s">
        <v>4150</v>
      </c>
      <c r="C3068" s="20" t="n">
        <f aca="false">ROUND(2.6/FX,2)</f>
        <v>0.36</v>
      </c>
      <c r="D3068" s="21" t="s">
        <v>1433</v>
      </c>
      <c r="E3068" s="21" t="s">
        <v>714</v>
      </c>
      <c r="F3068" s="21" t="s">
        <v>708</v>
      </c>
    </row>
    <row r="3069" customFormat="false" ht="15" hidden="false" customHeight="false" outlineLevel="0" collapsed="false">
      <c r="B3069" s="19" t="s">
        <v>4151</v>
      </c>
      <c r="C3069" s="20" t="n">
        <f aca="false">ROUND(2.7/FX,2)</f>
        <v>0.38</v>
      </c>
      <c r="D3069" s="21" t="s">
        <v>1433</v>
      </c>
      <c r="E3069" s="21" t="s">
        <v>3833</v>
      </c>
      <c r="F3069" s="21" t="s">
        <v>708</v>
      </c>
    </row>
    <row r="3070" customFormat="false" ht="15" hidden="false" customHeight="false" outlineLevel="0" collapsed="false">
      <c r="B3070" s="19" t="s">
        <v>4152</v>
      </c>
      <c r="C3070" s="20" t="n">
        <f aca="false">ROUND(1.69/FX,2)</f>
        <v>0.23</v>
      </c>
      <c r="D3070" s="21" t="s">
        <v>1433</v>
      </c>
      <c r="E3070" s="21" t="s">
        <v>4000</v>
      </c>
      <c r="F3070" s="21" t="s">
        <v>708</v>
      </c>
    </row>
    <row r="3071" customFormat="false" ht="15" hidden="false" customHeight="false" outlineLevel="0" collapsed="false">
      <c r="B3071" s="19" t="s">
        <v>4153</v>
      </c>
      <c r="C3071" s="20" t="n">
        <f aca="false">ROUND(1.69/FX,2)</f>
        <v>0.23</v>
      </c>
      <c r="D3071" s="21" t="s">
        <v>1433</v>
      </c>
      <c r="E3071" s="21" t="s">
        <v>3247</v>
      </c>
      <c r="F3071" s="21" t="s">
        <v>708</v>
      </c>
    </row>
    <row r="3072" customFormat="false" ht="15" hidden="false" customHeight="false" outlineLevel="0" collapsed="false">
      <c r="B3072" s="19" t="s">
        <v>4154</v>
      </c>
      <c r="C3072" s="20" t="n">
        <f aca="false">ROUND(1.69/FX,2)</f>
        <v>0.23</v>
      </c>
      <c r="D3072" s="21" t="s">
        <v>1433</v>
      </c>
      <c r="E3072" s="21" t="s">
        <v>3317</v>
      </c>
      <c r="F3072" s="21" t="s">
        <v>708</v>
      </c>
    </row>
    <row r="3073" customFormat="false" ht="15" hidden="false" customHeight="false" outlineLevel="0" collapsed="false">
      <c r="B3073" s="19" t="s">
        <v>4155</v>
      </c>
      <c r="C3073" s="20" t="n">
        <f aca="false">ROUND(1.69/FX,2)</f>
        <v>0.23</v>
      </c>
      <c r="D3073" s="21" t="s">
        <v>1433</v>
      </c>
      <c r="E3073" s="21" t="s">
        <v>716</v>
      </c>
      <c r="F3073" s="21" t="s">
        <v>708</v>
      </c>
    </row>
    <row r="3074" customFormat="false" ht="15" hidden="false" customHeight="false" outlineLevel="0" collapsed="false">
      <c r="B3074" s="19" t="s">
        <v>4156</v>
      </c>
      <c r="C3074" s="20" t="n">
        <f aca="false">ROUND(1.69/FX,2)</f>
        <v>0.23</v>
      </c>
      <c r="D3074" s="21" t="s">
        <v>1433</v>
      </c>
      <c r="E3074" s="21" t="s">
        <v>847</v>
      </c>
      <c r="F3074" s="21" t="s">
        <v>708</v>
      </c>
    </row>
    <row r="3075" customFormat="false" ht="15" hidden="false" customHeight="false" outlineLevel="0" collapsed="false">
      <c r="B3075" s="19" t="s">
        <v>4157</v>
      </c>
      <c r="C3075" s="20" t="n">
        <f aca="false">ROUND(1.76/FX,2)</f>
        <v>0.24</v>
      </c>
      <c r="D3075" s="21" t="s">
        <v>1433</v>
      </c>
      <c r="E3075" s="21" t="s">
        <v>719</v>
      </c>
      <c r="F3075" s="21" t="s">
        <v>708</v>
      </c>
    </row>
    <row r="3076" customFormat="false" ht="15" hidden="false" customHeight="false" outlineLevel="0" collapsed="false">
      <c r="B3076" s="19" t="s">
        <v>4158</v>
      </c>
      <c r="C3076" s="20" t="n">
        <f aca="false">ROUND(2.47/FX,2)</f>
        <v>0.34</v>
      </c>
      <c r="D3076" s="21" t="s">
        <v>4159</v>
      </c>
      <c r="E3076" s="21" t="s">
        <v>707</v>
      </c>
      <c r="F3076" s="21" t="s">
        <v>708</v>
      </c>
    </row>
    <row r="3077" customFormat="false" ht="15" hidden="false" customHeight="false" outlineLevel="0" collapsed="false">
      <c r="B3077" s="19" t="s">
        <v>4160</v>
      </c>
      <c r="C3077" s="20" t="n">
        <f aca="false">ROUND(3.71/FX,2)</f>
        <v>0.52</v>
      </c>
      <c r="D3077" s="21" t="s">
        <v>4159</v>
      </c>
      <c r="E3077" s="21" t="s">
        <v>714</v>
      </c>
      <c r="F3077" s="21" t="s">
        <v>708</v>
      </c>
    </row>
    <row r="3078" customFormat="false" ht="15" hidden="false" customHeight="false" outlineLevel="0" collapsed="false">
      <c r="B3078" s="19" t="s">
        <v>4161</v>
      </c>
      <c r="C3078" s="20" t="n">
        <f aca="false">ROUND(2.7/FX,2)</f>
        <v>0.38</v>
      </c>
      <c r="D3078" s="21" t="s">
        <v>4159</v>
      </c>
      <c r="E3078" s="21" t="s">
        <v>3833</v>
      </c>
      <c r="F3078" s="21" t="s">
        <v>708</v>
      </c>
    </row>
    <row r="3079" customFormat="false" ht="15" hidden="false" customHeight="false" outlineLevel="0" collapsed="false">
      <c r="B3079" s="19" t="s">
        <v>4162</v>
      </c>
      <c r="C3079" s="20" t="n">
        <f aca="false">ROUND(1.69/FX,2)</f>
        <v>0.23</v>
      </c>
      <c r="D3079" s="21" t="s">
        <v>4159</v>
      </c>
      <c r="E3079" s="21" t="s">
        <v>4000</v>
      </c>
      <c r="F3079" s="21" t="s">
        <v>708</v>
      </c>
    </row>
    <row r="3080" customFormat="false" ht="15" hidden="false" customHeight="false" outlineLevel="0" collapsed="false">
      <c r="B3080" s="19" t="s">
        <v>4163</v>
      </c>
      <c r="C3080" s="20" t="n">
        <f aca="false">ROUND(1.69/FX,2)</f>
        <v>0.23</v>
      </c>
      <c r="D3080" s="21" t="s">
        <v>4159</v>
      </c>
      <c r="E3080" s="21" t="s">
        <v>3247</v>
      </c>
      <c r="F3080" s="21" t="s">
        <v>708</v>
      </c>
    </row>
    <row r="3081" customFormat="false" ht="15" hidden="false" customHeight="false" outlineLevel="0" collapsed="false">
      <c r="B3081" s="19" t="s">
        <v>4164</v>
      </c>
      <c r="C3081" s="20" t="n">
        <f aca="false">ROUND(1.69/FX,2)</f>
        <v>0.23</v>
      </c>
      <c r="D3081" s="21" t="s">
        <v>4159</v>
      </c>
      <c r="E3081" s="21" t="s">
        <v>3317</v>
      </c>
      <c r="F3081" s="21" t="s">
        <v>708</v>
      </c>
    </row>
    <row r="3082" customFormat="false" ht="15" hidden="false" customHeight="false" outlineLevel="0" collapsed="false">
      <c r="B3082" s="19" t="s">
        <v>4165</v>
      </c>
      <c r="C3082" s="20" t="n">
        <f aca="false">ROUND(1.69/FX,2)</f>
        <v>0.23</v>
      </c>
      <c r="D3082" s="21" t="s">
        <v>4159</v>
      </c>
      <c r="E3082" s="21" t="s">
        <v>716</v>
      </c>
      <c r="F3082" s="21" t="s">
        <v>708</v>
      </c>
    </row>
    <row r="3083" customFormat="false" ht="15" hidden="false" customHeight="false" outlineLevel="0" collapsed="false">
      <c r="B3083" s="19" t="s">
        <v>4166</v>
      </c>
      <c r="C3083" s="20" t="n">
        <f aca="false">ROUND(1.69/FX,2)</f>
        <v>0.23</v>
      </c>
      <c r="D3083" s="21" t="s">
        <v>4159</v>
      </c>
      <c r="E3083" s="21" t="s">
        <v>847</v>
      </c>
      <c r="F3083" s="21" t="s">
        <v>708</v>
      </c>
    </row>
    <row r="3084" customFormat="false" ht="15" hidden="false" customHeight="false" outlineLevel="0" collapsed="false">
      <c r="B3084" s="19" t="s">
        <v>4167</v>
      </c>
      <c r="C3084" s="20" t="n">
        <f aca="false">ROUND(1.76/FX,2)</f>
        <v>0.24</v>
      </c>
      <c r="D3084" s="21" t="s">
        <v>4159</v>
      </c>
      <c r="E3084" s="21" t="s">
        <v>719</v>
      </c>
      <c r="F3084" s="21" t="s">
        <v>708</v>
      </c>
    </row>
    <row r="3085" customFormat="false" ht="15" hidden="false" customHeight="false" outlineLevel="0" collapsed="false">
      <c r="B3085" s="19" t="s">
        <v>4168</v>
      </c>
      <c r="C3085" s="20" t="n">
        <f aca="false">ROUND(1.72/FX,2)</f>
        <v>0.24</v>
      </c>
      <c r="D3085" s="21" t="s">
        <v>1460</v>
      </c>
      <c r="E3085" s="21" t="s">
        <v>707</v>
      </c>
      <c r="F3085" s="21" t="s">
        <v>708</v>
      </c>
    </row>
    <row r="3086" customFormat="false" ht="15" hidden="false" customHeight="false" outlineLevel="0" collapsed="false">
      <c r="B3086" s="19" t="s">
        <v>4169</v>
      </c>
      <c r="C3086" s="20" t="n">
        <f aca="false">ROUND(2.6/FX,2)</f>
        <v>0.36</v>
      </c>
      <c r="D3086" s="21" t="s">
        <v>1460</v>
      </c>
      <c r="E3086" s="21" t="s">
        <v>714</v>
      </c>
      <c r="F3086" s="21" t="s">
        <v>708</v>
      </c>
    </row>
    <row r="3087" customFormat="false" ht="15" hidden="false" customHeight="false" outlineLevel="0" collapsed="false">
      <c r="B3087" s="19" t="s">
        <v>4170</v>
      </c>
      <c r="C3087" s="20" t="n">
        <f aca="false">ROUND(2.7/FX,2)</f>
        <v>0.38</v>
      </c>
      <c r="D3087" s="21" t="s">
        <v>1460</v>
      </c>
      <c r="E3087" s="21" t="s">
        <v>3833</v>
      </c>
      <c r="F3087" s="21" t="s">
        <v>708</v>
      </c>
    </row>
    <row r="3088" customFormat="false" ht="15" hidden="false" customHeight="false" outlineLevel="0" collapsed="false">
      <c r="B3088" s="19" t="s">
        <v>4171</v>
      </c>
      <c r="C3088" s="20" t="n">
        <f aca="false">ROUND(1.69/FX,2)</f>
        <v>0.23</v>
      </c>
      <c r="D3088" s="21" t="s">
        <v>1460</v>
      </c>
      <c r="E3088" s="21" t="s">
        <v>4000</v>
      </c>
      <c r="F3088" s="21" t="s">
        <v>708</v>
      </c>
    </row>
    <row r="3089" customFormat="false" ht="15" hidden="false" customHeight="false" outlineLevel="0" collapsed="false">
      <c r="B3089" s="19" t="s">
        <v>4172</v>
      </c>
      <c r="C3089" s="20" t="n">
        <f aca="false">ROUND(1.69/FX,2)</f>
        <v>0.23</v>
      </c>
      <c r="D3089" s="21" t="s">
        <v>1460</v>
      </c>
      <c r="E3089" s="21" t="s">
        <v>3247</v>
      </c>
      <c r="F3089" s="21" t="s">
        <v>708</v>
      </c>
    </row>
    <row r="3090" customFormat="false" ht="15" hidden="false" customHeight="false" outlineLevel="0" collapsed="false">
      <c r="B3090" s="19" t="s">
        <v>4173</v>
      </c>
      <c r="C3090" s="20" t="n">
        <f aca="false">ROUND(1.69/FX,2)</f>
        <v>0.23</v>
      </c>
      <c r="D3090" s="21" t="s">
        <v>1460</v>
      </c>
      <c r="E3090" s="21" t="s">
        <v>3317</v>
      </c>
      <c r="F3090" s="21" t="s">
        <v>708</v>
      </c>
    </row>
    <row r="3091" customFormat="false" ht="15" hidden="false" customHeight="false" outlineLevel="0" collapsed="false">
      <c r="B3091" s="19" t="s">
        <v>4174</v>
      </c>
      <c r="C3091" s="20" t="n">
        <f aca="false">ROUND(1.69/FX,2)</f>
        <v>0.23</v>
      </c>
      <c r="D3091" s="21" t="s">
        <v>1460</v>
      </c>
      <c r="E3091" s="21" t="s">
        <v>716</v>
      </c>
      <c r="F3091" s="21" t="s">
        <v>708</v>
      </c>
    </row>
    <row r="3092" customFormat="false" ht="15" hidden="false" customHeight="false" outlineLevel="0" collapsed="false">
      <c r="B3092" s="19" t="s">
        <v>4175</v>
      </c>
      <c r="C3092" s="20" t="n">
        <f aca="false">ROUND(1.69/FX,2)</f>
        <v>0.23</v>
      </c>
      <c r="D3092" s="21" t="s">
        <v>1460</v>
      </c>
      <c r="E3092" s="21" t="s">
        <v>847</v>
      </c>
      <c r="F3092" s="21" t="s">
        <v>708</v>
      </c>
    </row>
    <row r="3093" customFormat="false" ht="15" hidden="false" customHeight="false" outlineLevel="0" collapsed="false">
      <c r="B3093" s="19" t="s">
        <v>4176</v>
      </c>
      <c r="C3093" s="20" t="n">
        <f aca="false">ROUND(1.76/FX,2)</f>
        <v>0.24</v>
      </c>
      <c r="D3093" s="21" t="s">
        <v>1460</v>
      </c>
      <c r="E3093" s="21" t="s">
        <v>719</v>
      </c>
      <c r="F3093" s="21" t="s">
        <v>708</v>
      </c>
    </row>
    <row r="3094" customFormat="false" ht="15" hidden="false" customHeight="false" outlineLevel="0" collapsed="false">
      <c r="B3094" s="19" t="s">
        <v>4177</v>
      </c>
      <c r="C3094" s="20" t="n">
        <f aca="false">ROUND(1.82/FX,2)</f>
        <v>0.25</v>
      </c>
      <c r="D3094" s="21" t="s">
        <v>4178</v>
      </c>
      <c r="E3094" s="21" t="s">
        <v>707</v>
      </c>
      <c r="F3094" s="21" t="s">
        <v>708</v>
      </c>
    </row>
    <row r="3095" customFormat="false" ht="15" hidden="false" customHeight="false" outlineLevel="0" collapsed="false">
      <c r="B3095" s="19" t="s">
        <v>4179</v>
      </c>
      <c r="C3095" s="20" t="n">
        <f aca="false">ROUND(1.69/FX,2)</f>
        <v>0.23</v>
      </c>
      <c r="D3095" s="21" t="s">
        <v>4178</v>
      </c>
      <c r="E3095" s="21" t="s">
        <v>714</v>
      </c>
      <c r="F3095" s="21" t="s">
        <v>708</v>
      </c>
    </row>
    <row r="3096" customFormat="false" ht="15" hidden="false" customHeight="false" outlineLevel="0" collapsed="false">
      <c r="B3096" s="19" t="s">
        <v>4180</v>
      </c>
      <c r="C3096" s="20" t="n">
        <f aca="false">ROUND(1.69/FX,2)</f>
        <v>0.23</v>
      </c>
      <c r="D3096" s="21" t="s">
        <v>4178</v>
      </c>
      <c r="E3096" s="21" t="s">
        <v>3833</v>
      </c>
      <c r="F3096" s="21" t="s">
        <v>708</v>
      </c>
    </row>
    <row r="3097" customFormat="false" ht="15" hidden="false" customHeight="false" outlineLevel="0" collapsed="false">
      <c r="B3097" s="19" t="s">
        <v>4181</v>
      </c>
      <c r="C3097" s="20" t="n">
        <f aca="false">ROUND(1.69/FX,2)</f>
        <v>0.23</v>
      </c>
      <c r="D3097" s="21" t="s">
        <v>4178</v>
      </c>
      <c r="E3097" s="21" t="s">
        <v>4000</v>
      </c>
      <c r="F3097" s="21" t="s">
        <v>708</v>
      </c>
    </row>
    <row r="3098" customFormat="false" ht="15" hidden="false" customHeight="false" outlineLevel="0" collapsed="false">
      <c r="B3098" s="19" t="s">
        <v>4182</v>
      </c>
      <c r="C3098" s="20" t="n">
        <f aca="false">ROUND(1.69/FX,2)</f>
        <v>0.23</v>
      </c>
      <c r="D3098" s="21" t="s">
        <v>4178</v>
      </c>
      <c r="E3098" s="21" t="s">
        <v>3247</v>
      </c>
      <c r="F3098" s="21" t="s">
        <v>708</v>
      </c>
    </row>
    <row r="3099" customFormat="false" ht="15" hidden="false" customHeight="false" outlineLevel="0" collapsed="false">
      <c r="B3099" s="19" t="s">
        <v>4183</v>
      </c>
      <c r="C3099" s="20" t="n">
        <f aca="false">ROUND(1.69/FX,2)</f>
        <v>0.23</v>
      </c>
      <c r="D3099" s="21" t="s">
        <v>4178</v>
      </c>
      <c r="E3099" s="21" t="s">
        <v>3317</v>
      </c>
      <c r="F3099" s="21" t="s">
        <v>708</v>
      </c>
    </row>
    <row r="3100" customFormat="false" ht="15" hidden="false" customHeight="false" outlineLevel="0" collapsed="false">
      <c r="B3100" s="19" t="s">
        <v>4184</v>
      </c>
      <c r="C3100" s="20" t="n">
        <f aca="false">ROUND(1.69/FX,2)</f>
        <v>0.23</v>
      </c>
      <c r="D3100" s="21" t="s">
        <v>4178</v>
      </c>
      <c r="E3100" s="21" t="s">
        <v>716</v>
      </c>
      <c r="F3100" s="21" t="s">
        <v>708</v>
      </c>
    </row>
    <row r="3101" customFormat="false" ht="15" hidden="false" customHeight="false" outlineLevel="0" collapsed="false">
      <c r="B3101" s="19" t="s">
        <v>4185</v>
      </c>
      <c r="C3101" s="20" t="n">
        <f aca="false">ROUND(1.69/FX,2)</f>
        <v>0.23</v>
      </c>
      <c r="D3101" s="21" t="s">
        <v>4178</v>
      </c>
      <c r="E3101" s="21" t="s">
        <v>847</v>
      </c>
      <c r="F3101" s="21" t="s">
        <v>708</v>
      </c>
    </row>
    <row r="3102" customFormat="false" ht="15" hidden="false" customHeight="false" outlineLevel="0" collapsed="false">
      <c r="B3102" s="19" t="s">
        <v>4186</v>
      </c>
      <c r="C3102" s="20" t="n">
        <f aca="false">ROUND(1.69/FX,2)</f>
        <v>0.23</v>
      </c>
      <c r="D3102" s="21" t="s">
        <v>4178</v>
      </c>
      <c r="E3102" s="21" t="s">
        <v>719</v>
      </c>
      <c r="F3102" s="21" t="s">
        <v>708</v>
      </c>
    </row>
    <row r="3103" customFormat="false" ht="15" hidden="false" customHeight="false" outlineLevel="0" collapsed="false">
      <c r="B3103" s="19" t="s">
        <v>4187</v>
      </c>
      <c r="C3103" s="20" t="n">
        <f aca="false">ROUND(1.82/FX,2)</f>
        <v>0.25</v>
      </c>
      <c r="D3103" s="21" t="s">
        <v>1475</v>
      </c>
      <c r="E3103" s="21" t="s">
        <v>707</v>
      </c>
      <c r="F3103" s="21" t="s">
        <v>708</v>
      </c>
    </row>
    <row r="3104" customFormat="false" ht="15" hidden="false" customHeight="false" outlineLevel="0" collapsed="false">
      <c r="B3104" s="19" t="s">
        <v>4188</v>
      </c>
      <c r="C3104" s="20" t="n">
        <f aca="false">ROUND(1.69/FX,2)</f>
        <v>0.23</v>
      </c>
      <c r="D3104" s="21" t="s">
        <v>1475</v>
      </c>
      <c r="E3104" s="21" t="s">
        <v>714</v>
      </c>
      <c r="F3104" s="21" t="s">
        <v>708</v>
      </c>
    </row>
    <row r="3105" customFormat="false" ht="15" hidden="false" customHeight="false" outlineLevel="0" collapsed="false">
      <c r="B3105" s="19" t="s">
        <v>4189</v>
      </c>
      <c r="C3105" s="20" t="n">
        <f aca="false">ROUND(1.69/FX,2)</f>
        <v>0.23</v>
      </c>
      <c r="D3105" s="21" t="s">
        <v>1475</v>
      </c>
      <c r="E3105" s="21" t="s">
        <v>3833</v>
      </c>
      <c r="F3105" s="21" t="s">
        <v>708</v>
      </c>
    </row>
    <row r="3106" customFormat="false" ht="15" hidden="false" customHeight="false" outlineLevel="0" collapsed="false">
      <c r="B3106" s="19" t="s">
        <v>4190</v>
      </c>
      <c r="C3106" s="20" t="n">
        <f aca="false">ROUND(1.69/FX,2)</f>
        <v>0.23</v>
      </c>
      <c r="D3106" s="21" t="s">
        <v>1475</v>
      </c>
      <c r="E3106" s="21" t="s">
        <v>4000</v>
      </c>
      <c r="F3106" s="21" t="s">
        <v>708</v>
      </c>
    </row>
    <row r="3107" customFormat="false" ht="15" hidden="false" customHeight="false" outlineLevel="0" collapsed="false">
      <c r="B3107" s="19" t="s">
        <v>4191</v>
      </c>
      <c r="C3107" s="20" t="n">
        <f aca="false">ROUND(1.69/FX,2)</f>
        <v>0.23</v>
      </c>
      <c r="D3107" s="21" t="s">
        <v>1475</v>
      </c>
      <c r="E3107" s="21" t="s">
        <v>3247</v>
      </c>
      <c r="F3107" s="21" t="s">
        <v>708</v>
      </c>
    </row>
    <row r="3108" customFormat="false" ht="15" hidden="false" customHeight="false" outlineLevel="0" collapsed="false">
      <c r="B3108" s="19" t="s">
        <v>4192</v>
      </c>
      <c r="C3108" s="20" t="n">
        <f aca="false">ROUND(1.69/FX,2)</f>
        <v>0.23</v>
      </c>
      <c r="D3108" s="21" t="s">
        <v>1475</v>
      </c>
      <c r="E3108" s="21" t="s">
        <v>3317</v>
      </c>
      <c r="F3108" s="21" t="s">
        <v>708</v>
      </c>
    </row>
    <row r="3109" customFormat="false" ht="15" hidden="false" customHeight="false" outlineLevel="0" collapsed="false">
      <c r="B3109" s="19" t="s">
        <v>4193</v>
      </c>
      <c r="C3109" s="20" t="n">
        <f aca="false">ROUND(1.69/FX,2)</f>
        <v>0.23</v>
      </c>
      <c r="D3109" s="21" t="s">
        <v>1475</v>
      </c>
      <c r="E3109" s="21" t="s">
        <v>716</v>
      </c>
      <c r="F3109" s="21" t="s">
        <v>708</v>
      </c>
    </row>
    <row r="3110" customFormat="false" ht="15" hidden="false" customHeight="false" outlineLevel="0" collapsed="false">
      <c r="B3110" s="19" t="s">
        <v>4194</v>
      </c>
      <c r="C3110" s="20" t="n">
        <f aca="false">ROUND(1.69/FX,2)</f>
        <v>0.23</v>
      </c>
      <c r="D3110" s="21" t="s">
        <v>1475</v>
      </c>
      <c r="E3110" s="21" t="s">
        <v>847</v>
      </c>
      <c r="F3110" s="21" t="s">
        <v>708</v>
      </c>
    </row>
    <row r="3111" customFormat="false" ht="15" hidden="false" customHeight="false" outlineLevel="0" collapsed="false">
      <c r="B3111" s="19" t="s">
        <v>4195</v>
      </c>
      <c r="C3111" s="20" t="n">
        <f aca="false">ROUND(1.69/FX,2)</f>
        <v>0.23</v>
      </c>
      <c r="D3111" s="21" t="s">
        <v>1475</v>
      </c>
      <c r="E3111" s="21" t="s">
        <v>719</v>
      </c>
      <c r="F3111" s="21" t="s">
        <v>708</v>
      </c>
    </row>
    <row r="3112" customFormat="false" ht="15" hidden="false" customHeight="false" outlineLevel="0" collapsed="false">
      <c r="B3112" s="19" t="s">
        <v>4196</v>
      </c>
      <c r="C3112" s="20" t="n">
        <f aca="false">ROUND(1.77/FX,2)</f>
        <v>0.25</v>
      </c>
      <c r="D3112" s="21" t="s">
        <v>4197</v>
      </c>
      <c r="E3112" s="21" t="s">
        <v>707</v>
      </c>
      <c r="F3112" s="21" t="s">
        <v>708</v>
      </c>
    </row>
    <row r="3113" customFormat="false" ht="15" hidden="false" customHeight="false" outlineLevel="0" collapsed="false">
      <c r="B3113" s="19" t="s">
        <v>4198</v>
      </c>
      <c r="C3113" s="20" t="n">
        <f aca="false">ROUND(2.47/FX,2)</f>
        <v>0.34</v>
      </c>
      <c r="D3113" s="21" t="s">
        <v>4197</v>
      </c>
      <c r="E3113" s="21" t="s">
        <v>714</v>
      </c>
      <c r="F3113" s="21" t="s">
        <v>708</v>
      </c>
    </row>
    <row r="3114" customFormat="false" ht="15" hidden="false" customHeight="false" outlineLevel="0" collapsed="false">
      <c r="B3114" s="19" t="s">
        <v>4199</v>
      </c>
      <c r="C3114" s="20" t="n">
        <f aca="false">ROUND(1.69/FX,2)</f>
        <v>0.23</v>
      </c>
      <c r="D3114" s="21" t="s">
        <v>4197</v>
      </c>
      <c r="E3114" s="21" t="s">
        <v>3833</v>
      </c>
      <c r="F3114" s="21" t="s">
        <v>708</v>
      </c>
    </row>
    <row r="3115" customFormat="false" ht="15" hidden="false" customHeight="false" outlineLevel="0" collapsed="false">
      <c r="B3115" s="19" t="s">
        <v>4200</v>
      </c>
      <c r="C3115" s="20" t="n">
        <f aca="false">ROUND(1.69/FX,2)</f>
        <v>0.23</v>
      </c>
      <c r="D3115" s="21" t="s">
        <v>4197</v>
      </c>
      <c r="E3115" s="21" t="s">
        <v>4000</v>
      </c>
      <c r="F3115" s="21" t="s">
        <v>708</v>
      </c>
    </row>
    <row r="3116" customFormat="false" ht="15" hidden="false" customHeight="false" outlineLevel="0" collapsed="false">
      <c r="B3116" s="19" t="s">
        <v>4201</v>
      </c>
      <c r="C3116" s="20" t="n">
        <f aca="false">ROUND(1.69/FX,2)</f>
        <v>0.23</v>
      </c>
      <c r="D3116" s="21" t="s">
        <v>4197</v>
      </c>
      <c r="E3116" s="21" t="s">
        <v>3247</v>
      </c>
      <c r="F3116" s="21" t="s">
        <v>708</v>
      </c>
    </row>
    <row r="3117" customFormat="false" ht="15" hidden="false" customHeight="false" outlineLevel="0" collapsed="false">
      <c r="B3117" s="19" t="s">
        <v>4202</v>
      </c>
      <c r="C3117" s="20" t="n">
        <f aca="false">ROUND(1.69/FX,2)</f>
        <v>0.23</v>
      </c>
      <c r="D3117" s="21" t="s">
        <v>4197</v>
      </c>
      <c r="E3117" s="21" t="s">
        <v>3317</v>
      </c>
      <c r="F3117" s="21" t="s">
        <v>708</v>
      </c>
    </row>
    <row r="3118" customFormat="false" ht="15" hidden="false" customHeight="false" outlineLevel="0" collapsed="false">
      <c r="B3118" s="19" t="s">
        <v>4203</v>
      </c>
      <c r="C3118" s="20" t="n">
        <f aca="false">ROUND(1.69/FX,2)</f>
        <v>0.23</v>
      </c>
      <c r="D3118" s="21" t="s">
        <v>4197</v>
      </c>
      <c r="E3118" s="21" t="s">
        <v>716</v>
      </c>
      <c r="F3118" s="21" t="s">
        <v>708</v>
      </c>
    </row>
    <row r="3119" customFormat="false" ht="15" hidden="false" customHeight="false" outlineLevel="0" collapsed="false">
      <c r="B3119" s="19" t="s">
        <v>4204</v>
      </c>
      <c r="C3119" s="20" t="n">
        <f aca="false">ROUND(1.69/FX,2)</f>
        <v>0.23</v>
      </c>
      <c r="D3119" s="21" t="s">
        <v>4197</v>
      </c>
      <c r="E3119" s="21" t="s">
        <v>847</v>
      </c>
      <c r="F3119" s="21" t="s">
        <v>708</v>
      </c>
    </row>
    <row r="3120" customFormat="false" ht="15" hidden="false" customHeight="false" outlineLevel="0" collapsed="false">
      <c r="B3120" s="19" t="s">
        <v>4205</v>
      </c>
      <c r="C3120" s="20" t="n">
        <f aca="false">ROUND(1.69/FX,2)</f>
        <v>0.23</v>
      </c>
      <c r="D3120" s="21" t="s">
        <v>4197</v>
      </c>
      <c r="E3120" s="21" t="s">
        <v>719</v>
      </c>
      <c r="F3120" s="21" t="s">
        <v>708</v>
      </c>
    </row>
    <row r="3121" customFormat="false" ht="15" hidden="false" customHeight="false" outlineLevel="0" collapsed="false">
      <c r="B3121" s="19" t="s">
        <v>4206</v>
      </c>
      <c r="C3121" s="20" t="n">
        <f aca="false">ROUND(1.95/FX,2)</f>
        <v>0.27</v>
      </c>
      <c r="D3121" s="21" t="s">
        <v>1490</v>
      </c>
      <c r="E3121" s="21" t="s">
        <v>707</v>
      </c>
      <c r="F3121" s="21" t="s">
        <v>708</v>
      </c>
    </row>
    <row r="3122" customFormat="false" ht="15" hidden="false" customHeight="false" outlineLevel="0" collapsed="false">
      <c r="B3122" s="19" t="s">
        <v>4207</v>
      </c>
      <c r="C3122" s="20" t="n">
        <f aca="false">ROUND(2.73/FX,2)</f>
        <v>0.38</v>
      </c>
      <c r="D3122" s="21" t="s">
        <v>1490</v>
      </c>
      <c r="E3122" s="21" t="s">
        <v>714</v>
      </c>
      <c r="F3122" s="21" t="s">
        <v>708</v>
      </c>
    </row>
    <row r="3123" customFormat="false" ht="15" hidden="false" customHeight="false" outlineLevel="0" collapsed="false">
      <c r="B3123" s="19" t="s">
        <v>4208</v>
      </c>
      <c r="C3123" s="20" t="n">
        <f aca="false">ROUND(1.69/FX,2)</f>
        <v>0.23</v>
      </c>
      <c r="D3123" s="21" t="s">
        <v>1490</v>
      </c>
      <c r="E3123" s="21" t="s">
        <v>3833</v>
      </c>
      <c r="F3123" s="21" t="s">
        <v>708</v>
      </c>
    </row>
    <row r="3124" customFormat="false" ht="15" hidden="false" customHeight="false" outlineLevel="0" collapsed="false">
      <c r="B3124" s="19" t="s">
        <v>4209</v>
      </c>
      <c r="C3124" s="20" t="n">
        <f aca="false">ROUND(1.69/FX,2)</f>
        <v>0.23</v>
      </c>
      <c r="D3124" s="21" t="s">
        <v>1490</v>
      </c>
      <c r="E3124" s="21" t="s">
        <v>4000</v>
      </c>
      <c r="F3124" s="21" t="s">
        <v>708</v>
      </c>
    </row>
    <row r="3125" customFormat="false" ht="15" hidden="false" customHeight="false" outlineLevel="0" collapsed="false">
      <c r="B3125" s="19" t="s">
        <v>4210</v>
      </c>
      <c r="C3125" s="20" t="n">
        <f aca="false">ROUND(1.69/FX,2)</f>
        <v>0.23</v>
      </c>
      <c r="D3125" s="21" t="s">
        <v>1490</v>
      </c>
      <c r="E3125" s="21" t="s">
        <v>3247</v>
      </c>
      <c r="F3125" s="21" t="s">
        <v>708</v>
      </c>
    </row>
    <row r="3126" customFormat="false" ht="15" hidden="false" customHeight="false" outlineLevel="0" collapsed="false">
      <c r="B3126" s="19" t="s">
        <v>4211</v>
      </c>
      <c r="C3126" s="20" t="n">
        <f aca="false">ROUND(1.69/FX,2)</f>
        <v>0.23</v>
      </c>
      <c r="D3126" s="21" t="s">
        <v>1490</v>
      </c>
      <c r="E3126" s="21" t="s">
        <v>3317</v>
      </c>
      <c r="F3126" s="21" t="s">
        <v>708</v>
      </c>
    </row>
    <row r="3127" customFormat="false" ht="15" hidden="false" customHeight="false" outlineLevel="0" collapsed="false">
      <c r="B3127" s="19" t="s">
        <v>4212</v>
      </c>
      <c r="C3127" s="20" t="n">
        <f aca="false">ROUND(1.69/FX,2)</f>
        <v>0.23</v>
      </c>
      <c r="D3127" s="21" t="s">
        <v>1490</v>
      </c>
      <c r="E3127" s="21" t="s">
        <v>716</v>
      </c>
      <c r="F3127" s="21" t="s">
        <v>708</v>
      </c>
    </row>
    <row r="3128" customFormat="false" ht="15" hidden="false" customHeight="false" outlineLevel="0" collapsed="false">
      <c r="B3128" s="19" t="s">
        <v>4213</v>
      </c>
      <c r="C3128" s="20" t="n">
        <f aca="false">ROUND(1.69/FX,2)</f>
        <v>0.23</v>
      </c>
      <c r="D3128" s="21" t="s">
        <v>1490</v>
      </c>
      <c r="E3128" s="21" t="s">
        <v>847</v>
      </c>
      <c r="F3128" s="21" t="s">
        <v>708</v>
      </c>
    </row>
    <row r="3129" customFormat="false" ht="15" hidden="false" customHeight="false" outlineLevel="0" collapsed="false">
      <c r="B3129" s="19" t="s">
        <v>4214</v>
      </c>
      <c r="C3129" s="20" t="n">
        <f aca="false">ROUND(1.69/FX,2)</f>
        <v>0.23</v>
      </c>
      <c r="D3129" s="21" t="s">
        <v>1490</v>
      </c>
      <c r="E3129" s="21" t="s">
        <v>719</v>
      </c>
      <c r="F3129" s="21" t="s">
        <v>708</v>
      </c>
    </row>
    <row r="3130" customFormat="false" ht="15" hidden="false" customHeight="false" outlineLevel="0" collapsed="false">
      <c r="B3130" s="19" t="s">
        <v>4215</v>
      </c>
      <c r="C3130" s="20" t="n">
        <f aca="false">ROUND(1.82/FX,2)</f>
        <v>0.25</v>
      </c>
      <c r="D3130" s="21" t="s">
        <v>4216</v>
      </c>
      <c r="E3130" s="21" t="s">
        <v>707</v>
      </c>
      <c r="F3130" s="21" t="s">
        <v>708</v>
      </c>
    </row>
    <row r="3131" customFormat="false" ht="15" hidden="false" customHeight="false" outlineLevel="0" collapsed="false">
      <c r="B3131" s="19" t="s">
        <v>4217</v>
      </c>
      <c r="C3131" s="20" t="n">
        <f aca="false">ROUND(1.69/FX,2)</f>
        <v>0.23</v>
      </c>
      <c r="D3131" s="21" t="s">
        <v>4216</v>
      </c>
      <c r="E3131" s="21" t="s">
        <v>714</v>
      </c>
      <c r="F3131" s="21" t="s">
        <v>708</v>
      </c>
    </row>
    <row r="3132" customFormat="false" ht="15" hidden="false" customHeight="false" outlineLevel="0" collapsed="false">
      <c r="B3132" s="19" t="s">
        <v>4218</v>
      </c>
      <c r="C3132" s="20" t="n">
        <f aca="false">ROUND(1.69/FX,2)</f>
        <v>0.23</v>
      </c>
      <c r="D3132" s="21" t="s">
        <v>4216</v>
      </c>
      <c r="E3132" s="21" t="s">
        <v>3833</v>
      </c>
      <c r="F3132" s="21" t="s">
        <v>708</v>
      </c>
    </row>
    <row r="3133" customFormat="false" ht="15" hidden="false" customHeight="false" outlineLevel="0" collapsed="false">
      <c r="B3133" s="19" t="s">
        <v>4219</v>
      </c>
      <c r="C3133" s="20" t="n">
        <f aca="false">ROUND(1.69/FX,2)</f>
        <v>0.23</v>
      </c>
      <c r="D3133" s="21" t="s">
        <v>4216</v>
      </c>
      <c r="E3133" s="21" t="s">
        <v>4000</v>
      </c>
      <c r="F3133" s="21" t="s">
        <v>708</v>
      </c>
    </row>
    <row r="3134" customFormat="false" ht="15" hidden="false" customHeight="false" outlineLevel="0" collapsed="false">
      <c r="B3134" s="19" t="s">
        <v>4220</v>
      </c>
      <c r="C3134" s="20" t="n">
        <f aca="false">ROUND(1.69/FX,2)</f>
        <v>0.23</v>
      </c>
      <c r="D3134" s="21" t="s">
        <v>4216</v>
      </c>
      <c r="E3134" s="21" t="s">
        <v>3247</v>
      </c>
      <c r="F3134" s="21" t="s">
        <v>708</v>
      </c>
    </row>
    <row r="3135" customFormat="false" ht="15" hidden="false" customHeight="false" outlineLevel="0" collapsed="false">
      <c r="B3135" s="19" t="s">
        <v>4221</v>
      </c>
      <c r="C3135" s="20" t="n">
        <f aca="false">ROUND(1.69/FX,2)</f>
        <v>0.23</v>
      </c>
      <c r="D3135" s="21" t="s">
        <v>4216</v>
      </c>
      <c r="E3135" s="21" t="s">
        <v>3317</v>
      </c>
      <c r="F3135" s="21" t="s">
        <v>708</v>
      </c>
    </row>
    <row r="3136" customFormat="false" ht="15" hidden="false" customHeight="false" outlineLevel="0" collapsed="false">
      <c r="B3136" s="19" t="s">
        <v>4222</v>
      </c>
      <c r="C3136" s="20" t="n">
        <f aca="false">ROUND(1.69/FX,2)</f>
        <v>0.23</v>
      </c>
      <c r="D3136" s="21" t="s">
        <v>4216</v>
      </c>
      <c r="E3136" s="21" t="s">
        <v>716</v>
      </c>
      <c r="F3136" s="21" t="s">
        <v>708</v>
      </c>
    </row>
    <row r="3137" customFormat="false" ht="15" hidden="false" customHeight="false" outlineLevel="0" collapsed="false">
      <c r="B3137" s="19" t="s">
        <v>4223</v>
      </c>
      <c r="C3137" s="20" t="n">
        <f aca="false">ROUND(1.69/FX,2)</f>
        <v>0.23</v>
      </c>
      <c r="D3137" s="21" t="s">
        <v>4216</v>
      </c>
      <c r="E3137" s="21" t="s">
        <v>847</v>
      </c>
      <c r="F3137" s="21" t="s">
        <v>708</v>
      </c>
    </row>
    <row r="3138" customFormat="false" ht="15" hidden="false" customHeight="false" outlineLevel="0" collapsed="false">
      <c r="B3138" s="19" t="s">
        <v>4224</v>
      </c>
      <c r="C3138" s="20" t="n">
        <f aca="false">ROUND(1.69/FX,2)</f>
        <v>0.23</v>
      </c>
      <c r="D3138" s="21" t="s">
        <v>4216</v>
      </c>
      <c r="E3138" s="21" t="s">
        <v>719</v>
      </c>
      <c r="F3138" s="21" t="s">
        <v>708</v>
      </c>
    </row>
    <row r="3139" customFormat="false" ht="15" hidden="false" customHeight="false" outlineLevel="0" collapsed="false">
      <c r="B3139" s="19" t="s">
        <v>4225</v>
      </c>
      <c r="C3139" s="20" t="n">
        <f aca="false">ROUND(1.82/FX,2)</f>
        <v>0.25</v>
      </c>
      <c r="D3139" s="21" t="s">
        <v>1505</v>
      </c>
      <c r="E3139" s="21" t="s">
        <v>707</v>
      </c>
      <c r="F3139" s="21" t="s">
        <v>708</v>
      </c>
    </row>
    <row r="3140" customFormat="false" ht="15" hidden="false" customHeight="false" outlineLevel="0" collapsed="false">
      <c r="B3140" s="19" t="s">
        <v>4226</v>
      </c>
      <c r="C3140" s="20" t="n">
        <f aca="false">ROUND(1.69/FX,2)</f>
        <v>0.23</v>
      </c>
      <c r="D3140" s="21" t="s">
        <v>1505</v>
      </c>
      <c r="E3140" s="21" t="s">
        <v>714</v>
      </c>
      <c r="F3140" s="21" t="s">
        <v>708</v>
      </c>
    </row>
    <row r="3141" customFormat="false" ht="15" hidden="false" customHeight="false" outlineLevel="0" collapsed="false">
      <c r="B3141" s="19" t="s">
        <v>4227</v>
      </c>
      <c r="C3141" s="20" t="n">
        <f aca="false">ROUND(1.69/FX,2)</f>
        <v>0.23</v>
      </c>
      <c r="D3141" s="21" t="s">
        <v>1505</v>
      </c>
      <c r="E3141" s="21" t="s">
        <v>3833</v>
      </c>
      <c r="F3141" s="21" t="s">
        <v>708</v>
      </c>
    </row>
    <row r="3142" customFormat="false" ht="15" hidden="false" customHeight="false" outlineLevel="0" collapsed="false">
      <c r="B3142" s="19" t="s">
        <v>4228</v>
      </c>
      <c r="C3142" s="20" t="n">
        <f aca="false">ROUND(1.69/FX,2)</f>
        <v>0.23</v>
      </c>
      <c r="D3142" s="21" t="s">
        <v>1505</v>
      </c>
      <c r="E3142" s="21" t="s">
        <v>4000</v>
      </c>
      <c r="F3142" s="21" t="s">
        <v>708</v>
      </c>
    </row>
    <row r="3143" customFormat="false" ht="15" hidden="false" customHeight="false" outlineLevel="0" collapsed="false">
      <c r="B3143" s="19" t="s">
        <v>4229</v>
      </c>
      <c r="C3143" s="20" t="n">
        <f aca="false">ROUND(1.69/FX,2)</f>
        <v>0.23</v>
      </c>
      <c r="D3143" s="21" t="s">
        <v>1505</v>
      </c>
      <c r="E3143" s="21" t="s">
        <v>3247</v>
      </c>
      <c r="F3143" s="21" t="s">
        <v>708</v>
      </c>
    </row>
    <row r="3144" customFormat="false" ht="15" hidden="false" customHeight="false" outlineLevel="0" collapsed="false">
      <c r="B3144" s="19" t="s">
        <v>4230</v>
      </c>
      <c r="C3144" s="20" t="n">
        <f aca="false">ROUND(1.69/FX,2)</f>
        <v>0.23</v>
      </c>
      <c r="D3144" s="21" t="s">
        <v>1505</v>
      </c>
      <c r="E3144" s="21" t="s">
        <v>3317</v>
      </c>
      <c r="F3144" s="21" t="s">
        <v>708</v>
      </c>
    </row>
    <row r="3145" customFormat="false" ht="15" hidden="false" customHeight="false" outlineLevel="0" collapsed="false">
      <c r="B3145" s="19" t="s">
        <v>4231</v>
      </c>
      <c r="C3145" s="20" t="n">
        <f aca="false">ROUND(1.69/FX,2)</f>
        <v>0.23</v>
      </c>
      <c r="D3145" s="21" t="s">
        <v>1505</v>
      </c>
      <c r="E3145" s="21" t="s">
        <v>716</v>
      </c>
      <c r="F3145" s="21" t="s">
        <v>708</v>
      </c>
    </row>
    <row r="3146" customFormat="false" ht="15" hidden="false" customHeight="false" outlineLevel="0" collapsed="false">
      <c r="B3146" s="19" t="s">
        <v>4232</v>
      </c>
      <c r="C3146" s="20" t="n">
        <f aca="false">ROUND(1.69/FX,2)</f>
        <v>0.23</v>
      </c>
      <c r="D3146" s="21" t="s">
        <v>1505</v>
      </c>
      <c r="E3146" s="21" t="s">
        <v>847</v>
      </c>
      <c r="F3146" s="21" t="s">
        <v>708</v>
      </c>
    </row>
    <row r="3147" customFormat="false" ht="15" hidden="false" customHeight="false" outlineLevel="0" collapsed="false">
      <c r="B3147" s="19" t="s">
        <v>4233</v>
      </c>
      <c r="C3147" s="20" t="n">
        <f aca="false">ROUND(1.69/FX,2)</f>
        <v>0.23</v>
      </c>
      <c r="D3147" s="21" t="s">
        <v>1505</v>
      </c>
      <c r="E3147" s="21" t="s">
        <v>719</v>
      </c>
      <c r="F3147" s="21" t="s">
        <v>708</v>
      </c>
    </row>
    <row r="3148" customFormat="false" ht="15" hidden="false" customHeight="false" outlineLevel="0" collapsed="false">
      <c r="B3148" s="19" t="s">
        <v>4234</v>
      </c>
      <c r="C3148" s="20" t="n">
        <f aca="false">ROUND(1.69/FX,2)</f>
        <v>0.23</v>
      </c>
      <c r="D3148" s="21" t="s">
        <v>4235</v>
      </c>
      <c r="E3148" s="21" t="s">
        <v>707</v>
      </c>
      <c r="F3148" s="21" t="s">
        <v>708</v>
      </c>
    </row>
    <row r="3149" customFormat="false" ht="15" hidden="false" customHeight="false" outlineLevel="0" collapsed="false">
      <c r="B3149" s="19" t="s">
        <v>4236</v>
      </c>
      <c r="C3149" s="20" t="n">
        <f aca="false">ROUND(1.69/FX,2)</f>
        <v>0.23</v>
      </c>
      <c r="D3149" s="21" t="s">
        <v>4235</v>
      </c>
      <c r="E3149" s="21" t="s">
        <v>714</v>
      </c>
      <c r="F3149" s="21" t="s">
        <v>708</v>
      </c>
    </row>
    <row r="3150" customFormat="false" ht="15" hidden="false" customHeight="false" outlineLevel="0" collapsed="false">
      <c r="B3150" s="19" t="s">
        <v>4237</v>
      </c>
      <c r="C3150" s="20" t="n">
        <f aca="false">ROUND(1.69/FX,2)</f>
        <v>0.23</v>
      </c>
      <c r="D3150" s="21" t="s">
        <v>4235</v>
      </c>
      <c r="E3150" s="21" t="s">
        <v>3833</v>
      </c>
      <c r="F3150" s="21" t="s">
        <v>708</v>
      </c>
    </row>
    <row r="3151" customFormat="false" ht="15" hidden="false" customHeight="false" outlineLevel="0" collapsed="false">
      <c r="B3151" s="19" t="s">
        <v>4238</v>
      </c>
      <c r="C3151" s="20" t="n">
        <f aca="false">ROUND(1.69/FX,2)</f>
        <v>0.23</v>
      </c>
      <c r="D3151" s="21" t="s">
        <v>4235</v>
      </c>
      <c r="E3151" s="21" t="s">
        <v>4000</v>
      </c>
      <c r="F3151" s="21" t="s">
        <v>708</v>
      </c>
    </row>
    <row r="3152" customFormat="false" ht="15" hidden="false" customHeight="false" outlineLevel="0" collapsed="false">
      <c r="B3152" s="19" t="s">
        <v>4239</v>
      </c>
      <c r="C3152" s="20" t="n">
        <f aca="false">ROUND(1.69/FX,2)</f>
        <v>0.23</v>
      </c>
      <c r="D3152" s="21" t="s">
        <v>4235</v>
      </c>
      <c r="E3152" s="21" t="s">
        <v>3247</v>
      </c>
      <c r="F3152" s="21" t="s">
        <v>708</v>
      </c>
    </row>
    <row r="3153" customFormat="false" ht="15" hidden="false" customHeight="false" outlineLevel="0" collapsed="false">
      <c r="B3153" s="19" t="s">
        <v>4240</v>
      </c>
      <c r="C3153" s="20" t="n">
        <f aca="false">ROUND(1.69/FX,2)</f>
        <v>0.23</v>
      </c>
      <c r="D3153" s="21" t="s">
        <v>4235</v>
      </c>
      <c r="E3153" s="21" t="s">
        <v>3317</v>
      </c>
      <c r="F3153" s="21" t="s">
        <v>708</v>
      </c>
    </row>
    <row r="3154" customFormat="false" ht="15" hidden="false" customHeight="false" outlineLevel="0" collapsed="false">
      <c r="B3154" s="19" t="s">
        <v>4241</v>
      </c>
      <c r="C3154" s="20" t="n">
        <f aca="false">ROUND(1.69/FX,2)</f>
        <v>0.23</v>
      </c>
      <c r="D3154" s="21" t="s">
        <v>4235</v>
      </c>
      <c r="E3154" s="21" t="s">
        <v>716</v>
      </c>
      <c r="F3154" s="21" t="s">
        <v>708</v>
      </c>
    </row>
    <row r="3155" customFormat="false" ht="15" hidden="false" customHeight="false" outlineLevel="0" collapsed="false">
      <c r="B3155" s="19" t="s">
        <v>4242</v>
      </c>
      <c r="C3155" s="20" t="n">
        <f aca="false">ROUND(1.69/FX,2)</f>
        <v>0.23</v>
      </c>
      <c r="D3155" s="21" t="s">
        <v>4235</v>
      </c>
      <c r="E3155" s="21" t="s">
        <v>847</v>
      </c>
      <c r="F3155" s="21" t="s">
        <v>708</v>
      </c>
    </row>
    <row r="3156" customFormat="false" ht="15" hidden="false" customHeight="false" outlineLevel="0" collapsed="false">
      <c r="B3156" s="19" t="s">
        <v>4243</v>
      </c>
      <c r="C3156" s="20" t="n">
        <f aca="false">ROUND(1.69/FX,2)</f>
        <v>0.23</v>
      </c>
      <c r="D3156" s="21" t="s">
        <v>4235</v>
      </c>
      <c r="E3156" s="21" t="s">
        <v>719</v>
      </c>
      <c r="F3156" s="21" t="s">
        <v>708</v>
      </c>
    </row>
    <row r="3157" customFormat="false" ht="15" hidden="false" customHeight="false" outlineLevel="0" collapsed="false">
      <c r="B3157" s="19" t="s">
        <v>4244</v>
      </c>
      <c r="C3157" s="20" t="n">
        <f aca="false">ROUND(1.69/FX,2)</f>
        <v>0.23</v>
      </c>
      <c r="D3157" s="21" t="s">
        <v>1520</v>
      </c>
      <c r="E3157" s="21" t="s">
        <v>707</v>
      </c>
      <c r="F3157" s="21" t="s">
        <v>708</v>
      </c>
    </row>
    <row r="3158" customFormat="false" ht="15" hidden="false" customHeight="false" outlineLevel="0" collapsed="false">
      <c r="B3158" s="19" t="s">
        <v>4245</v>
      </c>
      <c r="C3158" s="20" t="n">
        <f aca="false">ROUND(2.58/FX,2)</f>
        <v>0.36</v>
      </c>
      <c r="D3158" s="21" t="s">
        <v>1520</v>
      </c>
      <c r="E3158" s="21" t="s">
        <v>714</v>
      </c>
      <c r="F3158" s="21" t="s">
        <v>708</v>
      </c>
    </row>
    <row r="3159" customFormat="false" ht="15" hidden="false" customHeight="false" outlineLevel="0" collapsed="false">
      <c r="B3159" s="19" t="s">
        <v>4246</v>
      </c>
      <c r="C3159" s="20" t="n">
        <f aca="false">ROUND(1.69/FX,2)</f>
        <v>0.23</v>
      </c>
      <c r="D3159" s="21" t="s">
        <v>1520</v>
      </c>
      <c r="E3159" s="21" t="s">
        <v>3833</v>
      </c>
      <c r="F3159" s="21" t="s">
        <v>708</v>
      </c>
    </row>
    <row r="3160" customFormat="false" ht="15" hidden="false" customHeight="false" outlineLevel="0" collapsed="false">
      <c r="B3160" s="19" t="s">
        <v>4247</v>
      </c>
      <c r="C3160" s="20" t="n">
        <f aca="false">ROUND(3.38/FX,2)</f>
        <v>0.47</v>
      </c>
      <c r="D3160" s="21" t="s">
        <v>1520</v>
      </c>
      <c r="E3160" s="21" t="s">
        <v>4000</v>
      </c>
      <c r="F3160" s="21" t="s">
        <v>708</v>
      </c>
    </row>
    <row r="3161" customFormat="false" ht="15" hidden="false" customHeight="false" outlineLevel="0" collapsed="false">
      <c r="B3161" s="19" t="s">
        <v>4248</v>
      </c>
      <c r="C3161" s="20" t="n">
        <f aca="false">ROUND(1.69/FX,2)</f>
        <v>0.23</v>
      </c>
      <c r="D3161" s="21" t="s">
        <v>1520</v>
      </c>
      <c r="E3161" s="21" t="s">
        <v>3247</v>
      </c>
      <c r="F3161" s="21" t="s">
        <v>708</v>
      </c>
    </row>
    <row r="3162" customFormat="false" ht="15" hidden="false" customHeight="false" outlineLevel="0" collapsed="false">
      <c r="B3162" s="19" t="s">
        <v>4249</v>
      </c>
      <c r="C3162" s="20" t="n">
        <f aca="false">ROUND(5.59/FX,2)</f>
        <v>0.78</v>
      </c>
      <c r="D3162" s="21" t="s">
        <v>1520</v>
      </c>
      <c r="E3162" s="21" t="s">
        <v>3317</v>
      </c>
      <c r="F3162" s="21" t="s">
        <v>708</v>
      </c>
    </row>
    <row r="3163" customFormat="false" ht="15" hidden="false" customHeight="false" outlineLevel="0" collapsed="false">
      <c r="B3163" s="19" t="s">
        <v>4250</v>
      </c>
      <c r="C3163" s="20" t="n">
        <f aca="false">ROUND(1.69/FX,2)</f>
        <v>0.23</v>
      </c>
      <c r="D3163" s="21" t="s">
        <v>1520</v>
      </c>
      <c r="E3163" s="21" t="s">
        <v>716</v>
      </c>
      <c r="F3163" s="21" t="s">
        <v>708</v>
      </c>
    </row>
    <row r="3164" customFormat="false" ht="15" hidden="false" customHeight="false" outlineLevel="0" collapsed="false">
      <c r="B3164" s="19" t="s">
        <v>4251</v>
      </c>
      <c r="C3164" s="20" t="n">
        <f aca="false">ROUND(1.69/FX,2)</f>
        <v>0.23</v>
      </c>
      <c r="D3164" s="21" t="s">
        <v>1520</v>
      </c>
      <c r="E3164" s="21" t="s">
        <v>847</v>
      </c>
      <c r="F3164" s="21" t="s">
        <v>708</v>
      </c>
    </row>
    <row r="3165" customFormat="false" ht="15" hidden="false" customHeight="false" outlineLevel="0" collapsed="false">
      <c r="B3165" s="19" t="s">
        <v>4252</v>
      </c>
      <c r="C3165" s="20" t="n">
        <f aca="false">ROUND(1.69/FX,2)</f>
        <v>0.23</v>
      </c>
      <c r="D3165" s="21" t="s">
        <v>1520</v>
      </c>
      <c r="E3165" s="21" t="s">
        <v>719</v>
      </c>
      <c r="F3165" s="21" t="s">
        <v>708</v>
      </c>
    </row>
    <row r="3166" customFormat="false" ht="15" hidden="false" customHeight="false" outlineLevel="0" collapsed="false">
      <c r="B3166" s="19" t="s">
        <v>4253</v>
      </c>
      <c r="C3166" s="20" t="n">
        <f aca="false">ROUND(1.95/FX,2)</f>
        <v>0.27</v>
      </c>
      <c r="D3166" s="21" t="s">
        <v>4254</v>
      </c>
      <c r="E3166" s="21" t="s">
        <v>707</v>
      </c>
      <c r="F3166" s="21" t="s">
        <v>708</v>
      </c>
    </row>
    <row r="3167" customFormat="false" ht="15" hidden="false" customHeight="false" outlineLevel="0" collapsed="false">
      <c r="B3167" s="19" t="s">
        <v>4255</v>
      </c>
      <c r="C3167" s="20" t="n">
        <f aca="false">ROUND(1.69/FX,2)</f>
        <v>0.23</v>
      </c>
      <c r="D3167" s="21" t="s">
        <v>4254</v>
      </c>
      <c r="E3167" s="21" t="s">
        <v>714</v>
      </c>
      <c r="F3167" s="21" t="s">
        <v>708</v>
      </c>
    </row>
    <row r="3168" customFormat="false" ht="15" hidden="false" customHeight="false" outlineLevel="0" collapsed="false">
      <c r="B3168" s="19" t="s">
        <v>4256</v>
      </c>
      <c r="C3168" s="20" t="n">
        <f aca="false">ROUND(1.69/FX,2)</f>
        <v>0.23</v>
      </c>
      <c r="D3168" s="21" t="s">
        <v>4254</v>
      </c>
      <c r="E3168" s="21" t="s">
        <v>3833</v>
      </c>
      <c r="F3168" s="21" t="s">
        <v>708</v>
      </c>
    </row>
    <row r="3169" customFormat="false" ht="15" hidden="false" customHeight="false" outlineLevel="0" collapsed="false">
      <c r="B3169" s="19" t="s">
        <v>4257</v>
      </c>
      <c r="C3169" s="20" t="n">
        <f aca="false">ROUND(1.69/FX,2)</f>
        <v>0.23</v>
      </c>
      <c r="D3169" s="21" t="s">
        <v>4254</v>
      </c>
      <c r="E3169" s="21" t="s">
        <v>4000</v>
      </c>
      <c r="F3169" s="21" t="s">
        <v>708</v>
      </c>
    </row>
    <row r="3170" customFormat="false" ht="15" hidden="false" customHeight="false" outlineLevel="0" collapsed="false">
      <c r="B3170" s="19" t="s">
        <v>4258</v>
      </c>
      <c r="C3170" s="20" t="n">
        <f aca="false">ROUND(1.69/FX,2)</f>
        <v>0.23</v>
      </c>
      <c r="D3170" s="21" t="s">
        <v>4254</v>
      </c>
      <c r="E3170" s="21" t="s">
        <v>3247</v>
      </c>
      <c r="F3170" s="21" t="s">
        <v>708</v>
      </c>
    </row>
    <row r="3171" customFormat="false" ht="15" hidden="false" customHeight="false" outlineLevel="0" collapsed="false">
      <c r="B3171" s="19" t="s">
        <v>4259</v>
      </c>
      <c r="C3171" s="20" t="n">
        <f aca="false">ROUND(1.69/FX,2)</f>
        <v>0.23</v>
      </c>
      <c r="D3171" s="21" t="s">
        <v>4254</v>
      </c>
      <c r="E3171" s="21" t="s">
        <v>3317</v>
      </c>
      <c r="F3171" s="21" t="s">
        <v>708</v>
      </c>
    </row>
    <row r="3172" customFormat="false" ht="15" hidden="false" customHeight="false" outlineLevel="0" collapsed="false">
      <c r="B3172" s="19" t="s">
        <v>4260</v>
      </c>
      <c r="C3172" s="20" t="n">
        <f aca="false">ROUND(1.69/FX,2)</f>
        <v>0.23</v>
      </c>
      <c r="D3172" s="21" t="s">
        <v>4254</v>
      </c>
      <c r="E3172" s="21" t="s">
        <v>716</v>
      </c>
      <c r="F3172" s="21" t="s">
        <v>708</v>
      </c>
    </row>
    <row r="3173" customFormat="false" ht="15" hidden="false" customHeight="false" outlineLevel="0" collapsed="false">
      <c r="B3173" s="19" t="s">
        <v>4261</v>
      </c>
      <c r="C3173" s="20" t="n">
        <f aca="false">ROUND(1.69/FX,2)</f>
        <v>0.23</v>
      </c>
      <c r="D3173" s="21" t="s">
        <v>4254</v>
      </c>
      <c r="E3173" s="21" t="s">
        <v>847</v>
      </c>
      <c r="F3173" s="21" t="s">
        <v>708</v>
      </c>
    </row>
    <row r="3174" customFormat="false" ht="15" hidden="false" customHeight="false" outlineLevel="0" collapsed="false">
      <c r="B3174" s="19" t="s">
        <v>4262</v>
      </c>
      <c r="C3174" s="20" t="n">
        <f aca="false">ROUND(1.69/FX,2)</f>
        <v>0.23</v>
      </c>
      <c r="D3174" s="21" t="s">
        <v>4254</v>
      </c>
      <c r="E3174" s="21" t="s">
        <v>719</v>
      </c>
      <c r="F3174" s="21" t="s">
        <v>708</v>
      </c>
    </row>
    <row r="3175" customFormat="false" ht="15" hidden="false" customHeight="false" outlineLevel="0" collapsed="false">
      <c r="B3175" s="19" t="s">
        <v>4263</v>
      </c>
      <c r="C3175" s="20" t="n">
        <f aca="false">ROUND(1.9/FX,2)</f>
        <v>0.26</v>
      </c>
      <c r="D3175" s="21" t="s">
        <v>1535</v>
      </c>
      <c r="E3175" s="21" t="s">
        <v>707</v>
      </c>
      <c r="F3175" s="21" t="s">
        <v>708</v>
      </c>
    </row>
    <row r="3176" customFormat="false" ht="15" hidden="false" customHeight="false" outlineLevel="0" collapsed="false">
      <c r="B3176" s="19" t="s">
        <v>4264</v>
      </c>
      <c r="C3176" s="20" t="n">
        <f aca="false">ROUND(1.69/FX,2)</f>
        <v>0.23</v>
      </c>
      <c r="D3176" s="21" t="s">
        <v>1535</v>
      </c>
      <c r="E3176" s="21" t="s">
        <v>714</v>
      </c>
      <c r="F3176" s="21" t="s">
        <v>708</v>
      </c>
    </row>
    <row r="3177" customFormat="false" ht="15" hidden="false" customHeight="false" outlineLevel="0" collapsed="false">
      <c r="B3177" s="19" t="s">
        <v>4265</v>
      </c>
      <c r="C3177" s="20" t="n">
        <f aca="false">ROUND(1.69/FX,2)</f>
        <v>0.23</v>
      </c>
      <c r="D3177" s="21" t="s">
        <v>1535</v>
      </c>
      <c r="E3177" s="21" t="s">
        <v>3833</v>
      </c>
      <c r="F3177" s="21" t="s">
        <v>708</v>
      </c>
    </row>
    <row r="3178" customFormat="false" ht="15" hidden="false" customHeight="false" outlineLevel="0" collapsed="false">
      <c r="B3178" s="19" t="s">
        <v>4266</v>
      </c>
      <c r="C3178" s="20" t="n">
        <f aca="false">ROUND(1.69/FX,2)</f>
        <v>0.23</v>
      </c>
      <c r="D3178" s="21" t="s">
        <v>1535</v>
      </c>
      <c r="E3178" s="21" t="s">
        <v>4000</v>
      </c>
      <c r="F3178" s="21" t="s">
        <v>708</v>
      </c>
    </row>
    <row r="3179" customFormat="false" ht="15" hidden="false" customHeight="false" outlineLevel="0" collapsed="false">
      <c r="B3179" s="19" t="s">
        <v>4267</v>
      </c>
      <c r="C3179" s="20" t="n">
        <f aca="false">ROUND(1.69/FX,2)</f>
        <v>0.23</v>
      </c>
      <c r="D3179" s="21" t="s">
        <v>1535</v>
      </c>
      <c r="E3179" s="21" t="s">
        <v>3247</v>
      </c>
      <c r="F3179" s="21" t="s">
        <v>708</v>
      </c>
    </row>
    <row r="3180" customFormat="false" ht="15" hidden="false" customHeight="false" outlineLevel="0" collapsed="false">
      <c r="B3180" s="19" t="s">
        <v>4268</v>
      </c>
      <c r="C3180" s="20" t="n">
        <f aca="false">ROUND(1.69/FX,2)</f>
        <v>0.23</v>
      </c>
      <c r="D3180" s="21" t="s">
        <v>1535</v>
      </c>
      <c r="E3180" s="21" t="s">
        <v>3317</v>
      </c>
      <c r="F3180" s="21" t="s">
        <v>708</v>
      </c>
    </row>
    <row r="3181" customFormat="false" ht="15" hidden="false" customHeight="false" outlineLevel="0" collapsed="false">
      <c r="B3181" s="19" t="s">
        <v>4269</v>
      </c>
      <c r="C3181" s="20" t="n">
        <f aca="false">ROUND(1.69/FX,2)</f>
        <v>0.23</v>
      </c>
      <c r="D3181" s="21" t="s">
        <v>1535</v>
      </c>
      <c r="E3181" s="21" t="s">
        <v>716</v>
      </c>
      <c r="F3181" s="21" t="s">
        <v>708</v>
      </c>
    </row>
    <row r="3182" customFormat="false" ht="15" hidden="false" customHeight="false" outlineLevel="0" collapsed="false">
      <c r="B3182" s="19" t="s">
        <v>4270</v>
      </c>
      <c r="C3182" s="20" t="n">
        <f aca="false">ROUND(1.69/FX,2)</f>
        <v>0.23</v>
      </c>
      <c r="D3182" s="21" t="s">
        <v>1535</v>
      </c>
      <c r="E3182" s="21" t="s">
        <v>847</v>
      </c>
      <c r="F3182" s="21" t="s">
        <v>708</v>
      </c>
    </row>
    <row r="3183" customFormat="false" ht="15" hidden="false" customHeight="false" outlineLevel="0" collapsed="false">
      <c r="B3183" s="19" t="s">
        <v>4271</v>
      </c>
      <c r="C3183" s="20" t="n">
        <f aca="false">ROUND(1.69/FX,2)</f>
        <v>0.23</v>
      </c>
      <c r="D3183" s="21" t="s">
        <v>1535</v>
      </c>
      <c r="E3183" s="21" t="s">
        <v>719</v>
      </c>
      <c r="F3183" s="21" t="s">
        <v>708</v>
      </c>
    </row>
    <row r="3184" customFormat="false" ht="15" hidden="false" customHeight="false" outlineLevel="0" collapsed="false">
      <c r="B3184" s="19" t="s">
        <v>4272</v>
      </c>
      <c r="C3184" s="20" t="n">
        <f aca="false">ROUND(1.82/FX,2)</f>
        <v>0.25</v>
      </c>
      <c r="D3184" s="21" t="s">
        <v>4273</v>
      </c>
      <c r="E3184" s="21" t="s">
        <v>707</v>
      </c>
      <c r="F3184" s="21" t="s">
        <v>708</v>
      </c>
    </row>
    <row r="3185" customFormat="false" ht="15" hidden="false" customHeight="false" outlineLevel="0" collapsed="false">
      <c r="B3185" s="19" t="s">
        <v>4274</v>
      </c>
      <c r="C3185" s="20" t="n">
        <f aca="false">ROUND(2.87/FX,2)</f>
        <v>0.4</v>
      </c>
      <c r="D3185" s="21" t="s">
        <v>4273</v>
      </c>
      <c r="E3185" s="21" t="s">
        <v>714</v>
      </c>
      <c r="F3185" s="21" t="s">
        <v>708</v>
      </c>
    </row>
    <row r="3186" customFormat="false" ht="15" hidden="false" customHeight="false" outlineLevel="0" collapsed="false">
      <c r="B3186" s="19" t="s">
        <v>4275</v>
      </c>
      <c r="C3186" s="20" t="n">
        <f aca="false">ROUND(1.69/FX,2)</f>
        <v>0.23</v>
      </c>
      <c r="D3186" s="21" t="s">
        <v>4273</v>
      </c>
      <c r="E3186" s="21" t="s">
        <v>3833</v>
      </c>
      <c r="F3186" s="21" t="s">
        <v>708</v>
      </c>
    </row>
    <row r="3187" customFormat="false" ht="15" hidden="false" customHeight="false" outlineLevel="0" collapsed="false">
      <c r="B3187" s="19" t="s">
        <v>4276</v>
      </c>
      <c r="C3187" s="20" t="n">
        <f aca="false">ROUND(1.69/FX,2)</f>
        <v>0.23</v>
      </c>
      <c r="D3187" s="21" t="s">
        <v>4273</v>
      </c>
      <c r="E3187" s="21" t="s">
        <v>4000</v>
      </c>
      <c r="F3187" s="21" t="s">
        <v>708</v>
      </c>
    </row>
    <row r="3188" customFormat="false" ht="15" hidden="false" customHeight="false" outlineLevel="0" collapsed="false">
      <c r="B3188" s="19" t="s">
        <v>4277</v>
      </c>
      <c r="C3188" s="20" t="n">
        <f aca="false">ROUND(1.69/FX,2)</f>
        <v>0.23</v>
      </c>
      <c r="D3188" s="21" t="s">
        <v>4273</v>
      </c>
      <c r="E3188" s="21" t="s">
        <v>3247</v>
      </c>
      <c r="F3188" s="21" t="s">
        <v>708</v>
      </c>
    </row>
    <row r="3189" customFormat="false" ht="15" hidden="false" customHeight="false" outlineLevel="0" collapsed="false">
      <c r="B3189" s="19" t="s">
        <v>4278</v>
      </c>
      <c r="C3189" s="20" t="n">
        <f aca="false">ROUND(1.69/FX,2)</f>
        <v>0.23</v>
      </c>
      <c r="D3189" s="21" t="s">
        <v>4273</v>
      </c>
      <c r="E3189" s="21" t="s">
        <v>3317</v>
      </c>
      <c r="F3189" s="21" t="s">
        <v>708</v>
      </c>
    </row>
    <row r="3190" customFormat="false" ht="15" hidden="false" customHeight="false" outlineLevel="0" collapsed="false">
      <c r="B3190" s="19" t="s">
        <v>4279</v>
      </c>
      <c r="C3190" s="20" t="n">
        <f aca="false">ROUND(1.69/FX,2)</f>
        <v>0.23</v>
      </c>
      <c r="D3190" s="21" t="s">
        <v>4273</v>
      </c>
      <c r="E3190" s="21" t="s">
        <v>716</v>
      </c>
      <c r="F3190" s="21" t="s">
        <v>708</v>
      </c>
    </row>
    <row r="3191" customFormat="false" ht="15" hidden="false" customHeight="false" outlineLevel="0" collapsed="false">
      <c r="B3191" s="19" t="s">
        <v>4280</v>
      </c>
      <c r="C3191" s="20" t="n">
        <f aca="false">ROUND(1.69/FX,2)</f>
        <v>0.23</v>
      </c>
      <c r="D3191" s="21" t="s">
        <v>4273</v>
      </c>
      <c r="E3191" s="21" t="s">
        <v>847</v>
      </c>
      <c r="F3191" s="21" t="s">
        <v>708</v>
      </c>
    </row>
    <row r="3192" customFormat="false" ht="15" hidden="false" customHeight="false" outlineLevel="0" collapsed="false">
      <c r="B3192" s="19" t="s">
        <v>4281</v>
      </c>
      <c r="C3192" s="20" t="n">
        <f aca="false">ROUND(1.69/FX,2)</f>
        <v>0.23</v>
      </c>
      <c r="D3192" s="21" t="s">
        <v>4273</v>
      </c>
      <c r="E3192" s="21" t="s">
        <v>719</v>
      </c>
      <c r="F3192" s="21" t="s">
        <v>708</v>
      </c>
    </row>
    <row r="3193" customFormat="false" ht="15" hidden="false" customHeight="false" outlineLevel="0" collapsed="false">
      <c r="B3193" s="19" t="s">
        <v>4282</v>
      </c>
      <c r="C3193" s="20" t="n">
        <f aca="false">ROUND(1.82/FX,2)</f>
        <v>0.25</v>
      </c>
      <c r="D3193" s="21" t="s">
        <v>1550</v>
      </c>
      <c r="E3193" s="21" t="s">
        <v>707</v>
      </c>
      <c r="F3193" s="21" t="s">
        <v>708</v>
      </c>
    </row>
    <row r="3194" customFormat="false" ht="15" hidden="false" customHeight="false" outlineLevel="0" collapsed="false">
      <c r="B3194" s="19" t="s">
        <v>4283</v>
      </c>
      <c r="C3194" s="20" t="n">
        <f aca="false">ROUND(1.69/FX,2)</f>
        <v>0.23</v>
      </c>
      <c r="D3194" s="21" t="s">
        <v>1550</v>
      </c>
      <c r="E3194" s="21" t="s">
        <v>714</v>
      </c>
      <c r="F3194" s="21" t="s">
        <v>708</v>
      </c>
    </row>
    <row r="3195" customFormat="false" ht="15" hidden="false" customHeight="false" outlineLevel="0" collapsed="false">
      <c r="B3195" s="19" t="s">
        <v>4284</v>
      </c>
      <c r="C3195" s="20" t="n">
        <f aca="false">ROUND(1.69/FX,2)</f>
        <v>0.23</v>
      </c>
      <c r="D3195" s="21" t="s">
        <v>1550</v>
      </c>
      <c r="E3195" s="21" t="s">
        <v>3833</v>
      </c>
      <c r="F3195" s="21" t="s">
        <v>708</v>
      </c>
    </row>
    <row r="3196" customFormat="false" ht="15" hidden="false" customHeight="false" outlineLevel="0" collapsed="false">
      <c r="B3196" s="19" t="s">
        <v>4285</v>
      </c>
      <c r="C3196" s="20" t="n">
        <f aca="false">ROUND(1.69/FX,2)</f>
        <v>0.23</v>
      </c>
      <c r="D3196" s="21" t="s">
        <v>1550</v>
      </c>
      <c r="E3196" s="21" t="s">
        <v>4000</v>
      </c>
      <c r="F3196" s="21" t="s">
        <v>708</v>
      </c>
    </row>
    <row r="3197" customFormat="false" ht="15" hidden="false" customHeight="false" outlineLevel="0" collapsed="false">
      <c r="B3197" s="19" t="s">
        <v>4286</v>
      </c>
      <c r="C3197" s="20" t="n">
        <f aca="false">ROUND(1.69/FX,2)</f>
        <v>0.23</v>
      </c>
      <c r="D3197" s="21" t="s">
        <v>1550</v>
      </c>
      <c r="E3197" s="21" t="s">
        <v>3247</v>
      </c>
      <c r="F3197" s="21" t="s">
        <v>708</v>
      </c>
    </row>
    <row r="3198" customFormat="false" ht="15" hidden="false" customHeight="false" outlineLevel="0" collapsed="false">
      <c r="B3198" s="19" t="s">
        <v>4287</v>
      </c>
      <c r="C3198" s="20" t="n">
        <f aca="false">ROUND(1.69/FX,2)</f>
        <v>0.23</v>
      </c>
      <c r="D3198" s="21" t="s">
        <v>1550</v>
      </c>
      <c r="E3198" s="21" t="s">
        <v>3317</v>
      </c>
      <c r="F3198" s="21" t="s">
        <v>708</v>
      </c>
    </row>
    <row r="3199" customFormat="false" ht="15" hidden="false" customHeight="false" outlineLevel="0" collapsed="false">
      <c r="B3199" s="19" t="s">
        <v>4288</v>
      </c>
      <c r="C3199" s="20" t="n">
        <f aca="false">ROUND(1.69/FX,2)</f>
        <v>0.23</v>
      </c>
      <c r="D3199" s="21" t="s">
        <v>1550</v>
      </c>
      <c r="E3199" s="21" t="s">
        <v>716</v>
      </c>
      <c r="F3199" s="21" t="s">
        <v>708</v>
      </c>
    </row>
    <row r="3200" customFormat="false" ht="15" hidden="false" customHeight="false" outlineLevel="0" collapsed="false">
      <c r="B3200" s="19" t="s">
        <v>4289</v>
      </c>
      <c r="C3200" s="20" t="n">
        <f aca="false">ROUND(1.69/FX,2)</f>
        <v>0.23</v>
      </c>
      <c r="D3200" s="21" t="s">
        <v>1550</v>
      </c>
      <c r="E3200" s="21" t="s">
        <v>847</v>
      </c>
      <c r="F3200" s="21" t="s">
        <v>708</v>
      </c>
    </row>
    <row r="3201" customFormat="false" ht="15" hidden="false" customHeight="false" outlineLevel="0" collapsed="false">
      <c r="B3201" s="19" t="s">
        <v>4290</v>
      </c>
      <c r="C3201" s="20" t="n">
        <f aca="false">ROUND(1.69/FX,2)</f>
        <v>0.23</v>
      </c>
      <c r="D3201" s="21" t="s">
        <v>1550</v>
      </c>
      <c r="E3201" s="21" t="s">
        <v>719</v>
      </c>
      <c r="F3201" s="21" t="s">
        <v>708</v>
      </c>
    </row>
    <row r="3202" customFormat="false" ht="15" hidden="false" customHeight="false" outlineLevel="0" collapsed="false">
      <c r="B3202" s="19" t="s">
        <v>4291</v>
      </c>
      <c r="C3202" s="20" t="n">
        <f aca="false">ROUND(1.95/FX,2)</f>
        <v>0.27</v>
      </c>
      <c r="D3202" s="21" t="s">
        <v>4292</v>
      </c>
      <c r="E3202" s="21" t="s">
        <v>707</v>
      </c>
      <c r="F3202" s="21" t="s">
        <v>708</v>
      </c>
    </row>
    <row r="3203" customFormat="false" ht="15" hidden="false" customHeight="false" outlineLevel="0" collapsed="false">
      <c r="B3203" s="19" t="s">
        <v>4293</v>
      </c>
      <c r="C3203" s="20" t="n">
        <f aca="false">ROUND(2.99/FX,2)</f>
        <v>0.42</v>
      </c>
      <c r="D3203" s="21" t="s">
        <v>4292</v>
      </c>
      <c r="E3203" s="21" t="s">
        <v>714</v>
      </c>
      <c r="F3203" s="21" t="s">
        <v>708</v>
      </c>
    </row>
    <row r="3204" customFormat="false" ht="15" hidden="false" customHeight="false" outlineLevel="0" collapsed="false">
      <c r="B3204" s="19" t="s">
        <v>4294</v>
      </c>
      <c r="C3204" s="20" t="n">
        <f aca="false">ROUND(1.69/FX,2)</f>
        <v>0.23</v>
      </c>
      <c r="D3204" s="21" t="s">
        <v>4292</v>
      </c>
      <c r="E3204" s="21" t="s">
        <v>3833</v>
      </c>
      <c r="F3204" s="21" t="s">
        <v>708</v>
      </c>
    </row>
    <row r="3205" customFormat="false" ht="15" hidden="false" customHeight="false" outlineLevel="0" collapsed="false">
      <c r="B3205" s="19" t="s">
        <v>4295</v>
      </c>
      <c r="C3205" s="20" t="n">
        <f aca="false">ROUND(1.69/FX,2)</f>
        <v>0.23</v>
      </c>
      <c r="D3205" s="21" t="s">
        <v>4292</v>
      </c>
      <c r="E3205" s="21" t="s">
        <v>4000</v>
      </c>
      <c r="F3205" s="21" t="s">
        <v>708</v>
      </c>
    </row>
    <row r="3206" customFormat="false" ht="15" hidden="false" customHeight="false" outlineLevel="0" collapsed="false">
      <c r="B3206" s="19" t="s">
        <v>4296</v>
      </c>
      <c r="C3206" s="20" t="n">
        <f aca="false">ROUND(1.69/FX,2)</f>
        <v>0.23</v>
      </c>
      <c r="D3206" s="21" t="s">
        <v>4292</v>
      </c>
      <c r="E3206" s="21" t="s">
        <v>3247</v>
      </c>
      <c r="F3206" s="21" t="s">
        <v>708</v>
      </c>
    </row>
    <row r="3207" customFormat="false" ht="15" hidden="false" customHeight="false" outlineLevel="0" collapsed="false">
      <c r="B3207" s="19" t="s">
        <v>4297</v>
      </c>
      <c r="C3207" s="20" t="n">
        <f aca="false">ROUND(1.69/FX,2)</f>
        <v>0.23</v>
      </c>
      <c r="D3207" s="21" t="s">
        <v>4292</v>
      </c>
      <c r="E3207" s="21" t="s">
        <v>3317</v>
      </c>
      <c r="F3207" s="21" t="s">
        <v>708</v>
      </c>
    </row>
    <row r="3208" customFormat="false" ht="15" hidden="false" customHeight="false" outlineLevel="0" collapsed="false">
      <c r="B3208" s="19" t="s">
        <v>4298</v>
      </c>
      <c r="C3208" s="20" t="n">
        <f aca="false">ROUND(1.69/FX,2)</f>
        <v>0.23</v>
      </c>
      <c r="D3208" s="21" t="s">
        <v>4292</v>
      </c>
      <c r="E3208" s="21" t="s">
        <v>716</v>
      </c>
      <c r="F3208" s="21" t="s">
        <v>708</v>
      </c>
    </row>
    <row r="3209" customFormat="false" ht="15" hidden="false" customHeight="false" outlineLevel="0" collapsed="false">
      <c r="B3209" s="19" t="s">
        <v>4299</v>
      </c>
      <c r="C3209" s="20" t="n">
        <f aca="false">ROUND(1.69/FX,2)</f>
        <v>0.23</v>
      </c>
      <c r="D3209" s="21" t="s">
        <v>4292</v>
      </c>
      <c r="E3209" s="21" t="s">
        <v>847</v>
      </c>
      <c r="F3209" s="21" t="s">
        <v>708</v>
      </c>
    </row>
    <row r="3210" customFormat="false" ht="15" hidden="false" customHeight="false" outlineLevel="0" collapsed="false">
      <c r="B3210" s="19" t="s">
        <v>4300</v>
      </c>
      <c r="C3210" s="20" t="n">
        <f aca="false">ROUND(2.6/FX,2)</f>
        <v>0.36</v>
      </c>
      <c r="D3210" s="21" t="s">
        <v>4292</v>
      </c>
      <c r="E3210" s="21" t="s">
        <v>719</v>
      </c>
      <c r="F3210" s="21" t="s">
        <v>708</v>
      </c>
    </row>
    <row r="3211" customFormat="false" ht="15" hidden="false" customHeight="false" outlineLevel="0" collapsed="false">
      <c r="B3211" s="19" t="s">
        <v>4301</v>
      </c>
      <c r="C3211" s="20" t="n">
        <f aca="false">ROUND(2.08/FX,2)</f>
        <v>0.29</v>
      </c>
      <c r="D3211" s="21" t="s">
        <v>1565</v>
      </c>
      <c r="E3211" s="21" t="s">
        <v>707</v>
      </c>
      <c r="F3211" s="21" t="s">
        <v>708</v>
      </c>
    </row>
    <row r="3212" customFormat="false" ht="15" hidden="false" customHeight="false" outlineLevel="0" collapsed="false">
      <c r="B3212" s="19" t="s">
        <v>4302</v>
      </c>
      <c r="C3212" s="20" t="n">
        <f aca="false">ROUND(1.69/FX,2)</f>
        <v>0.23</v>
      </c>
      <c r="D3212" s="21" t="s">
        <v>1565</v>
      </c>
      <c r="E3212" s="21" t="s">
        <v>714</v>
      </c>
      <c r="F3212" s="21" t="s">
        <v>708</v>
      </c>
    </row>
    <row r="3213" customFormat="false" ht="15" hidden="false" customHeight="false" outlineLevel="0" collapsed="false">
      <c r="B3213" s="19" t="s">
        <v>4303</v>
      </c>
      <c r="C3213" s="20" t="n">
        <f aca="false">ROUND(1.69/FX,2)</f>
        <v>0.23</v>
      </c>
      <c r="D3213" s="21" t="s">
        <v>1565</v>
      </c>
      <c r="E3213" s="21" t="s">
        <v>3833</v>
      </c>
      <c r="F3213" s="21" t="s">
        <v>708</v>
      </c>
    </row>
    <row r="3214" customFormat="false" ht="15" hidden="false" customHeight="false" outlineLevel="0" collapsed="false">
      <c r="B3214" s="19" t="s">
        <v>4304</v>
      </c>
      <c r="C3214" s="20" t="n">
        <f aca="false">ROUND(1.69/FX,2)</f>
        <v>0.23</v>
      </c>
      <c r="D3214" s="21" t="s">
        <v>1565</v>
      </c>
      <c r="E3214" s="21" t="s">
        <v>4000</v>
      </c>
      <c r="F3214" s="21" t="s">
        <v>708</v>
      </c>
    </row>
    <row r="3215" customFormat="false" ht="15" hidden="false" customHeight="false" outlineLevel="0" collapsed="false">
      <c r="B3215" s="19" t="s">
        <v>4305</v>
      </c>
      <c r="C3215" s="20" t="n">
        <f aca="false">ROUND(1.69/FX,2)</f>
        <v>0.23</v>
      </c>
      <c r="D3215" s="21" t="s">
        <v>1565</v>
      </c>
      <c r="E3215" s="21" t="s">
        <v>3247</v>
      </c>
      <c r="F3215" s="21" t="s">
        <v>708</v>
      </c>
    </row>
    <row r="3216" customFormat="false" ht="15" hidden="false" customHeight="false" outlineLevel="0" collapsed="false">
      <c r="B3216" s="19" t="s">
        <v>4306</v>
      </c>
      <c r="C3216" s="20" t="n">
        <f aca="false">ROUND(1.69/FX,2)</f>
        <v>0.23</v>
      </c>
      <c r="D3216" s="21" t="s">
        <v>1565</v>
      </c>
      <c r="E3216" s="21" t="s">
        <v>3317</v>
      </c>
      <c r="F3216" s="21" t="s">
        <v>708</v>
      </c>
    </row>
    <row r="3217" customFormat="false" ht="15" hidden="false" customHeight="false" outlineLevel="0" collapsed="false">
      <c r="B3217" s="19" t="s">
        <v>4307</v>
      </c>
      <c r="C3217" s="20" t="n">
        <f aca="false">ROUND(1.69/FX,2)</f>
        <v>0.23</v>
      </c>
      <c r="D3217" s="21" t="s">
        <v>1565</v>
      </c>
      <c r="E3217" s="21" t="s">
        <v>716</v>
      </c>
      <c r="F3217" s="21" t="s">
        <v>708</v>
      </c>
    </row>
    <row r="3218" customFormat="false" ht="15" hidden="false" customHeight="false" outlineLevel="0" collapsed="false">
      <c r="B3218" s="19" t="s">
        <v>4308</v>
      </c>
      <c r="C3218" s="20" t="n">
        <f aca="false">ROUND(1.69/FX,2)</f>
        <v>0.23</v>
      </c>
      <c r="D3218" s="21" t="s">
        <v>1565</v>
      </c>
      <c r="E3218" s="21" t="s">
        <v>847</v>
      </c>
      <c r="F3218" s="21" t="s">
        <v>708</v>
      </c>
    </row>
    <row r="3219" customFormat="false" ht="15" hidden="false" customHeight="false" outlineLevel="0" collapsed="false">
      <c r="B3219" s="19" t="s">
        <v>4309</v>
      </c>
      <c r="C3219" s="20" t="n">
        <f aca="false">ROUND(1.69/FX,2)</f>
        <v>0.23</v>
      </c>
      <c r="D3219" s="21" t="s">
        <v>1565</v>
      </c>
      <c r="E3219" s="21" t="s">
        <v>719</v>
      </c>
      <c r="F3219" s="21" t="s">
        <v>708</v>
      </c>
    </row>
    <row r="3220" customFormat="false" ht="15" hidden="false" customHeight="false" outlineLevel="0" collapsed="false">
      <c r="B3220" s="19" t="s">
        <v>4310</v>
      </c>
      <c r="C3220" s="20" t="n">
        <f aca="false">ROUND(1.99/FX,2)</f>
        <v>0.28</v>
      </c>
      <c r="D3220" s="21" t="s">
        <v>4311</v>
      </c>
      <c r="E3220" s="21" t="s">
        <v>707</v>
      </c>
      <c r="F3220" s="21" t="s">
        <v>708</v>
      </c>
    </row>
    <row r="3221" customFormat="false" ht="15" hidden="false" customHeight="false" outlineLevel="0" collapsed="false">
      <c r="B3221" s="19" t="s">
        <v>4312</v>
      </c>
      <c r="C3221" s="20" t="n">
        <f aca="false">ROUND(1.69/FX,2)</f>
        <v>0.23</v>
      </c>
      <c r="D3221" s="21" t="s">
        <v>4311</v>
      </c>
      <c r="E3221" s="21" t="s">
        <v>714</v>
      </c>
      <c r="F3221" s="21" t="s">
        <v>708</v>
      </c>
    </row>
    <row r="3222" customFormat="false" ht="15" hidden="false" customHeight="false" outlineLevel="0" collapsed="false">
      <c r="B3222" s="19" t="s">
        <v>4313</v>
      </c>
      <c r="C3222" s="20" t="n">
        <f aca="false">ROUND(1.69/FX,2)</f>
        <v>0.23</v>
      </c>
      <c r="D3222" s="21" t="s">
        <v>4311</v>
      </c>
      <c r="E3222" s="21" t="s">
        <v>3833</v>
      </c>
      <c r="F3222" s="21" t="s">
        <v>708</v>
      </c>
    </row>
    <row r="3223" customFormat="false" ht="15" hidden="false" customHeight="false" outlineLevel="0" collapsed="false">
      <c r="B3223" s="19" t="s">
        <v>4314</v>
      </c>
      <c r="C3223" s="20" t="n">
        <f aca="false">ROUND(1.69/FX,2)</f>
        <v>0.23</v>
      </c>
      <c r="D3223" s="21" t="s">
        <v>4311</v>
      </c>
      <c r="E3223" s="21" t="s">
        <v>4000</v>
      </c>
      <c r="F3223" s="21" t="s">
        <v>708</v>
      </c>
    </row>
    <row r="3224" customFormat="false" ht="15" hidden="false" customHeight="false" outlineLevel="0" collapsed="false">
      <c r="B3224" s="19" t="s">
        <v>4315</v>
      </c>
      <c r="C3224" s="20" t="n">
        <f aca="false">ROUND(1.69/FX,2)</f>
        <v>0.23</v>
      </c>
      <c r="D3224" s="21" t="s">
        <v>4311</v>
      </c>
      <c r="E3224" s="21" t="s">
        <v>3247</v>
      </c>
      <c r="F3224" s="21" t="s">
        <v>708</v>
      </c>
    </row>
    <row r="3225" customFormat="false" ht="15" hidden="false" customHeight="false" outlineLevel="0" collapsed="false">
      <c r="B3225" s="19" t="s">
        <v>4316</v>
      </c>
      <c r="C3225" s="20" t="n">
        <f aca="false">ROUND(1.69/FX,2)</f>
        <v>0.23</v>
      </c>
      <c r="D3225" s="21" t="s">
        <v>4311</v>
      </c>
      <c r="E3225" s="21" t="s">
        <v>3317</v>
      </c>
      <c r="F3225" s="21" t="s">
        <v>708</v>
      </c>
    </row>
    <row r="3226" customFormat="false" ht="15" hidden="false" customHeight="false" outlineLevel="0" collapsed="false">
      <c r="B3226" s="19" t="s">
        <v>4317</v>
      </c>
      <c r="C3226" s="20" t="n">
        <f aca="false">ROUND(1.69/FX,2)</f>
        <v>0.23</v>
      </c>
      <c r="D3226" s="21" t="s">
        <v>4311</v>
      </c>
      <c r="E3226" s="21" t="s">
        <v>716</v>
      </c>
      <c r="F3226" s="21" t="s">
        <v>708</v>
      </c>
    </row>
    <row r="3227" customFormat="false" ht="15" hidden="false" customHeight="false" outlineLevel="0" collapsed="false">
      <c r="B3227" s="19" t="s">
        <v>4318</v>
      </c>
      <c r="C3227" s="20" t="n">
        <f aca="false">ROUND(1.69/FX,2)</f>
        <v>0.23</v>
      </c>
      <c r="D3227" s="21" t="s">
        <v>4311</v>
      </c>
      <c r="E3227" s="21" t="s">
        <v>847</v>
      </c>
      <c r="F3227" s="21" t="s">
        <v>708</v>
      </c>
    </row>
    <row r="3228" customFormat="false" ht="15" hidden="false" customHeight="false" outlineLevel="0" collapsed="false">
      <c r="B3228" s="19" t="s">
        <v>4319</v>
      </c>
      <c r="C3228" s="20" t="n">
        <f aca="false">ROUND(1.69/FX,2)</f>
        <v>0.23</v>
      </c>
      <c r="D3228" s="21" t="s">
        <v>4311</v>
      </c>
      <c r="E3228" s="21" t="s">
        <v>719</v>
      </c>
      <c r="F3228" s="21" t="s">
        <v>708</v>
      </c>
    </row>
    <row r="3229" customFormat="false" ht="15" hidden="false" customHeight="false" outlineLevel="0" collapsed="false">
      <c r="B3229" s="19" t="s">
        <v>4320</v>
      </c>
      <c r="C3229" s="20" t="n">
        <f aca="false">ROUND(1.95/FX,2)</f>
        <v>0.27</v>
      </c>
      <c r="D3229" s="21" t="s">
        <v>1580</v>
      </c>
      <c r="E3229" s="21" t="s">
        <v>707</v>
      </c>
      <c r="F3229" s="21" t="s">
        <v>708</v>
      </c>
    </row>
    <row r="3230" customFormat="false" ht="15" hidden="false" customHeight="false" outlineLevel="0" collapsed="false">
      <c r="B3230" s="19" t="s">
        <v>4321</v>
      </c>
      <c r="C3230" s="20" t="n">
        <f aca="false">ROUND(1.69/FX,2)</f>
        <v>0.23</v>
      </c>
      <c r="D3230" s="21" t="s">
        <v>1580</v>
      </c>
      <c r="E3230" s="21" t="s">
        <v>714</v>
      </c>
      <c r="F3230" s="21" t="s">
        <v>708</v>
      </c>
    </row>
    <row r="3231" customFormat="false" ht="15" hidden="false" customHeight="false" outlineLevel="0" collapsed="false">
      <c r="B3231" s="19" t="s">
        <v>4322</v>
      </c>
      <c r="C3231" s="20" t="n">
        <f aca="false">ROUND(1.69/FX,2)</f>
        <v>0.23</v>
      </c>
      <c r="D3231" s="21" t="s">
        <v>1580</v>
      </c>
      <c r="E3231" s="21" t="s">
        <v>3833</v>
      </c>
      <c r="F3231" s="21" t="s">
        <v>708</v>
      </c>
    </row>
    <row r="3232" customFormat="false" ht="15" hidden="false" customHeight="false" outlineLevel="0" collapsed="false">
      <c r="B3232" s="19" t="s">
        <v>4323</v>
      </c>
      <c r="C3232" s="20" t="n">
        <f aca="false">ROUND(1.69/FX,2)</f>
        <v>0.23</v>
      </c>
      <c r="D3232" s="21" t="s">
        <v>1580</v>
      </c>
      <c r="E3232" s="21" t="s">
        <v>4000</v>
      </c>
      <c r="F3232" s="21" t="s">
        <v>708</v>
      </c>
    </row>
    <row r="3233" customFormat="false" ht="15" hidden="false" customHeight="false" outlineLevel="0" collapsed="false">
      <c r="B3233" s="19" t="s">
        <v>4324</v>
      </c>
      <c r="C3233" s="20" t="n">
        <f aca="false">ROUND(1.69/FX,2)</f>
        <v>0.23</v>
      </c>
      <c r="D3233" s="21" t="s">
        <v>1580</v>
      </c>
      <c r="E3233" s="21" t="s">
        <v>3247</v>
      </c>
      <c r="F3233" s="21" t="s">
        <v>708</v>
      </c>
    </row>
    <row r="3234" customFormat="false" ht="15" hidden="false" customHeight="false" outlineLevel="0" collapsed="false">
      <c r="B3234" s="19" t="s">
        <v>4325</v>
      </c>
      <c r="C3234" s="20" t="n">
        <f aca="false">ROUND(1.69/FX,2)</f>
        <v>0.23</v>
      </c>
      <c r="D3234" s="21" t="s">
        <v>1580</v>
      </c>
      <c r="E3234" s="21" t="s">
        <v>3317</v>
      </c>
      <c r="F3234" s="21" t="s">
        <v>708</v>
      </c>
    </row>
    <row r="3235" customFormat="false" ht="15" hidden="false" customHeight="false" outlineLevel="0" collapsed="false">
      <c r="B3235" s="19" t="s">
        <v>4326</v>
      </c>
      <c r="C3235" s="20" t="n">
        <f aca="false">ROUND(1.69/FX,2)</f>
        <v>0.23</v>
      </c>
      <c r="D3235" s="21" t="s">
        <v>1580</v>
      </c>
      <c r="E3235" s="21" t="s">
        <v>716</v>
      </c>
      <c r="F3235" s="21" t="s">
        <v>708</v>
      </c>
    </row>
    <row r="3236" customFormat="false" ht="15" hidden="false" customHeight="false" outlineLevel="0" collapsed="false">
      <c r="B3236" s="19" t="s">
        <v>4327</v>
      </c>
      <c r="C3236" s="20" t="n">
        <f aca="false">ROUND(1.69/FX,2)</f>
        <v>0.23</v>
      </c>
      <c r="D3236" s="21" t="s">
        <v>1580</v>
      </c>
      <c r="E3236" s="21" t="s">
        <v>847</v>
      </c>
      <c r="F3236" s="21" t="s">
        <v>708</v>
      </c>
    </row>
    <row r="3237" customFormat="false" ht="15" hidden="false" customHeight="false" outlineLevel="0" collapsed="false">
      <c r="B3237" s="19" t="s">
        <v>4328</v>
      </c>
      <c r="C3237" s="20" t="n">
        <f aca="false">ROUND(1.69/FX,2)</f>
        <v>0.23</v>
      </c>
      <c r="D3237" s="21" t="s">
        <v>1580</v>
      </c>
      <c r="E3237" s="21" t="s">
        <v>719</v>
      </c>
      <c r="F3237" s="21" t="s">
        <v>708</v>
      </c>
    </row>
    <row r="3238" customFormat="false" ht="15" hidden="false" customHeight="false" outlineLevel="0" collapsed="false">
      <c r="B3238" s="19" t="s">
        <v>4329</v>
      </c>
      <c r="C3238" s="20" t="n">
        <f aca="false">ROUND(2.21/FX,2)</f>
        <v>0.31</v>
      </c>
      <c r="D3238" s="21" t="s">
        <v>4330</v>
      </c>
      <c r="E3238" s="21" t="s">
        <v>707</v>
      </c>
      <c r="F3238" s="21" t="s">
        <v>708</v>
      </c>
    </row>
    <row r="3239" customFormat="false" ht="15" hidden="false" customHeight="false" outlineLevel="0" collapsed="false">
      <c r="B3239" s="19" t="s">
        <v>4331</v>
      </c>
      <c r="C3239" s="20" t="n">
        <f aca="false">ROUND(3.04/FX,2)</f>
        <v>0.42</v>
      </c>
      <c r="D3239" s="21" t="s">
        <v>4330</v>
      </c>
      <c r="E3239" s="21" t="s">
        <v>714</v>
      </c>
      <c r="F3239" s="21" t="s">
        <v>708</v>
      </c>
    </row>
    <row r="3240" customFormat="false" ht="15" hidden="false" customHeight="false" outlineLevel="0" collapsed="false">
      <c r="B3240" s="19" t="s">
        <v>4332</v>
      </c>
      <c r="C3240" s="20" t="n">
        <f aca="false">ROUND(1.69/FX,2)</f>
        <v>0.23</v>
      </c>
      <c r="D3240" s="21" t="s">
        <v>4330</v>
      </c>
      <c r="E3240" s="21" t="s">
        <v>3833</v>
      </c>
      <c r="F3240" s="21" t="s">
        <v>708</v>
      </c>
    </row>
    <row r="3241" customFormat="false" ht="15" hidden="false" customHeight="false" outlineLevel="0" collapsed="false">
      <c r="B3241" s="19" t="s">
        <v>4333</v>
      </c>
      <c r="C3241" s="20" t="n">
        <f aca="false">ROUND(1.69/FX,2)</f>
        <v>0.23</v>
      </c>
      <c r="D3241" s="21" t="s">
        <v>4330</v>
      </c>
      <c r="E3241" s="21" t="s">
        <v>4000</v>
      </c>
      <c r="F3241" s="21" t="s">
        <v>708</v>
      </c>
    </row>
    <row r="3242" customFormat="false" ht="15" hidden="false" customHeight="false" outlineLevel="0" collapsed="false">
      <c r="B3242" s="19" t="s">
        <v>4334</v>
      </c>
      <c r="C3242" s="20" t="n">
        <f aca="false">ROUND(1.69/FX,2)</f>
        <v>0.23</v>
      </c>
      <c r="D3242" s="21" t="s">
        <v>4330</v>
      </c>
      <c r="E3242" s="21" t="s">
        <v>3247</v>
      </c>
      <c r="F3242" s="21" t="s">
        <v>708</v>
      </c>
    </row>
    <row r="3243" customFormat="false" ht="15" hidden="false" customHeight="false" outlineLevel="0" collapsed="false">
      <c r="B3243" s="19" t="s">
        <v>4335</v>
      </c>
      <c r="C3243" s="20" t="n">
        <f aca="false">ROUND(6.24/FX,2)</f>
        <v>0.87</v>
      </c>
      <c r="D3243" s="21" t="s">
        <v>4330</v>
      </c>
      <c r="E3243" s="21" t="s">
        <v>3317</v>
      </c>
      <c r="F3243" s="21" t="s">
        <v>708</v>
      </c>
    </row>
    <row r="3244" customFormat="false" ht="15" hidden="false" customHeight="false" outlineLevel="0" collapsed="false">
      <c r="B3244" s="19" t="s">
        <v>4336</v>
      </c>
      <c r="C3244" s="20" t="n">
        <f aca="false">ROUND(1.69/FX,2)</f>
        <v>0.23</v>
      </c>
      <c r="D3244" s="21" t="s">
        <v>4330</v>
      </c>
      <c r="E3244" s="21" t="s">
        <v>716</v>
      </c>
      <c r="F3244" s="21" t="s">
        <v>708</v>
      </c>
    </row>
    <row r="3245" customFormat="false" ht="15" hidden="false" customHeight="false" outlineLevel="0" collapsed="false">
      <c r="B3245" s="19" t="s">
        <v>4337</v>
      </c>
      <c r="C3245" s="20" t="n">
        <f aca="false">ROUND(1.69/FX,2)</f>
        <v>0.23</v>
      </c>
      <c r="D3245" s="21" t="s">
        <v>4330</v>
      </c>
      <c r="E3245" s="21" t="s">
        <v>847</v>
      </c>
      <c r="F3245" s="21" t="s">
        <v>708</v>
      </c>
    </row>
    <row r="3246" customFormat="false" ht="15" hidden="false" customHeight="false" outlineLevel="0" collapsed="false">
      <c r="B3246" s="19" t="s">
        <v>4338</v>
      </c>
      <c r="C3246" s="20" t="n">
        <f aca="false">ROUND(1.69/FX,2)</f>
        <v>0.23</v>
      </c>
      <c r="D3246" s="21" t="s">
        <v>4330</v>
      </c>
      <c r="E3246" s="21" t="s">
        <v>719</v>
      </c>
      <c r="F3246" s="21" t="s">
        <v>708</v>
      </c>
    </row>
    <row r="3247" customFormat="false" ht="15" hidden="false" customHeight="false" outlineLevel="0" collapsed="false">
      <c r="B3247" s="19" t="s">
        <v>4339</v>
      </c>
      <c r="C3247" s="20" t="n">
        <f aca="false">ROUND(2.08/FX,2)</f>
        <v>0.29</v>
      </c>
      <c r="D3247" s="21" t="s">
        <v>1595</v>
      </c>
      <c r="E3247" s="21" t="s">
        <v>707</v>
      </c>
      <c r="F3247" s="21" t="s">
        <v>708</v>
      </c>
    </row>
    <row r="3248" customFormat="false" ht="15" hidden="false" customHeight="false" outlineLevel="0" collapsed="false">
      <c r="B3248" s="19" t="s">
        <v>4340</v>
      </c>
      <c r="C3248" s="20" t="n">
        <f aca="false">ROUND(1.69/FX,2)</f>
        <v>0.23</v>
      </c>
      <c r="D3248" s="21" t="s">
        <v>1595</v>
      </c>
      <c r="E3248" s="21" t="s">
        <v>714</v>
      </c>
      <c r="F3248" s="21" t="s">
        <v>708</v>
      </c>
    </row>
    <row r="3249" customFormat="false" ht="15" hidden="false" customHeight="false" outlineLevel="0" collapsed="false">
      <c r="B3249" s="19" t="s">
        <v>4341</v>
      </c>
      <c r="C3249" s="20" t="n">
        <f aca="false">ROUND(1.69/FX,2)</f>
        <v>0.23</v>
      </c>
      <c r="D3249" s="21" t="s">
        <v>1595</v>
      </c>
      <c r="E3249" s="21" t="s">
        <v>3833</v>
      </c>
      <c r="F3249" s="21" t="s">
        <v>708</v>
      </c>
    </row>
    <row r="3250" customFormat="false" ht="15" hidden="false" customHeight="false" outlineLevel="0" collapsed="false">
      <c r="B3250" s="19" t="s">
        <v>4342</v>
      </c>
      <c r="C3250" s="20" t="n">
        <f aca="false">ROUND(1.69/FX,2)</f>
        <v>0.23</v>
      </c>
      <c r="D3250" s="21" t="s">
        <v>1595</v>
      </c>
      <c r="E3250" s="21" t="s">
        <v>4000</v>
      </c>
      <c r="F3250" s="21" t="s">
        <v>708</v>
      </c>
    </row>
    <row r="3251" customFormat="false" ht="15" hidden="false" customHeight="false" outlineLevel="0" collapsed="false">
      <c r="B3251" s="19" t="s">
        <v>4343</v>
      </c>
      <c r="C3251" s="20" t="n">
        <f aca="false">ROUND(1.69/FX,2)</f>
        <v>0.23</v>
      </c>
      <c r="D3251" s="21" t="s">
        <v>1595</v>
      </c>
      <c r="E3251" s="21" t="s">
        <v>3247</v>
      </c>
      <c r="F3251" s="21" t="s">
        <v>708</v>
      </c>
    </row>
    <row r="3252" customFormat="false" ht="15" hidden="false" customHeight="false" outlineLevel="0" collapsed="false">
      <c r="B3252" s="19" t="s">
        <v>4344</v>
      </c>
      <c r="C3252" s="20" t="n">
        <f aca="false">ROUND(1.69/FX,2)</f>
        <v>0.23</v>
      </c>
      <c r="D3252" s="21" t="s">
        <v>1595</v>
      </c>
      <c r="E3252" s="21" t="s">
        <v>3317</v>
      </c>
      <c r="F3252" s="21" t="s">
        <v>708</v>
      </c>
    </row>
    <row r="3253" customFormat="false" ht="15" hidden="false" customHeight="false" outlineLevel="0" collapsed="false">
      <c r="B3253" s="19" t="s">
        <v>4345</v>
      </c>
      <c r="C3253" s="20" t="n">
        <f aca="false">ROUND(1.69/FX,2)</f>
        <v>0.23</v>
      </c>
      <c r="D3253" s="21" t="s">
        <v>1595</v>
      </c>
      <c r="E3253" s="21" t="s">
        <v>716</v>
      </c>
      <c r="F3253" s="21" t="s">
        <v>708</v>
      </c>
    </row>
    <row r="3254" customFormat="false" ht="15" hidden="false" customHeight="false" outlineLevel="0" collapsed="false">
      <c r="B3254" s="19" t="s">
        <v>4346</v>
      </c>
      <c r="C3254" s="20" t="n">
        <f aca="false">ROUND(1.69/FX,2)</f>
        <v>0.23</v>
      </c>
      <c r="D3254" s="21" t="s">
        <v>1595</v>
      </c>
      <c r="E3254" s="21" t="s">
        <v>847</v>
      </c>
      <c r="F3254" s="21" t="s">
        <v>708</v>
      </c>
    </row>
    <row r="3255" customFormat="false" ht="15" hidden="false" customHeight="false" outlineLevel="0" collapsed="false">
      <c r="B3255" s="19" t="s">
        <v>4347</v>
      </c>
      <c r="C3255" s="20" t="n">
        <f aca="false">ROUND(1.69/FX,2)</f>
        <v>0.23</v>
      </c>
      <c r="D3255" s="21" t="s">
        <v>1595</v>
      </c>
      <c r="E3255" s="21" t="s">
        <v>719</v>
      </c>
      <c r="F3255" s="21" t="s">
        <v>708</v>
      </c>
    </row>
    <row r="3256" customFormat="false" ht="15" hidden="false" customHeight="false" outlineLevel="0" collapsed="false">
      <c r="B3256" s="19" t="s">
        <v>4348</v>
      </c>
      <c r="C3256" s="20" t="n">
        <f aca="false">ROUND(2.86/FX,2)</f>
        <v>0.4</v>
      </c>
      <c r="D3256" s="21" t="s">
        <v>4349</v>
      </c>
      <c r="E3256" s="21" t="s">
        <v>707</v>
      </c>
      <c r="F3256" s="21" t="s">
        <v>708</v>
      </c>
    </row>
    <row r="3257" customFormat="false" ht="15" hidden="false" customHeight="false" outlineLevel="0" collapsed="false">
      <c r="B3257" s="19" t="s">
        <v>4350</v>
      </c>
      <c r="C3257" s="20" t="n">
        <f aca="false">ROUND(1.69/FX,2)</f>
        <v>0.23</v>
      </c>
      <c r="D3257" s="21" t="s">
        <v>4349</v>
      </c>
      <c r="E3257" s="21" t="s">
        <v>714</v>
      </c>
      <c r="F3257" s="21" t="s">
        <v>708</v>
      </c>
    </row>
    <row r="3258" customFormat="false" ht="15" hidden="false" customHeight="false" outlineLevel="0" collapsed="false">
      <c r="B3258" s="19" t="s">
        <v>4351</v>
      </c>
      <c r="C3258" s="20" t="n">
        <f aca="false">ROUND(1.69/FX,2)</f>
        <v>0.23</v>
      </c>
      <c r="D3258" s="21" t="s">
        <v>4349</v>
      </c>
      <c r="E3258" s="21" t="s">
        <v>3833</v>
      </c>
      <c r="F3258" s="21" t="s">
        <v>708</v>
      </c>
    </row>
    <row r="3259" customFormat="false" ht="15" hidden="false" customHeight="false" outlineLevel="0" collapsed="false">
      <c r="B3259" s="19" t="s">
        <v>4352</v>
      </c>
      <c r="C3259" s="20" t="n">
        <f aca="false">ROUND(1.69/FX,2)</f>
        <v>0.23</v>
      </c>
      <c r="D3259" s="21" t="s">
        <v>4349</v>
      </c>
      <c r="E3259" s="21" t="s">
        <v>4000</v>
      </c>
      <c r="F3259" s="21" t="s">
        <v>708</v>
      </c>
    </row>
    <row r="3260" customFormat="false" ht="15" hidden="false" customHeight="false" outlineLevel="0" collapsed="false">
      <c r="B3260" s="19" t="s">
        <v>4353</v>
      </c>
      <c r="C3260" s="20" t="n">
        <f aca="false">ROUND(1.69/FX,2)</f>
        <v>0.23</v>
      </c>
      <c r="D3260" s="21" t="s">
        <v>4349</v>
      </c>
      <c r="E3260" s="21" t="s">
        <v>3247</v>
      </c>
      <c r="F3260" s="21" t="s">
        <v>708</v>
      </c>
    </row>
    <row r="3261" customFormat="false" ht="15" hidden="false" customHeight="false" outlineLevel="0" collapsed="false">
      <c r="B3261" s="19" t="s">
        <v>4354</v>
      </c>
      <c r="C3261" s="20" t="n">
        <f aca="false">ROUND(1.69/FX,2)</f>
        <v>0.23</v>
      </c>
      <c r="D3261" s="21" t="s">
        <v>4349</v>
      </c>
      <c r="E3261" s="21" t="s">
        <v>3317</v>
      </c>
      <c r="F3261" s="21" t="s">
        <v>708</v>
      </c>
    </row>
    <row r="3262" customFormat="false" ht="15" hidden="false" customHeight="false" outlineLevel="0" collapsed="false">
      <c r="B3262" s="19" t="s">
        <v>4355</v>
      </c>
      <c r="C3262" s="20" t="n">
        <f aca="false">ROUND(1.69/FX,2)</f>
        <v>0.23</v>
      </c>
      <c r="D3262" s="21" t="s">
        <v>4349</v>
      </c>
      <c r="E3262" s="21" t="s">
        <v>716</v>
      </c>
      <c r="F3262" s="21" t="s">
        <v>708</v>
      </c>
    </row>
    <row r="3263" customFormat="false" ht="15" hidden="false" customHeight="false" outlineLevel="0" collapsed="false">
      <c r="B3263" s="19" t="s">
        <v>4356</v>
      </c>
      <c r="C3263" s="20" t="n">
        <f aca="false">ROUND(1.69/FX,2)</f>
        <v>0.23</v>
      </c>
      <c r="D3263" s="21" t="s">
        <v>4349</v>
      </c>
      <c r="E3263" s="21" t="s">
        <v>847</v>
      </c>
      <c r="F3263" s="21" t="s">
        <v>708</v>
      </c>
    </row>
    <row r="3264" customFormat="false" ht="15" hidden="false" customHeight="false" outlineLevel="0" collapsed="false">
      <c r="B3264" s="19" t="s">
        <v>4357</v>
      </c>
      <c r="C3264" s="20" t="n">
        <f aca="false">ROUND(1.69/FX,2)</f>
        <v>0.23</v>
      </c>
      <c r="D3264" s="21" t="s">
        <v>4349</v>
      </c>
      <c r="E3264" s="21" t="s">
        <v>719</v>
      </c>
      <c r="F3264" s="21" t="s">
        <v>708</v>
      </c>
    </row>
    <row r="3265" customFormat="false" ht="15" hidden="false" customHeight="false" outlineLevel="0" collapsed="false">
      <c r="B3265" s="19" t="s">
        <v>4358</v>
      </c>
      <c r="C3265" s="20" t="n">
        <f aca="false">ROUND(2.21/FX,2)</f>
        <v>0.31</v>
      </c>
      <c r="D3265" s="21" t="s">
        <v>1605</v>
      </c>
      <c r="E3265" s="21" t="s">
        <v>707</v>
      </c>
      <c r="F3265" s="21" t="s">
        <v>708</v>
      </c>
    </row>
    <row r="3266" customFormat="false" ht="15" hidden="false" customHeight="false" outlineLevel="0" collapsed="false">
      <c r="B3266" s="19" t="s">
        <v>4359</v>
      </c>
      <c r="C3266" s="20" t="n">
        <f aca="false">ROUND(1.69/FX,2)</f>
        <v>0.23</v>
      </c>
      <c r="D3266" s="21" t="s">
        <v>1605</v>
      </c>
      <c r="E3266" s="21" t="s">
        <v>714</v>
      </c>
      <c r="F3266" s="21" t="s">
        <v>708</v>
      </c>
    </row>
    <row r="3267" customFormat="false" ht="15" hidden="false" customHeight="false" outlineLevel="0" collapsed="false">
      <c r="B3267" s="19" t="s">
        <v>4360</v>
      </c>
      <c r="C3267" s="20" t="n">
        <f aca="false">ROUND(1.69/FX,2)</f>
        <v>0.23</v>
      </c>
      <c r="D3267" s="21" t="s">
        <v>1605</v>
      </c>
      <c r="E3267" s="21" t="s">
        <v>3833</v>
      </c>
      <c r="F3267" s="21" t="s">
        <v>708</v>
      </c>
    </row>
    <row r="3268" customFormat="false" ht="15" hidden="false" customHeight="false" outlineLevel="0" collapsed="false">
      <c r="B3268" s="19" t="s">
        <v>4361</v>
      </c>
      <c r="C3268" s="20" t="n">
        <f aca="false">ROUND(1.69/FX,2)</f>
        <v>0.23</v>
      </c>
      <c r="D3268" s="21" t="s">
        <v>1605</v>
      </c>
      <c r="E3268" s="21" t="s">
        <v>4000</v>
      </c>
      <c r="F3268" s="21" t="s">
        <v>708</v>
      </c>
    </row>
    <row r="3269" customFormat="false" ht="15" hidden="false" customHeight="false" outlineLevel="0" collapsed="false">
      <c r="B3269" s="19" t="s">
        <v>4362</v>
      </c>
      <c r="C3269" s="20" t="n">
        <f aca="false">ROUND(1.69/FX,2)</f>
        <v>0.23</v>
      </c>
      <c r="D3269" s="21" t="s">
        <v>1605</v>
      </c>
      <c r="E3269" s="21" t="s">
        <v>3247</v>
      </c>
      <c r="F3269" s="21" t="s">
        <v>708</v>
      </c>
    </row>
    <row r="3270" customFormat="false" ht="15" hidden="false" customHeight="false" outlineLevel="0" collapsed="false">
      <c r="B3270" s="19" t="s">
        <v>4363</v>
      </c>
      <c r="C3270" s="20" t="n">
        <f aca="false">ROUND(1.69/FX,2)</f>
        <v>0.23</v>
      </c>
      <c r="D3270" s="21" t="s">
        <v>1605</v>
      </c>
      <c r="E3270" s="21" t="s">
        <v>3317</v>
      </c>
      <c r="F3270" s="21" t="s">
        <v>708</v>
      </c>
    </row>
    <row r="3271" customFormat="false" ht="15" hidden="false" customHeight="false" outlineLevel="0" collapsed="false">
      <c r="B3271" s="19" t="s">
        <v>4364</v>
      </c>
      <c r="C3271" s="20" t="n">
        <f aca="false">ROUND(1.69/FX,2)</f>
        <v>0.23</v>
      </c>
      <c r="D3271" s="21" t="s">
        <v>1605</v>
      </c>
      <c r="E3271" s="21" t="s">
        <v>716</v>
      </c>
      <c r="F3271" s="21" t="s">
        <v>708</v>
      </c>
    </row>
    <row r="3272" customFormat="false" ht="15" hidden="false" customHeight="false" outlineLevel="0" collapsed="false">
      <c r="B3272" s="19" t="s">
        <v>4365</v>
      </c>
      <c r="C3272" s="20" t="n">
        <f aca="false">ROUND(1.69/FX,2)</f>
        <v>0.23</v>
      </c>
      <c r="D3272" s="21" t="s">
        <v>1605</v>
      </c>
      <c r="E3272" s="21" t="s">
        <v>847</v>
      </c>
      <c r="F3272" s="21" t="s">
        <v>708</v>
      </c>
    </row>
    <row r="3273" customFormat="false" ht="15" hidden="false" customHeight="false" outlineLevel="0" collapsed="false">
      <c r="B3273" s="19" t="s">
        <v>4366</v>
      </c>
      <c r="C3273" s="20" t="n">
        <f aca="false">ROUND(1.82/FX,2)</f>
        <v>0.25</v>
      </c>
      <c r="D3273" s="21" t="s">
        <v>1605</v>
      </c>
      <c r="E3273" s="21" t="s">
        <v>719</v>
      </c>
      <c r="F3273" s="21" t="s">
        <v>708</v>
      </c>
    </row>
    <row r="3274" customFormat="false" ht="15" hidden="false" customHeight="false" outlineLevel="0" collapsed="false">
      <c r="B3274" s="19" t="s">
        <v>4367</v>
      </c>
      <c r="C3274" s="20" t="n">
        <f aca="false">ROUND(2.21/FX,2)</f>
        <v>0.31</v>
      </c>
      <c r="D3274" s="21" t="s">
        <v>4368</v>
      </c>
      <c r="E3274" s="21" t="s">
        <v>707</v>
      </c>
      <c r="F3274" s="21" t="s">
        <v>708</v>
      </c>
    </row>
    <row r="3275" customFormat="false" ht="15" hidden="false" customHeight="false" outlineLevel="0" collapsed="false">
      <c r="B3275" s="19" t="s">
        <v>4369</v>
      </c>
      <c r="C3275" s="20" t="n">
        <f aca="false">ROUND(2.93/FX,2)</f>
        <v>0.41</v>
      </c>
      <c r="D3275" s="21" t="s">
        <v>4368</v>
      </c>
      <c r="E3275" s="21" t="s">
        <v>714</v>
      </c>
      <c r="F3275" s="21" t="s">
        <v>708</v>
      </c>
    </row>
    <row r="3276" customFormat="false" ht="15" hidden="false" customHeight="false" outlineLevel="0" collapsed="false">
      <c r="B3276" s="19" t="s">
        <v>4370</v>
      </c>
      <c r="C3276" s="20" t="n">
        <f aca="false">ROUND(1.69/FX,2)</f>
        <v>0.23</v>
      </c>
      <c r="D3276" s="21" t="s">
        <v>4368</v>
      </c>
      <c r="E3276" s="21" t="s">
        <v>3833</v>
      </c>
      <c r="F3276" s="21" t="s">
        <v>708</v>
      </c>
    </row>
    <row r="3277" customFormat="false" ht="15" hidden="false" customHeight="false" outlineLevel="0" collapsed="false">
      <c r="B3277" s="19" t="s">
        <v>4371</v>
      </c>
      <c r="C3277" s="20" t="n">
        <f aca="false">ROUND(1.69/FX,2)</f>
        <v>0.23</v>
      </c>
      <c r="D3277" s="21" t="s">
        <v>4368</v>
      </c>
      <c r="E3277" s="21" t="s">
        <v>4000</v>
      </c>
      <c r="F3277" s="21" t="s">
        <v>708</v>
      </c>
    </row>
    <row r="3278" customFormat="false" ht="15" hidden="false" customHeight="false" outlineLevel="0" collapsed="false">
      <c r="B3278" s="19" t="s">
        <v>4372</v>
      </c>
      <c r="C3278" s="20" t="n">
        <f aca="false">ROUND(1.69/FX,2)</f>
        <v>0.23</v>
      </c>
      <c r="D3278" s="21" t="s">
        <v>4368</v>
      </c>
      <c r="E3278" s="21" t="s">
        <v>3247</v>
      </c>
      <c r="F3278" s="21" t="s">
        <v>708</v>
      </c>
    </row>
    <row r="3279" customFormat="false" ht="15" hidden="false" customHeight="false" outlineLevel="0" collapsed="false">
      <c r="B3279" s="19" t="s">
        <v>4373</v>
      </c>
      <c r="C3279" s="20" t="n">
        <f aca="false">ROUND(1.69/FX,2)</f>
        <v>0.23</v>
      </c>
      <c r="D3279" s="21" t="s">
        <v>4368</v>
      </c>
      <c r="E3279" s="21" t="s">
        <v>3317</v>
      </c>
      <c r="F3279" s="21" t="s">
        <v>708</v>
      </c>
    </row>
    <row r="3280" customFormat="false" ht="15" hidden="false" customHeight="false" outlineLevel="0" collapsed="false">
      <c r="B3280" s="19" t="s">
        <v>4374</v>
      </c>
      <c r="C3280" s="20" t="n">
        <f aca="false">ROUND(1.69/FX,2)</f>
        <v>0.23</v>
      </c>
      <c r="D3280" s="21" t="s">
        <v>4368</v>
      </c>
      <c r="E3280" s="21" t="s">
        <v>716</v>
      </c>
      <c r="F3280" s="21" t="s">
        <v>708</v>
      </c>
    </row>
    <row r="3281" customFormat="false" ht="15" hidden="false" customHeight="false" outlineLevel="0" collapsed="false">
      <c r="B3281" s="19" t="s">
        <v>4375</v>
      </c>
      <c r="C3281" s="20" t="n">
        <f aca="false">ROUND(1.69/FX,2)</f>
        <v>0.23</v>
      </c>
      <c r="D3281" s="21" t="s">
        <v>4368</v>
      </c>
      <c r="E3281" s="21" t="s">
        <v>847</v>
      </c>
      <c r="F3281" s="21" t="s">
        <v>708</v>
      </c>
    </row>
    <row r="3282" customFormat="false" ht="15" hidden="false" customHeight="false" outlineLevel="0" collapsed="false">
      <c r="B3282" s="19" t="s">
        <v>4376</v>
      </c>
      <c r="C3282" s="20" t="n">
        <f aca="false">ROUND(1.69/FX,2)</f>
        <v>0.23</v>
      </c>
      <c r="D3282" s="21" t="s">
        <v>4368</v>
      </c>
      <c r="E3282" s="21" t="s">
        <v>719</v>
      </c>
      <c r="F3282" s="21" t="s">
        <v>708</v>
      </c>
    </row>
    <row r="3283" customFormat="false" ht="15" hidden="false" customHeight="false" outlineLevel="0" collapsed="false">
      <c r="B3283" s="19" t="s">
        <v>4377</v>
      </c>
      <c r="C3283" s="20" t="n">
        <f aca="false">ROUND(2.12/FX,2)</f>
        <v>0.29</v>
      </c>
      <c r="D3283" s="21" t="s">
        <v>1620</v>
      </c>
      <c r="E3283" s="21" t="s">
        <v>707</v>
      </c>
      <c r="F3283" s="21" t="s">
        <v>708</v>
      </c>
    </row>
    <row r="3284" customFormat="false" ht="15" hidden="false" customHeight="false" outlineLevel="0" collapsed="false">
      <c r="B3284" s="19" t="s">
        <v>4378</v>
      </c>
      <c r="C3284" s="20" t="n">
        <f aca="false">ROUND(1.69/FX,2)</f>
        <v>0.23</v>
      </c>
      <c r="D3284" s="21" t="s">
        <v>1620</v>
      </c>
      <c r="E3284" s="21" t="s">
        <v>714</v>
      </c>
      <c r="F3284" s="21" t="s">
        <v>708</v>
      </c>
    </row>
    <row r="3285" customFormat="false" ht="15" hidden="false" customHeight="false" outlineLevel="0" collapsed="false">
      <c r="B3285" s="19" t="s">
        <v>4379</v>
      </c>
      <c r="C3285" s="20" t="n">
        <f aca="false">ROUND(1.69/FX,2)</f>
        <v>0.23</v>
      </c>
      <c r="D3285" s="21" t="s">
        <v>1620</v>
      </c>
      <c r="E3285" s="21" t="s">
        <v>3833</v>
      </c>
      <c r="F3285" s="21" t="s">
        <v>708</v>
      </c>
    </row>
    <row r="3286" customFormat="false" ht="15" hidden="false" customHeight="false" outlineLevel="0" collapsed="false">
      <c r="B3286" s="19" t="s">
        <v>4380</v>
      </c>
      <c r="C3286" s="20" t="n">
        <f aca="false">ROUND(1.69/FX,2)</f>
        <v>0.23</v>
      </c>
      <c r="D3286" s="21" t="s">
        <v>1620</v>
      </c>
      <c r="E3286" s="21" t="s">
        <v>4000</v>
      </c>
      <c r="F3286" s="21" t="s">
        <v>708</v>
      </c>
    </row>
    <row r="3287" customFormat="false" ht="15" hidden="false" customHeight="false" outlineLevel="0" collapsed="false">
      <c r="B3287" s="19" t="s">
        <v>4381</v>
      </c>
      <c r="C3287" s="20" t="n">
        <f aca="false">ROUND(1.69/FX,2)</f>
        <v>0.23</v>
      </c>
      <c r="D3287" s="21" t="s">
        <v>1620</v>
      </c>
      <c r="E3287" s="21" t="s">
        <v>3247</v>
      </c>
      <c r="F3287" s="21" t="s">
        <v>708</v>
      </c>
    </row>
    <row r="3288" customFormat="false" ht="15" hidden="false" customHeight="false" outlineLevel="0" collapsed="false">
      <c r="B3288" s="19" t="s">
        <v>4382</v>
      </c>
      <c r="C3288" s="20" t="n">
        <f aca="false">ROUND(1.69/FX,2)</f>
        <v>0.23</v>
      </c>
      <c r="D3288" s="21" t="s">
        <v>1620</v>
      </c>
      <c r="E3288" s="21" t="s">
        <v>3317</v>
      </c>
      <c r="F3288" s="21" t="s">
        <v>708</v>
      </c>
    </row>
    <row r="3289" customFormat="false" ht="15" hidden="false" customHeight="false" outlineLevel="0" collapsed="false">
      <c r="B3289" s="19" t="s">
        <v>4383</v>
      </c>
      <c r="C3289" s="20" t="n">
        <f aca="false">ROUND(1.56/FX,2)</f>
        <v>0.22</v>
      </c>
      <c r="D3289" s="21" t="s">
        <v>1620</v>
      </c>
      <c r="E3289" s="21" t="s">
        <v>716</v>
      </c>
      <c r="F3289" s="21" t="s">
        <v>708</v>
      </c>
    </row>
    <row r="3290" customFormat="false" ht="15" hidden="false" customHeight="false" outlineLevel="0" collapsed="false">
      <c r="B3290" s="19" t="s">
        <v>4384</v>
      </c>
      <c r="C3290" s="20" t="n">
        <f aca="false">ROUND(1.69/FX,2)</f>
        <v>0.23</v>
      </c>
      <c r="D3290" s="21" t="s">
        <v>1620</v>
      </c>
      <c r="E3290" s="21" t="s">
        <v>847</v>
      </c>
      <c r="F3290" s="21" t="s">
        <v>708</v>
      </c>
    </row>
    <row r="3291" customFormat="false" ht="15" hidden="false" customHeight="false" outlineLevel="0" collapsed="false">
      <c r="B3291" s="19" t="s">
        <v>4385</v>
      </c>
      <c r="C3291" s="20" t="n">
        <f aca="false">ROUND(1.69/FX,2)</f>
        <v>0.23</v>
      </c>
      <c r="D3291" s="21" t="s">
        <v>1620</v>
      </c>
      <c r="E3291" s="21" t="s">
        <v>719</v>
      </c>
      <c r="F3291" s="21" t="s">
        <v>708</v>
      </c>
    </row>
    <row r="3292" customFormat="false" ht="15" hidden="false" customHeight="false" outlineLevel="0" collapsed="false">
      <c r="B3292" s="19" t="s">
        <v>4386</v>
      </c>
      <c r="C3292" s="20" t="n">
        <f aca="false">ROUND(2.13/FX,2)</f>
        <v>0.3</v>
      </c>
      <c r="D3292" s="21" t="s">
        <v>4387</v>
      </c>
      <c r="E3292" s="21" t="s">
        <v>707</v>
      </c>
      <c r="F3292" s="21" t="s">
        <v>708</v>
      </c>
    </row>
    <row r="3293" customFormat="false" ht="15" hidden="false" customHeight="false" outlineLevel="0" collapsed="false">
      <c r="B3293" s="19" t="s">
        <v>4388</v>
      </c>
      <c r="C3293" s="20" t="n">
        <f aca="false">ROUND(2.86/FX,2)</f>
        <v>0.4</v>
      </c>
      <c r="D3293" s="21" t="s">
        <v>4387</v>
      </c>
      <c r="E3293" s="21" t="s">
        <v>714</v>
      </c>
      <c r="F3293" s="21" t="s">
        <v>708</v>
      </c>
    </row>
    <row r="3294" customFormat="false" ht="15" hidden="false" customHeight="false" outlineLevel="0" collapsed="false">
      <c r="B3294" s="19" t="s">
        <v>4389</v>
      </c>
      <c r="C3294" s="20" t="n">
        <f aca="false">ROUND(1.69/FX,2)</f>
        <v>0.23</v>
      </c>
      <c r="D3294" s="21" t="s">
        <v>4387</v>
      </c>
      <c r="E3294" s="21" t="s">
        <v>3833</v>
      </c>
      <c r="F3294" s="21" t="s">
        <v>708</v>
      </c>
    </row>
    <row r="3295" customFormat="false" ht="15" hidden="false" customHeight="false" outlineLevel="0" collapsed="false">
      <c r="B3295" s="19" t="s">
        <v>4390</v>
      </c>
      <c r="C3295" s="20" t="n">
        <f aca="false">ROUND(1.69/FX,2)</f>
        <v>0.23</v>
      </c>
      <c r="D3295" s="21" t="s">
        <v>4387</v>
      </c>
      <c r="E3295" s="21" t="s">
        <v>4000</v>
      </c>
      <c r="F3295" s="21" t="s">
        <v>708</v>
      </c>
    </row>
    <row r="3296" customFormat="false" ht="15" hidden="false" customHeight="false" outlineLevel="0" collapsed="false">
      <c r="B3296" s="19" t="s">
        <v>4391</v>
      </c>
      <c r="C3296" s="20" t="n">
        <f aca="false">ROUND(1.69/FX,2)</f>
        <v>0.23</v>
      </c>
      <c r="D3296" s="21" t="s">
        <v>4387</v>
      </c>
      <c r="E3296" s="21" t="s">
        <v>3247</v>
      </c>
      <c r="F3296" s="21" t="s">
        <v>708</v>
      </c>
    </row>
    <row r="3297" customFormat="false" ht="15" hidden="false" customHeight="false" outlineLevel="0" collapsed="false">
      <c r="B3297" s="19" t="s">
        <v>4392</v>
      </c>
      <c r="C3297" s="20" t="n">
        <f aca="false">ROUND(1.69/FX,2)</f>
        <v>0.23</v>
      </c>
      <c r="D3297" s="21" t="s">
        <v>4387</v>
      </c>
      <c r="E3297" s="21" t="s">
        <v>3317</v>
      </c>
      <c r="F3297" s="21" t="s">
        <v>708</v>
      </c>
    </row>
    <row r="3298" customFormat="false" ht="15" hidden="false" customHeight="false" outlineLevel="0" collapsed="false">
      <c r="B3298" s="19" t="s">
        <v>4393</v>
      </c>
      <c r="C3298" s="20" t="n">
        <f aca="false">ROUND(1.3/FX,2)</f>
        <v>0.18</v>
      </c>
      <c r="D3298" s="21" t="s">
        <v>4387</v>
      </c>
      <c r="E3298" s="21" t="s">
        <v>716</v>
      </c>
      <c r="F3298" s="21" t="s">
        <v>708</v>
      </c>
    </row>
    <row r="3299" customFormat="false" ht="15" hidden="false" customHeight="false" outlineLevel="0" collapsed="false">
      <c r="B3299" s="19" t="s">
        <v>4394</v>
      </c>
      <c r="C3299" s="20" t="n">
        <f aca="false">ROUND(1.69/FX,2)</f>
        <v>0.23</v>
      </c>
      <c r="D3299" s="21" t="s">
        <v>4387</v>
      </c>
      <c r="E3299" s="21" t="s">
        <v>847</v>
      </c>
      <c r="F3299" s="21" t="s">
        <v>708</v>
      </c>
    </row>
    <row r="3300" customFormat="false" ht="15" hidden="false" customHeight="false" outlineLevel="0" collapsed="false">
      <c r="B3300" s="19" t="s">
        <v>4395</v>
      </c>
      <c r="C3300" s="20" t="n">
        <f aca="false">ROUND(1.82/FX,2)</f>
        <v>0.25</v>
      </c>
      <c r="D3300" s="21" t="s">
        <v>4387</v>
      </c>
      <c r="E3300" s="21" t="s">
        <v>719</v>
      </c>
      <c r="F3300" s="21" t="s">
        <v>708</v>
      </c>
    </row>
    <row r="3301" customFormat="false" ht="15" hidden="false" customHeight="false" outlineLevel="0" collapsed="false">
      <c r="B3301" s="19" t="s">
        <v>4396</v>
      </c>
      <c r="C3301" s="20" t="n">
        <f aca="false">ROUND(1.99/FX,2)</f>
        <v>0.28</v>
      </c>
      <c r="D3301" s="21" t="s">
        <v>1630</v>
      </c>
      <c r="E3301" s="21" t="s">
        <v>707</v>
      </c>
      <c r="F3301" s="21" t="s">
        <v>708</v>
      </c>
    </row>
    <row r="3302" customFormat="false" ht="15" hidden="false" customHeight="false" outlineLevel="0" collapsed="false">
      <c r="B3302" s="19" t="s">
        <v>4397</v>
      </c>
      <c r="C3302" s="20" t="n">
        <f aca="false">ROUND(1.69/FX,2)</f>
        <v>0.23</v>
      </c>
      <c r="D3302" s="21" t="s">
        <v>1630</v>
      </c>
      <c r="E3302" s="21" t="s">
        <v>714</v>
      </c>
      <c r="F3302" s="21" t="s">
        <v>708</v>
      </c>
    </row>
    <row r="3303" customFormat="false" ht="15" hidden="false" customHeight="false" outlineLevel="0" collapsed="false">
      <c r="B3303" s="19" t="s">
        <v>4398</v>
      </c>
      <c r="C3303" s="20" t="n">
        <f aca="false">ROUND(1.69/FX,2)</f>
        <v>0.23</v>
      </c>
      <c r="D3303" s="21" t="s">
        <v>1630</v>
      </c>
      <c r="E3303" s="21" t="s">
        <v>3833</v>
      </c>
      <c r="F3303" s="21" t="s">
        <v>708</v>
      </c>
    </row>
    <row r="3304" customFormat="false" ht="15" hidden="false" customHeight="false" outlineLevel="0" collapsed="false">
      <c r="B3304" s="19" t="s">
        <v>4399</v>
      </c>
      <c r="C3304" s="20" t="n">
        <f aca="false">ROUND(1.69/FX,2)</f>
        <v>0.23</v>
      </c>
      <c r="D3304" s="21" t="s">
        <v>1630</v>
      </c>
      <c r="E3304" s="21" t="s">
        <v>4000</v>
      </c>
      <c r="F3304" s="21" t="s">
        <v>708</v>
      </c>
    </row>
    <row r="3305" customFormat="false" ht="15" hidden="false" customHeight="false" outlineLevel="0" collapsed="false">
      <c r="B3305" s="19" t="s">
        <v>4400</v>
      </c>
      <c r="C3305" s="20" t="n">
        <f aca="false">ROUND(1.69/FX,2)</f>
        <v>0.23</v>
      </c>
      <c r="D3305" s="21" t="s">
        <v>1630</v>
      </c>
      <c r="E3305" s="21" t="s">
        <v>3247</v>
      </c>
      <c r="F3305" s="21" t="s">
        <v>708</v>
      </c>
    </row>
    <row r="3306" customFormat="false" ht="15" hidden="false" customHeight="false" outlineLevel="0" collapsed="false">
      <c r="B3306" s="19" t="s">
        <v>4401</v>
      </c>
      <c r="C3306" s="20" t="n">
        <f aca="false">ROUND(1.69/FX,2)</f>
        <v>0.23</v>
      </c>
      <c r="D3306" s="21" t="s">
        <v>1630</v>
      </c>
      <c r="E3306" s="21" t="s">
        <v>3317</v>
      </c>
      <c r="F3306" s="21" t="s">
        <v>708</v>
      </c>
    </row>
    <row r="3307" customFormat="false" ht="15" hidden="false" customHeight="false" outlineLevel="0" collapsed="false">
      <c r="B3307" s="19" t="s">
        <v>4402</v>
      </c>
      <c r="C3307" s="20" t="n">
        <f aca="false">ROUND(1.69/FX,2)</f>
        <v>0.23</v>
      </c>
      <c r="D3307" s="21" t="s">
        <v>1630</v>
      </c>
      <c r="E3307" s="21" t="s">
        <v>716</v>
      </c>
      <c r="F3307" s="21" t="s">
        <v>708</v>
      </c>
    </row>
    <row r="3308" customFormat="false" ht="15" hidden="false" customHeight="false" outlineLevel="0" collapsed="false">
      <c r="B3308" s="19" t="s">
        <v>4403</v>
      </c>
      <c r="C3308" s="20" t="n">
        <f aca="false">ROUND(1.69/FX,2)</f>
        <v>0.23</v>
      </c>
      <c r="D3308" s="21" t="s">
        <v>1630</v>
      </c>
      <c r="E3308" s="21" t="s">
        <v>847</v>
      </c>
      <c r="F3308" s="21" t="s">
        <v>708</v>
      </c>
    </row>
    <row r="3309" customFormat="false" ht="15" hidden="false" customHeight="false" outlineLevel="0" collapsed="false">
      <c r="B3309" s="19" t="s">
        <v>4404</v>
      </c>
      <c r="C3309" s="20" t="n">
        <f aca="false">ROUND(1.69/FX,2)</f>
        <v>0.23</v>
      </c>
      <c r="D3309" s="21" t="s">
        <v>1630</v>
      </c>
      <c r="E3309" s="21" t="s">
        <v>719</v>
      </c>
      <c r="F3309" s="21" t="s">
        <v>708</v>
      </c>
    </row>
    <row r="3310" customFormat="false" ht="15" hidden="false" customHeight="false" outlineLevel="0" collapsed="false">
      <c r="B3310" s="19" t="s">
        <v>4405</v>
      </c>
      <c r="C3310" s="20" t="n">
        <f aca="false">ROUND(2.21/FX,2)</f>
        <v>0.31</v>
      </c>
      <c r="D3310" s="21" t="s">
        <v>4406</v>
      </c>
      <c r="E3310" s="21" t="s">
        <v>707</v>
      </c>
      <c r="F3310" s="21" t="s">
        <v>708</v>
      </c>
    </row>
    <row r="3311" customFormat="false" ht="15" hidden="false" customHeight="false" outlineLevel="0" collapsed="false">
      <c r="B3311" s="19" t="s">
        <v>4407</v>
      </c>
      <c r="C3311" s="20" t="n">
        <f aca="false">ROUND(3.38/FX,2)</f>
        <v>0.47</v>
      </c>
      <c r="D3311" s="21" t="s">
        <v>4406</v>
      </c>
      <c r="E3311" s="21" t="s">
        <v>714</v>
      </c>
      <c r="F3311" s="21" t="s">
        <v>708</v>
      </c>
    </row>
    <row r="3312" customFormat="false" ht="15" hidden="false" customHeight="false" outlineLevel="0" collapsed="false">
      <c r="B3312" s="19" t="s">
        <v>4408</v>
      </c>
      <c r="C3312" s="20" t="n">
        <f aca="false">ROUND(1.69/FX,2)</f>
        <v>0.23</v>
      </c>
      <c r="D3312" s="21" t="s">
        <v>4406</v>
      </c>
      <c r="E3312" s="21" t="s">
        <v>3833</v>
      </c>
      <c r="F3312" s="21" t="s">
        <v>708</v>
      </c>
    </row>
    <row r="3313" customFormat="false" ht="15" hidden="false" customHeight="false" outlineLevel="0" collapsed="false">
      <c r="B3313" s="19" t="s">
        <v>4409</v>
      </c>
      <c r="C3313" s="20" t="n">
        <f aca="false">ROUND(1.69/FX,2)</f>
        <v>0.23</v>
      </c>
      <c r="D3313" s="21" t="s">
        <v>4406</v>
      </c>
      <c r="E3313" s="21" t="s">
        <v>4000</v>
      </c>
      <c r="F3313" s="21" t="s">
        <v>708</v>
      </c>
    </row>
    <row r="3314" customFormat="false" ht="15" hidden="false" customHeight="false" outlineLevel="0" collapsed="false">
      <c r="B3314" s="19" t="s">
        <v>4410</v>
      </c>
      <c r="C3314" s="20" t="n">
        <f aca="false">ROUND(1.69/FX,2)</f>
        <v>0.23</v>
      </c>
      <c r="D3314" s="21" t="s">
        <v>4406</v>
      </c>
      <c r="E3314" s="21" t="s">
        <v>3247</v>
      </c>
      <c r="F3314" s="21" t="s">
        <v>708</v>
      </c>
    </row>
    <row r="3315" customFormat="false" ht="15" hidden="false" customHeight="false" outlineLevel="0" collapsed="false">
      <c r="B3315" s="19" t="s">
        <v>4411</v>
      </c>
      <c r="C3315" s="20" t="n">
        <f aca="false">ROUND(5.72/FX,2)</f>
        <v>0.79</v>
      </c>
      <c r="D3315" s="21" t="s">
        <v>4406</v>
      </c>
      <c r="E3315" s="21" t="s">
        <v>3317</v>
      </c>
      <c r="F3315" s="21" t="s">
        <v>708</v>
      </c>
    </row>
    <row r="3316" customFormat="false" ht="15" hidden="false" customHeight="false" outlineLevel="0" collapsed="false">
      <c r="B3316" s="19" t="s">
        <v>4412</v>
      </c>
      <c r="C3316" s="20" t="n">
        <f aca="false">ROUND(1.69/FX,2)</f>
        <v>0.23</v>
      </c>
      <c r="D3316" s="21" t="s">
        <v>4406</v>
      </c>
      <c r="E3316" s="21" t="s">
        <v>716</v>
      </c>
      <c r="F3316" s="21" t="s">
        <v>708</v>
      </c>
    </row>
    <row r="3317" customFormat="false" ht="15" hidden="false" customHeight="false" outlineLevel="0" collapsed="false">
      <c r="B3317" s="19" t="s">
        <v>4413</v>
      </c>
      <c r="C3317" s="20" t="n">
        <f aca="false">ROUND(1.69/FX,2)</f>
        <v>0.23</v>
      </c>
      <c r="D3317" s="21" t="s">
        <v>4406</v>
      </c>
      <c r="E3317" s="21" t="s">
        <v>847</v>
      </c>
      <c r="F3317" s="21" t="s">
        <v>708</v>
      </c>
    </row>
    <row r="3318" customFormat="false" ht="15" hidden="false" customHeight="false" outlineLevel="0" collapsed="false">
      <c r="B3318" s="19" t="s">
        <v>4414</v>
      </c>
      <c r="C3318" s="20" t="n">
        <f aca="false">ROUND(1.69/FX,2)</f>
        <v>0.23</v>
      </c>
      <c r="D3318" s="21" t="s">
        <v>4406</v>
      </c>
      <c r="E3318" s="21" t="s">
        <v>719</v>
      </c>
      <c r="F3318" s="21" t="s">
        <v>708</v>
      </c>
    </row>
    <row r="3319" customFormat="false" ht="15" hidden="false" customHeight="false" outlineLevel="0" collapsed="false">
      <c r="B3319" s="19" t="s">
        <v>4415</v>
      </c>
      <c r="C3319" s="20" t="n">
        <f aca="false">ROUND(2.2/FX,2)</f>
        <v>0.31</v>
      </c>
      <c r="D3319" s="21" t="s">
        <v>1640</v>
      </c>
      <c r="E3319" s="21" t="s">
        <v>707</v>
      </c>
      <c r="F3319" s="21" t="s">
        <v>708</v>
      </c>
    </row>
    <row r="3320" customFormat="false" ht="15" hidden="false" customHeight="false" outlineLevel="0" collapsed="false">
      <c r="B3320" s="19" t="s">
        <v>4416</v>
      </c>
      <c r="C3320" s="20" t="n">
        <f aca="false">ROUND(3.38/FX,2)</f>
        <v>0.47</v>
      </c>
      <c r="D3320" s="21" t="s">
        <v>1640</v>
      </c>
      <c r="E3320" s="21" t="s">
        <v>714</v>
      </c>
      <c r="F3320" s="21" t="s">
        <v>708</v>
      </c>
    </row>
    <row r="3321" customFormat="false" ht="15" hidden="false" customHeight="false" outlineLevel="0" collapsed="false">
      <c r="B3321" s="19" t="s">
        <v>4417</v>
      </c>
      <c r="C3321" s="20" t="n">
        <f aca="false">ROUND(1.69/FX,2)</f>
        <v>0.23</v>
      </c>
      <c r="D3321" s="21" t="s">
        <v>1640</v>
      </c>
      <c r="E3321" s="21" t="s">
        <v>3833</v>
      </c>
      <c r="F3321" s="21" t="s">
        <v>708</v>
      </c>
    </row>
    <row r="3322" customFormat="false" ht="15" hidden="false" customHeight="false" outlineLevel="0" collapsed="false">
      <c r="B3322" s="19" t="s">
        <v>4418</v>
      </c>
      <c r="C3322" s="20" t="n">
        <f aca="false">ROUND(1.69/FX,2)</f>
        <v>0.23</v>
      </c>
      <c r="D3322" s="21" t="s">
        <v>1640</v>
      </c>
      <c r="E3322" s="21" t="s">
        <v>4000</v>
      </c>
      <c r="F3322" s="21" t="s">
        <v>708</v>
      </c>
    </row>
    <row r="3323" customFormat="false" ht="15" hidden="false" customHeight="false" outlineLevel="0" collapsed="false">
      <c r="B3323" s="19" t="s">
        <v>4419</v>
      </c>
      <c r="C3323" s="20" t="n">
        <f aca="false">ROUND(1.69/FX,2)</f>
        <v>0.23</v>
      </c>
      <c r="D3323" s="21" t="s">
        <v>1640</v>
      </c>
      <c r="E3323" s="21" t="s">
        <v>3247</v>
      </c>
      <c r="F3323" s="21" t="s">
        <v>708</v>
      </c>
    </row>
    <row r="3324" customFormat="false" ht="15" hidden="false" customHeight="false" outlineLevel="0" collapsed="false">
      <c r="B3324" s="19" t="s">
        <v>4420</v>
      </c>
      <c r="C3324" s="20" t="n">
        <f aca="false">ROUND(1.69/FX,2)</f>
        <v>0.23</v>
      </c>
      <c r="D3324" s="21" t="s">
        <v>1640</v>
      </c>
      <c r="E3324" s="21" t="s">
        <v>3317</v>
      </c>
      <c r="F3324" s="21" t="s">
        <v>708</v>
      </c>
    </row>
    <row r="3325" customFormat="false" ht="15" hidden="false" customHeight="false" outlineLevel="0" collapsed="false">
      <c r="B3325" s="19" t="s">
        <v>4421</v>
      </c>
      <c r="C3325" s="20" t="n">
        <f aca="false">ROUND(1.69/FX,2)</f>
        <v>0.23</v>
      </c>
      <c r="D3325" s="21" t="s">
        <v>1640</v>
      </c>
      <c r="E3325" s="21" t="s">
        <v>716</v>
      </c>
      <c r="F3325" s="21" t="s">
        <v>708</v>
      </c>
    </row>
    <row r="3326" customFormat="false" ht="15" hidden="false" customHeight="false" outlineLevel="0" collapsed="false">
      <c r="B3326" s="19" t="s">
        <v>4422</v>
      </c>
      <c r="C3326" s="20" t="n">
        <f aca="false">ROUND(1.69/FX,2)</f>
        <v>0.23</v>
      </c>
      <c r="D3326" s="21" t="s">
        <v>1640</v>
      </c>
      <c r="E3326" s="21" t="s">
        <v>847</v>
      </c>
      <c r="F3326" s="21" t="s">
        <v>708</v>
      </c>
    </row>
    <row r="3327" customFormat="false" ht="15" hidden="false" customHeight="false" outlineLevel="0" collapsed="false">
      <c r="B3327" s="19" t="s">
        <v>4423</v>
      </c>
      <c r="C3327" s="20" t="n">
        <f aca="false">ROUND(2.6/FX,2)</f>
        <v>0.36</v>
      </c>
      <c r="D3327" s="21" t="s">
        <v>1640</v>
      </c>
      <c r="E3327" s="21" t="s">
        <v>719</v>
      </c>
      <c r="F3327" s="21" t="s">
        <v>708</v>
      </c>
    </row>
    <row r="3328" customFormat="false" ht="15" hidden="false" customHeight="false" outlineLevel="0" collapsed="false">
      <c r="B3328" s="19" t="s">
        <v>4424</v>
      </c>
      <c r="C3328" s="20" t="n">
        <f aca="false">ROUND(2.21/FX,2)</f>
        <v>0.31</v>
      </c>
      <c r="D3328" s="21" t="s">
        <v>4425</v>
      </c>
      <c r="E3328" s="21" t="s">
        <v>707</v>
      </c>
      <c r="F3328" s="21" t="s">
        <v>708</v>
      </c>
    </row>
    <row r="3329" customFormat="false" ht="15" hidden="false" customHeight="false" outlineLevel="0" collapsed="false">
      <c r="B3329" s="19" t="s">
        <v>4426</v>
      </c>
      <c r="C3329" s="20" t="n">
        <f aca="false">ROUND(1.69/FX,2)</f>
        <v>0.23</v>
      </c>
      <c r="D3329" s="21" t="s">
        <v>4425</v>
      </c>
      <c r="E3329" s="21" t="s">
        <v>714</v>
      </c>
      <c r="F3329" s="21" t="s">
        <v>708</v>
      </c>
    </row>
    <row r="3330" customFormat="false" ht="15" hidden="false" customHeight="false" outlineLevel="0" collapsed="false">
      <c r="B3330" s="19" t="s">
        <v>4427</v>
      </c>
      <c r="C3330" s="20" t="n">
        <f aca="false">ROUND(1.69/FX,2)</f>
        <v>0.23</v>
      </c>
      <c r="D3330" s="21" t="s">
        <v>4425</v>
      </c>
      <c r="E3330" s="21" t="s">
        <v>3833</v>
      </c>
      <c r="F3330" s="21" t="s">
        <v>708</v>
      </c>
    </row>
    <row r="3331" customFormat="false" ht="15" hidden="false" customHeight="false" outlineLevel="0" collapsed="false">
      <c r="B3331" s="19" t="s">
        <v>4428</v>
      </c>
      <c r="C3331" s="20" t="n">
        <f aca="false">ROUND(1.69/FX,2)</f>
        <v>0.23</v>
      </c>
      <c r="D3331" s="21" t="s">
        <v>4425</v>
      </c>
      <c r="E3331" s="21" t="s">
        <v>4000</v>
      </c>
      <c r="F3331" s="21" t="s">
        <v>708</v>
      </c>
    </row>
    <row r="3332" customFormat="false" ht="15" hidden="false" customHeight="false" outlineLevel="0" collapsed="false">
      <c r="B3332" s="19" t="s">
        <v>4429</v>
      </c>
      <c r="C3332" s="20" t="n">
        <f aca="false">ROUND(1.69/FX,2)</f>
        <v>0.23</v>
      </c>
      <c r="D3332" s="21" t="s">
        <v>4425</v>
      </c>
      <c r="E3332" s="21" t="s">
        <v>3247</v>
      </c>
      <c r="F3332" s="21" t="s">
        <v>708</v>
      </c>
    </row>
    <row r="3333" customFormat="false" ht="15" hidden="false" customHeight="false" outlineLevel="0" collapsed="false">
      <c r="B3333" s="19" t="s">
        <v>4430</v>
      </c>
      <c r="C3333" s="20" t="n">
        <f aca="false">ROUND(1.69/FX,2)</f>
        <v>0.23</v>
      </c>
      <c r="D3333" s="21" t="s">
        <v>4425</v>
      </c>
      <c r="E3333" s="21" t="s">
        <v>3317</v>
      </c>
      <c r="F3333" s="21" t="s">
        <v>708</v>
      </c>
    </row>
    <row r="3334" customFormat="false" ht="15" hidden="false" customHeight="false" outlineLevel="0" collapsed="false">
      <c r="B3334" s="19" t="s">
        <v>4431</v>
      </c>
      <c r="C3334" s="20" t="n">
        <f aca="false">ROUND(1.69/FX,2)</f>
        <v>0.23</v>
      </c>
      <c r="D3334" s="21" t="s">
        <v>4425</v>
      </c>
      <c r="E3334" s="21" t="s">
        <v>716</v>
      </c>
      <c r="F3334" s="21" t="s">
        <v>708</v>
      </c>
    </row>
    <row r="3335" customFormat="false" ht="15" hidden="false" customHeight="false" outlineLevel="0" collapsed="false">
      <c r="B3335" s="19" t="s">
        <v>4432</v>
      </c>
      <c r="C3335" s="20" t="n">
        <f aca="false">ROUND(1.69/FX,2)</f>
        <v>0.23</v>
      </c>
      <c r="D3335" s="21" t="s">
        <v>4425</v>
      </c>
      <c r="E3335" s="21" t="s">
        <v>847</v>
      </c>
      <c r="F3335" s="21" t="s">
        <v>708</v>
      </c>
    </row>
    <row r="3336" customFormat="false" ht="15" hidden="false" customHeight="false" outlineLevel="0" collapsed="false">
      <c r="B3336" s="19" t="s">
        <v>4433</v>
      </c>
      <c r="C3336" s="20" t="n">
        <f aca="false">ROUND(2.21/FX,2)</f>
        <v>0.31</v>
      </c>
      <c r="D3336" s="21" t="s">
        <v>4425</v>
      </c>
      <c r="E3336" s="21" t="s">
        <v>719</v>
      </c>
      <c r="F3336" s="21" t="s">
        <v>708</v>
      </c>
    </row>
    <row r="3337" customFormat="false" ht="15" hidden="false" customHeight="false" outlineLevel="0" collapsed="false">
      <c r="B3337" s="19" t="s">
        <v>4434</v>
      </c>
      <c r="C3337" s="20" t="n">
        <f aca="false">ROUND(2.34/FX,2)</f>
        <v>0.33</v>
      </c>
      <c r="D3337" s="21" t="s">
        <v>1655</v>
      </c>
      <c r="E3337" s="21" t="s">
        <v>707</v>
      </c>
      <c r="F3337" s="21" t="s">
        <v>708</v>
      </c>
    </row>
    <row r="3338" customFormat="false" ht="15" hidden="false" customHeight="false" outlineLevel="0" collapsed="false">
      <c r="B3338" s="19" t="s">
        <v>4435</v>
      </c>
      <c r="C3338" s="20" t="n">
        <f aca="false">ROUND(3.12/FX,2)</f>
        <v>0.43</v>
      </c>
      <c r="D3338" s="21" t="s">
        <v>1655</v>
      </c>
      <c r="E3338" s="21" t="s">
        <v>714</v>
      </c>
      <c r="F3338" s="21" t="s">
        <v>708</v>
      </c>
    </row>
    <row r="3339" customFormat="false" ht="15" hidden="false" customHeight="false" outlineLevel="0" collapsed="false">
      <c r="B3339" s="19" t="s">
        <v>4436</v>
      </c>
      <c r="C3339" s="20" t="n">
        <f aca="false">ROUND(1.69/FX,2)</f>
        <v>0.23</v>
      </c>
      <c r="D3339" s="21" t="s">
        <v>1655</v>
      </c>
      <c r="E3339" s="21" t="s">
        <v>3833</v>
      </c>
      <c r="F3339" s="21" t="s">
        <v>708</v>
      </c>
    </row>
    <row r="3340" customFormat="false" ht="15" hidden="false" customHeight="false" outlineLevel="0" collapsed="false">
      <c r="B3340" s="19" t="s">
        <v>4437</v>
      </c>
      <c r="C3340" s="20" t="n">
        <f aca="false">ROUND(1.69/FX,2)</f>
        <v>0.23</v>
      </c>
      <c r="D3340" s="21" t="s">
        <v>1655</v>
      </c>
      <c r="E3340" s="21" t="s">
        <v>4000</v>
      </c>
      <c r="F3340" s="21" t="s">
        <v>708</v>
      </c>
    </row>
    <row r="3341" customFormat="false" ht="15" hidden="false" customHeight="false" outlineLevel="0" collapsed="false">
      <c r="B3341" s="19" t="s">
        <v>4438</v>
      </c>
      <c r="C3341" s="20" t="n">
        <f aca="false">ROUND(1.69/FX,2)</f>
        <v>0.23</v>
      </c>
      <c r="D3341" s="21" t="s">
        <v>1655</v>
      </c>
      <c r="E3341" s="21" t="s">
        <v>3247</v>
      </c>
      <c r="F3341" s="21" t="s">
        <v>708</v>
      </c>
    </row>
    <row r="3342" customFormat="false" ht="15" hidden="false" customHeight="false" outlineLevel="0" collapsed="false">
      <c r="B3342" s="19" t="s">
        <v>4439</v>
      </c>
      <c r="C3342" s="20" t="n">
        <f aca="false">ROUND(1.69/FX,2)</f>
        <v>0.23</v>
      </c>
      <c r="D3342" s="21" t="s">
        <v>1655</v>
      </c>
      <c r="E3342" s="21" t="s">
        <v>3317</v>
      </c>
      <c r="F3342" s="21" t="s">
        <v>708</v>
      </c>
    </row>
    <row r="3343" customFormat="false" ht="15" hidden="false" customHeight="false" outlineLevel="0" collapsed="false">
      <c r="B3343" s="19" t="s">
        <v>4440</v>
      </c>
      <c r="C3343" s="20" t="n">
        <f aca="false">ROUND(1.69/FX,2)</f>
        <v>0.23</v>
      </c>
      <c r="D3343" s="21" t="s">
        <v>1655</v>
      </c>
      <c r="E3343" s="21" t="s">
        <v>716</v>
      </c>
      <c r="F3343" s="21" t="s">
        <v>708</v>
      </c>
    </row>
    <row r="3344" customFormat="false" ht="15" hidden="false" customHeight="false" outlineLevel="0" collapsed="false">
      <c r="B3344" s="19" t="s">
        <v>4441</v>
      </c>
      <c r="C3344" s="20" t="n">
        <f aca="false">ROUND(1.69/FX,2)</f>
        <v>0.23</v>
      </c>
      <c r="D3344" s="21" t="s">
        <v>1655</v>
      </c>
      <c r="E3344" s="21" t="s">
        <v>847</v>
      </c>
      <c r="F3344" s="21" t="s">
        <v>708</v>
      </c>
    </row>
    <row r="3345" customFormat="false" ht="15" hidden="false" customHeight="false" outlineLevel="0" collapsed="false">
      <c r="B3345" s="19" t="s">
        <v>4442</v>
      </c>
      <c r="C3345" s="20" t="n">
        <f aca="false">ROUND(2.6/FX,2)</f>
        <v>0.36</v>
      </c>
      <c r="D3345" s="21" t="s">
        <v>1655</v>
      </c>
      <c r="E3345" s="21" t="s">
        <v>719</v>
      </c>
      <c r="F3345" s="21" t="s">
        <v>708</v>
      </c>
    </row>
    <row r="3346" customFormat="false" ht="15" hidden="false" customHeight="false" outlineLevel="0" collapsed="false">
      <c r="B3346" s="19" t="s">
        <v>4443</v>
      </c>
      <c r="C3346" s="20" t="n">
        <f aca="false">ROUND(2.21/FX,2)</f>
        <v>0.31</v>
      </c>
      <c r="D3346" s="21" t="s">
        <v>4444</v>
      </c>
      <c r="E3346" s="21" t="s">
        <v>707</v>
      </c>
      <c r="F3346" s="21" t="s">
        <v>708</v>
      </c>
    </row>
    <row r="3347" customFormat="false" ht="15" hidden="false" customHeight="false" outlineLevel="0" collapsed="false">
      <c r="B3347" s="19" t="s">
        <v>4445</v>
      </c>
      <c r="C3347" s="20" t="n">
        <f aca="false">ROUND(1.69/FX,2)</f>
        <v>0.23</v>
      </c>
      <c r="D3347" s="21" t="s">
        <v>4444</v>
      </c>
      <c r="E3347" s="21" t="s">
        <v>714</v>
      </c>
      <c r="F3347" s="21" t="s">
        <v>708</v>
      </c>
    </row>
    <row r="3348" customFormat="false" ht="15" hidden="false" customHeight="false" outlineLevel="0" collapsed="false">
      <c r="B3348" s="19" t="s">
        <v>4446</v>
      </c>
      <c r="C3348" s="20" t="n">
        <f aca="false">ROUND(1.69/FX,2)</f>
        <v>0.23</v>
      </c>
      <c r="D3348" s="21" t="s">
        <v>4444</v>
      </c>
      <c r="E3348" s="21" t="s">
        <v>3833</v>
      </c>
      <c r="F3348" s="21" t="s">
        <v>708</v>
      </c>
    </row>
    <row r="3349" customFormat="false" ht="15" hidden="false" customHeight="false" outlineLevel="0" collapsed="false">
      <c r="B3349" s="19" t="s">
        <v>4447</v>
      </c>
      <c r="C3349" s="20" t="n">
        <f aca="false">ROUND(1.69/FX,2)</f>
        <v>0.23</v>
      </c>
      <c r="D3349" s="21" t="s">
        <v>4444</v>
      </c>
      <c r="E3349" s="21" t="s">
        <v>4000</v>
      </c>
      <c r="F3349" s="21" t="s">
        <v>708</v>
      </c>
    </row>
    <row r="3350" customFormat="false" ht="15" hidden="false" customHeight="false" outlineLevel="0" collapsed="false">
      <c r="B3350" s="19" t="s">
        <v>4448</v>
      </c>
      <c r="C3350" s="20" t="n">
        <f aca="false">ROUND(1.69/FX,2)</f>
        <v>0.23</v>
      </c>
      <c r="D3350" s="21" t="s">
        <v>4444</v>
      </c>
      <c r="E3350" s="21" t="s">
        <v>3247</v>
      </c>
      <c r="F3350" s="21" t="s">
        <v>708</v>
      </c>
    </row>
    <row r="3351" customFormat="false" ht="15" hidden="false" customHeight="false" outlineLevel="0" collapsed="false">
      <c r="B3351" s="19" t="s">
        <v>4449</v>
      </c>
      <c r="C3351" s="20" t="n">
        <f aca="false">ROUND(1.69/FX,2)</f>
        <v>0.23</v>
      </c>
      <c r="D3351" s="21" t="s">
        <v>4444</v>
      </c>
      <c r="E3351" s="21" t="s">
        <v>3317</v>
      </c>
      <c r="F3351" s="21" t="s">
        <v>708</v>
      </c>
    </row>
    <row r="3352" customFormat="false" ht="15" hidden="false" customHeight="false" outlineLevel="0" collapsed="false">
      <c r="B3352" s="19" t="s">
        <v>4450</v>
      </c>
      <c r="C3352" s="20" t="n">
        <f aca="false">ROUND(1.69/FX,2)</f>
        <v>0.23</v>
      </c>
      <c r="D3352" s="21" t="s">
        <v>4444</v>
      </c>
      <c r="E3352" s="21" t="s">
        <v>716</v>
      </c>
      <c r="F3352" s="21" t="s">
        <v>708</v>
      </c>
    </row>
    <row r="3353" customFormat="false" ht="15" hidden="false" customHeight="false" outlineLevel="0" collapsed="false">
      <c r="B3353" s="19" t="s">
        <v>4451</v>
      </c>
      <c r="C3353" s="20" t="n">
        <f aca="false">ROUND(1.69/FX,2)</f>
        <v>0.23</v>
      </c>
      <c r="D3353" s="21" t="s">
        <v>4444</v>
      </c>
      <c r="E3353" s="21" t="s">
        <v>847</v>
      </c>
      <c r="F3353" s="21" t="s">
        <v>708</v>
      </c>
    </row>
    <row r="3354" customFormat="false" ht="15" hidden="false" customHeight="false" outlineLevel="0" collapsed="false">
      <c r="B3354" s="19" t="s">
        <v>4452</v>
      </c>
      <c r="C3354" s="20" t="n">
        <f aca="false">ROUND(1.69/FX,2)</f>
        <v>0.23</v>
      </c>
      <c r="D3354" s="21" t="s">
        <v>4444</v>
      </c>
      <c r="E3354" s="21" t="s">
        <v>719</v>
      </c>
      <c r="F3354" s="21" t="s">
        <v>708</v>
      </c>
    </row>
    <row r="3355" customFormat="false" ht="15" hidden="false" customHeight="false" outlineLevel="0" collapsed="false">
      <c r="B3355" s="19" t="s">
        <v>4453</v>
      </c>
      <c r="C3355" s="20" t="n">
        <f aca="false">ROUND(2.26/FX,2)</f>
        <v>0.31</v>
      </c>
      <c r="D3355" s="21" t="s">
        <v>1665</v>
      </c>
      <c r="E3355" s="21" t="s">
        <v>707</v>
      </c>
      <c r="F3355" s="21" t="s">
        <v>708</v>
      </c>
    </row>
    <row r="3356" customFormat="false" ht="15" hidden="false" customHeight="false" outlineLevel="0" collapsed="false">
      <c r="B3356" s="19" t="s">
        <v>4454</v>
      </c>
      <c r="C3356" s="20" t="n">
        <f aca="false">ROUND(1.69/FX,2)</f>
        <v>0.23</v>
      </c>
      <c r="D3356" s="21" t="s">
        <v>1665</v>
      </c>
      <c r="E3356" s="21" t="s">
        <v>714</v>
      </c>
      <c r="F3356" s="21" t="s">
        <v>708</v>
      </c>
    </row>
    <row r="3357" customFormat="false" ht="15" hidden="false" customHeight="false" outlineLevel="0" collapsed="false">
      <c r="B3357" s="19" t="s">
        <v>4455</v>
      </c>
      <c r="C3357" s="20" t="n">
        <f aca="false">ROUND(1.69/FX,2)</f>
        <v>0.23</v>
      </c>
      <c r="D3357" s="21" t="s">
        <v>1665</v>
      </c>
      <c r="E3357" s="21" t="s">
        <v>3833</v>
      </c>
      <c r="F3357" s="21" t="s">
        <v>708</v>
      </c>
    </row>
    <row r="3358" customFormat="false" ht="15" hidden="false" customHeight="false" outlineLevel="0" collapsed="false">
      <c r="B3358" s="19" t="s">
        <v>4456</v>
      </c>
      <c r="C3358" s="20" t="n">
        <f aca="false">ROUND(1.69/FX,2)</f>
        <v>0.23</v>
      </c>
      <c r="D3358" s="21" t="s">
        <v>1665</v>
      </c>
      <c r="E3358" s="21" t="s">
        <v>4000</v>
      </c>
      <c r="F3358" s="21" t="s">
        <v>708</v>
      </c>
    </row>
    <row r="3359" customFormat="false" ht="15" hidden="false" customHeight="false" outlineLevel="0" collapsed="false">
      <c r="B3359" s="19" t="s">
        <v>4457</v>
      </c>
      <c r="C3359" s="20" t="n">
        <f aca="false">ROUND(1.69/FX,2)</f>
        <v>0.23</v>
      </c>
      <c r="D3359" s="21" t="s">
        <v>1665</v>
      </c>
      <c r="E3359" s="21" t="s">
        <v>3247</v>
      </c>
      <c r="F3359" s="21" t="s">
        <v>708</v>
      </c>
    </row>
    <row r="3360" customFormat="false" ht="15" hidden="false" customHeight="false" outlineLevel="0" collapsed="false">
      <c r="B3360" s="19" t="s">
        <v>4458</v>
      </c>
      <c r="C3360" s="20" t="n">
        <f aca="false">ROUND(1.69/FX,2)</f>
        <v>0.23</v>
      </c>
      <c r="D3360" s="21" t="s">
        <v>1665</v>
      </c>
      <c r="E3360" s="21" t="s">
        <v>3317</v>
      </c>
      <c r="F3360" s="21" t="s">
        <v>708</v>
      </c>
    </row>
    <row r="3361" customFormat="false" ht="15" hidden="false" customHeight="false" outlineLevel="0" collapsed="false">
      <c r="B3361" s="19" t="s">
        <v>4459</v>
      </c>
      <c r="C3361" s="20" t="n">
        <f aca="false">ROUND(1.69/FX,2)</f>
        <v>0.23</v>
      </c>
      <c r="D3361" s="21" t="s">
        <v>1665</v>
      </c>
      <c r="E3361" s="21" t="s">
        <v>716</v>
      </c>
      <c r="F3361" s="21" t="s">
        <v>708</v>
      </c>
    </row>
    <row r="3362" customFormat="false" ht="15" hidden="false" customHeight="false" outlineLevel="0" collapsed="false">
      <c r="B3362" s="19" t="s">
        <v>4460</v>
      </c>
      <c r="C3362" s="20" t="n">
        <f aca="false">ROUND(1.69/FX,2)</f>
        <v>0.23</v>
      </c>
      <c r="D3362" s="21" t="s">
        <v>1665</v>
      </c>
      <c r="E3362" s="21" t="s">
        <v>847</v>
      </c>
      <c r="F3362" s="21" t="s">
        <v>708</v>
      </c>
    </row>
    <row r="3363" customFormat="false" ht="15" hidden="false" customHeight="false" outlineLevel="0" collapsed="false">
      <c r="B3363" s="19" t="s">
        <v>4461</v>
      </c>
      <c r="C3363" s="20" t="n">
        <f aca="false">ROUND(1.69/FX,2)</f>
        <v>0.23</v>
      </c>
      <c r="D3363" s="21" t="s">
        <v>1665</v>
      </c>
      <c r="E3363" s="21" t="s">
        <v>719</v>
      </c>
      <c r="F3363" s="21" t="s">
        <v>708</v>
      </c>
    </row>
    <row r="3364" customFormat="false" ht="15" hidden="false" customHeight="false" outlineLevel="0" collapsed="false">
      <c r="B3364" s="19" t="s">
        <v>4462</v>
      </c>
      <c r="C3364" s="20" t="n">
        <f aca="false">ROUND(3.12/FX,2)</f>
        <v>0.43</v>
      </c>
      <c r="D3364" s="21" t="s">
        <v>4463</v>
      </c>
      <c r="E3364" s="21" t="s">
        <v>707</v>
      </c>
      <c r="F3364" s="21" t="s">
        <v>708</v>
      </c>
    </row>
    <row r="3365" customFormat="false" ht="15" hidden="false" customHeight="false" outlineLevel="0" collapsed="false">
      <c r="B3365" s="19" t="s">
        <v>4464</v>
      </c>
      <c r="C3365" s="20" t="n">
        <f aca="false">ROUND(1.69/FX,2)</f>
        <v>0.23</v>
      </c>
      <c r="D3365" s="21" t="s">
        <v>4463</v>
      </c>
      <c r="E3365" s="21" t="s">
        <v>714</v>
      </c>
      <c r="F3365" s="21" t="s">
        <v>708</v>
      </c>
    </row>
    <row r="3366" customFormat="false" ht="15" hidden="false" customHeight="false" outlineLevel="0" collapsed="false">
      <c r="B3366" s="19" t="s">
        <v>4465</v>
      </c>
      <c r="C3366" s="20" t="n">
        <f aca="false">ROUND(1.69/FX,2)</f>
        <v>0.23</v>
      </c>
      <c r="D3366" s="21" t="s">
        <v>4463</v>
      </c>
      <c r="E3366" s="21" t="s">
        <v>3833</v>
      </c>
      <c r="F3366" s="21" t="s">
        <v>708</v>
      </c>
    </row>
    <row r="3367" customFormat="false" ht="15" hidden="false" customHeight="false" outlineLevel="0" collapsed="false">
      <c r="B3367" s="19" t="s">
        <v>4466</v>
      </c>
      <c r="C3367" s="20" t="n">
        <f aca="false">ROUND(1.69/FX,2)</f>
        <v>0.23</v>
      </c>
      <c r="D3367" s="21" t="s">
        <v>4463</v>
      </c>
      <c r="E3367" s="21" t="s">
        <v>4000</v>
      </c>
      <c r="F3367" s="21" t="s">
        <v>708</v>
      </c>
    </row>
    <row r="3368" customFormat="false" ht="15" hidden="false" customHeight="false" outlineLevel="0" collapsed="false">
      <c r="B3368" s="19" t="s">
        <v>4467</v>
      </c>
      <c r="C3368" s="20" t="n">
        <f aca="false">ROUND(6.24/FX,2)</f>
        <v>0.87</v>
      </c>
      <c r="D3368" s="21" t="s">
        <v>4463</v>
      </c>
      <c r="E3368" s="21" t="s">
        <v>3247</v>
      </c>
      <c r="F3368" s="21" t="s">
        <v>708</v>
      </c>
    </row>
    <row r="3369" customFormat="false" ht="15" hidden="false" customHeight="false" outlineLevel="0" collapsed="false">
      <c r="B3369" s="19" t="s">
        <v>4468</v>
      </c>
      <c r="C3369" s="20" t="n">
        <f aca="false">ROUND(1.69/FX,2)</f>
        <v>0.23</v>
      </c>
      <c r="D3369" s="21" t="s">
        <v>4463</v>
      </c>
      <c r="E3369" s="21" t="s">
        <v>3317</v>
      </c>
      <c r="F3369" s="21" t="s">
        <v>708</v>
      </c>
    </row>
    <row r="3370" customFormat="false" ht="15" hidden="false" customHeight="false" outlineLevel="0" collapsed="false">
      <c r="B3370" s="19" t="s">
        <v>4469</v>
      </c>
      <c r="C3370" s="20" t="n">
        <f aca="false">ROUND(1.69/FX,2)</f>
        <v>0.23</v>
      </c>
      <c r="D3370" s="21" t="s">
        <v>4463</v>
      </c>
      <c r="E3370" s="21" t="s">
        <v>716</v>
      </c>
      <c r="F3370" s="21" t="s">
        <v>708</v>
      </c>
    </row>
    <row r="3371" customFormat="false" ht="15" hidden="false" customHeight="false" outlineLevel="0" collapsed="false">
      <c r="B3371" s="19" t="s">
        <v>4470</v>
      </c>
      <c r="C3371" s="20" t="n">
        <f aca="false">ROUND(1.69/FX,2)</f>
        <v>0.23</v>
      </c>
      <c r="D3371" s="21" t="s">
        <v>4463</v>
      </c>
      <c r="E3371" s="21" t="s">
        <v>847</v>
      </c>
      <c r="F3371" s="21" t="s">
        <v>708</v>
      </c>
    </row>
    <row r="3372" customFormat="false" ht="15" hidden="false" customHeight="false" outlineLevel="0" collapsed="false">
      <c r="B3372" s="19" t="s">
        <v>4471</v>
      </c>
      <c r="C3372" s="20" t="n">
        <f aca="false">ROUND(1.69/FX,2)</f>
        <v>0.23</v>
      </c>
      <c r="D3372" s="21" t="s">
        <v>4463</v>
      </c>
      <c r="E3372" s="21" t="s">
        <v>719</v>
      </c>
      <c r="F3372" s="21" t="s">
        <v>708</v>
      </c>
    </row>
    <row r="3373" customFormat="false" ht="15" hidden="false" customHeight="false" outlineLevel="0" collapsed="false">
      <c r="B3373" s="19" t="s">
        <v>4472</v>
      </c>
      <c r="C3373" s="20" t="n">
        <f aca="false">ROUND(3.12/FX,2)</f>
        <v>0.43</v>
      </c>
      <c r="D3373" s="21" t="s">
        <v>1675</v>
      </c>
      <c r="E3373" s="21" t="s">
        <v>707</v>
      </c>
      <c r="F3373" s="21" t="s">
        <v>708</v>
      </c>
    </row>
    <row r="3374" customFormat="false" ht="15" hidden="false" customHeight="false" outlineLevel="0" collapsed="false">
      <c r="B3374" s="19" t="s">
        <v>4473</v>
      </c>
      <c r="C3374" s="20" t="n">
        <f aca="false">ROUND(4.55/FX,2)</f>
        <v>0.63</v>
      </c>
      <c r="D3374" s="21" t="s">
        <v>1675</v>
      </c>
      <c r="E3374" s="21" t="s">
        <v>714</v>
      </c>
      <c r="F3374" s="21" t="s">
        <v>708</v>
      </c>
    </row>
    <row r="3375" customFormat="false" ht="15" hidden="false" customHeight="false" outlineLevel="0" collapsed="false">
      <c r="B3375" s="19" t="s">
        <v>4474</v>
      </c>
      <c r="C3375" s="20" t="n">
        <f aca="false">ROUND(1.69/FX,2)</f>
        <v>0.23</v>
      </c>
      <c r="D3375" s="21" t="s">
        <v>1675</v>
      </c>
      <c r="E3375" s="21" t="s">
        <v>3833</v>
      </c>
      <c r="F3375" s="21" t="s">
        <v>708</v>
      </c>
    </row>
    <row r="3376" customFormat="false" ht="15" hidden="false" customHeight="false" outlineLevel="0" collapsed="false">
      <c r="B3376" s="19" t="s">
        <v>4475</v>
      </c>
      <c r="C3376" s="20" t="n">
        <f aca="false">ROUND(1.69/FX,2)</f>
        <v>0.23</v>
      </c>
      <c r="D3376" s="21" t="s">
        <v>1675</v>
      </c>
      <c r="E3376" s="21" t="s">
        <v>4000</v>
      </c>
      <c r="F3376" s="21" t="s">
        <v>708</v>
      </c>
    </row>
    <row r="3377" customFormat="false" ht="15" hidden="false" customHeight="false" outlineLevel="0" collapsed="false">
      <c r="B3377" s="19" t="s">
        <v>4476</v>
      </c>
      <c r="C3377" s="20" t="n">
        <f aca="false">ROUND(1.69/FX,2)</f>
        <v>0.23</v>
      </c>
      <c r="D3377" s="21" t="s">
        <v>1675</v>
      </c>
      <c r="E3377" s="21" t="s">
        <v>3247</v>
      </c>
      <c r="F3377" s="21" t="s">
        <v>708</v>
      </c>
    </row>
    <row r="3378" customFormat="false" ht="15" hidden="false" customHeight="false" outlineLevel="0" collapsed="false">
      <c r="B3378" s="19" t="s">
        <v>4477</v>
      </c>
      <c r="C3378" s="20" t="n">
        <f aca="false">ROUND(1.69/FX,2)</f>
        <v>0.23</v>
      </c>
      <c r="D3378" s="21" t="s">
        <v>1675</v>
      </c>
      <c r="E3378" s="21" t="s">
        <v>3317</v>
      </c>
      <c r="F3378" s="21" t="s">
        <v>708</v>
      </c>
    </row>
    <row r="3379" customFormat="false" ht="15" hidden="false" customHeight="false" outlineLevel="0" collapsed="false">
      <c r="B3379" s="19" t="s">
        <v>4478</v>
      </c>
      <c r="C3379" s="20" t="n">
        <f aca="false">ROUND(1.69/FX,2)</f>
        <v>0.23</v>
      </c>
      <c r="D3379" s="21" t="s">
        <v>1675</v>
      </c>
      <c r="E3379" s="21" t="s">
        <v>716</v>
      </c>
      <c r="F3379" s="21" t="s">
        <v>708</v>
      </c>
    </row>
    <row r="3380" customFormat="false" ht="15" hidden="false" customHeight="false" outlineLevel="0" collapsed="false">
      <c r="B3380" s="19" t="s">
        <v>4479</v>
      </c>
      <c r="C3380" s="20" t="n">
        <f aca="false">ROUND(1.69/FX,2)</f>
        <v>0.23</v>
      </c>
      <c r="D3380" s="21" t="s">
        <v>1675</v>
      </c>
      <c r="E3380" s="21" t="s">
        <v>847</v>
      </c>
      <c r="F3380" s="21" t="s">
        <v>708</v>
      </c>
    </row>
    <row r="3381" customFormat="false" ht="15" hidden="false" customHeight="false" outlineLevel="0" collapsed="false">
      <c r="B3381" s="19" t="s">
        <v>4480</v>
      </c>
      <c r="C3381" s="20" t="n">
        <f aca="false">ROUND(1.69/FX,2)</f>
        <v>0.23</v>
      </c>
      <c r="D3381" s="21" t="s">
        <v>1675</v>
      </c>
      <c r="E3381" s="21" t="s">
        <v>719</v>
      </c>
      <c r="F3381" s="21" t="s">
        <v>708</v>
      </c>
    </row>
    <row r="3382" customFormat="false" ht="15" hidden="false" customHeight="false" outlineLevel="0" collapsed="false">
      <c r="B3382" s="19" t="s">
        <v>4481</v>
      </c>
      <c r="C3382" s="20" t="n">
        <f aca="false">ROUND(2.15/FX,2)</f>
        <v>0.3</v>
      </c>
      <c r="D3382" s="21" t="s">
        <v>4482</v>
      </c>
      <c r="E3382" s="21" t="s">
        <v>707</v>
      </c>
      <c r="F3382" s="21" t="s">
        <v>708</v>
      </c>
    </row>
    <row r="3383" customFormat="false" ht="15" hidden="false" customHeight="false" outlineLevel="0" collapsed="false">
      <c r="B3383" s="19" t="s">
        <v>4483</v>
      </c>
      <c r="C3383" s="20" t="n">
        <f aca="false">ROUND(3.25/FX,2)</f>
        <v>0.45</v>
      </c>
      <c r="D3383" s="21" t="s">
        <v>4482</v>
      </c>
      <c r="E3383" s="21" t="s">
        <v>714</v>
      </c>
      <c r="F3383" s="21" t="s">
        <v>708</v>
      </c>
    </row>
    <row r="3384" customFormat="false" ht="15" hidden="false" customHeight="false" outlineLevel="0" collapsed="false">
      <c r="B3384" s="19" t="s">
        <v>4484</v>
      </c>
      <c r="C3384" s="20" t="n">
        <f aca="false">ROUND(1.69/FX,2)</f>
        <v>0.23</v>
      </c>
      <c r="D3384" s="21" t="s">
        <v>4482</v>
      </c>
      <c r="E3384" s="21" t="s">
        <v>3833</v>
      </c>
      <c r="F3384" s="21" t="s">
        <v>708</v>
      </c>
    </row>
    <row r="3385" customFormat="false" ht="15" hidden="false" customHeight="false" outlineLevel="0" collapsed="false">
      <c r="B3385" s="19" t="s">
        <v>4485</v>
      </c>
      <c r="C3385" s="20" t="n">
        <f aca="false">ROUND(1.69/FX,2)</f>
        <v>0.23</v>
      </c>
      <c r="D3385" s="21" t="s">
        <v>4482</v>
      </c>
      <c r="E3385" s="21" t="s">
        <v>4000</v>
      </c>
      <c r="F3385" s="21" t="s">
        <v>708</v>
      </c>
    </row>
    <row r="3386" customFormat="false" ht="15" hidden="false" customHeight="false" outlineLevel="0" collapsed="false">
      <c r="B3386" s="19" t="s">
        <v>4486</v>
      </c>
      <c r="C3386" s="20" t="n">
        <f aca="false">ROUND(1.69/FX,2)</f>
        <v>0.23</v>
      </c>
      <c r="D3386" s="21" t="s">
        <v>4482</v>
      </c>
      <c r="E3386" s="21" t="s">
        <v>3247</v>
      </c>
      <c r="F3386" s="21" t="s">
        <v>708</v>
      </c>
    </row>
    <row r="3387" customFormat="false" ht="15" hidden="false" customHeight="false" outlineLevel="0" collapsed="false">
      <c r="B3387" s="19" t="s">
        <v>4487</v>
      </c>
      <c r="C3387" s="20" t="n">
        <f aca="false">ROUND(1.69/FX,2)</f>
        <v>0.23</v>
      </c>
      <c r="D3387" s="21" t="s">
        <v>4482</v>
      </c>
      <c r="E3387" s="21" t="s">
        <v>3317</v>
      </c>
      <c r="F3387" s="21" t="s">
        <v>708</v>
      </c>
    </row>
    <row r="3388" customFormat="false" ht="15" hidden="false" customHeight="false" outlineLevel="0" collapsed="false">
      <c r="B3388" s="19" t="s">
        <v>4488</v>
      </c>
      <c r="C3388" s="20" t="n">
        <f aca="false">ROUND(1.69/FX,2)</f>
        <v>0.23</v>
      </c>
      <c r="D3388" s="21" t="s">
        <v>4482</v>
      </c>
      <c r="E3388" s="21" t="s">
        <v>716</v>
      </c>
      <c r="F3388" s="21" t="s">
        <v>708</v>
      </c>
    </row>
    <row r="3389" customFormat="false" ht="15" hidden="false" customHeight="false" outlineLevel="0" collapsed="false">
      <c r="B3389" s="19" t="s">
        <v>4489</v>
      </c>
      <c r="C3389" s="20" t="n">
        <f aca="false">ROUND(1.69/FX,2)</f>
        <v>0.23</v>
      </c>
      <c r="D3389" s="21" t="s">
        <v>4482</v>
      </c>
      <c r="E3389" s="21" t="s">
        <v>847</v>
      </c>
      <c r="F3389" s="21" t="s">
        <v>708</v>
      </c>
    </row>
    <row r="3390" customFormat="false" ht="15" hidden="false" customHeight="false" outlineLevel="0" collapsed="false">
      <c r="B3390" s="19" t="s">
        <v>4490</v>
      </c>
      <c r="C3390" s="20" t="n">
        <f aca="false">ROUND(1.69/FX,2)</f>
        <v>0.23</v>
      </c>
      <c r="D3390" s="21" t="s">
        <v>4482</v>
      </c>
      <c r="E3390" s="21" t="s">
        <v>719</v>
      </c>
      <c r="F3390" s="21" t="s">
        <v>708</v>
      </c>
    </row>
    <row r="3391" customFormat="false" ht="15" hidden="false" customHeight="false" outlineLevel="0" collapsed="false">
      <c r="B3391" s="19" t="s">
        <v>4491</v>
      </c>
      <c r="C3391" s="20" t="n">
        <f aca="false">ROUND(3.19/FX,2)</f>
        <v>0.44</v>
      </c>
      <c r="D3391" s="21" t="s">
        <v>4492</v>
      </c>
      <c r="E3391" s="21" t="s">
        <v>707</v>
      </c>
      <c r="F3391" s="21" t="s">
        <v>708</v>
      </c>
    </row>
    <row r="3392" customFormat="false" ht="15" hidden="false" customHeight="false" outlineLevel="0" collapsed="false">
      <c r="B3392" s="19" t="s">
        <v>4493</v>
      </c>
      <c r="C3392" s="20" t="n">
        <f aca="false">ROUND(1.69/FX,2)</f>
        <v>0.23</v>
      </c>
      <c r="D3392" s="21" t="s">
        <v>4492</v>
      </c>
      <c r="E3392" s="21" t="s">
        <v>714</v>
      </c>
      <c r="F3392" s="21" t="s">
        <v>708</v>
      </c>
    </row>
    <row r="3393" customFormat="false" ht="15" hidden="false" customHeight="false" outlineLevel="0" collapsed="false">
      <c r="B3393" s="19" t="s">
        <v>4494</v>
      </c>
      <c r="C3393" s="20" t="n">
        <f aca="false">ROUND(1.69/FX,2)</f>
        <v>0.23</v>
      </c>
      <c r="D3393" s="21" t="s">
        <v>4492</v>
      </c>
      <c r="E3393" s="21" t="s">
        <v>3833</v>
      </c>
      <c r="F3393" s="21" t="s">
        <v>708</v>
      </c>
    </row>
    <row r="3394" customFormat="false" ht="15" hidden="false" customHeight="false" outlineLevel="0" collapsed="false">
      <c r="B3394" s="19" t="s">
        <v>4495</v>
      </c>
      <c r="C3394" s="20" t="n">
        <f aca="false">ROUND(1.69/FX,2)</f>
        <v>0.23</v>
      </c>
      <c r="D3394" s="21" t="s">
        <v>4492</v>
      </c>
      <c r="E3394" s="21" t="s">
        <v>4000</v>
      </c>
      <c r="F3394" s="21" t="s">
        <v>708</v>
      </c>
    </row>
    <row r="3395" customFormat="false" ht="15" hidden="false" customHeight="false" outlineLevel="0" collapsed="false">
      <c r="B3395" s="19" t="s">
        <v>4496</v>
      </c>
      <c r="C3395" s="20" t="n">
        <f aca="false">ROUND(1.69/FX,2)</f>
        <v>0.23</v>
      </c>
      <c r="D3395" s="21" t="s">
        <v>4492</v>
      </c>
      <c r="E3395" s="21" t="s">
        <v>3247</v>
      </c>
      <c r="F3395" s="21" t="s">
        <v>708</v>
      </c>
    </row>
    <row r="3396" customFormat="false" ht="15" hidden="false" customHeight="false" outlineLevel="0" collapsed="false">
      <c r="B3396" s="19" t="s">
        <v>4497</v>
      </c>
      <c r="C3396" s="20" t="n">
        <f aca="false">ROUND(1.69/FX,2)</f>
        <v>0.23</v>
      </c>
      <c r="D3396" s="21" t="s">
        <v>4492</v>
      </c>
      <c r="E3396" s="21" t="s">
        <v>3317</v>
      </c>
      <c r="F3396" s="21" t="s">
        <v>708</v>
      </c>
    </row>
    <row r="3397" customFormat="false" ht="15" hidden="false" customHeight="false" outlineLevel="0" collapsed="false">
      <c r="B3397" s="19" t="s">
        <v>4498</v>
      </c>
      <c r="C3397" s="20" t="n">
        <f aca="false">ROUND(1.69/FX,2)</f>
        <v>0.23</v>
      </c>
      <c r="D3397" s="21" t="s">
        <v>4492</v>
      </c>
      <c r="E3397" s="21" t="s">
        <v>716</v>
      </c>
      <c r="F3397" s="21" t="s">
        <v>708</v>
      </c>
    </row>
    <row r="3398" customFormat="false" ht="15" hidden="false" customHeight="false" outlineLevel="0" collapsed="false">
      <c r="B3398" s="19" t="s">
        <v>4499</v>
      </c>
      <c r="C3398" s="20" t="n">
        <f aca="false">ROUND(1.69/FX,2)</f>
        <v>0.23</v>
      </c>
      <c r="D3398" s="21" t="s">
        <v>4492</v>
      </c>
      <c r="E3398" s="21" t="s">
        <v>847</v>
      </c>
      <c r="F3398" s="21" t="s">
        <v>708</v>
      </c>
    </row>
    <row r="3399" customFormat="false" ht="15" hidden="false" customHeight="false" outlineLevel="0" collapsed="false">
      <c r="B3399" s="19" t="s">
        <v>4500</v>
      </c>
      <c r="C3399" s="20" t="n">
        <f aca="false">ROUND(1.69/FX,2)</f>
        <v>0.23</v>
      </c>
      <c r="D3399" s="21" t="s">
        <v>4492</v>
      </c>
      <c r="E3399" s="21" t="s">
        <v>719</v>
      </c>
      <c r="F3399" s="21" t="s">
        <v>708</v>
      </c>
    </row>
    <row r="3400" customFormat="false" ht="15" hidden="false" customHeight="false" outlineLevel="0" collapsed="false">
      <c r="B3400" s="19" t="s">
        <v>4501</v>
      </c>
      <c r="C3400" s="20" t="n">
        <f aca="false">ROUND(2.47/FX,2)</f>
        <v>0.34</v>
      </c>
      <c r="D3400" s="21" t="s">
        <v>4502</v>
      </c>
      <c r="E3400" s="21" t="s">
        <v>707</v>
      </c>
      <c r="F3400" s="21" t="s">
        <v>708</v>
      </c>
    </row>
    <row r="3401" customFormat="false" ht="15" hidden="false" customHeight="false" outlineLevel="0" collapsed="false">
      <c r="B3401" s="19" t="s">
        <v>4503</v>
      </c>
      <c r="C3401" s="20" t="n">
        <f aca="false">ROUND(1.69/FX,2)</f>
        <v>0.23</v>
      </c>
      <c r="D3401" s="21" t="s">
        <v>4502</v>
      </c>
      <c r="E3401" s="21" t="s">
        <v>714</v>
      </c>
      <c r="F3401" s="21" t="s">
        <v>708</v>
      </c>
    </row>
    <row r="3402" customFormat="false" ht="15" hidden="false" customHeight="false" outlineLevel="0" collapsed="false">
      <c r="B3402" s="19" t="s">
        <v>4504</v>
      </c>
      <c r="C3402" s="20" t="n">
        <f aca="false">ROUND(1.69/FX,2)</f>
        <v>0.23</v>
      </c>
      <c r="D3402" s="21" t="s">
        <v>4502</v>
      </c>
      <c r="E3402" s="21" t="s">
        <v>3833</v>
      </c>
      <c r="F3402" s="21" t="s">
        <v>708</v>
      </c>
    </row>
    <row r="3403" customFormat="false" ht="15" hidden="false" customHeight="false" outlineLevel="0" collapsed="false">
      <c r="B3403" s="19" t="s">
        <v>4505</v>
      </c>
      <c r="C3403" s="20" t="n">
        <f aca="false">ROUND(1.69/FX,2)</f>
        <v>0.23</v>
      </c>
      <c r="D3403" s="21" t="s">
        <v>4502</v>
      </c>
      <c r="E3403" s="21" t="s">
        <v>4000</v>
      </c>
      <c r="F3403" s="21" t="s">
        <v>708</v>
      </c>
    </row>
    <row r="3404" customFormat="false" ht="15" hidden="false" customHeight="false" outlineLevel="0" collapsed="false">
      <c r="B3404" s="19" t="s">
        <v>4506</v>
      </c>
      <c r="C3404" s="20" t="n">
        <f aca="false">ROUND(1.69/FX,2)</f>
        <v>0.23</v>
      </c>
      <c r="D3404" s="21" t="s">
        <v>4502</v>
      </c>
      <c r="E3404" s="21" t="s">
        <v>3247</v>
      </c>
      <c r="F3404" s="21" t="s">
        <v>708</v>
      </c>
    </row>
    <row r="3405" customFormat="false" ht="15" hidden="false" customHeight="false" outlineLevel="0" collapsed="false">
      <c r="B3405" s="19" t="s">
        <v>4507</v>
      </c>
      <c r="C3405" s="20" t="n">
        <f aca="false">ROUND(1.69/FX,2)</f>
        <v>0.23</v>
      </c>
      <c r="D3405" s="21" t="s">
        <v>4502</v>
      </c>
      <c r="E3405" s="21" t="s">
        <v>3317</v>
      </c>
      <c r="F3405" s="21" t="s">
        <v>708</v>
      </c>
    </row>
    <row r="3406" customFormat="false" ht="15" hidden="false" customHeight="false" outlineLevel="0" collapsed="false">
      <c r="B3406" s="19" t="s">
        <v>4508</v>
      </c>
      <c r="C3406" s="20" t="n">
        <f aca="false">ROUND(1.69/FX,2)</f>
        <v>0.23</v>
      </c>
      <c r="D3406" s="21" t="s">
        <v>4502</v>
      </c>
      <c r="E3406" s="21" t="s">
        <v>716</v>
      </c>
      <c r="F3406" s="21" t="s">
        <v>708</v>
      </c>
    </row>
    <row r="3407" customFormat="false" ht="15" hidden="false" customHeight="false" outlineLevel="0" collapsed="false">
      <c r="B3407" s="19" t="s">
        <v>4509</v>
      </c>
      <c r="C3407" s="20" t="n">
        <f aca="false">ROUND(1.69/FX,2)</f>
        <v>0.23</v>
      </c>
      <c r="D3407" s="21" t="s">
        <v>4502</v>
      </c>
      <c r="E3407" s="21" t="s">
        <v>847</v>
      </c>
      <c r="F3407" s="21" t="s">
        <v>708</v>
      </c>
    </row>
    <row r="3408" customFormat="false" ht="15" hidden="false" customHeight="false" outlineLevel="0" collapsed="false">
      <c r="B3408" s="19" t="s">
        <v>4510</v>
      </c>
      <c r="C3408" s="20" t="n">
        <f aca="false">ROUND(1.69/FX,2)</f>
        <v>0.23</v>
      </c>
      <c r="D3408" s="21" t="s">
        <v>4502</v>
      </c>
      <c r="E3408" s="21" t="s">
        <v>719</v>
      </c>
      <c r="F3408" s="21" t="s">
        <v>708</v>
      </c>
    </row>
    <row r="3409" customFormat="false" ht="15" hidden="false" customHeight="false" outlineLevel="0" collapsed="false">
      <c r="B3409" s="19" t="s">
        <v>4511</v>
      </c>
      <c r="C3409" s="20" t="n">
        <f aca="false">ROUND(2.38/FX,2)</f>
        <v>0.33</v>
      </c>
      <c r="D3409" s="21" t="s">
        <v>1690</v>
      </c>
      <c r="E3409" s="21" t="s">
        <v>707</v>
      </c>
      <c r="F3409" s="21" t="s">
        <v>708</v>
      </c>
    </row>
    <row r="3410" customFormat="false" ht="15" hidden="false" customHeight="false" outlineLevel="0" collapsed="false">
      <c r="B3410" s="19" t="s">
        <v>4512</v>
      </c>
      <c r="C3410" s="20" t="n">
        <f aca="false">ROUND(2.6/FX,2)</f>
        <v>0.36</v>
      </c>
      <c r="D3410" s="21" t="s">
        <v>1690</v>
      </c>
      <c r="E3410" s="21" t="s">
        <v>714</v>
      </c>
      <c r="F3410" s="21" t="s">
        <v>708</v>
      </c>
    </row>
    <row r="3411" customFormat="false" ht="15" hidden="false" customHeight="false" outlineLevel="0" collapsed="false">
      <c r="B3411" s="19" t="s">
        <v>4513</v>
      </c>
      <c r="C3411" s="20" t="n">
        <f aca="false">ROUND(1.69/FX,2)</f>
        <v>0.23</v>
      </c>
      <c r="D3411" s="21" t="s">
        <v>1690</v>
      </c>
      <c r="E3411" s="21" t="s">
        <v>3833</v>
      </c>
      <c r="F3411" s="21" t="s">
        <v>708</v>
      </c>
    </row>
    <row r="3412" customFormat="false" ht="15" hidden="false" customHeight="false" outlineLevel="0" collapsed="false">
      <c r="B3412" s="19" t="s">
        <v>4514</v>
      </c>
      <c r="C3412" s="20" t="n">
        <f aca="false">ROUND(1.69/FX,2)</f>
        <v>0.23</v>
      </c>
      <c r="D3412" s="21" t="s">
        <v>1690</v>
      </c>
      <c r="E3412" s="21" t="s">
        <v>4000</v>
      </c>
      <c r="F3412" s="21" t="s">
        <v>708</v>
      </c>
    </row>
    <row r="3413" customFormat="false" ht="15" hidden="false" customHeight="false" outlineLevel="0" collapsed="false">
      <c r="B3413" s="19" t="s">
        <v>4515</v>
      </c>
      <c r="C3413" s="20" t="n">
        <f aca="false">ROUND(1.69/FX,2)</f>
        <v>0.23</v>
      </c>
      <c r="D3413" s="21" t="s">
        <v>1690</v>
      </c>
      <c r="E3413" s="21" t="s">
        <v>3247</v>
      </c>
      <c r="F3413" s="21" t="s">
        <v>708</v>
      </c>
    </row>
    <row r="3414" customFormat="false" ht="15" hidden="false" customHeight="false" outlineLevel="0" collapsed="false">
      <c r="B3414" s="19" t="s">
        <v>4516</v>
      </c>
      <c r="C3414" s="20" t="n">
        <f aca="false">ROUND(1.69/FX,2)</f>
        <v>0.23</v>
      </c>
      <c r="D3414" s="21" t="s">
        <v>1690</v>
      </c>
      <c r="E3414" s="21" t="s">
        <v>3317</v>
      </c>
      <c r="F3414" s="21" t="s">
        <v>708</v>
      </c>
    </row>
    <row r="3415" customFormat="false" ht="15" hidden="false" customHeight="false" outlineLevel="0" collapsed="false">
      <c r="B3415" s="19" t="s">
        <v>4517</v>
      </c>
      <c r="C3415" s="20" t="n">
        <f aca="false">ROUND(1.69/FX,2)</f>
        <v>0.23</v>
      </c>
      <c r="D3415" s="21" t="s">
        <v>1690</v>
      </c>
      <c r="E3415" s="21" t="s">
        <v>716</v>
      </c>
      <c r="F3415" s="21" t="s">
        <v>708</v>
      </c>
    </row>
    <row r="3416" customFormat="false" ht="15" hidden="false" customHeight="false" outlineLevel="0" collapsed="false">
      <c r="B3416" s="19" t="s">
        <v>4518</v>
      </c>
      <c r="C3416" s="20" t="n">
        <f aca="false">ROUND(1.69/FX,2)</f>
        <v>0.23</v>
      </c>
      <c r="D3416" s="21" t="s">
        <v>1690</v>
      </c>
      <c r="E3416" s="21" t="s">
        <v>847</v>
      </c>
      <c r="F3416" s="21" t="s">
        <v>708</v>
      </c>
    </row>
    <row r="3417" customFormat="false" ht="15" hidden="false" customHeight="false" outlineLevel="0" collapsed="false">
      <c r="B3417" s="19" t="s">
        <v>4519</v>
      </c>
      <c r="C3417" s="20" t="n">
        <f aca="false">ROUND(1.69/FX,2)</f>
        <v>0.23</v>
      </c>
      <c r="D3417" s="21" t="s">
        <v>1690</v>
      </c>
      <c r="E3417" s="21" t="s">
        <v>719</v>
      </c>
      <c r="F3417" s="21" t="s">
        <v>708</v>
      </c>
    </row>
    <row r="3418" customFormat="false" ht="15" hidden="false" customHeight="false" outlineLevel="0" collapsed="false">
      <c r="B3418" s="19" t="s">
        <v>4520</v>
      </c>
      <c r="C3418" s="20" t="n">
        <f aca="false">ROUND(3.25/FX,2)</f>
        <v>0.45</v>
      </c>
      <c r="D3418" s="21" t="s">
        <v>4521</v>
      </c>
      <c r="E3418" s="21" t="s">
        <v>707</v>
      </c>
      <c r="F3418" s="21" t="s">
        <v>708</v>
      </c>
    </row>
    <row r="3419" customFormat="false" ht="15" hidden="false" customHeight="false" outlineLevel="0" collapsed="false">
      <c r="B3419" s="19" t="s">
        <v>4522</v>
      </c>
      <c r="C3419" s="20" t="n">
        <f aca="false">ROUND(1.69/FX,2)</f>
        <v>0.23</v>
      </c>
      <c r="D3419" s="21" t="s">
        <v>4521</v>
      </c>
      <c r="E3419" s="21" t="s">
        <v>714</v>
      </c>
      <c r="F3419" s="21" t="s">
        <v>708</v>
      </c>
    </row>
    <row r="3420" customFormat="false" ht="15" hidden="false" customHeight="false" outlineLevel="0" collapsed="false">
      <c r="B3420" s="19" t="s">
        <v>4523</v>
      </c>
      <c r="C3420" s="20" t="n">
        <f aca="false">ROUND(1.69/FX,2)</f>
        <v>0.23</v>
      </c>
      <c r="D3420" s="21" t="s">
        <v>4521</v>
      </c>
      <c r="E3420" s="21" t="s">
        <v>3833</v>
      </c>
      <c r="F3420" s="21" t="s">
        <v>708</v>
      </c>
    </row>
    <row r="3421" customFormat="false" ht="15" hidden="false" customHeight="false" outlineLevel="0" collapsed="false">
      <c r="B3421" s="19" t="s">
        <v>4524</v>
      </c>
      <c r="C3421" s="20" t="n">
        <f aca="false">ROUND(1.69/FX,2)</f>
        <v>0.23</v>
      </c>
      <c r="D3421" s="21" t="s">
        <v>4521</v>
      </c>
      <c r="E3421" s="21" t="s">
        <v>4000</v>
      </c>
      <c r="F3421" s="21" t="s">
        <v>708</v>
      </c>
    </row>
    <row r="3422" customFormat="false" ht="15" hidden="false" customHeight="false" outlineLevel="0" collapsed="false">
      <c r="B3422" s="19" t="s">
        <v>4525</v>
      </c>
      <c r="C3422" s="20" t="n">
        <f aca="false">ROUND(1.69/FX,2)</f>
        <v>0.23</v>
      </c>
      <c r="D3422" s="21" t="s">
        <v>4521</v>
      </c>
      <c r="E3422" s="21" t="s">
        <v>3247</v>
      </c>
      <c r="F3422" s="21" t="s">
        <v>708</v>
      </c>
    </row>
    <row r="3423" customFormat="false" ht="15" hidden="false" customHeight="false" outlineLevel="0" collapsed="false">
      <c r="B3423" s="19" t="s">
        <v>4526</v>
      </c>
      <c r="C3423" s="20" t="n">
        <f aca="false">ROUND(1.69/FX,2)</f>
        <v>0.23</v>
      </c>
      <c r="D3423" s="21" t="s">
        <v>4521</v>
      </c>
      <c r="E3423" s="21" t="s">
        <v>3317</v>
      </c>
      <c r="F3423" s="21" t="s">
        <v>708</v>
      </c>
    </row>
    <row r="3424" customFormat="false" ht="15" hidden="false" customHeight="false" outlineLevel="0" collapsed="false">
      <c r="B3424" s="19" t="s">
        <v>4527</v>
      </c>
      <c r="C3424" s="20" t="n">
        <f aca="false">ROUND(1.69/FX,2)</f>
        <v>0.23</v>
      </c>
      <c r="D3424" s="21" t="s">
        <v>4521</v>
      </c>
      <c r="E3424" s="21" t="s">
        <v>716</v>
      </c>
      <c r="F3424" s="21" t="s">
        <v>708</v>
      </c>
    </row>
    <row r="3425" customFormat="false" ht="15" hidden="false" customHeight="false" outlineLevel="0" collapsed="false">
      <c r="B3425" s="19" t="s">
        <v>4528</v>
      </c>
      <c r="C3425" s="20" t="n">
        <f aca="false">ROUND(1.69/FX,2)</f>
        <v>0.23</v>
      </c>
      <c r="D3425" s="21" t="s">
        <v>4521</v>
      </c>
      <c r="E3425" s="21" t="s">
        <v>847</v>
      </c>
      <c r="F3425" s="21" t="s">
        <v>708</v>
      </c>
    </row>
    <row r="3426" customFormat="false" ht="15" hidden="false" customHeight="false" outlineLevel="0" collapsed="false">
      <c r="B3426" s="19" t="s">
        <v>4529</v>
      </c>
      <c r="C3426" s="20" t="n">
        <f aca="false">ROUND(1.69/FX,2)</f>
        <v>0.23</v>
      </c>
      <c r="D3426" s="21" t="s">
        <v>4521</v>
      </c>
      <c r="E3426" s="21" t="s">
        <v>719</v>
      </c>
      <c r="F3426" s="21" t="s">
        <v>708</v>
      </c>
    </row>
    <row r="3427" customFormat="false" ht="15" hidden="false" customHeight="false" outlineLevel="0" collapsed="false">
      <c r="B3427" s="19" t="s">
        <v>4530</v>
      </c>
      <c r="C3427" s="20" t="n">
        <f aca="false">ROUND(2.42/FX,2)</f>
        <v>0.34</v>
      </c>
      <c r="D3427" s="21" t="s">
        <v>1982</v>
      </c>
      <c r="E3427" s="21" t="s">
        <v>707</v>
      </c>
      <c r="F3427" s="21" t="s">
        <v>708</v>
      </c>
    </row>
    <row r="3428" customFormat="false" ht="15" hidden="false" customHeight="false" outlineLevel="0" collapsed="false">
      <c r="B3428" s="19" t="s">
        <v>4531</v>
      </c>
      <c r="C3428" s="20" t="n">
        <f aca="false">ROUND(3.63/FX,2)</f>
        <v>0.5</v>
      </c>
      <c r="D3428" s="21" t="s">
        <v>1982</v>
      </c>
      <c r="E3428" s="21" t="s">
        <v>714</v>
      </c>
      <c r="F3428" s="21" t="s">
        <v>708</v>
      </c>
    </row>
    <row r="3429" customFormat="false" ht="15" hidden="false" customHeight="false" outlineLevel="0" collapsed="false">
      <c r="B3429" s="19" t="s">
        <v>4532</v>
      </c>
      <c r="C3429" s="20" t="n">
        <f aca="false">ROUND(1.69/FX,2)</f>
        <v>0.23</v>
      </c>
      <c r="D3429" s="21" t="s">
        <v>1982</v>
      </c>
      <c r="E3429" s="21" t="s">
        <v>3833</v>
      </c>
      <c r="F3429" s="21" t="s">
        <v>708</v>
      </c>
    </row>
    <row r="3430" customFormat="false" ht="15" hidden="false" customHeight="false" outlineLevel="0" collapsed="false">
      <c r="B3430" s="19" t="s">
        <v>4533</v>
      </c>
      <c r="C3430" s="20" t="n">
        <f aca="false">ROUND(1.69/FX,2)</f>
        <v>0.23</v>
      </c>
      <c r="D3430" s="21" t="s">
        <v>1982</v>
      </c>
      <c r="E3430" s="21" t="s">
        <v>4000</v>
      </c>
      <c r="F3430" s="21" t="s">
        <v>708</v>
      </c>
    </row>
    <row r="3431" customFormat="false" ht="15" hidden="false" customHeight="false" outlineLevel="0" collapsed="false">
      <c r="B3431" s="19" t="s">
        <v>4534</v>
      </c>
      <c r="C3431" s="20" t="n">
        <f aca="false">ROUND(1.69/FX,2)</f>
        <v>0.23</v>
      </c>
      <c r="D3431" s="21" t="s">
        <v>1982</v>
      </c>
      <c r="E3431" s="21" t="s">
        <v>3247</v>
      </c>
      <c r="F3431" s="21" t="s">
        <v>708</v>
      </c>
    </row>
    <row r="3432" customFormat="false" ht="15" hidden="false" customHeight="false" outlineLevel="0" collapsed="false">
      <c r="B3432" s="19" t="s">
        <v>4535</v>
      </c>
      <c r="C3432" s="20" t="n">
        <f aca="false">ROUND(1.69/FX,2)</f>
        <v>0.23</v>
      </c>
      <c r="D3432" s="21" t="s">
        <v>1982</v>
      </c>
      <c r="E3432" s="21" t="s">
        <v>3317</v>
      </c>
      <c r="F3432" s="21" t="s">
        <v>708</v>
      </c>
    </row>
    <row r="3433" customFormat="false" ht="15" hidden="false" customHeight="false" outlineLevel="0" collapsed="false">
      <c r="B3433" s="19" t="s">
        <v>4536</v>
      </c>
      <c r="C3433" s="20" t="n">
        <f aca="false">ROUND(1.69/FX,2)</f>
        <v>0.23</v>
      </c>
      <c r="D3433" s="21" t="s">
        <v>1982</v>
      </c>
      <c r="E3433" s="21" t="s">
        <v>716</v>
      </c>
      <c r="F3433" s="21" t="s">
        <v>708</v>
      </c>
    </row>
    <row r="3434" customFormat="false" ht="15" hidden="false" customHeight="false" outlineLevel="0" collapsed="false">
      <c r="B3434" s="19" t="s">
        <v>4537</v>
      </c>
      <c r="C3434" s="20" t="n">
        <f aca="false">ROUND(1.69/FX,2)</f>
        <v>0.23</v>
      </c>
      <c r="D3434" s="21" t="s">
        <v>1982</v>
      </c>
      <c r="E3434" s="21" t="s">
        <v>847</v>
      </c>
      <c r="F3434" s="21" t="s">
        <v>708</v>
      </c>
    </row>
    <row r="3435" customFormat="false" ht="15" hidden="false" customHeight="false" outlineLevel="0" collapsed="false">
      <c r="B3435" s="19" t="s">
        <v>4538</v>
      </c>
      <c r="C3435" s="20" t="n">
        <f aca="false">ROUND(1.69/FX,2)</f>
        <v>0.23</v>
      </c>
      <c r="D3435" s="21" t="s">
        <v>1982</v>
      </c>
      <c r="E3435" s="21" t="s">
        <v>719</v>
      </c>
      <c r="F3435" s="21" t="s">
        <v>708</v>
      </c>
    </row>
    <row r="3436" customFormat="false" ht="15" hidden="false" customHeight="false" outlineLevel="0" collapsed="false">
      <c r="B3436" s="19" t="s">
        <v>4539</v>
      </c>
      <c r="C3436" s="20" t="n">
        <f aca="false">ROUND(2.47/FX,2)</f>
        <v>0.34</v>
      </c>
      <c r="D3436" s="21" t="s">
        <v>4540</v>
      </c>
      <c r="E3436" s="21" t="s">
        <v>707</v>
      </c>
      <c r="F3436" s="21" t="s">
        <v>708</v>
      </c>
    </row>
    <row r="3437" customFormat="false" ht="15" hidden="false" customHeight="false" outlineLevel="0" collapsed="false">
      <c r="B3437" s="19" t="s">
        <v>4541</v>
      </c>
      <c r="C3437" s="20" t="n">
        <f aca="false">ROUND(1.69/FX,2)</f>
        <v>0.23</v>
      </c>
      <c r="D3437" s="21" t="s">
        <v>4540</v>
      </c>
      <c r="E3437" s="21" t="s">
        <v>714</v>
      </c>
      <c r="F3437" s="21" t="s">
        <v>708</v>
      </c>
    </row>
    <row r="3438" customFormat="false" ht="15" hidden="false" customHeight="false" outlineLevel="0" collapsed="false">
      <c r="B3438" s="19" t="s">
        <v>4542</v>
      </c>
      <c r="C3438" s="20" t="n">
        <f aca="false">ROUND(1.69/FX,2)</f>
        <v>0.23</v>
      </c>
      <c r="D3438" s="21" t="s">
        <v>4540</v>
      </c>
      <c r="E3438" s="21" t="s">
        <v>3833</v>
      </c>
      <c r="F3438" s="21" t="s">
        <v>708</v>
      </c>
    </row>
    <row r="3439" customFormat="false" ht="15" hidden="false" customHeight="false" outlineLevel="0" collapsed="false">
      <c r="B3439" s="19" t="s">
        <v>4543</v>
      </c>
      <c r="C3439" s="20" t="n">
        <f aca="false">ROUND(1.69/FX,2)</f>
        <v>0.23</v>
      </c>
      <c r="D3439" s="21" t="s">
        <v>4540</v>
      </c>
      <c r="E3439" s="21" t="s">
        <v>4000</v>
      </c>
      <c r="F3439" s="21" t="s">
        <v>708</v>
      </c>
    </row>
    <row r="3440" customFormat="false" ht="15" hidden="false" customHeight="false" outlineLevel="0" collapsed="false">
      <c r="B3440" s="19" t="s">
        <v>4544</v>
      </c>
      <c r="C3440" s="20" t="n">
        <f aca="false">ROUND(1.69/FX,2)</f>
        <v>0.23</v>
      </c>
      <c r="D3440" s="21" t="s">
        <v>4540</v>
      </c>
      <c r="E3440" s="21" t="s">
        <v>3247</v>
      </c>
      <c r="F3440" s="21" t="s">
        <v>708</v>
      </c>
    </row>
    <row r="3441" customFormat="false" ht="15" hidden="false" customHeight="false" outlineLevel="0" collapsed="false">
      <c r="B3441" s="19" t="s">
        <v>4545</v>
      </c>
      <c r="C3441" s="20" t="n">
        <f aca="false">ROUND(1.69/FX,2)</f>
        <v>0.23</v>
      </c>
      <c r="D3441" s="21" t="s">
        <v>4540</v>
      </c>
      <c r="E3441" s="21" t="s">
        <v>3317</v>
      </c>
      <c r="F3441" s="21" t="s">
        <v>708</v>
      </c>
    </row>
    <row r="3442" customFormat="false" ht="15" hidden="false" customHeight="false" outlineLevel="0" collapsed="false">
      <c r="B3442" s="19" t="s">
        <v>4546</v>
      </c>
      <c r="C3442" s="20" t="n">
        <f aca="false">ROUND(1.69/FX,2)</f>
        <v>0.23</v>
      </c>
      <c r="D3442" s="21" t="s">
        <v>4540</v>
      </c>
      <c r="E3442" s="21" t="s">
        <v>716</v>
      </c>
      <c r="F3442" s="21" t="s">
        <v>708</v>
      </c>
    </row>
    <row r="3443" customFormat="false" ht="15" hidden="false" customHeight="false" outlineLevel="0" collapsed="false">
      <c r="B3443" s="19" t="s">
        <v>4547</v>
      </c>
      <c r="C3443" s="20" t="n">
        <f aca="false">ROUND(1.69/FX,2)</f>
        <v>0.23</v>
      </c>
      <c r="D3443" s="21" t="s">
        <v>4540</v>
      </c>
      <c r="E3443" s="21" t="s">
        <v>847</v>
      </c>
      <c r="F3443" s="21" t="s">
        <v>708</v>
      </c>
    </row>
    <row r="3444" customFormat="false" ht="15" hidden="false" customHeight="false" outlineLevel="0" collapsed="false">
      <c r="B3444" s="19" t="s">
        <v>4548</v>
      </c>
      <c r="C3444" s="20" t="n">
        <f aca="false">ROUND(1.69/FX,2)</f>
        <v>0.23</v>
      </c>
      <c r="D3444" s="21" t="s">
        <v>4540</v>
      </c>
      <c r="E3444" s="21" t="s">
        <v>719</v>
      </c>
      <c r="F3444" s="21" t="s">
        <v>708</v>
      </c>
    </row>
    <row r="3445" customFormat="false" ht="15" hidden="false" customHeight="false" outlineLevel="0" collapsed="false">
      <c r="B3445" s="19" t="s">
        <v>4549</v>
      </c>
      <c r="C3445" s="20" t="n">
        <f aca="false">ROUND(3.9/FX,2)</f>
        <v>0.54</v>
      </c>
      <c r="D3445" s="21" t="s">
        <v>2961</v>
      </c>
      <c r="E3445" s="21" t="s">
        <v>707</v>
      </c>
      <c r="F3445" s="21" t="s">
        <v>708</v>
      </c>
    </row>
    <row r="3446" customFormat="false" ht="15" hidden="false" customHeight="false" outlineLevel="0" collapsed="false">
      <c r="B3446" s="19" t="s">
        <v>4550</v>
      </c>
      <c r="C3446" s="20" t="n">
        <f aca="false">ROUND(5.85/FX,2)</f>
        <v>0.81</v>
      </c>
      <c r="D3446" s="21" t="s">
        <v>2961</v>
      </c>
      <c r="E3446" s="21" t="s">
        <v>714</v>
      </c>
      <c r="F3446" s="21" t="s">
        <v>708</v>
      </c>
    </row>
    <row r="3447" customFormat="false" ht="15" hidden="false" customHeight="false" outlineLevel="0" collapsed="false">
      <c r="B3447" s="19" t="s">
        <v>4551</v>
      </c>
      <c r="C3447" s="20" t="n">
        <f aca="false">ROUND(3.9/FX,2)</f>
        <v>0.54</v>
      </c>
      <c r="D3447" s="21" t="s">
        <v>2961</v>
      </c>
      <c r="E3447" s="21" t="s">
        <v>3833</v>
      </c>
      <c r="F3447" s="21" t="s">
        <v>708</v>
      </c>
    </row>
    <row r="3448" customFormat="false" ht="15" hidden="false" customHeight="false" outlineLevel="0" collapsed="false">
      <c r="B3448" s="19" t="s">
        <v>4552</v>
      </c>
      <c r="C3448" s="20" t="n">
        <f aca="false">ROUND(3.9/FX,2)</f>
        <v>0.54</v>
      </c>
      <c r="D3448" s="21" t="s">
        <v>2961</v>
      </c>
      <c r="E3448" s="21" t="s">
        <v>716</v>
      </c>
      <c r="F3448" s="21" t="s">
        <v>708</v>
      </c>
    </row>
    <row r="3449" customFormat="false" ht="15" hidden="false" customHeight="false" outlineLevel="0" collapsed="false">
      <c r="B3449" s="19" t="s">
        <v>4553</v>
      </c>
      <c r="C3449" s="20" t="n">
        <f aca="false">ROUND(3.9/FX,2)</f>
        <v>0.54</v>
      </c>
      <c r="D3449" s="21" t="s">
        <v>2961</v>
      </c>
      <c r="E3449" s="21" t="s">
        <v>719</v>
      </c>
      <c r="F3449" s="21" t="s">
        <v>708</v>
      </c>
    </row>
    <row r="3450" customFormat="false" ht="15" hidden="false" customHeight="false" outlineLevel="0" collapsed="false">
      <c r="B3450" s="19" t="s">
        <v>4554</v>
      </c>
      <c r="C3450" s="20" t="n">
        <f aca="false">ROUND(1.76/FX,2)</f>
        <v>0.24</v>
      </c>
      <c r="D3450" s="21" t="s">
        <v>4555</v>
      </c>
      <c r="E3450" s="21" t="s">
        <v>707</v>
      </c>
      <c r="F3450" s="21" t="s">
        <v>708</v>
      </c>
    </row>
    <row r="3451" customFormat="false" ht="15" hidden="false" customHeight="false" outlineLevel="0" collapsed="false">
      <c r="B3451" s="19" t="s">
        <v>4556</v>
      </c>
      <c r="C3451" s="20" t="n">
        <f aca="false">ROUND(2.6/FX,2)</f>
        <v>0.36</v>
      </c>
      <c r="D3451" s="21" t="s">
        <v>4555</v>
      </c>
      <c r="E3451" s="21" t="s">
        <v>714</v>
      </c>
      <c r="F3451" s="21" t="s">
        <v>708</v>
      </c>
    </row>
    <row r="3452" customFormat="false" ht="15" hidden="false" customHeight="false" outlineLevel="0" collapsed="false">
      <c r="B3452" s="19" t="s">
        <v>4557</v>
      </c>
      <c r="C3452" s="20" t="n">
        <f aca="false">ROUND(3.9/FX,2)</f>
        <v>0.54</v>
      </c>
      <c r="D3452" s="21" t="s">
        <v>4555</v>
      </c>
      <c r="E3452" s="21" t="s">
        <v>3833</v>
      </c>
      <c r="F3452" s="21" t="s">
        <v>708</v>
      </c>
    </row>
    <row r="3453" customFormat="false" ht="15" hidden="false" customHeight="false" outlineLevel="0" collapsed="false">
      <c r="B3453" s="19" t="s">
        <v>4558</v>
      </c>
      <c r="C3453" s="20" t="n">
        <f aca="false">ROUND(3.9/FX,2)</f>
        <v>0.54</v>
      </c>
      <c r="D3453" s="21" t="s">
        <v>4555</v>
      </c>
      <c r="E3453" s="21" t="s">
        <v>716</v>
      </c>
      <c r="F3453" s="21" t="s">
        <v>708</v>
      </c>
    </row>
    <row r="3454" customFormat="false" ht="15" hidden="false" customHeight="false" outlineLevel="0" collapsed="false">
      <c r="B3454" s="19" t="s">
        <v>4559</v>
      </c>
      <c r="C3454" s="20" t="n">
        <f aca="false">ROUND(3.9/FX,2)</f>
        <v>0.54</v>
      </c>
      <c r="D3454" s="21" t="s">
        <v>4555</v>
      </c>
      <c r="E3454" s="21" t="s">
        <v>719</v>
      </c>
      <c r="F3454" s="21" t="s">
        <v>708</v>
      </c>
    </row>
    <row r="3455" customFormat="false" ht="15" hidden="false" customHeight="false" outlineLevel="0" collapsed="false">
      <c r="B3455" s="19" t="s">
        <v>4560</v>
      </c>
      <c r="C3455" s="20" t="n">
        <f aca="false">ROUND(5.85/FX,2)</f>
        <v>0.81</v>
      </c>
      <c r="D3455" s="21" t="s">
        <v>1334</v>
      </c>
      <c r="E3455" s="21" t="s">
        <v>707</v>
      </c>
      <c r="F3455" s="21" t="s">
        <v>3814</v>
      </c>
    </row>
    <row r="3456" customFormat="false" ht="15" hidden="false" customHeight="false" outlineLevel="0" collapsed="false">
      <c r="B3456" s="19" t="s">
        <v>4561</v>
      </c>
      <c r="C3456" s="20" t="n">
        <f aca="false">ROUND(1/FX,2)</f>
        <v>0.14</v>
      </c>
      <c r="D3456" s="21" t="s">
        <v>1334</v>
      </c>
      <c r="E3456" s="21" t="s">
        <v>714</v>
      </c>
      <c r="F3456" s="21" t="s">
        <v>3814</v>
      </c>
    </row>
    <row r="3457" customFormat="false" ht="15" hidden="false" customHeight="false" outlineLevel="0" collapsed="false">
      <c r="B3457" s="19" t="s">
        <v>4562</v>
      </c>
      <c r="C3457" s="20" t="n">
        <f aca="false">ROUND(6.5/FX,2)</f>
        <v>0.9</v>
      </c>
      <c r="D3457" s="21" t="s">
        <v>4140</v>
      </c>
      <c r="E3457" s="21" t="s">
        <v>714</v>
      </c>
      <c r="F3457" s="21" t="s">
        <v>725</v>
      </c>
    </row>
    <row r="3460" customFormat="false" ht="61.5" hidden="false" customHeight="true" outlineLevel="0" collapsed="false">
      <c r="A3460" s="9"/>
      <c r="B3460" s="10" t="s">
        <v>4563</v>
      </c>
      <c r="C3460" s="10"/>
      <c r="D3460" s="10"/>
      <c r="E3460" s="10"/>
      <c r="F3460" s="10"/>
    </row>
    <row r="3461" customFormat="false" ht="15" hidden="false" customHeight="false" outlineLevel="0" collapsed="false">
      <c r="A3461" s="12" t="s">
        <v>700</v>
      </c>
      <c r="B3461" s="13" t="s">
        <v>701</v>
      </c>
      <c r="C3461" s="13" t="s">
        <v>702</v>
      </c>
      <c r="D3461" s="13" t="s">
        <v>830</v>
      </c>
      <c r="E3461" s="13" t="s">
        <v>703</v>
      </c>
      <c r="F3461" s="13" t="s">
        <v>704</v>
      </c>
    </row>
    <row r="3462" customFormat="false" ht="30" hidden="false" customHeight="true" outlineLevel="0" collapsed="false">
      <c r="A3462" s="14" t="s">
        <v>706</v>
      </c>
      <c r="B3462" s="15" t="str">
        <f aca="false">IF(COUNTIFS($D$3465:$D$3588,IF(D3462="","*",D3462),$E$3465:$E$3588,IF(E3462="","*",E3462),$F$3465:$F$3588,IF(F3462="","*",F3462))=1,INDEX($B:$B,SUMPRODUCT(((D3462="")+($D$3465:$D$3588=D3462)&gt;0)*((E3462="")+($E$3465:$E$3588=E3462)&gt;0)*((F3462="")+($F$3465:$F$3588=F3462)&gt;0)*ROW($B$3465:$B$3588))),IF(COUNTIFS($D$3465:$D$3588,IF(D3462="","*",D3462),$E$3465:$E$3588,IF(E3462="","*",E3462),$F$3465:$F$3588,IF(F3462="","*",F3462))=0,"Not available",COUNTIFS($D$3465:$D$3588,IF(D3462="","*",D3462),$E$3465:$E$3588,IF(E3462="","*",E3462),$F$3465:$F$3588,IF(F3462="","*",F3462))&amp;" match, keep choosing"))</f>
        <v>3M-1002-10</v>
      </c>
      <c r="C3462" s="16" t="n">
        <f aca="false">IF(COUNTIFS($D$3465:$D$3588,IF(D3462="","*",D3462),$E$3465:$E$3588,IF(E3462="","*",E3462),$F$3465:$F$3588,IF(F3462="","*",F3462))=1,INDEX($C:$C,SUMPRODUCT(((D3462="")+($D$3465:$D$3588=D3462)&gt;0)*((E3462="")+($E$3465:$E$3588=E3462)&gt;0)*((F3462="")+($F$3465:$F$3588=F3462)&gt;0)*ROW($B$3465:$B$3588))),"")</f>
        <v>0.84</v>
      </c>
      <c r="D3462" s="17" t="s">
        <v>4564</v>
      </c>
      <c r="E3462" s="17" t="s">
        <v>707</v>
      </c>
      <c r="F3462" s="17" t="s">
        <v>708</v>
      </c>
    </row>
    <row r="3464" customFormat="false" ht="15" hidden="false" customHeight="false" outlineLevel="0" collapsed="false">
      <c r="B3464" s="18" t="s">
        <v>701</v>
      </c>
      <c r="C3464" s="18" t="s">
        <v>702</v>
      </c>
      <c r="D3464" s="18" t="s">
        <v>830</v>
      </c>
      <c r="E3464" s="18" t="s">
        <v>703</v>
      </c>
      <c r="F3464" s="18" t="s">
        <v>704</v>
      </c>
    </row>
    <row r="3465" customFormat="false" ht="15" hidden="false" customHeight="false" outlineLevel="0" collapsed="false">
      <c r="B3465" s="19" t="s">
        <v>4565</v>
      </c>
      <c r="C3465" s="20" t="n">
        <f aca="false">ROUND(6.07/FX,2)</f>
        <v>0.84</v>
      </c>
      <c r="D3465" s="21" t="s">
        <v>4564</v>
      </c>
      <c r="E3465" s="21" t="s">
        <v>707</v>
      </c>
      <c r="F3465" s="21" t="s">
        <v>708</v>
      </c>
    </row>
    <row r="3466" customFormat="false" ht="15" hidden="false" customHeight="false" outlineLevel="0" collapsed="false">
      <c r="B3466" s="19" t="s">
        <v>4566</v>
      </c>
      <c r="C3466" s="20" t="n">
        <f aca="false">ROUND(13.65/FX,2)</f>
        <v>1.9</v>
      </c>
      <c r="D3466" s="21" t="s">
        <v>4564</v>
      </c>
      <c r="E3466" s="21" t="s">
        <v>714</v>
      </c>
      <c r="F3466" s="21" t="s">
        <v>708</v>
      </c>
    </row>
    <row r="3467" customFormat="false" ht="15" hidden="false" customHeight="false" outlineLevel="0" collapsed="false">
      <c r="B3467" s="19" t="s">
        <v>4567</v>
      </c>
      <c r="C3467" s="20" t="n">
        <f aca="false">ROUND(6.24/FX,2)</f>
        <v>0.87</v>
      </c>
      <c r="D3467" s="21" t="s">
        <v>4564</v>
      </c>
      <c r="E3467" s="21" t="s">
        <v>4000</v>
      </c>
      <c r="F3467" s="21" t="s">
        <v>708</v>
      </c>
    </row>
    <row r="3468" customFormat="false" ht="15" hidden="false" customHeight="false" outlineLevel="0" collapsed="false">
      <c r="B3468" s="19" t="s">
        <v>4568</v>
      </c>
      <c r="C3468" s="20" t="n">
        <f aca="false">ROUND(2.6/FX,2)</f>
        <v>0.36</v>
      </c>
      <c r="D3468" s="21" t="s">
        <v>4564</v>
      </c>
      <c r="E3468" s="21" t="s">
        <v>716</v>
      </c>
      <c r="F3468" s="21" t="s">
        <v>708</v>
      </c>
    </row>
    <row r="3469" customFormat="false" ht="15" hidden="false" customHeight="false" outlineLevel="0" collapsed="false">
      <c r="B3469" s="19" t="s">
        <v>4569</v>
      </c>
      <c r="C3469" s="20" t="n">
        <f aca="false">ROUND(9.75/FX,2)</f>
        <v>1.35</v>
      </c>
      <c r="D3469" s="21" t="s">
        <v>4570</v>
      </c>
      <c r="E3469" s="21" t="s">
        <v>707</v>
      </c>
      <c r="F3469" s="21" t="s">
        <v>708</v>
      </c>
    </row>
    <row r="3470" customFormat="false" ht="15" hidden="false" customHeight="false" outlineLevel="0" collapsed="false">
      <c r="B3470" s="19" t="s">
        <v>4571</v>
      </c>
      <c r="C3470" s="20" t="n">
        <f aca="false">ROUND(5.07/FX,2)</f>
        <v>0.7</v>
      </c>
      <c r="D3470" s="21" t="s">
        <v>4570</v>
      </c>
      <c r="E3470" s="21" t="s">
        <v>714</v>
      </c>
      <c r="F3470" s="21" t="s">
        <v>708</v>
      </c>
    </row>
    <row r="3471" customFormat="false" ht="15" hidden="false" customHeight="false" outlineLevel="0" collapsed="false">
      <c r="B3471" s="19" t="s">
        <v>4572</v>
      </c>
      <c r="C3471" s="20" t="n">
        <f aca="false">ROUND(5.07/FX,2)</f>
        <v>0.7</v>
      </c>
      <c r="D3471" s="21" t="s">
        <v>4570</v>
      </c>
      <c r="E3471" s="21" t="s">
        <v>4000</v>
      </c>
      <c r="F3471" s="21" t="s">
        <v>708</v>
      </c>
    </row>
    <row r="3472" customFormat="false" ht="15" hidden="false" customHeight="false" outlineLevel="0" collapsed="false">
      <c r="B3472" s="19" t="s">
        <v>4573</v>
      </c>
      <c r="C3472" s="20" t="n">
        <f aca="false">ROUND(5.07/FX,2)</f>
        <v>0.7</v>
      </c>
      <c r="D3472" s="21" t="s">
        <v>4570</v>
      </c>
      <c r="E3472" s="21" t="s">
        <v>716</v>
      </c>
      <c r="F3472" s="21" t="s">
        <v>708</v>
      </c>
    </row>
    <row r="3473" customFormat="false" ht="15" hidden="false" customHeight="false" outlineLevel="0" collapsed="false">
      <c r="B3473" s="19" t="s">
        <v>4574</v>
      </c>
      <c r="C3473" s="20" t="n">
        <f aca="false">ROUND(1.69/FX,2)</f>
        <v>0.23</v>
      </c>
      <c r="D3473" s="21" t="s">
        <v>4575</v>
      </c>
      <c r="E3473" s="21" t="s">
        <v>707</v>
      </c>
      <c r="F3473" s="21" t="s">
        <v>708</v>
      </c>
    </row>
    <row r="3474" customFormat="false" ht="15" hidden="false" customHeight="false" outlineLevel="0" collapsed="false">
      <c r="B3474" s="19" t="s">
        <v>4576</v>
      </c>
      <c r="C3474" s="20" t="n">
        <f aca="false">ROUND(13/FX,2)</f>
        <v>1.81</v>
      </c>
      <c r="D3474" s="21" t="s">
        <v>4575</v>
      </c>
      <c r="E3474" s="21" t="s">
        <v>714</v>
      </c>
      <c r="F3474" s="21" t="s">
        <v>708</v>
      </c>
    </row>
    <row r="3475" customFormat="false" ht="15" hidden="false" customHeight="false" outlineLevel="0" collapsed="false">
      <c r="B3475" s="19" t="s">
        <v>4577</v>
      </c>
      <c r="C3475" s="20" t="n">
        <f aca="false">ROUND(1.69/FX,2)</f>
        <v>0.23</v>
      </c>
      <c r="D3475" s="21" t="s">
        <v>4575</v>
      </c>
      <c r="E3475" s="21" t="s">
        <v>4000</v>
      </c>
      <c r="F3475" s="21" t="s">
        <v>708</v>
      </c>
    </row>
    <row r="3476" customFormat="false" ht="15" hidden="false" customHeight="false" outlineLevel="0" collapsed="false">
      <c r="B3476" s="19" t="s">
        <v>4578</v>
      </c>
      <c r="C3476" s="20" t="n">
        <f aca="false">ROUND(6.5/FX,2)</f>
        <v>0.9</v>
      </c>
      <c r="D3476" s="21" t="s">
        <v>4575</v>
      </c>
      <c r="E3476" s="21" t="s">
        <v>716</v>
      </c>
      <c r="F3476" s="21" t="s">
        <v>708</v>
      </c>
    </row>
    <row r="3477" customFormat="false" ht="15" hidden="false" customHeight="false" outlineLevel="0" collapsed="false">
      <c r="B3477" s="19" t="s">
        <v>4579</v>
      </c>
      <c r="C3477" s="20" t="n">
        <f aca="false">ROUND(5.07/FX,2)</f>
        <v>0.7</v>
      </c>
      <c r="D3477" s="21" t="s">
        <v>3224</v>
      </c>
      <c r="E3477" s="21" t="s">
        <v>707</v>
      </c>
      <c r="F3477" s="21" t="s">
        <v>708</v>
      </c>
    </row>
    <row r="3478" customFormat="false" ht="15" hidden="false" customHeight="false" outlineLevel="0" collapsed="false">
      <c r="B3478" s="19" t="s">
        <v>4580</v>
      </c>
      <c r="C3478" s="20" t="n">
        <f aca="false">ROUND(5.07/FX,2)</f>
        <v>0.7</v>
      </c>
      <c r="D3478" s="21" t="s">
        <v>3224</v>
      </c>
      <c r="E3478" s="21" t="s">
        <v>714</v>
      </c>
      <c r="F3478" s="21" t="s">
        <v>708</v>
      </c>
    </row>
    <row r="3479" customFormat="false" ht="15" hidden="false" customHeight="false" outlineLevel="0" collapsed="false">
      <c r="B3479" s="19" t="s">
        <v>4581</v>
      </c>
      <c r="C3479" s="20" t="n">
        <f aca="false">ROUND(5.07/FX,2)</f>
        <v>0.7</v>
      </c>
      <c r="D3479" s="21" t="s">
        <v>3224</v>
      </c>
      <c r="E3479" s="21" t="s">
        <v>4000</v>
      </c>
      <c r="F3479" s="21" t="s">
        <v>708</v>
      </c>
    </row>
    <row r="3480" customFormat="false" ht="15" hidden="false" customHeight="false" outlineLevel="0" collapsed="false">
      <c r="B3480" s="19" t="s">
        <v>4582</v>
      </c>
      <c r="C3480" s="20" t="n">
        <f aca="false">ROUND(6.5/FX,2)</f>
        <v>0.9</v>
      </c>
      <c r="D3480" s="21" t="s">
        <v>3224</v>
      </c>
      <c r="E3480" s="21" t="s">
        <v>716</v>
      </c>
      <c r="F3480" s="21" t="s">
        <v>708</v>
      </c>
    </row>
    <row r="3481" customFormat="false" ht="15" hidden="false" customHeight="false" outlineLevel="0" collapsed="false">
      <c r="B3481" s="19" t="s">
        <v>4583</v>
      </c>
      <c r="C3481" s="20" t="n">
        <f aca="false">ROUND(3.12/FX,2)</f>
        <v>0.43</v>
      </c>
      <c r="D3481" s="21" t="s">
        <v>4584</v>
      </c>
      <c r="E3481" s="21" t="s">
        <v>707</v>
      </c>
      <c r="F3481" s="21" t="s">
        <v>708</v>
      </c>
    </row>
    <row r="3482" customFormat="false" ht="15" hidden="false" customHeight="false" outlineLevel="0" collapsed="false">
      <c r="B3482" s="19" t="s">
        <v>4585</v>
      </c>
      <c r="C3482" s="20" t="n">
        <f aca="false">ROUND(20.15/FX,2)</f>
        <v>2.8</v>
      </c>
      <c r="D3482" s="21" t="s">
        <v>4584</v>
      </c>
      <c r="E3482" s="21" t="s">
        <v>714</v>
      </c>
      <c r="F3482" s="21" t="s">
        <v>708</v>
      </c>
    </row>
    <row r="3483" customFormat="false" ht="15" hidden="false" customHeight="false" outlineLevel="0" collapsed="false">
      <c r="B3483" s="19" t="s">
        <v>4586</v>
      </c>
      <c r="C3483" s="20" t="n">
        <f aca="false">ROUND(3.12/FX,2)</f>
        <v>0.43</v>
      </c>
      <c r="D3483" s="21" t="s">
        <v>4584</v>
      </c>
      <c r="E3483" s="21" t="s">
        <v>4000</v>
      </c>
      <c r="F3483" s="21" t="s">
        <v>708</v>
      </c>
    </row>
    <row r="3484" customFormat="false" ht="15" hidden="false" customHeight="false" outlineLevel="0" collapsed="false">
      <c r="B3484" s="19" t="s">
        <v>4587</v>
      </c>
      <c r="C3484" s="20" t="n">
        <f aca="false">ROUND(3.12/FX,2)</f>
        <v>0.43</v>
      </c>
      <c r="D3484" s="21" t="s">
        <v>4584</v>
      </c>
      <c r="E3484" s="21" t="s">
        <v>716</v>
      </c>
      <c r="F3484" s="21" t="s">
        <v>708</v>
      </c>
    </row>
    <row r="3485" customFormat="false" ht="15" hidden="false" customHeight="false" outlineLevel="0" collapsed="false">
      <c r="B3485" s="19" t="s">
        <v>4588</v>
      </c>
      <c r="C3485" s="20" t="n">
        <f aca="false">ROUND(9.88/FX,2)</f>
        <v>1.37</v>
      </c>
      <c r="D3485" s="21" t="s">
        <v>4589</v>
      </c>
      <c r="E3485" s="21" t="s">
        <v>707</v>
      </c>
      <c r="F3485" s="21" t="s">
        <v>708</v>
      </c>
    </row>
    <row r="3486" customFormat="false" ht="15" hidden="false" customHeight="false" outlineLevel="0" collapsed="false">
      <c r="B3486" s="19" t="s">
        <v>4590</v>
      </c>
      <c r="C3486" s="20" t="n">
        <f aca="false">ROUND(14.95/FX,2)</f>
        <v>2.08</v>
      </c>
      <c r="D3486" s="21" t="s">
        <v>4589</v>
      </c>
      <c r="E3486" s="21" t="s">
        <v>714</v>
      </c>
      <c r="F3486" s="21" t="s">
        <v>708</v>
      </c>
    </row>
    <row r="3487" customFormat="false" ht="15" hidden="false" customHeight="false" outlineLevel="0" collapsed="false">
      <c r="B3487" s="19" t="s">
        <v>4591</v>
      </c>
      <c r="C3487" s="20" t="n">
        <f aca="false">ROUND(5.07/FX,2)</f>
        <v>0.7</v>
      </c>
      <c r="D3487" s="21" t="s">
        <v>4589</v>
      </c>
      <c r="E3487" s="21" t="s">
        <v>4000</v>
      </c>
      <c r="F3487" s="21" t="s">
        <v>708</v>
      </c>
    </row>
    <row r="3488" customFormat="false" ht="15" hidden="false" customHeight="false" outlineLevel="0" collapsed="false">
      <c r="B3488" s="19" t="s">
        <v>4592</v>
      </c>
      <c r="C3488" s="20" t="n">
        <f aca="false">ROUND(5.07/FX,2)</f>
        <v>0.7</v>
      </c>
      <c r="D3488" s="21" t="s">
        <v>4589</v>
      </c>
      <c r="E3488" s="21" t="s">
        <v>716</v>
      </c>
      <c r="F3488" s="21" t="s">
        <v>708</v>
      </c>
    </row>
    <row r="3489" customFormat="false" ht="15" hidden="false" customHeight="false" outlineLevel="0" collapsed="false">
      <c r="B3489" s="19" t="s">
        <v>4593</v>
      </c>
      <c r="C3489" s="20" t="n">
        <f aca="false">ROUND(14.3/FX,2)</f>
        <v>1.99</v>
      </c>
      <c r="D3489" s="21" t="s">
        <v>4594</v>
      </c>
      <c r="E3489" s="21" t="s">
        <v>707</v>
      </c>
      <c r="F3489" s="21" t="s">
        <v>708</v>
      </c>
    </row>
    <row r="3490" customFormat="false" ht="15" hidden="false" customHeight="false" outlineLevel="0" collapsed="false">
      <c r="B3490" s="19" t="s">
        <v>4595</v>
      </c>
      <c r="C3490" s="20" t="n">
        <f aca="false">ROUND(3/FX,2)</f>
        <v>0.42</v>
      </c>
      <c r="D3490" s="21" t="s">
        <v>4594</v>
      </c>
      <c r="E3490" s="21" t="s">
        <v>714</v>
      </c>
      <c r="F3490" s="21" t="s">
        <v>708</v>
      </c>
    </row>
    <row r="3491" customFormat="false" ht="15" hidden="false" customHeight="false" outlineLevel="0" collapsed="false">
      <c r="B3491" s="19" t="s">
        <v>4596</v>
      </c>
      <c r="C3491" s="20" t="n">
        <f aca="false">ROUND(6.24/FX,2)</f>
        <v>0.87</v>
      </c>
      <c r="D3491" s="21" t="s">
        <v>4594</v>
      </c>
      <c r="E3491" s="21" t="s">
        <v>4000</v>
      </c>
      <c r="F3491" s="21" t="s">
        <v>708</v>
      </c>
    </row>
    <row r="3492" customFormat="false" ht="15" hidden="false" customHeight="false" outlineLevel="0" collapsed="false">
      <c r="B3492" s="19" t="s">
        <v>4597</v>
      </c>
      <c r="C3492" s="20" t="n">
        <f aca="false">ROUND(2.5/FX,2)</f>
        <v>0.35</v>
      </c>
      <c r="D3492" s="21" t="s">
        <v>4594</v>
      </c>
      <c r="E3492" s="21" t="s">
        <v>716</v>
      </c>
      <c r="F3492" s="21" t="s">
        <v>708</v>
      </c>
    </row>
    <row r="3493" customFormat="false" ht="15" hidden="false" customHeight="false" outlineLevel="0" collapsed="false">
      <c r="B3493" s="19" t="s">
        <v>4598</v>
      </c>
      <c r="C3493" s="20" t="n">
        <f aca="false">ROUND(13.65/FX,2)</f>
        <v>1.9</v>
      </c>
      <c r="D3493" s="21" t="s">
        <v>4599</v>
      </c>
      <c r="E3493" s="21" t="s">
        <v>707</v>
      </c>
      <c r="F3493" s="21" t="s">
        <v>708</v>
      </c>
    </row>
    <row r="3494" customFormat="false" ht="15" hidden="false" customHeight="false" outlineLevel="0" collapsed="false">
      <c r="B3494" s="19" t="s">
        <v>4600</v>
      </c>
      <c r="C3494" s="20" t="n">
        <f aca="false">ROUND(5.07/FX,2)</f>
        <v>0.7</v>
      </c>
      <c r="D3494" s="21" t="s">
        <v>4599</v>
      </c>
      <c r="E3494" s="21" t="s">
        <v>714</v>
      </c>
      <c r="F3494" s="21" t="s">
        <v>708</v>
      </c>
    </row>
    <row r="3495" customFormat="false" ht="15" hidden="false" customHeight="false" outlineLevel="0" collapsed="false">
      <c r="B3495" s="19" t="s">
        <v>4601</v>
      </c>
      <c r="C3495" s="20" t="n">
        <f aca="false">ROUND(5.07/FX,2)</f>
        <v>0.7</v>
      </c>
      <c r="D3495" s="21" t="s">
        <v>4599</v>
      </c>
      <c r="E3495" s="21" t="s">
        <v>4000</v>
      </c>
      <c r="F3495" s="21" t="s">
        <v>708</v>
      </c>
    </row>
    <row r="3496" customFormat="false" ht="15" hidden="false" customHeight="false" outlineLevel="0" collapsed="false">
      <c r="B3496" s="19" t="s">
        <v>4602</v>
      </c>
      <c r="C3496" s="20" t="n">
        <f aca="false">ROUND(5.07/FX,2)</f>
        <v>0.7</v>
      </c>
      <c r="D3496" s="21" t="s">
        <v>4599</v>
      </c>
      <c r="E3496" s="21" t="s">
        <v>716</v>
      </c>
      <c r="F3496" s="21" t="s">
        <v>708</v>
      </c>
    </row>
    <row r="3497" customFormat="false" ht="15" hidden="false" customHeight="false" outlineLevel="0" collapsed="false">
      <c r="B3497" s="19" t="s">
        <v>4603</v>
      </c>
      <c r="C3497" s="20" t="n">
        <f aca="false">ROUND(14.3/FX,2)</f>
        <v>1.99</v>
      </c>
      <c r="D3497" s="21" t="s">
        <v>4604</v>
      </c>
      <c r="E3497" s="21" t="s">
        <v>707</v>
      </c>
      <c r="F3497" s="21" t="s">
        <v>708</v>
      </c>
    </row>
    <row r="3498" customFormat="false" ht="15" hidden="false" customHeight="false" outlineLevel="0" collapsed="false">
      <c r="B3498" s="19" t="s">
        <v>4605</v>
      </c>
      <c r="C3498" s="20" t="n">
        <f aca="false">ROUND(21.45/FX,2)</f>
        <v>2.98</v>
      </c>
      <c r="D3498" s="21" t="s">
        <v>4604</v>
      </c>
      <c r="E3498" s="21" t="s">
        <v>714</v>
      </c>
      <c r="F3498" s="21" t="s">
        <v>708</v>
      </c>
    </row>
    <row r="3499" customFormat="false" ht="15" hidden="false" customHeight="false" outlineLevel="0" collapsed="false">
      <c r="B3499" s="19" t="s">
        <v>4606</v>
      </c>
      <c r="C3499" s="20" t="n">
        <f aca="false">ROUND(6.24/FX,2)</f>
        <v>0.87</v>
      </c>
      <c r="D3499" s="21" t="s">
        <v>4604</v>
      </c>
      <c r="E3499" s="21" t="s">
        <v>4000</v>
      </c>
      <c r="F3499" s="21" t="s">
        <v>708</v>
      </c>
    </row>
    <row r="3500" customFormat="false" ht="15" hidden="false" customHeight="false" outlineLevel="0" collapsed="false">
      <c r="B3500" s="19" t="s">
        <v>4607</v>
      </c>
      <c r="C3500" s="20" t="n">
        <f aca="false">ROUND(2.5/FX,2)</f>
        <v>0.35</v>
      </c>
      <c r="D3500" s="21" t="s">
        <v>4604</v>
      </c>
      <c r="E3500" s="21" t="s">
        <v>716</v>
      </c>
      <c r="F3500" s="21" t="s">
        <v>708</v>
      </c>
    </row>
    <row r="3501" customFormat="false" ht="15" hidden="false" customHeight="false" outlineLevel="0" collapsed="false">
      <c r="B3501" s="19" t="s">
        <v>4608</v>
      </c>
      <c r="C3501" s="20" t="n">
        <f aca="false">ROUND(11.7/FX,2)</f>
        <v>1.63</v>
      </c>
      <c r="D3501" s="21" t="s">
        <v>4609</v>
      </c>
      <c r="E3501" s="21" t="s">
        <v>707</v>
      </c>
      <c r="F3501" s="21" t="s">
        <v>708</v>
      </c>
    </row>
    <row r="3502" customFormat="false" ht="15" hidden="false" customHeight="false" outlineLevel="0" collapsed="false">
      <c r="B3502" s="19" t="s">
        <v>4610</v>
      </c>
      <c r="C3502" s="20" t="n">
        <f aca="false">ROUND(17.55/FX,2)</f>
        <v>2.44</v>
      </c>
      <c r="D3502" s="21" t="s">
        <v>4609</v>
      </c>
      <c r="E3502" s="21" t="s">
        <v>714</v>
      </c>
      <c r="F3502" s="21" t="s">
        <v>708</v>
      </c>
    </row>
    <row r="3503" customFormat="false" ht="15" hidden="false" customHeight="false" outlineLevel="0" collapsed="false">
      <c r="B3503" s="19" t="s">
        <v>4611</v>
      </c>
      <c r="C3503" s="20" t="n">
        <f aca="false">ROUND(6.24/FX,2)</f>
        <v>0.87</v>
      </c>
      <c r="D3503" s="21" t="s">
        <v>4609</v>
      </c>
      <c r="E3503" s="21" t="s">
        <v>4000</v>
      </c>
      <c r="F3503" s="21" t="s">
        <v>708</v>
      </c>
    </row>
    <row r="3504" customFormat="false" ht="15" hidden="false" customHeight="false" outlineLevel="0" collapsed="false">
      <c r="B3504" s="19" t="s">
        <v>4612</v>
      </c>
      <c r="C3504" s="20" t="n">
        <f aca="false">ROUND(2.5/FX,2)</f>
        <v>0.35</v>
      </c>
      <c r="D3504" s="21" t="s">
        <v>4609</v>
      </c>
      <c r="E3504" s="21" t="s">
        <v>716</v>
      </c>
      <c r="F3504" s="21" t="s">
        <v>708</v>
      </c>
    </row>
    <row r="3505" customFormat="false" ht="15" hidden="false" customHeight="false" outlineLevel="0" collapsed="false">
      <c r="B3505" s="19" t="s">
        <v>4613</v>
      </c>
      <c r="C3505" s="20" t="n">
        <f aca="false">ROUND(17.55/FX,2)</f>
        <v>2.44</v>
      </c>
      <c r="D3505" s="21" t="s">
        <v>4614</v>
      </c>
      <c r="E3505" s="21" t="s">
        <v>707</v>
      </c>
      <c r="F3505" s="21" t="s">
        <v>708</v>
      </c>
    </row>
    <row r="3506" customFormat="false" ht="15" hidden="false" customHeight="false" outlineLevel="0" collapsed="false">
      <c r="B3506" s="19" t="s">
        <v>4615</v>
      </c>
      <c r="C3506" s="20" t="n">
        <f aca="false">ROUND(24.7/FX,2)</f>
        <v>3.43</v>
      </c>
      <c r="D3506" s="21" t="s">
        <v>4614</v>
      </c>
      <c r="E3506" s="21" t="s">
        <v>714</v>
      </c>
      <c r="F3506" s="21" t="s">
        <v>708</v>
      </c>
    </row>
    <row r="3507" customFormat="false" ht="15" hidden="false" customHeight="false" outlineLevel="0" collapsed="false">
      <c r="B3507" s="19" t="s">
        <v>4616</v>
      </c>
      <c r="C3507" s="20" t="n">
        <f aca="false">ROUND(6.24/FX,2)</f>
        <v>0.87</v>
      </c>
      <c r="D3507" s="21" t="s">
        <v>4614</v>
      </c>
      <c r="E3507" s="21" t="s">
        <v>4000</v>
      </c>
      <c r="F3507" s="21" t="s">
        <v>708</v>
      </c>
    </row>
    <row r="3508" customFormat="false" ht="15" hidden="false" customHeight="false" outlineLevel="0" collapsed="false">
      <c r="B3508" s="19" t="s">
        <v>4617</v>
      </c>
      <c r="C3508" s="20" t="n">
        <f aca="false">ROUND(2.5/FX,2)</f>
        <v>0.35</v>
      </c>
      <c r="D3508" s="21" t="s">
        <v>4614</v>
      </c>
      <c r="E3508" s="21" t="s">
        <v>716</v>
      </c>
      <c r="F3508" s="21" t="s">
        <v>708</v>
      </c>
    </row>
    <row r="3509" customFormat="false" ht="15" hidden="false" customHeight="false" outlineLevel="0" collapsed="false">
      <c r="B3509" s="19" t="s">
        <v>4618</v>
      </c>
      <c r="C3509" s="20" t="n">
        <f aca="false">ROUND(5.07/FX,2)</f>
        <v>0.7</v>
      </c>
      <c r="D3509" s="21" t="s">
        <v>4619</v>
      </c>
      <c r="E3509" s="21" t="s">
        <v>707</v>
      </c>
      <c r="F3509" s="21" t="s">
        <v>708</v>
      </c>
    </row>
    <row r="3510" customFormat="false" ht="15" hidden="false" customHeight="false" outlineLevel="0" collapsed="false">
      <c r="B3510" s="19" t="s">
        <v>4620</v>
      </c>
      <c r="C3510" s="20" t="n">
        <f aca="false">ROUND(28.6/FX,2)</f>
        <v>3.97</v>
      </c>
      <c r="D3510" s="21" t="s">
        <v>4619</v>
      </c>
      <c r="E3510" s="21" t="s">
        <v>714</v>
      </c>
      <c r="F3510" s="21" t="s">
        <v>708</v>
      </c>
    </row>
    <row r="3511" customFormat="false" ht="15" hidden="false" customHeight="false" outlineLevel="0" collapsed="false">
      <c r="B3511" s="19" t="s">
        <v>4621</v>
      </c>
      <c r="C3511" s="20" t="n">
        <f aca="false">ROUND(5.07/FX,2)</f>
        <v>0.7</v>
      </c>
      <c r="D3511" s="21" t="s">
        <v>4619</v>
      </c>
      <c r="E3511" s="21" t="s">
        <v>4000</v>
      </c>
      <c r="F3511" s="21" t="s">
        <v>708</v>
      </c>
    </row>
    <row r="3512" customFormat="false" ht="15" hidden="false" customHeight="false" outlineLevel="0" collapsed="false">
      <c r="B3512" s="19" t="s">
        <v>4622</v>
      </c>
      <c r="C3512" s="20" t="n">
        <f aca="false">ROUND(5.07/FX,2)</f>
        <v>0.7</v>
      </c>
      <c r="D3512" s="21" t="s">
        <v>4619</v>
      </c>
      <c r="E3512" s="21" t="s">
        <v>716</v>
      </c>
      <c r="F3512" s="21" t="s">
        <v>708</v>
      </c>
    </row>
    <row r="3513" customFormat="false" ht="15" hidden="false" customHeight="false" outlineLevel="0" collapsed="false">
      <c r="B3513" s="19" t="s">
        <v>4623</v>
      </c>
      <c r="C3513" s="20" t="n">
        <f aca="false">ROUND(5.07/FX,2)</f>
        <v>0.7</v>
      </c>
      <c r="D3513" s="21" t="s">
        <v>1936</v>
      </c>
      <c r="E3513" s="21" t="s">
        <v>707</v>
      </c>
      <c r="F3513" s="21" t="s">
        <v>708</v>
      </c>
    </row>
    <row r="3514" customFormat="false" ht="15" hidden="false" customHeight="false" outlineLevel="0" collapsed="false">
      <c r="B3514" s="19" t="s">
        <v>4624</v>
      </c>
      <c r="C3514" s="20" t="n">
        <f aca="false">ROUND(28.6/FX,2)</f>
        <v>3.97</v>
      </c>
      <c r="D3514" s="21" t="s">
        <v>1936</v>
      </c>
      <c r="E3514" s="21" t="s">
        <v>714</v>
      </c>
      <c r="F3514" s="21" t="s">
        <v>708</v>
      </c>
    </row>
    <row r="3515" customFormat="false" ht="15" hidden="false" customHeight="false" outlineLevel="0" collapsed="false">
      <c r="B3515" s="19" t="s">
        <v>4625</v>
      </c>
      <c r="C3515" s="20" t="n">
        <f aca="false">ROUND(5.07/FX,2)</f>
        <v>0.7</v>
      </c>
      <c r="D3515" s="21" t="s">
        <v>1936</v>
      </c>
      <c r="E3515" s="21" t="s">
        <v>4000</v>
      </c>
      <c r="F3515" s="21" t="s">
        <v>708</v>
      </c>
    </row>
    <row r="3516" customFormat="false" ht="15" hidden="false" customHeight="false" outlineLevel="0" collapsed="false">
      <c r="B3516" s="19" t="s">
        <v>4626</v>
      </c>
      <c r="C3516" s="20" t="n">
        <f aca="false">ROUND(5.07/FX,2)</f>
        <v>0.7</v>
      </c>
      <c r="D3516" s="21" t="s">
        <v>1936</v>
      </c>
      <c r="E3516" s="21" t="s">
        <v>716</v>
      </c>
      <c r="F3516" s="21" t="s">
        <v>708</v>
      </c>
    </row>
    <row r="3517" customFormat="false" ht="15" hidden="false" customHeight="false" outlineLevel="0" collapsed="false">
      <c r="B3517" s="19" t="s">
        <v>4627</v>
      </c>
      <c r="C3517" s="20" t="n">
        <f aca="false">ROUND(5.07/FX,2)</f>
        <v>0.7</v>
      </c>
      <c r="D3517" s="21" t="s">
        <v>4628</v>
      </c>
      <c r="E3517" s="21" t="s">
        <v>707</v>
      </c>
      <c r="F3517" s="21" t="s">
        <v>708</v>
      </c>
    </row>
    <row r="3518" customFormat="false" ht="15" hidden="false" customHeight="false" outlineLevel="0" collapsed="false">
      <c r="B3518" s="19" t="s">
        <v>4629</v>
      </c>
      <c r="C3518" s="20" t="n">
        <f aca="false">ROUND(23.92/FX,2)</f>
        <v>3.32</v>
      </c>
      <c r="D3518" s="21" t="s">
        <v>4628</v>
      </c>
      <c r="E3518" s="21" t="s">
        <v>714</v>
      </c>
      <c r="F3518" s="21" t="s">
        <v>708</v>
      </c>
    </row>
    <row r="3519" customFormat="false" ht="15" hidden="false" customHeight="false" outlineLevel="0" collapsed="false">
      <c r="B3519" s="19" t="s">
        <v>4630</v>
      </c>
      <c r="C3519" s="20" t="n">
        <f aca="false">ROUND(26.64/FX,2)</f>
        <v>3.7</v>
      </c>
      <c r="D3519" s="21" t="s">
        <v>4628</v>
      </c>
      <c r="E3519" s="21" t="s">
        <v>4000</v>
      </c>
      <c r="F3519" s="21" t="s">
        <v>708</v>
      </c>
    </row>
    <row r="3520" customFormat="false" ht="15" hidden="false" customHeight="false" outlineLevel="0" collapsed="false">
      <c r="B3520" s="19" t="s">
        <v>4631</v>
      </c>
      <c r="C3520" s="20" t="n">
        <f aca="false">ROUND(5.07/FX,2)</f>
        <v>0.7</v>
      </c>
      <c r="D3520" s="21" t="s">
        <v>4628</v>
      </c>
      <c r="E3520" s="21" t="s">
        <v>716</v>
      </c>
      <c r="F3520" s="21" t="s">
        <v>708</v>
      </c>
    </row>
    <row r="3521" customFormat="false" ht="15" hidden="false" customHeight="false" outlineLevel="0" collapsed="false">
      <c r="B3521" s="19" t="s">
        <v>4632</v>
      </c>
      <c r="C3521" s="20" t="n">
        <f aca="false">ROUND(5.07/FX,2)</f>
        <v>0.7</v>
      </c>
      <c r="D3521" s="21" t="s">
        <v>1954</v>
      </c>
      <c r="E3521" s="21" t="s">
        <v>707</v>
      </c>
      <c r="F3521" s="21" t="s">
        <v>708</v>
      </c>
    </row>
    <row r="3522" customFormat="false" ht="15" hidden="false" customHeight="false" outlineLevel="0" collapsed="false">
      <c r="B3522" s="19" t="s">
        <v>4633</v>
      </c>
      <c r="C3522" s="20" t="n">
        <f aca="false">ROUND(39/FX,2)</f>
        <v>5.42</v>
      </c>
      <c r="D3522" s="21" t="s">
        <v>1954</v>
      </c>
      <c r="E3522" s="21" t="s">
        <v>714</v>
      </c>
      <c r="F3522" s="21" t="s">
        <v>708</v>
      </c>
    </row>
    <row r="3523" customFormat="false" ht="15" hidden="false" customHeight="false" outlineLevel="0" collapsed="false">
      <c r="B3523" s="19" t="s">
        <v>4634</v>
      </c>
      <c r="C3523" s="20" t="n">
        <f aca="false">ROUND(5.07/FX,2)</f>
        <v>0.7</v>
      </c>
      <c r="D3523" s="21" t="s">
        <v>1954</v>
      </c>
      <c r="E3523" s="21" t="s">
        <v>4000</v>
      </c>
      <c r="F3523" s="21" t="s">
        <v>708</v>
      </c>
    </row>
    <row r="3524" customFormat="false" ht="15" hidden="false" customHeight="false" outlineLevel="0" collapsed="false">
      <c r="B3524" s="19" t="s">
        <v>4635</v>
      </c>
      <c r="C3524" s="20" t="n">
        <f aca="false">ROUND(5.07/FX,2)</f>
        <v>0.7</v>
      </c>
      <c r="D3524" s="21" t="s">
        <v>1954</v>
      </c>
      <c r="E3524" s="21" t="s">
        <v>716</v>
      </c>
      <c r="F3524" s="21" t="s">
        <v>708</v>
      </c>
    </row>
    <row r="3525" customFormat="false" ht="15" hidden="false" customHeight="false" outlineLevel="0" collapsed="false">
      <c r="B3525" s="19" t="s">
        <v>4636</v>
      </c>
      <c r="C3525" s="20" t="n">
        <f aca="false">ROUND(5.07/FX,2)</f>
        <v>0.7</v>
      </c>
      <c r="D3525" s="21" t="s">
        <v>4637</v>
      </c>
      <c r="E3525" s="21" t="s">
        <v>707</v>
      </c>
      <c r="F3525" s="21" t="s">
        <v>708</v>
      </c>
    </row>
    <row r="3526" customFormat="false" ht="15" hidden="false" customHeight="false" outlineLevel="0" collapsed="false">
      <c r="B3526" s="19" t="s">
        <v>4638</v>
      </c>
      <c r="C3526" s="20" t="n">
        <f aca="false">ROUND(5.07/FX,2)</f>
        <v>0.7</v>
      </c>
      <c r="D3526" s="21" t="s">
        <v>4637</v>
      </c>
      <c r="E3526" s="21" t="s">
        <v>714</v>
      </c>
      <c r="F3526" s="21" t="s">
        <v>708</v>
      </c>
    </row>
    <row r="3527" customFormat="false" ht="15" hidden="false" customHeight="false" outlineLevel="0" collapsed="false">
      <c r="B3527" s="19" t="s">
        <v>4639</v>
      </c>
      <c r="C3527" s="20" t="n">
        <f aca="false">ROUND(54.6/FX,2)</f>
        <v>7.58</v>
      </c>
      <c r="D3527" s="21" t="s">
        <v>4637</v>
      </c>
      <c r="E3527" s="21" t="s">
        <v>4000</v>
      </c>
      <c r="F3527" s="21" t="s">
        <v>708</v>
      </c>
    </row>
    <row r="3528" customFormat="false" ht="15" hidden="false" customHeight="false" outlineLevel="0" collapsed="false">
      <c r="B3528" s="19" t="s">
        <v>4640</v>
      </c>
      <c r="C3528" s="20" t="n">
        <f aca="false">ROUND(5.07/FX,2)</f>
        <v>0.7</v>
      </c>
      <c r="D3528" s="21" t="s">
        <v>4637</v>
      </c>
      <c r="E3528" s="21" t="s">
        <v>716</v>
      </c>
      <c r="F3528" s="21" t="s">
        <v>708</v>
      </c>
    </row>
    <row r="3529" customFormat="false" ht="15" hidden="false" customHeight="false" outlineLevel="0" collapsed="false">
      <c r="B3529" s="19" t="s">
        <v>4641</v>
      </c>
      <c r="C3529" s="20" t="n">
        <f aca="false">ROUND(5.07/FX,2)</f>
        <v>0.7</v>
      </c>
      <c r="D3529" s="21" t="s">
        <v>4642</v>
      </c>
      <c r="E3529" s="21" t="s">
        <v>707</v>
      </c>
      <c r="F3529" s="21" t="s">
        <v>708</v>
      </c>
    </row>
    <row r="3530" customFormat="false" ht="15" hidden="false" customHeight="false" outlineLevel="0" collapsed="false">
      <c r="B3530" s="19" t="s">
        <v>4643</v>
      </c>
      <c r="C3530" s="20" t="n">
        <f aca="false">ROUND(26/FX,2)</f>
        <v>3.61</v>
      </c>
      <c r="D3530" s="21" t="s">
        <v>4642</v>
      </c>
      <c r="E3530" s="21" t="s">
        <v>714</v>
      </c>
      <c r="F3530" s="21" t="s">
        <v>708</v>
      </c>
    </row>
    <row r="3531" customFormat="false" ht="15" hidden="false" customHeight="false" outlineLevel="0" collapsed="false">
      <c r="B3531" s="19" t="s">
        <v>4644</v>
      </c>
      <c r="C3531" s="20" t="n">
        <f aca="false">ROUND(5.07/FX,2)</f>
        <v>0.7</v>
      </c>
      <c r="D3531" s="21" t="s">
        <v>4642</v>
      </c>
      <c r="E3531" s="21" t="s">
        <v>4000</v>
      </c>
      <c r="F3531" s="21" t="s">
        <v>708</v>
      </c>
    </row>
    <row r="3532" customFormat="false" ht="15" hidden="false" customHeight="false" outlineLevel="0" collapsed="false">
      <c r="B3532" s="19" t="s">
        <v>4645</v>
      </c>
      <c r="C3532" s="20" t="n">
        <f aca="false">ROUND(5.07/FX,2)</f>
        <v>0.7</v>
      </c>
      <c r="D3532" s="21" t="s">
        <v>4642</v>
      </c>
      <c r="E3532" s="21" t="s">
        <v>716</v>
      </c>
      <c r="F3532" s="21" t="s">
        <v>708</v>
      </c>
    </row>
    <row r="3533" customFormat="false" ht="15" hidden="false" customHeight="false" outlineLevel="0" collapsed="false">
      <c r="B3533" s="19" t="s">
        <v>4646</v>
      </c>
      <c r="C3533" s="20" t="n">
        <f aca="false">ROUND(5.07/FX,2)</f>
        <v>0.7</v>
      </c>
      <c r="D3533" s="21" t="s">
        <v>4647</v>
      </c>
      <c r="E3533" s="21" t="s">
        <v>707</v>
      </c>
      <c r="F3533" s="21" t="s">
        <v>708</v>
      </c>
    </row>
    <row r="3534" customFormat="false" ht="15" hidden="false" customHeight="false" outlineLevel="0" collapsed="false">
      <c r="B3534" s="19" t="s">
        <v>4648</v>
      </c>
      <c r="C3534" s="20" t="n">
        <f aca="false">ROUND(50.7/FX,2)</f>
        <v>7.04</v>
      </c>
      <c r="D3534" s="21" t="s">
        <v>4647</v>
      </c>
      <c r="E3534" s="21" t="s">
        <v>714</v>
      </c>
      <c r="F3534" s="21" t="s">
        <v>708</v>
      </c>
    </row>
    <row r="3535" customFormat="false" ht="15" hidden="false" customHeight="false" outlineLevel="0" collapsed="false">
      <c r="B3535" s="19" t="s">
        <v>4649</v>
      </c>
      <c r="C3535" s="20" t="n">
        <f aca="false">ROUND(5.07/FX,2)</f>
        <v>0.7</v>
      </c>
      <c r="D3535" s="21" t="s">
        <v>4647</v>
      </c>
      <c r="E3535" s="21" t="s">
        <v>4000</v>
      </c>
      <c r="F3535" s="21" t="s">
        <v>708</v>
      </c>
    </row>
    <row r="3536" customFormat="false" ht="15" hidden="false" customHeight="false" outlineLevel="0" collapsed="false">
      <c r="B3536" s="19" t="s">
        <v>4650</v>
      </c>
      <c r="C3536" s="20" t="n">
        <f aca="false">ROUND(5.07/FX,2)</f>
        <v>0.7</v>
      </c>
      <c r="D3536" s="21" t="s">
        <v>4647</v>
      </c>
      <c r="E3536" s="21" t="s">
        <v>716</v>
      </c>
      <c r="F3536" s="21" t="s">
        <v>708</v>
      </c>
    </row>
    <row r="3537" customFormat="false" ht="15" hidden="false" customHeight="false" outlineLevel="0" collapsed="false">
      <c r="B3537" s="19" t="s">
        <v>4651</v>
      </c>
      <c r="C3537" s="20" t="n">
        <f aca="false">ROUND(5.07/FX,2)</f>
        <v>0.7</v>
      </c>
      <c r="D3537" s="21" t="s">
        <v>1966</v>
      </c>
      <c r="E3537" s="21" t="s">
        <v>707</v>
      </c>
      <c r="F3537" s="21" t="s">
        <v>708</v>
      </c>
    </row>
    <row r="3538" customFormat="false" ht="15" hidden="false" customHeight="false" outlineLevel="0" collapsed="false">
      <c r="B3538" s="19" t="s">
        <v>4652</v>
      </c>
      <c r="C3538" s="20" t="n">
        <f aca="false">ROUND(50.7/FX,2)</f>
        <v>7.04</v>
      </c>
      <c r="D3538" s="21" t="s">
        <v>1966</v>
      </c>
      <c r="E3538" s="21" t="s">
        <v>714</v>
      </c>
      <c r="F3538" s="21" t="s">
        <v>708</v>
      </c>
    </row>
    <row r="3539" customFormat="false" ht="15" hidden="false" customHeight="false" outlineLevel="0" collapsed="false">
      <c r="B3539" s="19" t="s">
        <v>4653</v>
      </c>
      <c r="C3539" s="20" t="n">
        <f aca="false">ROUND(5.07/FX,2)</f>
        <v>0.7</v>
      </c>
      <c r="D3539" s="21" t="s">
        <v>1966</v>
      </c>
      <c r="E3539" s="21" t="s">
        <v>4000</v>
      </c>
      <c r="F3539" s="21" t="s">
        <v>708</v>
      </c>
    </row>
    <row r="3540" customFormat="false" ht="15" hidden="false" customHeight="false" outlineLevel="0" collapsed="false">
      <c r="B3540" s="19" t="s">
        <v>4654</v>
      </c>
      <c r="C3540" s="20" t="n">
        <f aca="false">ROUND(5.07/FX,2)</f>
        <v>0.7</v>
      </c>
      <c r="D3540" s="21" t="s">
        <v>1966</v>
      </c>
      <c r="E3540" s="21" t="s">
        <v>716</v>
      </c>
      <c r="F3540" s="21" t="s">
        <v>708</v>
      </c>
    </row>
    <row r="3541" customFormat="false" ht="15" hidden="false" customHeight="false" outlineLevel="0" collapsed="false">
      <c r="B3541" s="19" t="s">
        <v>4655</v>
      </c>
      <c r="C3541" s="20" t="n">
        <f aca="false">ROUND(55.9/FX,2)</f>
        <v>7.76</v>
      </c>
      <c r="D3541" s="21" t="s">
        <v>4656</v>
      </c>
      <c r="E3541" s="21" t="s">
        <v>707</v>
      </c>
      <c r="F3541" s="21" t="s">
        <v>708</v>
      </c>
    </row>
    <row r="3542" customFormat="false" ht="15" hidden="false" customHeight="false" outlineLevel="0" collapsed="false">
      <c r="B3542" s="19" t="s">
        <v>4657</v>
      </c>
      <c r="C3542" s="20" t="n">
        <f aca="false">ROUND(3.77/FX,2)</f>
        <v>0.52</v>
      </c>
      <c r="D3542" s="21" t="s">
        <v>4656</v>
      </c>
      <c r="E3542" s="21" t="s">
        <v>714</v>
      </c>
      <c r="F3542" s="21" t="s">
        <v>708</v>
      </c>
    </row>
    <row r="3543" customFormat="false" ht="15" hidden="false" customHeight="false" outlineLevel="0" collapsed="false">
      <c r="B3543" s="19" t="s">
        <v>4658</v>
      </c>
      <c r="C3543" s="20" t="n">
        <f aca="false">ROUND(6.24/FX,2)</f>
        <v>0.87</v>
      </c>
      <c r="D3543" s="21" t="s">
        <v>4656</v>
      </c>
      <c r="E3543" s="21" t="s">
        <v>4000</v>
      </c>
      <c r="F3543" s="21" t="s">
        <v>708</v>
      </c>
    </row>
    <row r="3544" customFormat="false" ht="15" hidden="false" customHeight="false" outlineLevel="0" collapsed="false">
      <c r="B3544" s="19" t="s">
        <v>4659</v>
      </c>
      <c r="C3544" s="20" t="n">
        <f aca="false">ROUND(2.5/FX,2)</f>
        <v>0.35</v>
      </c>
      <c r="D3544" s="21" t="s">
        <v>4656</v>
      </c>
      <c r="E3544" s="21" t="s">
        <v>716</v>
      </c>
      <c r="F3544" s="21" t="s">
        <v>708</v>
      </c>
    </row>
    <row r="3545" customFormat="false" ht="15" hidden="false" customHeight="false" outlineLevel="0" collapsed="false">
      <c r="B3545" s="19" t="s">
        <v>4660</v>
      </c>
      <c r="C3545" s="20" t="n">
        <f aca="false">ROUND(55.9/FX,2)</f>
        <v>7.76</v>
      </c>
      <c r="D3545" s="21" t="s">
        <v>4661</v>
      </c>
      <c r="E3545" s="21" t="s">
        <v>707</v>
      </c>
      <c r="F3545" s="21" t="s">
        <v>708</v>
      </c>
    </row>
    <row r="3546" customFormat="false" ht="15" hidden="false" customHeight="false" outlineLevel="0" collapsed="false">
      <c r="B3546" s="19" t="s">
        <v>4662</v>
      </c>
      <c r="C3546" s="20" t="n">
        <f aca="false">ROUND(3.77/FX,2)</f>
        <v>0.52</v>
      </c>
      <c r="D3546" s="21" t="s">
        <v>4661</v>
      </c>
      <c r="E3546" s="21" t="s">
        <v>714</v>
      </c>
      <c r="F3546" s="21" t="s">
        <v>708</v>
      </c>
    </row>
    <row r="3547" customFormat="false" ht="15" hidden="false" customHeight="false" outlineLevel="0" collapsed="false">
      <c r="B3547" s="19" t="s">
        <v>4663</v>
      </c>
      <c r="C3547" s="20" t="n">
        <f aca="false">ROUND(6.24/FX,2)</f>
        <v>0.87</v>
      </c>
      <c r="D3547" s="21" t="s">
        <v>4661</v>
      </c>
      <c r="E3547" s="21" t="s">
        <v>4000</v>
      </c>
      <c r="F3547" s="21" t="s">
        <v>708</v>
      </c>
    </row>
    <row r="3548" customFormat="false" ht="15" hidden="false" customHeight="false" outlineLevel="0" collapsed="false">
      <c r="B3548" s="19" t="s">
        <v>4664</v>
      </c>
      <c r="C3548" s="20" t="n">
        <f aca="false">ROUND(2.5/FX,2)</f>
        <v>0.35</v>
      </c>
      <c r="D3548" s="21" t="s">
        <v>4661</v>
      </c>
      <c r="E3548" s="21" t="s">
        <v>716</v>
      </c>
      <c r="F3548" s="21" t="s">
        <v>708</v>
      </c>
    </row>
    <row r="3549" customFormat="false" ht="15" hidden="false" customHeight="false" outlineLevel="0" collapsed="false">
      <c r="B3549" s="19" t="s">
        <v>4665</v>
      </c>
      <c r="C3549" s="20" t="n">
        <f aca="false">ROUND(5.07/FX,2)</f>
        <v>0.7</v>
      </c>
      <c r="D3549" s="21" t="s">
        <v>4666</v>
      </c>
      <c r="E3549" s="21" t="s">
        <v>707</v>
      </c>
      <c r="F3549" s="21" t="s">
        <v>708</v>
      </c>
    </row>
    <row r="3550" customFormat="false" ht="15" hidden="false" customHeight="false" outlineLevel="0" collapsed="false">
      <c r="B3550" s="19" t="s">
        <v>4667</v>
      </c>
      <c r="C3550" s="20" t="n">
        <f aca="false">ROUND(54.6/FX,2)</f>
        <v>7.58</v>
      </c>
      <c r="D3550" s="21" t="s">
        <v>4666</v>
      </c>
      <c r="E3550" s="21" t="s">
        <v>714</v>
      </c>
      <c r="F3550" s="21" t="s">
        <v>708</v>
      </c>
    </row>
    <row r="3551" customFormat="false" ht="15" hidden="false" customHeight="false" outlineLevel="0" collapsed="false">
      <c r="B3551" s="19" t="s">
        <v>4668</v>
      </c>
      <c r="C3551" s="20" t="n">
        <f aca="false">ROUND(5.07/FX,2)</f>
        <v>0.7</v>
      </c>
      <c r="D3551" s="21" t="s">
        <v>4666</v>
      </c>
      <c r="E3551" s="21" t="s">
        <v>4000</v>
      </c>
      <c r="F3551" s="21" t="s">
        <v>708</v>
      </c>
    </row>
    <row r="3552" customFormat="false" ht="15" hidden="false" customHeight="false" outlineLevel="0" collapsed="false">
      <c r="B3552" s="19" t="s">
        <v>4669</v>
      </c>
      <c r="C3552" s="20" t="n">
        <f aca="false">ROUND(5.07/FX,2)</f>
        <v>0.7</v>
      </c>
      <c r="D3552" s="21" t="s">
        <v>4666</v>
      </c>
      <c r="E3552" s="21" t="s">
        <v>716</v>
      </c>
      <c r="F3552" s="21" t="s">
        <v>708</v>
      </c>
    </row>
    <row r="3553" customFormat="false" ht="15" hidden="false" customHeight="false" outlineLevel="0" collapsed="false">
      <c r="B3553" s="19" t="s">
        <v>4670</v>
      </c>
      <c r="C3553" s="20" t="n">
        <f aca="false">ROUND(5.07/FX,2)</f>
        <v>0.7</v>
      </c>
      <c r="D3553" s="21" t="s">
        <v>4671</v>
      </c>
      <c r="E3553" s="21" t="s">
        <v>707</v>
      </c>
      <c r="F3553" s="21" t="s">
        <v>708</v>
      </c>
    </row>
    <row r="3554" customFormat="false" ht="15" hidden="false" customHeight="false" outlineLevel="0" collapsed="false">
      <c r="B3554" s="19" t="s">
        <v>4672</v>
      </c>
      <c r="C3554" s="20" t="n">
        <f aca="false">ROUND(52/FX,2)</f>
        <v>7.22</v>
      </c>
      <c r="D3554" s="21" t="s">
        <v>4671</v>
      </c>
      <c r="E3554" s="21" t="s">
        <v>714</v>
      </c>
      <c r="F3554" s="21" t="s">
        <v>708</v>
      </c>
    </row>
    <row r="3555" customFormat="false" ht="15" hidden="false" customHeight="false" outlineLevel="0" collapsed="false">
      <c r="B3555" s="19" t="s">
        <v>4673</v>
      </c>
      <c r="C3555" s="20" t="n">
        <f aca="false">ROUND(5.07/FX,2)</f>
        <v>0.7</v>
      </c>
      <c r="D3555" s="21" t="s">
        <v>4671</v>
      </c>
      <c r="E3555" s="21" t="s">
        <v>4000</v>
      </c>
      <c r="F3555" s="21" t="s">
        <v>708</v>
      </c>
    </row>
    <row r="3556" customFormat="false" ht="15" hidden="false" customHeight="false" outlineLevel="0" collapsed="false">
      <c r="B3556" s="19" t="s">
        <v>4674</v>
      </c>
      <c r="C3556" s="20" t="n">
        <f aca="false">ROUND(5.07/FX,2)</f>
        <v>0.7</v>
      </c>
      <c r="D3556" s="21" t="s">
        <v>4671</v>
      </c>
      <c r="E3556" s="21" t="s">
        <v>716</v>
      </c>
      <c r="F3556" s="21" t="s">
        <v>708</v>
      </c>
    </row>
    <row r="3557" customFormat="false" ht="15" hidden="false" customHeight="false" outlineLevel="0" collapsed="false">
      <c r="B3557" s="19" t="s">
        <v>4675</v>
      </c>
      <c r="C3557" s="20" t="n">
        <f aca="false">ROUND(5.07/FX,2)</f>
        <v>0.7</v>
      </c>
      <c r="D3557" s="21" t="s">
        <v>2385</v>
      </c>
      <c r="E3557" s="21" t="s">
        <v>707</v>
      </c>
      <c r="F3557" s="21" t="s">
        <v>708</v>
      </c>
    </row>
    <row r="3558" customFormat="false" ht="15" hidden="false" customHeight="false" outlineLevel="0" collapsed="false">
      <c r="B3558" s="19" t="s">
        <v>4676</v>
      </c>
      <c r="C3558" s="20" t="n">
        <f aca="false">ROUND(5.07/FX,2)</f>
        <v>0.7</v>
      </c>
      <c r="D3558" s="21" t="s">
        <v>2385</v>
      </c>
      <c r="E3558" s="21" t="s">
        <v>714</v>
      </c>
      <c r="F3558" s="21" t="s">
        <v>708</v>
      </c>
    </row>
    <row r="3559" customFormat="false" ht="15" hidden="false" customHeight="false" outlineLevel="0" collapsed="false">
      <c r="B3559" s="19" t="s">
        <v>4677</v>
      </c>
      <c r="C3559" s="20" t="n">
        <f aca="false">ROUND(5.07/FX,2)</f>
        <v>0.7</v>
      </c>
      <c r="D3559" s="21" t="s">
        <v>2385</v>
      </c>
      <c r="E3559" s="21" t="s">
        <v>4000</v>
      </c>
      <c r="F3559" s="21" t="s">
        <v>708</v>
      </c>
    </row>
    <row r="3560" customFormat="false" ht="15" hidden="false" customHeight="false" outlineLevel="0" collapsed="false">
      <c r="B3560" s="19" t="s">
        <v>4678</v>
      </c>
      <c r="C3560" s="20" t="n">
        <f aca="false">ROUND(5.07/FX,2)</f>
        <v>0.7</v>
      </c>
      <c r="D3560" s="21" t="s">
        <v>2385</v>
      </c>
      <c r="E3560" s="21" t="s">
        <v>716</v>
      </c>
      <c r="F3560" s="21" t="s">
        <v>708</v>
      </c>
    </row>
    <row r="3561" customFormat="false" ht="15" hidden="false" customHeight="false" outlineLevel="0" collapsed="false">
      <c r="B3561" s="19" t="s">
        <v>4679</v>
      </c>
      <c r="C3561" s="20" t="n">
        <f aca="false">ROUND(5.2/FX,2)</f>
        <v>0.72</v>
      </c>
      <c r="D3561" s="21" t="s">
        <v>4680</v>
      </c>
      <c r="E3561" s="21" t="s">
        <v>707</v>
      </c>
      <c r="F3561" s="21" t="s">
        <v>708</v>
      </c>
    </row>
    <row r="3562" customFormat="false" ht="15" hidden="false" customHeight="false" outlineLevel="0" collapsed="false">
      <c r="B3562" s="19" t="s">
        <v>4681</v>
      </c>
      <c r="C3562" s="20" t="n">
        <f aca="false">ROUND(7.45/FX,2)</f>
        <v>1.03</v>
      </c>
      <c r="D3562" s="21" t="s">
        <v>4680</v>
      </c>
      <c r="E3562" s="21" t="s">
        <v>714</v>
      </c>
      <c r="F3562" s="21" t="s">
        <v>708</v>
      </c>
    </row>
    <row r="3563" customFormat="false" ht="15" hidden="false" customHeight="false" outlineLevel="0" collapsed="false">
      <c r="B3563" s="19" t="s">
        <v>4682</v>
      </c>
      <c r="C3563" s="20" t="n">
        <f aca="false">ROUND(6.24/FX,2)</f>
        <v>0.87</v>
      </c>
      <c r="D3563" s="21" t="s">
        <v>4680</v>
      </c>
      <c r="E3563" s="21" t="s">
        <v>4000</v>
      </c>
      <c r="F3563" s="21" t="s">
        <v>708</v>
      </c>
    </row>
    <row r="3564" customFormat="false" ht="15" hidden="false" customHeight="false" outlineLevel="0" collapsed="false">
      <c r="B3564" s="19" t="s">
        <v>4683</v>
      </c>
      <c r="C3564" s="20" t="n">
        <f aca="false">ROUND(2.5/FX,2)</f>
        <v>0.35</v>
      </c>
      <c r="D3564" s="21" t="s">
        <v>4680</v>
      </c>
      <c r="E3564" s="21" t="s">
        <v>716</v>
      </c>
      <c r="F3564" s="21" t="s">
        <v>708</v>
      </c>
    </row>
    <row r="3565" customFormat="false" ht="15" hidden="false" customHeight="false" outlineLevel="0" collapsed="false">
      <c r="B3565" s="19" t="s">
        <v>4684</v>
      </c>
      <c r="C3565" s="20" t="n">
        <f aca="false">ROUND(5.07/FX,2)</f>
        <v>0.7</v>
      </c>
      <c r="D3565" s="21" t="s">
        <v>2445</v>
      </c>
      <c r="E3565" s="21" t="s">
        <v>707</v>
      </c>
      <c r="F3565" s="21" t="s">
        <v>708</v>
      </c>
    </row>
    <row r="3566" customFormat="false" ht="15" hidden="false" customHeight="false" outlineLevel="0" collapsed="false">
      <c r="B3566" s="19" t="s">
        <v>4685</v>
      </c>
      <c r="C3566" s="20" t="n">
        <f aca="false">ROUND(2.86/FX,2)</f>
        <v>0.4</v>
      </c>
      <c r="D3566" s="21" t="s">
        <v>2445</v>
      </c>
      <c r="E3566" s="21" t="s">
        <v>714</v>
      </c>
      <c r="F3566" s="21" t="s">
        <v>708</v>
      </c>
    </row>
    <row r="3567" customFormat="false" ht="15" hidden="false" customHeight="false" outlineLevel="0" collapsed="false">
      <c r="B3567" s="19" t="s">
        <v>4686</v>
      </c>
      <c r="C3567" s="20" t="n">
        <f aca="false">ROUND(6.24/FX,2)</f>
        <v>0.87</v>
      </c>
      <c r="D3567" s="21" t="s">
        <v>2445</v>
      </c>
      <c r="E3567" s="21" t="s">
        <v>4000</v>
      </c>
      <c r="F3567" s="21" t="s">
        <v>708</v>
      </c>
    </row>
    <row r="3568" customFormat="false" ht="15" hidden="false" customHeight="false" outlineLevel="0" collapsed="false">
      <c r="B3568" s="19" t="s">
        <v>4687</v>
      </c>
      <c r="C3568" s="20" t="n">
        <f aca="false">ROUND(2.5/FX,2)</f>
        <v>0.35</v>
      </c>
      <c r="D3568" s="21" t="s">
        <v>2445</v>
      </c>
      <c r="E3568" s="21" t="s">
        <v>716</v>
      </c>
      <c r="F3568" s="21" t="s">
        <v>708</v>
      </c>
    </row>
    <row r="3569" customFormat="false" ht="15" hidden="false" customHeight="false" outlineLevel="0" collapsed="false">
      <c r="B3569" s="19" t="s">
        <v>4688</v>
      </c>
      <c r="C3569" s="20" t="n">
        <f aca="false">ROUND(7.8/FX,2)</f>
        <v>1.08</v>
      </c>
      <c r="D3569" s="21" t="s">
        <v>2500</v>
      </c>
      <c r="E3569" s="21" t="s">
        <v>707</v>
      </c>
      <c r="F3569" s="21" t="s">
        <v>708</v>
      </c>
    </row>
    <row r="3570" customFormat="false" ht="15" hidden="false" customHeight="false" outlineLevel="0" collapsed="false">
      <c r="B3570" s="19" t="s">
        <v>4689</v>
      </c>
      <c r="C3570" s="20" t="n">
        <f aca="false">ROUND(10.66/FX,2)</f>
        <v>1.48</v>
      </c>
      <c r="D3570" s="21" t="s">
        <v>2500</v>
      </c>
      <c r="E3570" s="21" t="s">
        <v>714</v>
      </c>
      <c r="F3570" s="21" t="s">
        <v>708</v>
      </c>
    </row>
    <row r="3571" customFormat="false" ht="15" hidden="false" customHeight="false" outlineLevel="0" collapsed="false">
      <c r="B3571" s="19" t="s">
        <v>4690</v>
      </c>
      <c r="C3571" s="20" t="n">
        <f aca="false">ROUND(6.24/FX,2)</f>
        <v>0.87</v>
      </c>
      <c r="D3571" s="21" t="s">
        <v>2500</v>
      </c>
      <c r="E3571" s="21" t="s">
        <v>4000</v>
      </c>
      <c r="F3571" s="21" t="s">
        <v>708</v>
      </c>
    </row>
    <row r="3572" customFormat="false" ht="15" hidden="false" customHeight="false" outlineLevel="0" collapsed="false">
      <c r="B3572" s="19" t="s">
        <v>4691</v>
      </c>
      <c r="C3572" s="20" t="n">
        <f aca="false">ROUND(2.5/FX,2)</f>
        <v>0.35</v>
      </c>
      <c r="D3572" s="21" t="s">
        <v>2500</v>
      </c>
      <c r="E3572" s="21" t="s">
        <v>716</v>
      </c>
      <c r="F3572" s="21" t="s">
        <v>708</v>
      </c>
    </row>
    <row r="3573" customFormat="false" ht="15" hidden="false" customHeight="false" outlineLevel="0" collapsed="false">
      <c r="B3573" s="19" t="s">
        <v>4692</v>
      </c>
      <c r="C3573" s="20" t="n">
        <f aca="false">ROUND(8.45/FX,2)</f>
        <v>1.17</v>
      </c>
      <c r="D3573" s="21" t="s">
        <v>2515</v>
      </c>
      <c r="E3573" s="21" t="s">
        <v>707</v>
      </c>
      <c r="F3573" s="21" t="s">
        <v>708</v>
      </c>
    </row>
    <row r="3574" customFormat="false" ht="15" hidden="false" customHeight="false" outlineLevel="0" collapsed="false">
      <c r="B3574" s="19" t="s">
        <v>4693</v>
      </c>
      <c r="C3574" s="20" t="n">
        <f aca="false">ROUND(5.07/FX,2)</f>
        <v>0.7</v>
      </c>
      <c r="D3574" s="21" t="s">
        <v>2515</v>
      </c>
      <c r="E3574" s="21" t="s">
        <v>714</v>
      </c>
      <c r="F3574" s="21" t="s">
        <v>708</v>
      </c>
    </row>
    <row r="3575" customFormat="false" ht="15" hidden="false" customHeight="false" outlineLevel="0" collapsed="false">
      <c r="B3575" s="19" t="s">
        <v>4694</v>
      </c>
      <c r="C3575" s="20" t="n">
        <f aca="false">ROUND(5.07/FX,2)</f>
        <v>0.7</v>
      </c>
      <c r="D3575" s="21" t="s">
        <v>2515</v>
      </c>
      <c r="E3575" s="21" t="s">
        <v>4000</v>
      </c>
      <c r="F3575" s="21" t="s">
        <v>708</v>
      </c>
    </row>
    <row r="3576" customFormat="false" ht="15" hidden="false" customHeight="false" outlineLevel="0" collapsed="false">
      <c r="B3576" s="19" t="s">
        <v>4695</v>
      </c>
      <c r="C3576" s="20" t="n">
        <f aca="false">ROUND(5.07/FX,2)</f>
        <v>0.7</v>
      </c>
      <c r="D3576" s="21" t="s">
        <v>2515</v>
      </c>
      <c r="E3576" s="21" t="s">
        <v>716</v>
      </c>
      <c r="F3576" s="21" t="s">
        <v>708</v>
      </c>
    </row>
    <row r="3577" customFormat="false" ht="15" hidden="false" customHeight="false" outlineLevel="0" collapsed="false">
      <c r="B3577" s="19" t="s">
        <v>4696</v>
      </c>
      <c r="C3577" s="20" t="n">
        <f aca="false">ROUND(9.1/FX,2)</f>
        <v>1.26</v>
      </c>
      <c r="D3577" s="21" t="s">
        <v>2552</v>
      </c>
      <c r="E3577" s="21" t="s">
        <v>707</v>
      </c>
      <c r="F3577" s="21" t="s">
        <v>708</v>
      </c>
    </row>
    <row r="3578" customFormat="false" ht="15" hidden="false" customHeight="false" outlineLevel="0" collapsed="false">
      <c r="B3578" s="19" t="s">
        <v>4697</v>
      </c>
      <c r="C3578" s="20" t="n">
        <f aca="false">ROUND(2.86/FX,2)</f>
        <v>0.4</v>
      </c>
      <c r="D3578" s="21" t="s">
        <v>2552</v>
      </c>
      <c r="E3578" s="21" t="s">
        <v>714</v>
      </c>
      <c r="F3578" s="21" t="s">
        <v>708</v>
      </c>
    </row>
    <row r="3579" customFormat="false" ht="15" hidden="false" customHeight="false" outlineLevel="0" collapsed="false">
      <c r="B3579" s="19" t="s">
        <v>4698</v>
      </c>
      <c r="C3579" s="20" t="n">
        <f aca="false">ROUND(6.24/FX,2)</f>
        <v>0.87</v>
      </c>
      <c r="D3579" s="21" t="s">
        <v>2552</v>
      </c>
      <c r="E3579" s="21" t="s">
        <v>4000</v>
      </c>
      <c r="F3579" s="21" t="s">
        <v>708</v>
      </c>
    </row>
    <row r="3580" customFormat="false" ht="15" hidden="false" customHeight="false" outlineLevel="0" collapsed="false">
      <c r="B3580" s="19" t="s">
        <v>4699</v>
      </c>
      <c r="C3580" s="20" t="n">
        <f aca="false">ROUND(2.5/FX,2)</f>
        <v>0.35</v>
      </c>
      <c r="D3580" s="21" t="s">
        <v>2552</v>
      </c>
      <c r="E3580" s="21" t="s">
        <v>716</v>
      </c>
      <c r="F3580" s="21" t="s">
        <v>708</v>
      </c>
    </row>
    <row r="3581" customFormat="false" ht="15" hidden="false" customHeight="false" outlineLevel="0" collapsed="false">
      <c r="B3581" s="19" t="s">
        <v>4700</v>
      </c>
      <c r="C3581" s="20" t="n">
        <f aca="false">ROUND(18.85/FX,2)</f>
        <v>2.62</v>
      </c>
      <c r="D3581" s="21" t="s">
        <v>4701</v>
      </c>
      <c r="E3581" s="21" t="s">
        <v>707</v>
      </c>
      <c r="F3581" s="21" t="s">
        <v>3814</v>
      </c>
    </row>
    <row r="3582" customFormat="false" ht="15" hidden="false" customHeight="false" outlineLevel="0" collapsed="false">
      <c r="B3582" s="19" t="s">
        <v>4702</v>
      </c>
      <c r="C3582" s="20" t="n">
        <f aca="false">ROUND(1/FX,2)</f>
        <v>0.14</v>
      </c>
      <c r="D3582" s="21" t="s">
        <v>4701</v>
      </c>
      <c r="E3582" s="21" t="s">
        <v>714</v>
      </c>
      <c r="F3582" s="21" t="s">
        <v>3814</v>
      </c>
    </row>
    <row r="3583" customFormat="false" ht="15" hidden="false" customHeight="false" outlineLevel="0" collapsed="false">
      <c r="B3583" s="19" t="s">
        <v>4703</v>
      </c>
      <c r="C3583" s="20" t="n">
        <f aca="false">ROUND(9.1/FX,2)</f>
        <v>1.26</v>
      </c>
      <c r="D3583" s="21" t="s">
        <v>4619</v>
      </c>
      <c r="E3583" s="21" t="s">
        <v>707</v>
      </c>
      <c r="F3583" s="21" t="s">
        <v>3244</v>
      </c>
    </row>
    <row r="3584" customFormat="false" ht="15" hidden="false" customHeight="false" outlineLevel="0" collapsed="false">
      <c r="B3584" s="19" t="s">
        <v>4704</v>
      </c>
      <c r="C3584" s="20" t="n">
        <f aca="false">ROUND(28.6/FX,2)</f>
        <v>3.97</v>
      </c>
      <c r="D3584" s="21" t="s">
        <v>4619</v>
      </c>
      <c r="E3584" s="21" t="s">
        <v>714</v>
      </c>
      <c r="F3584" s="21" t="s">
        <v>3244</v>
      </c>
    </row>
    <row r="3585" customFormat="false" ht="15" hidden="false" customHeight="false" outlineLevel="0" collapsed="false">
      <c r="B3585" s="19" t="s">
        <v>4705</v>
      </c>
      <c r="C3585" s="20" t="n">
        <f aca="false">ROUND(4.55/FX,2)</f>
        <v>0.63</v>
      </c>
      <c r="D3585" s="21" t="s">
        <v>4619</v>
      </c>
      <c r="E3585" s="21" t="s">
        <v>716</v>
      </c>
      <c r="F3585" s="21" t="s">
        <v>3244</v>
      </c>
    </row>
    <row r="3586" customFormat="false" ht="15" hidden="false" customHeight="false" outlineLevel="0" collapsed="false">
      <c r="B3586" s="19" t="s">
        <v>4706</v>
      </c>
      <c r="C3586" s="20" t="n">
        <f aca="false">ROUND(9.1/FX,2)</f>
        <v>1.26</v>
      </c>
      <c r="D3586" s="21" t="s">
        <v>2552</v>
      </c>
      <c r="E3586" s="21" t="s">
        <v>707</v>
      </c>
      <c r="F3586" s="21" t="s">
        <v>3244</v>
      </c>
    </row>
    <row r="3587" customFormat="false" ht="15" hidden="false" customHeight="false" outlineLevel="0" collapsed="false">
      <c r="B3587" s="19" t="s">
        <v>4707</v>
      </c>
      <c r="C3587" s="20" t="n">
        <f aca="false">ROUND(4.55/FX,2)</f>
        <v>0.63</v>
      </c>
      <c r="D3587" s="21" t="s">
        <v>2552</v>
      </c>
      <c r="E3587" s="21" t="s">
        <v>714</v>
      </c>
      <c r="F3587" s="21" t="s">
        <v>3244</v>
      </c>
    </row>
    <row r="3588" customFormat="false" ht="15" hidden="false" customHeight="false" outlineLevel="0" collapsed="false">
      <c r="B3588" s="19" t="s">
        <v>4708</v>
      </c>
      <c r="C3588" s="20" t="n">
        <f aca="false">ROUND(4.55/FX,2)</f>
        <v>0.63</v>
      </c>
      <c r="D3588" s="21" t="s">
        <v>2552</v>
      </c>
      <c r="E3588" s="21" t="s">
        <v>716</v>
      </c>
      <c r="F3588" s="21" t="s">
        <v>3244</v>
      </c>
    </row>
    <row r="3591" customFormat="false" ht="61.5" hidden="false" customHeight="true" outlineLevel="0" collapsed="false">
      <c r="A3591" s="9"/>
      <c r="B3591" s="10" t="s">
        <v>4709</v>
      </c>
      <c r="C3591" s="10"/>
      <c r="D3591" s="10"/>
      <c r="E3591" s="10"/>
      <c r="F3591" s="10"/>
      <c r="G3591" s="10"/>
      <c r="H3591" s="10"/>
    </row>
    <row r="3592" customFormat="false" ht="22.35" hidden="false" customHeight="true" outlineLevel="0" collapsed="false">
      <c r="B3592" s="11" t="s">
        <v>699</v>
      </c>
      <c r="C3592" s="11"/>
      <c r="D3592" s="11"/>
      <c r="E3592" s="11"/>
      <c r="F3592" s="11"/>
      <c r="G3592" s="11"/>
      <c r="H3592" s="11"/>
    </row>
    <row r="3593" customFormat="false" ht="15" hidden="false" customHeight="false" outlineLevel="0" collapsed="false">
      <c r="A3593" s="12" t="s">
        <v>700</v>
      </c>
      <c r="B3593" s="13" t="s">
        <v>701</v>
      </c>
      <c r="C3593" s="13" t="s">
        <v>702</v>
      </c>
      <c r="D3593" s="13" t="s">
        <v>703</v>
      </c>
      <c r="E3593" s="13" t="s">
        <v>722</v>
      </c>
      <c r="F3593" s="13" t="s">
        <v>704</v>
      </c>
      <c r="G3593" s="13" t="s">
        <v>705</v>
      </c>
      <c r="H3593" s="13" t="s">
        <v>723</v>
      </c>
    </row>
    <row r="3594" customFormat="false" ht="30" hidden="false" customHeight="true" outlineLevel="0" collapsed="false">
      <c r="A3594" s="14" t="s">
        <v>706</v>
      </c>
      <c r="B3594" s="15" t="str">
        <f aca="false">IF(COUNTIFS($D$3597:$D$3642,IF(D3594="","*",D3594),$E$3597:$E$3642,IF(E3594="","*",E3594),$F$3597:$F$3642,IF(F3594="","*",F3594),$G$3597:$G$3642,IF(G3594="","*",G3594),$H$3597:$H$3642,IF(H3594="","*",H3594))=1,INDEX($B:$B,SUMPRODUCT(((D3594="")+($D$3597:$D$3642=D3594)&gt;0)*((E3594="")+($E$3597:$E$3642=E3594)&gt;0)*((F3594="")+($F$3597:$F$3642=F3594)&gt;0)*((G3594="")+($G$3597:$G$3642=G3594)&gt;0)*((H3594="")+($H$3597:$H$3642=H3594)&gt;0)*ROW($B$3597:$B$3642))),IF(COUNTIFS($D$3597:$D$3642,IF(D3594="","*",D3594),$E$3597:$E$3642,IF(E3594="","*",E3594),$F$3597:$F$3642,IF(F3594="","*",F3594),$G$3597:$G$3642,IF(G3594="","*",G3594),$H$3597:$H$3642,IF(H3594="","*",H3594))=0,"Not available",COUNTIFS($D$3597:$D$3642,IF(D3594="","*",D3594),$E$3597:$E$3642,IF(E3594="","*",E3594),$F$3597:$F$3642,IF(F3594="","*",F3594),$G$3597:$G$3642,IF(G3594="","*",G3594),$H$3597:$H$3642,IF(H3594="","*",H3594))&amp;" match, keep choosing"))</f>
        <v>HTD5M-10-BPU-1M</v>
      </c>
      <c r="C3594" s="16" t="n">
        <f aca="false">IF(COUNTIFS($D$3597:$D$3642,IF(D3594="","*",D3594),$E$3597:$E$3642,IF(E3594="","*",E3594),$F$3597:$F$3642,IF(F3594="","*",F3594),$G$3597:$G$3642,IF(G3594="","*",G3594),$H$3597:$H$3642,IF(H3594="","*",H3594))=1,INDEX($C:$C,SUMPRODUCT(((D3594="")+($D$3597:$D$3642=D3594)&gt;0)*((E3594="")+($E$3597:$E$3642=E3594)&gt;0)*((F3594="")+($F$3597:$F$3642=F3594)&gt;0)*((G3594="")+($G$3597:$G$3642=G3594)&gt;0)*((H3594="")+($H$3597:$H$3642=H3594)&gt;0)*ROW($B$3597:$B$3642))),"")</f>
        <v>0.33</v>
      </c>
      <c r="D3594" s="17" t="s">
        <v>707</v>
      </c>
      <c r="E3594" s="17" t="s">
        <v>724</v>
      </c>
      <c r="F3594" s="17" t="s">
        <v>725</v>
      </c>
      <c r="G3594" s="17" t="s">
        <v>709</v>
      </c>
      <c r="H3594" s="17" t="s">
        <v>734</v>
      </c>
    </row>
    <row r="3596" customFormat="false" ht="15" hidden="false" customHeight="false" outlineLevel="0" collapsed="false">
      <c r="B3596" s="18" t="s">
        <v>701</v>
      </c>
      <c r="C3596" s="18" t="s">
        <v>702</v>
      </c>
      <c r="D3596" s="18" t="s">
        <v>703</v>
      </c>
      <c r="E3596" s="18" t="s">
        <v>722</v>
      </c>
      <c r="F3596" s="18" t="s">
        <v>704</v>
      </c>
      <c r="G3596" s="18" t="s">
        <v>705</v>
      </c>
      <c r="H3596" s="18" t="s">
        <v>723</v>
      </c>
    </row>
    <row r="3597" customFormat="false" ht="15" hidden="false" customHeight="false" outlineLevel="0" collapsed="false">
      <c r="B3597" s="19" t="s">
        <v>4710</v>
      </c>
      <c r="C3597" s="20" t="n">
        <f aca="false">ROUND(2.34/FX,2)</f>
        <v>0.33</v>
      </c>
      <c r="D3597" s="21" t="s">
        <v>707</v>
      </c>
      <c r="E3597" s="21" t="s">
        <v>724</v>
      </c>
      <c r="F3597" s="21" t="s">
        <v>725</v>
      </c>
      <c r="G3597" s="21" t="s">
        <v>709</v>
      </c>
      <c r="H3597" s="21" t="s">
        <v>734</v>
      </c>
    </row>
    <row r="3598" customFormat="false" ht="15" hidden="false" customHeight="false" outlineLevel="0" collapsed="false">
      <c r="B3598" s="19" t="s">
        <v>4711</v>
      </c>
      <c r="C3598" s="20" t="n">
        <f aca="false">ROUND(2.34/FX,2)</f>
        <v>0.33</v>
      </c>
      <c r="D3598" s="21" t="s">
        <v>707</v>
      </c>
      <c r="E3598" s="21" t="s">
        <v>724</v>
      </c>
      <c r="F3598" s="21" t="s">
        <v>725</v>
      </c>
      <c r="G3598" s="21" t="s">
        <v>756</v>
      </c>
      <c r="H3598" s="21" t="s">
        <v>734</v>
      </c>
    </row>
    <row r="3599" customFormat="false" ht="15" hidden="false" customHeight="false" outlineLevel="0" collapsed="false">
      <c r="B3599" s="19" t="s">
        <v>4712</v>
      </c>
      <c r="C3599" s="20" t="n">
        <f aca="false">ROUND(23.4/FX,2)</f>
        <v>3.25</v>
      </c>
      <c r="D3599" s="21" t="s">
        <v>707</v>
      </c>
      <c r="E3599" s="21" t="s">
        <v>724</v>
      </c>
      <c r="F3599" s="21" t="s">
        <v>725</v>
      </c>
      <c r="G3599" s="21" t="s">
        <v>729</v>
      </c>
      <c r="H3599" s="21" t="s">
        <v>734</v>
      </c>
    </row>
    <row r="3600" customFormat="false" ht="15" hidden="false" customHeight="false" outlineLevel="0" collapsed="false">
      <c r="B3600" s="19" t="s">
        <v>4713</v>
      </c>
      <c r="C3600" s="20" t="n">
        <f aca="false">ROUND(11.7/FX,2)</f>
        <v>1.63</v>
      </c>
      <c r="D3600" s="21" t="s">
        <v>707</v>
      </c>
      <c r="E3600" s="21" t="s">
        <v>724</v>
      </c>
      <c r="F3600" s="21" t="s">
        <v>725</v>
      </c>
      <c r="G3600" s="21" t="s">
        <v>731</v>
      </c>
      <c r="H3600" s="21" t="s">
        <v>734</v>
      </c>
    </row>
    <row r="3601" customFormat="false" ht="15" hidden="false" customHeight="false" outlineLevel="0" collapsed="false">
      <c r="B3601" s="19" t="s">
        <v>4714</v>
      </c>
      <c r="C3601" s="20" t="n">
        <f aca="false">ROUND(3.12/FX,2)</f>
        <v>0.43</v>
      </c>
      <c r="D3601" s="21" t="s">
        <v>707</v>
      </c>
      <c r="E3601" s="21" t="s">
        <v>751</v>
      </c>
      <c r="F3601" s="21" t="s">
        <v>725</v>
      </c>
      <c r="G3601" s="21" t="s">
        <v>709</v>
      </c>
      <c r="H3601" s="21" t="s">
        <v>734</v>
      </c>
    </row>
    <row r="3602" customFormat="false" ht="15" hidden="false" customHeight="false" outlineLevel="0" collapsed="false">
      <c r="B3602" s="19" t="s">
        <v>4715</v>
      </c>
      <c r="C3602" s="20" t="n">
        <f aca="false">ROUND(23.4/FX,2)</f>
        <v>3.25</v>
      </c>
      <c r="D3602" s="21" t="s">
        <v>707</v>
      </c>
      <c r="E3602" s="21" t="s">
        <v>751</v>
      </c>
      <c r="F3602" s="21" t="s">
        <v>725</v>
      </c>
      <c r="G3602" s="21" t="s">
        <v>729</v>
      </c>
      <c r="H3602" s="21" t="s">
        <v>734</v>
      </c>
    </row>
    <row r="3603" customFormat="false" ht="28.35" hidden="false" customHeight="false" outlineLevel="0" collapsed="false">
      <c r="B3603" s="19" t="s">
        <v>4716</v>
      </c>
      <c r="C3603" s="20" t="n">
        <f aca="false">ROUND(4.5/FX,2)</f>
        <v>0.63</v>
      </c>
      <c r="D3603" s="21" t="s">
        <v>707</v>
      </c>
      <c r="E3603" s="21" t="s">
        <v>751</v>
      </c>
      <c r="F3603" s="21" t="s">
        <v>725</v>
      </c>
      <c r="G3603" s="21" t="s">
        <v>709</v>
      </c>
      <c r="H3603" s="21" t="s">
        <v>752</v>
      </c>
    </row>
    <row r="3604" customFormat="false" ht="28.35" hidden="false" customHeight="false" outlineLevel="0" collapsed="false">
      <c r="B3604" s="19" t="s">
        <v>4717</v>
      </c>
      <c r="C3604" s="20" t="n">
        <f aca="false">ROUND(27.3/FX,2)</f>
        <v>3.79</v>
      </c>
      <c r="D3604" s="21" t="s">
        <v>707</v>
      </c>
      <c r="E3604" s="21" t="s">
        <v>751</v>
      </c>
      <c r="F3604" s="21" t="s">
        <v>725</v>
      </c>
      <c r="G3604" s="21" t="s">
        <v>729</v>
      </c>
      <c r="H3604" s="21" t="s">
        <v>752</v>
      </c>
    </row>
    <row r="3605" customFormat="false" ht="15" hidden="false" customHeight="false" outlineLevel="0" collapsed="false">
      <c r="B3605" s="19" t="s">
        <v>4718</v>
      </c>
      <c r="C3605" s="20" t="n">
        <f aca="false">ROUND(7.8/FX,2)</f>
        <v>1.08</v>
      </c>
      <c r="D3605" s="21" t="s">
        <v>761</v>
      </c>
      <c r="E3605" s="21" t="s">
        <v>724</v>
      </c>
      <c r="F3605" s="21" t="s">
        <v>708</v>
      </c>
      <c r="G3605" s="21" t="s">
        <v>709</v>
      </c>
      <c r="H3605" s="21" t="s">
        <v>734</v>
      </c>
    </row>
    <row r="3606" customFormat="false" ht="15" hidden="false" customHeight="false" outlineLevel="0" collapsed="false">
      <c r="B3606" s="19" t="s">
        <v>4719</v>
      </c>
      <c r="C3606" s="20" t="n">
        <f aca="false">ROUND(39/FX,2)</f>
        <v>5.42</v>
      </c>
      <c r="D3606" s="21" t="s">
        <v>761</v>
      </c>
      <c r="E3606" s="21" t="s">
        <v>724</v>
      </c>
      <c r="F3606" s="21" t="s">
        <v>708</v>
      </c>
      <c r="G3606" s="21" t="s">
        <v>731</v>
      </c>
      <c r="H3606" s="21" t="s">
        <v>734</v>
      </c>
    </row>
    <row r="3607" customFormat="false" ht="15" hidden="false" customHeight="false" outlineLevel="0" collapsed="false">
      <c r="B3607" s="19" t="s">
        <v>4720</v>
      </c>
      <c r="C3607" s="20" t="n">
        <f aca="false">ROUND(4.29/FX,2)</f>
        <v>0.6</v>
      </c>
      <c r="D3607" s="21" t="s">
        <v>4721</v>
      </c>
      <c r="E3607" s="21" t="s">
        <v>724</v>
      </c>
      <c r="F3607" s="21" t="s">
        <v>725</v>
      </c>
      <c r="G3607" s="21" t="s">
        <v>709</v>
      </c>
      <c r="H3607" s="21" t="s">
        <v>734</v>
      </c>
    </row>
    <row r="3608" customFormat="false" ht="15" hidden="false" customHeight="false" outlineLevel="0" collapsed="false">
      <c r="B3608" s="19" t="s">
        <v>4722</v>
      </c>
      <c r="C3608" s="20" t="n">
        <f aca="false">ROUND(4.29/FX,2)</f>
        <v>0.6</v>
      </c>
      <c r="D3608" s="21" t="s">
        <v>4721</v>
      </c>
      <c r="E3608" s="21" t="s">
        <v>751</v>
      </c>
      <c r="F3608" s="21" t="s">
        <v>725</v>
      </c>
      <c r="G3608" s="21" t="s">
        <v>709</v>
      </c>
      <c r="H3608" s="21" t="s">
        <v>734</v>
      </c>
    </row>
    <row r="3609" customFormat="false" ht="28.35" hidden="false" customHeight="false" outlineLevel="0" collapsed="false">
      <c r="B3609" s="19" t="s">
        <v>4723</v>
      </c>
      <c r="C3609" s="20" t="n">
        <f aca="false">ROUND(6.78/FX,2)</f>
        <v>0.94</v>
      </c>
      <c r="D3609" s="21" t="s">
        <v>4721</v>
      </c>
      <c r="E3609" s="21" t="s">
        <v>751</v>
      </c>
      <c r="F3609" s="21" t="s">
        <v>725</v>
      </c>
      <c r="G3609" s="21" t="s">
        <v>709</v>
      </c>
      <c r="H3609" s="21" t="s">
        <v>752</v>
      </c>
    </row>
    <row r="3610" customFormat="false" ht="15" hidden="false" customHeight="false" outlineLevel="0" collapsed="false">
      <c r="B3610" s="19" t="s">
        <v>4724</v>
      </c>
      <c r="C3610" s="20" t="n">
        <f aca="false">ROUND(3.51/FX,2)</f>
        <v>0.49</v>
      </c>
      <c r="D3610" s="21" t="s">
        <v>714</v>
      </c>
      <c r="E3610" s="21" t="s">
        <v>724</v>
      </c>
      <c r="F3610" s="21" t="s">
        <v>725</v>
      </c>
      <c r="G3610" s="21" t="s">
        <v>709</v>
      </c>
      <c r="H3610" s="21" t="s">
        <v>734</v>
      </c>
    </row>
    <row r="3611" customFormat="false" ht="15" hidden="false" customHeight="false" outlineLevel="0" collapsed="false">
      <c r="B3611" s="19" t="s">
        <v>4725</v>
      </c>
      <c r="C3611" s="20" t="n">
        <f aca="false">ROUND(35.1/FX,2)</f>
        <v>4.88</v>
      </c>
      <c r="D3611" s="21" t="s">
        <v>714</v>
      </c>
      <c r="E3611" s="21" t="s">
        <v>724</v>
      </c>
      <c r="F3611" s="21" t="s">
        <v>725</v>
      </c>
      <c r="G3611" s="21" t="s">
        <v>729</v>
      </c>
      <c r="H3611" s="21" t="s">
        <v>734</v>
      </c>
    </row>
    <row r="3612" customFormat="false" ht="15" hidden="false" customHeight="false" outlineLevel="0" collapsed="false">
      <c r="B3612" s="19" t="s">
        <v>4726</v>
      </c>
      <c r="C3612" s="20" t="n">
        <f aca="false">ROUND(70.2/FX,2)</f>
        <v>9.75</v>
      </c>
      <c r="D3612" s="21" t="s">
        <v>714</v>
      </c>
      <c r="E3612" s="21" t="s">
        <v>724</v>
      </c>
      <c r="F3612" s="21" t="s">
        <v>725</v>
      </c>
      <c r="G3612" s="21" t="s">
        <v>741</v>
      </c>
      <c r="H3612" s="21" t="s">
        <v>734</v>
      </c>
    </row>
    <row r="3613" customFormat="false" ht="15" hidden="false" customHeight="false" outlineLevel="0" collapsed="false">
      <c r="B3613" s="19" t="s">
        <v>4727</v>
      </c>
      <c r="C3613" s="20" t="n">
        <f aca="false">ROUND(105.3/FX,2)</f>
        <v>14.63</v>
      </c>
      <c r="D3613" s="21" t="s">
        <v>714</v>
      </c>
      <c r="E3613" s="21" t="s">
        <v>724</v>
      </c>
      <c r="F3613" s="21" t="s">
        <v>725</v>
      </c>
      <c r="G3613" s="21" t="s">
        <v>3293</v>
      </c>
      <c r="H3613" s="21" t="s">
        <v>734</v>
      </c>
    </row>
    <row r="3614" customFormat="false" ht="15" hidden="false" customHeight="false" outlineLevel="0" collapsed="false">
      <c r="B3614" s="19" t="s">
        <v>4728</v>
      </c>
      <c r="C3614" s="20" t="n">
        <f aca="false">ROUND(17.55/FX,2)</f>
        <v>2.44</v>
      </c>
      <c r="D3614" s="21" t="s">
        <v>714</v>
      </c>
      <c r="E3614" s="21" t="s">
        <v>724</v>
      </c>
      <c r="F3614" s="21" t="s">
        <v>725</v>
      </c>
      <c r="G3614" s="21" t="s">
        <v>731</v>
      </c>
      <c r="H3614" s="21" t="s">
        <v>734</v>
      </c>
    </row>
    <row r="3615" customFormat="false" ht="15" hidden="false" customHeight="false" outlineLevel="0" collapsed="false">
      <c r="B3615" s="19" t="s">
        <v>4729</v>
      </c>
      <c r="C3615" s="20" t="n">
        <f aca="false">ROUND(4.1/FX,2)</f>
        <v>0.57</v>
      </c>
      <c r="D3615" s="21" t="s">
        <v>714</v>
      </c>
      <c r="E3615" s="21" t="s">
        <v>724</v>
      </c>
      <c r="F3615" s="21" t="s">
        <v>725</v>
      </c>
      <c r="G3615" s="21" t="s">
        <v>709</v>
      </c>
      <c r="H3615" s="21" t="s">
        <v>726</v>
      </c>
    </row>
    <row r="3616" customFormat="false" ht="15" hidden="false" customHeight="false" outlineLevel="0" collapsed="false">
      <c r="B3616" s="19" t="s">
        <v>4730</v>
      </c>
      <c r="C3616" s="20" t="n">
        <f aca="false">ROUND(4.88/FX,2)</f>
        <v>0.68</v>
      </c>
      <c r="D3616" s="21" t="s">
        <v>714</v>
      </c>
      <c r="E3616" s="21" t="s">
        <v>724</v>
      </c>
      <c r="F3616" s="21" t="s">
        <v>733</v>
      </c>
      <c r="G3616" s="21" t="s">
        <v>709</v>
      </c>
      <c r="H3616" s="21" t="s">
        <v>734</v>
      </c>
    </row>
    <row r="3617" customFormat="false" ht="15" hidden="false" customHeight="false" outlineLevel="0" collapsed="false">
      <c r="B3617" s="19" t="s">
        <v>4731</v>
      </c>
      <c r="C3617" s="20" t="n">
        <f aca="false">ROUND(9.75/FX,2)</f>
        <v>1.35</v>
      </c>
      <c r="D3617" s="21" t="s">
        <v>714</v>
      </c>
      <c r="E3617" s="21" t="s">
        <v>724</v>
      </c>
      <c r="F3617" s="21" t="s">
        <v>708</v>
      </c>
      <c r="G3617" s="21" t="s">
        <v>709</v>
      </c>
      <c r="H3617" s="21" t="s">
        <v>734</v>
      </c>
    </row>
    <row r="3618" customFormat="false" ht="15" hidden="false" customHeight="false" outlineLevel="0" collapsed="false">
      <c r="B3618" s="19" t="s">
        <v>4732</v>
      </c>
      <c r="C3618" s="20" t="n">
        <f aca="false">ROUND(48.75/FX,2)</f>
        <v>6.77</v>
      </c>
      <c r="D3618" s="21" t="s">
        <v>714</v>
      </c>
      <c r="E3618" s="21" t="s">
        <v>724</v>
      </c>
      <c r="F3618" s="21" t="s">
        <v>708</v>
      </c>
      <c r="G3618" s="21" t="s">
        <v>731</v>
      </c>
      <c r="H3618" s="21" t="s">
        <v>734</v>
      </c>
    </row>
    <row r="3619" customFormat="false" ht="15" hidden="false" customHeight="false" outlineLevel="0" collapsed="false">
      <c r="B3619" s="19" t="s">
        <v>4733</v>
      </c>
      <c r="C3619" s="20" t="n">
        <f aca="false">ROUND(16.64/FX,2)</f>
        <v>2.31</v>
      </c>
      <c r="D3619" s="21" t="s">
        <v>714</v>
      </c>
      <c r="E3619" s="21" t="s">
        <v>724</v>
      </c>
      <c r="F3619" s="21" t="s">
        <v>712</v>
      </c>
      <c r="G3619" s="21" t="s">
        <v>709</v>
      </c>
      <c r="H3619" s="21" t="s">
        <v>734</v>
      </c>
    </row>
    <row r="3620" customFormat="false" ht="15" hidden="false" customHeight="false" outlineLevel="0" collapsed="false">
      <c r="B3620" s="19" t="s">
        <v>4734</v>
      </c>
      <c r="C3620" s="20" t="n">
        <f aca="false">ROUND(3.51/FX,2)</f>
        <v>0.49</v>
      </c>
      <c r="D3620" s="21" t="s">
        <v>714</v>
      </c>
      <c r="E3620" s="21" t="s">
        <v>751</v>
      </c>
      <c r="F3620" s="21" t="s">
        <v>725</v>
      </c>
      <c r="G3620" s="21" t="s">
        <v>709</v>
      </c>
      <c r="H3620" s="21" t="s">
        <v>734</v>
      </c>
    </row>
    <row r="3621" customFormat="false" ht="15" hidden="false" customHeight="false" outlineLevel="0" collapsed="false">
      <c r="B3621" s="19" t="s">
        <v>4735</v>
      </c>
      <c r="C3621" s="20" t="n">
        <f aca="false">ROUND(105.3/FX,2)</f>
        <v>14.63</v>
      </c>
      <c r="D3621" s="21" t="s">
        <v>714</v>
      </c>
      <c r="E3621" s="21" t="s">
        <v>751</v>
      </c>
      <c r="F3621" s="21" t="s">
        <v>725</v>
      </c>
      <c r="G3621" s="21" t="s">
        <v>3293</v>
      </c>
      <c r="H3621" s="21" t="s">
        <v>734</v>
      </c>
    </row>
    <row r="3622" customFormat="false" ht="15" hidden="false" customHeight="false" outlineLevel="0" collapsed="false">
      <c r="B3622" s="19" t="s">
        <v>4736</v>
      </c>
      <c r="C3622" s="20" t="n">
        <f aca="false">ROUND(17.55/FX,2)</f>
        <v>2.44</v>
      </c>
      <c r="D3622" s="21" t="s">
        <v>714</v>
      </c>
      <c r="E3622" s="21" t="s">
        <v>751</v>
      </c>
      <c r="F3622" s="21" t="s">
        <v>725</v>
      </c>
      <c r="G3622" s="21" t="s">
        <v>731</v>
      </c>
      <c r="H3622" s="21" t="s">
        <v>734</v>
      </c>
    </row>
    <row r="3623" customFormat="false" ht="28.35" hidden="false" customHeight="false" outlineLevel="0" collapsed="false">
      <c r="B3623" s="19" t="s">
        <v>4737</v>
      </c>
      <c r="C3623" s="20" t="n">
        <f aca="false">ROUND(6.78/FX,2)</f>
        <v>0.94</v>
      </c>
      <c r="D3623" s="21" t="s">
        <v>714</v>
      </c>
      <c r="E3623" s="21" t="s">
        <v>751</v>
      </c>
      <c r="F3623" s="21" t="s">
        <v>725</v>
      </c>
      <c r="G3623" s="21" t="s">
        <v>709</v>
      </c>
      <c r="H3623" s="21" t="s">
        <v>752</v>
      </c>
    </row>
    <row r="3624" customFormat="false" ht="15" hidden="false" customHeight="false" outlineLevel="0" collapsed="false">
      <c r="B3624" s="19" t="s">
        <v>4738</v>
      </c>
      <c r="C3624" s="20" t="n">
        <f aca="false">ROUND(4.94/FX,2)</f>
        <v>0.69</v>
      </c>
      <c r="D3624" s="21" t="s">
        <v>3833</v>
      </c>
      <c r="E3624" s="21" t="s">
        <v>751</v>
      </c>
      <c r="F3624" s="21" t="s">
        <v>725</v>
      </c>
      <c r="G3624" s="21" t="s">
        <v>709</v>
      </c>
      <c r="H3624" s="21" t="s">
        <v>734</v>
      </c>
    </row>
    <row r="3625" customFormat="false" ht="28.35" hidden="false" customHeight="false" outlineLevel="0" collapsed="false">
      <c r="B3625" s="19" t="s">
        <v>4739</v>
      </c>
      <c r="C3625" s="20" t="n">
        <f aca="false">ROUND(6.78/FX,2)</f>
        <v>0.94</v>
      </c>
      <c r="D3625" s="21" t="s">
        <v>3833</v>
      </c>
      <c r="E3625" s="21" t="s">
        <v>751</v>
      </c>
      <c r="F3625" s="21" t="s">
        <v>725</v>
      </c>
      <c r="G3625" s="21" t="s">
        <v>709</v>
      </c>
      <c r="H3625" s="21" t="s">
        <v>752</v>
      </c>
    </row>
    <row r="3626" customFormat="false" ht="15" hidden="false" customHeight="false" outlineLevel="0" collapsed="false">
      <c r="B3626" s="19" t="s">
        <v>4740</v>
      </c>
      <c r="C3626" s="20" t="n">
        <f aca="false">ROUND(4.68/FX,2)</f>
        <v>0.65</v>
      </c>
      <c r="D3626" s="21" t="s">
        <v>3247</v>
      </c>
      <c r="E3626" s="21" t="s">
        <v>724</v>
      </c>
      <c r="F3626" s="21" t="s">
        <v>725</v>
      </c>
      <c r="G3626" s="21" t="s">
        <v>709</v>
      </c>
      <c r="H3626" s="21" t="s">
        <v>734</v>
      </c>
    </row>
    <row r="3627" customFormat="false" ht="15" hidden="false" customHeight="false" outlineLevel="0" collapsed="false">
      <c r="B3627" s="19" t="s">
        <v>4741</v>
      </c>
      <c r="C3627" s="20" t="n">
        <f aca="false">ROUND(46.8/FX,2)</f>
        <v>6.5</v>
      </c>
      <c r="D3627" s="21" t="s">
        <v>3247</v>
      </c>
      <c r="E3627" s="21" t="s">
        <v>724</v>
      </c>
      <c r="F3627" s="21" t="s">
        <v>725</v>
      </c>
      <c r="G3627" s="21" t="s">
        <v>729</v>
      </c>
      <c r="H3627" s="21" t="s">
        <v>734</v>
      </c>
    </row>
    <row r="3628" customFormat="false" ht="15" hidden="false" customHeight="false" outlineLevel="0" collapsed="false">
      <c r="B3628" s="19" t="s">
        <v>4742</v>
      </c>
      <c r="C3628" s="20" t="n">
        <f aca="false">ROUND(93.6/FX,2)</f>
        <v>13</v>
      </c>
      <c r="D3628" s="21" t="s">
        <v>3247</v>
      </c>
      <c r="E3628" s="21" t="s">
        <v>724</v>
      </c>
      <c r="F3628" s="21" t="s">
        <v>725</v>
      </c>
      <c r="G3628" s="21" t="s">
        <v>741</v>
      </c>
      <c r="H3628" s="21" t="s">
        <v>734</v>
      </c>
    </row>
    <row r="3629" customFormat="false" ht="15" hidden="false" customHeight="false" outlineLevel="0" collapsed="false">
      <c r="B3629" s="19" t="s">
        <v>4743</v>
      </c>
      <c r="C3629" s="20" t="n">
        <f aca="false">ROUND(14.56/FX,2)</f>
        <v>2.02</v>
      </c>
      <c r="D3629" s="21" t="s">
        <v>3247</v>
      </c>
      <c r="E3629" s="21" t="s">
        <v>724</v>
      </c>
      <c r="F3629" s="21" t="s">
        <v>708</v>
      </c>
      <c r="G3629" s="21" t="s">
        <v>709</v>
      </c>
      <c r="H3629" s="21" t="s">
        <v>734</v>
      </c>
    </row>
    <row r="3630" customFormat="false" ht="15" hidden="false" customHeight="false" outlineLevel="0" collapsed="false">
      <c r="B3630" s="19" t="s">
        <v>4744</v>
      </c>
      <c r="C3630" s="20" t="n">
        <f aca="false">ROUND(4.68/FX,2)</f>
        <v>0.65</v>
      </c>
      <c r="D3630" s="21" t="s">
        <v>3247</v>
      </c>
      <c r="E3630" s="21" t="s">
        <v>751</v>
      </c>
      <c r="F3630" s="21" t="s">
        <v>725</v>
      </c>
      <c r="G3630" s="21" t="s">
        <v>709</v>
      </c>
      <c r="H3630" s="21" t="s">
        <v>734</v>
      </c>
    </row>
    <row r="3631" customFormat="false" ht="15" hidden="false" customHeight="false" outlineLevel="0" collapsed="false">
      <c r="B3631" s="19" t="s">
        <v>4745</v>
      </c>
      <c r="C3631" s="20" t="n">
        <f aca="false">ROUND(46.8/FX,2)</f>
        <v>6.5</v>
      </c>
      <c r="D3631" s="21" t="s">
        <v>3247</v>
      </c>
      <c r="E3631" s="21" t="s">
        <v>751</v>
      </c>
      <c r="F3631" s="21" t="s">
        <v>725</v>
      </c>
      <c r="G3631" s="21" t="s">
        <v>729</v>
      </c>
      <c r="H3631" s="21" t="s">
        <v>734</v>
      </c>
    </row>
    <row r="3632" customFormat="false" ht="28.35" hidden="false" customHeight="false" outlineLevel="0" collapsed="false">
      <c r="B3632" s="19" t="s">
        <v>4746</v>
      </c>
      <c r="C3632" s="20" t="n">
        <f aca="false">ROUND(54.6/FX,2)</f>
        <v>7.58</v>
      </c>
      <c r="D3632" s="21" t="s">
        <v>3247</v>
      </c>
      <c r="E3632" s="21" t="s">
        <v>751</v>
      </c>
      <c r="F3632" s="21" t="s">
        <v>725</v>
      </c>
      <c r="G3632" s="21" t="s">
        <v>729</v>
      </c>
      <c r="H3632" s="21" t="s">
        <v>752</v>
      </c>
    </row>
    <row r="3633" customFormat="false" ht="28.35" hidden="false" customHeight="false" outlineLevel="0" collapsed="false">
      <c r="B3633" s="19" t="s">
        <v>4747</v>
      </c>
      <c r="C3633" s="20" t="n">
        <f aca="false">ROUND(109.2/FX,2)</f>
        <v>15.17</v>
      </c>
      <c r="D3633" s="21" t="s">
        <v>3247</v>
      </c>
      <c r="E3633" s="21" t="s">
        <v>751</v>
      </c>
      <c r="F3633" s="21" t="s">
        <v>725</v>
      </c>
      <c r="G3633" s="21" t="s">
        <v>741</v>
      </c>
      <c r="H3633" s="21" t="s">
        <v>752</v>
      </c>
    </row>
    <row r="3634" customFormat="false" ht="28.35" hidden="false" customHeight="false" outlineLevel="0" collapsed="false">
      <c r="B3634" s="19" t="s">
        <v>4748</v>
      </c>
      <c r="C3634" s="20" t="n">
        <f aca="false">ROUND(163.8/FX,2)</f>
        <v>22.75</v>
      </c>
      <c r="D3634" s="21" t="s">
        <v>3247</v>
      </c>
      <c r="E3634" s="21" t="s">
        <v>751</v>
      </c>
      <c r="F3634" s="21" t="s">
        <v>725</v>
      </c>
      <c r="G3634" s="21" t="s">
        <v>3293</v>
      </c>
      <c r="H3634" s="21" t="s">
        <v>752</v>
      </c>
    </row>
    <row r="3635" customFormat="false" ht="15" hidden="false" customHeight="false" outlineLevel="0" collapsed="false">
      <c r="B3635" s="19" t="s">
        <v>4749</v>
      </c>
      <c r="C3635" s="20" t="n">
        <f aca="false">ROUND(6.5/FX,2)</f>
        <v>0.9</v>
      </c>
      <c r="D3635" s="21" t="s">
        <v>3317</v>
      </c>
      <c r="E3635" s="21" t="s">
        <v>724</v>
      </c>
      <c r="F3635" s="21" t="s">
        <v>725</v>
      </c>
      <c r="G3635" s="21" t="s">
        <v>709</v>
      </c>
      <c r="H3635" s="21" t="s">
        <v>734</v>
      </c>
    </row>
    <row r="3636" customFormat="false" ht="15" hidden="false" customHeight="false" outlineLevel="0" collapsed="false">
      <c r="B3636" s="19" t="s">
        <v>4750</v>
      </c>
      <c r="C3636" s="20" t="n">
        <f aca="false">ROUND(58.5/FX,2)</f>
        <v>8.13</v>
      </c>
      <c r="D3636" s="21" t="s">
        <v>3317</v>
      </c>
      <c r="E3636" s="21" t="s">
        <v>724</v>
      </c>
      <c r="F3636" s="21" t="s">
        <v>725</v>
      </c>
      <c r="G3636" s="21" t="s">
        <v>729</v>
      </c>
      <c r="H3636" s="21" t="s">
        <v>734</v>
      </c>
    </row>
    <row r="3637" customFormat="false" ht="15" hidden="false" customHeight="false" outlineLevel="0" collapsed="false">
      <c r="B3637" s="19" t="s">
        <v>4751</v>
      </c>
      <c r="C3637" s="20" t="n">
        <f aca="false">ROUND(29.25/FX,2)</f>
        <v>4.06</v>
      </c>
      <c r="D3637" s="21" t="s">
        <v>3317</v>
      </c>
      <c r="E3637" s="21" t="s">
        <v>724</v>
      </c>
      <c r="F3637" s="21" t="s">
        <v>725</v>
      </c>
      <c r="G3637" s="21" t="s">
        <v>731</v>
      </c>
      <c r="H3637" s="21" t="s">
        <v>734</v>
      </c>
    </row>
    <row r="3638" customFormat="false" ht="15" hidden="false" customHeight="false" outlineLevel="0" collapsed="false">
      <c r="B3638" s="19" t="s">
        <v>4752</v>
      </c>
      <c r="C3638" s="20" t="n">
        <f aca="false">ROUND(16.9/FX,2)</f>
        <v>2.35</v>
      </c>
      <c r="D3638" s="21" t="s">
        <v>3317</v>
      </c>
      <c r="E3638" s="21" t="s">
        <v>724</v>
      </c>
      <c r="F3638" s="21" t="s">
        <v>708</v>
      </c>
      <c r="G3638" s="21" t="s">
        <v>709</v>
      </c>
      <c r="H3638" s="21" t="s">
        <v>734</v>
      </c>
    </row>
    <row r="3639" customFormat="false" ht="15" hidden="false" customHeight="false" outlineLevel="0" collapsed="false">
      <c r="B3639" s="19" t="s">
        <v>4753</v>
      </c>
      <c r="C3639" s="20" t="n">
        <f aca="false">ROUND(5.85/FX,2)</f>
        <v>0.81</v>
      </c>
      <c r="D3639" s="21" t="s">
        <v>3317</v>
      </c>
      <c r="E3639" s="21" t="s">
        <v>751</v>
      </c>
      <c r="F3639" s="21" t="s">
        <v>725</v>
      </c>
      <c r="G3639" s="21" t="s">
        <v>709</v>
      </c>
      <c r="H3639" s="21" t="s">
        <v>734</v>
      </c>
    </row>
    <row r="3640" customFormat="false" ht="15" hidden="false" customHeight="false" outlineLevel="0" collapsed="false">
      <c r="B3640" s="19" t="s">
        <v>4754</v>
      </c>
      <c r="C3640" s="20" t="n">
        <f aca="false">ROUND(58.5/FX,2)</f>
        <v>8.13</v>
      </c>
      <c r="D3640" s="21" t="s">
        <v>3317</v>
      </c>
      <c r="E3640" s="21" t="s">
        <v>751</v>
      </c>
      <c r="F3640" s="21" t="s">
        <v>725</v>
      </c>
      <c r="G3640" s="21" t="s">
        <v>729</v>
      </c>
      <c r="H3640" s="21" t="s">
        <v>734</v>
      </c>
    </row>
    <row r="3641" customFormat="false" ht="15" hidden="false" customHeight="false" outlineLevel="0" collapsed="false">
      <c r="B3641" s="19" t="s">
        <v>4755</v>
      </c>
      <c r="C3641" s="20" t="n">
        <f aca="false">ROUND(585/FX,2)</f>
        <v>81.25</v>
      </c>
      <c r="D3641" s="21" t="s">
        <v>3317</v>
      </c>
      <c r="E3641" s="21" t="s">
        <v>751</v>
      </c>
      <c r="F3641" s="21" t="s">
        <v>725</v>
      </c>
      <c r="G3641" s="21" t="s">
        <v>739</v>
      </c>
      <c r="H3641" s="21" t="s">
        <v>734</v>
      </c>
    </row>
    <row r="3642" customFormat="false" ht="15" hidden="false" customHeight="false" outlineLevel="0" collapsed="false">
      <c r="B3642" s="19" t="s">
        <v>4756</v>
      </c>
      <c r="C3642" s="20" t="n">
        <f aca="false">ROUND(29.25/FX,2)</f>
        <v>4.06</v>
      </c>
      <c r="D3642" s="21" t="s">
        <v>3317</v>
      </c>
      <c r="E3642" s="21" t="s">
        <v>751</v>
      </c>
      <c r="F3642" s="21" t="s">
        <v>725</v>
      </c>
      <c r="G3642" s="21" t="s">
        <v>731</v>
      </c>
      <c r="H3642" s="21" t="s">
        <v>734</v>
      </c>
    </row>
    <row r="3645" customFormat="false" ht="61.5" hidden="false" customHeight="true" outlineLevel="0" collapsed="false">
      <c r="A3645" s="9"/>
      <c r="B3645" s="10" t="s">
        <v>4757</v>
      </c>
      <c r="C3645" s="10"/>
      <c r="D3645" s="10"/>
      <c r="E3645" s="10"/>
      <c r="F3645" s="10"/>
    </row>
    <row r="3646" customFormat="false" ht="15" hidden="false" customHeight="false" outlineLevel="0" collapsed="false">
      <c r="A3646" s="12" t="s">
        <v>700</v>
      </c>
      <c r="B3646" s="13" t="s">
        <v>701</v>
      </c>
      <c r="C3646" s="13" t="s">
        <v>702</v>
      </c>
      <c r="D3646" s="13" t="s">
        <v>830</v>
      </c>
      <c r="E3646" s="13" t="s">
        <v>703</v>
      </c>
      <c r="F3646" s="13" t="s">
        <v>704</v>
      </c>
    </row>
    <row r="3647" customFormat="false" ht="30" hidden="false" customHeight="true" outlineLevel="0" collapsed="false">
      <c r="A3647" s="14" t="s">
        <v>706</v>
      </c>
      <c r="B3647" s="15" t="str">
        <f aca="false">IF(COUNTIFS($D$3650:$D$3965,IF(D3647="","*",D3647),$E$3650:$E$3965,IF(E3647="","*",E3647),$F$3650:$F$3965,IF(F3647="","*",F3647))=1,INDEX($B:$B,SUMPRODUCT(((D3647="")+($D$3650:$D$3965=D3647)&gt;0)*((E3647="")+($E$3650:$E$3965=E3647)&gt;0)*((F3647="")+($F$3650:$F$3965=F3647)&gt;0)*ROW($B$3650:$B$3965))),IF(COUNTIFS($D$3650:$D$3965,IF(D3647="","*",D3647),$E$3650:$E$3965,IF(E3647="","*",E3647),$F$3650:$F$3965,IF(F3647="","*",F3647))=0,"Not available",COUNTIFS($D$3650:$D$3965,IF(D3647="","*",D3647),$E$3650:$E$3965,IF(E3647="","*",E3647),$F$3650:$F$3965,IF(F3647="","*",F3647))&amp;" match, keep choosing"))</f>
        <v>5M-150-10</v>
      </c>
      <c r="C3647" s="16" t="n">
        <f aca="false">IF(COUNTIFS($D$3650:$D$3965,IF(D3647="","*",D3647),$E$3650:$E$3965,IF(E3647="","*",E3647),$F$3650:$F$3965,IF(F3647="","*",F3647))=1,INDEX($C:$C,SUMPRODUCT(((D3647="")+($D$3650:$D$3965=D3647)&gt;0)*((E3647="")+($E$3650:$E$3965=E3647)&gt;0)*((F3647="")+($F$3650:$F$3965=F3647)&gt;0)*ROW($B$3650:$B$3965))),"")</f>
        <v>0.38</v>
      </c>
      <c r="D3647" s="17" t="s">
        <v>2851</v>
      </c>
      <c r="E3647" s="17" t="s">
        <v>707</v>
      </c>
      <c r="F3647" s="17" t="s">
        <v>708</v>
      </c>
    </row>
    <row r="3649" customFormat="false" ht="15" hidden="false" customHeight="false" outlineLevel="0" collapsed="false">
      <c r="B3649" s="18" t="s">
        <v>701</v>
      </c>
      <c r="C3649" s="18" t="s">
        <v>702</v>
      </c>
      <c r="D3649" s="18" t="s">
        <v>830</v>
      </c>
      <c r="E3649" s="18" t="s">
        <v>703</v>
      </c>
      <c r="F3649" s="18" t="s">
        <v>704</v>
      </c>
    </row>
    <row r="3650" customFormat="false" ht="15" hidden="false" customHeight="false" outlineLevel="0" collapsed="false">
      <c r="B3650" s="19" t="s">
        <v>4758</v>
      </c>
      <c r="C3650" s="20" t="n">
        <f aca="false">ROUND(2.73/FX,2)</f>
        <v>0.38</v>
      </c>
      <c r="D3650" s="21" t="s">
        <v>2851</v>
      </c>
      <c r="E3650" s="21" t="s">
        <v>707</v>
      </c>
      <c r="F3650" s="21" t="s">
        <v>708</v>
      </c>
    </row>
    <row r="3651" customFormat="false" ht="15" hidden="false" customHeight="false" outlineLevel="0" collapsed="false">
      <c r="B3651" s="19" t="s">
        <v>4759</v>
      </c>
      <c r="C3651" s="20" t="n">
        <f aca="false">ROUND(2.73/FX,2)</f>
        <v>0.38</v>
      </c>
      <c r="D3651" s="21" t="s">
        <v>2851</v>
      </c>
      <c r="E3651" s="21" t="s">
        <v>761</v>
      </c>
      <c r="F3651" s="21" t="s">
        <v>708</v>
      </c>
    </row>
    <row r="3652" customFormat="false" ht="15" hidden="false" customHeight="false" outlineLevel="0" collapsed="false">
      <c r="B3652" s="19" t="s">
        <v>4760</v>
      </c>
      <c r="C3652" s="20" t="n">
        <f aca="false">ROUND(2.73/FX,2)</f>
        <v>0.38</v>
      </c>
      <c r="D3652" s="21" t="s">
        <v>2851</v>
      </c>
      <c r="E3652" s="21" t="s">
        <v>4761</v>
      </c>
      <c r="F3652" s="21" t="s">
        <v>708</v>
      </c>
    </row>
    <row r="3653" customFormat="false" ht="15" hidden="false" customHeight="false" outlineLevel="0" collapsed="false">
      <c r="B3653" s="19" t="s">
        <v>4762</v>
      </c>
      <c r="C3653" s="20" t="n">
        <f aca="false">ROUND(2.86/FX,2)</f>
        <v>0.4</v>
      </c>
      <c r="D3653" s="21" t="s">
        <v>2851</v>
      </c>
      <c r="E3653" s="21" t="s">
        <v>714</v>
      </c>
      <c r="F3653" s="21" t="s">
        <v>708</v>
      </c>
    </row>
    <row r="3654" customFormat="false" ht="15" hidden="false" customHeight="false" outlineLevel="0" collapsed="false">
      <c r="B3654" s="19" t="s">
        <v>4763</v>
      </c>
      <c r="C3654" s="20" t="n">
        <f aca="false">ROUND(2.73/FX,2)</f>
        <v>0.38</v>
      </c>
      <c r="D3654" s="21" t="s">
        <v>2851</v>
      </c>
      <c r="E3654" s="21" t="s">
        <v>3247</v>
      </c>
      <c r="F3654" s="21" t="s">
        <v>708</v>
      </c>
    </row>
    <row r="3655" customFormat="false" ht="15" hidden="false" customHeight="false" outlineLevel="0" collapsed="false">
      <c r="B3655" s="19" t="s">
        <v>4764</v>
      </c>
      <c r="C3655" s="20" t="n">
        <f aca="false">ROUND(2.73/FX,2)</f>
        <v>0.38</v>
      </c>
      <c r="D3655" s="21" t="s">
        <v>2851</v>
      </c>
      <c r="E3655" s="21" t="s">
        <v>3317</v>
      </c>
      <c r="F3655" s="21" t="s">
        <v>708</v>
      </c>
    </row>
    <row r="3656" customFormat="false" ht="15" hidden="false" customHeight="false" outlineLevel="0" collapsed="false">
      <c r="B3656" s="19" t="s">
        <v>4765</v>
      </c>
      <c r="C3656" s="20" t="n">
        <f aca="false">ROUND(2.08/FX,2)</f>
        <v>0.29</v>
      </c>
      <c r="D3656" s="21" t="s">
        <v>2851</v>
      </c>
      <c r="E3656" s="21" t="s">
        <v>716</v>
      </c>
      <c r="F3656" s="21" t="s">
        <v>708</v>
      </c>
    </row>
    <row r="3657" customFormat="false" ht="15" hidden="false" customHeight="false" outlineLevel="0" collapsed="false">
      <c r="B3657" s="19" t="s">
        <v>4766</v>
      </c>
      <c r="C3657" s="20" t="n">
        <f aca="false">ROUND(2.73/FX,2)</f>
        <v>0.38</v>
      </c>
      <c r="D3657" s="21" t="s">
        <v>2851</v>
      </c>
      <c r="E3657" s="21" t="s">
        <v>719</v>
      </c>
      <c r="F3657" s="21" t="s">
        <v>708</v>
      </c>
    </row>
    <row r="3658" customFormat="false" ht="15" hidden="false" customHeight="false" outlineLevel="0" collapsed="false">
      <c r="B3658" s="19" t="s">
        <v>4767</v>
      </c>
      <c r="C3658" s="20" t="n">
        <f aca="false">ROUND(2.73/FX,2)</f>
        <v>0.38</v>
      </c>
      <c r="D3658" s="21" t="s">
        <v>1048</v>
      </c>
      <c r="E3658" s="21" t="s">
        <v>707</v>
      </c>
      <c r="F3658" s="21" t="s">
        <v>708</v>
      </c>
    </row>
    <row r="3659" customFormat="false" ht="15" hidden="false" customHeight="false" outlineLevel="0" collapsed="false">
      <c r="B3659" s="19" t="s">
        <v>4768</v>
      </c>
      <c r="C3659" s="20" t="n">
        <f aca="false">ROUND(2.73/FX,2)</f>
        <v>0.38</v>
      </c>
      <c r="D3659" s="21" t="s">
        <v>1048</v>
      </c>
      <c r="E3659" s="21" t="s">
        <v>761</v>
      </c>
      <c r="F3659" s="21" t="s">
        <v>708</v>
      </c>
    </row>
    <row r="3660" customFormat="false" ht="15" hidden="false" customHeight="false" outlineLevel="0" collapsed="false">
      <c r="B3660" s="19" t="s">
        <v>4769</v>
      </c>
      <c r="C3660" s="20" t="n">
        <f aca="false">ROUND(2.73/FX,2)</f>
        <v>0.38</v>
      </c>
      <c r="D3660" s="21" t="s">
        <v>1048</v>
      </c>
      <c r="E3660" s="21" t="s">
        <v>4761</v>
      </c>
      <c r="F3660" s="21" t="s">
        <v>708</v>
      </c>
    </row>
    <row r="3661" customFormat="false" ht="15" hidden="false" customHeight="false" outlineLevel="0" collapsed="false">
      <c r="B3661" s="19" t="s">
        <v>4770</v>
      </c>
      <c r="C3661" s="20" t="n">
        <f aca="false">ROUND(2.21/FX,2)</f>
        <v>0.31</v>
      </c>
      <c r="D3661" s="21" t="s">
        <v>1048</v>
      </c>
      <c r="E3661" s="21" t="s">
        <v>714</v>
      </c>
      <c r="F3661" s="21" t="s">
        <v>708</v>
      </c>
    </row>
    <row r="3662" customFormat="false" ht="15" hidden="false" customHeight="false" outlineLevel="0" collapsed="false">
      <c r="B3662" s="19" t="s">
        <v>4771</v>
      </c>
      <c r="C3662" s="20" t="n">
        <f aca="false">ROUND(2.73/FX,2)</f>
        <v>0.38</v>
      </c>
      <c r="D3662" s="21" t="s">
        <v>1048</v>
      </c>
      <c r="E3662" s="21" t="s">
        <v>3247</v>
      </c>
      <c r="F3662" s="21" t="s">
        <v>708</v>
      </c>
    </row>
    <row r="3663" customFormat="false" ht="15" hidden="false" customHeight="false" outlineLevel="0" collapsed="false">
      <c r="B3663" s="19" t="s">
        <v>4772</v>
      </c>
      <c r="C3663" s="20" t="n">
        <f aca="false">ROUND(2.73/FX,2)</f>
        <v>0.38</v>
      </c>
      <c r="D3663" s="21" t="s">
        <v>1048</v>
      </c>
      <c r="E3663" s="21" t="s">
        <v>3317</v>
      </c>
      <c r="F3663" s="21" t="s">
        <v>708</v>
      </c>
    </row>
    <row r="3664" customFormat="false" ht="15" hidden="false" customHeight="false" outlineLevel="0" collapsed="false">
      <c r="B3664" s="19" t="s">
        <v>4773</v>
      </c>
      <c r="C3664" s="20" t="n">
        <f aca="false">ROUND(2.08/FX,2)</f>
        <v>0.29</v>
      </c>
      <c r="D3664" s="21" t="s">
        <v>1048</v>
      </c>
      <c r="E3664" s="21" t="s">
        <v>716</v>
      </c>
      <c r="F3664" s="21" t="s">
        <v>708</v>
      </c>
    </row>
    <row r="3665" customFormat="false" ht="15" hidden="false" customHeight="false" outlineLevel="0" collapsed="false">
      <c r="B3665" s="19" t="s">
        <v>4774</v>
      </c>
      <c r="C3665" s="20" t="n">
        <f aca="false">ROUND(2.73/FX,2)</f>
        <v>0.38</v>
      </c>
      <c r="D3665" s="21" t="s">
        <v>1048</v>
      </c>
      <c r="E3665" s="21" t="s">
        <v>719</v>
      </c>
      <c r="F3665" s="21" t="s">
        <v>708</v>
      </c>
    </row>
    <row r="3666" customFormat="false" ht="15" hidden="false" customHeight="false" outlineLevel="0" collapsed="false">
      <c r="B3666" s="19" t="s">
        <v>4775</v>
      </c>
      <c r="C3666" s="20" t="n">
        <f aca="false">ROUND(2.73/FX,2)</f>
        <v>0.38</v>
      </c>
      <c r="D3666" s="21" t="s">
        <v>4776</v>
      </c>
      <c r="E3666" s="21" t="s">
        <v>707</v>
      </c>
      <c r="F3666" s="21" t="s">
        <v>708</v>
      </c>
    </row>
    <row r="3667" customFormat="false" ht="15" hidden="false" customHeight="false" outlineLevel="0" collapsed="false">
      <c r="B3667" s="19" t="s">
        <v>4777</v>
      </c>
      <c r="C3667" s="20" t="n">
        <f aca="false">ROUND(2.73/FX,2)</f>
        <v>0.38</v>
      </c>
      <c r="D3667" s="21" t="s">
        <v>4776</v>
      </c>
      <c r="E3667" s="21" t="s">
        <v>761</v>
      </c>
      <c r="F3667" s="21" t="s">
        <v>708</v>
      </c>
    </row>
    <row r="3668" customFormat="false" ht="15" hidden="false" customHeight="false" outlineLevel="0" collapsed="false">
      <c r="B3668" s="19" t="s">
        <v>4778</v>
      </c>
      <c r="C3668" s="20" t="n">
        <f aca="false">ROUND(2.73/FX,2)</f>
        <v>0.38</v>
      </c>
      <c r="D3668" s="21" t="s">
        <v>4776</v>
      </c>
      <c r="E3668" s="21" t="s">
        <v>4761</v>
      </c>
      <c r="F3668" s="21" t="s">
        <v>708</v>
      </c>
    </row>
    <row r="3669" customFormat="false" ht="15" hidden="false" customHeight="false" outlineLevel="0" collapsed="false">
      <c r="B3669" s="19" t="s">
        <v>4779</v>
      </c>
      <c r="C3669" s="20" t="n">
        <f aca="false">ROUND(3.51/FX,2)</f>
        <v>0.49</v>
      </c>
      <c r="D3669" s="21" t="s">
        <v>4776</v>
      </c>
      <c r="E3669" s="21" t="s">
        <v>714</v>
      </c>
      <c r="F3669" s="21" t="s">
        <v>708</v>
      </c>
    </row>
    <row r="3670" customFormat="false" ht="15" hidden="false" customHeight="false" outlineLevel="0" collapsed="false">
      <c r="B3670" s="19" t="s">
        <v>4780</v>
      </c>
      <c r="C3670" s="20" t="n">
        <f aca="false">ROUND(2.73/FX,2)</f>
        <v>0.38</v>
      </c>
      <c r="D3670" s="21" t="s">
        <v>4776</v>
      </c>
      <c r="E3670" s="21" t="s">
        <v>3247</v>
      </c>
      <c r="F3670" s="21" t="s">
        <v>708</v>
      </c>
    </row>
    <row r="3671" customFormat="false" ht="15" hidden="false" customHeight="false" outlineLevel="0" collapsed="false">
      <c r="B3671" s="19" t="s">
        <v>4781</v>
      </c>
      <c r="C3671" s="20" t="n">
        <f aca="false">ROUND(2.73/FX,2)</f>
        <v>0.38</v>
      </c>
      <c r="D3671" s="21" t="s">
        <v>4776</v>
      </c>
      <c r="E3671" s="21" t="s">
        <v>3317</v>
      </c>
      <c r="F3671" s="21" t="s">
        <v>708</v>
      </c>
    </row>
    <row r="3672" customFormat="false" ht="15" hidden="false" customHeight="false" outlineLevel="0" collapsed="false">
      <c r="B3672" s="19" t="s">
        <v>4782</v>
      </c>
      <c r="C3672" s="20" t="n">
        <f aca="false">ROUND(2.08/FX,2)</f>
        <v>0.29</v>
      </c>
      <c r="D3672" s="21" t="s">
        <v>4776</v>
      </c>
      <c r="E3672" s="21" t="s">
        <v>716</v>
      </c>
      <c r="F3672" s="21" t="s">
        <v>708</v>
      </c>
    </row>
    <row r="3673" customFormat="false" ht="15" hidden="false" customHeight="false" outlineLevel="0" collapsed="false">
      <c r="B3673" s="19" t="s">
        <v>4783</v>
      </c>
      <c r="C3673" s="20" t="n">
        <f aca="false">ROUND(2.73/FX,2)</f>
        <v>0.38</v>
      </c>
      <c r="D3673" s="21" t="s">
        <v>4776</v>
      </c>
      <c r="E3673" s="21" t="s">
        <v>719</v>
      </c>
      <c r="F3673" s="21" t="s">
        <v>708</v>
      </c>
    </row>
    <row r="3674" customFormat="false" ht="15" hidden="false" customHeight="false" outlineLevel="0" collapsed="false">
      <c r="B3674" s="19" t="s">
        <v>4784</v>
      </c>
      <c r="C3674" s="20" t="n">
        <f aca="false">ROUND(2.73/FX,2)</f>
        <v>0.38</v>
      </c>
      <c r="D3674" s="21" t="s">
        <v>1103</v>
      </c>
      <c r="E3674" s="21" t="s">
        <v>707</v>
      </c>
      <c r="F3674" s="21" t="s">
        <v>708</v>
      </c>
    </row>
    <row r="3675" customFormat="false" ht="15" hidden="false" customHeight="false" outlineLevel="0" collapsed="false">
      <c r="B3675" s="19" t="s">
        <v>4785</v>
      </c>
      <c r="C3675" s="20" t="n">
        <f aca="false">ROUND(2.73/FX,2)</f>
        <v>0.38</v>
      </c>
      <c r="D3675" s="21" t="s">
        <v>1103</v>
      </c>
      <c r="E3675" s="21" t="s">
        <v>761</v>
      </c>
      <c r="F3675" s="21" t="s">
        <v>708</v>
      </c>
    </row>
    <row r="3676" customFormat="false" ht="15" hidden="false" customHeight="false" outlineLevel="0" collapsed="false">
      <c r="B3676" s="19" t="s">
        <v>4786</v>
      </c>
      <c r="C3676" s="20" t="n">
        <f aca="false">ROUND(2.73/FX,2)</f>
        <v>0.38</v>
      </c>
      <c r="D3676" s="21" t="s">
        <v>1103</v>
      </c>
      <c r="E3676" s="21" t="s">
        <v>4761</v>
      </c>
      <c r="F3676" s="21" t="s">
        <v>708</v>
      </c>
    </row>
    <row r="3677" customFormat="false" ht="15" hidden="false" customHeight="false" outlineLevel="0" collapsed="false">
      <c r="B3677" s="19" t="s">
        <v>4787</v>
      </c>
      <c r="C3677" s="20" t="n">
        <f aca="false">ROUND(3.32/FX,2)</f>
        <v>0.46</v>
      </c>
      <c r="D3677" s="21" t="s">
        <v>1103</v>
      </c>
      <c r="E3677" s="21" t="s">
        <v>714</v>
      </c>
      <c r="F3677" s="21" t="s">
        <v>708</v>
      </c>
    </row>
    <row r="3678" customFormat="false" ht="15" hidden="false" customHeight="false" outlineLevel="0" collapsed="false">
      <c r="B3678" s="19" t="s">
        <v>4788</v>
      </c>
      <c r="C3678" s="20" t="n">
        <f aca="false">ROUND(2.73/FX,2)</f>
        <v>0.38</v>
      </c>
      <c r="D3678" s="21" t="s">
        <v>1103</v>
      </c>
      <c r="E3678" s="21" t="s">
        <v>3247</v>
      </c>
      <c r="F3678" s="21" t="s">
        <v>708</v>
      </c>
    </row>
    <row r="3679" customFormat="false" ht="15" hidden="false" customHeight="false" outlineLevel="0" collapsed="false">
      <c r="B3679" s="19" t="s">
        <v>4789</v>
      </c>
      <c r="C3679" s="20" t="n">
        <f aca="false">ROUND(2.73/FX,2)</f>
        <v>0.38</v>
      </c>
      <c r="D3679" s="21" t="s">
        <v>1103</v>
      </c>
      <c r="E3679" s="21" t="s">
        <v>3317</v>
      </c>
      <c r="F3679" s="21" t="s">
        <v>708</v>
      </c>
    </row>
    <row r="3680" customFormat="false" ht="15" hidden="false" customHeight="false" outlineLevel="0" collapsed="false">
      <c r="B3680" s="19" t="s">
        <v>4790</v>
      </c>
      <c r="C3680" s="20" t="n">
        <f aca="false">ROUND(2.08/FX,2)</f>
        <v>0.29</v>
      </c>
      <c r="D3680" s="21" t="s">
        <v>1103</v>
      </c>
      <c r="E3680" s="21" t="s">
        <v>716</v>
      </c>
      <c r="F3680" s="21" t="s">
        <v>708</v>
      </c>
    </row>
    <row r="3681" customFormat="false" ht="15" hidden="false" customHeight="false" outlineLevel="0" collapsed="false">
      <c r="B3681" s="19" t="s">
        <v>4791</v>
      </c>
      <c r="C3681" s="20" t="n">
        <f aca="false">ROUND(2.73/FX,2)</f>
        <v>0.38</v>
      </c>
      <c r="D3681" s="21" t="s">
        <v>1103</v>
      </c>
      <c r="E3681" s="21" t="s">
        <v>719</v>
      </c>
      <c r="F3681" s="21" t="s">
        <v>708</v>
      </c>
    </row>
    <row r="3682" customFormat="false" ht="15" hidden="false" customHeight="false" outlineLevel="0" collapsed="false">
      <c r="B3682" s="19" t="s">
        <v>4792</v>
      </c>
      <c r="C3682" s="20" t="n">
        <f aca="false">ROUND(2.73/FX,2)</f>
        <v>0.38</v>
      </c>
      <c r="D3682" s="21" t="s">
        <v>4793</v>
      </c>
      <c r="E3682" s="21" t="s">
        <v>707</v>
      </c>
      <c r="F3682" s="21" t="s">
        <v>708</v>
      </c>
    </row>
    <row r="3683" customFormat="false" ht="15" hidden="false" customHeight="false" outlineLevel="0" collapsed="false">
      <c r="B3683" s="19" t="s">
        <v>4794</v>
      </c>
      <c r="C3683" s="20" t="n">
        <f aca="false">ROUND(2.73/FX,2)</f>
        <v>0.38</v>
      </c>
      <c r="D3683" s="21" t="s">
        <v>4793</v>
      </c>
      <c r="E3683" s="21" t="s">
        <v>761</v>
      </c>
      <c r="F3683" s="21" t="s">
        <v>708</v>
      </c>
    </row>
    <row r="3684" customFormat="false" ht="15" hidden="false" customHeight="false" outlineLevel="0" collapsed="false">
      <c r="B3684" s="19" t="s">
        <v>4795</v>
      </c>
      <c r="C3684" s="20" t="n">
        <f aca="false">ROUND(2.73/FX,2)</f>
        <v>0.38</v>
      </c>
      <c r="D3684" s="21" t="s">
        <v>4793</v>
      </c>
      <c r="E3684" s="21" t="s">
        <v>4761</v>
      </c>
      <c r="F3684" s="21" t="s">
        <v>708</v>
      </c>
    </row>
    <row r="3685" customFormat="false" ht="15" hidden="false" customHeight="false" outlineLevel="0" collapsed="false">
      <c r="B3685" s="19" t="s">
        <v>4796</v>
      </c>
      <c r="C3685" s="20" t="n">
        <f aca="false">ROUND(2.46/FX,2)</f>
        <v>0.34</v>
      </c>
      <c r="D3685" s="21" t="s">
        <v>4793</v>
      </c>
      <c r="E3685" s="21" t="s">
        <v>714</v>
      </c>
      <c r="F3685" s="21" t="s">
        <v>708</v>
      </c>
    </row>
    <row r="3686" customFormat="false" ht="15" hidden="false" customHeight="false" outlineLevel="0" collapsed="false">
      <c r="B3686" s="19" t="s">
        <v>4797</v>
      </c>
      <c r="C3686" s="20" t="n">
        <f aca="false">ROUND(2.73/FX,2)</f>
        <v>0.38</v>
      </c>
      <c r="D3686" s="21" t="s">
        <v>4793</v>
      </c>
      <c r="E3686" s="21" t="s">
        <v>3247</v>
      </c>
      <c r="F3686" s="21" t="s">
        <v>708</v>
      </c>
    </row>
    <row r="3687" customFormat="false" ht="15" hidden="false" customHeight="false" outlineLevel="0" collapsed="false">
      <c r="B3687" s="19" t="s">
        <v>4798</v>
      </c>
      <c r="C3687" s="20" t="n">
        <f aca="false">ROUND(2.73/FX,2)</f>
        <v>0.38</v>
      </c>
      <c r="D3687" s="21" t="s">
        <v>4793</v>
      </c>
      <c r="E3687" s="21" t="s">
        <v>3317</v>
      </c>
      <c r="F3687" s="21" t="s">
        <v>708</v>
      </c>
    </row>
    <row r="3688" customFormat="false" ht="15" hidden="false" customHeight="false" outlineLevel="0" collapsed="false">
      <c r="B3688" s="19" t="s">
        <v>4799</v>
      </c>
      <c r="C3688" s="20" t="n">
        <f aca="false">ROUND(2.08/FX,2)</f>
        <v>0.29</v>
      </c>
      <c r="D3688" s="21" t="s">
        <v>4793</v>
      </c>
      <c r="E3688" s="21" t="s">
        <v>716</v>
      </c>
      <c r="F3688" s="21" t="s">
        <v>708</v>
      </c>
    </row>
    <row r="3689" customFormat="false" ht="15" hidden="false" customHeight="false" outlineLevel="0" collapsed="false">
      <c r="B3689" s="19" t="s">
        <v>4800</v>
      </c>
      <c r="C3689" s="20" t="n">
        <f aca="false">ROUND(2.73/FX,2)</f>
        <v>0.38</v>
      </c>
      <c r="D3689" s="21" t="s">
        <v>4793</v>
      </c>
      <c r="E3689" s="21" t="s">
        <v>719</v>
      </c>
      <c r="F3689" s="21" t="s">
        <v>708</v>
      </c>
    </row>
    <row r="3690" customFormat="false" ht="15" hidden="false" customHeight="false" outlineLevel="0" collapsed="false">
      <c r="B3690" s="19" t="s">
        <v>4801</v>
      </c>
      <c r="C3690" s="20" t="n">
        <f aca="false">ROUND(2.73/FX,2)</f>
        <v>0.38</v>
      </c>
      <c r="D3690" s="21" t="s">
        <v>1158</v>
      </c>
      <c r="E3690" s="21" t="s">
        <v>707</v>
      </c>
      <c r="F3690" s="21" t="s">
        <v>708</v>
      </c>
    </row>
    <row r="3691" customFormat="false" ht="15" hidden="false" customHeight="false" outlineLevel="0" collapsed="false">
      <c r="B3691" s="19" t="s">
        <v>4802</v>
      </c>
      <c r="C3691" s="20" t="n">
        <f aca="false">ROUND(2.73/FX,2)</f>
        <v>0.38</v>
      </c>
      <c r="D3691" s="21" t="s">
        <v>1158</v>
      </c>
      <c r="E3691" s="21" t="s">
        <v>761</v>
      </c>
      <c r="F3691" s="21" t="s">
        <v>708</v>
      </c>
    </row>
    <row r="3692" customFormat="false" ht="15" hidden="false" customHeight="false" outlineLevel="0" collapsed="false">
      <c r="B3692" s="19" t="s">
        <v>4803</v>
      </c>
      <c r="C3692" s="20" t="n">
        <f aca="false">ROUND(2.73/FX,2)</f>
        <v>0.38</v>
      </c>
      <c r="D3692" s="21" t="s">
        <v>1158</v>
      </c>
      <c r="E3692" s="21" t="s">
        <v>4761</v>
      </c>
      <c r="F3692" s="21" t="s">
        <v>708</v>
      </c>
    </row>
    <row r="3693" customFormat="false" ht="15" hidden="false" customHeight="false" outlineLevel="0" collapsed="false">
      <c r="B3693" s="19" t="s">
        <v>4804</v>
      </c>
      <c r="C3693" s="20" t="n">
        <f aca="false">ROUND(3.25/FX,2)</f>
        <v>0.45</v>
      </c>
      <c r="D3693" s="21" t="s">
        <v>1158</v>
      </c>
      <c r="E3693" s="21" t="s">
        <v>714</v>
      </c>
      <c r="F3693" s="21" t="s">
        <v>708</v>
      </c>
    </row>
    <row r="3694" customFormat="false" ht="15" hidden="false" customHeight="false" outlineLevel="0" collapsed="false">
      <c r="B3694" s="19" t="s">
        <v>4805</v>
      </c>
      <c r="C3694" s="20" t="n">
        <f aca="false">ROUND(2.73/FX,2)</f>
        <v>0.38</v>
      </c>
      <c r="D3694" s="21" t="s">
        <v>1158</v>
      </c>
      <c r="E3694" s="21" t="s">
        <v>3247</v>
      </c>
      <c r="F3694" s="21" t="s">
        <v>708</v>
      </c>
    </row>
    <row r="3695" customFormat="false" ht="15" hidden="false" customHeight="false" outlineLevel="0" collapsed="false">
      <c r="B3695" s="19" t="s">
        <v>4806</v>
      </c>
      <c r="C3695" s="20" t="n">
        <f aca="false">ROUND(2.73/FX,2)</f>
        <v>0.38</v>
      </c>
      <c r="D3695" s="21" t="s">
        <v>1158</v>
      </c>
      <c r="E3695" s="21" t="s">
        <v>3317</v>
      </c>
      <c r="F3695" s="21" t="s">
        <v>708</v>
      </c>
    </row>
    <row r="3696" customFormat="false" ht="15" hidden="false" customHeight="false" outlineLevel="0" collapsed="false">
      <c r="B3696" s="19" t="s">
        <v>4807</v>
      </c>
      <c r="C3696" s="20" t="n">
        <f aca="false">ROUND(2.08/FX,2)</f>
        <v>0.29</v>
      </c>
      <c r="D3696" s="21" t="s">
        <v>1158</v>
      </c>
      <c r="E3696" s="21" t="s">
        <v>716</v>
      </c>
      <c r="F3696" s="21" t="s">
        <v>708</v>
      </c>
    </row>
    <row r="3697" customFormat="false" ht="15" hidden="false" customHeight="false" outlineLevel="0" collapsed="false">
      <c r="B3697" s="19" t="s">
        <v>4808</v>
      </c>
      <c r="C3697" s="20" t="n">
        <f aca="false">ROUND(2.73/FX,2)</f>
        <v>0.38</v>
      </c>
      <c r="D3697" s="21" t="s">
        <v>1158</v>
      </c>
      <c r="E3697" s="21" t="s">
        <v>719</v>
      </c>
      <c r="F3697" s="21" t="s">
        <v>708</v>
      </c>
    </row>
    <row r="3698" customFormat="false" ht="15" hidden="false" customHeight="false" outlineLevel="0" collapsed="false">
      <c r="B3698" s="19" t="s">
        <v>4809</v>
      </c>
      <c r="C3698" s="20" t="n">
        <f aca="false">ROUND(2.73/FX,2)</f>
        <v>0.38</v>
      </c>
      <c r="D3698" s="21" t="s">
        <v>3991</v>
      </c>
      <c r="E3698" s="21" t="s">
        <v>707</v>
      </c>
      <c r="F3698" s="21" t="s">
        <v>708</v>
      </c>
    </row>
    <row r="3699" customFormat="false" ht="15" hidden="false" customHeight="false" outlineLevel="0" collapsed="false">
      <c r="B3699" s="19" t="s">
        <v>4810</v>
      </c>
      <c r="C3699" s="20" t="n">
        <f aca="false">ROUND(2.73/FX,2)</f>
        <v>0.38</v>
      </c>
      <c r="D3699" s="21" t="s">
        <v>3991</v>
      </c>
      <c r="E3699" s="21" t="s">
        <v>761</v>
      </c>
      <c r="F3699" s="21" t="s">
        <v>708</v>
      </c>
    </row>
    <row r="3700" customFormat="false" ht="15" hidden="false" customHeight="false" outlineLevel="0" collapsed="false">
      <c r="B3700" s="19" t="s">
        <v>4811</v>
      </c>
      <c r="C3700" s="20" t="n">
        <f aca="false">ROUND(2.73/FX,2)</f>
        <v>0.38</v>
      </c>
      <c r="D3700" s="21" t="s">
        <v>3991</v>
      </c>
      <c r="E3700" s="21" t="s">
        <v>4761</v>
      </c>
      <c r="F3700" s="21" t="s">
        <v>708</v>
      </c>
    </row>
    <row r="3701" customFormat="false" ht="15" hidden="false" customHeight="false" outlineLevel="0" collapsed="false">
      <c r="B3701" s="19" t="s">
        <v>4812</v>
      </c>
      <c r="C3701" s="20" t="n">
        <f aca="false">ROUND(2.73/FX,2)</f>
        <v>0.38</v>
      </c>
      <c r="D3701" s="21" t="s">
        <v>3991</v>
      </c>
      <c r="E3701" s="21" t="s">
        <v>714</v>
      </c>
      <c r="F3701" s="21" t="s">
        <v>708</v>
      </c>
    </row>
    <row r="3702" customFormat="false" ht="15" hidden="false" customHeight="false" outlineLevel="0" collapsed="false">
      <c r="B3702" s="19" t="s">
        <v>4813</v>
      </c>
      <c r="C3702" s="20" t="n">
        <f aca="false">ROUND(2.73/FX,2)</f>
        <v>0.38</v>
      </c>
      <c r="D3702" s="21" t="s">
        <v>3991</v>
      </c>
      <c r="E3702" s="21" t="s">
        <v>3247</v>
      </c>
      <c r="F3702" s="21" t="s">
        <v>708</v>
      </c>
    </row>
    <row r="3703" customFormat="false" ht="15" hidden="false" customHeight="false" outlineLevel="0" collapsed="false">
      <c r="B3703" s="19" t="s">
        <v>4814</v>
      </c>
      <c r="C3703" s="20" t="n">
        <f aca="false">ROUND(2.73/FX,2)</f>
        <v>0.38</v>
      </c>
      <c r="D3703" s="21" t="s">
        <v>3991</v>
      </c>
      <c r="E3703" s="21" t="s">
        <v>3317</v>
      </c>
      <c r="F3703" s="21" t="s">
        <v>708</v>
      </c>
    </row>
    <row r="3704" customFormat="false" ht="15" hidden="false" customHeight="false" outlineLevel="0" collapsed="false">
      <c r="B3704" s="19" t="s">
        <v>4815</v>
      </c>
      <c r="C3704" s="20" t="n">
        <f aca="false">ROUND(2.08/FX,2)</f>
        <v>0.29</v>
      </c>
      <c r="D3704" s="21" t="s">
        <v>3991</v>
      </c>
      <c r="E3704" s="21" t="s">
        <v>716</v>
      </c>
      <c r="F3704" s="21" t="s">
        <v>708</v>
      </c>
    </row>
    <row r="3705" customFormat="false" ht="15" hidden="false" customHeight="false" outlineLevel="0" collapsed="false">
      <c r="B3705" s="19" t="s">
        <v>4816</v>
      </c>
      <c r="C3705" s="20" t="n">
        <f aca="false">ROUND(2.73/FX,2)</f>
        <v>0.38</v>
      </c>
      <c r="D3705" s="21" t="s">
        <v>3991</v>
      </c>
      <c r="E3705" s="21" t="s">
        <v>719</v>
      </c>
      <c r="F3705" s="21" t="s">
        <v>708</v>
      </c>
    </row>
    <row r="3706" customFormat="false" ht="15" hidden="false" customHeight="false" outlineLevel="0" collapsed="false">
      <c r="B3706" s="19" t="s">
        <v>4817</v>
      </c>
      <c r="C3706" s="20" t="n">
        <f aca="false">ROUND(2.73/FX,2)</f>
        <v>0.38</v>
      </c>
      <c r="D3706" s="21" t="s">
        <v>1213</v>
      </c>
      <c r="E3706" s="21" t="s">
        <v>707</v>
      </c>
      <c r="F3706" s="21" t="s">
        <v>708</v>
      </c>
    </row>
    <row r="3707" customFormat="false" ht="15" hidden="false" customHeight="false" outlineLevel="0" collapsed="false">
      <c r="B3707" s="19" t="s">
        <v>4818</v>
      </c>
      <c r="C3707" s="20" t="n">
        <f aca="false">ROUND(2.73/FX,2)</f>
        <v>0.38</v>
      </c>
      <c r="D3707" s="21" t="s">
        <v>1213</v>
      </c>
      <c r="E3707" s="21" t="s">
        <v>761</v>
      </c>
      <c r="F3707" s="21" t="s">
        <v>708</v>
      </c>
    </row>
    <row r="3708" customFormat="false" ht="15" hidden="false" customHeight="false" outlineLevel="0" collapsed="false">
      <c r="B3708" s="19" t="s">
        <v>4819</v>
      </c>
      <c r="C3708" s="20" t="n">
        <f aca="false">ROUND(2.73/FX,2)</f>
        <v>0.38</v>
      </c>
      <c r="D3708" s="21" t="s">
        <v>1213</v>
      </c>
      <c r="E3708" s="21" t="s">
        <v>4761</v>
      </c>
      <c r="F3708" s="21" t="s">
        <v>708</v>
      </c>
    </row>
    <row r="3709" customFormat="false" ht="15" hidden="false" customHeight="false" outlineLevel="0" collapsed="false">
      <c r="B3709" s="19" t="s">
        <v>4820</v>
      </c>
      <c r="C3709" s="20" t="n">
        <f aca="false">ROUND(2.47/FX,2)</f>
        <v>0.34</v>
      </c>
      <c r="D3709" s="21" t="s">
        <v>1213</v>
      </c>
      <c r="E3709" s="21" t="s">
        <v>714</v>
      </c>
      <c r="F3709" s="21" t="s">
        <v>708</v>
      </c>
    </row>
    <row r="3710" customFormat="false" ht="15" hidden="false" customHeight="false" outlineLevel="0" collapsed="false">
      <c r="B3710" s="19" t="s">
        <v>4821</v>
      </c>
      <c r="C3710" s="20" t="n">
        <f aca="false">ROUND(2.73/FX,2)</f>
        <v>0.38</v>
      </c>
      <c r="D3710" s="21" t="s">
        <v>1213</v>
      </c>
      <c r="E3710" s="21" t="s">
        <v>3247</v>
      </c>
      <c r="F3710" s="21" t="s">
        <v>708</v>
      </c>
    </row>
    <row r="3711" customFormat="false" ht="15" hidden="false" customHeight="false" outlineLevel="0" collapsed="false">
      <c r="B3711" s="19" t="s">
        <v>4822</v>
      </c>
      <c r="C3711" s="20" t="n">
        <f aca="false">ROUND(2.73/FX,2)</f>
        <v>0.38</v>
      </c>
      <c r="D3711" s="21" t="s">
        <v>1213</v>
      </c>
      <c r="E3711" s="21" t="s">
        <v>3317</v>
      </c>
      <c r="F3711" s="21" t="s">
        <v>708</v>
      </c>
    </row>
    <row r="3712" customFormat="false" ht="15" hidden="false" customHeight="false" outlineLevel="0" collapsed="false">
      <c r="B3712" s="19" t="s">
        <v>4823</v>
      </c>
      <c r="C3712" s="20" t="n">
        <f aca="false">ROUND(2.08/FX,2)</f>
        <v>0.29</v>
      </c>
      <c r="D3712" s="21" t="s">
        <v>1213</v>
      </c>
      <c r="E3712" s="21" t="s">
        <v>716</v>
      </c>
      <c r="F3712" s="21" t="s">
        <v>708</v>
      </c>
    </row>
    <row r="3713" customFormat="false" ht="15" hidden="false" customHeight="false" outlineLevel="0" collapsed="false">
      <c r="B3713" s="19" t="s">
        <v>4824</v>
      </c>
      <c r="C3713" s="20" t="n">
        <f aca="false">ROUND(2.73/FX,2)</f>
        <v>0.38</v>
      </c>
      <c r="D3713" s="21" t="s">
        <v>1213</v>
      </c>
      <c r="E3713" s="21" t="s">
        <v>719</v>
      </c>
      <c r="F3713" s="21" t="s">
        <v>708</v>
      </c>
    </row>
    <row r="3714" customFormat="false" ht="15" hidden="false" customHeight="false" outlineLevel="0" collapsed="false">
      <c r="B3714" s="19" t="s">
        <v>4825</v>
      </c>
      <c r="C3714" s="20" t="n">
        <f aca="false">ROUND(2.73/FX,2)</f>
        <v>0.38</v>
      </c>
      <c r="D3714" s="21" t="s">
        <v>4826</v>
      </c>
      <c r="E3714" s="21" t="s">
        <v>707</v>
      </c>
      <c r="F3714" s="21" t="s">
        <v>708</v>
      </c>
    </row>
    <row r="3715" customFormat="false" ht="15" hidden="false" customHeight="false" outlineLevel="0" collapsed="false">
      <c r="B3715" s="19" t="s">
        <v>4827</v>
      </c>
      <c r="C3715" s="20" t="n">
        <f aca="false">ROUND(2.73/FX,2)</f>
        <v>0.38</v>
      </c>
      <c r="D3715" s="21" t="s">
        <v>4826</v>
      </c>
      <c r="E3715" s="21" t="s">
        <v>761</v>
      </c>
      <c r="F3715" s="21" t="s">
        <v>708</v>
      </c>
    </row>
    <row r="3716" customFormat="false" ht="15" hidden="false" customHeight="false" outlineLevel="0" collapsed="false">
      <c r="B3716" s="19" t="s">
        <v>4828</v>
      </c>
      <c r="C3716" s="20" t="n">
        <f aca="false">ROUND(2.73/FX,2)</f>
        <v>0.38</v>
      </c>
      <c r="D3716" s="21" t="s">
        <v>4826</v>
      </c>
      <c r="E3716" s="21" t="s">
        <v>4761</v>
      </c>
      <c r="F3716" s="21" t="s">
        <v>708</v>
      </c>
    </row>
    <row r="3717" customFormat="false" ht="15" hidden="false" customHeight="false" outlineLevel="0" collapsed="false">
      <c r="B3717" s="19" t="s">
        <v>4829</v>
      </c>
      <c r="C3717" s="20" t="n">
        <f aca="false">ROUND(2.48/FX,2)</f>
        <v>0.34</v>
      </c>
      <c r="D3717" s="21" t="s">
        <v>4826</v>
      </c>
      <c r="E3717" s="21" t="s">
        <v>714</v>
      </c>
      <c r="F3717" s="21" t="s">
        <v>708</v>
      </c>
    </row>
    <row r="3718" customFormat="false" ht="15" hidden="false" customHeight="false" outlineLevel="0" collapsed="false">
      <c r="B3718" s="19" t="s">
        <v>4830</v>
      </c>
      <c r="C3718" s="20" t="n">
        <f aca="false">ROUND(2.73/FX,2)</f>
        <v>0.38</v>
      </c>
      <c r="D3718" s="21" t="s">
        <v>4826</v>
      </c>
      <c r="E3718" s="21" t="s">
        <v>3247</v>
      </c>
      <c r="F3718" s="21" t="s">
        <v>708</v>
      </c>
    </row>
    <row r="3719" customFormat="false" ht="15" hidden="false" customHeight="false" outlineLevel="0" collapsed="false">
      <c r="B3719" s="19" t="s">
        <v>4831</v>
      </c>
      <c r="C3719" s="20" t="n">
        <f aca="false">ROUND(2.73/FX,2)</f>
        <v>0.38</v>
      </c>
      <c r="D3719" s="21" t="s">
        <v>4826</v>
      </c>
      <c r="E3719" s="21" t="s">
        <v>3317</v>
      </c>
      <c r="F3719" s="21" t="s">
        <v>708</v>
      </c>
    </row>
    <row r="3720" customFormat="false" ht="15" hidden="false" customHeight="false" outlineLevel="0" collapsed="false">
      <c r="B3720" s="19" t="s">
        <v>4832</v>
      </c>
      <c r="C3720" s="20" t="n">
        <f aca="false">ROUND(2.08/FX,2)</f>
        <v>0.29</v>
      </c>
      <c r="D3720" s="21" t="s">
        <v>4826</v>
      </c>
      <c r="E3720" s="21" t="s">
        <v>716</v>
      </c>
      <c r="F3720" s="21" t="s">
        <v>708</v>
      </c>
    </row>
    <row r="3721" customFormat="false" ht="15" hidden="false" customHeight="false" outlineLevel="0" collapsed="false">
      <c r="B3721" s="19" t="s">
        <v>4833</v>
      </c>
      <c r="C3721" s="20" t="n">
        <f aca="false">ROUND(2.73/FX,2)</f>
        <v>0.38</v>
      </c>
      <c r="D3721" s="21" t="s">
        <v>4826</v>
      </c>
      <c r="E3721" s="21" t="s">
        <v>719</v>
      </c>
      <c r="F3721" s="21" t="s">
        <v>708</v>
      </c>
    </row>
    <row r="3722" customFormat="false" ht="15" hidden="false" customHeight="false" outlineLevel="0" collapsed="false">
      <c r="B3722" s="19" t="s">
        <v>4834</v>
      </c>
      <c r="C3722" s="20" t="n">
        <f aca="false">ROUND(2.73/FX,2)</f>
        <v>0.38</v>
      </c>
      <c r="D3722" s="21" t="s">
        <v>1268</v>
      </c>
      <c r="E3722" s="21" t="s">
        <v>707</v>
      </c>
      <c r="F3722" s="21" t="s">
        <v>708</v>
      </c>
    </row>
    <row r="3723" customFormat="false" ht="15" hidden="false" customHeight="false" outlineLevel="0" collapsed="false">
      <c r="B3723" s="19" t="s">
        <v>4835</v>
      </c>
      <c r="C3723" s="20" t="n">
        <f aca="false">ROUND(2.73/FX,2)</f>
        <v>0.38</v>
      </c>
      <c r="D3723" s="21" t="s">
        <v>1268</v>
      </c>
      <c r="E3723" s="21" t="s">
        <v>761</v>
      </c>
      <c r="F3723" s="21" t="s">
        <v>708</v>
      </c>
    </row>
    <row r="3724" customFormat="false" ht="15" hidden="false" customHeight="false" outlineLevel="0" collapsed="false">
      <c r="B3724" s="19" t="s">
        <v>4836</v>
      </c>
      <c r="C3724" s="20" t="n">
        <f aca="false">ROUND(2.73/FX,2)</f>
        <v>0.38</v>
      </c>
      <c r="D3724" s="21" t="s">
        <v>1268</v>
      </c>
      <c r="E3724" s="21" t="s">
        <v>4761</v>
      </c>
      <c r="F3724" s="21" t="s">
        <v>708</v>
      </c>
    </row>
    <row r="3725" customFormat="false" ht="15" hidden="false" customHeight="false" outlineLevel="0" collapsed="false">
      <c r="B3725" s="19" t="s">
        <v>4837</v>
      </c>
      <c r="C3725" s="20" t="n">
        <f aca="false">ROUND(2.74/FX,2)</f>
        <v>0.38</v>
      </c>
      <c r="D3725" s="21" t="s">
        <v>1268</v>
      </c>
      <c r="E3725" s="21" t="s">
        <v>714</v>
      </c>
      <c r="F3725" s="21" t="s">
        <v>708</v>
      </c>
    </row>
    <row r="3726" customFormat="false" ht="15" hidden="false" customHeight="false" outlineLevel="0" collapsed="false">
      <c r="B3726" s="19" t="s">
        <v>4838</v>
      </c>
      <c r="C3726" s="20" t="n">
        <f aca="false">ROUND(2.73/FX,2)</f>
        <v>0.38</v>
      </c>
      <c r="D3726" s="21" t="s">
        <v>1268</v>
      </c>
      <c r="E3726" s="21" t="s">
        <v>3247</v>
      </c>
      <c r="F3726" s="21" t="s">
        <v>708</v>
      </c>
    </row>
    <row r="3727" customFormat="false" ht="15" hidden="false" customHeight="false" outlineLevel="0" collapsed="false">
      <c r="B3727" s="19" t="s">
        <v>4839</v>
      </c>
      <c r="C3727" s="20" t="n">
        <f aca="false">ROUND(2.73/FX,2)</f>
        <v>0.38</v>
      </c>
      <c r="D3727" s="21" t="s">
        <v>1268</v>
      </c>
      <c r="E3727" s="21" t="s">
        <v>3317</v>
      </c>
      <c r="F3727" s="21" t="s">
        <v>708</v>
      </c>
    </row>
    <row r="3728" customFormat="false" ht="15" hidden="false" customHeight="false" outlineLevel="0" collapsed="false">
      <c r="B3728" s="19" t="s">
        <v>4840</v>
      </c>
      <c r="C3728" s="20" t="n">
        <f aca="false">ROUND(2.08/FX,2)</f>
        <v>0.29</v>
      </c>
      <c r="D3728" s="21" t="s">
        <v>1268</v>
      </c>
      <c r="E3728" s="21" t="s">
        <v>716</v>
      </c>
      <c r="F3728" s="21" t="s">
        <v>708</v>
      </c>
    </row>
    <row r="3729" customFormat="false" ht="15" hidden="false" customHeight="false" outlineLevel="0" collapsed="false">
      <c r="B3729" s="19" t="s">
        <v>4841</v>
      </c>
      <c r="C3729" s="20" t="n">
        <f aca="false">ROUND(2.73/FX,2)</f>
        <v>0.38</v>
      </c>
      <c r="D3729" s="21" t="s">
        <v>1268</v>
      </c>
      <c r="E3729" s="21" t="s">
        <v>719</v>
      </c>
      <c r="F3729" s="21" t="s">
        <v>708</v>
      </c>
    </row>
    <row r="3730" customFormat="false" ht="15" hidden="false" customHeight="false" outlineLevel="0" collapsed="false">
      <c r="B3730" s="19" t="s">
        <v>4842</v>
      </c>
      <c r="C3730" s="20" t="n">
        <f aca="false">ROUND(2.73/FX,2)</f>
        <v>0.38</v>
      </c>
      <c r="D3730" s="21" t="s">
        <v>1323</v>
      </c>
      <c r="E3730" s="21" t="s">
        <v>707</v>
      </c>
      <c r="F3730" s="21" t="s">
        <v>708</v>
      </c>
    </row>
    <row r="3731" customFormat="false" ht="15" hidden="false" customHeight="false" outlineLevel="0" collapsed="false">
      <c r="B3731" s="19" t="s">
        <v>4843</v>
      </c>
      <c r="C3731" s="20" t="n">
        <f aca="false">ROUND(2.73/FX,2)</f>
        <v>0.38</v>
      </c>
      <c r="D3731" s="21" t="s">
        <v>1323</v>
      </c>
      <c r="E3731" s="21" t="s">
        <v>761</v>
      </c>
      <c r="F3731" s="21" t="s">
        <v>708</v>
      </c>
    </row>
    <row r="3732" customFormat="false" ht="15" hidden="false" customHeight="false" outlineLevel="0" collapsed="false">
      <c r="B3732" s="19" t="s">
        <v>4844</v>
      </c>
      <c r="C3732" s="20" t="n">
        <f aca="false">ROUND(2.73/FX,2)</f>
        <v>0.38</v>
      </c>
      <c r="D3732" s="21" t="s">
        <v>1323</v>
      </c>
      <c r="E3732" s="21" t="s">
        <v>4761</v>
      </c>
      <c r="F3732" s="21" t="s">
        <v>708</v>
      </c>
    </row>
    <row r="3733" customFormat="false" ht="15" hidden="false" customHeight="false" outlineLevel="0" collapsed="false">
      <c r="B3733" s="19" t="s">
        <v>4845</v>
      </c>
      <c r="C3733" s="20" t="n">
        <f aca="false">ROUND(2.86/FX,2)</f>
        <v>0.4</v>
      </c>
      <c r="D3733" s="21" t="s">
        <v>1323</v>
      </c>
      <c r="E3733" s="21" t="s">
        <v>714</v>
      </c>
      <c r="F3733" s="21" t="s">
        <v>708</v>
      </c>
    </row>
    <row r="3734" customFormat="false" ht="15" hidden="false" customHeight="false" outlineLevel="0" collapsed="false">
      <c r="B3734" s="19" t="s">
        <v>4846</v>
      </c>
      <c r="C3734" s="20" t="n">
        <f aca="false">ROUND(2.73/FX,2)</f>
        <v>0.38</v>
      </c>
      <c r="D3734" s="21" t="s">
        <v>1323</v>
      </c>
      <c r="E3734" s="21" t="s">
        <v>3247</v>
      </c>
      <c r="F3734" s="21" t="s">
        <v>708</v>
      </c>
    </row>
    <row r="3735" customFormat="false" ht="15" hidden="false" customHeight="false" outlineLevel="0" collapsed="false">
      <c r="B3735" s="19" t="s">
        <v>4847</v>
      </c>
      <c r="C3735" s="20" t="n">
        <f aca="false">ROUND(2.73/FX,2)</f>
        <v>0.38</v>
      </c>
      <c r="D3735" s="21" t="s">
        <v>1323</v>
      </c>
      <c r="E3735" s="21" t="s">
        <v>3317</v>
      </c>
      <c r="F3735" s="21" t="s">
        <v>708</v>
      </c>
    </row>
    <row r="3736" customFormat="false" ht="15" hidden="false" customHeight="false" outlineLevel="0" collapsed="false">
      <c r="B3736" s="19" t="s">
        <v>4848</v>
      </c>
      <c r="C3736" s="20" t="n">
        <f aca="false">ROUND(2.08/FX,2)</f>
        <v>0.29</v>
      </c>
      <c r="D3736" s="21" t="s">
        <v>1323</v>
      </c>
      <c r="E3736" s="21" t="s">
        <v>716</v>
      </c>
      <c r="F3736" s="21" t="s">
        <v>708</v>
      </c>
    </row>
    <row r="3737" customFormat="false" ht="15" hidden="false" customHeight="false" outlineLevel="0" collapsed="false">
      <c r="B3737" s="19" t="s">
        <v>4849</v>
      </c>
      <c r="C3737" s="20" t="n">
        <f aca="false">ROUND(2.73/FX,2)</f>
        <v>0.38</v>
      </c>
      <c r="D3737" s="21" t="s">
        <v>1323</v>
      </c>
      <c r="E3737" s="21" t="s">
        <v>719</v>
      </c>
      <c r="F3737" s="21" t="s">
        <v>708</v>
      </c>
    </row>
    <row r="3738" customFormat="false" ht="15" hidden="false" customHeight="false" outlineLevel="0" collapsed="false">
      <c r="B3738" s="19" t="s">
        <v>4850</v>
      </c>
      <c r="C3738" s="20" t="n">
        <f aca="false">ROUND(1.43/FX,2)</f>
        <v>0.2</v>
      </c>
      <c r="D3738" s="21" t="s">
        <v>4083</v>
      </c>
      <c r="E3738" s="21" t="s">
        <v>707</v>
      </c>
      <c r="F3738" s="21" t="s">
        <v>708</v>
      </c>
    </row>
    <row r="3739" customFormat="false" ht="15" hidden="false" customHeight="false" outlineLevel="0" collapsed="false">
      <c r="B3739" s="19" t="s">
        <v>4851</v>
      </c>
      <c r="C3739" s="20" t="n">
        <f aca="false">ROUND(1.43/FX,2)</f>
        <v>0.2</v>
      </c>
      <c r="D3739" s="21" t="s">
        <v>4083</v>
      </c>
      <c r="E3739" s="21" t="s">
        <v>761</v>
      </c>
      <c r="F3739" s="21" t="s">
        <v>708</v>
      </c>
    </row>
    <row r="3740" customFormat="false" ht="15" hidden="false" customHeight="false" outlineLevel="0" collapsed="false">
      <c r="B3740" s="19" t="s">
        <v>4852</v>
      </c>
      <c r="C3740" s="20" t="n">
        <f aca="false">ROUND(1.43/FX,2)</f>
        <v>0.2</v>
      </c>
      <c r="D3740" s="21" t="s">
        <v>4083</v>
      </c>
      <c r="E3740" s="21" t="s">
        <v>4761</v>
      </c>
      <c r="F3740" s="21" t="s">
        <v>708</v>
      </c>
    </row>
    <row r="3741" customFormat="false" ht="15" hidden="false" customHeight="false" outlineLevel="0" collapsed="false">
      <c r="B3741" s="19" t="s">
        <v>4853</v>
      </c>
      <c r="C3741" s="20" t="n">
        <f aca="false">ROUND(1.43/FX,2)</f>
        <v>0.2</v>
      </c>
      <c r="D3741" s="21" t="s">
        <v>4083</v>
      </c>
      <c r="E3741" s="21" t="s">
        <v>714</v>
      </c>
      <c r="F3741" s="21" t="s">
        <v>708</v>
      </c>
    </row>
    <row r="3742" customFormat="false" ht="15" hidden="false" customHeight="false" outlineLevel="0" collapsed="false">
      <c r="B3742" s="19" t="s">
        <v>4854</v>
      </c>
      <c r="C3742" s="20" t="n">
        <f aca="false">ROUND(1.43/FX,2)</f>
        <v>0.2</v>
      </c>
      <c r="D3742" s="21" t="s">
        <v>4083</v>
      </c>
      <c r="E3742" s="21" t="s">
        <v>3247</v>
      </c>
      <c r="F3742" s="21" t="s">
        <v>708</v>
      </c>
    </row>
    <row r="3743" customFormat="false" ht="15" hidden="false" customHeight="false" outlineLevel="0" collapsed="false">
      <c r="B3743" s="19" t="s">
        <v>4855</v>
      </c>
      <c r="C3743" s="20" t="n">
        <f aca="false">ROUND(1.43/FX,2)</f>
        <v>0.2</v>
      </c>
      <c r="D3743" s="21" t="s">
        <v>4083</v>
      </c>
      <c r="E3743" s="21" t="s">
        <v>3317</v>
      </c>
      <c r="F3743" s="21" t="s">
        <v>708</v>
      </c>
    </row>
    <row r="3744" customFormat="false" ht="15" hidden="false" customHeight="false" outlineLevel="0" collapsed="false">
      <c r="B3744" s="19" t="s">
        <v>4856</v>
      </c>
      <c r="C3744" s="20" t="n">
        <f aca="false">ROUND(1.43/FX,2)</f>
        <v>0.2</v>
      </c>
      <c r="D3744" s="21" t="s">
        <v>4083</v>
      </c>
      <c r="E3744" s="21" t="s">
        <v>716</v>
      </c>
      <c r="F3744" s="21" t="s">
        <v>708</v>
      </c>
    </row>
    <row r="3745" customFormat="false" ht="15" hidden="false" customHeight="false" outlineLevel="0" collapsed="false">
      <c r="B3745" s="19" t="s">
        <v>4857</v>
      </c>
      <c r="C3745" s="20" t="n">
        <f aca="false">ROUND(1.43/FX,2)</f>
        <v>0.2</v>
      </c>
      <c r="D3745" s="21" t="s">
        <v>4083</v>
      </c>
      <c r="E3745" s="21" t="s">
        <v>719</v>
      </c>
      <c r="F3745" s="21" t="s">
        <v>708</v>
      </c>
    </row>
    <row r="3746" customFormat="false" ht="15" hidden="false" customHeight="false" outlineLevel="0" collapsed="false">
      <c r="B3746" s="19" t="s">
        <v>4858</v>
      </c>
      <c r="C3746" s="20" t="n">
        <f aca="false">ROUND(1.43/FX,2)</f>
        <v>0.2</v>
      </c>
      <c r="D3746" s="21" t="s">
        <v>1378</v>
      </c>
      <c r="E3746" s="21" t="s">
        <v>707</v>
      </c>
      <c r="F3746" s="21" t="s">
        <v>708</v>
      </c>
    </row>
    <row r="3747" customFormat="false" ht="15" hidden="false" customHeight="false" outlineLevel="0" collapsed="false">
      <c r="B3747" s="19" t="s">
        <v>4859</v>
      </c>
      <c r="C3747" s="20" t="n">
        <f aca="false">ROUND(1.43/FX,2)</f>
        <v>0.2</v>
      </c>
      <c r="D3747" s="21" t="s">
        <v>1378</v>
      </c>
      <c r="E3747" s="21" t="s">
        <v>761</v>
      </c>
      <c r="F3747" s="21" t="s">
        <v>708</v>
      </c>
    </row>
    <row r="3748" customFormat="false" ht="15" hidden="false" customHeight="false" outlineLevel="0" collapsed="false">
      <c r="B3748" s="19" t="s">
        <v>4860</v>
      </c>
      <c r="C3748" s="20" t="n">
        <f aca="false">ROUND(1.43/FX,2)</f>
        <v>0.2</v>
      </c>
      <c r="D3748" s="21" t="s">
        <v>1378</v>
      </c>
      <c r="E3748" s="21" t="s">
        <v>4761</v>
      </c>
      <c r="F3748" s="21" t="s">
        <v>708</v>
      </c>
    </row>
    <row r="3749" customFormat="false" ht="15" hidden="false" customHeight="false" outlineLevel="0" collapsed="false">
      <c r="B3749" s="19" t="s">
        <v>4861</v>
      </c>
      <c r="C3749" s="20" t="n">
        <f aca="false">ROUND(2.86/FX,2)</f>
        <v>0.4</v>
      </c>
      <c r="D3749" s="21" t="s">
        <v>1378</v>
      </c>
      <c r="E3749" s="21" t="s">
        <v>714</v>
      </c>
      <c r="F3749" s="21" t="s">
        <v>708</v>
      </c>
    </row>
    <row r="3750" customFormat="false" ht="15" hidden="false" customHeight="false" outlineLevel="0" collapsed="false">
      <c r="B3750" s="19" t="s">
        <v>4862</v>
      </c>
      <c r="C3750" s="20" t="n">
        <f aca="false">ROUND(1.43/FX,2)</f>
        <v>0.2</v>
      </c>
      <c r="D3750" s="21" t="s">
        <v>1378</v>
      </c>
      <c r="E3750" s="21" t="s">
        <v>3247</v>
      </c>
      <c r="F3750" s="21" t="s">
        <v>708</v>
      </c>
    </row>
    <row r="3751" customFormat="false" ht="15" hidden="false" customHeight="false" outlineLevel="0" collapsed="false">
      <c r="B3751" s="19" t="s">
        <v>4863</v>
      </c>
      <c r="C3751" s="20" t="n">
        <f aca="false">ROUND(1.43/FX,2)</f>
        <v>0.2</v>
      </c>
      <c r="D3751" s="21" t="s">
        <v>1378</v>
      </c>
      <c r="E3751" s="21" t="s">
        <v>3317</v>
      </c>
      <c r="F3751" s="21" t="s">
        <v>708</v>
      </c>
    </row>
    <row r="3752" customFormat="false" ht="15" hidden="false" customHeight="false" outlineLevel="0" collapsed="false">
      <c r="B3752" s="19" t="s">
        <v>4864</v>
      </c>
      <c r="C3752" s="20" t="n">
        <f aca="false">ROUND(1.43/FX,2)</f>
        <v>0.2</v>
      </c>
      <c r="D3752" s="21" t="s">
        <v>1378</v>
      </c>
      <c r="E3752" s="21" t="s">
        <v>716</v>
      </c>
      <c r="F3752" s="21" t="s">
        <v>708</v>
      </c>
    </row>
    <row r="3753" customFormat="false" ht="15" hidden="false" customHeight="false" outlineLevel="0" collapsed="false">
      <c r="B3753" s="19" t="s">
        <v>4865</v>
      </c>
      <c r="C3753" s="20" t="n">
        <f aca="false">ROUND(1.43/FX,2)</f>
        <v>0.2</v>
      </c>
      <c r="D3753" s="21" t="s">
        <v>1378</v>
      </c>
      <c r="E3753" s="21" t="s">
        <v>719</v>
      </c>
      <c r="F3753" s="21" t="s">
        <v>708</v>
      </c>
    </row>
    <row r="3754" customFormat="false" ht="15" hidden="false" customHeight="false" outlineLevel="0" collapsed="false">
      <c r="B3754" s="19" t="s">
        <v>4866</v>
      </c>
      <c r="C3754" s="20" t="n">
        <f aca="false">ROUND(1.43/FX,2)</f>
        <v>0.2</v>
      </c>
      <c r="D3754" s="21" t="s">
        <v>4130</v>
      </c>
      <c r="E3754" s="21" t="s">
        <v>707</v>
      </c>
      <c r="F3754" s="21" t="s">
        <v>708</v>
      </c>
    </row>
    <row r="3755" customFormat="false" ht="15" hidden="false" customHeight="false" outlineLevel="0" collapsed="false">
      <c r="B3755" s="19" t="s">
        <v>4867</v>
      </c>
      <c r="C3755" s="20" t="n">
        <f aca="false">ROUND(1.43/FX,2)</f>
        <v>0.2</v>
      </c>
      <c r="D3755" s="21" t="s">
        <v>4130</v>
      </c>
      <c r="E3755" s="21" t="s">
        <v>761</v>
      </c>
      <c r="F3755" s="21" t="s">
        <v>708</v>
      </c>
    </row>
    <row r="3756" customFormat="false" ht="15" hidden="false" customHeight="false" outlineLevel="0" collapsed="false">
      <c r="B3756" s="19" t="s">
        <v>4868</v>
      </c>
      <c r="C3756" s="20" t="n">
        <f aca="false">ROUND(1.43/FX,2)</f>
        <v>0.2</v>
      </c>
      <c r="D3756" s="21" t="s">
        <v>4130</v>
      </c>
      <c r="E3756" s="21" t="s">
        <v>4761</v>
      </c>
      <c r="F3756" s="21" t="s">
        <v>708</v>
      </c>
    </row>
    <row r="3757" customFormat="false" ht="15" hidden="false" customHeight="false" outlineLevel="0" collapsed="false">
      <c r="B3757" s="19" t="s">
        <v>4869</v>
      </c>
      <c r="C3757" s="20" t="n">
        <f aca="false">ROUND(2.86/FX,2)</f>
        <v>0.4</v>
      </c>
      <c r="D3757" s="21" t="s">
        <v>4130</v>
      </c>
      <c r="E3757" s="21" t="s">
        <v>714</v>
      </c>
      <c r="F3757" s="21" t="s">
        <v>708</v>
      </c>
    </row>
    <row r="3758" customFormat="false" ht="15" hidden="false" customHeight="false" outlineLevel="0" collapsed="false">
      <c r="B3758" s="19" t="s">
        <v>4870</v>
      </c>
      <c r="C3758" s="20" t="n">
        <f aca="false">ROUND(1.43/FX,2)</f>
        <v>0.2</v>
      </c>
      <c r="D3758" s="21" t="s">
        <v>4130</v>
      </c>
      <c r="E3758" s="21" t="s">
        <v>3247</v>
      </c>
      <c r="F3758" s="21" t="s">
        <v>708</v>
      </c>
    </row>
    <row r="3759" customFormat="false" ht="15" hidden="false" customHeight="false" outlineLevel="0" collapsed="false">
      <c r="B3759" s="19" t="s">
        <v>4871</v>
      </c>
      <c r="C3759" s="20" t="n">
        <f aca="false">ROUND(1.43/FX,2)</f>
        <v>0.2</v>
      </c>
      <c r="D3759" s="21" t="s">
        <v>4130</v>
      </c>
      <c r="E3759" s="21" t="s">
        <v>3317</v>
      </c>
      <c r="F3759" s="21" t="s">
        <v>708</v>
      </c>
    </row>
    <row r="3760" customFormat="false" ht="15" hidden="false" customHeight="false" outlineLevel="0" collapsed="false">
      <c r="B3760" s="19" t="s">
        <v>4872</v>
      </c>
      <c r="C3760" s="20" t="n">
        <f aca="false">ROUND(1.43/FX,2)</f>
        <v>0.2</v>
      </c>
      <c r="D3760" s="21" t="s">
        <v>4130</v>
      </c>
      <c r="E3760" s="21" t="s">
        <v>716</v>
      </c>
      <c r="F3760" s="21" t="s">
        <v>708</v>
      </c>
    </row>
    <row r="3761" customFormat="false" ht="15" hidden="false" customHeight="false" outlineLevel="0" collapsed="false">
      <c r="B3761" s="19" t="s">
        <v>4873</v>
      </c>
      <c r="C3761" s="20" t="n">
        <f aca="false">ROUND(1.43/FX,2)</f>
        <v>0.2</v>
      </c>
      <c r="D3761" s="21" t="s">
        <v>4130</v>
      </c>
      <c r="E3761" s="21" t="s">
        <v>719</v>
      </c>
      <c r="F3761" s="21" t="s">
        <v>708</v>
      </c>
    </row>
    <row r="3762" customFormat="false" ht="15" hidden="false" customHeight="false" outlineLevel="0" collapsed="false">
      <c r="B3762" s="19" t="s">
        <v>4874</v>
      </c>
      <c r="C3762" s="20" t="n">
        <f aca="false">ROUND(2.08/FX,2)</f>
        <v>0.29</v>
      </c>
      <c r="D3762" s="21" t="s">
        <v>1433</v>
      </c>
      <c r="E3762" s="21" t="s">
        <v>707</v>
      </c>
      <c r="F3762" s="21" t="s">
        <v>708</v>
      </c>
    </row>
    <row r="3763" customFormat="false" ht="15" hidden="false" customHeight="false" outlineLevel="0" collapsed="false">
      <c r="B3763" s="19" t="s">
        <v>4875</v>
      </c>
      <c r="C3763" s="20" t="n">
        <f aca="false">ROUND(2.73/FX,2)</f>
        <v>0.38</v>
      </c>
      <c r="D3763" s="21" t="s">
        <v>1433</v>
      </c>
      <c r="E3763" s="21" t="s">
        <v>761</v>
      </c>
      <c r="F3763" s="21" t="s">
        <v>708</v>
      </c>
    </row>
    <row r="3764" customFormat="false" ht="15" hidden="false" customHeight="false" outlineLevel="0" collapsed="false">
      <c r="B3764" s="19" t="s">
        <v>4876</v>
      </c>
      <c r="C3764" s="20" t="n">
        <f aca="false">ROUND(2.73/FX,2)</f>
        <v>0.38</v>
      </c>
      <c r="D3764" s="21" t="s">
        <v>1433</v>
      </c>
      <c r="E3764" s="21" t="s">
        <v>4761</v>
      </c>
      <c r="F3764" s="21" t="s">
        <v>708</v>
      </c>
    </row>
    <row r="3765" customFormat="false" ht="15" hidden="false" customHeight="false" outlineLevel="0" collapsed="false">
      <c r="B3765" s="19" t="s">
        <v>4877</v>
      </c>
      <c r="C3765" s="20" t="n">
        <f aca="false">ROUND(3.08/FX,2)</f>
        <v>0.43</v>
      </c>
      <c r="D3765" s="21" t="s">
        <v>1433</v>
      </c>
      <c r="E3765" s="21" t="s">
        <v>714</v>
      </c>
      <c r="F3765" s="21" t="s">
        <v>708</v>
      </c>
    </row>
    <row r="3766" customFormat="false" ht="15" hidden="false" customHeight="false" outlineLevel="0" collapsed="false">
      <c r="B3766" s="19" t="s">
        <v>4878</v>
      </c>
      <c r="C3766" s="20" t="n">
        <f aca="false">ROUND(2.73/FX,2)</f>
        <v>0.38</v>
      </c>
      <c r="D3766" s="21" t="s">
        <v>1433</v>
      </c>
      <c r="E3766" s="21" t="s">
        <v>3247</v>
      </c>
      <c r="F3766" s="21" t="s">
        <v>708</v>
      </c>
    </row>
    <row r="3767" customFormat="false" ht="15" hidden="false" customHeight="false" outlineLevel="0" collapsed="false">
      <c r="B3767" s="19" t="s">
        <v>4879</v>
      </c>
      <c r="C3767" s="20" t="n">
        <f aca="false">ROUND(2.73/FX,2)</f>
        <v>0.38</v>
      </c>
      <c r="D3767" s="21" t="s">
        <v>1433</v>
      </c>
      <c r="E3767" s="21" t="s">
        <v>3317</v>
      </c>
      <c r="F3767" s="21" t="s">
        <v>708</v>
      </c>
    </row>
    <row r="3768" customFormat="false" ht="15" hidden="false" customHeight="false" outlineLevel="0" collapsed="false">
      <c r="B3768" s="19" t="s">
        <v>4880</v>
      </c>
      <c r="C3768" s="20" t="n">
        <f aca="false">ROUND(2.08/FX,2)</f>
        <v>0.29</v>
      </c>
      <c r="D3768" s="21" t="s">
        <v>1433</v>
      </c>
      <c r="E3768" s="21" t="s">
        <v>716</v>
      </c>
      <c r="F3768" s="21" t="s">
        <v>708</v>
      </c>
    </row>
    <row r="3769" customFormat="false" ht="15" hidden="false" customHeight="false" outlineLevel="0" collapsed="false">
      <c r="B3769" s="19" t="s">
        <v>4881</v>
      </c>
      <c r="C3769" s="20" t="n">
        <f aca="false">ROUND(2.08/FX,2)</f>
        <v>0.29</v>
      </c>
      <c r="D3769" s="21" t="s">
        <v>1433</v>
      </c>
      <c r="E3769" s="21" t="s">
        <v>719</v>
      </c>
      <c r="F3769" s="21" t="s">
        <v>708</v>
      </c>
    </row>
    <row r="3770" customFormat="false" ht="15" hidden="false" customHeight="false" outlineLevel="0" collapsed="false">
      <c r="B3770" s="19" t="s">
        <v>4882</v>
      </c>
      <c r="C3770" s="20" t="n">
        <f aca="false">ROUND(2.73/FX,2)</f>
        <v>0.38</v>
      </c>
      <c r="D3770" s="21" t="s">
        <v>4883</v>
      </c>
      <c r="E3770" s="21" t="s">
        <v>707</v>
      </c>
      <c r="F3770" s="21" t="s">
        <v>708</v>
      </c>
    </row>
    <row r="3771" customFormat="false" ht="15" hidden="false" customHeight="false" outlineLevel="0" collapsed="false">
      <c r="B3771" s="19" t="s">
        <v>4884</v>
      </c>
      <c r="C3771" s="20" t="n">
        <f aca="false">ROUND(2.73/FX,2)</f>
        <v>0.38</v>
      </c>
      <c r="D3771" s="21" t="s">
        <v>4883</v>
      </c>
      <c r="E3771" s="21" t="s">
        <v>761</v>
      </c>
      <c r="F3771" s="21" t="s">
        <v>708</v>
      </c>
    </row>
    <row r="3772" customFormat="false" ht="15" hidden="false" customHeight="false" outlineLevel="0" collapsed="false">
      <c r="B3772" s="19" t="s">
        <v>4885</v>
      </c>
      <c r="C3772" s="20" t="n">
        <f aca="false">ROUND(2.73/FX,2)</f>
        <v>0.38</v>
      </c>
      <c r="D3772" s="21" t="s">
        <v>4883</v>
      </c>
      <c r="E3772" s="21" t="s">
        <v>4761</v>
      </c>
      <c r="F3772" s="21" t="s">
        <v>708</v>
      </c>
    </row>
    <row r="3773" customFormat="false" ht="15" hidden="false" customHeight="false" outlineLevel="0" collapsed="false">
      <c r="B3773" s="19" t="s">
        <v>4886</v>
      </c>
      <c r="C3773" s="20" t="n">
        <f aca="false">ROUND(3.38/FX,2)</f>
        <v>0.47</v>
      </c>
      <c r="D3773" s="21" t="s">
        <v>4883</v>
      </c>
      <c r="E3773" s="21" t="s">
        <v>714</v>
      </c>
      <c r="F3773" s="21" t="s">
        <v>708</v>
      </c>
    </row>
    <row r="3774" customFormat="false" ht="15" hidden="false" customHeight="false" outlineLevel="0" collapsed="false">
      <c r="B3774" s="19" t="s">
        <v>4887</v>
      </c>
      <c r="C3774" s="20" t="n">
        <f aca="false">ROUND(2.73/FX,2)</f>
        <v>0.38</v>
      </c>
      <c r="D3774" s="21" t="s">
        <v>4883</v>
      </c>
      <c r="E3774" s="21" t="s">
        <v>3247</v>
      </c>
      <c r="F3774" s="21" t="s">
        <v>708</v>
      </c>
    </row>
    <row r="3775" customFormat="false" ht="15" hidden="false" customHeight="false" outlineLevel="0" collapsed="false">
      <c r="B3775" s="19" t="s">
        <v>4888</v>
      </c>
      <c r="C3775" s="20" t="n">
        <f aca="false">ROUND(2.73/FX,2)</f>
        <v>0.38</v>
      </c>
      <c r="D3775" s="21" t="s">
        <v>4883</v>
      </c>
      <c r="E3775" s="21" t="s">
        <v>3317</v>
      </c>
      <c r="F3775" s="21" t="s">
        <v>708</v>
      </c>
    </row>
    <row r="3776" customFormat="false" ht="15" hidden="false" customHeight="false" outlineLevel="0" collapsed="false">
      <c r="B3776" s="19" t="s">
        <v>4889</v>
      </c>
      <c r="C3776" s="20" t="n">
        <f aca="false">ROUND(2.08/FX,2)</f>
        <v>0.29</v>
      </c>
      <c r="D3776" s="21" t="s">
        <v>4883</v>
      </c>
      <c r="E3776" s="21" t="s">
        <v>716</v>
      </c>
      <c r="F3776" s="21" t="s">
        <v>708</v>
      </c>
    </row>
    <row r="3777" customFormat="false" ht="15" hidden="false" customHeight="false" outlineLevel="0" collapsed="false">
      <c r="B3777" s="19" t="s">
        <v>4890</v>
      </c>
      <c r="C3777" s="20" t="n">
        <f aca="false">ROUND(2.73/FX,2)</f>
        <v>0.38</v>
      </c>
      <c r="D3777" s="21" t="s">
        <v>4883</v>
      </c>
      <c r="E3777" s="21" t="s">
        <v>719</v>
      </c>
      <c r="F3777" s="21" t="s">
        <v>708</v>
      </c>
    </row>
    <row r="3778" customFormat="false" ht="15" hidden="false" customHeight="false" outlineLevel="0" collapsed="false">
      <c r="B3778" s="19" t="s">
        <v>4891</v>
      </c>
      <c r="C3778" s="20" t="n">
        <f aca="false">ROUND(2.73/FX,2)</f>
        <v>0.38</v>
      </c>
      <c r="D3778" s="21" t="s">
        <v>1470</v>
      </c>
      <c r="E3778" s="21" t="s">
        <v>707</v>
      </c>
      <c r="F3778" s="21" t="s">
        <v>708</v>
      </c>
    </row>
    <row r="3779" customFormat="false" ht="15" hidden="false" customHeight="false" outlineLevel="0" collapsed="false">
      <c r="B3779" s="19" t="s">
        <v>4892</v>
      </c>
      <c r="C3779" s="20" t="n">
        <f aca="false">ROUND(2.73/FX,2)</f>
        <v>0.38</v>
      </c>
      <c r="D3779" s="21" t="s">
        <v>1470</v>
      </c>
      <c r="E3779" s="21" t="s">
        <v>761</v>
      </c>
      <c r="F3779" s="21" t="s">
        <v>708</v>
      </c>
    </row>
    <row r="3780" customFormat="false" ht="15" hidden="false" customHeight="false" outlineLevel="0" collapsed="false">
      <c r="B3780" s="19" t="s">
        <v>4893</v>
      </c>
      <c r="C3780" s="20" t="n">
        <f aca="false">ROUND(2.73/FX,2)</f>
        <v>0.38</v>
      </c>
      <c r="D3780" s="21" t="s">
        <v>1470</v>
      </c>
      <c r="E3780" s="21" t="s">
        <v>4761</v>
      </c>
      <c r="F3780" s="21" t="s">
        <v>708</v>
      </c>
    </row>
    <row r="3781" customFormat="false" ht="15" hidden="false" customHeight="false" outlineLevel="0" collapsed="false">
      <c r="B3781" s="19" t="s">
        <v>4894</v>
      </c>
      <c r="C3781" s="20" t="n">
        <f aca="false">ROUND(3.38/FX,2)</f>
        <v>0.47</v>
      </c>
      <c r="D3781" s="21" t="s">
        <v>1470</v>
      </c>
      <c r="E3781" s="21" t="s">
        <v>714</v>
      </c>
      <c r="F3781" s="21" t="s">
        <v>708</v>
      </c>
    </row>
    <row r="3782" customFormat="false" ht="15" hidden="false" customHeight="false" outlineLevel="0" collapsed="false">
      <c r="B3782" s="19" t="s">
        <v>4895</v>
      </c>
      <c r="C3782" s="20" t="n">
        <f aca="false">ROUND(2.73/FX,2)</f>
        <v>0.38</v>
      </c>
      <c r="D3782" s="21" t="s">
        <v>1470</v>
      </c>
      <c r="E3782" s="21" t="s">
        <v>3247</v>
      </c>
      <c r="F3782" s="21" t="s">
        <v>708</v>
      </c>
    </row>
    <row r="3783" customFormat="false" ht="15" hidden="false" customHeight="false" outlineLevel="0" collapsed="false">
      <c r="B3783" s="19" t="s">
        <v>4896</v>
      </c>
      <c r="C3783" s="20" t="n">
        <f aca="false">ROUND(2.73/FX,2)</f>
        <v>0.38</v>
      </c>
      <c r="D3783" s="21" t="s">
        <v>1470</v>
      </c>
      <c r="E3783" s="21" t="s">
        <v>3317</v>
      </c>
      <c r="F3783" s="21" t="s">
        <v>708</v>
      </c>
    </row>
    <row r="3784" customFormat="false" ht="15" hidden="false" customHeight="false" outlineLevel="0" collapsed="false">
      <c r="B3784" s="19" t="s">
        <v>4897</v>
      </c>
      <c r="C3784" s="20" t="n">
        <f aca="false">ROUND(2.08/FX,2)</f>
        <v>0.29</v>
      </c>
      <c r="D3784" s="21" t="s">
        <v>1470</v>
      </c>
      <c r="E3784" s="21" t="s">
        <v>716</v>
      </c>
      <c r="F3784" s="21" t="s">
        <v>708</v>
      </c>
    </row>
    <row r="3785" customFormat="false" ht="15" hidden="false" customHeight="false" outlineLevel="0" collapsed="false">
      <c r="B3785" s="19" t="s">
        <v>4898</v>
      </c>
      <c r="C3785" s="20" t="n">
        <f aca="false">ROUND(2.73/FX,2)</f>
        <v>0.38</v>
      </c>
      <c r="D3785" s="21" t="s">
        <v>1470</v>
      </c>
      <c r="E3785" s="21" t="s">
        <v>719</v>
      </c>
      <c r="F3785" s="21" t="s">
        <v>708</v>
      </c>
    </row>
    <row r="3786" customFormat="false" ht="15" hidden="false" customHeight="false" outlineLevel="0" collapsed="false">
      <c r="B3786" s="19" t="s">
        <v>4899</v>
      </c>
      <c r="C3786" s="20" t="n">
        <f aca="false">ROUND(2.73/FX,2)</f>
        <v>0.38</v>
      </c>
      <c r="D3786" s="21" t="s">
        <v>1495</v>
      </c>
      <c r="E3786" s="21" t="s">
        <v>707</v>
      </c>
      <c r="F3786" s="21" t="s">
        <v>708</v>
      </c>
    </row>
    <row r="3787" customFormat="false" ht="15" hidden="false" customHeight="false" outlineLevel="0" collapsed="false">
      <c r="B3787" s="19" t="s">
        <v>4900</v>
      </c>
      <c r="C3787" s="20" t="n">
        <f aca="false">ROUND(2.73/FX,2)</f>
        <v>0.38</v>
      </c>
      <c r="D3787" s="21" t="s">
        <v>1495</v>
      </c>
      <c r="E3787" s="21" t="s">
        <v>761</v>
      </c>
      <c r="F3787" s="21" t="s">
        <v>708</v>
      </c>
    </row>
    <row r="3788" customFormat="false" ht="15" hidden="false" customHeight="false" outlineLevel="0" collapsed="false">
      <c r="B3788" s="19" t="s">
        <v>4901</v>
      </c>
      <c r="C3788" s="20" t="n">
        <f aca="false">ROUND(2.73/FX,2)</f>
        <v>0.38</v>
      </c>
      <c r="D3788" s="21" t="s">
        <v>1495</v>
      </c>
      <c r="E3788" s="21" t="s">
        <v>4761</v>
      </c>
      <c r="F3788" s="21" t="s">
        <v>708</v>
      </c>
    </row>
    <row r="3789" customFormat="false" ht="15" hidden="false" customHeight="false" outlineLevel="0" collapsed="false">
      <c r="B3789" s="19" t="s">
        <v>4902</v>
      </c>
      <c r="C3789" s="20" t="n">
        <f aca="false">ROUND(3.38/FX,2)</f>
        <v>0.47</v>
      </c>
      <c r="D3789" s="21" t="s">
        <v>1495</v>
      </c>
      <c r="E3789" s="21" t="s">
        <v>714</v>
      </c>
      <c r="F3789" s="21" t="s">
        <v>708</v>
      </c>
    </row>
    <row r="3790" customFormat="false" ht="15" hidden="false" customHeight="false" outlineLevel="0" collapsed="false">
      <c r="B3790" s="19" t="s">
        <v>4903</v>
      </c>
      <c r="C3790" s="20" t="n">
        <f aca="false">ROUND(2.73/FX,2)</f>
        <v>0.38</v>
      </c>
      <c r="D3790" s="21" t="s">
        <v>1495</v>
      </c>
      <c r="E3790" s="21" t="s">
        <v>3247</v>
      </c>
      <c r="F3790" s="21" t="s">
        <v>708</v>
      </c>
    </row>
    <row r="3791" customFormat="false" ht="15" hidden="false" customHeight="false" outlineLevel="0" collapsed="false">
      <c r="B3791" s="19" t="s">
        <v>4904</v>
      </c>
      <c r="C3791" s="20" t="n">
        <f aca="false">ROUND(2.73/FX,2)</f>
        <v>0.38</v>
      </c>
      <c r="D3791" s="21" t="s">
        <v>1495</v>
      </c>
      <c r="E3791" s="21" t="s">
        <v>3317</v>
      </c>
      <c r="F3791" s="21" t="s">
        <v>708</v>
      </c>
    </row>
    <row r="3792" customFormat="false" ht="15" hidden="false" customHeight="false" outlineLevel="0" collapsed="false">
      <c r="B3792" s="19" t="s">
        <v>4905</v>
      </c>
      <c r="C3792" s="20" t="n">
        <f aca="false">ROUND(2.08/FX,2)</f>
        <v>0.29</v>
      </c>
      <c r="D3792" s="21" t="s">
        <v>1495</v>
      </c>
      <c r="E3792" s="21" t="s">
        <v>716</v>
      </c>
      <c r="F3792" s="21" t="s">
        <v>708</v>
      </c>
    </row>
    <row r="3793" customFormat="false" ht="15" hidden="false" customHeight="false" outlineLevel="0" collapsed="false">
      <c r="B3793" s="19" t="s">
        <v>4906</v>
      </c>
      <c r="C3793" s="20" t="n">
        <f aca="false">ROUND(2.21/FX,2)</f>
        <v>0.31</v>
      </c>
      <c r="D3793" s="21" t="s">
        <v>1495</v>
      </c>
      <c r="E3793" s="21" t="s">
        <v>719</v>
      </c>
      <c r="F3793" s="21" t="s">
        <v>708</v>
      </c>
    </row>
    <row r="3794" customFormat="false" ht="15" hidden="false" customHeight="false" outlineLevel="0" collapsed="false">
      <c r="B3794" s="19" t="s">
        <v>4907</v>
      </c>
      <c r="C3794" s="20" t="n">
        <f aca="false">ROUND(2.73/FX,2)</f>
        <v>0.38</v>
      </c>
      <c r="D3794" s="21" t="s">
        <v>4908</v>
      </c>
      <c r="E3794" s="21" t="s">
        <v>707</v>
      </c>
      <c r="F3794" s="21" t="s">
        <v>708</v>
      </c>
    </row>
    <row r="3795" customFormat="false" ht="15" hidden="false" customHeight="false" outlineLevel="0" collapsed="false">
      <c r="B3795" s="19" t="s">
        <v>4909</v>
      </c>
      <c r="C3795" s="20" t="n">
        <f aca="false">ROUND(2.73/FX,2)</f>
        <v>0.38</v>
      </c>
      <c r="D3795" s="21" t="s">
        <v>4908</v>
      </c>
      <c r="E3795" s="21" t="s">
        <v>761</v>
      </c>
      <c r="F3795" s="21" t="s">
        <v>708</v>
      </c>
    </row>
    <row r="3796" customFormat="false" ht="15" hidden="false" customHeight="false" outlineLevel="0" collapsed="false">
      <c r="B3796" s="19" t="s">
        <v>4910</v>
      </c>
      <c r="C3796" s="20" t="n">
        <f aca="false">ROUND(2.73/FX,2)</f>
        <v>0.38</v>
      </c>
      <c r="D3796" s="21" t="s">
        <v>4908</v>
      </c>
      <c r="E3796" s="21" t="s">
        <v>4761</v>
      </c>
      <c r="F3796" s="21" t="s">
        <v>708</v>
      </c>
    </row>
    <row r="3797" customFormat="false" ht="15" hidden="false" customHeight="false" outlineLevel="0" collapsed="false">
      <c r="B3797" s="19" t="s">
        <v>4911</v>
      </c>
      <c r="C3797" s="20" t="n">
        <f aca="false">ROUND(3.51/FX,2)</f>
        <v>0.49</v>
      </c>
      <c r="D3797" s="21" t="s">
        <v>4908</v>
      </c>
      <c r="E3797" s="21" t="s">
        <v>714</v>
      </c>
      <c r="F3797" s="21" t="s">
        <v>708</v>
      </c>
    </row>
    <row r="3798" customFormat="false" ht="15" hidden="false" customHeight="false" outlineLevel="0" collapsed="false">
      <c r="B3798" s="19" t="s">
        <v>4912</v>
      </c>
      <c r="C3798" s="20" t="n">
        <f aca="false">ROUND(2.73/FX,2)</f>
        <v>0.38</v>
      </c>
      <c r="D3798" s="21" t="s">
        <v>4908</v>
      </c>
      <c r="E3798" s="21" t="s">
        <v>3247</v>
      </c>
      <c r="F3798" s="21" t="s">
        <v>708</v>
      </c>
    </row>
    <row r="3799" customFormat="false" ht="15" hidden="false" customHeight="false" outlineLevel="0" collapsed="false">
      <c r="B3799" s="19" t="s">
        <v>4913</v>
      </c>
      <c r="C3799" s="20" t="n">
        <f aca="false">ROUND(2.73/FX,2)</f>
        <v>0.38</v>
      </c>
      <c r="D3799" s="21" t="s">
        <v>4908</v>
      </c>
      <c r="E3799" s="21" t="s">
        <v>3317</v>
      </c>
      <c r="F3799" s="21" t="s">
        <v>708</v>
      </c>
    </row>
    <row r="3800" customFormat="false" ht="15" hidden="false" customHeight="false" outlineLevel="0" collapsed="false">
      <c r="B3800" s="19" t="s">
        <v>4914</v>
      </c>
      <c r="C3800" s="20" t="n">
        <f aca="false">ROUND(2.08/FX,2)</f>
        <v>0.29</v>
      </c>
      <c r="D3800" s="21" t="s">
        <v>4908</v>
      </c>
      <c r="E3800" s="21" t="s">
        <v>716</v>
      </c>
      <c r="F3800" s="21" t="s">
        <v>708</v>
      </c>
    </row>
    <row r="3801" customFormat="false" ht="15" hidden="false" customHeight="false" outlineLevel="0" collapsed="false">
      <c r="B3801" s="19" t="s">
        <v>4915</v>
      </c>
      <c r="C3801" s="20" t="n">
        <f aca="false">ROUND(2.73/FX,2)</f>
        <v>0.38</v>
      </c>
      <c r="D3801" s="21" t="s">
        <v>4908</v>
      </c>
      <c r="E3801" s="21" t="s">
        <v>719</v>
      </c>
      <c r="F3801" s="21" t="s">
        <v>708</v>
      </c>
    </row>
    <row r="3802" customFormat="false" ht="15" hidden="false" customHeight="false" outlineLevel="0" collapsed="false">
      <c r="B3802" s="19" t="s">
        <v>4916</v>
      </c>
      <c r="C3802" s="20" t="n">
        <f aca="false">ROUND(2.73/FX,2)</f>
        <v>0.38</v>
      </c>
      <c r="D3802" s="21" t="s">
        <v>1520</v>
      </c>
      <c r="E3802" s="21" t="s">
        <v>707</v>
      </c>
      <c r="F3802" s="21" t="s">
        <v>708</v>
      </c>
    </row>
    <row r="3803" customFormat="false" ht="15" hidden="false" customHeight="false" outlineLevel="0" collapsed="false">
      <c r="B3803" s="19" t="s">
        <v>4917</v>
      </c>
      <c r="C3803" s="20" t="n">
        <f aca="false">ROUND(2.73/FX,2)</f>
        <v>0.38</v>
      </c>
      <c r="D3803" s="21" t="s">
        <v>1520</v>
      </c>
      <c r="E3803" s="21" t="s">
        <v>761</v>
      </c>
      <c r="F3803" s="21" t="s">
        <v>708</v>
      </c>
    </row>
    <row r="3804" customFormat="false" ht="15" hidden="false" customHeight="false" outlineLevel="0" collapsed="false">
      <c r="B3804" s="19" t="s">
        <v>4918</v>
      </c>
      <c r="C3804" s="20" t="n">
        <f aca="false">ROUND(3.9/FX,2)</f>
        <v>0.54</v>
      </c>
      <c r="D3804" s="21" t="s">
        <v>1520</v>
      </c>
      <c r="E3804" s="21" t="s">
        <v>4761</v>
      </c>
      <c r="F3804" s="21" t="s">
        <v>708</v>
      </c>
    </row>
    <row r="3805" customFormat="false" ht="15" hidden="false" customHeight="false" outlineLevel="0" collapsed="false">
      <c r="B3805" s="19" t="s">
        <v>4919</v>
      </c>
      <c r="C3805" s="20" t="n">
        <f aca="false">ROUND(3.16/FX,2)</f>
        <v>0.44</v>
      </c>
      <c r="D3805" s="21" t="s">
        <v>1520</v>
      </c>
      <c r="E3805" s="21" t="s">
        <v>714</v>
      </c>
      <c r="F3805" s="21" t="s">
        <v>708</v>
      </c>
    </row>
    <row r="3806" customFormat="false" ht="15" hidden="false" customHeight="false" outlineLevel="0" collapsed="false">
      <c r="B3806" s="19" t="s">
        <v>4920</v>
      </c>
      <c r="C3806" s="20" t="n">
        <f aca="false">ROUND(2.73/FX,2)</f>
        <v>0.38</v>
      </c>
      <c r="D3806" s="21" t="s">
        <v>1520</v>
      </c>
      <c r="E3806" s="21" t="s">
        <v>3247</v>
      </c>
      <c r="F3806" s="21" t="s">
        <v>708</v>
      </c>
    </row>
    <row r="3807" customFormat="false" ht="15" hidden="false" customHeight="false" outlineLevel="0" collapsed="false">
      <c r="B3807" s="19" t="s">
        <v>4921</v>
      </c>
      <c r="C3807" s="20" t="n">
        <f aca="false">ROUND(8.19/FX,2)</f>
        <v>1.14</v>
      </c>
      <c r="D3807" s="21" t="s">
        <v>1520</v>
      </c>
      <c r="E3807" s="21" t="s">
        <v>3317</v>
      </c>
      <c r="F3807" s="21" t="s">
        <v>708</v>
      </c>
    </row>
    <row r="3808" customFormat="false" ht="15" hidden="false" customHeight="false" outlineLevel="0" collapsed="false">
      <c r="B3808" s="19" t="s">
        <v>4922</v>
      </c>
      <c r="C3808" s="20" t="n">
        <f aca="false">ROUND(1.43/FX,2)</f>
        <v>0.2</v>
      </c>
      <c r="D3808" s="21" t="s">
        <v>1520</v>
      </c>
      <c r="E3808" s="21" t="s">
        <v>716</v>
      </c>
      <c r="F3808" s="21" t="s">
        <v>708</v>
      </c>
    </row>
    <row r="3809" customFormat="false" ht="15" hidden="false" customHeight="false" outlineLevel="0" collapsed="false">
      <c r="B3809" s="19" t="s">
        <v>4923</v>
      </c>
      <c r="C3809" s="20" t="n">
        <f aca="false">ROUND(2.73/FX,2)</f>
        <v>0.38</v>
      </c>
      <c r="D3809" s="21" t="s">
        <v>1520</v>
      </c>
      <c r="E3809" s="21" t="s">
        <v>719</v>
      </c>
      <c r="F3809" s="21" t="s">
        <v>708</v>
      </c>
    </row>
    <row r="3810" customFormat="false" ht="15" hidden="false" customHeight="false" outlineLevel="0" collapsed="false">
      <c r="B3810" s="19" t="s">
        <v>4924</v>
      </c>
      <c r="C3810" s="20" t="n">
        <f aca="false">ROUND(2.73/FX,2)</f>
        <v>0.38</v>
      </c>
      <c r="D3810" s="21" t="s">
        <v>4925</v>
      </c>
      <c r="E3810" s="21" t="s">
        <v>707</v>
      </c>
      <c r="F3810" s="21" t="s">
        <v>708</v>
      </c>
    </row>
    <row r="3811" customFormat="false" ht="15" hidden="false" customHeight="false" outlineLevel="0" collapsed="false">
      <c r="B3811" s="19" t="s">
        <v>4926</v>
      </c>
      <c r="C3811" s="20" t="n">
        <f aca="false">ROUND(2.73/FX,2)</f>
        <v>0.38</v>
      </c>
      <c r="D3811" s="21" t="s">
        <v>4925</v>
      </c>
      <c r="E3811" s="21" t="s">
        <v>761</v>
      </c>
      <c r="F3811" s="21" t="s">
        <v>708</v>
      </c>
    </row>
    <row r="3812" customFormat="false" ht="15" hidden="false" customHeight="false" outlineLevel="0" collapsed="false">
      <c r="B3812" s="19" t="s">
        <v>4927</v>
      </c>
      <c r="C3812" s="20" t="n">
        <f aca="false">ROUND(3.38/FX,2)</f>
        <v>0.47</v>
      </c>
      <c r="D3812" s="21" t="s">
        <v>4925</v>
      </c>
      <c r="E3812" s="21" t="s">
        <v>4761</v>
      </c>
      <c r="F3812" s="21" t="s">
        <v>708</v>
      </c>
    </row>
    <row r="3813" customFormat="false" ht="15" hidden="false" customHeight="false" outlineLevel="0" collapsed="false">
      <c r="B3813" s="19" t="s">
        <v>4928</v>
      </c>
      <c r="C3813" s="20" t="n">
        <f aca="false">ROUND(3.51/FX,2)</f>
        <v>0.49</v>
      </c>
      <c r="D3813" s="21" t="s">
        <v>4925</v>
      </c>
      <c r="E3813" s="21" t="s">
        <v>714</v>
      </c>
      <c r="F3813" s="21" t="s">
        <v>708</v>
      </c>
    </row>
    <row r="3814" customFormat="false" ht="15" hidden="false" customHeight="false" outlineLevel="0" collapsed="false">
      <c r="B3814" s="19" t="s">
        <v>4929</v>
      </c>
      <c r="C3814" s="20" t="n">
        <f aca="false">ROUND(2.73/FX,2)</f>
        <v>0.38</v>
      </c>
      <c r="D3814" s="21" t="s">
        <v>4925</v>
      </c>
      <c r="E3814" s="21" t="s">
        <v>3247</v>
      </c>
      <c r="F3814" s="21" t="s">
        <v>708</v>
      </c>
    </row>
    <row r="3815" customFormat="false" ht="15" hidden="false" customHeight="false" outlineLevel="0" collapsed="false">
      <c r="B3815" s="19" t="s">
        <v>4930</v>
      </c>
      <c r="C3815" s="20" t="n">
        <f aca="false">ROUND(2.73/FX,2)</f>
        <v>0.38</v>
      </c>
      <c r="D3815" s="21" t="s">
        <v>4925</v>
      </c>
      <c r="E3815" s="21" t="s">
        <v>3317</v>
      </c>
      <c r="F3815" s="21" t="s">
        <v>708</v>
      </c>
    </row>
    <row r="3816" customFormat="false" ht="15" hidden="false" customHeight="false" outlineLevel="0" collapsed="false">
      <c r="B3816" s="19" t="s">
        <v>4931</v>
      </c>
      <c r="C3816" s="20" t="n">
        <f aca="false">ROUND(2.08/FX,2)</f>
        <v>0.29</v>
      </c>
      <c r="D3816" s="21" t="s">
        <v>4925</v>
      </c>
      <c r="E3816" s="21" t="s">
        <v>716</v>
      </c>
      <c r="F3816" s="21" t="s">
        <v>708</v>
      </c>
    </row>
    <row r="3817" customFormat="false" ht="15" hidden="false" customHeight="false" outlineLevel="0" collapsed="false">
      <c r="B3817" s="19" t="s">
        <v>4932</v>
      </c>
      <c r="C3817" s="20" t="n">
        <f aca="false">ROUND(2.73/FX,2)</f>
        <v>0.38</v>
      </c>
      <c r="D3817" s="21" t="s">
        <v>4925</v>
      </c>
      <c r="E3817" s="21" t="s">
        <v>719</v>
      </c>
      <c r="F3817" s="21" t="s">
        <v>708</v>
      </c>
    </row>
    <row r="3818" customFormat="false" ht="15" hidden="false" customHeight="false" outlineLevel="0" collapsed="false">
      <c r="B3818" s="19" t="s">
        <v>4933</v>
      </c>
      <c r="C3818" s="20" t="n">
        <f aca="false">ROUND(2.73/FX,2)</f>
        <v>0.38</v>
      </c>
      <c r="D3818" s="21" t="s">
        <v>1545</v>
      </c>
      <c r="E3818" s="21" t="s">
        <v>707</v>
      </c>
      <c r="F3818" s="21" t="s">
        <v>708</v>
      </c>
    </row>
    <row r="3819" customFormat="false" ht="15" hidden="false" customHeight="false" outlineLevel="0" collapsed="false">
      <c r="B3819" s="19" t="s">
        <v>4934</v>
      </c>
      <c r="C3819" s="20" t="n">
        <f aca="false">ROUND(2.73/FX,2)</f>
        <v>0.38</v>
      </c>
      <c r="D3819" s="21" t="s">
        <v>1545</v>
      </c>
      <c r="E3819" s="21" t="s">
        <v>761</v>
      </c>
      <c r="F3819" s="21" t="s">
        <v>708</v>
      </c>
    </row>
    <row r="3820" customFormat="false" ht="15" hidden="false" customHeight="false" outlineLevel="0" collapsed="false">
      <c r="B3820" s="19" t="s">
        <v>4935</v>
      </c>
      <c r="C3820" s="20" t="n">
        <f aca="false">ROUND(3.25/FX,2)</f>
        <v>0.45</v>
      </c>
      <c r="D3820" s="21" t="s">
        <v>1545</v>
      </c>
      <c r="E3820" s="21" t="s">
        <v>4761</v>
      </c>
      <c r="F3820" s="21" t="s">
        <v>708</v>
      </c>
    </row>
    <row r="3821" customFormat="false" ht="15" hidden="false" customHeight="false" outlineLevel="0" collapsed="false">
      <c r="B3821" s="19" t="s">
        <v>4936</v>
      </c>
      <c r="C3821" s="20" t="n">
        <f aca="false">ROUND(3.25/FX,2)</f>
        <v>0.45</v>
      </c>
      <c r="D3821" s="21" t="s">
        <v>1545</v>
      </c>
      <c r="E3821" s="21" t="s">
        <v>714</v>
      </c>
      <c r="F3821" s="21" t="s">
        <v>708</v>
      </c>
    </row>
    <row r="3822" customFormat="false" ht="15" hidden="false" customHeight="false" outlineLevel="0" collapsed="false">
      <c r="B3822" s="19" t="s">
        <v>4937</v>
      </c>
      <c r="C3822" s="20" t="n">
        <f aca="false">ROUND(2.73/FX,2)</f>
        <v>0.38</v>
      </c>
      <c r="D3822" s="21" t="s">
        <v>1545</v>
      </c>
      <c r="E3822" s="21" t="s">
        <v>3247</v>
      </c>
      <c r="F3822" s="21" t="s">
        <v>708</v>
      </c>
    </row>
    <row r="3823" customFormat="false" ht="15" hidden="false" customHeight="false" outlineLevel="0" collapsed="false">
      <c r="B3823" s="19" t="s">
        <v>4938</v>
      </c>
      <c r="C3823" s="20" t="n">
        <f aca="false">ROUND(2.73/FX,2)</f>
        <v>0.38</v>
      </c>
      <c r="D3823" s="21" t="s">
        <v>1545</v>
      </c>
      <c r="E3823" s="21" t="s">
        <v>3317</v>
      </c>
      <c r="F3823" s="21" t="s">
        <v>708</v>
      </c>
    </row>
    <row r="3824" customFormat="false" ht="15" hidden="false" customHeight="false" outlineLevel="0" collapsed="false">
      <c r="B3824" s="19" t="s">
        <v>4939</v>
      </c>
      <c r="C3824" s="20" t="n">
        <f aca="false">ROUND(2.08/FX,2)</f>
        <v>0.29</v>
      </c>
      <c r="D3824" s="21" t="s">
        <v>1545</v>
      </c>
      <c r="E3824" s="21" t="s">
        <v>716</v>
      </c>
      <c r="F3824" s="21" t="s">
        <v>708</v>
      </c>
    </row>
    <row r="3825" customFormat="false" ht="15" hidden="false" customHeight="false" outlineLevel="0" collapsed="false">
      <c r="B3825" s="19" t="s">
        <v>4940</v>
      </c>
      <c r="C3825" s="20" t="n">
        <f aca="false">ROUND(2.73/FX,2)</f>
        <v>0.38</v>
      </c>
      <c r="D3825" s="21" t="s">
        <v>1545</v>
      </c>
      <c r="E3825" s="21" t="s">
        <v>719</v>
      </c>
      <c r="F3825" s="21" t="s">
        <v>708</v>
      </c>
    </row>
    <row r="3826" customFormat="false" ht="15" hidden="false" customHeight="false" outlineLevel="0" collapsed="false">
      <c r="B3826" s="19" t="s">
        <v>4941</v>
      </c>
      <c r="C3826" s="20" t="n">
        <f aca="false">ROUND(2.73/FX,2)</f>
        <v>0.38</v>
      </c>
      <c r="D3826" s="21" t="s">
        <v>4292</v>
      </c>
      <c r="E3826" s="21" t="s">
        <v>707</v>
      </c>
      <c r="F3826" s="21" t="s">
        <v>708</v>
      </c>
    </row>
    <row r="3827" customFormat="false" ht="15" hidden="false" customHeight="false" outlineLevel="0" collapsed="false">
      <c r="B3827" s="19" t="s">
        <v>4942</v>
      </c>
      <c r="C3827" s="20" t="n">
        <f aca="false">ROUND(2.73/FX,2)</f>
        <v>0.38</v>
      </c>
      <c r="D3827" s="21" t="s">
        <v>4292</v>
      </c>
      <c r="E3827" s="21" t="s">
        <v>761</v>
      </c>
      <c r="F3827" s="21" t="s">
        <v>708</v>
      </c>
    </row>
    <row r="3828" customFormat="false" ht="15" hidden="false" customHeight="false" outlineLevel="0" collapsed="false">
      <c r="B3828" s="19" t="s">
        <v>4943</v>
      </c>
      <c r="C3828" s="20" t="n">
        <f aca="false">ROUND(3.12/FX,2)</f>
        <v>0.43</v>
      </c>
      <c r="D3828" s="21" t="s">
        <v>4292</v>
      </c>
      <c r="E3828" s="21" t="s">
        <v>4761</v>
      </c>
      <c r="F3828" s="21" t="s">
        <v>708</v>
      </c>
    </row>
    <row r="3829" customFormat="false" ht="15" hidden="false" customHeight="false" outlineLevel="0" collapsed="false">
      <c r="B3829" s="19" t="s">
        <v>4944</v>
      </c>
      <c r="C3829" s="20" t="n">
        <f aca="false">ROUND(3.38/FX,2)</f>
        <v>0.47</v>
      </c>
      <c r="D3829" s="21" t="s">
        <v>4292</v>
      </c>
      <c r="E3829" s="21" t="s">
        <v>714</v>
      </c>
      <c r="F3829" s="21" t="s">
        <v>708</v>
      </c>
    </row>
    <row r="3830" customFormat="false" ht="15" hidden="false" customHeight="false" outlineLevel="0" collapsed="false">
      <c r="B3830" s="19" t="s">
        <v>4945</v>
      </c>
      <c r="C3830" s="20" t="n">
        <f aca="false">ROUND(2.73/FX,2)</f>
        <v>0.38</v>
      </c>
      <c r="D3830" s="21" t="s">
        <v>4292</v>
      </c>
      <c r="E3830" s="21" t="s">
        <v>3247</v>
      </c>
      <c r="F3830" s="21" t="s">
        <v>708</v>
      </c>
    </row>
    <row r="3831" customFormat="false" ht="15" hidden="false" customHeight="false" outlineLevel="0" collapsed="false">
      <c r="B3831" s="19" t="s">
        <v>4946</v>
      </c>
      <c r="C3831" s="20" t="n">
        <f aca="false">ROUND(2.73/FX,2)</f>
        <v>0.38</v>
      </c>
      <c r="D3831" s="21" t="s">
        <v>4292</v>
      </c>
      <c r="E3831" s="21" t="s">
        <v>3317</v>
      </c>
      <c r="F3831" s="21" t="s">
        <v>708</v>
      </c>
    </row>
    <row r="3832" customFormat="false" ht="15" hidden="false" customHeight="false" outlineLevel="0" collapsed="false">
      <c r="B3832" s="19" t="s">
        <v>4947</v>
      </c>
      <c r="C3832" s="20" t="n">
        <f aca="false">ROUND(2.08/FX,2)</f>
        <v>0.29</v>
      </c>
      <c r="D3832" s="21" t="s">
        <v>4292</v>
      </c>
      <c r="E3832" s="21" t="s">
        <v>716</v>
      </c>
      <c r="F3832" s="21" t="s">
        <v>708</v>
      </c>
    </row>
    <row r="3833" customFormat="false" ht="15" hidden="false" customHeight="false" outlineLevel="0" collapsed="false">
      <c r="B3833" s="19" t="s">
        <v>4948</v>
      </c>
      <c r="C3833" s="20" t="n">
        <f aca="false">ROUND(2.73/FX,2)</f>
        <v>0.38</v>
      </c>
      <c r="D3833" s="21" t="s">
        <v>4292</v>
      </c>
      <c r="E3833" s="21" t="s">
        <v>719</v>
      </c>
      <c r="F3833" s="21" t="s">
        <v>708</v>
      </c>
    </row>
    <row r="3834" customFormat="false" ht="15" hidden="false" customHeight="false" outlineLevel="0" collapsed="false">
      <c r="B3834" s="19" t="s">
        <v>4949</v>
      </c>
      <c r="C3834" s="20" t="n">
        <f aca="false">ROUND(2.73/FX,2)</f>
        <v>0.38</v>
      </c>
      <c r="D3834" s="21" t="s">
        <v>1570</v>
      </c>
      <c r="E3834" s="21" t="s">
        <v>707</v>
      </c>
      <c r="F3834" s="21" t="s">
        <v>708</v>
      </c>
    </row>
    <row r="3835" customFormat="false" ht="15" hidden="false" customHeight="false" outlineLevel="0" collapsed="false">
      <c r="B3835" s="19" t="s">
        <v>4950</v>
      </c>
      <c r="C3835" s="20" t="n">
        <f aca="false">ROUND(2.73/FX,2)</f>
        <v>0.38</v>
      </c>
      <c r="D3835" s="21" t="s">
        <v>1570</v>
      </c>
      <c r="E3835" s="21" t="s">
        <v>761</v>
      </c>
      <c r="F3835" s="21" t="s">
        <v>708</v>
      </c>
    </row>
    <row r="3836" customFormat="false" ht="15" hidden="false" customHeight="false" outlineLevel="0" collapsed="false">
      <c r="B3836" s="19" t="s">
        <v>4951</v>
      </c>
      <c r="C3836" s="20" t="n">
        <f aca="false">ROUND(3.16/FX,2)</f>
        <v>0.44</v>
      </c>
      <c r="D3836" s="21" t="s">
        <v>1570</v>
      </c>
      <c r="E3836" s="21" t="s">
        <v>4761</v>
      </c>
      <c r="F3836" s="21" t="s">
        <v>708</v>
      </c>
    </row>
    <row r="3837" customFormat="false" ht="15" hidden="false" customHeight="false" outlineLevel="0" collapsed="false">
      <c r="B3837" s="19" t="s">
        <v>4952</v>
      </c>
      <c r="C3837" s="20" t="n">
        <f aca="false">ROUND(3.38/FX,2)</f>
        <v>0.47</v>
      </c>
      <c r="D3837" s="21" t="s">
        <v>1570</v>
      </c>
      <c r="E3837" s="21" t="s">
        <v>714</v>
      </c>
      <c r="F3837" s="21" t="s">
        <v>708</v>
      </c>
    </row>
    <row r="3838" customFormat="false" ht="15" hidden="false" customHeight="false" outlineLevel="0" collapsed="false">
      <c r="B3838" s="19" t="s">
        <v>4953</v>
      </c>
      <c r="C3838" s="20" t="n">
        <f aca="false">ROUND(2.73/FX,2)</f>
        <v>0.38</v>
      </c>
      <c r="D3838" s="21" t="s">
        <v>1570</v>
      </c>
      <c r="E3838" s="21" t="s">
        <v>3247</v>
      </c>
      <c r="F3838" s="21" t="s">
        <v>708</v>
      </c>
    </row>
    <row r="3839" customFormat="false" ht="15" hidden="false" customHeight="false" outlineLevel="0" collapsed="false">
      <c r="B3839" s="19" t="s">
        <v>4954</v>
      </c>
      <c r="C3839" s="20" t="n">
        <f aca="false">ROUND(2.73/FX,2)</f>
        <v>0.38</v>
      </c>
      <c r="D3839" s="21" t="s">
        <v>1570</v>
      </c>
      <c r="E3839" s="21" t="s">
        <v>3317</v>
      </c>
      <c r="F3839" s="21" t="s">
        <v>708</v>
      </c>
    </row>
    <row r="3840" customFormat="false" ht="15" hidden="false" customHeight="false" outlineLevel="0" collapsed="false">
      <c r="B3840" s="19" t="s">
        <v>4955</v>
      </c>
      <c r="C3840" s="20" t="n">
        <f aca="false">ROUND(2.08/FX,2)</f>
        <v>0.29</v>
      </c>
      <c r="D3840" s="21" t="s">
        <v>1570</v>
      </c>
      <c r="E3840" s="21" t="s">
        <v>716</v>
      </c>
      <c r="F3840" s="21" t="s">
        <v>708</v>
      </c>
    </row>
    <row r="3841" customFormat="false" ht="15" hidden="false" customHeight="false" outlineLevel="0" collapsed="false">
      <c r="B3841" s="19" t="s">
        <v>4956</v>
      </c>
      <c r="C3841" s="20" t="n">
        <f aca="false">ROUND(2.73/FX,2)</f>
        <v>0.38</v>
      </c>
      <c r="D3841" s="21" t="s">
        <v>1570</v>
      </c>
      <c r="E3841" s="21" t="s">
        <v>719</v>
      </c>
      <c r="F3841" s="21" t="s">
        <v>708</v>
      </c>
    </row>
    <row r="3842" customFormat="false" ht="15" hidden="false" customHeight="false" outlineLevel="0" collapsed="false">
      <c r="B3842" s="19" t="s">
        <v>4957</v>
      </c>
      <c r="C3842" s="20" t="n">
        <f aca="false">ROUND(2.73/FX,2)</f>
        <v>0.38</v>
      </c>
      <c r="D3842" s="21" t="s">
        <v>4958</v>
      </c>
      <c r="E3842" s="21" t="s">
        <v>707</v>
      </c>
      <c r="F3842" s="21" t="s">
        <v>708</v>
      </c>
    </row>
    <row r="3843" customFormat="false" ht="15" hidden="false" customHeight="false" outlineLevel="0" collapsed="false">
      <c r="B3843" s="19" t="s">
        <v>4959</v>
      </c>
      <c r="C3843" s="20" t="n">
        <f aca="false">ROUND(2.73/FX,2)</f>
        <v>0.38</v>
      </c>
      <c r="D3843" s="21" t="s">
        <v>4958</v>
      </c>
      <c r="E3843" s="21" t="s">
        <v>761</v>
      </c>
      <c r="F3843" s="21" t="s">
        <v>708</v>
      </c>
    </row>
    <row r="3844" customFormat="false" ht="15" hidden="false" customHeight="false" outlineLevel="0" collapsed="false">
      <c r="B3844" s="19" t="s">
        <v>4960</v>
      </c>
      <c r="C3844" s="20" t="n">
        <f aca="false">ROUND(3.9/FX,2)</f>
        <v>0.54</v>
      </c>
      <c r="D3844" s="21" t="s">
        <v>4958</v>
      </c>
      <c r="E3844" s="21" t="s">
        <v>4761</v>
      </c>
      <c r="F3844" s="21" t="s">
        <v>708</v>
      </c>
    </row>
    <row r="3845" customFormat="false" ht="15" hidden="false" customHeight="false" outlineLevel="0" collapsed="false">
      <c r="B3845" s="19" t="s">
        <v>4961</v>
      </c>
      <c r="C3845" s="20" t="n">
        <f aca="false">ROUND(3.71/FX,2)</f>
        <v>0.52</v>
      </c>
      <c r="D3845" s="21" t="s">
        <v>4958</v>
      </c>
      <c r="E3845" s="21" t="s">
        <v>714</v>
      </c>
      <c r="F3845" s="21" t="s">
        <v>708</v>
      </c>
    </row>
    <row r="3846" customFormat="false" ht="15" hidden="false" customHeight="false" outlineLevel="0" collapsed="false">
      <c r="B3846" s="19" t="s">
        <v>4962</v>
      </c>
      <c r="C3846" s="20" t="n">
        <f aca="false">ROUND(2.73/FX,2)</f>
        <v>0.38</v>
      </c>
      <c r="D3846" s="21" t="s">
        <v>4958</v>
      </c>
      <c r="E3846" s="21" t="s">
        <v>3247</v>
      </c>
      <c r="F3846" s="21" t="s">
        <v>708</v>
      </c>
    </row>
    <row r="3847" customFormat="false" ht="15" hidden="false" customHeight="false" outlineLevel="0" collapsed="false">
      <c r="B3847" s="19" t="s">
        <v>4963</v>
      </c>
      <c r="C3847" s="20" t="n">
        <f aca="false">ROUND(2.73/FX,2)</f>
        <v>0.38</v>
      </c>
      <c r="D3847" s="21" t="s">
        <v>4958</v>
      </c>
      <c r="E3847" s="21" t="s">
        <v>3317</v>
      </c>
      <c r="F3847" s="21" t="s">
        <v>708</v>
      </c>
    </row>
    <row r="3848" customFormat="false" ht="15" hidden="false" customHeight="false" outlineLevel="0" collapsed="false">
      <c r="B3848" s="19" t="s">
        <v>4964</v>
      </c>
      <c r="C3848" s="20" t="n">
        <f aca="false">ROUND(2.08/FX,2)</f>
        <v>0.29</v>
      </c>
      <c r="D3848" s="21" t="s">
        <v>4958</v>
      </c>
      <c r="E3848" s="21" t="s">
        <v>716</v>
      </c>
      <c r="F3848" s="21" t="s">
        <v>708</v>
      </c>
    </row>
    <row r="3849" customFormat="false" ht="15" hidden="false" customHeight="false" outlineLevel="0" collapsed="false">
      <c r="B3849" s="19" t="s">
        <v>4965</v>
      </c>
      <c r="C3849" s="20" t="n">
        <f aca="false">ROUND(2.73/FX,2)</f>
        <v>0.38</v>
      </c>
      <c r="D3849" s="21" t="s">
        <v>4958</v>
      </c>
      <c r="E3849" s="21" t="s">
        <v>719</v>
      </c>
      <c r="F3849" s="21" t="s">
        <v>708</v>
      </c>
    </row>
    <row r="3850" customFormat="false" ht="15" hidden="false" customHeight="false" outlineLevel="0" collapsed="false">
      <c r="B3850" s="19" t="s">
        <v>4966</v>
      </c>
      <c r="C3850" s="20" t="n">
        <f aca="false">ROUND(2.73/FX,2)</f>
        <v>0.38</v>
      </c>
      <c r="D3850" s="21" t="s">
        <v>1595</v>
      </c>
      <c r="E3850" s="21" t="s">
        <v>707</v>
      </c>
      <c r="F3850" s="21" t="s">
        <v>708</v>
      </c>
    </row>
    <row r="3851" customFormat="false" ht="15" hidden="false" customHeight="false" outlineLevel="0" collapsed="false">
      <c r="B3851" s="19" t="s">
        <v>4967</v>
      </c>
      <c r="C3851" s="20" t="n">
        <f aca="false">ROUND(3.9/FX,2)</f>
        <v>0.54</v>
      </c>
      <c r="D3851" s="21" t="s">
        <v>1595</v>
      </c>
      <c r="E3851" s="21" t="s">
        <v>761</v>
      </c>
      <c r="F3851" s="21" t="s">
        <v>708</v>
      </c>
    </row>
    <row r="3852" customFormat="false" ht="15" hidden="false" customHeight="false" outlineLevel="0" collapsed="false">
      <c r="B3852" s="19" t="s">
        <v>4968</v>
      </c>
      <c r="C3852" s="20" t="n">
        <f aca="false">ROUND(3.26/FX,2)</f>
        <v>0.45</v>
      </c>
      <c r="D3852" s="21" t="s">
        <v>1595</v>
      </c>
      <c r="E3852" s="21" t="s">
        <v>4761</v>
      </c>
      <c r="F3852" s="21" t="s">
        <v>708</v>
      </c>
    </row>
    <row r="3853" customFormat="false" ht="15" hidden="false" customHeight="false" outlineLevel="0" collapsed="false">
      <c r="B3853" s="19" t="s">
        <v>4969</v>
      </c>
      <c r="C3853" s="20" t="n">
        <f aca="false">ROUND(3.9/FX,2)</f>
        <v>0.54</v>
      </c>
      <c r="D3853" s="21" t="s">
        <v>1595</v>
      </c>
      <c r="E3853" s="21" t="s">
        <v>714</v>
      </c>
      <c r="F3853" s="21" t="s">
        <v>708</v>
      </c>
    </row>
    <row r="3854" customFormat="false" ht="15" hidden="false" customHeight="false" outlineLevel="0" collapsed="false">
      <c r="B3854" s="19" t="s">
        <v>4970</v>
      </c>
      <c r="C3854" s="20" t="n">
        <f aca="false">ROUND(2.73/FX,2)</f>
        <v>0.38</v>
      </c>
      <c r="D3854" s="21" t="s">
        <v>1595</v>
      </c>
      <c r="E3854" s="21" t="s">
        <v>3247</v>
      </c>
      <c r="F3854" s="21" t="s">
        <v>708</v>
      </c>
    </row>
    <row r="3855" customFormat="false" ht="15" hidden="false" customHeight="false" outlineLevel="0" collapsed="false">
      <c r="B3855" s="19" t="s">
        <v>4971</v>
      </c>
      <c r="C3855" s="20" t="n">
        <f aca="false">ROUND(2.73/FX,2)</f>
        <v>0.38</v>
      </c>
      <c r="D3855" s="21" t="s">
        <v>1595</v>
      </c>
      <c r="E3855" s="21" t="s">
        <v>3317</v>
      </c>
      <c r="F3855" s="21" t="s">
        <v>708</v>
      </c>
    </row>
    <row r="3856" customFormat="false" ht="15" hidden="false" customHeight="false" outlineLevel="0" collapsed="false">
      <c r="B3856" s="19" t="s">
        <v>4972</v>
      </c>
      <c r="C3856" s="20" t="n">
        <f aca="false">ROUND(2.08/FX,2)</f>
        <v>0.29</v>
      </c>
      <c r="D3856" s="21" t="s">
        <v>1595</v>
      </c>
      <c r="E3856" s="21" t="s">
        <v>716</v>
      </c>
      <c r="F3856" s="21" t="s">
        <v>708</v>
      </c>
    </row>
    <row r="3857" customFormat="false" ht="15" hidden="false" customHeight="false" outlineLevel="0" collapsed="false">
      <c r="B3857" s="19" t="s">
        <v>4973</v>
      </c>
      <c r="C3857" s="20" t="n">
        <f aca="false">ROUND(2.73/FX,2)</f>
        <v>0.38</v>
      </c>
      <c r="D3857" s="21" t="s">
        <v>1595</v>
      </c>
      <c r="E3857" s="21" t="s">
        <v>719</v>
      </c>
      <c r="F3857" s="21" t="s">
        <v>708</v>
      </c>
    </row>
    <row r="3858" customFormat="false" ht="15" hidden="false" customHeight="false" outlineLevel="0" collapsed="false">
      <c r="B3858" s="19" t="s">
        <v>4974</v>
      </c>
      <c r="C3858" s="20" t="n">
        <f aca="false">ROUND(1.43/FX,2)</f>
        <v>0.2</v>
      </c>
      <c r="D3858" s="21" t="s">
        <v>4975</v>
      </c>
      <c r="E3858" s="21" t="s">
        <v>707</v>
      </c>
      <c r="F3858" s="21" t="s">
        <v>708</v>
      </c>
    </row>
    <row r="3859" customFormat="false" ht="15" hidden="false" customHeight="false" outlineLevel="0" collapsed="false">
      <c r="B3859" s="19" t="s">
        <v>4976</v>
      </c>
      <c r="C3859" s="20" t="n">
        <f aca="false">ROUND(1.43/FX,2)</f>
        <v>0.2</v>
      </c>
      <c r="D3859" s="21" t="s">
        <v>4975</v>
      </c>
      <c r="E3859" s="21" t="s">
        <v>761</v>
      </c>
      <c r="F3859" s="21" t="s">
        <v>708</v>
      </c>
    </row>
    <row r="3860" customFormat="false" ht="15" hidden="false" customHeight="false" outlineLevel="0" collapsed="false">
      <c r="B3860" s="19" t="s">
        <v>4977</v>
      </c>
      <c r="C3860" s="20" t="n">
        <f aca="false">ROUND(1.43/FX,2)</f>
        <v>0.2</v>
      </c>
      <c r="D3860" s="21" t="s">
        <v>4975</v>
      </c>
      <c r="E3860" s="21" t="s">
        <v>4761</v>
      </c>
      <c r="F3860" s="21" t="s">
        <v>708</v>
      </c>
    </row>
    <row r="3861" customFormat="false" ht="15" hidden="false" customHeight="false" outlineLevel="0" collapsed="false">
      <c r="B3861" s="19" t="s">
        <v>4978</v>
      </c>
      <c r="C3861" s="20" t="n">
        <f aca="false">ROUND(3.51/FX,2)</f>
        <v>0.49</v>
      </c>
      <c r="D3861" s="21" t="s">
        <v>4975</v>
      </c>
      <c r="E3861" s="21" t="s">
        <v>714</v>
      </c>
      <c r="F3861" s="21" t="s">
        <v>708</v>
      </c>
    </row>
    <row r="3862" customFormat="false" ht="15" hidden="false" customHeight="false" outlineLevel="0" collapsed="false">
      <c r="B3862" s="19" t="s">
        <v>4979</v>
      </c>
      <c r="C3862" s="20" t="n">
        <f aca="false">ROUND(1.43/FX,2)</f>
        <v>0.2</v>
      </c>
      <c r="D3862" s="21" t="s">
        <v>4975</v>
      </c>
      <c r="E3862" s="21" t="s">
        <v>3247</v>
      </c>
      <c r="F3862" s="21" t="s">
        <v>708</v>
      </c>
    </row>
    <row r="3863" customFormat="false" ht="15" hidden="false" customHeight="false" outlineLevel="0" collapsed="false">
      <c r="B3863" s="19" t="s">
        <v>4980</v>
      </c>
      <c r="C3863" s="20" t="n">
        <f aca="false">ROUND(1.43/FX,2)</f>
        <v>0.2</v>
      </c>
      <c r="D3863" s="21" t="s">
        <v>4975</v>
      </c>
      <c r="E3863" s="21" t="s">
        <v>3317</v>
      </c>
      <c r="F3863" s="21" t="s">
        <v>708</v>
      </c>
    </row>
    <row r="3864" customFormat="false" ht="15" hidden="false" customHeight="false" outlineLevel="0" collapsed="false">
      <c r="B3864" s="19" t="s">
        <v>4981</v>
      </c>
      <c r="C3864" s="20" t="n">
        <f aca="false">ROUND(1.43/FX,2)</f>
        <v>0.2</v>
      </c>
      <c r="D3864" s="21" t="s">
        <v>4975</v>
      </c>
      <c r="E3864" s="21" t="s">
        <v>716</v>
      </c>
      <c r="F3864" s="21" t="s">
        <v>708</v>
      </c>
    </row>
    <row r="3865" customFormat="false" ht="15" hidden="false" customHeight="false" outlineLevel="0" collapsed="false">
      <c r="B3865" s="19" t="s">
        <v>4982</v>
      </c>
      <c r="C3865" s="20" t="n">
        <f aca="false">ROUND(1.43/FX,2)</f>
        <v>0.2</v>
      </c>
      <c r="D3865" s="21" t="s">
        <v>4975</v>
      </c>
      <c r="E3865" s="21" t="s">
        <v>719</v>
      </c>
      <c r="F3865" s="21" t="s">
        <v>708</v>
      </c>
    </row>
    <row r="3866" customFormat="false" ht="15" hidden="false" customHeight="false" outlineLevel="0" collapsed="false">
      <c r="B3866" s="19" t="s">
        <v>4983</v>
      </c>
      <c r="C3866" s="20" t="n">
        <f aca="false">ROUND(2.73/FX,2)</f>
        <v>0.38</v>
      </c>
      <c r="D3866" s="21" t="s">
        <v>1615</v>
      </c>
      <c r="E3866" s="21" t="s">
        <v>707</v>
      </c>
      <c r="F3866" s="21" t="s">
        <v>708</v>
      </c>
    </row>
    <row r="3867" customFormat="false" ht="15" hidden="false" customHeight="false" outlineLevel="0" collapsed="false">
      <c r="B3867" s="19" t="s">
        <v>4984</v>
      </c>
      <c r="C3867" s="20" t="n">
        <f aca="false">ROUND(2.73/FX,2)</f>
        <v>0.38</v>
      </c>
      <c r="D3867" s="21" t="s">
        <v>1615</v>
      </c>
      <c r="E3867" s="21" t="s">
        <v>761</v>
      </c>
      <c r="F3867" s="21" t="s">
        <v>708</v>
      </c>
    </row>
    <row r="3868" customFormat="false" ht="15" hidden="false" customHeight="false" outlineLevel="0" collapsed="false">
      <c r="B3868" s="19" t="s">
        <v>4985</v>
      </c>
      <c r="C3868" s="20" t="n">
        <f aca="false">ROUND(3.38/FX,2)</f>
        <v>0.47</v>
      </c>
      <c r="D3868" s="21" t="s">
        <v>1615</v>
      </c>
      <c r="E3868" s="21" t="s">
        <v>4761</v>
      </c>
      <c r="F3868" s="21" t="s">
        <v>708</v>
      </c>
    </row>
    <row r="3869" customFormat="false" ht="15" hidden="false" customHeight="false" outlineLevel="0" collapsed="false">
      <c r="B3869" s="19" t="s">
        <v>4986</v>
      </c>
      <c r="C3869" s="20" t="n">
        <f aca="false">ROUND(3.64/FX,2)</f>
        <v>0.51</v>
      </c>
      <c r="D3869" s="21" t="s">
        <v>1615</v>
      </c>
      <c r="E3869" s="21" t="s">
        <v>714</v>
      </c>
      <c r="F3869" s="21" t="s">
        <v>708</v>
      </c>
    </row>
    <row r="3870" customFormat="false" ht="15" hidden="false" customHeight="false" outlineLevel="0" collapsed="false">
      <c r="B3870" s="19" t="s">
        <v>4987</v>
      </c>
      <c r="C3870" s="20" t="n">
        <f aca="false">ROUND(2.73/FX,2)</f>
        <v>0.38</v>
      </c>
      <c r="D3870" s="21" t="s">
        <v>1615</v>
      </c>
      <c r="E3870" s="21" t="s">
        <v>3247</v>
      </c>
      <c r="F3870" s="21" t="s">
        <v>708</v>
      </c>
    </row>
    <row r="3871" customFormat="false" ht="15" hidden="false" customHeight="false" outlineLevel="0" collapsed="false">
      <c r="B3871" s="19" t="s">
        <v>4988</v>
      </c>
      <c r="C3871" s="20" t="n">
        <f aca="false">ROUND(2.73/FX,2)</f>
        <v>0.38</v>
      </c>
      <c r="D3871" s="21" t="s">
        <v>1615</v>
      </c>
      <c r="E3871" s="21" t="s">
        <v>3317</v>
      </c>
      <c r="F3871" s="21" t="s">
        <v>708</v>
      </c>
    </row>
    <row r="3872" customFormat="false" ht="15" hidden="false" customHeight="false" outlineLevel="0" collapsed="false">
      <c r="B3872" s="19" t="s">
        <v>4989</v>
      </c>
      <c r="C3872" s="20" t="n">
        <f aca="false">ROUND(2.08/FX,2)</f>
        <v>0.29</v>
      </c>
      <c r="D3872" s="21" t="s">
        <v>1615</v>
      </c>
      <c r="E3872" s="21" t="s">
        <v>716</v>
      </c>
      <c r="F3872" s="21" t="s">
        <v>708</v>
      </c>
    </row>
    <row r="3873" customFormat="false" ht="15" hidden="false" customHeight="false" outlineLevel="0" collapsed="false">
      <c r="B3873" s="19" t="s">
        <v>4990</v>
      </c>
      <c r="C3873" s="20" t="n">
        <f aca="false">ROUND(2.73/FX,2)</f>
        <v>0.38</v>
      </c>
      <c r="D3873" s="21" t="s">
        <v>1615</v>
      </c>
      <c r="E3873" s="21" t="s">
        <v>719</v>
      </c>
      <c r="F3873" s="21" t="s">
        <v>708</v>
      </c>
    </row>
    <row r="3874" customFormat="false" ht="15" hidden="false" customHeight="false" outlineLevel="0" collapsed="false">
      <c r="B3874" s="19" t="s">
        <v>4991</v>
      </c>
      <c r="C3874" s="20" t="n">
        <f aca="false">ROUND(1.43/FX,2)</f>
        <v>0.2</v>
      </c>
      <c r="D3874" s="21" t="s">
        <v>4387</v>
      </c>
      <c r="E3874" s="21" t="s">
        <v>707</v>
      </c>
      <c r="F3874" s="21" t="s">
        <v>708</v>
      </c>
    </row>
    <row r="3875" customFormat="false" ht="15" hidden="false" customHeight="false" outlineLevel="0" collapsed="false">
      <c r="B3875" s="19" t="s">
        <v>4992</v>
      </c>
      <c r="C3875" s="20" t="n">
        <f aca="false">ROUND(1.43/FX,2)</f>
        <v>0.2</v>
      </c>
      <c r="D3875" s="21" t="s">
        <v>4387</v>
      </c>
      <c r="E3875" s="21" t="s">
        <v>761</v>
      </c>
      <c r="F3875" s="21" t="s">
        <v>708</v>
      </c>
    </row>
    <row r="3876" customFormat="false" ht="15" hidden="false" customHeight="false" outlineLevel="0" collapsed="false">
      <c r="B3876" s="19" t="s">
        <v>4993</v>
      </c>
      <c r="C3876" s="20" t="n">
        <f aca="false">ROUND(1.43/FX,2)</f>
        <v>0.2</v>
      </c>
      <c r="D3876" s="21" t="s">
        <v>4387</v>
      </c>
      <c r="E3876" s="21" t="s">
        <v>4761</v>
      </c>
      <c r="F3876" s="21" t="s">
        <v>708</v>
      </c>
    </row>
    <row r="3877" customFormat="false" ht="15" hidden="false" customHeight="false" outlineLevel="0" collapsed="false">
      <c r="B3877" s="19" t="s">
        <v>4994</v>
      </c>
      <c r="C3877" s="20" t="n">
        <f aca="false">ROUND(3.64/FX,2)</f>
        <v>0.51</v>
      </c>
      <c r="D3877" s="21" t="s">
        <v>4387</v>
      </c>
      <c r="E3877" s="21" t="s">
        <v>714</v>
      </c>
      <c r="F3877" s="21" t="s">
        <v>708</v>
      </c>
    </row>
    <row r="3878" customFormat="false" ht="15" hidden="false" customHeight="false" outlineLevel="0" collapsed="false">
      <c r="B3878" s="19" t="s">
        <v>4995</v>
      </c>
      <c r="C3878" s="20" t="n">
        <f aca="false">ROUND(1.43/FX,2)</f>
        <v>0.2</v>
      </c>
      <c r="D3878" s="21" t="s">
        <v>4387</v>
      </c>
      <c r="E3878" s="21" t="s">
        <v>3247</v>
      </c>
      <c r="F3878" s="21" t="s">
        <v>708</v>
      </c>
    </row>
    <row r="3879" customFormat="false" ht="15" hidden="false" customHeight="false" outlineLevel="0" collapsed="false">
      <c r="B3879" s="19" t="s">
        <v>4996</v>
      </c>
      <c r="C3879" s="20" t="n">
        <f aca="false">ROUND(1.43/FX,2)</f>
        <v>0.2</v>
      </c>
      <c r="D3879" s="21" t="s">
        <v>4387</v>
      </c>
      <c r="E3879" s="21" t="s">
        <v>3317</v>
      </c>
      <c r="F3879" s="21" t="s">
        <v>708</v>
      </c>
    </row>
    <row r="3880" customFormat="false" ht="15" hidden="false" customHeight="false" outlineLevel="0" collapsed="false">
      <c r="B3880" s="19" t="s">
        <v>4997</v>
      </c>
      <c r="C3880" s="20" t="n">
        <f aca="false">ROUND(1.43/FX,2)</f>
        <v>0.2</v>
      </c>
      <c r="D3880" s="21" t="s">
        <v>4387</v>
      </c>
      <c r="E3880" s="21" t="s">
        <v>716</v>
      </c>
      <c r="F3880" s="21" t="s">
        <v>708</v>
      </c>
    </row>
    <row r="3881" customFormat="false" ht="15" hidden="false" customHeight="false" outlineLevel="0" collapsed="false">
      <c r="B3881" s="19" t="s">
        <v>4998</v>
      </c>
      <c r="C3881" s="20" t="n">
        <f aca="false">ROUND(1.43/FX,2)</f>
        <v>0.2</v>
      </c>
      <c r="D3881" s="21" t="s">
        <v>4387</v>
      </c>
      <c r="E3881" s="21" t="s">
        <v>719</v>
      </c>
      <c r="F3881" s="21" t="s">
        <v>708</v>
      </c>
    </row>
    <row r="3882" customFormat="false" ht="15" hidden="false" customHeight="false" outlineLevel="0" collapsed="false">
      <c r="B3882" s="19" t="s">
        <v>4999</v>
      </c>
      <c r="C3882" s="20" t="n">
        <f aca="false">ROUND(2.73/FX,2)</f>
        <v>0.38</v>
      </c>
      <c r="D3882" s="21" t="s">
        <v>1635</v>
      </c>
      <c r="E3882" s="21" t="s">
        <v>707</v>
      </c>
      <c r="F3882" s="21" t="s">
        <v>708</v>
      </c>
    </row>
    <row r="3883" customFormat="false" ht="15" hidden="false" customHeight="false" outlineLevel="0" collapsed="false">
      <c r="B3883" s="19" t="s">
        <v>5000</v>
      </c>
      <c r="C3883" s="20" t="n">
        <f aca="false">ROUND(2.73/FX,2)</f>
        <v>0.38</v>
      </c>
      <c r="D3883" s="21" t="s">
        <v>1635</v>
      </c>
      <c r="E3883" s="21" t="s">
        <v>761</v>
      </c>
      <c r="F3883" s="21" t="s">
        <v>708</v>
      </c>
    </row>
    <row r="3884" customFormat="false" ht="15" hidden="false" customHeight="false" outlineLevel="0" collapsed="false">
      <c r="B3884" s="19" t="s">
        <v>5001</v>
      </c>
      <c r="C3884" s="20" t="n">
        <f aca="false">ROUND(2.73/FX,2)</f>
        <v>0.38</v>
      </c>
      <c r="D3884" s="21" t="s">
        <v>1635</v>
      </c>
      <c r="E3884" s="21" t="s">
        <v>4761</v>
      </c>
      <c r="F3884" s="21" t="s">
        <v>708</v>
      </c>
    </row>
    <row r="3885" customFormat="false" ht="15" hidden="false" customHeight="false" outlineLevel="0" collapsed="false">
      <c r="B3885" s="19" t="s">
        <v>5002</v>
      </c>
      <c r="C3885" s="20" t="n">
        <f aca="false">ROUND(3.7/FX,2)</f>
        <v>0.51</v>
      </c>
      <c r="D3885" s="21" t="s">
        <v>1635</v>
      </c>
      <c r="E3885" s="21" t="s">
        <v>714</v>
      </c>
      <c r="F3885" s="21" t="s">
        <v>708</v>
      </c>
    </row>
    <row r="3886" customFormat="false" ht="15" hidden="false" customHeight="false" outlineLevel="0" collapsed="false">
      <c r="B3886" s="19" t="s">
        <v>5003</v>
      </c>
      <c r="C3886" s="20" t="n">
        <f aca="false">ROUND(2.73/FX,2)</f>
        <v>0.38</v>
      </c>
      <c r="D3886" s="21" t="s">
        <v>1635</v>
      </c>
      <c r="E3886" s="21" t="s">
        <v>3247</v>
      </c>
      <c r="F3886" s="21" t="s">
        <v>708</v>
      </c>
    </row>
    <row r="3887" customFormat="false" ht="15" hidden="false" customHeight="false" outlineLevel="0" collapsed="false">
      <c r="B3887" s="19" t="s">
        <v>5004</v>
      </c>
      <c r="C3887" s="20" t="n">
        <f aca="false">ROUND(6.93/FX,2)</f>
        <v>0.96</v>
      </c>
      <c r="D3887" s="21" t="s">
        <v>1635</v>
      </c>
      <c r="E3887" s="21" t="s">
        <v>3317</v>
      </c>
      <c r="F3887" s="21" t="s">
        <v>708</v>
      </c>
    </row>
    <row r="3888" customFormat="false" ht="15" hidden="false" customHeight="false" outlineLevel="0" collapsed="false">
      <c r="B3888" s="19" t="s">
        <v>5005</v>
      </c>
      <c r="C3888" s="20" t="n">
        <f aca="false">ROUND(2.08/FX,2)</f>
        <v>0.29</v>
      </c>
      <c r="D3888" s="21" t="s">
        <v>1635</v>
      </c>
      <c r="E3888" s="21" t="s">
        <v>716</v>
      </c>
      <c r="F3888" s="21" t="s">
        <v>708</v>
      </c>
    </row>
    <row r="3889" customFormat="false" ht="15" hidden="false" customHeight="false" outlineLevel="0" collapsed="false">
      <c r="B3889" s="19" t="s">
        <v>5006</v>
      </c>
      <c r="C3889" s="20" t="n">
        <f aca="false">ROUND(2.73/FX,2)</f>
        <v>0.38</v>
      </c>
      <c r="D3889" s="21" t="s">
        <v>1635</v>
      </c>
      <c r="E3889" s="21" t="s">
        <v>719</v>
      </c>
      <c r="F3889" s="21" t="s">
        <v>708</v>
      </c>
    </row>
    <row r="3890" customFormat="false" ht="15" hidden="false" customHeight="false" outlineLevel="0" collapsed="false">
      <c r="B3890" s="19" t="s">
        <v>5007</v>
      </c>
      <c r="C3890" s="20" t="n">
        <f aca="false">ROUND(2.73/FX,2)</f>
        <v>0.38</v>
      </c>
      <c r="D3890" s="21" t="s">
        <v>5008</v>
      </c>
      <c r="E3890" s="21" t="s">
        <v>707</v>
      </c>
      <c r="F3890" s="21" t="s">
        <v>708</v>
      </c>
    </row>
    <row r="3891" customFormat="false" ht="15" hidden="false" customHeight="false" outlineLevel="0" collapsed="false">
      <c r="B3891" s="19" t="s">
        <v>5009</v>
      </c>
      <c r="C3891" s="20" t="n">
        <f aca="false">ROUND(2.73/FX,2)</f>
        <v>0.38</v>
      </c>
      <c r="D3891" s="21" t="s">
        <v>5008</v>
      </c>
      <c r="E3891" s="21" t="s">
        <v>761</v>
      </c>
      <c r="F3891" s="21" t="s">
        <v>708</v>
      </c>
    </row>
    <row r="3892" customFormat="false" ht="15" hidden="false" customHeight="false" outlineLevel="0" collapsed="false">
      <c r="B3892" s="19" t="s">
        <v>5010</v>
      </c>
      <c r="C3892" s="20" t="n">
        <f aca="false">ROUND(2.73/FX,2)</f>
        <v>0.38</v>
      </c>
      <c r="D3892" s="21" t="s">
        <v>5008</v>
      </c>
      <c r="E3892" s="21" t="s">
        <v>4761</v>
      </c>
      <c r="F3892" s="21" t="s">
        <v>708</v>
      </c>
    </row>
    <row r="3893" customFormat="false" ht="15" hidden="false" customHeight="false" outlineLevel="0" collapsed="false">
      <c r="B3893" s="19" t="s">
        <v>5011</v>
      </c>
      <c r="C3893" s="20" t="n">
        <f aca="false">ROUND(4.03/FX,2)</f>
        <v>0.56</v>
      </c>
      <c r="D3893" s="21" t="s">
        <v>5008</v>
      </c>
      <c r="E3893" s="21" t="s">
        <v>714</v>
      </c>
      <c r="F3893" s="21" t="s">
        <v>708</v>
      </c>
    </row>
    <row r="3894" customFormat="false" ht="15" hidden="false" customHeight="false" outlineLevel="0" collapsed="false">
      <c r="B3894" s="19" t="s">
        <v>5012</v>
      </c>
      <c r="C3894" s="20" t="n">
        <f aca="false">ROUND(2.73/FX,2)</f>
        <v>0.38</v>
      </c>
      <c r="D3894" s="21" t="s">
        <v>5008</v>
      </c>
      <c r="E3894" s="21" t="s">
        <v>3247</v>
      </c>
      <c r="F3894" s="21" t="s">
        <v>708</v>
      </c>
    </row>
    <row r="3895" customFormat="false" ht="15" hidden="false" customHeight="false" outlineLevel="0" collapsed="false">
      <c r="B3895" s="19" t="s">
        <v>5013</v>
      </c>
      <c r="C3895" s="20" t="n">
        <f aca="false">ROUND(2.73/FX,2)</f>
        <v>0.38</v>
      </c>
      <c r="D3895" s="21" t="s">
        <v>5008</v>
      </c>
      <c r="E3895" s="21" t="s">
        <v>3317</v>
      </c>
      <c r="F3895" s="21" t="s">
        <v>708</v>
      </c>
    </row>
    <row r="3896" customFormat="false" ht="15" hidden="false" customHeight="false" outlineLevel="0" collapsed="false">
      <c r="B3896" s="19" t="s">
        <v>5014</v>
      </c>
      <c r="C3896" s="20" t="n">
        <f aca="false">ROUND(2.08/FX,2)</f>
        <v>0.29</v>
      </c>
      <c r="D3896" s="21" t="s">
        <v>5008</v>
      </c>
      <c r="E3896" s="21" t="s">
        <v>716</v>
      </c>
      <c r="F3896" s="21" t="s">
        <v>708</v>
      </c>
    </row>
    <row r="3897" customFormat="false" ht="15" hidden="false" customHeight="false" outlineLevel="0" collapsed="false">
      <c r="B3897" s="19" t="s">
        <v>5015</v>
      </c>
      <c r="C3897" s="20" t="n">
        <f aca="false">ROUND(2.73/FX,2)</f>
        <v>0.38</v>
      </c>
      <c r="D3897" s="21" t="s">
        <v>5008</v>
      </c>
      <c r="E3897" s="21" t="s">
        <v>719</v>
      </c>
      <c r="F3897" s="21" t="s">
        <v>708</v>
      </c>
    </row>
    <row r="3898" customFormat="false" ht="15" hidden="false" customHeight="false" outlineLevel="0" collapsed="false">
      <c r="B3898" s="19" t="s">
        <v>5016</v>
      </c>
      <c r="C3898" s="20" t="n">
        <f aca="false">ROUND(2.73/FX,2)</f>
        <v>0.38</v>
      </c>
      <c r="D3898" s="21" t="s">
        <v>1655</v>
      </c>
      <c r="E3898" s="21" t="s">
        <v>707</v>
      </c>
      <c r="F3898" s="21" t="s">
        <v>708</v>
      </c>
    </row>
    <row r="3899" customFormat="false" ht="15" hidden="false" customHeight="false" outlineLevel="0" collapsed="false">
      <c r="B3899" s="19" t="s">
        <v>5017</v>
      </c>
      <c r="C3899" s="20" t="n">
        <f aca="false">ROUND(2.73/FX,2)</f>
        <v>0.38</v>
      </c>
      <c r="D3899" s="21" t="s">
        <v>1655</v>
      </c>
      <c r="E3899" s="21" t="s">
        <v>761</v>
      </c>
      <c r="F3899" s="21" t="s">
        <v>708</v>
      </c>
    </row>
    <row r="3900" customFormat="false" ht="15" hidden="false" customHeight="false" outlineLevel="0" collapsed="false">
      <c r="B3900" s="19" t="s">
        <v>5018</v>
      </c>
      <c r="C3900" s="20" t="n">
        <f aca="false">ROUND(3.9/FX,2)</f>
        <v>0.54</v>
      </c>
      <c r="D3900" s="21" t="s">
        <v>1655</v>
      </c>
      <c r="E3900" s="21" t="s">
        <v>4761</v>
      </c>
      <c r="F3900" s="21" t="s">
        <v>708</v>
      </c>
    </row>
    <row r="3901" customFormat="false" ht="15" hidden="false" customHeight="false" outlineLevel="0" collapsed="false">
      <c r="B3901" s="19" t="s">
        <v>5019</v>
      </c>
      <c r="C3901" s="20" t="n">
        <f aca="false">ROUND(3.77/FX,2)</f>
        <v>0.52</v>
      </c>
      <c r="D3901" s="21" t="s">
        <v>1655</v>
      </c>
      <c r="E3901" s="21" t="s">
        <v>714</v>
      </c>
      <c r="F3901" s="21" t="s">
        <v>708</v>
      </c>
    </row>
    <row r="3902" customFormat="false" ht="15" hidden="false" customHeight="false" outlineLevel="0" collapsed="false">
      <c r="B3902" s="19" t="s">
        <v>5020</v>
      </c>
      <c r="C3902" s="20" t="n">
        <f aca="false">ROUND(7.8/FX,2)</f>
        <v>1.08</v>
      </c>
      <c r="D3902" s="21" t="s">
        <v>1655</v>
      </c>
      <c r="E3902" s="21" t="s">
        <v>3247</v>
      </c>
      <c r="F3902" s="21" t="s">
        <v>708</v>
      </c>
    </row>
    <row r="3903" customFormat="false" ht="15" hidden="false" customHeight="false" outlineLevel="0" collapsed="false">
      <c r="B3903" s="19" t="s">
        <v>5021</v>
      </c>
      <c r="C3903" s="20" t="n">
        <f aca="false">ROUND(2.73/FX,2)</f>
        <v>0.38</v>
      </c>
      <c r="D3903" s="21" t="s">
        <v>1655</v>
      </c>
      <c r="E3903" s="21" t="s">
        <v>3317</v>
      </c>
      <c r="F3903" s="21" t="s">
        <v>708</v>
      </c>
    </row>
    <row r="3904" customFormat="false" ht="15" hidden="false" customHeight="false" outlineLevel="0" collapsed="false">
      <c r="B3904" s="19" t="s">
        <v>5022</v>
      </c>
      <c r="C3904" s="20" t="n">
        <f aca="false">ROUND(2.08/FX,2)</f>
        <v>0.29</v>
      </c>
      <c r="D3904" s="21" t="s">
        <v>1655</v>
      </c>
      <c r="E3904" s="21" t="s">
        <v>716</v>
      </c>
      <c r="F3904" s="21" t="s">
        <v>708</v>
      </c>
    </row>
    <row r="3905" customFormat="false" ht="15" hidden="false" customHeight="false" outlineLevel="0" collapsed="false">
      <c r="B3905" s="19" t="s">
        <v>5023</v>
      </c>
      <c r="C3905" s="20" t="n">
        <f aca="false">ROUND(2.73/FX,2)</f>
        <v>0.38</v>
      </c>
      <c r="D3905" s="21" t="s">
        <v>1655</v>
      </c>
      <c r="E3905" s="21" t="s">
        <v>719</v>
      </c>
      <c r="F3905" s="21" t="s">
        <v>708</v>
      </c>
    </row>
    <row r="3906" customFormat="false" ht="15" hidden="false" customHeight="false" outlineLevel="0" collapsed="false">
      <c r="B3906" s="19" t="s">
        <v>5024</v>
      </c>
      <c r="C3906" s="20" t="n">
        <f aca="false">ROUND(1.43/FX,2)</f>
        <v>0.2</v>
      </c>
      <c r="D3906" s="21" t="s">
        <v>5025</v>
      </c>
      <c r="E3906" s="21" t="s">
        <v>707</v>
      </c>
      <c r="F3906" s="21" t="s">
        <v>708</v>
      </c>
    </row>
    <row r="3907" customFormat="false" ht="15" hidden="false" customHeight="false" outlineLevel="0" collapsed="false">
      <c r="B3907" s="19" t="s">
        <v>5026</v>
      </c>
      <c r="C3907" s="20" t="n">
        <f aca="false">ROUND(1.43/FX,2)</f>
        <v>0.2</v>
      </c>
      <c r="D3907" s="21" t="s">
        <v>5025</v>
      </c>
      <c r="E3907" s="21" t="s">
        <v>761</v>
      </c>
      <c r="F3907" s="21" t="s">
        <v>708</v>
      </c>
    </row>
    <row r="3908" customFormat="false" ht="15" hidden="false" customHeight="false" outlineLevel="0" collapsed="false">
      <c r="B3908" s="19" t="s">
        <v>5027</v>
      </c>
      <c r="C3908" s="20" t="n">
        <f aca="false">ROUND(1.43/FX,2)</f>
        <v>0.2</v>
      </c>
      <c r="D3908" s="21" t="s">
        <v>5025</v>
      </c>
      <c r="E3908" s="21" t="s">
        <v>4761</v>
      </c>
      <c r="F3908" s="21" t="s">
        <v>708</v>
      </c>
    </row>
    <row r="3909" customFormat="false" ht="15" hidden="false" customHeight="false" outlineLevel="0" collapsed="false">
      <c r="B3909" s="19" t="s">
        <v>5028</v>
      </c>
      <c r="C3909" s="20" t="n">
        <f aca="false">ROUND(3.9/FX,2)</f>
        <v>0.54</v>
      </c>
      <c r="D3909" s="21" t="s">
        <v>5025</v>
      </c>
      <c r="E3909" s="21" t="s">
        <v>714</v>
      </c>
      <c r="F3909" s="21" t="s">
        <v>708</v>
      </c>
    </row>
    <row r="3910" customFormat="false" ht="15" hidden="false" customHeight="false" outlineLevel="0" collapsed="false">
      <c r="B3910" s="19" t="s">
        <v>5029</v>
      </c>
      <c r="C3910" s="20" t="n">
        <f aca="false">ROUND(1.43/FX,2)</f>
        <v>0.2</v>
      </c>
      <c r="D3910" s="21" t="s">
        <v>5025</v>
      </c>
      <c r="E3910" s="21" t="s">
        <v>3247</v>
      </c>
      <c r="F3910" s="21" t="s">
        <v>708</v>
      </c>
    </row>
    <row r="3911" customFormat="false" ht="15" hidden="false" customHeight="false" outlineLevel="0" collapsed="false">
      <c r="B3911" s="19" t="s">
        <v>5030</v>
      </c>
      <c r="C3911" s="20" t="n">
        <f aca="false">ROUND(1.43/FX,2)</f>
        <v>0.2</v>
      </c>
      <c r="D3911" s="21" t="s">
        <v>5025</v>
      </c>
      <c r="E3911" s="21" t="s">
        <v>3317</v>
      </c>
      <c r="F3911" s="21" t="s">
        <v>708</v>
      </c>
    </row>
    <row r="3912" customFormat="false" ht="15" hidden="false" customHeight="false" outlineLevel="0" collapsed="false">
      <c r="B3912" s="19" t="s">
        <v>5031</v>
      </c>
      <c r="C3912" s="20" t="n">
        <f aca="false">ROUND(1.43/FX,2)</f>
        <v>0.2</v>
      </c>
      <c r="D3912" s="21" t="s">
        <v>5025</v>
      </c>
      <c r="E3912" s="21" t="s">
        <v>716</v>
      </c>
      <c r="F3912" s="21" t="s">
        <v>708</v>
      </c>
    </row>
    <row r="3913" customFormat="false" ht="15" hidden="false" customHeight="false" outlineLevel="0" collapsed="false">
      <c r="B3913" s="19" t="s">
        <v>5032</v>
      </c>
      <c r="C3913" s="20" t="n">
        <f aca="false">ROUND(1.43/FX,2)</f>
        <v>0.2</v>
      </c>
      <c r="D3913" s="21" t="s">
        <v>5025</v>
      </c>
      <c r="E3913" s="21" t="s">
        <v>719</v>
      </c>
      <c r="F3913" s="21" t="s">
        <v>708</v>
      </c>
    </row>
    <row r="3914" customFormat="false" ht="15" hidden="false" customHeight="false" outlineLevel="0" collapsed="false">
      <c r="B3914" s="19" t="s">
        <v>5033</v>
      </c>
      <c r="C3914" s="20" t="n">
        <f aca="false">ROUND(2.73/FX,2)</f>
        <v>0.38</v>
      </c>
      <c r="D3914" s="21" t="s">
        <v>1670</v>
      </c>
      <c r="E3914" s="21" t="s">
        <v>707</v>
      </c>
      <c r="F3914" s="21" t="s">
        <v>708</v>
      </c>
    </row>
    <row r="3915" customFormat="false" ht="15" hidden="false" customHeight="false" outlineLevel="0" collapsed="false">
      <c r="B3915" s="19" t="s">
        <v>5034</v>
      </c>
      <c r="C3915" s="20" t="n">
        <f aca="false">ROUND(2.73/FX,2)</f>
        <v>0.38</v>
      </c>
      <c r="D3915" s="21" t="s">
        <v>1670</v>
      </c>
      <c r="E3915" s="21" t="s">
        <v>761</v>
      </c>
      <c r="F3915" s="21" t="s">
        <v>708</v>
      </c>
    </row>
    <row r="3916" customFormat="false" ht="15" hidden="false" customHeight="false" outlineLevel="0" collapsed="false">
      <c r="B3916" s="19" t="s">
        <v>5035</v>
      </c>
      <c r="C3916" s="20" t="n">
        <f aca="false">ROUND(2.73/FX,2)</f>
        <v>0.38</v>
      </c>
      <c r="D3916" s="21" t="s">
        <v>1670</v>
      </c>
      <c r="E3916" s="21" t="s">
        <v>4761</v>
      </c>
      <c r="F3916" s="21" t="s">
        <v>708</v>
      </c>
    </row>
    <row r="3917" customFormat="false" ht="15" hidden="false" customHeight="false" outlineLevel="0" collapsed="false">
      <c r="B3917" s="19" t="s">
        <v>5036</v>
      </c>
      <c r="C3917" s="20" t="n">
        <f aca="false">ROUND(4.42/FX,2)</f>
        <v>0.61</v>
      </c>
      <c r="D3917" s="21" t="s">
        <v>1670</v>
      </c>
      <c r="E3917" s="21" t="s">
        <v>714</v>
      </c>
      <c r="F3917" s="21" t="s">
        <v>708</v>
      </c>
    </row>
    <row r="3918" customFormat="false" ht="15" hidden="false" customHeight="false" outlineLevel="0" collapsed="false">
      <c r="B3918" s="19" t="s">
        <v>5037</v>
      </c>
      <c r="C3918" s="20" t="n">
        <f aca="false">ROUND(2.73/FX,2)</f>
        <v>0.38</v>
      </c>
      <c r="D3918" s="21" t="s">
        <v>1670</v>
      </c>
      <c r="E3918" s="21" t="s">
        <v>3247</v>
      </c>
      <c r="F3918" s="21" t="s">
        <v>708</v>
      </c>
    </row>
    <row r="3919" customFormat="false" ht="15" hidden="false" customHeight="false" outlineLevel="0" collapsed="false">
      <c r="B3919" s="19" t="s">
        <v>5038</v>
      </c>
      <c r="C3919" s="20" t="n">
        <f aca="false">ROUND(2.73/FX,2)</f>
        <v>0.38</v>
      </c>
      <c r="D3919" s="21" t="s">
        <v>1670</v>
      </c>
      <c r="E3919" s="21" t="s">
        <v>3317</v>
      </c>
      <c r="F3919" s="21" t="s">
        <v>708</v>
      </c>
    </row>
    <row r="3920" customFormat="false" ht="15" hidden="false" customHeight="false" outlineLevel="0" collapsed="false">
      <c r="B3920" s="19" t="s">
        <v>5039</v>
      </c>
      <c r="C3920" s="20" t="n">
        <f aca="false">ROUND(2.08/FX,2)</f>
        <v>0.29</v>
      </c>
      <c r="D3920" s="21" t="s">
        <v>1670</v>
      </c>
      <c r="E3920" s="21" t="s">
        <v>716</v>
      </c>
      <c r="F3920" s="21" t="s">
        <v>708</v>
      </c>
    </row>
    <row r="3921" customFormat="false" ht="15" hidden="false" customHeight="false" outlineLevel="0" collapsed="false">
      <c r="B3921" s="19" t="s">
        <v>5040</v>
      </c>
      <c r="C3921" s="20" t="n">
        <f aca="false">ROUND(2.73/FX,2)</f>
        <v>0.38</v>
      </c>
      <c r="D3921" s="21" t="s">
        <v>1670</v>
      </c>
      <c r="E3921" s="21" t="s">
        <v>719</v>
      </c>
      <c r="F3921" s="21" t="s">
        <v>708</v>
      </c>
    </row>
    <row r="3922" customFormat="false" ht="15" hidden="false" customHeight="false" outlineLevel="0" collapsed="false">
      <c r="B3922" s="19" t="s">
        <v>5041</v>
      </c>
      <c r="C3922" s="20" t="n">
        <f aca="false">ROUND(2.73/FX,2)</f>
        <v>0.38</v>
      </c>
      <c r="D3922" s="21" t="s">
        <v>4482</v>
      </c>
      <c r="E3922" s="21" t="s">
        <v>707</v>
      </c>
      <c r="F3922" s="21" t="s">
        <v>708</v>
      </c>
    </row>
    <row r="3923" customFormat="false" ht="15" hidden="false" customHeight="false" outlineLevel="0" collapsed="false">
      <c r="B3923" s="19" t="s">
        <v>5042</v>
      </c>
      <c r="C3923" s="20" t="n">
        <f aca="false">ROUND(3.9/FX,2)</f>
        <v>0.54</v>
      </c>
      <c r="D3923" s="21" t="s">
        <v>4482</v>
      </c>
      <c r="E3923" s="21" t="s">
        <v>761</v>
      </c>
      <c r="F3923" s="21" t="s">
        <v>708</v>
      </c>
    </row>
    <row r="3924" customFormat="false" ht="15" hidden="false" customHeight="false" outlineLevel="0" collapsed="false">
      <c r="B3924" s="19" t="s">
        <v>5043</v>
      </c>
      <c r="C3924" s="20" t="n">
        <f aca="false">ROUND(4.55/FX,2)</f>
        <v>0.63</v>
      </c>
      <c r="D3924" s="21" t="s">
        <v>4482</v>
      </c>
      <c r="E3924" s="21" t="s">
        <v>4761</v>
      </c>
      <c r="F3924" s="21" t="s">
        <v>708</v>
      </c>
    </row>
    <row r="3925" customFormat="false" ht="15" hidden="false" customHeight="false" outlineLevel="0" collapsed="false">
      <c r="B3925" s="19" t="s">
        <v>5044</v>
      </c>
      <c r="C3925" s="20" t="n">
        <f aca="false">ROUND(4.29/FX,2)</f>
        <v>0.6</v>
      </c>
      <c r="D3925" s="21" t="s">
        <v>4482</v>
      </c>
      <c r="E3925" s="21" t="s">
        <v>714</v>
      </c>
      <c r="F3925" s="21" t="s">
        <v>708</v>
      </c>
    </row>
    <row r="3926" customFormat="false" ht="15" hidden="false" customHeight="false" outlineLevel="0" collapsed="false">
      <c r="B3926" s="19" t="s">
        <v>5045</v>
      </c>
      <c r="C3926" s="20" t="n">
        <f aca="false">ROUND(2.73/FX,2)</f>
        <v>0.38</v>
      </c>
      <c r="D3926" s="21" t="s">
        <v>4482</v>
      </c>
      <c r="E3926" s="21" t="s">
        <v>3247</v>
      </c>
      <c r="F3926" s="21" t="s">
        <v>708</v>
      </c>
    </row>
    <row r="3927" customFormat="false" ht="15" hidden="false" customHeight="false" outlineLevel="0" collapsed="false">
      <c r="B3927" s="19" t="s">
        <v>5046</v>
      </c>
      <c r="C3927" s="20" t="n">
        <f aca="false">ROUND(2.73/FX,2)</f>
        <v>0.38</v>
      </c>
      <c r="D3927" s="21" t="s">
        <v>4482</v>
      </c>
      <c r="E3927" s="21" t="s">
        <v>3317</v>
      </c>
      <c r="F3927" s="21" t="s">
        <v>708</v>
      </c>
    </row>
    <row r="3928" customFormat="false" ht="15" hidden="false" customHeight="false" outlineLevel="0" collapsed="false">
      <c r="B3928" s="19" t="s">
        <v>5047</v>
      </c>
      <c r="C3928" s="20" t="n">
        <f aca="false">ROUND(2.08/FX,2)</f>
        <v>0.29</v>
      </c>
      <c r="D3928" s="21" t="s">
        <v>4482</v>
      </c>
      <c r="E3928" s="21" t="s">
        <v>716</v>
      </c>
      <c r="F3928" s="21" t="s">
        <v>708</v>
      </c>
    </row>
    <row r="3929" customFormat="false" ht="15" hidden="false" customHeight="false" outlineLevel="0" collapsed="false">
      <c r="B3929" s="19" t="s">
        <v>5048</v>
      </c>
      <c r="C3929" s="20" t="n">
        <f aca="false">ROUND(2.73/FX,2)</f>
        <v>0.38</v>
      </c>
      <c r="D3929" s="21" t="s">
        <v>4482</v>
      </c>
      <c r="E3929" s="21" t="s">
        <v>719</v>
      </c>
      <c r="F3929" s="21" t="s">
        <v>708</v>
      </c>
    </row>
    <row r="3930" customFormat="false" ht="15" hidden="false" customHeight="false" outlineLevel="0" collapsed="false">
      <c r="B3930" s="19" t="s">
        <v>5049</v>
      </c>
      <c r="C3930" s="20" t="n">
        <f aca="false">ROUND(2.73/FX,2)</f>
        <v>0.38</v>
      </c>
      <c r="D3930" s="21" t="s">
        <v>1685</v>
      </c>
      <c r="E3930" s="21" t="s">
        <v>707</v>
      </c>
      <c r="F3930" s="21" t="s">
        <v>708</v>
      </c>
    </row>
    <row r="3931" customFormat="false" ht="15" hidden="false" customHeight="false" outlineLevel="0" collapsed="false">
      <c r="B3931" s="19" t="s">
        <v>5050</v>
      </c>
      <c r="C3931" s="20" t="n">
        <f aca="false">ROUND(2.73/FX,2)</f>
        <v>0.38</v>
      </c>
      <c r="D3931" s="21" t="s">
        <v>1685</v>
      </c>
      <c r="E3931" s="21" t="s">
        <v>761</v>
      </c>
      <c r="F3931" s="21" t="s">
        <v>708</v>
      </c>
    </row>
    <row r="3932" customFormat="false" ht="15" hidden="false" customHeight="false" outlineLevel="0" collapsed="false">
      <c r="B3932" s="19" t="s">
        <v>5051</v>
      </c>
      <c r="C3932" s="20" t="n">
        <f aca="false">ROUND(3.76/FX,2)</f>
        <v>0.52</v>
      </c>
      <c r="D3932" s="21" t="s">
        <v>1685</v>
      </c>
      <c r="E3932" s="21" t="s">
        <v>4761</v>
      </c>
      <c r="F3932" s="21" t="s">
        <v>708</v>
      </c>
    </row>
    <row r="3933" customFormat="false" ht="15" hidden="false" customHeight="false" outlineLevel="0" collapsed="false">
      <c r="B3933" s="19" t="s">
        <v>5052</v>
      </c>
      <c r="C3933" s="20" t="n">
        <f aca="false">ROUND(4.03/FX,2)</f>
        <v>0.56</v>
      </c>
      <c r="D3933" s="21" t="s">
        <v>1685</v>
      </c>
      <c r="E3933" s="21" t="s">
        <v>714</v>
      </c>
      <c r="F3933" s="21" t="s">
        <v>708</v>
      </c>
    </row>
    <row r="3934" customFormat="false" ht="15" hidden="false" customHeight="false" outlineLevel="0" collapsed="false">
      <c r="B3934" s="19" t="s">
        <v>5053</v>
      </c>
      <c r="C3934" s="20" t="n">
        <f aca="false">ROUND(2.73/FX,2)</f>
        <v>0.38</v>
      </c>
      <c r="D3934" s="21" t="s">
        <v>1685</v>
      </c>
      <c r="E3934" s="21" t="s">
        <v>3247</v>
      </c>
      <c r="F3934" s="21" t="s">
        <v>708</v>
      </c>
    </row>
    <row r="3935" customFormat="false" ht="15" hidden="false" customHeight="false" outlineLevel="0" collapsed="false">
      <c r="B3935" s="19" t="s">
        <v>5054</v>
      </c>
      <c r="C3935" s="20" t="n">
        <f aca="false">ROUND(2.73/FX,2)</f>
        <v>0.38</v>
      </c>
      <c r="D3935" s="21" t="s">
        <v>1685</v>
      </c>
      <c r="E3935" s="21" t="s">
        <v>3317</v>
      </c>
      <c r="F3935" s="21" t="s">
        <v>708</v>
      </c>
    </row>
    <row r="3936" customFormat="false" ht="15" hidden="false" customHeight="false" outlineLevel="0" collapsed="false">
      <c r="B3936" s="19" t="s">
        <v>5055</v>
      </c>
      <c r="C3936" s="20" t="n">
        <f aca="false">ROUND(2.08/FX,2)</f>
        <v>0.29</v>
      </c>
      <c r="D3936" s="21" t="s">
        <v>1685</v>
      </c>
      <c r="E3936" s="21" t="s">
        <v>716</v>
      </c>
      <c r="F3936" s="21" t="s">
        <v>708</v>
      </c>
    </row>
    <row r="3937" customFormat="false" ht="15" hidden="false" customHeight="false" outlineLevel="0" collapsed="false">
      <c r="B3937" s="19" t="s">
        <v>5056</v>
      </c>
      <c r="C3937" s="20" t="n">
        <f aca="false">ROUND(2.73/FX,2)</f>
        <v>0.38</v>
      </c>
      <c r="D3937" s="21" t="s">
        <v>1685</v>
      </c>
      <c r="E3937" s="21" t="s">
        <v>719</v>
      </c>
      <c r="F3937" s="21" t="s">
        <v>708</v>
      </c>
    </row>
    <row r="3938" customFormat="false" ht="15" hidden="false" customHeight="false" outlineLevel="0" collapsed="false">
      <c r="B3938" s="19" t="s">
        <v>5057</v>
      </c>
      <c r="C3938" s="20" t="n">
        <f aca="false">ROUND(1.43/FX,2)</f>
        <v>0.2</v>
      </c>
      <c r="D3938" s="21" t="s">
        <v>5058</v>
      </c>
      <c r="E3938" s="21" t="s">
        <v>707</v>
      </c>
      <c r="F3938" s="21" t="s">
        <v>708</v>
      </c>
    </row>
    <row r="3939" customFormat="false" ht="15" hidden="false" customHeight="false" outlineLevel="0" collapsed="false">
      <c r="B3939" s="19" t="s">
        <v>5059</v>
      </c>
      <c r="C3939" s="20" t="n">
        <f aca="false">ROUND(1.43/FX,2)</f>
        <v>0.2</v>
      </c>
      <c r="D3939" s="21" t="s">
        <v>5058</v>
      </c>
      <c r="E3939" s="21" t="s">
        <v>761</v>
      </c>
      <c r="F3939" s="21" t="s">
        <v>708</v>
      </c>
    </row>
    <row r="3940" customFormat="false" ht="15" hidden="false" customHeight="false" outlineLevel="0" collapsed="false">
      <c r="B3940" s="19" t="s">
        <v>5060</v>
      </c>
      <c r="C3940" s="20" t="n">
        <f aca="false">ROUND(1.43/FX,2)</f>
        <v>0.2</v>
      </c>
      <c r="D3940" s="21" t="s">
        <v>5058</v>
      </c>
      <c r="E3940" s="21" t="s">
        <v>4761</v>
      </c>
      <c r="F3940" s="21" t="s">
        <v>708</v>
      </c>
    </row>
    <row r="3941" customFormat="false" ht="15" hidden="false" customHeight="false" outlineLevel="0" collapsed="false">
      <c r="B3941" s="19" t="s">
        <v>5061</v>
      </c>
      <c r="C3941" s="20" t="n">
        <f aca="false">ROUND(4.03/FX,2)</f>
        <v>0.56</v>
      </c>
      <c r="D3941" s="21" t="s">
        <v>5058</v>
      </c>
      <c r="E3941" s="21" t="s">
        <v>714</v>
      </c>
      <c r="F3941" s="21" t="s">
        <v>708</v>
      </c>
    </row>
    <row r="3942" customFormat="false" ht="15" hidden="false" customHeight="false" outlineLevel="0" collapsed="false">
      <c r="B3942" s="19" t="s">
        <v>5062</v>
      </c>
      <c r="C3942" s="20" t="n">
        <f aca="false">ROUND(1.43/FX,2)</f>
        <v>0.2</v>
      </c>
      <c r="D3942" s="21" t="s">
        <v>5058</v>
      </c>
      <c r="E3942" s="21" t="s">
        <v>3247</v>
      </c>
      <c r="F3942" s="21" t="s">
        <v>708</v>
      </c>
    </row>
    <row r="3943" customFormat="false" ht="15" hidden="false" customHeight="false" outlineLevel="0" collapsed="false">
      <c r="B3943" s="19" t="s">
        <v>5063</v>
      </c>
      <c r="C3943" s="20" t="n">
        <f aca="false">ROUND(1.43/FX,2)</f>
        <v>0.2</v>
      </c>
      <c r="D3943" s="21" t="s">
        <v>5058</v>
      </c>
      <c r="E3943" s="21" t="s">
        <v>3317</v>
      </c>
      <c r="F3943" s="21" t="s">
        <v>708</v>
      </c>
    </row>
    <row r="3944" customFormat="false" ht="15" hidden="false" customHeight="false" outlineLevel="0" collapsed="false">
      <c r="B3944" s="19" t="s">
        <v>5064</v>
      </c>
      <c r="C3944" s="20" t="n">
        <f aca="false">ROUND(1.43/FX,2)</f>
        <v>0.2</v>
      </c>
      <c r="D3944" s="21" t="s">
        <v>5058</v>
      </c>
      <c r="E3944" s="21" t="s">
        <v>716</v>
      </c>
      <c r="F3944" s="21" t="s">
        <v>708</v>
      </c>
    </row>
    <row r="3945" customFormat="false" ht="15" hidden="false" customHeight="false" outlineLevel="0" collapsed="false">
      <c r="B3945" s="19" t="s">
        <v>5065</v>
      </c>
      <c r="C3945" s="20" t="n">
        <f aca="false">ROUND(1.43/FX,2)</f>
        <v>0.2</v>
      </c>
      <c r="D3945" s="21" t="s">
        <v>5058</v>
      </c>
      <c r="E3945" s="21" t="s">
        <v>719</v>
      </c>
      <c r="F3945" s="21" t="s">
        <v>708</v>
      </c>
    </row>
    <row r="3946" customFormat="false" ht="15" hidden="false" customHeight="false" outlineLevel="0" collapsed="false">
      <c r="B3946" s="19" t="s">
        <v>5066</v>
      </c>
      <c r="C3946" s="20" t="n">
        <f aca="false">ROUND(2.73/FX,2)</f>
        <v>0.38</v>
      </c>
      <c r="D3946" s="21" t="s">
        <v>1982</v>
      </c>
      <c r="E3946" s="21" t="s">
        <v>707</v>
      </c>
      <c r="F3946" s="21" t="s">
        <v>708</v>
      </c>
    </row>
    <row r="3947" customFormat="false" ht="15" hidden="false" customHeight="false" outlineLevel="0" collapsed="false">
      <c r="B3947" s="19" t="s">
        <v>5067</v>
      </c>
      <c r="C3947" s="20" t="n">
        <f aca="false">ROUND(2.73/FX,2)</f>
        <v>0.38</v>
      </c>
      <c r="D3947" s="21" t="s">
        <v>1982</v>
      </c>
      <c r="E3947" s="21" t="s">
        <v>761</v>
      </c>
      <c r="F3947" s="21" t="s">
        <v>708</v>
      </c>
    </row>
    <row r="3948" customFormat="false" ht="15" hidden="false" customHeight="false" outlineLevel="0" collapsed="false">
      <c r="B3948" s="19" t="s">
        <v>5068</v>
      </c>
      <c r="C3948" s="20" t="n">
        <f aca="false">ROUND(4.68/FX,2)</f>
        <v>0.65</v>
      </c>
      <c r="D3948" s="21" t="s">
        <v>1982</v>
      </c>
      <c r="E3948" s="21" t="s">
        <v>4761</v>
      </c>
      <c r="F3948" s="21" t="s">
        <v>708</v>
      </c>
    </row>
    <row r="3949" customFormat="false" ht="15" hidden="false" customHeight="false" outlineLevel="0" collapsed="false">
      <c r="B3949" s="19" t="s">
        <v>5069</v>
      </c>
      <c r="C3949" s="20" t="n">
        <f aca="false">ROUND(4.46/FX,2)</f>
        <v>0.62</v>
      </c>
      <c r="D3949" s="21" t="s">
        <v>1982</v>
      </c>
      <c r="E3949" s="21" t="s">
        <v>714</v>
      </c>
      <c r="F3949" s="21" t="s">
        <v>708</v>
      </c>
    </row>
    <row r="3950" customFormat="false" ht="15" hidden="false" customHeight="false" outlineLevel="0" collapsed="false">
      <c r="B3950" s="19" t="s">
        <v>5070</v>
      </c>
      <c r="C3950" s="20" t="n">
        <f aca="false">ROUND(2.73/FX,2)</f>
        <v>0.38</v>
      </c>
      <c r="D3950" s="21" t="s">
        <v>1982</v>
      </c>
      <c r="E3950" s="21" t="s">
        <v>3247</v>
      </c>
      <c r="F3950" s="21" t="s">
        <v>708</v>
      </c>
    </row>
    <row r="3951" customFormat="false" ht="15" hidden="false" customHeight="false" outlineLevel="0" collapsed="false">
      <c r="B3951" s="19" t="s">
        <v>5071</v>
      </c>
      <c r="C3951" s="20" t="n">
        <f aca="false">ROUND(2.73/FX,2)</f>
        <v>0.38</v>
      </c>
      <c r="D3951" s="21" t="s">
        <v>1982</v>
      </c>
      <c r="E3951" s="21" t="s">
        <v>3317</v>
      </c>
      <c r="F3951" s="21" t="s">
        <v>708</v>
      </c>
    </row>
    <row r="3952" customFormat="false" ht="15" hidden="false" customHeight="false" outlineLevel="0" collapsed="false">
      <c r="B3952" s="19" t="s">
        <v>5072</v>
      </c>
      <c r="C3952" s="20" t="n">
        <f aca="false">ROUND(2.08/FX,2)</f>
        <v>0.29</v>
      </c>
      <c r="D3952" s="21" t="s">
        <v>1982</v>
      </c>
      <c r="E3952" s="21" t="s">
        <v>716</v>
      </c>
      <c r="F3952" s="21" t="s">
        <v>708</v>
      </c>
    </row>
    <row r="3953" customFormat="false" ht="15" hidden="false" customHeight="false" outlineLevel="0" collapsed="false">
      <c r="B3953" s="19" t="s">
        <v>5073</v>
      </c>
      <c r="C3953" s="20" t="n">
        <f aca="false">ROUND(2.73/FX,2)</f>
        <v>0.38</v>
      </c>
      <c r="D3953" s="21" t="s">
        <v>1982</v>
      </c>
      <c r="E3953" s="21" t="s">
        <v>719</v>
      </c>
      <c r="F3953" s="21" t="s">
        <v>708</v>
      </c>
    </row>
    <row r="3954" customFormat="false" ht="15" hidden="false" customHeight="false" outlineLevel="0" collapsed="false">
      <c r="B3954" s="19" t="s">
        <v>5074</v>
      </c>
      <c r="C3954" s="20" t="n">
        <f aca="false">ROUND(1.43/FX,2)</f>
        <v>0.2</v>
      </c>
      <c r="D3954" s="21" t="s">
        <v>5075</v>
      </c>
      <c r="E3954" s="21" t="s">
        <v>707</v>
      </c>
      <c r="F3954" s="21" t="s">
        <v>708</v>
      </c>
    </row>
    <row r="3955" customFormat="false" ht="15" hidden="false" customHeight="false" outlineLevel="0" collapsed="false">
      <c r="B3955" s="19" t="s">
        <v>5076</v>
      </c>
      <c r="C3955" s="20" t="n">
        <f aca="false">ROUND(1.43/FX,2)</f>
        <v>0.2</v>
      </c>
      <c r="D3955" s="21" t="s">
        <v>5075</v>
      </c>
      <c r="E3955" s="21" t="s">
        <v>761</v>
      </c>
      <c r="F3955" s="21" t="s">
        <v>708</v>
      </c>
    </row>
    <row r="3956" customFormat="false" ht="15" hidden="false" customHeight="false" outlineLevel="0" collapsed="false">
      <c r="B3956" s="19" t="s">
        <v>5077</v>
      </c>
      <c r="C3956" s="20" t="n">
        <f aca="false">ROUND(1.43/FX,2)</f>
        <v>0.2</v>
      </c>
      <c r="D3956" s="21" t="s">
        <v>5075</v>
      </c>
      <c r="E3956" s="21" t="s">
        <v>4761</v>
      </c>
      <c r="F3956" s="21" t="s">
        <v>708</v>
      </c>
    </row>
    <row r="3957" customFormat="false" ht="15" hidden="false" customHeight="false" outlineLevel="0" collapsed="false">
      <c r="B3957" s="19" t="s">
        <v>5078</v>
      </c>
      <c r="C3957" s="20" t="n">
        <f aca="false">ROUND(4.16/FX,2)</f>
        <v>0.58</v>
      </c>
      <c r="D3957" s="21" t="s">
        <v>5075</v>
      </c>
      <c r="E3957" s="21" t="s">
        <v>714</v>
      </c>
      <c r="F3957" s="21" t="s">
        <v>708</v>
      </c>
    </row>
    <row r="3958" customFormat="false" ht="15" hidden="false" customHeight="false" outlineLevel="0" collapsed="false">
      <c r="B3958" s="19" t="s">
        <v>5079</v>
      </c>
      <c r="C3958" s="20" t="n">
        <f aca="false">ROUND(1.43/FX,2)</f>
        <v>0.2</v>
      </c>
      <c r="D3958" s="21" t="s">
        <v>5075</v>
      </c>
      <c r="E3958" s="21" t="s">
        <v>3247</v>
      </c>
      <c r="F3958" s="21" t="s">
        <v>708</v>
      </c>
    </row>
    <row r="3959" customFormat="false" ht="15" hidden="false" customHeight="false" outlineLevel="0" collapsed="false">
      <c r="B3959" s="19" t="s">
        <v>5080</v>
      </c>
      <c r="C3959" s="20" t="n">
        <f aca="false">ROUND(1.43/FX,2)</f>
        <v>0.2</v>
      </c>
      <c r="D3959" s="21" t="s">
        <v>5075</v>
      </c>
      <c r="E3959" s="21" t="s">
        <v>3317</v>
      </c>
      <c r="F3959" s="21" t="s">
        <v>708</v>
      </c>
    </row>
    <row r="3960" customFormat="false" ht="15" hidden="false" customHeight="false" outlineLevel="0" collapsed="false">
      <c r="B3960" s="19" t="s">
        <v>5081</v>
      </c>
      <c r="C3960" s="20" t="n">
        <f aca="false">ROUND(1.43/FX,2)</f>
        <v>0.2</v>
      </c>
      <c r="D3960" s="21" t="s">
        <v>5075</v>
      </c>
      <c r="E3960" s="21" t="s">
        <v>716</v>
      </c>
      <c r="F3960" s="21" t="s">
        <v>708</v>
      </c>
    </row>
    <row r="3961" customFormat="false" ht="15" hidden="false" customHeight="false" outlineLevel="0" collapsed="false">
      <c r="B3961" s="19" t="s">
        <v>5082</v>
      </c>
      <c r="C3961" s="20" t="n">
        <f aca="false">ROUND(1.43/FX,2)</f>
        <v>0.2</v>
      </c>
      <c r="D3961" s="21" t="s">
        <v>5075</v>
      </c>
      <c r="E3961" s="21" t="s">
        <v>719</v>
      </c>
      <c r="F3961" s="21" t="s">
        <v>708</v>
      </c>
    </row>
    <row r="3962" customFormat="false" ht="28.35" hidden="false" customHeight="false" outlineLevel="0" collapsed="false">
      <c r="B3962" s="19" t="s">
        <v>5083</v>
      </c>
      <c r="C3962" s="20" t="n">
        <f aca="false">ROUND(2.6/FX,2)</f>
        <v>0.36</v>
      </c>
      <c r="D3962" s="21" t="s">
        <v>1470</v>
      </c>
      <c r="E3962" s="21" t="s">
        <v>714</v>
      </c>
      <c r="F3962" s="21" t="s">
        <v>5084</v>
      </c>
    </row>
    <row r="3963" customFormat="false" ht="28.35" hidden="false" customHeight="false" outlineLevel="0" collapsed="false">
      <c r="B3963" s="19" t="s">
        <v>5085</v>
      </c>
      <c r="C3963" s="20" t="n">
        <f aca="false">ROUND(2.6/FX,2)</f>
        <v>0.36</v>
      </c>
      <c r="D3963" s="21" t="s">
        <v>1470</v>
      </c>
      <c r="E3963" s="21" t="s">
        <v>3317</v>
      </c>
      <c r="F3963" s="21" t="s">
        <v>5084</v>
      </c>
    </row>
    <row r="3964" customFormat="false" ht="28.35" hidden="false" customHeight="false" outlineLevel="0" collapsed="false">
      <c r="B3964" s="19" t="s">
        <v>5086</v>
      </c>
      <c r="C3964" s="20" t="n">
        <f aca="false">ROUND(4.55/FX,2)</f>
        <v>0.63</v>
      </c>
      <c r="D3964" s="21" t="s">
        <v>4908</v>
      </c>
      <c r="E3964" s="21" t="s">
        <v>714</v>
      </c>
      <c r="F3964" s="21" t="s">
        <v>5084</v>
      </c>
    </row>
    <row r="3965" customFormat="false" ht="28.35" hidden="false" customHeight="false" outlineLevel="0" collapsed="false">
      <c r="B3965" s="19" t="s">
        <v>5087</v>
      </c>
      <c r="C3965" s="20" t="n">
        <f aca="false">ROUND(2.6/FX,2)</f>
        <v>0.36</v>
      </c>
      <c r="D3965" s="21" t="s">
        <v>4908</v>
      </c>
      <c r="E3965" s="21" t="s">
        <v>3317</v>
      </c>
      <c r="F3965" s="21" t="s">
        <v>5084</v>
      </c>
    </row>
    <row r="3968" customFormat="false" ht="61.5" hidden="false" customHeight="true" outlineLevel="0" collapsed="false">
      <c r="A3968" s="9"/>
      <c r="B3968" s="10" t="s">
        <v>5088</v>
      </c>
      <c r="C3968" s="10"/>
      <c r="D3968" s="10"/>
      <c r="E3968" s="10"/>
      <c r="F3968" s="10"/>
    </row>
    <row r="3969" customFormat="false" ht="15" hidden="false" customHeight="false" outlineLevel="0" collapsed="false">
      <c r="A3969" s="12" t="s">
        <v>700</v>
      </c>
      <c r="B3969" s="13" t="s">
        <v>701</v>
      </c>
      <c r="C3969" s="13" t="s">
        <v>702</v>
      </c>
      <c r="D3969" s="13" t="s">
        <v>830</v>
      </c>
      <c r="E3969" s="13" t="s">
        <v>703</v>
      </c>
      <c r="F3969" s="13" t="s">
        <v>704</v>
      </c>
    </row>
    <row r="3970" customFormat="false" ht="30" hidden="false" customHeight="true" outlineLevel="0" collapsed="false">
      <c r="A3970" s="14" t="s">
        <v>706</v>
      </c>
      <c r="B3970" s="15" t="str">
        <f aca="false">IF(COUNTIFS($D$3973:$D$4360,IF(D3970="","*",D3970),$E$3973:$E$4360,IF(E3970="","*",E3970),$F$3973:$F$4360,IF(F3970="","*",F3970))=1,INDEX($B:$B,SUMPRODUCT(((D3970="")+($D$3973:$D$4360=D3970)&gt;0)*((E3970="")+($E$3973:$E$4360=E3970)&gt;0)*((F3970="")+($F$3973:$F$4360=F3970)&gt;0)*ROW($B$3973:$B$4360))),IF(COUNTIFS($D$3973:$D$4360,IF(D3970="","*",D3970),$E$3973:$E$4360,IF(E3970="","*",E3970),$F$3973:$F$4360,IF(F3970="","*",F3970))=0,"Not available",COUNTIFS($D$3973:$D$4360,IF(D3970="","*",D3970),$E$3973:$E$4360,IF(E3970="","*",E3970),$F$3973:$F$4360,IF(F3970="","*",F3970))&amp;" match, keep choosing"))</f>
        <v>5M-400-10</v>
      </c>
      <c r="C3970" s="16" t="n">
        <f aca="false">IF(COUNTIFS($D$3973:$D$4360,IF(D3970="","*",D3970),$E$3973:$E$4360,IF(E3970="","*",E3970),$F$3973:$F$4360,IF(F3970="","*",F3970))=1,INDEX($C:$C,SUMPRODUCT(((D3970="")+($D$3973:$D$4360=D3970)&gt;0)*((E3970="")+($E$3973:$E$4360=E3970)&gt;0)*((F3970="")+($F$3973:$F$4360=F3970)&gt;0)*ROW($B$3973:$B$4360))),"")</f>
        <v>0.36</v>
      </c>
      <c r="D3970" s="17" t="s">
        <v>2002</v>
      </c>
      <c r="E3970" s="17" t="s">
        <v>707</v>
      </c>
      <c r="F3970" s="17" t="s">
        <v>708</v>
      </c>
    </row>
    <row r="3972" customFormat="false" ht="15" hidden="false" customHeight="false" outlineLevel="0" collapsed="false">
      <c r="B3972" s="18" t="s">
        <v>701</v>
      </c>
      <c r="C3972" s="18" t="s">
        <v>702</v>
      </c>
      <c r="D3972" s="18" t="s">
        <v>830</v>
      </c>
      <c r="E3972" s="18" t="s">
        <v>703</v>
      </c>
      <c r="F3972" s="18" t="s">
        <v>704</v>
      </c>
    </row>
    <row r="3973" customFormat="false" ht="15" hidden="false" customHeight="false" outlineLevel="0" collapsed="false">
      <c r="B3973" s="19" t="s">
        <v>5089</v>
      </c>
      <c r="C3973" s="20" t="n">
        <f aca="false">ROUND(2.6/FX,2)</f>
        <v>0.36</v>
      </c>
      <c r="D3973" s="21" t="s">
        <v>2002</v>
      </c>
      <c r="E3973" s="21" t="s">
        <v>707</v>
      </c>
      <c r="F3973" s="21" t="s">
        <v>708</v>
      </c>
    </row>
    <row r="3974" customFormat="false" ht="15" hidden="false" customHeight="false" outlineLevel="0" collapsed="false">
      <c r="B3974" s="19" t="s">
        <v>5090</v>
      </c>
      <c r="C3974" s="20" t="n">
        <f aca="false">ROUND(3.9/FX,2)</f>
        <v>0.54</v>
      </c>
      <c r="D3974" s="21" t="s">
        <v>2002</v>
      </c>
      <c r="E3974" s="21" t="s">
        <v>5091</v>
      </c>
      <c r="F3974" s="21" t="s">
        <v>708</v>
      </c>
    </row>
    <row r="3975" customFormat="false" ht="15" hidden="false" customHeight="false" outlineLevel="0" collapsed="false">
      <c r="B3975" s="19" t="s">
        <v>5092</v>
      </c>
      <c r="C3975" s="20" t="n">
        <f aca="false">ROUND(3.38/FX,2)</f>
        <v>0.47</v>
      </c>
      <c r="D3975" s="21" t="s">
        <v>2002</v>
      </c>
      <c r="E3975" s="21" t="s">
        <v>4761</v>
      </c>
      <c r="F3975" s="21" t="s">
        <v>708</v>
      </c>
    </row>
    <row r="3976" customFormat="false" ht="15" hidden="false" customHeight="false" outlineLevel="0" collapsed="false">
      <c r="B3976" s="19" t="s">
        <v>5093</v>
      </c>
      <c r="C3976" s="20" t="n">
        <f aca="false">ROUND(2.08/FX,2)</f>
        <v>0.29</v>
      </c>
      <c r="D3976" s="21" t="s">
        <v>2002</v>
      </c>
      <c r="E3976" s="21" t="s">
        <v>4721</v>
      </c>
      <c r="F3976" s="21" t="s">
        <v>708</v>
      </c>
    </row>
    <row r="3977" customFormat="false" ht="15" hidden="false" customHeight="false" outlineLevel="0" collapsed="false">
      <c r="B3977" s="19" t="s">
        <v>5094</v>
      </c>
      <c r="C3977" s="20" t="n">
        <f aca="false">ROUND(4.16/FX,2)</f>
        <v>0.58</v>
      </c>
      <c r="D3977" s="21" t="s">
        <v>2002</v>
      </c>
      <c r="E3977" s="21" t="s">
        <v>714</v>
      </c>
      <c r="F3977" s="21" t="s">
        <v>708</v>
      </c>
    </row>
    <row r="3978" customFormat="false" ht="15" hidden="false" customHeight="false" outlineLevel="0" collapsed="false">
      <c r="B3978" s="19" t="s">
        <v>5095</v>
      </c>
      <c r="C3978" s="20" t="n">
        <f aca="false">ROUND(2.08/FX,2)</f>
        <v>0.29</v>
      </c>
      <c r="D3978" s="21" t="s">
        <v>2002</v>
      </c>
      <c r="E3978" s="21" t="s">
        <v>3247</v>
      </c>
      <c r="F3978" s="21" t="s">
        <v>708</v>
      </c>
    </row>
    <row r="3979" customFormat="false" ht="15" hidden="false" customHeight="false" outlineLevel="0" collapsed="false">
      <c r="B3979" s="19" t="s">
        <v>5096</v>
      </c>
      <c r="C3979" s="20" t="n">
        <f aca="false">ROUND(2.08/FX,2)</f>
        <v>0.29</v>
      </c>
      <c r="D3979" s="21" t="s">
        <v>2002</v>
      </c>
      <c r="E3979" s="21" t="s">
        <v>5097</v>
      </c>
      <c r="F3979" s="21" t="s">
        <v>708</v>
      </c>
    </row>
    <row r="3980" customFormat="false" ht="15" hidden="false" customHeight="false" outlineLevel="0" collapsed="false">
      <c r="B3980" s="19" t="s">
        <v>5098</v>
      </c>
      <c r="C3980" s="20" t="n">
        <f aca="false">ROUND(6.93/FX,2)</f>
        <v>0.96</v>
      </c>
      <c r="D3980" s="21" t="s">
        <v>2002</v>
      </c>
      <c r="E3980" s="21" t="s">
        <v>3317</v>
      </c>
      <c r="F3980" s="21" t="s">
        <v>708</v>
      </c>
    </row>
    <row r="3981" customFormat="false" ht="15" hidden="false" customHeight="false" outlineLevel="0" collapsed="false">
      <c r="B3981" s="19" t="s">
        <v>5099</v>
      </c>
      <c r="C3981" s="20" t="n">
        <f aca="false">ROUND(1.95/FX,2)</f>
        <v>0.27</v>
      </c>
      <c r="D3981" s="21" t="s">
        <v>2002</v>
      </c>
      <c r="E3981" s="21" t="s">
        <v>784</v>
      </c>
      <c r="F3981" s="21" t="s">
        <v>708</v>
      </c>
    </row>
    <row r="3982" customFormat="false" ht="15" hidden="false" customHeight="false" outlineLevel="0" collapsed="false">
      <c r="B3982" s="19" t="s">
        <v>5100</v>
      </c>
      <c r="C3982" s="20" t="n">
        <f aca="false">ROUND(1.95/FX,2)</f>
        <v>0.27</v>
      </c>
      <c r="D3982" s="21" t="s">
        <v>2002</v>
      </c>
      <c r="E3982" s="21" t="s">
        <v>3328</v>
      </c>
      <c r="F3982" s="21" t="s">
        <v>708</v>
      </c>
    </row>
    <row r="3983" customFormat="false" ht="15" hidden="false" customHeight="false" outlineLevel="0" collapsed="false">
      <c r="B3983" s="19" t="s">
        <v>5101</v>
      </c>
      <c r="C3983" s="20" t="n">
        <f aca="false">ROUND(1.95/FX,2)</f>
        <v>0.27</v>
      </c>
      <c r="D3983" s="21" t="s">
        <v>2002</v>
      </c>
      <c r="E3983" s="21" t="s">
        <v>716</v>
      </c>
      <c r="F3983" s="21" t="s">
        <v>708</v>
      </c>
    </row>
    <row r="3984" customFormat="false" ht="15" hidden="false" customHeight="false" outlineLevel="0" collapsed="false">
      <c r="B3984" s="19" t="s">
        <v>5102</v>
      </c>
      <c r="C3984" s="20" t="n">
        <f aca="false">ROUND(2.21/FX,2)</f>
        <v>0.31</v>
      </c>
      <c r="D3984" s="21" t="s">
        <v>2002</v>
      </c>
      <c r="E3984" s="21" t="s">
        <v>719</v>
      </c>
      <c r="F3984" s="21" t="s">
        <v>708</v>
      </c>
    </row>
    <row r="3985" customFormat="false" ht="15" hidden="false" customHeight="false" outlineLevel="0" collapsed="false">
      <c r="B3985" s="19" t="s">
        <v>5103</v>
      </c>
      <c r="C3985" s="20" t="n">
        <f aca="false">ROUND(1.95/FX,2)</f>
        <v>0.27</v>
      </c>
      <c r="D3985" s="21" t="s">
        <v>3366</v>
      </c>
      <c r="E3985" s="21" t="s">
        <v>707</v>
      </c>
      <c r="F3985" s="21" t="s">
        <v>708</v>
      </c>
    </row>
    <row r="3986" customFormat="false" ht="15" hidden="false" customHeight="false" outlineLevel="0" collapsed="false">
      <c r="B3986" s="19" t="s">
        <v>5104</v>
      </c>
      <c r="C3986" s="20" t="n">
        <f aca="false">ROUND(1.95/FX,2)</f>
        <v>0.27</v>
      </c>
      <c r="D3986" s="21" t="s">
        <v>3366</v>
      </c>
      <c r="E3986" s="21" t="s">
        <v>5091</v>
      </c>
      <c r="F3986" s="21" t="s">
        <v>708</v>
      </c>
    </row>
    <row r="3987" customFormat="false" ht="15" hidden="false" customHeight="false" outlineLevel="0" collapsed="false">
      <c r="B3987" s="19" t="s">
        <v>5105</v>
      </c>
      <c r="C3987" s="20" t="n">
        <f aca="false">ROUND(1.95/FX,2)</f>
        <v>0.27</v>
      </c>
      <c r="D3987" s="21" t="s">
        <v>3366</v>
      </c>
      <c r="E3987" s="21" t="s">
        <v>4761</v>
      </c>
      <c r="F3987" s="21" t="s">
        <v>708</v>
      </c>
    </row>
    <row r="3988" customFormat="false" ht="15" hidden="false" customHeight="false" outlineLevel="0" collapsed="false">
      <c r="B3988" s="19" t="s">
        <v>5106</v>
      </c>
      <c r="C3988" s="20" t="n">
        <f aca="false">ROUND(1.95/FX,2)</f>
        <v>0.27</v>
      </c>
      <c r="D3988" s="21" t="s">
        <v>3366</v>
      </c>
      <c r="E3988" s="21" t="s">
        <v>4721</v>
      </c>
      <c r="F3988" s="21" t="s">
        <v>708</v>
      </c>
    </row>
    <row r="3989" customFormat="false" ht="15" hidden="false" customHeight="false" outlineLevel="0" collapsed="false">
      <c r="B3989" s="19" t="s">
        <v>5107</v>
      </c>
      <c r="C3989" s="20" t="n">
        <f aca="false">ROUND(4.29/FX,2)</f>
        <v>0.6</v>
      </c>
      <c r="D3989" s="21" t="s">
        <v>3366</v>
      </c>
      <c r="E3989" s="21" t="s">
        <v>714</v>
      </c>
      <c r="F3989" s="21" t="s">
        <v>708</v>
      </c>
    </row>
    <row r="3990" customFormat="false" ht="15" hidden="false" customHeight="false" outlineLevel="0" collapsed="false">
      <c r="B3990" s="19" t="s">
        <v>5108</v>
      </c>
      <c r="C3990" s="20" t="n">
        <f aca="false">ROUND(1.95/FX,2)</f>
        <v>0.27</v>
      </c>
      <c r="D3990" s="21" t="s">
        <v>3366</v>
      </c>
      <c r="E3990" s="21" t="s">
        <v>3247</v>
      </c>
      <c r="F3990" s="21" t="s">
        <v>708</v>
      </c>
    </row>
    <row r="3991" customFormat="false" ht="15" hidden="false" customHeight="false" outlineLevel="0" collapsed="false">
      <c r="B3991" s="19" t="s">
        <v>5109</v>
      </c>
      <c r="C3991" s="20" t="n">
        <f aca="false">ROUND(1.95/FX,2)</f>
        <v>0.27</v>
      </c>
      <c r="D3991" s="21" t="s">
        <v>3366</v>
      </c>
      <c r="E3991" s="21" t="s">
        <v>5097</v>
      </c>
      <c r="F3991" s="21" t="s">
        <v>708</v>
      </c>
    </row>
    <row r="3992" customFormat="false" ht="15" hidden="false" customHeight="false" outlineLevel="0" collapsed="false">
      <c r="B3992" s="19" t="s">
        <v>5110</v>
      </c>
      <c r="C3992" s="20" t="n">
        <f aca="false">ROUND(1.95/FX,2)</f>
        <v>0.27</v>
      </c>
      <c r="D3992" s="21" t="s">
        <v>3366</v>
      </c>
      <c r="E3992" s="21" t="s">
        <v>3317</v>
      </c>
      <c r="F3992" s="21" t="s">
        <v>708</v>
      </c>
    </row>
    <row r="3993" customFormat="false" ht="15" hidden="false" customHeight="false" outlineLevel="0" collapsed="false">
      <c r="B3993" s="19" t="s">
        <v>5111</v>
      </c>
      <c r="C3993" s="20" t="n">
        <f aca="false">ROUND(1.95/FX,2)</f>
        <v>0.27</v>
      </c>
      <c r="D3993" s="21" t="s">
        <v>3366</v>
      </c>
      <c r="E3993" s="21" t="s">
        <v>784</v>
      </c>
      <c r="F3993" s="21" t="s">
        <v>708</v>
      </c>
    </row>
    <row r="3994" customFormat="false" ht="15" hidden="false" customHeight="false" outlineLevel="0" collapsed="false">
      <c r="B3994" s="19" t="s">
        <v>5112</v>
      </c>
      <c r="C3994" s="20" t="n">
        <f aca="false">ROUND(1.95/FX,2)</f>
        <v>0.27</v>
      </c>
      <c r="D3994" s="21" t="s">
        <v>3366</v>
      </c>
      <c r="E3994" s="21" t="s">
        <v>3328</v>
      </c>
      <c r="F3994" s="21" t="s">
        <v>708</v>
      </c>
    </row>
    <row r="3995" customFormat="false" ht="15" hidden="false" customHeight="false" outlineLevel="0" collapsed="false">
      <c r="B3995" s="19" t="s">
        <v>5113</v>
      </c>
      <c r="C3995" s="20" t="n">
        <f aca="false">ROUND(1.95/FX,2)</f>
        <v>0.27</v>
      </c>
      <c r="D3995" s="21" t="s">
        <v>3366</v>
      </c>
      <c r="E3995" s="21" t="s">
        <v>716</v>
      </c>
      <c r="F3995" s="21" t="s">
        <v>708</v>
      </c>
    </row>
    <row r="3996" customFormat="false" ht="15" hidden="false" customHeight="false" outlineLevel="0" collapsed="false">
      <c r="B3996" s="19" t="s">
        <v>5114</v>
      </c>
      <c r="C3996" s="20" t="n">
        <f aca="false">ROUND(1.95/FX,2)</f>
        <v>0.27</v>
      </c>
      <c r="D3996" s="21" t="s">
        <v>3366</v>
      </c>
      <c r="E3996" s="21" t="s">
        <v>719</v>
      </c>
      <c r="F3996" s="21" t="s">
        <v>708</v>
      </c>
    </row>
    <row r="3997" customFormat="false" ht="15" hidden="false" customHeight="false" outlineLevel="0" collapsed="false">
      <c r="B3997" s="19" t="s">
        <v>5115</v>
      </c>
      <c r="C3997" s="20" t="n">
        <f aca="false">ROUND(2.6/FX,2)</f>
        <v>0.36</v>
      </c>
      <c r="D3997" s="21" t="s">
        <v>2017</v>
      </c>
      <c r="E3997" s="21" t="s">
        <v>707</v>
      </c>
      <c r="F3997" s="21" t="s">
        <v>708</v>
      </c>
    </row>
    <row r="3998" customFormat="false" ht="15" hidden="false" customHeight="false" outlineLevel="0" collapsed="false">
      <c r="B3998" s="19" t="s">
        <v>5116</v>
      </c>
      <c r="C3998" s="20" t="n">
        <f aca="false">ROUND(3.9/FX,2)</f>
        <v>0.54</v>
      </c>
      <c r="D3998" s="21" t="s">
        <v>2017</v>
      </c>
      <c r="E3998" s="21" t="s">
        <v>5091</v>
      </c>
      <c r="F3998" s="21" t="s">
        <v>708</v>
      </c>
    </row>
    <row r="3999" customFormat="false" ht="15" hidden="false" customHeight="false" outlineLevel="0" collapsed="false">
      <c r="B3999" s="19" t="s">
        <v>5117</v>
      </c>
      <c r="C3999" s="20" t="n">
        <f aca="false">ROUND(3.38/FX,2)</f>
        <v>0.47</v>
      </c>
      <c r="D3999" s="21" t="s">
        <v>2017</v>
      </c>
      <c r="E3999" s="21" t="s">
        <v>4761</v>
      </c>
      <c r="F3999" s="21" t="s">
        <v>708</v>
      </c>
    </row>
    <row r="4000" customFormat="false" ht="15" hidden="false" customHeight="false" outlineLevel="0" collapsed="false">
      <c r="B4000" s="19" t="s">
        <v>5118</v>
      </c>
      <c r="C4000" s="20" t="n">
        <f aca="false">ROUND(2.08/FX,2)</f>
        <v>0.29</v>
      </c>
      <c r="D4000" s="21" t="s">
        <v>2017</v>
      </c>
      <c r="E4000" s="21" t="s">
        <v>4721</v>
      </c>
      <c r="F4000" s="21" t="s">
        <v>708</v>
      </c>
    </row>
    <row r="4001" customFormat="false" ht="15" hidden="false" customHeight="false" outlineLevel="0" collapsed="false">
      <c r="B4001" s="19" t="s">
        <v>5119</v>
      </c>
      <c r="C4001" s="20" t="n">
        <f aca="false">ROUND(4.55/FX,2)</f>
        <v>0.63</v>
      </c>
      <c r="D4001" s="21" t="s">
        <v>2017</v>
      </c>
      <c r="E4001" s="21" t="s">
        <v>714</v>
      </c>
      <c r="F4001" s="21" t="s">
        <v>708</v>
      </c>
    </row>
    <row r="4002" customFormat="false" ht="15" hidden="false" customHeight="false" outlineLevel="0" collapsed="false">
      <c r="B4002" s="19" t="s">
        <v>5120</v>
      </c>
      <c r="C4002" s="20" t="n">
        <f aca="false">ROUND(2.08/FX,2)</f>
        <v>0.29</v>
      </c>
      <c r="D4002" s="21" t="s">
        <v>2017</v>
      </c>
      <c r="E4002" s="21" t="s">
        <v>3247</v>
      </c>
      <c r="F4002" s="21" t="s">
        <v>708</v>
      </c>
    </row>
    <row r="4003" customFormat="false" ht="15" hidden="false" customHeight="false" outlineLevel="0" collapsed="false">
      <c r="B4003" s="19" t="s">
        <v>5121</v>
      </c>
      <c r="C4003" s="20" t="n">
        <f aca="false">ROUND(2.08/FX,2)</f>
        <v>0.29</v>
      </c>
      <c r="D4003" s="21" t="s">
        <v>2017</v>
      </c>
      <c r="E4003" s="21" t="s">
        <v>5097</v>
      </c>
      <c r="F4003" s="21" t="s">
        <v>708</v>
      </c>
    </row>
    <row r="4004" customFormat="false" ht="15" hidden="false" customHeight="false" outlineLevel="0" collapsed="false">
      <c r="B4004" s="19" t="s">
        <v>5122</v>
      </c>
      <c r="C4004" s="20" t="n">
        <f aca="false">ROUND(6.93/FX,2)</f>
        <v>0.96</v>
      </c>
      <c r="D4004" s="21" t="s">
        <v>2017</v>
      </c>
      <c r="E4004" s="21" t="s">
        <v>3317</v>
      </c>
      <c r="F4004" s="21" t="s">
        <v>708</v>
      </c>
    </row>
    <row r="4005" customFormat="false" ht="15" hidden="false" customHeight="false" outlineLevel="0" collapsed="false">
      <c r="B4005" s="19" t="s">
        <v>5123</v>
      </c>
      <c r="C4005" s="20" t="n">
        <f aca="false">ROUND(1.95/FX,2)</f>
        <v>0.27</v>
      </c>
      <c r="D4005" s="21" t="s">
        <v>2017</v>
      </c>
      <c r="E4005" s="21" t="s">
        <v>784</v>
      </c>
      <c r="F4005" s="21" t="s">
        <v>708</v>
      </c>
    </row>
    <row r="4006" customFormat="false" ht="15" hidden="false" customHeight="false" outlineLevel="0" collapsed="false">
      <c r="B4006" s="19" t="s">
        <v>5124</v>
      </c>
      <c r="C4006" s="20" t="n">
        <f aca="false">ROUND(1.95/FX,2)</f>
        <v>0.27</v>
      </c>
      <c r="D4006" s="21" t="s">
        <v>2017</v>
      </c>
      <c r="E4006" s="21" t="s">
        <v>3328</v>
      </c>
      <c r="F4006" s="21" t="s">
        <v>708</v>
      </c>
    </row>
    <row r="4007" customFormat="false" ht="15" hidden="false" customHeight="false" outlineLevel="0" collapsed="false">
      <c r="B4007" s="19" t="s">
        <v>5125</v>
      </c>
      <c r="C4007" s="20" t="n">
        <f aca="false">ROUND(3.51/FX,2)</f>
        <v>0.49</v>
      </c>
      <c r="D4007" s="21" t="s">
        <v>2017</v>
      </c>
      <c r="E4007" s="21" t="s">
        <v>716</v>
      </c>
      <c r="F4007" s="21" t="s">
        <v>708</v>
      </c>
    </row>
    <row r="4008" customFormat="false" ht="15" hidden="false" customHeight="false" outlineLevel="0" collapsed="false">
      <c r="B4008" s="19" t="s">
        <v>5126</v>
      </c>
      <c r="C4008" s="20" t="n">
        <f aca="false">ROUND(2.6/FX,2)</f>
        <v>0.36</v>
      </c>
      <c r="D4008" s="21" t="s">
        <v>2017</v>
      </c>
      <c r="E4008" s="21" t="s">
        <v>719</v>
      </c>
      <c r="F4008" s="21" t="s">
        <v>708</v>
      </c>
    </row>
    <row r="4009" customFormat="false" ht="15" hidden="false" customHeight="false" outlineLevel="0" collapsed="false">
      <c r="B4009" s="19" t="s">
        <v>5127</v>
      </c>
      <c r="C4009" s="20" t="n">
        <f aca="false">ROUND(1.95/FX,2)</f>
        <v>0.27</v>
      </c>
      <c r="D4009" s="21" t="s">
        <v>5128</v>
      </c>
      <c r="E4009" s="21" t="s">
        <v>707</v>
      </c>
      <c r="F4009" s="21" t="s">
        <v>708</v>
      </c>
    </row>
    <row r="4010" customFormat="false" ht="15" hidden="false" customHeight="false" outlineLevel="0" collapsed="false">
      <c r="B4010" s="19" t="s">
        <v>5129</v>
      </c>
      <c r="C4010" s="20" t="n">
        <f aca="false">ROUND(1.95/FX,2)</f>
        <v>0.27</v>
      </c>
      <c r="D4010" s="21" t="s">
        <v>5128</v>
      </c>
      <c r="E4010" s="21" t="s">
        <v>5091</v>
      </c>
      <c r="F4010" s="21" t="s">
        <v>708</v>
      </c>
    </row>
    <row r="4011" customFormat="false" ht="15" hidden="false" customHeight="false" outlineLevel="0" collapsed="false">
      <c r="B4011" s="19" t="s">
        <v>5130</v>
      </c>
      <c r="C4011" s="20" t="n">
        <f aca="false">ROUND(1.95/FX,2)</f>
        <v>0.27</v>
      </c>
      <c r="D4011" s="21" t="s">
        <v>5128</v>
      </c>
      <c r="E4011" s="21" t="s">
        <v>4761</v>
      </c>
      <c r="F4011" s="21" t="s">
        <v>708</v>
      </c>
    </row>
    <row r="4012" customFormat="false" ht="15" hidden="false" customHeight="false" outlineLevel="0" collapsed="false">
      <c r="B4012" s="19" t="s">
        <v>5131</v>
      </c>
      <c r="C4012" s="20" t="n">
        <f aca="false">ROUND(1.95/FX,2)</f>
        <v>0.27</v>
      </c>
      <c r="D4012" s="21" t="s">
        <v>5128</v>
      </c>
      <c r="E4012" s="21" t="s">
        <v>4721</v>
      </c>
      <c r="F4012" s="21" t="s">
        <v>708</v>
      </c>
    </row>
    <row r="4013" customFormat="false" ht="15" hidden="false" customHeight="false" outlineLevel="0" collapsed="false">
      <c r="B4013" s="19" t="s">
        <v>5132</v>
      </c>
      <c r="C4013" s="20" t="n">
        <f aca="false">ROUND(4.42/FX,2)</f>
        <v>0.61</v>
      </c>
      <c r="D4013" s="21" t="s">
        <v>5128</v>
      </c>
      <c r="E4013" s="21" t="s">
        <v>714</v>
      </c>
      <c r="F4013" s="21" t="s">
        <v>708</v>
      </c>
    </row>
    <row r="4014" customFormat="false" ht="15" hidden="false" customHeight="false" outlineLevel="0" collapsed="false">
      <c r="B4014" s="19" t="s">
        <v>5133</v>
      </c>
      <c r="C4014" s="20" t="n">
        <f aca="false">ROUND(1.95/FX,2)</f>
        <v>0.27</v>
      </c>
      <c r="D4014" s="21" t="s">
        <v>5128</v>
      </c>
      <c r="E4014" s="21" t="s">
        <v>3247</v>
      </c>
      <c r="F4014" s="21" t="s">
        <v>708</v>
      </c>
    </row>
    <row r="4015" customFormat="false" ht="15" hidden="false" customHeight="false" outlineLevel="0" collapsed="false">
      <c r="B4015" s="19" t="s">
        <v>5134</v>
      </c>
      <c r="C4015" s="20" t="n">
        <f aca="false">ROUND(1.95/FX,2)</f>
        <v>0.27</v>
      </c>
      <c r="D4015" s="21" t="s">
        <v>5128</v>
      </c>
      <c r="E4015" s="21" t="s">
        <v>5097</v>
      </c>
      <c r="F4015" s="21" t="s">
        <v>708</v>
      </c>
    </row>
    <row r="4016" customFormat="false" ht="15" hidden="false" customHeight="false" outlineLevel="0" collapsed="false">
      <c r="B4016" s="19" t="s">
        <v>5135</v>
      </c>
      <c r="C4016" s="20" t="n">
        <f aca="false">ROUND(1.95/FX,2)</f>
        <v>0.27</v>
      </c>
      <c r="D4016" s="21" t="s">
        <v>5128</v>
      </c>
      <c r="E4016" s="21" t="s">
        <v>3317</v>
      </c>
      <c r="F4016" s="21" t="s">
        <v>708</v>
      </c>
    </row>
    <row r="4017" customFormat="false" ht="15" hidden="false" customHeight="false" outlineLevel="0" collapsed="false">
      <c r="B4017" s="19" t="s">
        <v>5136</v>
      </c>
      <c r="C4017" s="20" t="n">
        <f aca="false">ROUND(1.95/FX,2)</f>
        <v>0.27</v>
      </c>
      <c r="D4017" s="21" t="s">
        <v>5128</v>
      </c>
      <c r="E4017" s="21" t="s">
        <v>784</v>
      </c>
      <c r="F4017" s="21" t="s">
        <v>708</v>
      </c>
    </row>
    <row r="4018" customFormat="false" ht="15" hidden="false" customHeight="false" outlineLevel="0" collapsed="false">
      <c r="B4018" s="19" t="s">
        <v>5137</v>
      </c>
      <c r="C4018" s="20" t="n">
        <f aca="false">ROUND(1.95/FX,2)</f>
        <v>0.27</v>
      </c>
      <c r="D4018" s="21" t="s">
        <v>5128</v>
      </c>
      <c r="E4018" s="21" t="s">
        <v>3328</v>
      </c>
      <c r="F4018" s="21" t="s">
        <v>708</v>
      </c>
    </row>
    <row r="4019" customFormat="false" ht="15" hidden="false" customHeight="false" outlineLevel="0" collapsed="false">
      <c r="B4019" s="19" t="s">
        <v>5138</v>
      </c>
      <c r="C4019" s="20" t="n">
        <f aca="false">ROUND(1.95/FX,2)</f>
        <v>0.27</v>
      </c>
      <c r="D4019" s="21" t="s">
        <v>5128</v>
      </c>
      <c r="E4019" s="21" t="s">
        <v>716</v>
      </c>
      <c r="F4019" s="21" t="s">
        <v>708</v>
      </c>
    </row>
    <row r="4020" customFormat="false" ht="15" hidden="false" customHeight="false" outlineLevel="0" collapsed="false">
      <c r="B4020" s="19" t="s">
        <v>5139</v>
      </c>
      <c r="C4020" s="20" t="n">
        <f aca="false">ROUND(1.95/FX,2)</f>
        <v>0.27</v>
      </c>
      <c r="D4020" s="21" t="s">
        <v>5128</v>
      </c>
      <c r="E4020" s="21" t="s">
        <v>719</v>
      </c>
      <c r="F4020" s="21" t="s">
        <v>708</v>
      </c>
    </row>
    <row r="4021" customFormat="false" ht="15" hidden="false" customHeight="false" outlineLevel="0" collapsed="false">
      <c r="B4021" s="19" t="s">
        <v>5140</v>
      </c>
      <c r="C4021" s="20" t="n">
        <f aca="false">ROUND(1.95/FX,2)</f>
        <v>0.27</v>
      </c>
      <c r="D4021" s="21" t="s">
        <v>2022</v>
      </c>
      <c r="E4021" s="21" t="s">
        <v>707</v>
      </c>
      <c r="F4021" s="21" t="s">
        <v>708</v>
      </c>
    </row>
    <row r="4022" customFormat="false" ht="15" hidden="false" customHeight="false" outlineLevel="0" collapsed="false">
      <c r="B4022" s="19" t="s">
        <v>5141</v>
      </c>
      <c r="C4022" s="20" t="n">
        <f aca="false">ROUND(1.95/FX,2)</f>
        <v>0.27</v>
      </c>
      <c r="D4022" s="21" t="s">
        <v>2022</v>
      </c>
      <c r="E4022" s="21" t="s">
        <v>5091</v>
      </c>
      <c r="F4022" s="21" t="s">
        <v>708</v>
      </c>
    </row>
    <row r="4023" customFormat="false" ht="15" hidden="false" customHeight="false" outlineLevel="0" collapsed="false">
      <c r="B4023" s="19" t="s">
        <v>5142</v>
      </c>
      <c r="C4023" s="20" t="n">
        <f aca="false">ROUND(1.95/FX,2)</f>
        <v>0.27</v>
      </c>
      <c r="D4023" s="21" t="s">
        <v>2022</v>
      </c>
      <c r="E4023" s="21" t="s">
        <v>4761</v>
      </c>
      <c r="F4023" s="21" t="s">
        <v>708</v>
      </c>
    </row>
    <row r="4024" customFormat="false" ht="15" hidden="false" customHeight="false" outlineLevel="0" collapsed="false">
      <c r="B4024" s="19" t="s">
        <v>5143</v>
      </c>
      <c r="C4024" s="20" t="n">
        <f aca="false">ROUND(1.95/FX,2)</f>
        <v>0.27</v>
      </c>
      <c r="D4024" s="21" t="s">
        <v>2022</v>
      </c>
      <c r="E4024" s="21" t="s">
        <v>4721</v>
      </c>
      <c r="F4024" s="21" t="s">
        <v>708</v>
      </c>
    </row>
    <row r="4025" customFormat="false" ht="15" hidden="false" customHeight="false" outlineLevel="0" collapsed="false">
      <c r="B4025" s="19" t="s">
        <v>5144</v>
      </c>
      <c r="C4025" s="20" t="n">
        <f aca="false">ROUND(4.42/FX,2)</f>
        <v>0.61</v>
      </c>
      <c r="D4025" s="21" t="s">
        <v>2022</v>
      </c>
      <c r="E4025" s="21" t="s">
        <v>714</v>
      </c>
      <c r="F4025" s="21" t="s">
        <v>708</v>
      </c>
    </row>
    <row r="4026" customFormat="false" ht="15" hidden="false" customHeight="false" outlineLevel="0" collapsed="false">
      <c r="B4026" s="19" t="s">
        <v>5145</v>
      </c>
      <c r="C4026" s="20" t="n">
        <f aca="false">ROUND(1.95/FX,2)</f>
        <v>0.27</v>
      </c>
      <c r="D4026" s="21" t="s">
        <v>2022</v>
      </c>
      <c r="E4026" s="21" t="s">
        <v>3247</v>
      </c>
      <c r="F4026" s="21" t="s">
        <v>708</v>
      </c>
    </row>
    <row r="4027" customFormat="false" ht="15" hidden="false" customHeight="false" outlineLevel="0" collapsed="false">
      <c r="B4027" s="19" t="s">
        <v>5146</v>
      </c>
      <c r="C4027" s="20" t="n">
        <f aca="false">ROUND(1.95/FX,2)</f>
        <v>0.27</v>
      </c>
      <c r="D4027" s="21" t="s">
        <v>2022</v>
      </c>
      <c r="E4027" s="21" t="s">
        <v>5097</v>
      </c>
      <c r="F4027" s="21" t="s">
        <v>708</v>
      </c>
    </row>
    <row r="4028" customFormat="false" ht="15" hidden="false" customHeight="false" outlineLevel="0" collapsed="false">
      <c r="B4028" s="19" t="s">
        <v>5147</v>
      </c>
      <c r="C4028" s="20" t="n">
        <f aca="false">ROUND(1.95/FX,2)</f>
        <v>0.27</v>
      </c>
      <c r="D4028" s="21" t="s">
        <v>2022</v>
      </c>
      <c r="E4028" s="21" t="s">
        <v>3317</v>
      </c>
      <c r="F4028" s="21" t="s">
        <v>708</v>
      </c>
    </row>
    <row r="4029" customFormat="false" ht="15" hidden="false" customHeight="false" outlineLevel="0" collapsed="false">
      <c r="B4029" s="19" t="s">
        <v>5148</v>
      </c>
      <c r="C4029" s="20" t="n">
        <f aca="false">ROUND(1.95/FX,2)</f>
        <v>0.27</v>
      </c>
      <c r="D4029" s="21" t="s">
        <v>2022</v>
      </c>
      <c r="E4029" s="21" t="s">
        <v>784</v>
      </c>
      <c r="F4029" s="21" t="s">
        <v>708</v>
      </c>
    </row>
    <row r="4030" customFormat="false" ht="15" hidden="false" customHeight="false" outlineLevel="0" collapsed="false">
      <c r="B4030" s="19" t="s">
        <v>5149</v>
      </c>
      <c r="C4030" s="20" t="n">
        <f aca="false">ROUND(1.95/FX,2)</f>
        <v>0.27</v>
      </c>
      <c r="D4030" s="21" t="s">
        <v>2022</v>
      </c>
      <c r="E4030" s="21" t="s">
        <v>3328</v>
      </c>
      <c r="F4030" s="21" t="s">
        <v>708</v>
      </c>
    </row>
    <row r="4031" customFormat="false" ht="15" hidden="false" customHeight="false" outlineLevel="0" collapsed="false">
      <c r="B4031" s="19" t="s">
        <v>5150</v>
      </c>
      <c r="C4031" s="20" t="n">
        <f aca="false">ROUND(1.95/FX,2)</f>
        <v>0.27</v>
      </c>
      <c r="D4031" s="21" t="s">
        <v>2022</v>
      </c>
      <c r="E4031" s="21" t="s">
        <v>716</v>
      </c>
      <c r="F4031" s="21" t="s">
        <v>708</v>
      </c>
    </row>
    <row r="4032" customFormat="false" ht="15" hidden="false" customHeight="false" outlineLevel="0" collapsed="false">
      <c r="B4032" s="19" t="s">
        <v>5151</v>
      </c>
      <c r="C4032" s="20" t="n">
        <f aca="false">ROUND(1.95/FX,2)</f>
        <v>0.27</v>
      </c>
      <c r="D4032" s="21" t="s">
        <v>2022</v>
      </c>
      <c r="E4032" s="21" t="s">
        <v>719</v>
      </c>
      <c r="F4032" s="21" t="s">
        <v>708</v>
      </c>
    </row>
    <row r="4033" customFormat="false" ht="15" hidden="false" customHeight="false" outlineLevel="0" collapsed="false">
      <c r="B4033" s="19" t="s">
        <v>5152</v>
      </c>
      <c r="C4033" s="20" t="n">
        <f aca="false">ROUND(2.6/FX,2)</f>
        <v>0.36</v>
      </c>
      <c r="D4033" s="21" t="s">
        <v>5153</v>
      </c>
      <c r="E4033" s="21" t="s">
        <v>707</v>
      </c>
      <c r="F4033" s="21" t="s">
        <v>708</v>
      </c>
    </row>
    <row r="4034" customFormat="false" ht="15" hidden="false" customHeight="false" outlineLevel="0" collapsed="false">
      <c r="B4034" s="19" t="s">
        <v>5154</v>
      </c>
      <c r="C4034" s="20" t="n">
        <f aca="false">ROUND(3.9/FX,2)</f>
        <v>0.54</v>
      </c>
      <c r="D4034" s="21" t="s">
        <v>5153</v>
      </c>
      <c r="E4034" s="21" t="s">
        <v>5091</v>
      </c>
      <c r="F4034" s="21" t="s">
        <v>708</v>
      </c>
    </row>
    <row r="4035" customFormat="false" ht="15" hidden="false" customHeight="false" outlineLevel="0" collapsed="false">
      <c r="B4035" s="19" t="s">
        <v>5155</v>
      </c>
      <c r="C4035" s="20" t="n">
        <f aca="false">ROUND(3.38/FX,2)</f>
        <v>0.47</v>
      </c>
      <c r="D4035" s="21" t="s">
        <v>5153</v>
      </c>
      <c r="E4035" s="21" t="s">
        <v>4761</v>
      </c>
      <c r="F4035" s="21" t="s">
        <v>708</v>
      </c>
    </row>
    <row r="4036" customFormat="false" ht="15" hidden="false" customHeight="false" outlineLevel="0" collapsed="false">
      <c r="B4036" s="19" t="s">
        <v>5156</v>
      </c>
      <c r="C4036" s="20" t="n">
        <f aca="false">ROUND(2.08/FX,2)</f>
        <v>0.29</v>
      </c>
      <c r="D4036" s="21" t="s">
        <v>5153</v>
      </c>
      <c r="E4036" s="21" t="s">
        <v>4721</v>
      </c>
      <c r="F4036" s="21" t="s">
        <v>708</v>
      </c>
    </row>
    <row r="4037" customFormat="false" ht="15" hidden="false" customHeight="false" outlineLevel="0" collapsed="false">
      <c r="B4037" s="19" t="s">
        <v>5157</v>
      </c>
      <c r="C4037" s="20" t="n">
        <f aca="false">ROUND(4.85/FX,2)</f>
        <v>0.67</v>
      </c>
      <c r="D4037" s="21" t="s">
        <v>5153</v>
      </c>
      <c r="E4037" s="21" t="s">
        <v>714</v>
      </c>
      <c r="F4037" s="21" t="s">
        <v>708</v>
      </c>
    </row>
    <row r="4038" customFormat="false" ht="15" hidden="false" customHeight="false" outlineLevel="0" collapsed="false">
      <c r="B4038" s="19" t="s">
        <v>5158</v>
      </c>
      <c r="C4038" s="20" t="n">
        <f aca="false">ROUND(2.08/FX,2)</f>
        <v>0.29</v>
      </c>
      <c r="D4038" s="21" t="s">
        <v>5153</v>
      </c>
      <c r="E4038" s="21" t="s">
        <v>3247</v>
      </c>
      <c r="F4038" s="21" t="s">
        <v>708</v>
      </c>
    </row>
    <row r="4039" customFormat="false" ht="15" hidden="false" customHeight="false" outlineLevel="0" collapsed="false">
      <c r="B4039" s="19" t="s">
        <v>5159</v>
      </c>
      <c r="C4039" s="20" t="n">
        <f aca="false">ROUND(2.08/FX,2)</f>
        <v>0.29</v>
      </c>
      <c r="D4039" s="21" t="s">
        <v>5153</v>
      </c>
      <c r="E4039" s="21" t="s">
        <v>5097</v>
      </c>
      <c r="F4039" s="21" t="s">
        <v>708</v>
      </c>
    </row>
    <row r="4040" customFormat="false" ht="15" hidden="false" customHeight="false" outlineLevel="0" collapsed="false">
      <c r="B4040" s="19" t="s">
        <v>5160</v>
      </c>
      <c r="C4040" s="20" t="n">
        <f aca="false">ROUND(8.2/FX,2)</f>
        <v>1.14</v>
      </c>
      <c r="D4040" s="21" t="s">
        <v>5153</v>
      </c>
      <c r="E4040" s="21" t="s">
        <v>3317</v>
      </c>
      <c r="F4040" s="21" t="s">
        <v>708</v>
      </c>
    </row>
    <row r="4041" customFormat="false" ht="15" hidden="false" customHeight="false" outlineLevel="0" collapsed="false">
      <c r="B4041" s="19" t="s">
        <v>5161</v>
      </c>
      <c r="C4041" s="20" t="n">
        <f aca="false">ROUND(1.95/FX,2)</f>
        <v>0.27</v>
      </c>
      <c r="D4041" s="21" t="s">
        <v>5153</v>
      </c>
      <c r="E4041" s="21" t="s">
        <v>784</v>
      </c>
      <c r="F4041" s="21" t="s">
        <v>708</v>
      </c>
    </row>
    <row r="4042" customFormat="false" ht="15" hidden="false" customHeight="false" outlineLevel="0" collapsed="false">
      <c r="B4042" s="19" t="s">
        <v>5162</v>
      </c>
      <c r="C4042" s="20" t="n">
        <f aca="false">ROUND(1.95/FX,2)</f>
        <v>0.27</v>
      </c>
      <c r="D4042" s="21" t="s">
        <v>5153</v>
      </c>
      <c r="E4042" s="21" t="s">
        <v>3328</v>
      </c>
      <c r="F4042" s="21" t="s">
        <v>708</v>
      </c>
    </row>
    <row r="4043" customFormat="false" ht="15" hidden="false" customHeight="false" outlineLevel="0" collapsed="false">
      <c r="B4043" s="19" t="s">
        <v>5163</v>
      </c>
      <c r="C4043" s="20" t="n">
        <f aca="false">ROUND(3.51/FX,2)</f>
        <v>0.49</v>
      </c>
      <c r="D4043" s="21" t="s">
        <v>5153</v>
      </c>
      <c r="E4043" s="21" t="s">
        <v>716</v>
      </c>
      <c r="F4043" s="21" t="s">
        <v>708</v>
      </c>
    </row>
    <row r="4044" customFormat="false" ht="15" hidden="false" customHeight="false" outlineLevel="0" collapsed="false">
      <c r="B4044" s="19" t="s">
        <v>5164</v>
      </c>
      <c r="C4044" s="20" t="n">
        <f aca="false">ROUND(2.6/FX,2)</f>
        <v>0.36</v>
      </c>
      <c r="D4044" s="21" t="s">
        <v>5153</v>
      </c>
      <c r="E4044" s="21" t="s">
        <v>719</v>
      </c>
      <c r="F4044" s="21" t="s">
        <v>708</v>
      </c>
    </row>
    <row r="4045" customFormat="false" ht="15" hidden="false" customHeight="false" outlineLevel="0" collapsed="false">
      <c r="B4045" s="19" t="s">
        <v>5165</v>
      </c>
      <c r="C4045" s="20" t="n">
        <f aca="false">ROUND(1.95/FX,2)</f>
        <v>0.27</v>
      </c>
      <c r="D4045" s="21" t="s">
        <v>2037</v>
      </c>
      <c r="E4045" s="21" t="s">
        <v>707</v>
      </c>
      <c r="F4045" s="21" t="s">
        <v>708</v>
      </c>
    </row>
    <row r="4046" customFormat="false" ht="15" hidden="false" customHeight="false" outlineLevel="0" collapsed="false">
      <c r="B4046" s="19" t="s">
        <v>5166</v>
      </c>
      <c r="C4046" s="20" t="n">
        <f aca="false">ROUND(1.95/FX,2)</f>
        <v>0.27</v>
      </c>
      <c r="D4046" s="21" t="s">
        <v>2037</v>
      </c>
      <c r="E4046" s="21" t="s">
        <v>5091</v>
      </c>
      <c r="F4046" s="21" t="s">
        <v>708</v>
      </c>
    </row>
    <row r="4047" customFormat="false" ht="15" hidden="false" customHeight="false" outlineLevel="0" collapsed="false">
      <c r="B4047" s="19" t="s">
        <v>5167</v>
      </c>
      <c r="C4047" s="20" t="n">
        <f aca="false">ROUND(1.95/FX,2)</f>
        <v>0.27</v>
      </c>
      <c r="D4047" s="21" t="s">
        <v>2037</v>
      </c>
      <c r="E4047" s="21" t="s">
        <v>4761</v>
      </c>
      <c r="F4047" s="21" t="s">
        <v>708</v>
      </c>
    </row>
    <row r="4048" customFormat="false" ht="15" hidden="false" customHeight="false" outlineLevel="0" collapsed="false">
      <c r="B4048" s="19" t="s">
        <v>5168</v>
      </c>
      <c r="C4048" s="20" t="n">
        <f aca="false">ROUND(1.95/FX,2)</f>
        <v>0.27</v>
      </c>
      <c r="D4048" s="21" t="s">
        <v>2037</v>
      </c>
      <c r="E4048" s="21" t="s">
        <v>4721</v>
      </c>
      <c r="F4048" s="21" t="s">
        <v>708</v>
      </c>
    </row>
    <row r="4049" customFormat="false" ht="15" hidden="false" customHeight="false" outlineLevel="0" collapsed="false">
      <c r="B4049" s="19" t="s">
        <v>5169</v>
      </c>
      <c r="C4049" s="20" t="n">
        <f aca="false">ROUND(4.55/FX,2)</f>
        <v>0.63</v>
      </c>
      <c r="D4049" s="21" t="s">
        <v>2037</v>
      </c>
      <c r="E4049" s="21" t="s">
        <v>714</v>
      </c>
      <c r="F4049" s="21" t="s">
        <v>708</v>
      </c>
    </row>
    <row r="4050" customFormat="false" ht="15" hidden="false" customHeight="false" outlineLevel="0" collapsed="false">
      <c r="B4050" s="19" t="s">
        <v>5170</v>
      </c>
      <c r="C4050" s="20" t="n">
        <f aca="false">ROUND(1.95/FX,2)</f>
        <v>0.27</v>
      </c>
      <c r="D4050" s="21" t="s">
        <v>2037</v>
      </c>
      <c r="E4050" s="21" t="s">
        <v>3247</v>
      </c>
      <c r="F4050" s="21" t="s">
        <v>708</v>
      </c>
    </row>
    <row r="4051" customFormat="false" ht="15" hidden="false" customHeight="false" outlineLevel="0" collapsed="false">
      <c r="B4051" s="19" t="s">
        <v>5171</v>
      </c>
      <c r="C4051" s="20" t="n">
        <f aca="false">ROUND(1.95/FX,2)</f>
        <v>0.27</v>
      </c>
      <c r="D4051" s="21" t="s">
        <v>2037</v>
      </c>
      <c r="E4051" s="21" t="s">
        <v>5097</v>
      </c>
      <c r="F4051" s="21" t="s">
        <v>708</v>
      </c>
    </row>
    <row r="4052" customFormat="false" ht="15" hidden="false" customHeight="false" outlineLevel="0" collapsed="false">
      <c r="B4052" s="19" t="s">
        <v>5172</v>
      </c>
      <c r="C4052" s="20" t="n">
        <f aca="false">ROUND(1.95/FX,2)</f>
        <v>0.27</v>
      </c>
      <c r="D4052" s="21" t="s">
        <v>2037</v>
      </c>
      <c r="E4052" s="21" t="s">
        <v>3317</v>
      </c>
      <c r="F4052" s="21" t="s">
        <v>708</v>
      </c>
    </row>
    <row r="4053" customFormat="false" ht="15" hidden="false" customHeight="false" outlineLevel="0" collapsed="false">
      <c r="B4053" s="19" t="s">
        <v>5173</v>
      </c>
      <c r="C4053" s="20" t="n">
        <f aca="false">ROUND(1.95/FX,2)</f>
        <v>0.27</v>
      </c>
      <c r="D4053" s="21" t="s">
        <v>2037</v>
      </c>
      <c r="E4053" s="21" t="s">
        <v>784</v>
      </c>
      <c r="F4053" s="21" t="s">
        <v>708</v>
      </c>
    </row>
    <row r="4054" customFormat="false" ht="15" hidden="false" customHeight="false" outlineLevel="0" collapsed="false">
      <c r="B4054" s="19" t="s">
        <v>5174</v>
      </c>
      <c r="C4054" s="20" t="n">
        <f aca="false">ROUND(1.95/FX,2)</f>
        <v>0.27</v>
      </c>
      <c r="D4054" s="21" t="s">
        <v>2037</v>
      </c>
      <c r="E4054" s="21" t="s">
        <v>3328</v>
      </c>
      <c r="F4054" s="21" t="s">
        <v>708</v>
      </c>
    </row>
    <row r="4055" customFormat="false" ht="15" hidden="false" customHeight="false" outlineLevel="0" collapsed="false">
      <c r="B4055" s="19" t="s">
        <v>5175</v>
      </c>
      <c r="C4055" s="20" t="n">
        <f aca="false">ROUND(1.95/FX,2)</f>
        <v>0.27</v>
      </c>
      <c r="D4055" s="21" t="s">
        <v>2037</v>
      </c>
      <c r="E4055" s="21" t="s">
        <v>716</v>
      </c>
      <c r="F4055" s="21" t="s">
        <v>708</v>
      </c>
    </row>
    <row r="4056" customFormat="false" ht="15" hidden="false" customHeight="false" outlineLevel="0" collapsed="false">
      <c r="B4056" s="19" t="s">
        <v>5176</v>
      </c>
      <c r="C4056" s="20" t="n">
        <f aca="false">ROUND(1.95/FX,2)</f>
        <v>0.27</v>
      </c>
      <c r="D4056" s="21" t="s">
        <v>2037</v>
      </c>
      <c r="E4056" s="21" t="s">
        <v>719</v>
      </c>
      <c r="F4056" s="21" t="s">
        <v>708</v>
      </c>
    </row>
    <row r="4057" customFormat="false" ht="15" hidden="false" customHeight="false" outlineLevel="0" collapsed="false">
      <c r="B4057" s="19" t="s">
        <v>5177</v>
      </c>
      <c r="C4057" s="20" t="n">
        <f aca="false">ROUND(1.95/FX,2)</f>
        <v>0.27</v>
      </c>
      <c r="D4057" s="21" t="s">
        <v>3444</v>
      </c>
      <c r="E4057" s="21" t="s">
        <v>707</v>
      </c>
      <c r="F4057" s="21" t="s">
        <v>708</v>
      </c>
    </row>
    <row r="4058" customFormat="false" ht="15" hidden="false" customHeight="false" outlineLevel="0" collapsed="false">
      <c r="B4058" s="19" t="s">
        <v>5178</v>
      </c>
      <c r="C4058" s="20" t="n">
        <f aca="false">ROUND(1.95/FX,2)</f>
        <v>0.27</v>
      </c>
      <c r="D4058" s="21" t="s">
        <v>3444</v>
      </c>
      <c r="E4058" s="21" t="s">
        <v>5091</v>
      </c>
      <c r="F4058" s="21" t="s">
        <v>708</v>
      </c>
    </row>
    <row r="4059" customFormat="false" ht="15" hidden="false" customHeight="false" outlineLevel="0" collapsed="false">
      <c r="B4059" s="19" t="s">
        <v>5179</v>
      </c>
      <c r="C4059" s="20" t="n">
        <f aca="false">ROUND(1.95/FX,2)</f>
        <v>0.27</v>
      </c>
      <c r="D4059" s="21" t="s">
        <v>3444</v>
      </c>
      <c r="E4059" s="21" t="s">
        <v>4761</v>
      </c>
      <c r="F4059" s="21" t="s">
        <v>708</v>
      </c>
    </row>
    <row r="4060" customFormat="false" ht="15" hidden="false" customHeight="false" outlineLevel="0" collapsed="false">
      <c r="B4060" s="19" t="s">
        <v>5180</v>
      </c>
      <c r="C4060" s="20" t="n">
        <f aca="false">ROUND(1.95/FX,2)</f>
        <v>0.27</v>
      </c>
      <c r="D4060" s="21" t="s">
        <v>3444</v>
      </c>
      <c r="E4060" s="21" t="s">
        <v>4721</v>
      </c>
      <c r="F4060" s="21" t="s">
        <v>708</v>
      </c>
    </row>
    <row r="4061" customFormat="false" ht="15" hidden="false" customHeight="false" outlineLevel="0" collapsed="false">
      <c r="B4061" s="19" t="s">
        <v>5181</v>
      </c>
      <c r="C4061" s="20" t="n">
        <f aca="false">ROUND(4.55/FX,2)</f>
        <v>0.63</v>
      </c>
      <c r="D4061" s="21" t="s">
        <v>3444</v>
      </c>
      <c r="E4061" s="21" t="s">
        <v>714</v>
      </c>
      <c r="F4061" s="21" t="s">
        <v>708</v>
      </c>
    </row>
    <row r="4062" customFormat="false" ht="15" hidden="false" customHeight="false" outlineLevel="0" collapsed="false">
      <c r="B4062" s="19" t="s">
        <v>5182</v>
      </c>
      <c r="C4062" s="20" t="n">
        <f aca="false">ROUND(1.95/FX,2)</f>
        <v>0.27</v>
      </c>
      <c r="D4062" s="21" t="s">
        <v>3444</v>
      </c>
      <c r="E4062" s="21" t="s">
        <v>3247</v>
      </c>
      <c r="F4062" s="21" t="s">
        <v>708</v>
      </c>
    </row>
    <row r="4063" customFormat="false" ht="15" hidden="false" customHeight="false" outlineLevel="0" collapsed="false">
      <c r="B4063" s="19" t="s">
        <v>5183</v>
      </c>
      <c r="C4063" s="20" t="n">
        <f aca="false">ROUND(1.95/FX,2)</f>
        <v>0.27</v>
      </c>
      <c r="D4063" s="21" t="s">
        <v>3444</v>
      </c>
      <c r="E4063" s="21" t="s">
        <v>5097</v>
      </c>
      <c r="F4063" s="21" t="s">
        <v>708</v>
      </c>
    </row>
    <row r="4064" customFormat="false" ht="15" hidden="false" customHeight="false" outlineLevel="0" collapsed="false">
      <c r="B4064" s="19" t="s">
        <v>5184</v>
      </c>
      <c r="C4064" s="20" t="n">
        <f aca="false">ROUND(1.95/FX,2)</f>
        <v>0.27</v>
      </c>
      <c r="D4064" s="21" t="s">
        <v>3444</v>
      </c>
      <c r="E4064" s="21" t="s">
        <v>3317</v>
      </c>
      <c r="F4064" s="21" t="s">
        <v>708</v>
      </c>
    </row>
    <row r="4065" customFormat="false" ht="15" hidden="false" customHeight="false" outlineLevel="0" collapsed="false">
      <c r="B4065" s="19" t="s">
        <v>5185</v>
      </c>
      <c r="C4065" s="20" t="n">
        <f aca="false">ROUND(1.95/FX,2)</f>
        <v>0.27</v>
      </c>
      <c r="D4065" s="21" t="s">
        <v>3444</v>
      </c>
      <c r="E4065" s="21" t="s">
        <v>784</v>
      </c>
      <c r="F4065" s="21" t="s">
        <v>708</v>
      </c>
    </row>
    <row r="4066" customFormat="false" ht="15" hidden="false" customHeight="false" outlineLevel="0" collapsed="false">
      <c r="B4066" s="19" t="s">
        <v>5186</v>
      </c>
      <c r="C4066" s="20" t="n">
        <f aca="false">ROUND(1.95/FX,2)</f>
        <v>0.27</v>
      </c>
      <c r="D4066" s="21" t="s">
        <v>3444</v>
      </c>
      <c r="E4066" s="21" t="s">
        <v>3328</v>
      </c>
      <c r="F4066" s="21" t="s">
        <v>708</v>
      </c>
    </row>
    <row r="4067" customFormat="false" ht="15" hidden="false" customHeight="false" outlineLevel="0" collapsed="false">
      <c r="B4067" s="19" t="s">
        <v>5187</v>
      </c>
      <c r="C4067" s="20" t="n">
        <f aca="false">ROUND(1.95/FX,2)</f>
        <v>0.27</v>
      </c>
      <c r="D4067" s="21" t="s">
        <v>3444</v>
      </c>
      <c r="E4067" s="21" t="s">
        <v>716</v>
      </c>
      <c r="F4067" s="21" t="s">
        <v>708</v>
      </c>
    </row>
    <row r="4068" customFormat="false" ht="15" hidden="false" customHeight="false" outlineLevel="0" collapsed="false">
      <c r="B4068" s="19" t="s">
        <v>5188</v>
      </c>
      <c r="C4068" s="20" t="n">
        <f aca="false">ROUND(1.95/FX,2)</f>
        <v>0.27</v>
      </c>
      <c r="D4068" s="21" t="s">
        <v>3444</v>
      </c>
      <c r="E4068" s="21" t="s">
        <v>719</v>
      </c>
      <c r="F4068" s="21" t="s">
        <v>708</v>
      </c>
    </row>
    <row r="4069" customFormat="false" ht="15" hidden="false" customHeight="false" outlineLevel="0" collapsed="false">
      <c r="B4069" s="19" t="s">
        <v>5189</v>
      </c>
      <c r="C4069" s="20" t="n">
        <f aca="false">ROUND(1.95/FX,2)</f>
        <v>0.27</v>
      </c>
      <c r="D4069" s="21" t="s">
        <v>2052</v>
      </c>
      <c r="E4069" s="21" t="s">
        <v>707</v>
      </c>
      <c r="F4069" s="21" t="s">
        <v>708</v>
      </c>
    </row>
    <row r="4070" customFormat="false" ht="15" hidden="false" customHeight="false" outlineLevel="0" collapsed="false">
      <c r="B4070" s="19" t="s">
        <v>5190</v>
      </c>
      <c r="C4070" s="20" t="n">
        <f aca="false">ROUND(1.95/FX,2)</f>
        <v>0.27</v>
      </c>
      <c r="D4070" s="21" t="s">
        <v>2052</v>
      </c>
      <c r="E4070" s="21" t="s">
        <v>5091</v>
      </c>
      <c r="F4070" s="21" t="s">
        <v>708</v>
      </c>
    </row>
    <row r="4071" customFormat="false" ht="15" hidden="false" customHeight="false" outlineLevel="0" collapsed="false">
      <c r="B4071" s="19" t="s">
        <v>5191</v>
      </c>
      <c r="C4071" s="20" t="n">
        <f aca="false">ROUND(1.95/FX,2)</f>
        <v>0.27</v>
      </c>
      <c r="D4071" s="21" t="s">
        <v>2052</v>
      </c>
      <c r="E4071" s="21" t="s">
        <v>4761</v>
      </c>
      <c r="F4071" s="21" t="s">
        <v>708</v>
      </c>
    </row>
    <row r="4072" customFormat="false" ht="15" hidden="false" customHeight="false" outlineLevel="0" collapsed="false">
      <c r="B4072" s="19" t="s">
        <v>5192</v>
      </c>
      <c r="C4072" s="20" t="n">
        <f aca="false">ROUND(1.95/FX,2)</f>
        <v>0.27</v>
      </c>
      <c r="D4072" s="21" t="s">
        <v>2052</v>
      </c>
      <c r="E4072" s="21" t="s">
        <v>4721</v>
      </c>
      <c r="F4072" s="21" t="s">
        <v>708</v>
      </c>
    </row>
    <row r="4073" customFormat="false" ht="15" hidden="false" customHeight="false" outlineLevel="0" collapsed="false">
      <c r="B4073" s="19" t="s">
        <v>5193</v>
      </c>
      <c r="C4073" s="20" t="n">
        <f aca="false">ROUND(4.68/FX,2)</f>
        <v>0.65</v>
      </c>
      <c r="D4073" s="21" t="s">
        <v>2052</v>
      </c>
      <c r="E4073" s="21" t="s">
        <v>714</v>
      </c>
      <c r="F4073" s="21" t="s">
        <v>708</v>
      </c>
    </row>
    <row r="4074" customFormat="false" ht="15" hidden="false" customHeight="false" outlineLevel="0" collapsed="false">
      <c r="B4074" s="19" t="s">
        <v>5194</v>
      </c>
      <c r="C4074" s="20" t="n">
        <f aca="false">ROUND(1.95/FX,2)</f>
        <v>0.27</v>
      </c>
      <c r="D4074" s="21" t="s">
        <v>2052</v>
      </c>
      <c r="E4074" s="21" t="s">
        <v>3247</v>
      </c>
      <c r="F4074" s="21" t="s">
        <v>708</v>
      </c>
    </row>
    <row r="4075" customFormat="false" ht="15" hidden="false" customHeight="false" outlineLevel="0" collapsed="false">
      <c r="B4075" s="19" t="s">
        <v>5195</v>
      </c>
      <c r="C4075" s="20" t="n">
        <f aca="false">ROUND(1.95/FX,2)</f>
        <v>0.27</v>
      </c>
      <c r="D4075" s="21" t="s">
        <v>2052</v>
      </c>
      <c r="E4075" s="21" t="s">
        <v>5097</v>
      </c>
      <c r="F4075" s="21" t="s">
        <v>708</v>
      </c>
    </row>
    <row r="4076" customFormat="false" ht="15" hidden="false" customHeight="false" outlineLevel="0" collapsed="false">
      <c r="B4076" s="19" t="s">
        <v>5196</v>
      </c>
      <c r="C4076" s="20" t="n">
        <f aca="false">ROUND(1.95/FX,2)</f>
        <v>0.27</v>
      </c>
      <c r="D4076" s="21" t="s">
        <v>2052</v>
      </c>
      <c r="E4076" s="21" t="s">
        <v>3317</v>
      </c>
      <c r="F4076" s="21" t="s">
        <v>708</v>
      </c>
    </row>
    <row r="4077" customFormat="false" ht="15" hidden="false" customHeight="false" outlineLevel="0" collapsed="false">
      <c r="B4077" s="19" t="s">
        <v>5197</v>
      </c>
      <c r="C4077" s="20" t="n">
        <f aca="false">ROUND(1.95/FX,2)</f>
        <v>0.27</v>
      </c>
      <c r="D4077" s="21" t="s">
        <v>2052</v>
      </c>
      <c r="E4077" s="21" t="s">
        <v>784</v>
      </c>
      <c r="F4077" s="21" t="s">
        <v>708</v>
      </c>
    </row>
    <row r="4078" customFormat="false" ht="15" hidden="false" customHeight="false" outlineLevel="0" collapsed="false">
      <c r="B4078" s="19" t="s">
        <v>5198</v>
      </c>
      <c r="C4078" s="20" t="n">
        <f aca="false">ROUND(1.95/FX,2)</f>
        <v>0.27</v>
      </c>
      <c r="D4078" s="21" t="s">
        <v>2052</v>
      </c>
      <c r="E4078" s="21" t="s">
        <v>3328</v>
      </c>
      <c r="F4078" s="21" t="s">
        <v>708</v>
      </c>
    </row>
    <row r="4079" customFormat="false" ht="15" hidden="false" customHeight="false" outlineLevel="0" collapsed="false">
      <c r="B4079" s="19" t="s">
        <v>5199</v>
      </c>
      <c r="C4079" s="20" t="n">
        <f aca="false">ROUND(1.95/FX,2)</f>
        <v>0.27</v>
      </c>
      <c r="D4079" s="21" t="s">
        <v>2052</v>
      </c>
      <c r="E4079" s="21" t="s">
        <v>716</v>
      </c>
      <c r="F4079" s="21" t="s">
        <v>708</v>
      </c>
    </row>
    <row r="4080" customFormat="false" ht="15" hidden="false" customHeight="false" outlineLevel="0" collapsed="false">
      <c r="B4080" s="19" t="s">
        <v>5200</v>
      </c>
      <c r="C4080" s="20" t="n">
        <f aca="false">ROUND(1.95/FX,2)</f>
        <v>0.27</v>
      </c>
      <c r="D4080" s="21" t="s">
        <v>2052</v>
      </c>
      <c r="E4080" s="21" t="s">
        <v>719</v>
      </c>
      <c r="F4080" s="21" t="s">
        <v>708</v>
      </c>
    </row>
    <row r="4081" customFormat="false" ht="15" hidden="false" customHeight="false" outlineLevel="0" collapsed="false">
      <c r="B4081" s="19" t="s">
        <v>5201</v>
      </c>
      <c r="C4081" s="20" t="n">
        <f aca="false">ROUND(2.6/FX,2)</f>
        <v>0.36</v>
      </c>
      <c r="D4081" s="21" t="s">
        <v>2067</v>
      </c>
      <c r="E4081" s="21" t="s">
        <v>707</v>
      </c>
      <c r="F4081" s="21" t="s">
        <v>708</v>
      </c>
    </row>
    <row r="4082" customFormat="false" ht="15" hidden="false" customHeight="false" outlineLevel="0" collapsed="false">
      <c r="B4082" s="19" t="s">
        <v>5202</v>
      </c>
      <c r="C4082" s="20" t="n">
        <f aca="false">ROUND(3.9/FX,2)</f>
        <v>0.54</v>
      </c>
      <c r="D4082" s="21" t="s">
        <v>2067</v>
      </c>
      <c r="E4082" s="21" t="s">
        <v>5091</v>
      </c>
      <c r="F4082" s="21" t="s">
        <v>708</v>
      </c>
    </row>
    <row r="4083" customFormat="false" ht="15" hidden="false" customHeight="false" outlineLevel="0" collapsed="false">
      <c r="B4083" s="19" t="s">
        <v>5203</v>
      </c>
      <c r="C4083" s="20" t="n">
        <f aca="false">ROUND(3.38/FX,2)</f>
        <v>0.47</v>
      </c>
      <c r="D4083" s="21" t="s">
        <v>2067</v>
      </c>
      <c r="E4083" s="21" t="s">
        <v>4761</v>
      </c>
      <c r="F4083" s="21" t="s">
        <v>708</v>
      </c>
    </row>
    <row r="4084" customFormat="false" ht="15" hidden="false" customHeight="false" outlineLevel="0" collapsed="false">
      <c r="B4084" s="19" t="s">
        <v>5204</v>
      </c>
      <c r="C4084" s="20" t="n">
        <f aca="false">ROUND(2.08/FX,2)</f>
        <v>0.29</v>
      </c>
      <c r="D4084" s="21" t="s">
        <v>2067</v>
      </c>
      <c r="E4084" s="21" t="s">
        <v>4721</v>
      </c>
      <c r="F4084" s="21" t="s">
        <v>708</v>
      </c>
    </row>
    <row r="4085" customFormat="false" ht="15" hidden="false" customHeight="false" outlineLevel="0" collapsed="false">
      <c r="B4085" s="19" t="s">
        <v>5205</v>
      </c>
      <c r="C4085" s="20" t="n">
        <f aca="false">ROUND(5.2/FX,2)</f>
        <v>0.72</v>
      </c>
      <c r="D4085" s="21" t="s">
        <v>2067</v>
      </c>
      <c r="E4085" s="21" t="s">
        <v>714</v>
      </c>
      <c r="F4085" s="21" t="s">
        <v>708</v>
      </c>
    </row>
    <row r="4086" customFormat="false" ht="15" hidden="false" customHeight="false" outlineLevel="0" collapsed="false">
      <c r="B4086" s="19" t="s">
        <v>5206</v>
      </c>
      <c r="C4086" s="20" t="n">
        <f aca="false">ROUND(2.08/FX,2)</f>
        <v>0.29</v>
      </c>
      <c r="D4086" s="21" t="s">
        <v>2067</v>
      </c>
      <c r="E4086" s="21" t="s">
        <v>3247</v>
      </c>
      <c r="F4086" s="21" t="s">
        <v>708</v>
      </c>
    </row>
    <row r="4087" customFormat="false" ht="15" hidden="false" customHeight="false" outlineLevel="0" collapsed="false">
      <c r="B4087" s="19" t="s">
        <v>5207</v>
      </c>
      <c r="C4087" s="20" t="n">
        <f aca="false">ROUND(2.08/FX,2)</f>
        <v>0.29</v>
      </c>
      <c r="D4087" s="21" t="s">
        <v>2067</v>
      </c>
      <c r="E4087" s="21" t="s">
        <v>5097</v>
      </c>
      <c r="F4087" s="21" t="s">
        <v>708</v>
      </c>
    </row>
    <row r="4088" customFormat="false" ht="15" hidden="false" customHeight="false" outlineLevel="0" collapsed="false">
      <c r="B4088" s="19" t="s">
        <v>5208</v>
      </c>
      <c r="C4088" s="20" t="n">
        <f aca="false">ROUND(8.57/FX,2)</f>
        <v>1.19</v>
      </c>
      <c r="D4088" s="21" t="s">
        <v>2067</v>
      </c>
      <c r="E4088" s="21" t="s">
        <v>3317</v>
      </c>
      <c r="F4088" s="21" t="s">
        <v>708</v>
      </c>
    </row>
    <row r="4089" customFormat="false" ht="15" hidden="false" customHeight="false" outlineLevel="0" collapsed="false">
      <c r="B4089" s="19" t="s">
        <v>5209</v>
      </c>
      <c r="C4089" s="20" t="n">
        <f aca="false">ROUND(1.95/FX,2)</f>
        <v>0.27</v>
      </c>
      <c r="D4089" s="21" t="s">
        <v>2067</v>
      </c>
      <c r="E4089" s="21" t="s">
        <v>784</v>
      </c>
      <c r="F4089" s="21" t="s">
        <v>708</v>
      </c>
    </row>
    <row r="4090" customFormat="false" ht="15" hidden="false" customHeight="false" outlineLevel="0" collapsed="false">
      <c r="B4090" s="19" t="s">
        <v>5210</v>
      </c>
      <c r="C4090" s="20" t="n">
        <f aca="false">ROUND(1.95/FX,2)</f>
        <v>0.27</v>
      </c>
      <c r="D4090" s="21" t="s">
        <v>2067</v>
      </c>
      <c r="E4090" s="21" t="s">
        <v>3328</v>
      </c>
      <c r="F4090" s="21" t="s">
        <v>708</v>
      </c>
    </row>
    <row r="4091" customFormat="false" ht="15" hidden="false" customHeight="false" outlineLevel="0" collapsed="false">
      <c r="B4091" s="19" t="s">
        <v>5211</v>
      </c>
      <c r="C4091" s="20" t="n">
        <f aca="false">ROUND(3.51/FX,2)</f>
        <v>0.49</v>
      </c>
      <c r="D4091" s="21" t="s">
        <v>2067</v>
      </c>
      <c r="E4091" s="21" t="s">
        <v>716</v>
      </c>
      <c r="F4091" s="21" t="s">
        <v>708</v>
      </c>
    </row>
    <row r="4092" customFormat="false" ht="15" hidden="false" customHeight="false" outlineLevel="0" collapsed="false">
      <c r="B4092" s="19" t="s">
        <v>5212</v>
      </c>
      <c r="C4092" s="20" t="n">
        <f aca="false">ROUND(2.6/FX,2)</f>
        <v>0.36</v>
      </c>
      <c r="D4092" s="21" t="s">
        <v>2067</v>
      </c>
      <c r="E4092" s="21" t="s">
        <v>719</v>
      </c>
      <c r="F4092" s="21" t="s">
        <v>708</v>
      </c>
    </row>
    <row r="4093" customFormat="false" ht="15" hidden="false" customHeight="false" outlineLevel="0" collapsed="false">
      <c r="B4093" s="19" t="s">
        <v>5213</v>
      </c>
      <c r="C4093" s="20" t="n">
        <f aca="false">ROUND(1.95/FX,2)</f>
        <v>0.27</v>
      </c>
      <c r="D4093" s="21" t="s">
        <v>5214</v>
      </c>
      <c r="E4093" s="21" t="s">
        <v>707</v>
      </c>
      <c r="F4093" s="21" t="s">
        <v>708</v>
      </c>
    </row>
    <row r="4094" customFormat="false" ht="15" hidden="false" customHeight="false" outlineLevel="0" collapsed="false">
      <c r="B4094" s="19" t="s">
        <v>5215</v>
      </c>
      <c r="C4094" s="20" t="n">
        <f aca="false">ROUND(1.95/FX,2)</f>
        <v>0.27</v>
      </c>
      <c r="D4094" s="21" t="s">
        <v>5214</v>
      </c>
      <c r="E4094" s="21" t="s">
        <v>5091</v>
      </c>
      <c r="F4094" s="21" t="s">
        <v>708</v>
      </c>
    </row>
    <row r="4095" customFormat="false" ht="15" hidden="false" customHeight="false" outlineLevel="0" collapsed="false">
      <c r="B4095" s="19" t="s">
        <v>5216</v>
      </c>
      <c r="C4095" s="20" t="n">
        <f aca="false">ROUND(1.95/FX,2)</f>
        <v>0.27</v>
      </c>
      <c r="D4095" s="21" t="s">
        <v>5214</v>
      </c>
      <c r="E4095" s="21" t="s">
        <v>4761</v>
      </c>
      <c r="F4095" s="21" t="s">
        <v>708</v>
      </c>
    </row>
    <row r="4096" customFormat="false" ht="15" hidden="false" customHeight="false" outlineLevel="0" collapsed="false">
      <c r="B4096" s="19" t="s">
        <v>5217</v>
      </c>
      <c r="C4096" s="20" t="n">
        <f aca="false">ROUND(1.95/FX,2)</f>
        <v>0.27</v>
      </c>
      <c r="D4096" s="21" t="s">
        <v>5214</v>
      </c>
      <c r="E4096" s="21" t="s">
        <v>4721</v>
      </c>
      <c r="F4096" s="21" t="s">
        <v>708</v>
      </c>
    </row>
    <row r="4097" customFormat="false" ht="15" hidden="false" customHeight="false" outlineLevel="0" collapsed="false">
      <c r="B4097" s="19" t="s">
        <v>5218</v>
      </c>
      <c r="C4097" s="20" t="n">
        <f aca="false">ROUND(4.81/FX,2)</f>
        <v>0.67</v>
      </c>
      <c r="D4097" s="21" t="s">
        <v>5214</v>
      </c>
      <c r="E4097" s="21" t="s">
        <v>714</v>
      </c>
      <c r="F4097" s="21" t="s">
        <v>708</v>
      </c>
    </row>
    <row r="4098" customFormat="false" ht="15" hidden="false" customHeight="false" outlineLevel="0" collapsed="false">
      <c r="B4098" s="19" t="s">
        <v>5219</v>
      </c>
      <c r="C4098" s="20" t="n">
        <f aca="false">ROUND(1.95/FX,2)</f>
        <v>0.27</v>
      </c>
      <c r="D4098" s="21" t="s">
        <v>5214</v>
      </c>
      <c r="E4098" s="21" t="s">
        <v>3247</v>
      </c>
      <c r="F4098" s="21" t="s">
        <v>708</v>
      </c>
    </row>
    <row r="4099" customFormat="false" ht="15" hidden="false" customHeight="false" outlineLevel="0" collapsed="false">
      <c r="B4099" s="19" t="s">
        <v>5220</v>
      </c>
      <c r="C4099" s="20" t="n">
        <f aca="false">ROUND(1.95/FX,2)</f>
        <v>0.27</v>
      </c>
      <c r="D4099" s="21" t="s">
        <v>5214</v>
      </c>
      <c r="E4099" s="21" t="s">
        <v>5097</v>
      </c>
      <c r="F4099" s="21" t="s">
        <v>708</v>
      </c>
    </row>
    <row r="4100" customFormat="false" ht="15" hidden="false" customHeight="false" outlineLevel="0" collapsed="false">
      <c r="B4100" s="19" t="s">
        <v>5221</v>
      </c>
      <c r="C4100" s="20" t="n">
        <f aca="false">ROUND(1.95/FX,2)</f>
        <v>0.27</v>
      </c>
      <c r="D4100" s="21" t="s">
        <v>5214</v>
      </c>
      <c r="E4100" s="21" t="s">
        <v>3317</v>
      </c>
      <c r="F4100" s="21" t="s">
        <v>708</v>
      </c>
    </row>
    <row r="4101" customFormat="false" ht="15" hidden="false" customHeight="false" outlineLevel="0" collapsed="false">
      <c r="B4101" s="19" t="s">
        <v>5222</v>
      </c>
      <c r="C4101" s="20" t="n">
        <f aca="false">ROUND(1.95/FX,2)</f>
        <v>0.27</v>
      </c>
      <c r="D4101" s="21" t="s">
        <v>5214</v>
      </c>
      <c r="E4101" s="21" t="s">
        <v>784</v>
      </c>
      <c r="F4101" s="21" t="s">
        <v>708</v>
      </c>
    </row>
    <row r="4102" customFormat="false" ht="15" hidden="false" customHeight="false" outlineLevel="0" collapsed="false">
      <c r="B4102" s="19" t="s">
        <v>5223</v>
      </c>
      <c r="C4102" s="20" t="n">
        <f aca="false">ROUND(1.95/FX,2)</f>
        <v>0.27</v>
      </c>
      <c r="D4102" s="21" t="s">
        <v>5214</v>
      </c>
      <c r="E4102" s="21" t="s">
        <v>3328</v>
      </c>
      <c r="F4102" s="21" t="s">
        <v>708</v>
      </c>
    </row>
    <row r="4103" customFormat="false" ht="15" hidden="false" customHeight="false" outlineLevel="0" collapsed="false">
      <c r="B4103" s="19" t="s">
        <v>5224</v>
      </c>
      <c r="C4103" s="20" t="n">
        <f aca="false">ROUND(1.95/FX,2)</f>
        <v>0.27</v>
      </c>
      <c r="D4103" s="21" t="s">
        <v>5214</v>
      </c>
      <c r="E4103" s="21" t="s">
        <v>716</v>
      </c>
      <c r="F4103" s="21" t="s">
        <v>708</v>
      </c>
    </row>
    <row r="4104" customFormat="false" ht="15" hidden="false" customHeight="false" outlineLevel="0" collapsed="false">
      <c r="B4104" s="19" t="s">
        <v>5225</v>
      </c>
      <c r="C4104" s="20" t="n">
        <f aca="false">ROUND(1.95/FX,2)</f>
        <v>0.27</v>
      </c>
      <c r="D4104" s="21" t="s">
        <v>5214</v>
      </c>
      <c r="E4104" s="21" t="s">
        <v>719</v>
      </c>
      <c r="F4104" s="21" t="s">
        <v>708</v>
      </c>
    </row>
    <row r="4105" customFormat="false" ht="15" hidden="false" customHeight="false" outlineLevel="0" collapsed="false">
      <c r="B4105" s="19" t="s">
        <v>5226</v>
      </c>
      <c r="C4105" s="20" t="n">
        <f aca="false">ROUND(2.6/FX,2)</f>
        <v>0.36</v>
      </c>
      <c r="D4105" s="21" t="s">
        <v>2082</v>
      </c>
      <c r="E4105" s="21" t="s">
        <v>707</v>
      </c>
      <c r="F4105" s="21" t="s">
        <v>708</v>
      </c>
    </row>
    <row r="4106" customFormat="false" ht="15" hidden="false" customHeight="false" outlineLevel="0" collapsed="false">
      <c r="B4106" s="19" t="s">
        <v>5227</v>
      </c>
      <c r="C4106" s="20" t="n">
        <f aca="false">ROUND(2.6/FX,2)</f>
        <v>0.36</v>
      </c>
      <c r="D4106" s="21" t="s">
        <v>2082</v>
      </c>
      <c r="E4106" s="21" t="s">
        <v>5091</v>
      </c>
      <c r="F4106" s="21" t="s">
        <v>708</v>
      </c>
    </row>
    <row r="4107" customFormat="false" ht="15" hidden="false" customHeight="false" outlineLevel="0" collapsed="false">
      <c r="B4107" s="19" t="s">
        <v>5228</v>
      </c>
      <c r="C4107" s="20" t="n">
        <f aca="false">ROUND(2.6/FX,2)</f>
        <v>0.36</v>
      </c>
      <c r="D4107" s="21" t="s">
        <v>2082</v>
      </c>
      <c r="E4107" s="21" t="s">
        <v>4761</v>
      </c>
      <c r="F4107" s="21" t="s">
        <v>708</v>
      </c>
    </row>
    <row r="4108" customFormat="false" ht="15" hidden="false" customHeight="false" outlineLevel="0" collapsed="false">
      <c r="B4108" s="19" t="s">
        <v>5229</v>
      </c>
      <c r="C4108" s="20" t="n">
        <f aca="false">ROUND(2.6/FX,2)</f>
        <v>0.36</v>
      </c>
      <c r="D4108" s="21" t="s">
        <v>2082</v>
      </c>
      <c r="E4108" s="21" t="s">
        <v>4721</v>
      </c>
      <c r="F4108" s="21" t="s">
        <v>708</v>
      </c>
    </row>
    <row r="4109" customFormat="false" ht="15" hidden="false" customHeight="false" outlineLevel="0" collapsed="false">
      <c r="B4109" s="19" t="s">
        <v>5230</v>
      </c>
      <c r="C4109" s="20" t="n">
        <f aca="false">ROUND(4.81/FX,2)</f>
        <v>0.67</v>
      </c>
      <c r="D4109" s="21" t="s">
        <v>2082</v>
      </c>
      <c r="E4109" s="21" t="s">
        <v>714</v>
      </c>
      <c r="F4109" s="21" t="s">
        <v>708</v>
      </c>
    </row>
    <row r="4110" customFormat="false" ht="15" hidden="false" customHeight="false" outlineLevel="0" collapsed="false">
      <c r="B4110" s="19" t="s">
        <v>5231</v>
      </c>
      <c r="C4110" s="20" t="n">
        <f aca="false">ROUND(7.54/FX,2)</f>
        <v>1.05</v>
      </c>
      <c r="D4110" s="21" t="s">
        <v>2082</v>
      </c>
      <c r="E4110" s="21" t="s">
        <v>3247</v>
      </c>
      <c r="F4110" s="21" t="s">
        <v>708</v>
      </c>
    </row>
    <row r="4111" customFormat="false" ht="15" hidden="false" customHeight="false" outlineLevel="0" collapsed="false">
      <c r="B4111" s="19" t="s">
        <v>5232</v>
      </c>
      <c r="C4111" s="20" t="n">
        <f aca="false">ROUND(8.45/FX,2)</f>
        <v>1.17</v>
      </c>
      <c r="D4111" s="21" t="s">
        <v>2082</v>
      </c>
      <c r="E4111" s="21" t="s">
        <v>5097</v>
      </c>
      <c r="F4111" s="21" t="s">
        <v>708</v>
      </c>
    </row>
    <row r="4112" customFormat="false" ht="15" hidden="false" customHeight="false" outlineLevel="0" collapsed="false">
      <c r="B4112" s="19" t="s">
        <v>5233</v>
      </c>
      <c r="C4112" s="20" t="n">
        <f aca="false">ROUND(2.6/FX,2)</f>
        <v>0.36</v>
      </c>
      <c r="D4112" s="21" t="s">
        <v>2082</v>
      </c>
      <c r="E4112" s="21" t="s">
        <v>3317</v>
      </c>
      <c r="F4112" s="21" t="s">
        <v>708</v>
      </c>
    </row>
    <row r="4113" customFormat="false" ht="15" hidden="false" customHeight="false" outlineLevel="0" collapsed="false">
      <c r="B4113" s="19" t="s">
        <v>5234</v>
      </c>
      <c r="C4113" s="20" t="n">
        <f aca="false">ROUND(1.95/FX,2)</f>
        <v>0.27</v>
      </c>
      <c r="D4113" s="21" t="s">
        <v>2082</v>
      </c>
      <c r="E4113" s="21" t="s">
        <v>784</v>
      </c>
      <c r="F4113" s="21" t="s">
        <v>708</v>
      </c>
    </row>
    <row r="4114" customFormat="false" ht="15" hidden="false" customHeight="false" outlineLevel="0" collapsed="false">
      <c r="B4114" s="19" t="s">
        <v>5235</v>
      </c>
      <c r="C4114" s="20" t="n">
        <f aca="false">ROUND(1.95/FX,2)</f>
        <v>0.27</v>
      </c>
      <c r="D4114" s="21" t="s">
        <v>2082</v>
      </c>
      <c r="E4114" s="21" t="s">
        <v>3328</v>
      </c>
      <c r="F4114" s="21" t="s">
        <v>708</v>
      </c>
    </row>
    <row r="4115" customFormat="false" ht="15" hidden="false" customHeight="false" outlineLevel="0" collapsed="false">
      <c r="B4115" s="19" t="s">
        <v>5236</v>
      </c>
      <c r="C4115" s="20" t="n">
        <f aca="false">ROUND(3.51/FX,2)</f>
        <v>0.49</v>
      </c>
      <c r="D4115" s="21" t="s">
        <v>2082</v>
      </c>
      <c r="E4115" s="21" t="s">
        <v>716</v>
      </c>
      <c r="F4115" s="21" t="s">
        <v>708</v>
      </c>
    </row>
    <row r="4116" customFormat="false" ht="15" hidden="false" customHeight="false" outlineLevel="0" collapsed="false">
      <c r="B4116" s="19" t="s">
        <v>5237</v>
      </c>
      <c r="C4116" s="20" t="n">
        <f aca="false">ROUND(2.6/FX,2)</f>
        <v>0.36</v>
      </c>
      <c r="D4116" s="21" t="s">
        <v>2082</v>
      </c>
      <c r="E4116" s="21" t="s">
        <v>719</v>
      </c>
      <c r="F4116" s="21" t="s">
        <v>708</v>
      </c>
    </row>
    <row r="4117" customFormat="false" ht="15" hidden="false" customHeight="false" outlineLevel="0" collapsed="false">
      <c r="B4117" s="19" t="s">
        <v>5238</v>
      </c>
      <c r="C4117" s="20" t="n">
        <f aca="false">ROUND(1.95/FX,2)</f>
        <v>0.27</v>
      </c>
      <c r="D4117" s="21" t="s">
        <v>3520</v>
      </c>
      <c r="E4117" s="21" t="s">
        <v>707</v>
      </c>
      <c r="F4117" s="21" t="s">
        <v>708</v>
      </c>
    </row>
    <row r="4118" customFormat="false" ht="15" hidden="false" customHeight="false" outlineLevel="0" collapsed="false">
      <c r="B4118" s="19" t="s">
        <v>5239</v>
      </c>
      <c r="C4118" s="20" t="n">
        <f aca="false">ROUND(1.95/FX,2)</f>
        <v>0.27</v>
      </c>
      <c r="D4118" s="21" t="s">
        <v>3520</v>
      </c>
      <c r="E4118" s="21" t="s">
        <v>5091</v>
      </c>
      <c r="F4118" s="21" t="s">
        <v>708</v>
      </c>
    </row>
    <row r="4119" customFormat="false" ht="15" hidden="false" customHeight="false" outlineLevel="0" collapsed="false">
      <c r="B4119" s="19" t="s">
        <v>5240</v>
      </c>
      <c r="C4119" s="20" t="n">
        <f aca="false">ROUND(1.95/FX,2)</f>
        <v>0.27</v>
      </c>
      <c r="D4119" s="21" t="s">
        <v>3520</v>
      </c>
      <c r="E4119" s="21" t="s">
        <v>4761</v>
      </c>
      <c r="F4119" s="21" t="s">
        <v>708</v>
      </c>
    </row>
    <row r="4120" customFormat="false" ht="15" hidden="false" customHeight="false" outlineLevel="0" collapsed="false">
      <c r="B4120" s="19" t="s">
        <v>5241</v>
      </c>
      <c r="C4120" s="20" t="n">
        <f aca="false">ROUND(1.95/FX,2)</f>
        <v>0.27</v>
      </c>
      <c r="D4120" s="21" t="s">
        <v>3520</v>
      </c>
      <c r="E4120" s="21" t="s">
        <v>4721</v>
      </c>
      <c r="F4120" s="21" t="s">
        <v>708</v>
      </c>
    </row>
    <row r="4121" customFormat="false" ht="15" hidden="false" customHeight="false" outlineLevel="0" collapsed="false">
      <c r="B4121" s="19" t="s">
        <v>5242</v>
      </c>
      <c r="C4121" s="20" t="n">
        <f aca="false">ROUND(4.94/FX,2)</f>
        <v>0.69</v>
      </c>
      <c r="D4121" s="21" t="s">
        <v>3520</v>
      </c>
      <c r="E4121" s="21" t="s">
        <v>714</v>
      </c>
      <c r="F4121" s="21" t="s">
        <v>708</v>
      </c>
    </row>
    <row r="4122" customFormat="false" ht="15" hidden="false" customHeight="false" outlineLevel="0" collapsed="false">
      <c r="B4122" s="19" t="s">
        <v>5243</v>
      </c>
      <c r="C4122" s="20" t="n">
        <f aca="false">ROUND(1.95/FX,2)</f>
        <v>0.27</v>
      </c>
      <c r="D4122" s="21" t="s">
        <v>3520</v>
      </c>
      <c r="E4122" s="21" t="s">
        <v>3247</v>
      </c>
      <c r="F4122" s="21" t="s">
        <v>708</v>
      </c>
    </row>
    <row r="4123" customFormat="false" ht="15" hidden="false" customHeight="false" outlineLevel="0" collapsed="false">
      <c r="B4123" s="19" t="s">
        <v>5244</v>
      </c>
      <c r="C4123" s="20" t="n">
        <f aca="false">ROUND(1.95/FX,2)</f>
        <v>0.27</v>
      </c>
      <c r="D4123" s="21" t="s">
        <v>3520</v>
      </c>
      <c r="E4123" s="21" t="s">
        <v>5097</v>
      </c>
      <c r="F4123" s="21" t="s">
        <v>708</v>
      </c>
    </row>
    <row r="4124" customFormat="false" ht="15" hidden="false" customHeight="false" outlineLevel="0" collapsed="false">
      <c r="B4124" s="19" t="s">
        <v>5245</v>
      </c>
      <c r="C4124" s="20" t="n">
        <f aca="false">ROUND(1.95/FX,2)</f>
        <v>0.27</v>
      </c>
      <c r="D4124" s="21" t="s">
        <v>3520</v>
      </c>
      <c r="E4124" s="21" t="s">
        <v>3317</v>
      </c>
      <c r="F4124" s="21" t="s">
        <v>708</v>
      </c>
    </row>
    <row r="4125" customFormat="false" ht="15" hidden="false" customHeight="false" outlineLevel="0" collapsed="false">
      <c r="B4125" s="19" t="s">
        <v>5246</v>
      </c>
      <c r="C4125" s="20" t="n">
        <f aca="false">ROUND(1.95/FX,2)</f>
        <v>0.27</v>
      </c>
      <c r="D4125" s="21" t="s">
        <v>3520</v>
      </c>
      <c r="E4125" s="21" t="s">
        <v>784</v>
      </c>
      <c r="F4125" s="21" t="s">
        <v>708</v>
      </c>
    </row>
    <row r="4126" customFormat="false" ht="15" hidden="false" customHeight="false" outlineLevel="0" collapsed="false">
      <c r="B4126" s="19" t="s">
        <v>5247</v>
      </c>
      <c r="C4126" s="20" t="n">
        <f aca="false">ROUND(1.95/FX,2)</f>
        <v>0.27</v>
      </c>
      <c r="D4126" s="21" t="s">
        <v>3520</v>
      </c>
      <c r="E4126" s="21" t="s">
        <v>3328</v>
      </c>
      <c r="F4126" s="21" t="s">
        <v>708</v>
      </c>
    </row>
    <row r="4127" customFormat="false" ht="15" hidden="false" customHeight="false" outlineLevel="0" collapsed="false">
      <c r="B4127" s="19" t="s">
        <v>5248</v>
      </c>
      <c r="C4127" s="20" t="n">
        <f aca="false">ROUND(1.95/FX,2)</f>
        <v>0.27</v>
      </c>
      <c r="D4127" s="21" t="s">
        <v>3520</v>
      </c>
      <c r="E4127" s="21" t="s">
        <v>716</v>
      </c>
      <c r="F4127" s="21" t="s">
        <v>708</v>
      </c>
    </row>
    <row r="4128" customFormat="false" ht="15" hidden="false" customHeight="false" outlineLevel="0" collapsed="false">
      <c r="B4128" s="19" t="s">
        <v>5249</v>
      </c>
      <c r="C4128" s="20" t="n">
        <f aca="false">ROUND(1.95/FX,2)</f>
        <v>0.27</v>
      </c>
      <c r="D4128" s="21" t="s">
        <v>3520</v>
      </c>
      <c r="E4128" s="21" t="s">
        <v>719</v>
      </c>
      <c r="F4128" s="21" t="s">
        <v>708</v>
      </c>
    </row>
    <row r="4129" customFormat="false" ht="15" hidden="false" customHeight="false" outlineLevel="0" collapsed="false">
      <c r="B4129" s="19" t="s">
        <v>5250</v>
      </c>
      <c r="C4129" s="20" t="n">
        <f aca="false">ROUND(1.95/FX,2)</f>
        <v>0.27</v>
      </c>
      <c r="D4129" s="21" t="s">
        <v>2097</v>
      </c>
      <c r="E4129" s="21" t="s">
        <v>707</v>
      </c>
      <c r="F4129" s="21" t="s">
        <v>708</v>
      </c>
    </row>
    <row r="4130" customFormat="false" ht="15" hidden="false" customHeight="false" outlineLevel="0" collapsed="false">
      <c r="B4130" s="19" t="s">
        <v>5251</v>
      </c>
      <c r="C4130" s="20" t="n">
        <f aca="false">ROUND(1.95/FX,2)</f>
        <v>0.27</v>
      </c>
      <c r="D4130" s="21" t="s">
        <v>2097</v>
      </c>
      <c r="E4130" s="21" t="s">
        <v>5091</v>
      </c>
      <c r="F4130" s="21" t="s">
        <v>708</v>
      </c>
    </row>
    <row r="4131" customFormat="false" ht="15" hidden="false" customHeight="false" outlineLevel="0" collapsed="false">
      <c r="B4131" s="19" t="s">
        <v>5252</v>
      </c>
      <c r="C4131" s="20" t="n">
        <f aca="false">ROUND(1.95/FX,2)</f>
        <v>0.27</v>
      </c>
      <c r="D4131" s="21" t="s">
        <v>2097</v>
      </c>
      <c r="E4131" s="21" t="s">
        <v>4761</v>
      </c>
      <c r="F4131" s="21" t="s">
        <v>708</v>
      </c>
    </row>
    <row r="4132" customFormat="false" ht="15" hidden="false" customHeight="false" outlineLevel="0" collapsed="false">
      <c r="B4132" s="19" t="s">
        <v>5253</v>
      </c>
      <c r="C4132" s="20" t="n">
        <f aca="false">ROUND(1.95/FX,2)</f>
        <v>0.27</v>
      </c>
      <c r="D4132" s="21" t="s">
        <v>2097</v>
      </c>
      <c r="E4132" s="21" t="s">
        <v>4721</v>
      </c>
      <c r="F4132" s="21" t="s">
        <v>708</v>
      </c>
    </row>
    <row r="4133" customFormat="false" ht="15" hidden="false" customHeight="false" outlineLevel="0" collapsed="false">
      <c r="B4133" s="19" t="s">
        <v>5254</v>
      </c>
      <c r="C4133" s="20" t="n">
        <f aca="false">ROUND(4.94/FX,2)</f>
        <v>0.69</v>
      </c>
      <c r="D4133" s="21" t="s">
        <v>2097</v>
      </c>
      <c r="E4133" s="21" t="s">
        <v>714</v>
      </c>
      <c r="F4133" s="21" t="s">
        <v>708</v>
      </c>
    </row>
    <row r="4134" customFormat="false" ht="15" hidden="false" customHeight="false" outlineLevel="0" collapsed="false">
      <c r="B4134" s="19" t="s">
        <v>5255</v>
      </c>
      <c r="C4134" s="20" t="n">
        <f aca="false">ROUND(1.95/FX,2)</f>
        <v>0.27</v>
      </c>
      <c r="D4134" s="21" t="s">
        <v>2097</v>
      </c>
      <c r="E4134" s="21" t="s">
        <v>3247</v>
      </c>
      <c r="F4134" s="21" t="s">
        <v>708</v>
      </c>
    </row>
    <row r="4135" customFormat="false" ht="15" hidden="false" customHeight="false" outlineLevel="0" collapsed="false">
      <c r="B4135" s="19" t="s">
        <v>5256</v>
      </c>
      <c r="C4135" s="20" t="n">
        <f aca="false">ROUND(1.95/FX,2)</f>
        <v>0.27</v>
      </c>
      <c r="D4135" s="21" t="s">
        <v>2097</v>
      </c>
      <c r="E4135" s="21" t="s">
        <v>5097</v>
      </c>
      <c r="F4135" s="21" t="s">
        <v>708</v>
      </c>
    </row>
    <row r="4136" customFormat="false" ht="15" hidden="false" customHeight="false" outlineLevel="0" collapsed="false">
      <c r="B4136" s="19" t="s">
        <v>5257</v>
      </c>
      <c r="C4136" s="20" t="n">
        <f aca="false">ROUND(1.95/FX,2)</f>
        <v>0.27</v>
      </c>
      <c r="D4136" s="21" t="s">
        <v>2097</v>
      </c>
      <c r="E4136" s="21" t="s">
        <v>3317</v>
      </c>
      <c r="F4136" s="21" t="s">
        <v>708</v>
      </c>
    </row>
    <row r="4137" customFormat="false" ht="15" hidden="false" customHeight="false" outlineLevel="0" collapsed="false">
      <c r="B4137" s="19" t="s">
        <v>5258</v>
      </c>
      <c r="C4137" s="20" t="n">
        <f aca="false">ROUND(1.95/FX,2)</f>
        <v>0.27</v>
      </c>
      <c r="D4137" s="21" t="s">
        <v>2097</v>
      </c>
      <c r="E4137" s="21" t="s">
        <v>784</v>
      </c>
      <c r="F4137" s="21" t="s">
        <v>708</v>
      </c>
    </row>
    <row r="4138" customFormat="false" ht="15" hidden="false" customHeight="false" outlineLevel="0" collapsed="false">
      <c r="B4138" s="19" t="s">
        <v>5259</v>
      </c>
      <c r="C4138" s="20" t="n">
        <f aca="false">ROUND(1.95/FX,2)</f>
        <v>0.27</v>
      </c>
      <c r="D4138" s="21" t="s">
        <v>2097</v>
      </c>
      <c r="E4138" s="21" t="s">
        <v>3328</v>
      </c>
      <c r="F4138" s="21" t="s">
        <v>708</v>
      </c>
    </row>
    <row r="4139" customFormat="false" ht="15" hidden="false" customHeight="false" outlineLevel="0" collapsed="false">
      <c r="B4139" s="19" t="s">
        <v>5260</v>
      </c>
      <c r="C4139" s="20" t="n">
        <f aca="false">ROUND(1.95/FX,2)</f>
        <v>0.27</v>
      </c>
      <c r="D4139" s="21" t="s">
        <v>2097</v>
      </c>
      <c r="E4139" s="21" t="s">
        <v>716</v>
      </c>
      <c r="F4139" s="21" t="s">
        <v>708</v>
      </c>
    </row>
    <row r="4140" customFormat="false" ht="15" hidden="false" customHeight="false" outlineLevel="0" collapsed="false">
      <c r="B4140" s="19" t="s">
        <v>5261</v>
      </c>
      <c r="C4140" s="20" t="n">
        <f aca="false">ROUND(1.95/FX,2)</f>
        <v>0.27</v>
      </c>
      <c r="D4140" s="21" t="s">
        <v>2097</v>
      </c>
      <c r="E4140" s="21" t="s">
        <v>719</v>
      </c>
      <c r="F4140" s="21" t="s">
        <v>708</v>
      </c>
    </row>
    <row r="4141" customFormat="false" ht="15" hidden="false" customHeight="false" outlineLevel="0" collapsed="false">
      <c r="B4141" s="19" t="s">
        <v>5262</v>
      </c>
      <c r="C4141" s="20" t="n">
        <f aca="false">ROUND(3.64/FX,2)</f>
        <v>0.51</v>
      </c>
      <c r="D4141" s="21" t="s">
        <v>5263</v>
      </c>
      <c r="E4141" s="21" t="s">
        <v>707</v>
      </c>
      <c r="F4141" s="21" t="s">
        <v>708</v>
      </c>
    </row>
    <row r="4142" customFormat="false" ht="15" hidden="false" customHeight="false" outlineLevel="0" collapsed="false">
      <c r="B4142" s="19" t="s">
        <v>5264</v>
      </c>
      <c r="C4142" s="20" t="n">
        <f aca="false">ROUND(3.9/FX,2)</f>
        <v>0.54</v>
      </c>
      <c r="D4142" s="21" t="s">
        <v>5263</v>
      </c>
      <c r="E4142" s="21" t="s">
        <v>5091</v>
      </c>
      <c r="F4142" s="21" t="s">
        <v>708</v>
      </c>
    </row>
    <row r="4143" customFormat="false" ht="15" hidden="false" customHeight="false" outlineLevel="0" collapsed="false">
      <c r="B4143" s="19" t="s">
        <v>5265</v>
      </c>
      <c r="C4143" s="20" t="n">
        <f aca="false">ROUND(3.38/FX,2)</f>
        <v>0.47</v>
      </c>
      <c r="D4143" s="21" t="s">
        <v>5263</v>
      </c>
      <c r="E4143" s="21" t="s">
        <v>4761</v>
      </c>
      <c r="F4143" s="21" t="s">
        <v>708</v>
      </c>
    </row>
    <row r="4144" customFormat="false" ht="15" hidden="false" customHeight="false" outlineLevel="0" collapsed="false">
      <c r="B4144" s="19" t="s">
        <v>5266</v>
      </c>
      <c r="C4144" s="20" t="n">
        <f aca="false">ROUND(2.08/FX,2)</f>
        <v>0.29</v>
      </c>
      <c r="D4144" s="21" t="s">
        <v>5263</v>
      </c>
      <c r="E4144" s="21" t="s">
        <v>4721</v>
      </c>
      <c r="F4144" s="21" t="s">
        <v>708</v>
      </c>
    </row>
    <row r="4145" customFormat="false" ht="15" hidden="false" customHeight="false" outlineLevel="0" collapsed="false">
      <c r="B4145" s="19" t="s">
        <v>5267</v>
      </c>
      <c r="C4145" s="20" t="n">
        <f aca="false">ROUND(5/FX,2)</f>
        <v>0.69</v>
      </c>
      <c r="D4145" s="21" t="s">
        <v>5263</v>
      </c>
      <c r="E4145" s="21" t="s">
        <v>714</v>
      </c>
      <c r="F4145" s="21" t="s">
        <v>708</v>
      </c>
    </row>
    <row r="4146" customFormat="false" ht="15" hidden="false" customHeight="false" outlineLevel="0" collapsed="false">
      <c r="B4146" s="19" t="s">
        <v>5268</v>
      </c>
      <c r="C4146" s="20" t="n">
        <f aca="false">ROUND(2.08/FX,2)</f>
        <v>0.29</v>
      </c>
      <c r="D4146" s="21" t="s">
        <v>5263</v>
      </c>
      <c r="E4146" s="21" t="s">
        <v>3247</v>
      </c>
      <c r="F4146" s="21" t="s">
        <v>708</v>
      </c>
    </row>
    <row r="4147" customFormat="false" ht="15" hidden="false" customHeight="false" outlineLevel="0" collapsed="false">
      <c r="B4147" s="19" t="s">
        <v>5269</v>
      </c>
      <c r="C4147" s="20" t="n">
        <f aca="false">ROUND(2.08/FX,2)</f>
        <v>0.29</v>
      </c>
      <c r="D4147" s="21" t="s">
        <v>5263</v>
      </c>
      <c r="E4147" s="21" t="s">
        <v>5097</v>
      </c>
      <c r="F4147" s="21" t="s">
        <v>708</v>
      </c>
    </row>
    <row r="4148" customFormat="false" ht="15" hidden="false" customHeight="false" outlineLevel="0" collapsed="false">
      <c r="B4148" s="19" t="s">
        <v>5270</v>
      </c>
      <c r="C4148" s="20" t="n">
        <f aca="false">ROUND(6.93/FX,2)</f>
        <v>0.96</v>
      </c>
      <c r="D4148" s="21" t="s">
        <v>5263</v>
      </c>
      <c r="E4148" s="21" t="s">
        <v>3317</v>
      </c>
      <c r="F4148" s="21" t="s">
        <v>708</v>
      </c>
    </row>
    <row r="4149" customFormat="false" ht="15" hidden="false" customHeight="false" outlineLevel="0" collapsed="false">
      <c r="B4149" s="19" t="s">
        <v>5271</v>
      </c>
      <c r="C4149" s="20" t="n">
        <f aca="false">ROUND(1.95/FX,2)</f>
        <v>0.27</v>
      </c>
      <c r="D4149" s="21" t="s">
        <v>5263</v>
      </c>
      <c r="E4149" s="21" t="s">
        <v>784</v>
      </c>
      <c r="F4149" s="21" t="s">
        <v>708</v>
      </c>
    </row>
    <row r="4150" customFormat="false" ht="15" hidden="false" customHeight="false" outlineLevel="0" collapsed="false">
      <c r="B4150" s="19" t="s">
        <v>5272</v>
      </c>
      <c r="C4150" s="20" t="n">
        <f aca="false">ROUND(1.95/FX,2)</f>
        <v>0.27</v>
      </c>
      <c r="D4150" s="21" t="s">
        <v>5263</v>
      </c>
      <c r="E4150" s="21" t="s">
        <v>3328</v>
      </c>
      <c r="F4150" s="21" t="s">
        <v>708</v>
      </c>
    </row>
    <row r="4151" customFormat="false" ht="15" hidden="false" customHeight="false" outlineLevel="0" collapsed="false">
      <c r="B4151" s="19" t="s">
        <v>5273</v>
      </c>
      <c r="C4151" s="20" t="n">
        <f aca="false">ROUND(3.51/FX,2)</f>
        <v>0.49</v>
      </c>
      <c r="D4151" s="21" t="s">
        <v>5263</v>
      </c>
      <c r="E4151" s="21" t="s">
        <v>716</v>
      </c>
      <c r="F4151" s="21" t="s">
        <v>708</v>
      </c>
    </row>
    <row r="4152" customFormat="false" ht="15" hidden="false" customHeight="false" outlineLevel="0" collapsed="false">
      <c r="B4152" s="19" t="s">
        <v>5274</v>
      </c>
      <c r="C4152" s="20" t="n">
        <f aca="false">ROUND(3.51/FX,2)</f>
        <v>0.49</v>
      </c>
      <c r="D4152" s="21" t="s">
        <v>5263</v>
      </c>
      <c r="E4152" s="21" t="s">
        <v>719</v>
      </c>
      <c r="F4152" s="21" t="s">
        <v>708</v>
      </c>
    </row>
    <row r="4153" customFormat="false" ht="15" hidden="false" customHeight="false" outlineLevel="0" collapsed="false">
      <c r="B4153" s="19" t="s">
        <v>5275</v>
      </c>
      <c r="C4153" s="20" t="n">
        <f aca="false">ROUND(1.95/FX,2)</f>
        <v>0.27</v>
      </c>
      <c r="D4153" s="21" t="s">
        <v>2112</v>
      </c>
      <c r="E4153" s="21" t="s">
        <v>707</v>
      </c>
      <c r="F4153" s="21" t="s">
        <v>708</v>
      </c>
    </row>
    <row r="4154" customFormat="false" ht="15" hidden="false" customHeight="false" outlineLevel="0" collapsed="false">
      <c r="B4154" s="19" t="s">
        <v>5276</v>
      </c>
      <c r="C4154" s="20" t="n">
        <f aca="false">ROUND(1.95/FX,2)</f>
        <v>0.27</v>
      </c>
      <c r="D4154" s="21" t="s">
        <v>2112</v>
      </c>
      <c r="E4154" s="21" t="s">
        <v>5091</v>
      </c>
      <c r="F4154" s="21" t="s">
        <v>708</v>
      </c>
    </row>
    <row r="4155" customFormat="false" ht="15" hidden="false" customHeight="false" outlineLevel="0" collapsed="false">
      <c r="B4155" s="19" t="s">
        <v>5277</v>
      </c>
      <c r="C4155" s="20" t="n">
        <f aca="false">ROUND(1.95/FX,2)</f>
        <v>0.27</v>
      </c>
      <c r="D4155" s="21" t="s">
        <v>2112</v>
      </c>
      <c r="E4155" s="21" t="s">
        <v>4761</v>
      </c>
      <c r="F4155" s="21" t="s">
        <v>708</v>
      </c>
    </row>
    <row r="4156" customFormat="false" ht="15" hidden="false" customHeight="false" outlineLevel="0" collapsed="false">
      <c r="B4156" s="19" t="s">
        <v>5278</v>
      </c>
      <c r="C4156" s="20" t="n">
        <f aca="false">ROUND(1.95/FX,2)</f>
        <v>0.27</v>
      </c>
      <c r="D4156" s="21" t="s">
        <v>2112</v>
      </c>
      <c r="E4156" s="21" t="s">
        <v>4721</v>
      </c>
      <c r="F4156" s="21" t="s">
        <v>708</v>
      </c>
    </row>
    <row r="4157" customFormat="false" ht="15" hidden="false" customHeight="false" outlineLevel="0" collapsed="false">
      <c r="B4157" s="19" t="s">
        <v>5279</v>
      </c>
      <c r="C4157" s="20" t="n">
        <f aca="false">ROUND(5.07/FX,2)</f>
        <v>0.7</v>
      </c>
      <c r="D4157" s="21" t="s">
        <v>2112</v>
      </c>
      <c r="E4157" s="21" t="s">
        <v>714</v>
      </c>
      <c r="F4157" s="21" t="s">
        <v>708</v>
      </c>
    </row>
    <row r="4158" customFormat="false" ht="15" hidden="false" customHeight="false" outlineLevel="0" collapsed="false">
      <c r="B4158" s="19" t="s">
        <v>5280</v>
      </c>
      <c r="C4158" s="20" t="n">
        <f aca="false">ROUND(1.95/FX,2)</f>
        <v>0.27</v>
      </c>
      <c r="D4158" s="21" t="s">
        <v>2112</v>
      </c>
      <c r="E4158" s="21" t="s">
        <v>3247</v>
      </c>
      <c r="F4158" s="21" t="s">
        <v>708</v>
      </c>
    </row>
    <row r="4159" customFormat="false" ht="15" hidden="false" customHeight="false" outlineLevel="0" collapsed="false">
      <c r="B4159" s="19" t="s">
        <v>5281</v>
      </c>
      <c r="C4159" s="20" t="n">
        <f aca="false">ROUND(1.95/FX,2)</f>
        <v>0.27</v>
      </c>
      <c r="D4159" s="21" t="s">
        <v>2112</v>
      </c>
      <c r="E4159" s="21" t="s">
        <v>5097</v>
      </c>
      <c r="F4159" s="21" t="s">
        <v>708</v>
      </c>
    </row>
    <row r="4160" customFormat="false" ht="15" hidden="false" customHeight="false" outlineLevel="0" collapsed="false">
      <c r="B4160" s="19" t="s">
        <v>5282</v>
      </c>
      <c r="C4160" s="20" t="n">
        <f aca="false">ROUND(1.95/FX,2)</f>
        <v>0.27</v>
      </c>
      <c r="D4160" s="21" t="s">
        <v>2112</v>
      </c>
      <c r="E4160" s="21" t="s">
        <v>3317</v>
      </c>
      <c r="F4160" s="21" t="s">
        <v>708</v>
      </c>
    </row>
    <row r="4161" customFormat="false" ht="15" hidden="false" customHeight="false" outlineLevel="0" collapsed="false">
      <c r="B4161" s="19" t="s">
        <v>5283</v>
      </c>
      <c r="C4161" s="20" t="n">
        <f aca="false">ROUND(1.95/FX,2)</f>
        <v>0.27</v>
      </c>
      <c r="D4161" s="21" t="s">
        <v>2112</v>
      </c>
      <c r="E4161" s="21" t="s">
        <v>784</v>
      </c>
      <c r="F4161" s="21" t="s">
        <v>708</v>
      </c>
    </row>
    <row r="4162" customFormat="false" ht="15" hidden="false" customHeight="false" outlineLevel="0" collapsed="false">
      <c r="B4162" s="19" t="s">
        <v>5284</v>
      </c>
      <c r="C4162" s="20" t="n">
        <f aca="false">ROUND(1.95/FX,2)</f>
        <v>0.27</v>
      </c>
      <c r="D4162" s="21" t="s">
        <v>2112</v>
      </c>
      <c r="E4162" s="21" t="s">
        <v>3328</v>
      </c>
      <c r="F4162" s="21" t="s">
        <v>708</v>
      </c>
    </row>
    <row r="4163" customFormat="false" ht="15" hidden="false" customHeight="false" outlineLevel="0" collapsed="false">
      <c r="B4163" s="19" t="s">
        <v>5285</v>
      </c>
      <c r="C4163" s="20" t="n">
        <f aca="false">ROUND(1.95/FX,2)</f>
        <v>0.27</v>
      </c>
      <c r="D4163" s="21" t="s">
        <v>2112</v>
      </c>
      <c r="E4163" s="21" t="s">
        <v>716</v>
      </c>
      <c r="F4163" s="21" t="s">
        <v>708</v>
      </c>
    </row>
    <row r="4164" customFormat="false" ht="15" hidden="false" customHeight="false" outlineLevel="0" collapsed="false">
      <c r="B4164" s="19" t="s">
        <v>5286</v>
      </c>
      <c r="C4164" s="20" t="n">
        <f aca="false">ROUND(1.95/FX,2)</f>
        <v>0.27</v>
      </c>
      <c r="D4164" s="21" t="s">
        <v>2112</v>
      </c>
      <c r="E4164" s="21" t="s">
        <v>719</v>
      </c>
      <c r="F4164" s="21" t="s">
        <v>708</v>
      </c>
    </row>
    <row r="4165" customFormat="false" ht="15" hidden="false" customHeight="false" outlineLevel="0" collapsed="false">
      <c r="B4165" s="19" t="s">
        <v>5287</v>
      </c>
      <c r="C4165" s="20" t="n">
        <f aca="false">ROUND(1.95/FX,2)</f>
        <v>0.27</v>
      </c>
      <c r="D4165" s="21" t="s">
        <v>5288</v>
      </c>
      <c r="E4165" s="21" t="s">
        <v>707</v>
      </c>
      <c r="F4165" s="21" t="s">
        <v>708</v>
      </c>
    </row>
    <row r="4166" customFormat="false" ht="15" hidden="false" customHeight="false" outlineLevel="0" collapsed="false">
      <c r="B4166" s="19" t="s">
        <v>5289</v>
      </c>
      <c r="C4166" s="20" t="n">
        <f aca="false">ROUND(1.95/FX,2)</f>
        <v>0.27</v>
      </c>
      <c r="D4166" s="21" t="s">
        <v>5288</v>
      </c>
      <c r="E4166" s="21" t="s">
        <v>5091</v>
      </c>
      <c r="F4166" s="21" t="s">
        <v>708</v>
      </c>
    </row>
    <row r="4167" customFormat="false" ht="15" hidden="false" customHeight="false" outlineLevel="0" collapsed="false">
      <c r="B4167" s="19" t="s">
        <v>5290</v>
      </c>
      <c r="C4167" s="20" t="n">
        <f aca="false">ROUND(1.95/FX,2)</f>
        <v>0.27</v>
      </c>
      <c r="D4167" s="21" t="s">
        <v>5288</v>
      </c>
      <c r="E4167" s="21" t="s">
        <v>4761</v>
      </c>
      <c r="F4167" s="21" t="s">
        <v>708</v>
      </c>
    </row>
    <row r="4168" customFormat="false" ht="15" hidden="false" customHeight="false" outlineLevel="0" collapsed="false">
      <c r="B4168" s="19" t="s">
        <v>5291</v>
      </c>
      <c r="C4168" s="20" t="n">
        <f aca="false">ROUND(1.95/FX,2)</f>
        <v>0.27</v>
      </c>
      <c r="D4168" s="21" t="s">
        <v>5288</v>
      </c>
      <c r="E4168" s="21" t="s">
        <v>4721</v>
      </c>
      <c r="F4168" s="21" t="s">
        <v>708</v>
      </c>
    </row>
    <row r="4169" customFormat="false" ht="15" hidden="false" customHeight="false" outlineLevel="0" collapsed="false">
      <c r="B4169" s="19" t="s">
        <v>5292</v>
      </c>
      <c r="C4169" s="20" t="n">
        <f aca="false">ROUND(5.07/FX,2)</f>
        <v>0.7</v>
      </c>
      <c r="D4169" s="21" t="s">
        <v>5288</v>
      </c>
      <c r="E4169" s="21" t="s">
        <v>714</v>
      </c>
      <c r="F4169" s="21" t="s">
        <v>708</v>
      </c>
    </row>
    <row r="4170" customFormat="false" ht="15" hidden="false" customHeight="false" outlineLevel="0" collapsed="false">
      <c r="B4170" s="19" t="s">
        <v>5293</v>
      </c>
      <c r="C4170" s="20" t="n">
        <f aca="false">ROUND(1.95/FX,2)</f>
        <v>0.27</v>
      </c>
      <c r="D4170" s="21" t="s">
        <v>5288</v>
      </c>
      <c r="E4170" s="21" t="s">
        <v>3247</v>
      </c>
      <c r="F4170" s="21" t="s">
        <v>708</v>
      </c>
    </row>
    <row r="4171" customFormat="false" ht="15" hidden="false" customHeight="false" outlineLevel="0" collapsed="false">
      <c r="B4171" s="19" t="s">
        <v>5294</v>
      </c>
      <c r="C4171" s="20" t="n">
        <f aca="false">ROUND(1.95/FX,2)</f>
        <v>0.27</v>
      </c>
      <c r="D4171" s="21" t="s">
        <v>5288</v>
      </c>
      <c r="E4171" s="21" t="s">
        <v>5097</v>
      </c>
      <c r="F4171" s="21" t="s">
        <v>708</v>
      </c>
    </row>
    <row r="4172" customFormat="false" ht="15" hidden="false" customHeight="false" outlineLevel="0" collapsed="false">
      <c r="B4172" s="19" t="s">
        <v>5295</v>
      </c>
      <c r="C4172" s="20" t="n">
        <f aca="false">ROUND(1.95/FX,2)</f>
        <v>0.27</v>
      </c>
      <c r="D4172" s="21" t="s">
        <v>5288</v>
      </c>
      <c r="E4172" s="21" t="s">
        <v>3317</v>
      </c>
      <c r="F4172" s="21" t="s">
        <v>708</v>
      </c>
    </row>
    <row r="4173" customFormat="false" ht="15" hidden="false" customHeight="false" outlineLevel="0" collapsed="false">
      <c r="B4173" s="19" t="s">
        <v>5296</v>
      </c>
      <c r="C4173" s="20" t="n">
        <f aca="false">ROUND(1.95/FX,2)</f>
        <v>0.27</v>
      </c>
      <c r="D4173" s="21" t="s">
        <v>5288</v>
      </c>
      <c r="E4173" s="21" t="s">
        <v>784</v>
      </c>
      <c r="F4173" s="21" t="s">
        <v>708</v>
      </c>
    </row>
    <row r="4174" customFormat="false" ht="15" hidden="false" customHeight="false" outlineLevel="0" collapsed="false">
      <c r="B4174" s="19" t="s">
        <v>5297</v>
      </c>
      <c r="C4174" s="20" t="n">
        <f aca="false">ROUND(1.95/FX,2)</f>
        <v>0.27</v>
      </c>
      <c r="D4174" s="21" t="s">
        <v>5288</v>
      </c>
      <c r="E4174" s="21" t="s">
        <v>3328</v>
      </c>
      <c r="F4174" s="21" t="s">
        <v>708</v>
      </c>
    </row>
    <row r="4175" customFormat="false" ht="15" hidden="false" customHeight="false" outlineLevel="0" collapsed="false">
      <c r="B4175" s="19" t="s">
        <v>5298</v>
      </c>
      <c r="C4175" s="20" t="n">
        <f aca="false">ROUND(1.95/FX,2)</f>
        <v>0.27</v>
      </c>
      <c r="D4175" s="21" t="s">
        <v>5288</v>
      </c>
      <c r="E4175" s="21" t="s">
        <v>716</v>
      </c>
      <c r="F4175" s="21" t="s">
        <v>708</v>
      </c>
    </row>
    <row r="4176" customFormat="false" ht="15" hidden="false" customHeight="false" outlineLevel="0" collapsed="false">
      <c r="B4176" s="19" t="s">
        <v>5299</v>
      </c>
      <c r="C4176" s="20" t="n">
        <f aca="false">ROUND(1.95/FX,2)</f>
        <v>0.27</v>
      </c>
      <c r="D4176" s="21" t="s">
        <v>5288</v>
      </c>
      <c r="E4176" s="21" t="s">
        <v>719</v>
      </c>
      <c r="F4176" s="21" t="s">
        <v>708</v>
      </c>
    </row>
    <row r="4177" customFormat="false" ht="15" hidden="false" customHeight="false" outlineLevel="0" collapsed="false">
      <c r="B4177" s="19" t="s">
        <v>5300</v>
      </c>
      <c r="C4177" s="20" t="n">
        <f aca="false">ROUND(2.6/FX,2)</f>
        <v>0.36</v>
      </c>
      <c r="D4177" s="21" t="s">
        <v>2127</v>
      </c>
      <c r="E4177" s="21" t="s">
        <v>707</v>
      </c>
      <c r="F4177" s="21" t="s">
        <v>708</v>
      </c>
    </row>
    <row r="4178" customFormat="false" ht="15" hidden="false" customHeight="false" outlineLevel="0" collapsed="false">
      <c r="B4178" s="19" t="s">
        <v>5301</v>
      </c>
      <c r="C4178" s="20" t="n">
        <f aca="false">ROUND(3.9/FX,2)</f>
        <v>0.54</v>
      </c>
      <c r="D4178" s="21" t="s">
        <v>2127</v>
      </c>
      <c r="E4178" s="21" t="s">
        <v>5091</v>
      </c>
      <c r="F4178" s="21" t="s">
        <v>708</v>
      </c>
    </row>
    <row r="4179" customFormat="false" ht="15" hidden="false" customHeight="false" outlineLevel="0" collapsed="false">
      <c r="B4179" s="19" t="s">
        <v>5302</v>
      </c>
      <c r="C4179" s="20" t="n">
        <f aca="false">ROUND(3.38/FX,2)</f>
        <v>0.47</v>
      </c>
      <c r="D4179" s="21" t="s">
        <v>2127</v>
      </c>
      <c r="E4179" s="21" t="s">
        <v>4761</v>
      </c>
      <c r="F4179" s="21" t="s">
        <v>708</v>
      </c>
    </row>
    <row r="4180" customFormat="false" ht="15" hidden="false" customHeight="false" outlineLevel="0" collapsed="false">
      <c r="B4180" s="19" t="s">
        <v>5303</v>
      </c>
      <c r="C4180" s="20" t="n">
        <f aca="false">ROUND(5.22/FX,2)</f>
        <v>0.73</v>
      </c>
      <c r="D4180" s="21" t="s">
        <v>2127</v>
      </c>
      <c r="E4180" s="21" t="s">
        <v>4721</v>
      </c>
      <c r="F4180" s="21" t="s">
        <v>708</v>
      </c>
    </row>
    <row r="4181" customFormat="false" ht="15" hidden="false" customHeight="false" outlineLevel="0" collapsed="false">
      <c r="B4181" s="19" t="s">
        <v>5304</v>
      </c>
      <c r="C4181" s="20" t="n">
        <f aca="false">ROUND(5.2/FX,2)</f>
        <v>0.72</v>
      </c>
      <c r="D4181" s="21" t="s">
        <v>2127</v>
      </c>
      <c r="E4181" s="21" t="s">
        <v>714</v>
      </c>
      <c r="F4181" s="21" t="s">
        <v>708</v>
      </c>
    </row>
    <row r="4182" customFormat="false" ht="15" hidden="false" customHeight="false" outlineLevel="0" collapsed="false">
      <c r="B4182" s="19" t="s">
        <v>5305</v>
      </c>
      <c r="C4182" s="20" t="n">
        <f aca="false">ROUND(2.08/FX,2)</f>
        <v>0.29</v>
      </c>
      <c r="D4182" s="21" t="s">
        <v>2127</v>
      </c>
      <c r="E4182" s="21" t="s">
        <v>3247</v>
      </c>
      <c r="F4182" s="21" t="s">
        <v>708</v>
      </c>
    </row>
    <row r="4183" customFormat="false" ht="15" hidden="false" customHeight="false" outlineLevel="0" collapsed="false">
      <c r="B4183" s="19" t="s">
        <v>5306</v>
      </c>
      <c r="C4183" s="20" t="n">
        <f aca="false">ROUND(2.08/FX,2)</f>
        <v>0.29</v>
      </c>
      <c r="D4183" s="21" t="s">
        <v>2127</v>
      </c>
      <c r="E4183" s="21" t="s">
        <v>5097</v>
      </c>
      <c r="F4183" s="21" t="s">
        <v>708</v>
      </c>
    </row>
    <row r="4184" customFormat="false" ht="15" hidden="false" customHeight="false" outlineLevel="0" collapsed="false">
      <c r="B4184" s="19" t="s">
        <v>5307</v>
      </c>
      <c r="C4184" s="20" t="n">
        <f aca="false">ROUND(6.93/FX,2)</f>
        <v>0.96</v>
      </c>
      <c r="D4184" s="21" t="s">
        <v>2127</v>
      </c>
      <c r="E4184" s="21" t="s">
        <v>3317</v>
      </c>
      <c r="F4184" s="21" t="s">
        <v>708</v>
      </c>
    </row>
    <row r="4185" customFormat="false" ht="15" hidden="false" customHeight="false" outlineLevel="0" collapsed="false">
      <c r="B4185" s="19" t="s">
        <v>5308</v>
      </c>
      <c r="C4185" s="20" t="n">
        <f aca="false">ROUND(1.95/FX,2)</f>
        <v>0.27</v>
      </c>
      <c r="D4185" s="21" t="s">
        <v>2127</v>
      </c>
      <c r="E4185" s="21" t="s">
        <v>784</v>
      </c>
      <c r="F4185" s="21" t="s">
        <v>708</v>
      </c>
    </row>
    <row r="4186" customFormat="false" ht="15" hidden="false" customHeight="false" outlineLevel="0" collapsed="false">
      <c r="B4186" s="19" t="s">
        <v>5309</v>
      </c>
      <c r="C4186" s="20" t="n">
        <f aca="false">ROUND(1.95/FX,2)</f>
        <v>0.27</v>
      </c>
      <c r="D4186" s="21" t="s">
        <v>2127</v>
      </c>
      <c r="E4186" s="21" t="s">
        <v>3328</v>
      </c>
      <c r="F4186" s="21" t="s">
        <v>708</v>
      </c>
    </row>
    <row r="4187" customFormat="false" ht="15" hidden="false" customHeight="false" outlineLevel="0" collapsed="false">
      <c r="B4187" s="19" t="s">
        <v>5310</v>
      </c>
      <c r="C4187" s="20" t="n">
        <f aca="false">ROUND(3.51/FX,2)</f>
        <v>0.49</v>
      </c>
      <c r="D4187" s="21" t="s">
        <v>2127</v>
      </c>
      <c r="E4187" s="21" t="s">
        <v>716</v>
      </c>
      <c r="F4187" s="21" t="s">
        <v>708</v>
      </c>
    </row>
    <row r="4188" customFormat="false" ht="15" hidden="false" customHeight="false" outlineLevel="0" collapsed="false">
      <c r="B4188" s="19" t="s">
        <v>5311</v>
      </c>
      <c r="C4188" s="20" t="n">
        <f aca="false">ROUND(2.6/FX,2)</f>
        <v>0.36</v>
      </c>
      <c r="D4188" s="21" t="s">
        <v>2127</v>
      </c>
      <c r="E4188" s="21" t="s">
        <v>719</v>
      </c>
      <c r="F4188" s="21" t="s">
        <v>708</v>
      </c>
    </row>
    <row r="4189" customFormat="false" ht="15" hidden="false" customHeight="false" outlineLevel="0" collapsed="false">
      <c r="B4189" s="19" t="s">
        <v>5312</v>
      </c>
      <c r="C4189" s="20" t="n">
        <f aca="false">ROUND(2.6/FX,2)</f>
        <v>0.36</v>
      </c>
      <c r="D4189" s="21" t="s">
        <v>3597</v>
      </c>
      <c r="E4189" s="21" t="s">
        <v>707</v>
      </c>
      <c r="F4189" s="21" t="s">
        <v>708</v>
      </c>
    </row>
    <row r="4190" customFormat="false" ht="15" hidden="false" customHeight="false" outlineLevel="0" collapsed="false">
      <c r="B4190" s="19" t="s">
        <v>5313</v>
      </c>
      <c r="C4190" s="20" t="n">
        <f aca="false">ROUND(3.9/FX,2)</f>
        <v>0.54</v>
      </c>
      <c r="D4190" s="21" t="s">
        <v>3597</v>
      </c>
      <c r="E4190" s="21" t="s">
        <v>5091</v>
      </c>
      <c r="F4190" s="21" t="s">
        <v>708</v>
      </c>
    </row>
    <row r="4191" customFormat="false" ht="15" hidden="false" customHeight="false" outlineLevel="0" collapsed="false">
      <c r="B4191" s="19" t="s">
        <v>5314</v>
      </c>
      <c r="C4191" s="20" t="n">
        <f aca="false">ROUND(3.38/FX,2)</f>
        <v>0.47</v>
      </c>
      <c r="D4191" s="21" t="s">
        <v>3597</v>
      </c>
      <c r="E4191" s="21" t="s">
        <v>4761</v>
      </c>
      <c r="F4191" s="21" t="s">
        <v>708</v>
      </c>
    </row>
    <row r="4192" customFormat="false" ht="15" hidden="false" customHeight="false" outlineLevel="0" collapsed="false">
      <c r="B4192" s="19" t="s">
        <v>5315</v>
      </c>
      <c r="C4192" s="20" t="n">
        <f aca="false">ROUND(2.08/FX,2)</f>
        <v>0.29</v>
      </c>
      <c r="D4192" s="21" t="s">
        <v>3597</v>
      </c>
      <c r="E4192" s="21" t="s">
        <v>4721</v>
      </c>
      <c r="F4192" s="21" t="s">
        <v>708</v>
      </c>
    </row>
    <row r="4193" customFormat="false" ht="15" hidden="false" customHeight="false" outlineLevel="0" collapsed="false">
      <c r="B4193" s="19" t="s">
        <v>5316</v>
      </c>
      <c r="C4193" s="20" t="n">
        <f aca="false">ROUND(5.2/FX,2)</f>
        <v>0.72</v>
      </c>
      <c r="D4193" s="21" t="s">
        <v>3597</v>
      </c>
      <c r="E4193" s="21" t="s">
        <v>714</v>
      </c>
      <c r="F4193" s="21" t="s">
        <v>708</v>
      </c>
    </row>
    <row r="4194" customFormat="false" ht="15" hidden="false" customHeight="false" outlineLevel="0" collapsed="false">
      <c r="B4194" s="19" t="s">
        <v>5317</v>
      </c>
      <c r="C4194" s="20" t="n">
        <f aca="false">ROUND(2.08/FX,2)</f>
        <v>0.29</v>
      </c>
      <c r="D4194" s="21" t="s">
        <v>3597</v>
      </c>
      <c r="E4194" s="21" t="s">
        <v>3247</v>
      </c>
      <c r="F4194" s="21" t="s">
        <v>708</v>
      </c>
    </row>
    <row r="4195" customFormat="false" ht="15" hidden="false" customHeight="false" outlineLevel="0" collapsed="false">
      <c r="B4195" s="19" t="s">
        <v>5318</v>
      </c>
      <c r="C4195" s="20" t="n">
        <f aca="false">ROUND(2.08/FX,2)</f>
        <v>0.29</v>
      </c>
      <c r="D4195" s="21" t="s">
        <v>3597</v>
      </c>
      <c r="E4195" s="21" t="s">
        <v>5097</v>
      </c>
      <c r="F4195" s="21" t="s">
        <v>708</v>
      </c>
    </row>
    <row r="4196" customFormat="false" ht="15" hidden="false" customHeight="false" outlineLevel="0" collapsed="false">
      <c r="B4196" s="19" t="s">
        <v>5319</v>
      </c>
      <c r="C4196" s="20" t="n">
        <f aca="false">ROUND(6.93/FX,2)</f>
        <v>0.96</v>
      </c>
      <c r="D4196" s="21" t="s">
        <v>3597</v>
      </c>
      <c r="E4196" s="21" t="s">
        <v>3317</v>
      </c>
      <c r="F4196" s="21" t="s">
        <v>708</v>
      </c>
    </row>
    <row r="4197" customFormat="false" ht="15" hidden="false" customHeight="false" outlineLevel="0" collapsed="false">
      <c r="B4197" s="19" t="s">
        <v>5320</v>
      </c>
      <c r="C4197" s="20" t="n">
        <f aca="false">ROUND(1.95/FX,2)</f>
        <v>0.27</v>
      </c>
      <c r="D4197" s="21" t="s">
        <v>3597</v>
      </c>
      <c r="E4197" s="21" t="s">
        <v>784</v>
      </c>
      <c r="F4197" s="21" t="s">
        <v>708</v>
      </c>
    </row>
    <row r="4198" customFormat="false" ht="15" hidden="false" customHeight="false" outlineLevel="0" collapsed="false">
      <c r="B4198" s="19" t="s">
        <v>5321</v>
      </c>
      <c r="C4198" s="20" t="n">
        <f aca="false">ROUND(1.95/FX,2)</f>
        <v>0.27</v>
      </c>
      <c r="D4198" s="21" t="s">
        <v>3597</v>
      </c>
      <c r="E4198" s="21" t="s">
        <v>3328</v>
      </c>
      <c r="F4198" s="21" t="s">
        <v>708</v>
      </c>
    </row>
    <row r="4199" customFormat="false" ht="15" hidden="false" customHeight="false" outlineLevel="0" collapsed="false">
      <c r="B4199" s="19" t="s">
        <v>5322</v>
      </c>
      <c r="C4199" s="20" t="n">
        <f aca="false">ROUND(3.51/FX,2)</f>
        <v>0.49</v>
      </c>
      <c r="D4199" s="21" t="s">
        <v>3597</v>
      </c>
      <c r="E4199" s="21" t="s">
        <v>716</v>
      </c>
      <c r="F4199" s="21" t="s">
        <v>708</v>
      </c>
    </row>
    <row r="4200" customFormat="false" ht="15" hidden="false" customHeight="false" outlineLevel="0" collapsed="false">
      <c r="B4200" s="19" t="s">
        <v>5323</v>
      </c>
      <c r="C4200" s="20" t="n">
        <f aca="false">ROUND(3.77/FX,2)</f>
        <v>0.52</v>
      </c>
      <c r="D4200" s="21" t="s">
        <v>3597</v>
      </c>
      <c r="E4200" s="21" t="s">
        <v>719</v>
      </c>
      <c r="F4200" s="21" t="s">
        <v>708</v>
      </c>
    </row>
    <row r="4201" customFormat="false" ht="15" hidden="false" customHeight="false" outlineLevel="0" collapsed="false">
      <c r="B4201" s="19" t="s">
        <v>5324</v>
      </c>
      <c r="C4201" s="20" t="n">
        <f aca="false">ROUND(2.6/FX,2)</f>
        <v>0.36</v>
      </c>
      <c r="D4201" s="21" t="s">
        <v>2142</v>
      </c>
      <c r="E4201" s="21" t="s">
        <v>707</v>
      </c>
      <c r="F4201" s="21" t="s">
        <v>708</v>
      </c>
    </row>
    <row r="4202" customFormat="false" ht="15" hidden="false" customHeight="false" outlineLevel="0" collapsed="false">
      <c r="B4202" s="19" t="s">
        <v>5325</v>
      </c>
      <c r="C4202" s="20" t="n">
        <f aca="false">ROUND(3.9/FX,2)</f>
        <v>0.54</v>
      </c>
      <c r="D4202" s="21" t="s">
        <v>2142</v>
      </c>
      <c r="E4202" s="21" t="s">
        <v>5091</v>
      </c>
      <c r="F4202" s="21" t="s">
        <v>708</v>
      </c>
    </row>
    <row r="4203" customFormat="false" ht="15" hidden="false" customHeight="false" outlineLevel="0" collapsed="false">
      <c r="B4203" s="19" t="s">
        <v>5326</v>
      </c>
      <c r="C4203" s="20" t="n">
        <f aca="false">ROUND(5.2/FX,2)</f>
        <v>0.72</v>
      </c>
      <c r="D4203" s="21" t="s">
        <v>2142</v>
      </c>
      <c r="E4203" s="21" t="s">
        <v>4761</v>
      </c>
      <c r="F4203" s="21" t="s">
        <v>708</v>
      </c>
    </row>
    <row r="4204" customFormat="false" ht="15" hidden="false" customHeight="false" outlineLevel="0" collapsed="false">
      <c r="B4204" s="19" t="s">
        <v>5327</v>
      </c>
      <c r="C4204" s="20" t="n">
        <f aca="false">ROUND(2.08/FX,2)</f>
        <v>0.29</v>
      </c>
      <c r="D4204" s="21" t="s">
        <v>2142</v>
      </c>
      <c r="E4204" s="21" t="s">
        <v>4721</v>
      </c>
      <c r="F4204" s="21" t="s">
        <v>708</v>
      </c>
    </row>
    <row r="4205" customFormat="false" ht="15" hidden="false" customHeight="false" outlineLevel="0" collapsed="false">
      <c r="B4205" s="19" t="s">
        <v>5328</v>
      </c>
      <c r="C4205" s="20" t="n">
        <f aca="false">ROUND(5.72/FX,2)</f>
        <v>0.79</v>
      </c>
      <c r="D4205" s="21" t="s">
        <v>2142</v>
      </c>
      <c r="E4205" s="21" t="s">
        <v>714</v>
      </c>
      <c r="F4205" s="21" t="s">
        <v>708</v>
      </c>
    </row>
    <row r="4206" customFormat="false" ht="15" hidden="false" customHeight="false" outlineLevel="0" collapsed="false">
      <c r="B4206" s="19" t="s">
        <v>5329</v>
      </c>
      <c r="C4206" s="20" t="n">
        <f aca="false">ROUND(2.08/FX,2)</f>
        <v>0.29</v>
      </c>
      <c r="D4206" s="21" t="s">
        <v>2142</v>
      </c>
      <c r="E4206" s="21" t="s">
        <v>3247</v>
      </c>
      <c r="F4206" s="21" t="s">
        <v>708</v>
      </c>
    </row>
    <row r="4207" customFormat="false" ht="15" hidden="false" customHeight="false" outlineLevel="0" collapsed="false">
      <c r="B4207" s="19" t="s">
        <v>5330</v>
      </c>
      <c r="C4207" s="20" t="n">
        <f aca="false">ROUND(2.08/FX,2)</f>
        <v>0.29</v>
      </c>
      <c r="D4207" s="21" t="s">
        <v>2142</v>
      </c>
      <c r="E4207" s="21" t="s">
        <v>5097</v>
      </c>
      <c r="F4207" s="21" t="s">
        <v>708</v>
      </c>
    </row>
    <row r="4208" customFormat="false" ht="15" hidden="false" customHeight="false" outlineLevel="0" collapsed="false">
      <c r="B4208" s="19" t="s">
        <v>5331</v>
      </c>
      <c r="C4208" s="20" t="n">
        <f aca="false">ROUND(9.62/FX,2)</f>
        <v>1.34</v>
      </c>
      <c r="D4208" s="21" t="s">
        <v>2142</v>
      </c>
      <c r="E4208" s="21" t="s">
        <v>3317</v>
      </c>
      <c r="F4208" s="21" t="s">
        <v>708</v>
      </c>
    </row>
    <row r="4209" customFormat="false" ht="15" hidden="false" customHeight="false" outlineLevel="0" collapsed="false">
      <c r="B4209" s="19" t="s">
        <v>5332</v>
      </c>
      <c r="C4209" s="20" t="n">
        <f aca="false">ROUND(1.95/FX,2)</f>
        <v>0.27</v>
      </c>
      <c r="D4209" s="21" t="s">
        <v>2142</v>
      </c>
      <c r="E4209" s="21" t="s">
        <v>784</v>
      </c>
      <c r="F4209" s="21" t="s">
        <v>708</v>
      </c>
    </row>
    <row r="4210" customFormat="false" ht="15" hidden="false" customHeight="false" outlineLevel="0" collapsed="false">
      <c r="B4210" s="19" t="s">
        <v>5333</v>
      </c>
      <c r="C4210" s="20" t="n">
        <f aca="false">ROUND(1.95/FX,2)</f>
        <v>0.27</v>
      </c>
      <c r="D4210" s="21" t="s">
        <v>2142</v>
      </c>
      <c r="E4210" s="21" t="s">
        <v>3328</v>
      </c>
      <c r="F4210" s="21" t="s">
        <v>708</v>
      </c>
    </row>
    <row r="4211" customFormat="false" ht="15" hidden="false" customHeight="false" outlineLevel="0" collapsed="false">
      <c r="B4211" s="19" t="s">
        <v>5334</v>
      </c>
      <c r="C4211" s="20" t="n">
        <f aca="false">ROUND(3.51/FX,2)</f>
        <v>0.49</v>
      </c>
      <c r="D4211" s="21" t="s">
        <v>2142</v>
      </c>
      <c r="E4211" s="21" t="s">
        <v>716</v>
      </c>
      <c r="F4211" s="21" t="s">
        <v>708</v>
      </c>
    </row>
    <row r="4212" customFormat="false" ht="15" hidden="false" customHeight="false" outlineLevel="0" collapsed="false">
      <c r="B4212" s="19" t="s">
        <v>5335</v>
      </c>
      <c r="C4212" s="20" t="n">
        <f aca="false">ROUND(2.08/FX,2)</f>
        <v>0.29</v>
      </c>
      <c r="D4212" s="21" t="s">
        <v>2142</v>
      </c>
      <c r="E4212" s="21" t="s">
        <v>719</v>
      </c>
      <c r="F4212" s="21" t="s">
        <v>708</v>
      </c>
    </row>
    <row r="4213" customFormat="false" ht="15" hidden="false" customHeight="false" outlineLevel="0" collapsed="false">
      <c r="B4213" s="19" t="s">
        <v>5336</v>
      </c>
      <c r="C4213" s="20" t="n">
        <f aca="false">ROUND(1.95/FX,2)</f>
        <v>0.27</v>
      </c>
      <c r="D4213" s="21" t="s">
        <v>5337</v>
      </c>
      <c r="E4213" s="21" t="s">
        <v>707</v>
      </c>
      <c r="F4213" s="21" t="s">
        <v>708</v>
      </c>
    </row>
    <row r="4214" customFormat="false" ht="15" hidden="false" customHeight="false" outlineLevel="0" collapsed="false">
      <c r="B4214" s="19" t="s">
        <v>5338</v>
      </c>
      <c r="C4214" s="20" t="n">
        <f aca="false">ROUND(1.95/FX,2)</f>
        <v>0.27</v>
      </c>
      <c r="D4214" s="21" t="s">
        <v>5337</v>
      </c>
      <c r="E4214" s="21" t="s">
        <v>5091</v>
      </c>
      <c r="F4214" s="21" t="s">
        <v>708</v>
      </c>
    </row>
    <row r="4215" customFormat="false" ht="15" hidden="false" customHeight="false" outlineLevel="0" collapsed="false">
      <c r="B4215" s="19" t="s">
        <v>5339</v>
      </c>
      <c r="C4215" s="20" t="n">
        <f aca="false">ROUND(1.95/FX,2)</f>
        <v>0.27</v>
      </c>
      <c r="D4215" s="21" t="s">
        <v>5337</v>
      </c>
      <c r="E4215" s="21" t="s">
        <v>4761</v>
      </c>
      <c r="F4215" s="21" t="s">
        <v>708</v>
      </c>
    </row>
    <row r="4216" customFormat="false" ht="15" hidden="false" customHeight="false" outlineLevel="0" collapsed="false">
      <c r="B4216" s="19" t="s">
        <v>5340</v>
      </c>
      <c r="C4216" s="20" t="n">
        <f aca="false">ROUND(1.95/FX,2)</f>
        <v>0.27</v>
      </c>
      <c r="D4216" s="21" t="s">
        <v>5337</v>
      </c>
      <c r="E4216" s="21" t="s">
        <v>4721</v>
      </c>
      <c r="F4216" s="21" t="s">
        <v>708</v>
      </c>
    </row>
    <row r="4217" customFormat="false" ht="15" hidden="false" customHeight="false" outlineLevel="0" collapsed="false">
      <c r="B4217" s="19" t="s">
        <v>5341</v>
      </c>
      <c r="C4217" s="20" t="n">
        <f aca="false">ROUND(5.33/FX,2)</f>
        <v>0.74</v>
      </c>
      <c r="D4217" s="21" t="s">
        <v>5337</v>
      </c>
      <c r="E4217" s="21" t="s">
        <v>714</v>
      </c>
      <c r="F4217" s="21" t="s">
        <v>708</v>
      </c>
    </row>
    <row r="4218" customFormat="false" ht="15" hidden="false" customHeight="false" outlineLevel="0" collapsed="false">
      <c r="B4218" s="19" t="s">
        <v>5342</v>
      </c>
      <c r="C4218" s="20" t="n">
        <f aca="false">ROUND(1.95/FX,2)</f>
        <v>0.27</v>
      </c>
      <c r="D4218" s="21" t="s">
        <v>5337</v>
      </c>
      <c r="E4218" s="21" t="s">
        <v>3247</v>
      </c>
      <c r="F4218" s="21" t="s">
        <v>708</v>
      </c>
    </row>
    <row r="4219" customFormat="false" ht="15" hidden="false" customHeight="false" outlineLevel="0" collapsed="false">
      <c r="B4219" s="19" t="s">
        <v>5343</v>
      </c>
      <c r="C4219" s="20" t="n">
        <f aca="false">ROUND(1.95/FX,2)</f>
        <v>0.27</v>
      </c>
      <c r="D4219" s="21" t="s">
        <v>5337</v>
      </c>
      <c r="E4219" s="21" t="s">
        <v>5097</v>
      </c>
      <c r="F4219" s="21" t="s">
        <v>708</v>
      </c>
    </row>
    <row r="4220" customFormat="false" ht="15" hidden="false" customHeight="false" outlineLevel="0" collapsed="false">
      <c r="B4220" s="19" t="s">
        <v>5344</v>
      </c>
      <c r="C4220" s="20" t="n">
        <f aca="false">ROUND(1.95/FX,2)</f>
        <v>0.27</v>
      </c>
      <c r="D4220" s="21" t="s">
        <v>5337</v>
      </c>
      <c r="E4220" s="21" t="s">
        <v>3317</v>
      </c>
      <c r="F4220" s="21" t="s">
        <v>708</v>
      </c>
    </row>
    <row r="4221" customFormat="false" ht="15" hidden="false" customHeight="false" outlineLevel="0" collapsed="false">
      <c r="B4221" s="19" t="s">
        <v>5345</v>
      </c>
      <c r="C4221" s="20" t="n">
        <f aca="false">ROUND(1.95/FX,2)</f>
        <v>0.27</v>
      </c>
      <c r="D4221" s="21" t="s">
        <v>5337</v>
      </c>
      <c r="E4221" s="21" t="s">
        <v>784</v>
      </c>
      <c r="F4221" s="21" t="s">
        <v>708</v>
      </c>
    </row>
    <row r="4222" customFormat="false" ht="15" hidden="false" customHeight="false" outlineLevel="0" collapsed="false">
      <c r="B4222" s="19" t="s">
        <v>5346</v>
      </c>
      <c r="C4222" s="20" t="n">
        <f aca="false">ROUND(1.95/FX,2)</f>
        <v>0.27</v>
      </c>
      <c r="D4222" s="21" t="s">
        <v>5337</v>
      </c>
      <c r="E4222" s="21" t="s">
        <v>3328</v>
      </c>
      <c r="F4222" s="21" t="s">
        <v>708</v>
      </c>
    </row>
    <row r="4223" customFormat="false" ht="15" hidden="false" customHeight="false" outlineLevel="0" collapsed="false">
      <c r="B4223" s="19" t="s">
        <v>5347</v>
      </c>
      <c r="C4223" s="20" t="n">
        <f aca="false">ROUND(1.95/FX,2)</f>
        <v>0.27</v>
      </c>
      <c r="D4223" s="21" t="s">
        <v>5337</v>
      </c>
      <c r="E4223" s="21" t="s">
        <v>716</v>
      </c>
      <c r="F4223" s="21" t="s">
        <v>708</v>
      </c>
    </row>
    <row r="4224" customFormat="false" ht="15" hidden="false" customHeight="false" outlineLevel="0" collapsed="false">
      <c r="B4224" s="19" t="s">
        <v>5348</v>
      </c>
      <c r="C4224" s="20" t="n">
        <f aca="false">ROUND(1.95/FX,2)</f>
        <v>0.27</v>
      </c>
      <c r="D4224" s="21" t="s">
        <v>5337</v>
      </c>
      <c r="E4224" s="21" t="s">
        <v>719</v>
      </c>
      <c r="F4224" s="21" t="s">
        <v>708</v>
      </c>
    </row>
    <row r="4225" customFormat="false" ht="15" hidden="false" customHeight="false" outlineLevel="0" collapsed="false">
      <c r="B4225" s="19" t="s">
        <v>5349</v>
      </c>
      <c r="C4225" s="20" t="n">
        <f aca="false">ROUND(3.51/FX,2)</f>
        <v>0.49</v>
      </c>
      <c r="D4225" s="21" t="s">
        <v>3637</v>
      </c>
      <c r="E4225" s="21" t="s">
        <v>707</v>
      </c>
      <c r="F4225" s="21" t="s">
        <v>708</v>
      </c>
    </row>
    <row r="4226" customFormat="false" ht="15" hidden="false" customHeight="false" outlineLevel="0" collapsed="false">
      <c r="B4226" s="19" t="s">
        <v>5350</v>
      </c>
      <c r="C4226" s="20" t="n">
        <f aca="false">ROUND(3.51/FX,2)</f>
        <v>0.49</v>
      </c>
      <c r="D4226" s="21" t="s">
        <v>3637</v>
      </c>
      <c r="E4226" s="21" t="s">
        <v>5091</v>
      </c>
      <c r="F4226" s="21" t="s">
        <v>708</v>
      </c>
    </row>
    <row r="4227" customFormat="false" ht="15" hidden="false" customHeight="false" outlineLevel="0" collapsed="false">
      <c r="B4227" s="19" t="s">
        <v>5351</v>
      </c>
      <c r="C4227" s="20" t="n">
        <f aca="false">ROUND(3.51/FX,2)</f>
        <v>0.49</v>
      </c>
      <c r="D4227" s="21" t="s">
        <v>3637</v>
      </c>
      <c r="E4227" s="21" t="s">
        <v>4761</v>
      </c>
      <c r="F4227" s="21" t="s">
        <v>708</v>
      </c>
    </row>
    <row r="4228" customFormat="false" ht="15" hidden="false" customHeight="false" outlineLevel="0" collapsed="false">
      <c r="B4228" s="19" t="s">
        <v>5352</v>
      </c>
      <c r="C4228" s="20" t="n">
        <f aca="false">ROUND(3.51/FX,2)</f>
        <v>0.49</v>
      </c>
      <c r="D4228" s="21" t="s">
        <v>3637</v>
      </c>
      <c r="E4228" s="21" t="s">
        <v>4721</v>
      </c>
      <c r="F4228" s="21" t="s">
        <v>708</v>
      </c>
    </row>
    <row r="4229" customFormat="false" ht="15" hidden="false" customHeight="false" outlineLevel="0" collapsed="false">
      <c r="B4229" s="19" t="s">
        <v>5353</v>
      </c>
      <c r="C4229" s="20" t="n">
        <f aca="false">ROUND(5.4/FX,2)</f>
        <v>0.75</v>
      </c>
      <c r="D4229" s="21" t="s">
        <v>3637</v>
      </c>
      <c r="E4229" s="21" t="s">
        <v>714</v>
      </c>
      <c r="F4229" s="21" t="s">
        <v>708</v>
      </c>
    </row>
    <row r="4230" customFormat="false" ht="15" hidden="false" customHeight="false" outlineLevel="0" collapsed="false">
      <c r="B4230" s="19" t="s">
        <v>5354</v>
      </c>
      <c r="C4230" s="20" t="n">
        <f aca="false">ROUND(3.51/FX,2)</f>
        <v>0.49</v>
      </c>
      <c r="D4230" s="21" t="s">
        <v>3637</v>
      </c>
      <c r="E4230" s="21" t="s">
        <v>3247</v>
      </c>
      <c r="F4230" s="21" t="s">
        <v>708</v>
      </c>
    </row>
    <row r="4231" customFormat="false" ht="15" hidden="false" customHeight="false" outlineLevel="0" collapsed="false">
      <c r="B4231" s="19" t="s">
        <v>5355</v>
      </c>
      <c r="C4231" s="20" t="n">
        <f aca="false">ROUND(3.51/FX,2)</f>
        <v>0.49</v>
      </c>
      <c r="D4231" s="21" t="s">
        <v>3637</v>
      </c>
      <c r="E4231" s="21" t="s">
        <v>5097</v>
      </c>
      <c r="F4231" s="21" t="s">
        <v>708</v>
      </c>
    </row>
    <row r="4232" customFormat="false" ht="15" hidden="false" customHeight="false" outlineLevel="0" collapsed="false">
      <c r="B4232" s="19" t="s">
        <v>5356</v>
      </c>
      <c r="C4232" s="20" t="n">
        <f aca="false">ROUND(3.51/FX,2)</f>
        <v>0.49</v>
      </c>
      <c r="D4232" s="21" t="s">
        <v>3637</v>
      </c>
      <c r="E4232" s="21" t="s">
        <v>3317</v>
      </c>
      <c r="F4232" s="21" t="s">
        <v>708</v>
      </c>
    </row>
    <row r="4233" customFormat="false" ht="15" hidden="false" customHeight="false" outlineLevel="0" collapsed="false">
      <c r="B4233" s="19" t="s">
        <v>5357</v>
      </c>
      <c r="C4233" s="20" t="n">
        <f aca="false">ROUND(10.79/FX,2)</f>
        <v>1.5</v>
      </c>
      <c r="D4233" s="21" t="s">
        <v>3637</v>
      </c>
      <c r="E4233" s="21" t="s">
        <v>784</v>
      </c>
      <c r="F4233" s="21" t="s">
        <v>708</v>
      </c>
    </row>
    <row r="4234" customFormat="false" ht="15" hidden="false" customHeight="false" outlineLevel="0" collapsed="false">
      <c r="B4234" s="19" t="s">
        <v>5358</v>
      </c>
      <c r="C4234" s="20" t="n">
        <f aca="false">ROUND(12.61/FX,2)</f>
        <v>1.75</v>
      </c>
      <c r="D4234" s="21" t="s">
        <v>3637</v>
      </c>
      <c r="E4234" s="21" t="s">
        <v>3328</v>
      </c>
      <c r="F4234" s="21" t="s">
        <v>708</v>
      </c>
    </row>
    <row r="4235" customFormat="false" ht="15" hidden="false" customHeight="false" outlineLevel="0" collapsed="false">
      <c r="B4235" s="19" t="s">
        <v>5359</v>
      </c>
      <c r="C4235" s="20" t="n">
        <f aca="false">ROUND(3.51/FX,2)</f>
        <v>0.49</v>
      </c>
      <c r="D4235" s="21" t="s">
        <v>3637</v>
      </c>
      <c r="E4235" s="21" t="s">
        <v>716</v>
      </c>
      <c r="F4235" s="21" t="s">
        <v>708</v>
      </c>
    </row>
    <row r="4236" customFormat="false" ht="15" hidden="false" customHeight="false" outlineLevel="0" collapsed="false">
      <c r="B4236" s="19" t="s">
        <v>5360</v>
      </c>
      <c r="C4236" s="20" t="n">
        <f aca="false">ROUND(3.51/FX,2)</f>
        <v>0.49</v>
      </c>
      <c r="D4236" s="21" t="s">
        <v>3637</v>
      </c>
      <c r="E4236" s="21" t="s">
        <v>719</v>
      </c>
      <c r="F4236" s="21" t="s">
        <v>708</v>
      </c>
    </row>
    <row r="4237" customFormat="false" ht="15" hidden="false" customHeight="false" outlineLevel="0" collapsed="false">
      <c r="B4237" s="19" t="s">
        <v>5361</v>
      </c>
      <c r="C4237" s="20" t="n">
        <f aca="false">ROUND(3.51/FX,2)</f>
        <v>0.49</v>
      </c>
      <c r="D4237" s="21" t="s">
        <v>5362</v>
      </c>
      <c r="E4237" s="21" t="s">
        <v>707</v>
      </c>
      <c r="F4237" s="21" t="s">
        <v>708</v>
      </c>
    </row>
    <row r="4238" customFormat="false" ht="15" hidden="false" customHeight="false" outlineLevel="0" collapsed="false">
      <c r="B4238" s="19" t="s">
        <v>5363</v>
      </c>
      <c r="C4238" s="20" t="n">
        <f aca="false">ROUND(3.51/FX,2)</f>
        <v>0.49</v>
      </c>
      <c r="D4238" s="21" t="s">
        <v>5362</v>
      </c>
      <c r="E4238" s="21" t="s">
        <v>5091</v>
      </c>
      <c r="F4238" s="21" t="s">
        <v>708</v>
      </c>
    </row>
    <row r="4239" customFormat="false" ht="15" hidden="false" customHeight="false" outlineLevel="0" collapsed="false">
      <c r="B4239" s="19" t="s">
        <v>5364</v>
      </c>
      <c r="C4239" s="20" t="n">
        <f aca="false">ROUND(3.51/FX,2)</f>
        <v>0.49</v>
      </c>
      <c r="D4239" s="21" t="s">
        <v>5362</v>
      </c>
      <c r="E4239" s="21" t="s">
        <v>4761</v>
      </c>
      <c r="F4239" s="21" t="s">
        <v>708</v>
      </c>
    </row>
    <row r="4240" customFormat="false" ht="15" hidden="false" customHeight="false" outlineLevel="0" collapsed="false">
      <c r="B4240" s="19" t="s">
        <v>5365</v>
      </c>
      <c r="C4240" s="20" t="n">
        <f aca="false">ROUND(3.51/FX,2)</f>
        <v>0.49</v>
      </c>
      <c r="D4240" s="21" t="s">
        <v>5362</v>
      </c>
      <c r="E4240" s="21" t="s">
        <v>4721</v>
      </c>
      <c r="F4240" s="21" t="s">
        <v>708</v>
      </c>
    </row>
    <row r="4241" customFormat="false" ht="15" hidden="false" customHeight="false" outlineLevel="0" collapsed="false">
      <c r="B4241" s="19" t="s">
        <v>5366</v>
      </c>
      <c r="C4241" s="20" t="n">
        <f aca="false">ROUND(5.88/FX,2)</f>
        <v>0.82</v>
      </c>
      <c r="D4241" s="21" t="s">
        <v>5362</v>
      </c>
      <c r="E4241" s="21" t="s">
        <v>714</v>
      </c>
      <c r="F4241" s="21" t="s">
        <v>708</v>
      </c>
    </row>
    <row r="4242" customFormat="false" ht="15" hidden="false" customHeight="false" outlineLevel="0" collapsed="false">
      <c r="B4242" s="19" t="s">
        <v>5367</v>
      </c>
      <c r="C4242" s="20" t="n">
        <f aca="false">ROUND(3.51/FX,2)</f>
        <v>0.49</v>
      </c>
      <c r="D4242" s="21" t="s">
        <v>5362</v>
      </c>
      <c r="E4242" s="21" t="s">
        <v>3247</v>
      </c>
      <c r="F4242" s="21" t="s">
        <v>708</v>
      </c>
    </row>
    <row r="4243" customFormat="false" ht="15" hidden="false" customHeight="false" outlineLevel="0" collapsed="false">
      <c r="B4243" s="19" t="s">
        <v>5368</v>
      </c>
      <c r="C4243" s="20" t="n">
        <f aca="false">ROUND(3.51/FX,2)</f>
        <v>0.49</v>
      </c>
      <c r="D4243" s="21" t="s">
        <v>5362</v>
      </c>
      <c r="E4243" s="21" t="s">
        <v>5097</v>
      </c>
      <c r="F4243" s="21" t="s">
        <v>708</v>
      </c>
    </row>
    <row r="4244" customFormat="false" ht="15" hidden="false" customHeight="false" outlineLevel="0" collapsed="false">
      <c r="B4244" s="19" t="s">
        <v>5369</v>
      </c>
      <c r="C4244" s="20" t="n">
        <f aca="false">ROUND(3.51/FX,2)</f>
        <v>0.49</v>
      </c>
      <c r="D4244" s="21" t="s">
        <v>5362</v>
      </c>
      <c r="E4244" s="21" t="s">
        <v>3317</v>
      </c>
      <c r="F4244" s="21" t="s">
        <v>708</v>
      </c>
    </row>
    <row r="4245" customFormat="false" ht="15" hidden="false" customHeight="false" outlineLevel="0" collapsed="false">
      <c r="B4245" s="19" t="s">
        <v>5370</v>
      </c>
      <c r="C4245" s="20" t="n">
        <f aca="false">ROUND(1.95/FX,2)</f>
        <v>0.27</v>
      </c>
      <c r="D4245" s="21" t="s">
        <v>5362</v>
      </c>
      <c r="E4245" s="21" t="s">
        <v>784</v>
      </c>
      <c r="F4245" s="21" t="s">
        <v>708</v>
      </c>
    </row>
    <row r="4246" customFormat="false" ht="15" hidden="false" customHeight="false" outlineLevel="0" collapsed="false">
      <c r="B4246" s="19" t="s">
        <v>5371</v>
      </c>
      <c r="C4246" s="20" t="n">
        <f aca="false">ROUND(1.95/FX,2)</f>
        <v>0.27</v>
      </c>
      <c r="D4246" s="21" t="s">
        <v>5362</v>
      </c>
      <c r="E4246" s="21" t="s">
        <v>3328</v>
      </c>
      <c r="F4246" s="21" t="s">
        <v>708</v>
      </c>
    </row>
    <row r="4247" customFormat="false" ht="15" hidden="false" customHeight="false" outlineLevel="0" collapsed="false">
      <c r="B4247" s="19" t="s">
        <v>5372</v>
      </c>
      <c r="C4247" s="20" t="n">
        <f aca="false">ROUND(3.51/FX,2)</f>
        <v>0.49</v>
      </c>
      <c r="D4247" s="21" t="s">
        <v>5362</v>
      </c>
      <c r="E4247" s="21" t="s">
        <v>716</v>
      </c>
      <c r="F4247" s="21" t="s">
        <v>708</v>
      </c>
    </row>
    <row r="4248" customFormat="false" ht="15" hidden="false" customHeight="false" outlineLevel="0" collapsed="false">
      <c r="B4248" s="19" t="s">
        <v>5373</v>
      </c>
      <c r="C4248" s="20" t="n">
        <f aca="false">ROUND(3.51/FX,2)</f>
        <v>0.49</v>
      </c>
      <c r="D4248" s="21" t="s">
        <v>5362</v>
      </c>
      <c r="E4248" s="21" t="s">
        <v>719</v>
      </c>
      <c r="F4248" s="21" t="s">
        <v>708</v>
      </c>
    </row>
    <row r="4249" customFormat="false" ht="15" hidden="false" customHeight="false" outlineLevel="0" collapsed="false">
      <c r="B4249" s="19" t="s">
        <v>5374</v>
      </c>
      <c r="C4249" s="20" t="n">
        <f aca="false">ROUND(1.95/FX,2)</f>
        <v>0.27</v>
      </c>
      <c r="D4249" s="21" t="s">
        <v>2162</v>
      </c>
      <c r="E4249" s="21" t="s">
        <v>707</v>
      </c>
      <c r="F4249" s="21" t="s">
        <v>708</v>
      </c>
    </row>
    <row r="4250" customFormat="false" ht="15" hidden="false" customHeight="false" outlineLevel="0" collapsed="false">
      <c r="B4250" s="19" t="s">
        <v>5375</v>
      </c>
      <c r="C4250" s="20" t="n">
        <f aca="false">ROUND(1.95/FX,2)</f>
        <v>0.27</v>
      </c>
      <c r="D4250" s="21" t="s">
        <v>2162</v>
      </c>
      <c r="E4250" s="21" t="s">
        <v>5091</v>
      </c>
      <c r="F4250" s="21" t="s">
        <v>708</v>
      </c>
    </row>
    <row r="4251" customFormat="false" ht="15" hidden="false" customHeight="false" outlineLevel="0" collapsed="false">
      <c r="B4251" s="19" t="s">
        <v>5376</v>
      </c>
      <c r="C4251" s="20" t="n">
        <f aca="false">ROUND(1.95/FX,2)</f>
        <v>0.27</v>
      </c>
      <c r="D4251" s="21" t="s">
        <v>2162</v>
      </c>
      <c r="E4251" s="21" t="s">
        <v>4761</v>
      </c>
      <c r="F4251" s="21" t="s">
        <v>708</v>
      </c>
    </row>
    <row r="4252" customFormat="false" ht="15" hidden="false" customHeight="false" outlineLevel="0" collapsed="false">
      <c r="B4252" s="19" t="s">
        <v>5377</v>
      </c>
      <c r="C4252" s="20" t="n">
        <f aca="false">ROUND(1.95/FX,2)</f>
        <v>0.27</v>
      </c>
      <c r="D4252" s="21" t="s">
        <v>2162</v>
      </c>
      <c r="E4252" s="21" t="s">
        <v>4721</v>
      </c>
      <c r="F4252" s="21" t="s">
        <v>708</v>
      </c>
    </row>
    <row r="4253" customFormat="false" ht="15" hidden="false" customHeight="false" outlineLevel="0" collapsed="false">
      <c r="B4253" s="19" t="s">
        <v>5378</v>
      </c>
      <c r="C4253" s="20" t="n">
        <f aca="false">ROUND(5.46/FX,2)</f>
        <v>0.76</v>
      </c>
      <c r="D4253" s="21" t="s">
        <v>2162</v>
      </c>
      <c r="E4253" s="21" t="s">
        <v>714</v>
      </c>
      <c r="F4253" s="21" t="s">
        <v>708</v>
      </c>
    </row>
    <row r="4254" customFormat="false" ht="15" hidden="false" customHeight="false" outlineLevel="0" collapsed="false">
      <c r="B4254" s="19" t="s">
        <v>5379</v>
      </c>
      <c r="C4254" s="20" t="n">
        <f aca="false">ROUND(5.46/FX,2)</f>
        <v>0.76</v>
      </c>
      <c r="D4254" s="21" t="s">
        <v>2162</v>
      </c>
      <c r="E4254" s="21" t="s">
        <v>3247</v>
      </c>
      <c r="F4254" s="21" t="s">
        <v>708</v>
      </c>
    </row>
    <row r="4255" customFormat="false" ht="15" hidden="false" customHeight="false" outlineLevel="0" collapsed="false">
      <c r="B4255" s="19" t="s">
        <v>5380</v>
      </c>
      <c r="C4255" s="20" t="n">
        <f aca="false">ROUND(1.95/FX,2)</f>
        <v>0.27</v>
      </c>
      <c r="D4255" s="21" t="s">
        <v>2162</v>
      </c>
      <c r="E4255" s="21" t="s">
        <v>5097</v>
      </c>
      <c r="F4255" s="21" t="s">
        <v>708</v>
      </c>
    </row>
    <row r="4256" customFormat="false" ht="15" hidden="false" customHeight="false" outlineLevel="0" collapsed="false">
      <c r="B4256" s="19" t="s">
        <v>5381</v>
      </c>
      <c r="C4256" s="20" t="n">
        <f aca="false">ROUND(1.95/FX,2)</f>
        <v>0.27</v>
      </c>
      <c r="D4256" s="21" t="s">
        <v>2162</v>
      </c>
      <c r="E4256" s="21" t="s">
        <v>3317</v>
      </c>
      <c r="F4256" s="21" t="s">
        <v>708</v>
      </c>
    </row>
    <row r="4257" customFormat="false" ht="15" hidden="false" customHeight="false" outlineLevel="0" collapsed="false">
      <c r="B4257" s="19" t="s">
        <v>5382</v>
      </c>
      <c r="C4257" s="20" t="n">
        <f aca="false">ROUND(1.95/FX,2)</f>
        <v>0.27</v>
      </c>
      <c r="D4257" s="21" t="s">
        <v>2162</v>
      </c>
      <c r="E4257" s="21" t="s">
        <v>784</v>
      </c>
      <c r="F4257" s="21" t="s">
        <v>708</v>
      </c>
    </row>
    <row r="4258" customFormat="false" ht="15" hidden="false" customHeight="false" outlineLevel="0" collapsed="false">
      <c r="B4258" s="19" t="s">
        <v>5383</v>
      </c>
      <c r="C4258" s="20" t="n">
        <f aca="false">ROUND(1.95/FX,2)</f>
        <v>0.27</v>
      </c>
      <c r="D4258" s="21" t="s">
        <v>2162</v>
      </c>
      <c r="E4258" s="21" t="s">
        <v>3328</v>
      </c>
      <c r="F4258" s="21" t="s">
        <v>708</v>
      </c>
    </row>
    <row r="4259" customFormat="false" ht="15" hidden="false" customHeight="false" outlineLevel="0" collapsed="false">
      <c r="B4259" s="19" t="s">
        <v>5384</v>
      </c>
      <c r="C4259" s="20" t="n">
        <f aca="false">ROUND(1.95/FX,2)</f>
        <v>0.27</v>
      </c>
      <c r="D4259" s="21" t="s">
        <v>2162</v>
      </c>
      <c r="E4259" s="21" t="s">
        <v>716</v>
      </c>
      <c r="F4259" s="21" t="s">
        <v>708</v>
      </c>
    </row>
    <row r="4260" customFormat="false" ht="15" hidden="false" customHeight="false" outlineLevel="0" collapsed="false">
      <c r="B4260" s="19" t="s">
        <v>5385</v>
      </c>
      <c r="C4260" s="20" t="n">
        <f aca="false">ROUND(1.95/FX,2)</f>
        <v>0.27</v>
      </c>
      <c r="D4260" s="21" t="s">
        <v>2162</v>
      </c>
      <c r="E4260" s="21" t="s">
        <v>719</v>
      </c>
      <c r="F4260" s="21" t="s">
        <v>708</v>
      </c>
    </row>
    <row r="4261" customFormat="false" ht="15" hidden="false" customHeight="false" outlineLevel="0" collapsed="false">
      <c r="B4261" s="19" t="s">
        <v>5386</v>
      </c>
      <c r="C4261" s="20" t="n">
        <f aca="false">ROUND(2.6/FX,2)</f>
        <v>0.36</v>
      </c>
      <c r="D4261" s="21" t="s">
        <v>3675</v>
      </c>
      <c r="E4261" s="21" t="s">
        <v>707</v>
      </c>
      <c r="F4261" s="21" t="s">
        <v>708</v>
      </c>
    </row>
    <row r="4262" customFormat="false" ht="15" hidden="false" customHeight="false" outlineLevel="0" collapsed="false">
      <c r="B4262" s="19" t="s">
        <v>5387</v>
      </c>
      <c r="C4262" s="20" t="n">
        <f aca="false">ROUND(3.9/FX,2)</f>
        <v>0.54</v>
      </c>
      <c r="D4262" s="21" t="s">
        <v>3675</v>
      </c>
      <c r="E4262" s="21" t="s">
        <v>5091</v>
      </c>
      <c r="F4262" s="21" t="s">
        <v>708</v>
      </c>
    </row>
    <row r="4263" customFormat="false" ht="15" hidden="false" customHeight="false" outlineLevel="0" collapsed="false">
      <c r="B4263" s="19" t="s">
        <v>5388</v>
      </c>
      <c r="C4263" s="20" t="n">
        <f aca="false">ROUND(3.25/FX,2)</f>
        <v>0.45</v>
      </c>
      <c r="D4263" s="21" t="s">
        <v>3675</v>
      </c>
      <c r="E4263" s="21" t="s">
        <v>4761</v>
      </c>
      <c r="F4263" s="21" t="s">
        <v>708</v>
      </c>
    </row>
    <row r="4264" customFormat="false" ht="15" hidden="false" customHeight="false" outlineLevel="0" collapsed="false">
      <c r="B4264" s="19" t="s">
        <v>5389</v>
      </c>
      <c r="C4264" s="20" t="n">
        <f aca="false">ROUND(2.08/FX,2)</f>
        <v>0.29</v>
      </c>
      <c r="D4264" s="21" t="s">
        <v>3675</v>
      </c>
      <c r="E4264" s="21" t="s">
        <v>4721</v>
      </c>
      <c r="F4264" s="21" t="s">
        <v>708</v>
      </c>
    </row>
    <row r="4265" customFormat="false" ht="15" hidden="false" customHeight="false" outlineLevel="0" collapsed="false">
      <c r="B4265" s="19" t="s">
        <v>5390</v>
      </c>
      <c r="C4265" s="20" t="n">
        <f aca="false">ROUND(5.99/FX,2)</f>
        <v>0.83</v>
      </c>
      <c r="D4265" s="21" t="s">
        <v>3675</v>
      </c>
      <c r="E4265" s="21" t="s">
        <v>714</v>
      </c>
      <c r="F4265" s="21" t="s">
        <v>708</v>
      </c>
    </row>
    <row r="4266" customFormat="false" ht="15" hidden="false" customHeight="false" outlineLevel="0" collapsed="false">
      <c r="B4266" s="19" t="s">
        <v>5391</v>
      </c>
      <c r="C4266" s="20" t="n">
        <f aca="false">ROUND(2.08/FX,2)</f>
        <v>0.29</v>
      </c>
      <c r="D4266" s="21" t="s">
        <v>3675</v>
      </c>
      <c r="E4266" s="21" t="s">
        <v>3247</v>
      </c>
      <c r="F4266" s="21" t="s">
        <v>708</v>
      </c>
    </row>
    <row r="4267" customFormat="false" ht="15" hidden="false" customHeight="false" outlineLevel="0" collapsed="false">
      <c r="B4267" s="19" t="s">
        <v>5392</v>
      </c>
      <c r="C4267" s="20" t="n">
        <f aca="false">ROUND(2.08/FX,2)</f>
        <v>0.29</v>
      </c>
      <c r="D4267" s="21" t="s">
        <v>3675</v>
      </c>
      <c r="E4267" s="21" t="s">
        <v>5097</v>
      </c>
      <c r="F4267" s="21" t="s">
        <v>708</v>
      </c>
    </row>
    <row r="4268" customFormat="false" ht="15" hidden="false" customHeight="false" outlineLevel="0" collapsed="false">
      <c r="B4268" s="19" t="s">
        <v>5393</v>
      </c>
      <c r="C4268" s="20" t="n">
        <f aca="false">ROUND(6.93/FX,2)</f>
        <v>0.96</v>
      </c>
      <c r="D4268" s="21" t="s">
        <v>3675</v>
      </c>
      <c r="E4268" s="21" t="s">
        <v>3317</v>
      </c>
      <c r="F4268" s="21" t="s">
        <v>708</v>
      </c>
    </row>
    <row r="4269" customFormat="false" ht="15" hidden="false" customHeight="false" outlineLevel="0" collapsed="false">
      <c r="B4269" s="19" t="s">
        <v>5394</v>
      </c>
      <c r="C4269" s="20" t="n">
        <f aca="false">ROUND(1.95/FX,2)</f>
        <v>0.27</v>
      </c>
      <c r="D4269" s="21" t="s">
        <v>3675</v>
      </c>
      <c r="E4269" s="21" t="s">
        <v>784</v>
      </c>
      <c r="F4269" s="21" t="s">
        <v>708</v>
      </c>
    </row>
    <row r="4270" customFormat="false" ht="15" hidden="false" customHeight="false" outlineLevel="0" collapsed="false">
      <c r="B4270" s="19" t="s">
        <v>5395</v>
      </c>
      <c r="C4270" s="20" t="n">
        <f aca="false">ROUND(1.95/FX,2)</f>
        <v>0.27</v>
      </c>
      <c r="D4270" s="21" t="s">
        <v>3675</v>
      </c>
      <c r="E4270" s="21" t="s">
        <v>3328</v>
      </c>
      <c r="F4270" s="21" t="s">
        <v>708</v>
      </c>
    </row>
    <row r="4271" customFormat="false" ht="15" hidden="false" customHeight="false" outlineLevel="0" collapsed="false">
      <c r="B4271" s="19" t="s">
        <v>5396</v>
      </c>
      <c r="C4271" s="20" t="n">
        <f aca="false">ROUND(3.51/FX,2)</f>
        <v>0.49</v>
      </c>
      <c r="D4271" s="21" t="s">
        <v>3675</v>
      </c>
      <c r="E4271" s="21" t="s">
        <v>716</v>
      </c>
      <c r="F4271" s="21" t="s">
        <v>708</v>
      </c>
    </row>
    <row r="4272" customFormat="false" ht="15" hidden="false" customHeight="false" outlineLevel="0" collapsed="false">
      <c r="B4272" s="19" t="s">
        <v>5397</v>
      </c>
      <c r="C4272" s="20" t="n">
        <f aca="false">ROUND(2.6/FX,2)</f>
        <v>0.36</v>
      </c>
      <c r="D4272" s="21" t="s">
        <v>3675</v>
      </c>
      <c r="E4272" s="21" t="s">
        <v>719</v>
      </c>
      <c r="F4272" s="21" t="s">
        <v>708</v>
      </c>
    </row>
    <row r="4273" customFormat="false" ht="15" hidden="false" customHeight="false" outlineLevel="0" collapsed="false">
      <c r="B4273" s="19" t="s">
        <v>5398</v>
      </c>
      <c r="C4273" s="20" t="n">
        <f aca="false">ROUND(1.95/FX,2)</f>
        <v>0.27</v>
      </c>
      <c r="D4273" s="21" t="s">
        <v>2177</v>
      </c>
      <c r="E4273" s="21" t="s">
        <v>707</v>
      </c>
      <c r="F4273" s="21" t="s">
        <v>708</v>
      </c>
    </row>
    <row r="4274" customFormat="false" ht="15" hidden="false" customHeight="false" outlineLevel="0" collapsed="false">
      <c r="B4274" s="19" t="s">
        <v>5399</v>
      </c>
      <c r="C4274" s="20" t="n">
        <f aca="false">ROUND(1.95/FX,2)</f>
        <v>0.27</v>
      </c>
      <c r="D4274" s="21" t="s">
        <v>2177</v>
      </c>
      <c r="E4274" s="21" t="s">
        <v>5091</v>
      </c>
      <c r="F4274" s="21" t="s">
        <v>708</v>
      </c>
    </row>
    <row r="4275" customFormat="false" ht="15" hidden="false" customHeight="false" outlineLevel="0" collapsed="false">
      <c r="B4275" s="19" t="s">
        <v>5400</v>
      </c>
      <c r="C4275" s="20" t="n">
        <f aca="false">ROUND(1.95/FX,2)</f>
        <v>0.27</v>
      </c>
      <c r="D4275" s="21" t="s">
        <v>2177</v>
      </c>
      <c r="E4275" s="21" t="s">
        <v>4761</v>
      </c>
      <c r="F4275" s="21" t="s">
        <v>708</v>
      </c>
    </row>
    <row r="4276" customFormat="false" ht="15" hidden="false" customHeight="false" outlineLevel="0" collapsed="false">
      <c r="B4276" s="19" t="s">
        <v>5401</v>
      </c>
      <c r="C4276" s="20" t="n">
        <f aca="false">ROUND(1.95/FX,2)</f>
        <v>0.27</v>
      </c>
      <c r="D4276" s="21" t="s">
        <v>2177</v>
      </c>
      <c r="E4276" s="21" t="s">
        <v>4721</v>
      </c>
      <c r="F4276" s="21" t="s">
        <v>708</v>
      </c>
    </row>
    <row r="4277" customFormat="false" ht="15" hidden="false" customHeight="false" outlineLevel="0" collapsed="false">
      <c r="B4277" s="19" t="s">
        <v>5402</v>
      </c>
      <c r="C4277" s="20" t="n">
        <f aca="false">ROUND(5.59/FX,2)</f>
        <v>0.78</v>
      </c>
      <c r="D4277" s="21" t="s">
        <v>2177</v>
      </c>
      <c r="E4277" s="21" t="s">
        <v>714</v>
      </c>
      <c r="F4277" s="21" t="s">
        <v>708</v>
      </c>
    </row>
    <row r="4278" customFormat="false" ht="15" hidden="false" customHeight="false" outlineLevel="0" collapsed="false">
      <c r="B4278" s="19" t="s">
        <v>5403</v>
      </c>
      <c r="C4278" s="20" t="n">
        <f aca="false">ROUND(1.95/FX,2)</f>
        <v>0.27</v>
      </c>
      <c r="D4278" s="21" t="s">
        <v>2177</v>
      </c>
      <c r="E4278" s="21" t="s">
        <v>3247</v>
      </c>
      <c r="F4278" s="21" t="s">
        <v>708</v>
      </c>
    </row>
    <row r="4279" customFormat="false" ht="15" hidden="false" customHeight="false" outlineLevel="0" collapsed="false">
      <c r="B4279" s="19" t="s">
        <v>5404</v>
      </c>
      <c r="C4279" s="20" t="n">
        <f aca="false">ROUND(1.95/FX,2)</f>
        <v>0.27</v>
      </c>
      <c r="D4279" s="21" t="s">
        <v>2177</v>
      </c>
      <c r="E4279" s="21" t="s">
        <v>5097</v>
      </c>
      <c r="F4279" s="21" t="s">
        <v>708</v>
      </c>
    </row>
    <row r="4280" customFormat="false" ht="15" hidden="false" customHeight="false" outlineLevel="0" collapsed="false">
      <c r="B4280" s="19" t="s">
        <v>5405</v>
      </c>
      <c r="C4280" s="20" t="n">
        <f aca="false">ROUND(1.95/FX,2)</f>
        <v>0.27</v>
      </c>
      <c r="D4280" s="21" t="s">
        <v>2177</v>
      </c>
      <c r="E4280" s="21" t="s">
        <v>3317</v>
      </c>
      <c r="F4280" s="21" t="s">
        <v>708</v>
      </c>
    </row>
    <row r="4281" customFormat="false" ht="15" hidden="false" customHeight="false" outlineLevel="0" collapsed="false">
      <c r="B4281" s="19" t="s">
        <v>5406</v>
      </c>
      <c r="C4281" s="20" t="n">
        <f aca="false">ROUND(1.95/FX,2)</f>
        <v>0.27</v>
      </c>
      <c r="D4281" s="21" t="s">
        <v>2177</v>
      </c>
      <c r="E4281" s="21" t="s">
        <v>784</v>
      </c>
      <c r="F4281" s="21" t="s">
        <v>708</v>
      </c>
    </row>
    <row r="4282" customFormat="false" ht="15" hidden="false" customHeight="false" outlineLevel="0" collapsed="false">
      <c r="B4282" s="19" t="s">
        <v>5407</v>
      </c>
      <c r="C4282" s="20" t="n">
        <f aca="false">ROUND(1.95/FX,2)</f>
        <v>0.27</v>
      </c>
      <c r="D4282" s="21" t="s">
        <v>2177</v>
      </c>
      <c r="E4282" s="21" t="s">
        <v>3328</v>
      </c>
      <c r="F4282" s="21" t="s">
        <v>708</v>
      </c>
    </row>
    <row r="4283" customFormat="false" ht="15" hidden="false" customHeight="false" outlineLevel="0" collapsed="false">
      <c r="B4283" s="19" t="s">
        <v>5408</v>
      </c>
      <c r="C4283" s="20" t="n">
        <f aca="false">ROUND(1.95/FX,2)</f>
        <v>0.27</v>
      </c>
      <c r="D4283" s="21" t="s">
        <v>2177</v>
      </c>
      <c r="E4283" s="21" t="s">
        <v>716</v>
      </c>
      <c r="F4283" s="21" t="s">
        <v>708</v>
      </c>
    </row>
    <row r="4284" customFormat="false" ht="15" hidden="false" customHeight="false" outlineLevel="0" collapsed="false">
      <c r="B4284" s="19" t="s">
        <v>5409</v>
      </c>
      <c r="C4284" s="20" t="n">
        <f aca="false">ROUND(1.95/FX,2)</f>
        <v>0.27</v>
      </c>
      <c r="D4284" s="21" t="s">
        <v>2177</v>
      </c>
      <c r="E4284" s="21" t="s">
        <v>719</v>
      </c>
      <c r="F4284" s="21" t="s">
        <v>708</v>
      </c>
    </row>
    <row r="4285" customFormat="false" ht="15" hidden="false" customHeight="false" outlineLevel="0" collapsed="false">
      <c r="B4285" s="19" t="s">
        <v>5410</v>
      </c>
      <c r="C4285" s="20" t="n">
        <f aca="false">ROUND(2.6/FX,2)</f>
        <v>0.36</v>
      </c>
      <c r="D4285" s="21" t="s">
        <v>2187</v>
      </c>
      <c r="E4285" s="21" t="s">
        <v>707</v>
      </c>
      <c r="F4285" s="21" t="s">
        <v>708</v>
      </c>
    </row>
    <row r="4286" customFormat="false" ht="15" hidden="false" customHeight="false" outlineLevel="0" collapsed="false">
      <c r="B4286" s="19" t="s">
        <v>5411</v>
      </c>
      <c r="C4286" s="20" t="n">
        <f aca="false">ROUND(5.59/FX,2)</f>
        <v>0.78</v>
      </c>
      <c r="D4286" s="21" t="s">
        <v>2187</v>
      </c>
      <c r="E4286" s="21" t="s">
        <v>5091</v>
      </c>
      <c r="F4286" s="21" t="s">
        <v>708</v>
      </c>
    </row>
    <row r="4287" customFormat="false" ht="15" hidden="false" customHeight="false" outlineLevel="0" collapsed="false">
      <c r="B4287" s="19" t="s">
        <v>5412</v>
      </c>
      <c r="C4287" s="20" t="n">
        <f aca="false">ROUND(6.5/FX,2)</f>
        <v>0.9</v>
      </c>
      <c r="D4287" s="21" t="s">
        <v>2187</v>
      </c>
      <c r="E4287" s="21" t="s">
        <v>4761</v>
      </c>
      <c r="F4287" s="21" t="s">
        <v>708</v>
      </c>
    </row>
    <row r="4288" customFormat="false" ht="15" hidden="false" customHeight="false" outlineLevel="0" collapsed="false">
      <c r="B4288" s="19" t="s">
        <v>5413</v>
      </c>
      <c r="C4288" s="20" t="n">
        <f aca="false">ROUND(2.08/FX,2)</f>
        <v>0.29</v>
      </c>
      <c r="D4288" s="21" t="s">
        <v>2187</v>
      </c>
      <c r="E4288" s="21" t="s">
        <v>4721</v>
      </c>
      <c r="F4288" s="21" t="s">
        <v>708</v>
      </c>
    </row>
    <row r="4289" customFormat="false" ht="15" hidden="false" customHeight="false" outlineLevel="0" collapsed="false">
      <c r="B4289" s="19" t="s">
        <v>5414</v>
      </c>
      <c r="C4289" s="20" t="n">
        <f aca="false">ROUND(5.8/FX,2)</f>
        <v>0.81</v>
      </c>
      <c r="D4289" s="21" t="s">
        <v>2187</v>
      </c>
      <c r="E4289" s="21" t="s">
        <v>714</v>
      </c>
      <c r="F4289" s="21" t="s">
        <v>708</v>
      </c>
    </row>
    <row r="4290" customFormat="false" ht="15" hidden="false" customHeight="false" outlineLevel="0" collapsed="false">
      <c r="B4290" s="19" t="s">
        <v>5415</v>
      </c>
      <c r="C4290" s="20" t="n">
        <f aca="false">ROUND(2.08/FX,2)</f>
        <v>0.29</v>
      </c>
      <c r="D4290" s="21" t="s">
        <v>2187</v>
      </c>
      <c r="E4290" s="21" t="s">
        <v>3247</v>
      </c>
      <c r="F4290" s="21" t="s">
        <v>708</v>
      </c>
    </row>
    <row r="4291" customFormat="false" ht="15" hidden="false" customHeight="false" outlineLevel="0" collapsed="false">
      <c r="B4291" s="19" t="s">
        <v>5416</v>
      </c>
      <c r="C4291" s="20" t="n">
        <f aca="false">ROUND(2.08/FX,2)</f>
        <v>0.29</v>
      </c>
      <c r="D4291" s="21" t="s">
        <v>2187</v>
      </c>
      <c r="E4291" s="21" t="s">
        <v>5097</v>
      </c>
      <c r="F4291" s="21" t="s">
        <v>708</v>
      </c>
    </row>
    <row r="4292" customFormat="false" ht="15" hidden="false" customHeight="false" outlineLevel="0" collapsed="false">
      <c r="B4292" s="19" t="s">
        <v>5417</v>
      </c>
      <c r="C4292" s="20" t="n">
        <f aca="false">ROUND(13/FX,2)</f>
        <v>1.81</v>
      </c>
      <c r="D4292" s="21" t="s">
        <v>2187</v>
      </c>
      <c r="E4292" s="21" t="s">
        <v>3317</v>
      </c>
      <c r="F4292" s="21" t="s">
        <v>708</v>
      </c>
    </row>
    <row r="4293" customFormat="false" ht="15" hidden="false" customHeight="false" outlineLevel="0" collapsed="false">
      <c r="B4293" s="19" t="s">
        <v>5418</v>
      </c>
      <c r="C4293" s="20" t="n">
        <f aca="false">ROUND(1.95/FX,2)</f>
        <v>0.27</v>
      </c>
      <c r="D4293" s="21" t="s">
        <v>2187</v>
      </c>
      <c r="E4293" s="21" t="s">
        <v>784</v>
      </c>
      <c r="F4293" s="21" t="s">
        <v>708</v>
      </c>
    </row>
    <row r="4294" customFormat="false" ht="15" hidden="false" customHeight="false" outlineLevel="0" collapsed="false">
      <c r="B4294" s="19" t="s">
        <v>5419</v>
      </c>
      <c r="C4294" s="20" t="n">
        <f aca="false">ROUND(1.95/FX,2)</f>
        <v>0.27</v>
      </c>
      <c r="D4294" s="21" t="s">
        <v>2187</v>
      </c>
      <c r="E4294" s="21" t="s">
        <v>3328</v>
      </c>
      <c r="F4294" s="21" t="s">
        <v>708</v>
      </c>
    </row>
    <row r="4295" customFormat="false" ht="15" hidden="false" customHeight="false" outlineLevel="0" collapsed="false">
      <c r="B4295" s="19" t="s">
        <v>5420</v>
      </c>
      <c r="C4295" s="20" t="n">
        <f aca="false">ROUND(3.51/FX,2)</f>
        <v>0.49</v>
      </c>
      <c r="D4295" s="21" t="s">
        <v>2187</v>
      </c>
      <c r="E4295" s="21" t="s">
        <v>716</v>
      </c>
      <c r="F4295" s="21" t="s">
        <v>708</v>
      </c>
    </row>
    <row r="4296" customFormat="false" ht="15" hidden="false" customHeight="false" outlineLevel="0" collapsed="false">
      <c r="B4296" s="19" t="s">
        <v>5421</v>
      </c>
      <c r="C4296" s="20" t="n">
        <f aca="false">ROUND(2.6/FX,2)</f>
        <v>0.36</v>
      </c>
      <c r="D4296" s="21" t="s">
        <v>2187</v>
      </c>
      <c r="E4296" s="21" t="s">
        <v>719</v>
      </c>
      <c r="F4296" s="21" t="s">
        <v>708</v>
      </c>
    </row>
    <row r="4297" customFormat="false" ht="15" hidden="false" customHeight="false" outlineLevel="0" collapsed="false">
      <c r="B4297" s="19" t="s">
        <v>5422</v>
      </c>
      <c r="C4297" s="20" t="n">
        <f aca="false">ROUND(2.6/FX,2)</f>
        <v>0.36</v>
      </c>
      <c r="D4297" s="21" t="s">
        <v>5423</v>
      </c>
      <c r="E4297" s="21" t="s">
        <v>707</v>
      </c>
      <c r="F4297" s="21" t="s">
        <v>708</v>
      </c>
    </row>
    <row r="4298" customFormat="false" ht="15" hidden="false" customHeight="false" outlineLevel="0" collapsed="false">
      <c r="B4298" s="19" t="s">
        <v>5424</v>
      </c>
      <c r="C4298" s="20" t="n">
        <f aca="false">ROUND(3.9/FX,2)</f>
        <v>0.54</v>
      </c>
      <c r="D4298" s="21" t="s">
        <v>5423</v>
      </c>
      <c r="E4298" s="21" t="s">
        <v>5091</v>
      </c>
      <c r="F4298" s="21" t="s">
        <v>708</v>
      </c>
    </row>
    <row r="4299" customFormat="false" ht="15" hidden="false" customHeight="false" outlineLevel="0" collapsed="false">
      <c r="B4299" s="19" t="s">
        <v>5425</v>
      </c>
      <c r="C4299" s="20" t="n">
        <f aca="false">ROUND(3.12/FX,2)</f>
        <v>0.43</v>
      </c>
      <c r="D4299" s="21" t="s">
        <v>5423</v>
      </c>
      <c r="E4299" s="21" t="s">
        <v>4761</v>
      </c>
      <c r="F4299" s="21" t="s">
        <v>708</v>
      </c>
    </row>
    <row r="4300" customFormat="false" ht="15" hidden="false" customHeight="false" outlineLevel="0" collapsed="false">
      <c r="B4300" s="19" t="s">
        <v>5426</v>
      </c>
      <c r="C4300" s="20" t="n">
        <f aca="false">ROUND(2.08/FX,2)</f>
        <v>0.29</v>
      </c>
      <c r="D4300" s="21" t="s">
        <v>5423</v>
      </c>
      <c r="E4300" s="21" t="s">
        <v>4721</v>
      </c>
      <c r="F4300" s="21" t="s">
        <v>708</v>
      </c>
    </row>
    <row r="4301" customFormat="false" ht="15" hidden="false" customHeight="false" outlineLevel="0" collapsed="false">
      <c r="B4301" s="19" t="s">
        <v>5427</v>
      </c>
      <c r="C4301" s="20" t="n">
        <f aca="false">ROUND(6.79/FX,2)</f>
        <v>0.94</v>
      </c>
      <c r="D4301" s="21" t="s">
        <v>5423</v>
      </c>
      <c r="E4301" s="21" t="s">
        <v>714</v>
      </c>
      <c r="F4301" s="21" t="s">
        <v>708</v>
      </c>
    </row>
    <row r="4302" customFormat="false" ht="15" hidden="false" customHeight="false" outlineLevel="0" collapsed="false">
      <c r="B4302" s="19" t="s">
        <v>5428</v>
      </c>
      <c r="C4302" s="20" t="n">
        <f aca="false">ROUND(2.08/FX,2)</f>
        <v>0.29</v>
      </c>
      <c r="D4302" s="21" t="s">
        <v>5423</v>
      </c>
      <c r="E4302" s="21" t="s">
        <v>3247</v>
      </c>
      <c r="F4302" s="21" t="s">
        <v>708</v>
      </c>
    </row>
    <row r="4303" customFormat="false" ht="15" hidden="false" customHeight="false" outlineLevel="0" collapsed="false">
      <c r="B4303" s="19" t="s">
        <v>5429</v>
      </c>
      <c r="C4303" s="20" t="n">
        <f aca="false">ROUND(2.08/FX,2)</f>
        <v>0.29</v>
      </c>
      <c r="D4303" s="21" t="s">
        <v>5423</v>
      </c>
      <c r="E4303" s="21" t="s">
        <v>5097</v>
      </c>
      <c r="F4303" s="21" t="s">
        <v>708</v>
      </c>
    </row>
    <row r="4304" customFormat="false" ht="15" hidden="false" customHeight="false" outlineLevel="0" collapsed="false">
      <c r="B4304" s="19" t="s">
        <v>5430</v>
      </c>
      <c r="C4304" s="20" t="n">
        <f aca="false">ROUND(6.93/FX,2)</f>
        <v>0.96</v>
      </c>
      <c r="D4304" s="21" t="s">
        <v>5423</v>
      </c>
      <c r="E4304" s="21" t="s">
        <v>3317</v>
      </c>
      <c r="F4304" s="21" t="s">
        <v>708</v>
      </c>
    </row>
    <row r="4305" customFormat="false" ht="15" hidden="false" customHeight="false" outlineLevel="0" collapsed="false">
      <c r="B4305" s="19" t="s">
        <v>5431</v>
      </c>
      <c r="C4305" s="20" t="n">
        <f aca="false">ROUND(1.95/FX,2)</f>
        <v>0.27</v>
      </c>
      <c r="D4305" s="21" t="s">
        <v>5423</v>
      </c>
      <c r="E4305" s="21" t="s">
        <v>784</v>
      </c>
      <c r="F4305" s="21" t="s">
        <v>708</v>
      </c>
    </row>
    <row r="4306" customFormat="false" ht="15" hidden="false" customHeight="false" outlineLevel="0" collapsed="false">
      <c r="B4306" s="19" t="s">
        <v>5432</v>
      </c>
      <c r="C4306" s="20" t="n">
        <f aca="false">ROUND(1.95/FX,2)</f>
        <v>0.27</v>
      </c>
      <c r="D4306" s="21" t="s">
        <v>5423</v>
      </c>
      <c r="E4306" s="21" t="s">
        <v>3328</v>
      </c>
      <c r="F4306" s="21" t="s">
        <v>708</v>
      </c>
    </row>
    <row r="4307" customFormat="false" ht="15" hidden="false" customHeight="false" outlineLevel="0" collapsed="false">
      <c r="B4307" s="19" t="s">
        <v>5433</v>
      </c>
      <c r="C4307" s="20" t="n">
        <f aca="false">ROUND(3.51/FX,2)</f>
        <v>0.49</v>
      </c>
      <c r="D4307" s="21" t="s">
        <v>5423</v>
      </c>
      <c r="E4307" s="21" t="s">
        <v>716</v>
      </c>
      <c r="F4307" s="21" t="s">
        <v>708</v>
      </c>
    </row>
    <row r="4308" customFormat="false" ht="15" hidden="false" customHeight="false" outlineLevel="0" collapsed="false">
      <c r="B4308" s="19" t="s">
        <v>5434</v>
      </c>
      <c r="C4308" s="20" t="n">
        <f aca="false">ROUND(2.6/FX,2)</f>
        <v>0.36</v>
      </c>
      <c r="D4308" s="21" t="s">
        <v>5423</v>
      </c>
      <c r="E4308" s="21" t="s">
        <v>719</v>
      </c>
      <c r="F4308" s="21" t="s">
        <v>708</v>
      </c>
    </row>
    <row r="4309" customFormat="false" ht="15" hidden="false" customHeight="false" outlineLevel="0" collapsed="false">
      <c r="B4309" s="19" t="s">
        <v>5435</v>
      </c>
      <c r="C4309" s="20" t="n">
        <f aca="false">ROUND(2.6/FX,2)</f>
        <v>0.36</v>
      </c>
      <c r="D4309" s="21" t="s">
        <v>2227</v>
      </c>
      <c r="E4309" s="21" t="s">
        <v>707</v>
      </c>
      <c r="F4309" s="21" t="s">
        <v>708</v>
      </c>
    </row>
    <row r="4310" customFormat="false" ht="15" hidden="false" customHeight="false" outlineLevel="0" collapsed="false">
      <c r="B4310" s="19" t="s">
        <v>5436</v>
      </c>
      <c r="C4310" s="20" t="n">
        <f aca="false">ROUND(3.9/FX,2)</f>
        <v>0.54</v>
      </c>
      <c r="D4310" s="21" t="s">
        <v>2227</v>
      </c>
      <c r="E4310" s="21" t="s">
        <v>5091</v>
      </c>
      <c r="F4310" s="21" t="s">
        <v>708</v>
      </c>
    </row>
    <row r="4311" customFormat="false" ht="15" hidden="false" customHeight="false" outlineLevel="0" collapsed="false">
      <c r="B4311" s="19" t="s">
        <v>5437</v>
      </c>
      <c r="C4311" s="20" t="n">
        <f aca="false">ROUND(3.16/FX,2)</f>
        <v>0.44</v>
      </c>
      <c r="D4311" s="21" t="s">
        <v>2227</v>
      </c>
      <c r="E4311" s="21" t="s">
        <v>4761</v>
      </c>
      <c r="F4311" s="21" t="s">
        <v>708</v>
      </c>
    </row>
    <row r="4312" customFormat="false" ht="15" hidden="false" customHeight="false" outlineLevel="0" collapsed="false">
      <c r="B4312" s="19" t="s">
        <v>5438</v>
      </c>
      <c r="C4312" s="20" t="n">
        <f aca="false">ROUND(2.08/FX,2)</f>
        <v>0.29</v>
      </c>
      <c r="D4312" s="21" t="s">
        <v>2227</v>
      </c>
      <c r="E4312" s="21" t="s">
        <v>4721</v>
      </c>
      <c r="F4312" s="21" t="s">
        <v>708</v>
      </c>
    </row>
    <row r="4313" customFormat="false" ht="15" hidden="false" customHeight="false" outlineLevel="0" collapsed="false">
      <c r="B4313" s="19" t="s">
        <v>5439</v>
      </c>
      <c r="C4313" s="20" t="n">
        <f aca="false">ROUND(6.85/FX,2)</f>
        <v>0.95</v>
      </c>
      <c r="D4313" s="21" t="s">
        <v>2227</v>
      </c>
      <c r="E4313" s="21" t="s">
        <v>714</v>
      </c>
      <c r="F4313" s="21" t="s">
        <v>708</v>
      </c>
    </row>
    <row r="4314" customFormat="false" ht="15" hidden="false" customHeight="false" outlineLevel="0" collapsed="false">
      <c r="B4314" s="19" t="s">
        <v>5440</v>
      </c>
      <c r="C4314" s="20" t="n">
        <f aca="false">ROUND(9.88/FX,2)</f>
        <v>1.37</v>
      </c>
      <c r="D4314" s="21" t="s">
        <v>2227</v>
      </c>
      <c r="E4314" s="21" t="s">
        <v>3247</v>
      </c>
      <c r="F4314" s="21" t="s">
        <v>708</v>
      </c>
    </row>
    <row r="4315" customFormat="false" ht="15" hidden="false" customHeight="false" outlineLevel="0" collapsed="false">
      <c r="B4315" s="19" t="s">
        <v>5441</v>
      </c>
      <c r="C4315" s="20" t="n">
        <f aca="false">ROUND(9.88/FX,2)</f>
        <v>1.37</v>
      </c>
      <c r="D4315" s="21" t="s">
        <v>2227</v>
      </c>
      <c r="E4315" s="21" t="s">
        <v>5097</v>
      </c>
      <c r="F4315" s="21" t="s">
        <v>708</v>
      </c>
    </row>
    <row r="4316" customFormat="false" ht="15" hidden="false" customHeight="false" outlineLevel="0" collapsed="false">
      <c r="B4316" s="19" t="s">
        <v>5442</v>
      </c>
      <c r="C4316" s="20" t="n">
        <f aca="false">ROUND(11.44/FX,2)</f>
        <v>1.59</v>
      </c>
      <c r="D4316" s="21" t="s">
        <v>2227</v>
      </c>
      <c r="E4316" s="21" t="s">
        <v>3317</v>
      </c>
      <c r="F4316" s="21" t="s">
        <v>708</v>
      </c>
    </row>
    <row r="4317" customFormat="false" ht="15" hidden="false" customHeight="false" outlineLevel="0" collapsed="false">
      <c r="B4317" s="19" t="s">
        <v>5443</v>
      </c>
      <c r="C4317" s="20" t="n">
        <f aca="false">ROUND(1.95/FX,2)</f>
        <v>0.27</v>
      </c>
      <c r="D4317" s="21" t="s">
        <v>2227</v>
      </c>
      <c r="E4317" s="21" t="s">
        <v>784</v>
      </c>
      <c r="F4317" s="21" t="s">
        <v>708</v>
      </c>
    </row>
    <row r="4318" customFormat="false" ht="15" hidden="false" customHeight="false" outlineLevel="0" collapsed="false">
      <c r="B4318" s="19" t="s">
        <v>5444</v>
      </c>
      <c r="C4318" s="20" t="n">
        <f aca="false">ROUND(1.95/FX,2)</f>
        <v>0.27</v>
      </c>
      <c r="D4318" s="21" t="s">
        <v>2227</v>
      </c>
      <c r="E4318" s="21" t="s">
        <v>3328</v>
      </c>
      <c r="F4318" s="21" t="s">
        <v>708</v>
      </c>
    </row>
    <row r="4319" customFormat="false" ht="15" hidden="false" customHeight="false" outlineLevel="0" collapsed="false">
      <c r="B4319" s="19" t="s">
        <v>5445</v>
      </c>
      <c r="C4319" s="20" t="n">
        <f aca="false">ROUND(3.51/FX,2)</f>
        <v>0.49</v>
      </c>
      <c r="D4319" s="21" t="s">
        <v>2227</v>
      </c>
      <c r="E4319" s="21" t="s">
        <v>716</v>
      </c>
      <c r="F4319" s="21" t="s">
        <v>708</v>
      </c>
    </row>
    <row r="4320" customFormat="false" ht="15" hidden="false" customHeight="false" outlineLevel="0" collapsed="false">
      <c r="B4320" s="19" t="s">
        <v>5446</v>
      </c>
      <c r="C4320" s="20" t="n">
        <f aca="false">ROUND(2.6/FX,2)</f>
        <v>0.36</v>
      </c>
      <c r="D4320" s="21" t="s">
        <v>2227</v>
      </c>
      <c r="E4320" s="21" t="s">
        <v>719</v>
      </c>
      <c r="F4320" s="21" t="s">
        <v>708</v>
      </c>
    </row>
    <row r="4321" customFormat="false" ht="15" hidden="false" customHeight="false" outlineLevel="0" collapsed="false">
      <c r="B4321" s="19" t="s">
        <v>5447</v>
      </c>
      <c r="C4321" s="20" t="n">
        <f aca="false">ROUND(1.95/FX,2)</f>
        <v>0.27</v>
      </c>
      <c r="D4321" s="21" t="s">
        <v>5448</v>
      </c>
      <c r="E4321" s="21" t="s">
        <v>707</v>
      </c>
      <c r="F4321" s="21" t="s">
        <v>708</v>
      </c>
    </row>
    <row r="4322" customFormat="false" ht="15" hidden="false" customHeight="false" outlineLevel="0" collapsed="false">
      <c r="B4322" s="19" t="s">
        <v>5449</v>
      </c>
      <c r="C4322" s="20" t="n">
        <f aca="false">ROUND(1.95/FX,2)</f>
        <v>0.27</v>
      </c>
      <c r="D4322" s="21" t="s">
        <v>5448</v>
      </c>
      <c r="E4322" s="21" t="s">
        <v>5091</v>
      </c>
      <c r="F4322" s="21" t="s">
        <v>708</v>
      </c>
    </row>
    <row r="4323" customFormat="false" ht="15" hidden="false" customHeight="false" outlineLevel="0" collapsed="false">
      <c r="B4323" s="19" t="s">
        <v>5450</v>
      </c>
      <c r="C4323" s="20" t="n">
        <f aca="false">ROUND(1.95/FX,2)</f>
        <v>0.27</v>
      </c>
      <c r="D4323" s="21" t="s">
        <v>5448</v>
      </c>
      <c r="E4323" s="21" t="s">
        <v>4761</v>
      </c>
      <c r="F4323" s="21" t="s">
        <v>708</v>
      </c>
    </row>
    <row r="4324" customFormat="false" ht="15" hidden="false" customHeight="false" outlineLevel="0" collapsed="false">
      <c r="B4324" s="19" t="s">
        <v>5451</v>
      </c>
      <c r="C4324" s="20" t="n">
        <f aca="false">ROUND(1.95/FX,2)</f>
        <v>0.27</v>
      </c>
      <c r="D4324" s="21" t="s">
        <v>5448</v>
      </c>
      <c r="E4324" s="21" t="s">
        <v>4721</v>
      </c>
      <c r="F4324" s="21" t="s">
        <v>708</v>
      </c>
    </row>
    <row r="4325" customFormat="false" ht="15" hidden="false" customHeight="false" outlineLevel="0" collapsed="false">
      <c r="B4325" s="19" t="s">
        <v>5452</v>
      </c>
      <c r="C4325" s="20" t="n">
        <f aca="false">ROUND(1.95/FX,2)</f>
        <v>0.27</v>
      </c>
      <c r="D4325" s="21" t="s">
        <v>5448</v>
      </c>
      <c r="E4325" s="21" t="s">
        <v>714</v>
      </c>
      <c r="F4325" s="21" t="s">
        <v>708</v>
      </c>
    </row>
    <row r="4326" customFormat="false" ht="15" hidden="false" customHeight="false" outlineLevel="0" collapsed="false">
      <c r="B4326" s="19" t="s">
        <v>5453</v>
      </c>
      <c r="C4326" s="20" t="n">
        <f aca="false">ROUND(1.95/FX,2)</f>
        <v>0.27</v>
      </c>
      <c r="D4326" s="21" t="s">
        <v>5448</v>
      </c>
      <c r="E4326" s="21" t="s">
        <v>3247</v>
      </c>
      <c r="F4326" s="21" t="s">
        <v>708</v>
      </c>
    </row>
    <row r="4327" customFormat="false" ht="15" hidden="false" customHeight="false" outlineLevel="0" collapsed="false">
      <c r="B4327" s="19" t="s">
        <v>5454</v>
      </c>
      <c r="C4327" s="20" t="n">
        <f aca="false">ROUND(1.95/FX,2)</f>
        <v>0.27</v>
      </c>
      <c r="D4327" s="21" t="s">
        <v>5448</v>
      </c>
      <c r="E4327" s="21" t="s">
        <v>5097</v>
      </c>
      <c r="F4327" s="21" t="s">
        <v>708</v>
      </c>
    </row>
    <row r="4328" customFormat="false" ht="15" hidden="false" customHeight="false" outlineLevel="0" collapsed="false">
      <c r="B4328" s="19" t="s">
        <v>5455</v>
      </c>
      <c r="C4328" s="20" t="n">
        <f aca="false">ROUND(1.95/FX,2)</f>
        <v>0.27</v>
      </c>
      <c r="D4328" s="21" t="s">
        <v>5448</v>
      </c>
      <c r="E4328" s="21" t="s">
        <v>3317</v>
      </c>
      <c r="F4328" s="21" t="s">
        <v>708</v>
      </c>
    </row>
    <row r="4329" customFormat="false" ht="15" hidden="false" customHeight="false" outlineLevel="0" collapsed="false">
      <c r="B4329" s="19" t="s">
        <v>5456</v>
      </c>
      <c r="C4329" s="20" t="n">
        <f aca="false">ROUND(13/FX,2)</f>
        <v>1.81</v>
      </c>
      <c r="D4329" s="21" t="s">
        <v>5448</v>
      </c>
      <c r="E4329" s="21" t="s">
        <v>784</v>
      </c>
      <c r="F4329" s="21" t="s">
        <v>708</v>
      </c>
    </row>
    <row r="4330" customFormat="false" ht="15" hidden="false" customHeight="false" outlineLevel="0" collapsed="false">
      <c r="B4330" s="19" t="s">
        <v>5457</v>
      </c>
      <c r="C4330" s="20" t="n">
        <f aca="false">ROUND(1.95/FX,2)</f>
        <v>0.27</v>
      </c>
      <c r="D4330" s="21" t="s">
        <v>5448</v>
      </c>
      <c r="E4330" s="21" t="s">
        <v>3328</v>
      </c>
      <c r="F4330" s="21" t="s">
        <v>708</v>
      </c>
    </row>
    <row r="4331" customFormat="false" ht="15" hidden="false" customHeight="false" outlineLevel="0" collapsed="false">
      <c r="B4331" s="19" t="s">
        <v>5458</v>
      </c>
      <c r="C4331" s="20" t="n">
        <f aca="false">ROUND(1.95/FX,2)</f>
        <v>0.27</v>
      </c>
      <c r="D4331" s="21" t="s">
        <v>5448</v>
      </c>
      <c r="E4331" s="21" t="s">
        <v>716</v>
      </c>
      <c r="F4331" s="21" t="s">
        <v>708</v>
      </c>
    </row>
    <row r="4332" customFormat="false" ht="15" hidden="false" customHeight="false" outlineLevel="0" collapsed="false">
      <c r="B4332" s="19" t="s">
        <v>5459</v>
      </c>
      <c r="C4332" s="20" t="n">
        <f aca="false">ROUND(1.95/FX,2)</f>
        <v>0.27</v>
      </c>
      <c r="D4332" s="21" t="s">
        <v>5448</v>
      </c>
      <c r="E4332" s="21" t="s">
        <v>719</v>
      </c>
      <c r="F4332" s="21" t="s">
        <v>708</v>
      </c>
    </row>
    <row r="4333" customFormat="false" ht="15" hidden="false" customHeight="false" outlineLevel="0" collapsed="false">
      <c r="B4333" s="19" t="s">
        <v>5460</v>
      </c>
      <c r="C4333" s="20" t="n">
        <f aca="false">ROUND(1.95/FX,2)</f>
        <v>0.27</v>
      </c>
      <c r="D4333" s="21" t="s">
        <v>2279</v>
      </c>
      <c r="E4333" s="21" t="s">
        <v>707</v>
      </c>
      <c r="F4333" s="21" t="s">
        <v>708</v>
      </c>
    </row>
    <row r="4334" customFormat="false" ht="15" hidden="false" customHeight="false" outlineLevel="0" collapsed="false">
      <c r="B4334" s="19" t="s">
        <v>5461</v>
      </c>
      <c r="C4334" s="20" t="n">
        <f aca="false">ROUND(1.95/FX,2)</f>
        <v>0.27</v>
      </c>
      <c r="D4334" s="21" t="s">
        <v>2279</v>
      </c>
      <c r="E4334" s="21" t="s">
        <v>5091</v>
      </c>
      <c r="F4334" s="21" t="s">
        <v>708</v>
      </c>
    </row>
    <row r="4335" customFormat="false" ht="15" hidden="false" customHeight="false" outlineLevel="0" collapsed="false">
      <c r="B4335" s="19" t="s">
        <v>5462</v>
      </c>
      <c r="C4335" s="20" t="n">
        <f aca="false">ROUND(1.95/FX,2)</f>
        <v>0.27</v>
      </c>
      <c r="D4335" s="21" t="s">
        <v>2279</v>
      </c>
      <c r="E4335" s="21" t="s">
        <v>4761</v>
      </c>
      <c r="F4335" s="21" t="s">
        <v>708</v>
      </c>
    </row>
    <row r="4336" customFormat="false" ht="15" hidden="false" customHeight="false" outlineLevel="0" collapsed="false">
      <c r="B4336" s="19" t="s">
        <v>5463</v>
      </c>
      <c r="C4336" s="20" t="n">
        <f aca="false">ROUND(1.95/FX,2)</f>
        <v>0.27</v>
      </c>
      <c r="D4336" s="21" t="s">
        <v>2279</v>
      </c>
      <c r="E4336" s="21" t="s">
        <v>4721</v>
      </c>
      <c r="F4336" s="21" t="s">
        <v>708</v>
      </c>
    </row>
    <row r="4337" customFormat="false" ht="15" hidden="false" customHeight="false" outlineLevel="0" collapsed="false">
      <c r="B4337" s="19" t="s">
        <v>5464</v>
      </c>
      <c r="C4337" s="20" t="n">
        <f aca="false">ROUND(1.95/FX,2)</f>
        <v>0.27</v>
      </c>
      <c r="D4337" s="21" t="s">
        <v>2279</v>
      </c>
      <c r="E4337" s="21" t="s">
        <v>714</v>
      </c>
      <c r="F4337" s="21" t="s">
        <v>708</v>
      </c>
    </row>
    <row r="4338" customFormat="false" ht="15" hidden="false" customHeight="false" outlineLevel="0" collapsed="false">
      <c r="B4338" s="19" t="s">
        <v>5465</v>
      </c>
      <c r="C4338" s="20" t="n">
        <f aca="false">ROUND(1.95/FX,2)</f>
        <v>0.27</v>
      </c>
      <c r="D4338" s="21" t="s">
        <v>2279</v>
      </c>
      <c r="E4338" s="21" t="s">
        <v>3247</v>
      </c>
      <c r="F4338" s="21" t="s">
        <v>708</v>
      </c>
    </row>
    <row r="4339" customFormat="false" ht="15" hidden="false" customHeight="false" outlineLevel="0" collapsed="false">
      <c r="B4339" s="19" t="s">
        <v>5466</v>
      </c>
      <c r="C4339" s="20" t="n">
        <f aca="false">ROUND(1.95/FX,2)</f>
        <v>0.27</v>
      </c>
      <c r="D4339" s="21" t="s">
        <v>2279</v>
      </c>
      <c r="E4339" s="21" t="s">
        <v>5097</v>
      </c>
      <c r="F4339" s="21" t="s">
        <v>708</v>
      </c>
    </row>
    <row r="4340" customFormat="false" ht="15" hidden="false" customHeight="false" outlineLevel="0" collapsed="false">
      <c r="B4340" s="19" t="s">
        <v>5467</v>
      </c>
      <c r="C4340" s="20" t="n">
        <f aca="false">ROUND(11.31/FX,2)</f>
        <v>1.57</v>
      </c>
      <c r="D4340" s="21" t="s">
        <v>2279</v>
      </c>
      <c r="E4340" s="21" t="s">
        <v>3317</v>
      </c>
      <c r="F4340" s="21" t="s">
        <v>708</v>
      </c>
    </row>
    <row r="4341" customFormat="false" ht="15" hidden="false" customHeight="false" outlineLevel="0" collapsed="false">
      <c r="B4341" s="19" t="s">
        <v>5468</v>
      </c>
      <c r="C4341" s="20" t="n">
        <f aca="false">ROUND(1.95/FX,2)</f>
        <v>0.27</v>
      </c>
      <c r="D4341" s="21" t="s">
        <v>2279</v>
      </c>
      <c r="E4341" s="21" t="s">
        <v>784</v>
      </c>
      <c r="F4341" s="21" t="s">
        <v>708</v>
      </c>
    </row>
    <row r="4342" customFormat="false" ht="15" hidden="false" customHeight="false" outlineLevel="0" collapsed="false">
      <c r="B4342" s="19" t="s">
        <v>5469</v>
      </c>
      <c r="C4342" s="20" t="n">
        <f aca="false">ROUND(1.95/FX,2)</f>
        <v>0.27</v>
      </c>
      <c r="D4342" s="21" t="s">
        <v>2279</v>
      </c>
      <c r="E4342" s="21" t="s">
        <v>3328</v>
      </c>
      <c r="F4342" s="21" t="s">
        <v>708</v>
      </c>
    </row>
    <row r="4343" customFormat="false" ht="15" hidden="false" customHeight="false" outlineLevel="0" collapsed="false">
      <c r="B4343" s="19" t="s">
        <v>5470</v>
      </c>
      <c r="C4343" s="20" t="n">
        <f aca="false">ROUND(1.95/FX,2)</f>
        <v>0.27</v>
      </c>
      <c r="D4343" s="21" t="s">
        <v>2279</v>
      </c>
      <c r="E4343" s="21" t="s">
        <v>716</v>
      </c>
      <c r="F4343" s="21" t="s">
        <v>708</v>
      </c>
    </row>
    <row r="4344" customFormat="false" ht="15" hidden="false" customHeight="false" outlineLevel="0" collapsed="false">
      <c r="B4344" s="19" t="s">
        <v>5471</v>
      </c>
      <c r="C4344" s="20" t="n">
        <f aca="false">ROUND(1.95/FX,2)</f>
        <v>0.27</v>
      </c>
      <c r="D4344" s="21" t="s">
        <v>2279</v>
      </c>
      <c r="E4344" s="21" t="s">
        <v>719</v>
      </c>
      <c r="F4344" s="21" t="s">
        <v>708</v>
      </c>
    </row>
    <row r="4345" customFormat="false" ht="15" hidden="false" customHeight="false" outlineLevel="0" collapsed="false">
      <c r="B4345" s="19" t="s">
        <v>5472</v>
      </c>
      <c r="C4345" s="20" t="n">
        <f aca="false">ROUND(2.6/FX,2)</f>
        <v>0.36</v>
      </c>
      <c r="D4345" s="21" t="s">
        <v>5473</v>
      </c>
      <c r="E4345" s="21" t="s">
        <v>707</v>
      </c>
      <c r="F4345" s="21" t="s">
        <v>708</v>
      </c>
    </row>
    <row r="4346" customFormat="false" ht="15" hidden="false" customHeight="false" outlineLevel="0" collapsed="false">
      <c r="B4346" s="19" t="s">
        <v>5474</v>
      </c>
      <c r="C4346" s="20" t="n">
        <f aca="false">ROUND(3.9/FX,2)</f>
        <v>0.54</v>
      </c>
      <c r="D4346" s="21" t="s">
        <v>5473</v>
      </c>
      <c r="E4346" s="21" t="s">
        <v>5091</v>
      </c>
      <c r="F4346" s="21" t="s">
        <v>708</v>
      </c>
    </row>
    <row r="4347" customFormat="false" ht="15" hidden="false" customHeight="false" outlineLevel="0" collapsed="false">
      <c r="B4347" s="19" t="s">
        <v>5475</v>
      </c>
      <c r="C4347" s="20" t="n">
        <f aca="false">ROUND(3.9/FX,2)</f>
        <v>0.54</v>
      </c>
      <c r="D4347" s="21" t="s">
        <v>5473</v>
      </c>
      <c r="E4347" s="21" t="s">
        <v>4761</v>
      </c>
      <c r="F4347" s="21" t="s">
        <v>708</v>
      </c>
    </row>
    <row r="4348" customFormat="false" ht="15" hidden="false" customHeight="false" outlineLevel="0" collapsed="false">
      <c r="B4348" s="19" t="s">
        <v>5476</v>
      </c>
      <c r="C4348" s="20" t="n">
        <f aca="false">ROUND(2.08/FX,2)</f>
        <v>0.29</v>
      </c>
      <c r="D4348" s="21" t="s">
        <v>5473</v>
      </c>
      <c r="E4348" s="21" t="s">
        <v>4721</v>
      </c>
      <c r="F4348" s="21" t="s">
        <v>708</v>
      </c>
    </row>
    <row r="4349" customFormat="false" ht="15" hidden="false" customHeight="false" outlineLevel="0" collapsed="false">
      <c r="B4349" s="19" t="s">
        <v>5477</v>
      </c>
      <c r="C4349" s="20" t="n">
        <f aca="false">ROUND(7.48/FX,2)</f>
        <v>1.04</v>
      </c>
      <c r="D4349" s="21" t="s">
        <v>5473</v>
      </c>
      <c r="E4349" s="21" t="s">
        <v>714</v>
      </c>
      <c r="F4349" s="21" t="s">
        <v>708</v>
      </c>
    </row>
    <row r="4350" customFormat="false" ht="15" hidden="false" customHeight="false" outlineLevel="0" collapsed="false">
      <c r="B4350" s="19" t="s">
        <v>5478</v>
      </c>
      <c r="C4350" s="20" t="n">
        <f aca="false">ROUND(2.08/FX,2)</f>
        <v>0.29</v>
      </c>
      <c r="D4350" s="21" t="s">
        <v>5473</v>
      </c>
      <c r="E4350" s="21" t="s">
        <v>3247</v>
      </c>
      <c r="F4350" s="21" t="s">
        <v>708</v>
      </c>
    </row>
    <row r="4351" customFormat="false" ht="15" hidden="false" customHeight="false" outlineLevel="0" collapsed="false">
      <c r="B4351" s="19" t="s">
        <v>5479</v>
      </c>
      <c r="C4351" s="20" t="n">
        <f aca="false">ROUND(2.08/FX,2)</f>
        <v>0.29</v>
      </c>
      <c r="D4351" s="21" t="s">
        <v>5473</v>
      </c>
      <c r="E4351" s="21" t="s">
        <v>5097</v>
      </c>
      <c r="F4351" s="21" t="s">
        <v>708</v>
      </c>
    </row>
    <row r="4352" customFormat="false" ht="15" hidden="false" customHeight="false" outlineLevel="0" collapsed="false">
      <c r="B4352" s="19" t="s">
        <v>5480</v>
      </c>
      <c r="C4352" s="20" t="n">
        <f aca="false">ROUND(6.93/FX,2)</f>
        <v>0.96</v>
      </c>
      <c r="D4352" s="21" t="s">
        <v>5473</v>
      </c>
      <c r="E4352" s="21" t="s">
        <v>3317</v>
      </c>
      <c r="F4352" s="21" t="s">
        <v>708</v>
      </c>
    </row>
    <row r="4353" customFormat="false" ht="15" hidden="false" customHeight="false" outlineLevel="0" collapsed="false">
      <c r="B4353" s="19" t="s">
        <v>5481</v>
      </c>
      <c r="C4353" s="20" t="n">
        <f aca="false">ROUND(1.95/FX,2)</f>
        <v>0.27</v>
      </c>
      <c r="D4353" s="21" t="s">
        <v>5473</v>
      </c>
      <c r="E4353" s="21" t="s">
        <v>784</v>
      </c>
      <c r="F4353" s="21" t="s">
        <v>708</v>
      </c>
    </row>
    <row r="4354" customFormat="false" ht="15" hidden="false" customHeight="false" outlineLevel="0" collapsed="false">
      <c r="B4354" s="19" t="s">
        <v>5482</v>
      </c>
      <c r="C4354" s="20" t="n">
        <f aca="false">ROUND(1.95/FX,2)</f>
        <v>0.27</v>
      </c>
      <c r="D4354" s="21" t="s">
        <v>5473</v>
      </c>
      <c r="E4354" s="21" t="s">
        <v>3328</v>
      </c>
      <c r="F4354" s="21" t="s">
        <v>708</v>
      </c>
    </row>
    <row r="4355" customFormat="false" ht="15" hidden="false" customHeight="false" outlineLevel="0" collapsed="false">
      <c r="B4355" s="19" t="s">
        <v>5483</v>
      </c>
      <c r="C4355" s="20" t="n">
        <f aca="false">ROUND(3.51/FX,2)</f>
        <v>0.49</v>
      </c>
      <c r="D4355" s="21" t="s">
        <v>5473</v>
      </c>
      <c r="E4355" s="21" t="s">
        <v>716</v>
      </c>
      <c r="F4355" s="21" t="s">
        <v>708</v>
      </c>
    </row>
    <row r="4356" customFormat="false" ht="15" hidden="false" customHeight="false" outlineLevel="0" collapsed="false">
      <c r="B4356" s="19" t="s">
        <v>5484</v>
      </c>
      <c r="C4356" s="20" t="n">
        <f aca="false">ROUND(2.6/FX,2)</f>
        <v>0.36</v>
      </c>
      <c r="D4356" s="21" t="s">
        <v>5473</v>
      </c>
      <c r="E4356" s="21" t="s">
        <v>719</v>
      </c>
      <c r="F4356" s="21" t="s">
        <v>708</v>
      </c>
    </row>
    <row r="4357" customFormat="false" ht="28.35" hidden="false" customHeight="false" outlineLevel="0" collapsed="false">
      <c r="B4357" s="19" t="s">
        <v>5485</v>
      </c>
      <c r="C4357" s="20" t="n">
        <f aca="false">ROUND(2.6/FX,2)</f>
        <v>0.36</v>
      </c>
      <c r="D4357" s="21" t="s">
        <v>2177</v>
      </c>
      <c r="E4357" s="21" t="s">
        <v>714</v>
      </c>
      <c r="F4357" s="21" t="s">
        <v>5084</v>
      </c>
    </row>
    <row r="4358" customFormat="false" ht="28.35" hidden="false" customHeight="false" outlineLevel="0" collapsed="false">
      <c r="B4358" s="19" t="s">
        <v>5486</v>
      </c>
      <c r="C4358" s="20" t="n">
        <f aca="false">ROUND(16.9/FX,2)</f>
        <v>2.35</v>
      </c>
      <c r="D4358" s="21" t="s">
        <v>2177</v>
      </c>
      <c r="E4358" s="21" t="s">
        <v>3317</v>
      </c>
      <c r="F4358" s="21" t="s">
        <v>5084</v>
      </c>
    </row>
    <row r="4359" customFormat="false" ht="28.35" hidden="false" customHeight="false" outlineLevel="0" collapsed="false">
      <c r="B4359" s="19" t="s">
        <v>5487</v>
      </c>
      <c r="C4359" s="20" t="n">
        <f aca="false">ROUND(8.45/FX,2)</f>
        <v>1.17</v>
      </c>
      <c r="D4359" s="21" t="s">
        <v>5473</v>
      </c>
      <c r="E4359" s="21" t="s">
        <v>714</v>
      </c>
      <c r="F4359" s="21" t="s">
        <v>5084</v>
      </c>
    </row>
    <row r="4360" customFormat="false" ht="28.35" hidden="false" customHeight="false" outlineLevel="0" collapsed="false">
      <c r="B4360" s="19" t="s">
        <v>5488</v>
      </c>
      <c r="C4360" s="20" t="n">
        <f aca="false">ROUND(2.6/FX,2)</f>
        <v>0.36</v>
      </c>
      <c r="D4360" s="21" t="s">
        <v>5473</v>
      </c>
      <c r="E4360" s="21" t="s">
        <v>3317</v>
      </c>
      <c r="F4360" s="21" t="s">
        <v>5084</v>
      </c>
    </row>
    <row r="4363" customFormat="false" ht="61.5" hidden="false" customHeight="true" outlineLevel="0" collapsed="false">
      <c r="A4363" s="9"/>
      <c r="B4363" s="10" t="s">
        <v>5489</v>
      </c>
      <c r="C4363" s="10"/>
      <c r="D4363" s="10"/>
      <c r="E4363" s="10"/>
      <c r="F4363" s="10"/>
    </row>
    <row r="4364" customFormat="false" ht="15" hidden="false" customHeight="false" outlineLevel="0" collapsed="false">
      <c r="A4364" s="12" t="s">
        <v>700</v>
      </c>
      <c r="B4364" s="13" t="s">
        <v>701</v>
      </c>
      <c r="C4364" s="13" t="s">
        <v>702</v>
      </c>
      <c r="D4364" s="13" t="s">
        <v>830</v>
      </c>
      <c r="E4364" s="13" t="s">
        <v>703</v>
      </c>
      <c r="F4364" s="13" t="s">
        <v>704</v>
      </c>
    </row>
    <row r="4365" customFormat="false" ht="30" hidden="false" customHeight="true" outlineLevel="0" collapsed="false">
      <c r="A4365" s="14" t="s">
        <v>706</v>
      </c>
      <c r="B4365" s="15" t="str">
        <f aca="false">IF(COUNTIFS($D$4368:$D$4471,IF(D4365="","*",D4365),$E$4368:$E$4471,IF(E4365="","*",E4365),$F$4368:$F$4471,IF(F4365="","*",F4365))=1,INDEX($B:$B,SUMPRODUCT(((D4365="")+($D$4368:$D$4471=D4365)&gt;0)*((E4365="")+($E$4368:$E$4471=E4365)&gt;0)*((F4365="")+($F$4368:$F$4471=F4365)&gt;0)*ROW($B$4368:$B$4471))),IF(COUNTIFS($D$4368:$D$4471,IF(D4365="","*",D4365),$E$4368:$E$4471,IF(E4365="","*",E4365),$F$4368:$F$4471,IF(F4365="","*",F4365))=0,"Not available",COUNTIFS($D$4368:$D$4471,IF(D4365="","*",D4365),$E$4368:$E$4471,IF(E4365="","*",E4365),$F$4368:$F$4471,IF(F4365="","*",F4365))&amp;" match, keep choosing"))</f>
        <v>5M-1000-15</v>
      </c>
      <c r="C4365" s="16" t="n">
        <f aca="false">IF(COUNTIFS($D$4368:$D$4471,IF(D4365="","*",D4365),$E$4368:$E$4471,IF(E4365="","*",E4365),$F$4368:$F$4471,IF(F4365="","*",F4365))=1,INDEX($C:$C,SUMPRODUCT(((D4365="")+($D$4368:$D$4471=D4365)&gt;0)*((E4365="")+($E$4368:$E$4471=E4365)&gt;0)*((F4365="")+($F$4368:$F$4471=F4365)&gt;0)*ROW($B$4368:$B$4471))),"")</f>
        <v>1.59</v>
      </c>
      <c r="D4365" s="17" t="s">
        <v>1733</v>
      </c>
      <c r="E4365" s="17" t="s">
        <v>714</v>
      </c>
      <c r="F4365" s="17" t="s">
        <v>708</v>
      </c>
    </row>
    <row r="4367" customFormat="false" ht="15" hidden="false" customHeight="false" outlineLevel="0" collapsed="false">
      <c r="B4367" s="18" t="s">
        <v>701</v>
      </c>
      <c r="C4367" s="18" t="s">
        <v>702</v>
      </c>
      <c r="D4367" s="18" t="s">
        <v>830</v>
      </c>
      <c r="E4367" s="18" t="s">
        <v>703</v>
      </c>
      <c r="F4367" s="18" t="s">
        <v>704</v>
      </c>
    </row>
    <row r="4368" customFormat="false" ht="15" hidden="false" customHeight="false" outlineLevel="0" collapsed="false">
      <c r="B4368" s="19" t="s">
        <v>5490</v>
      </c>
      <c r="C4368" s="20" t="n">
        <f aca="false">ROUND(11.44/FX,2)</f>
        <v>1.59</v>
      </c>
      <c r="D4368" s="21" t="s">
        <v>1733</v>
      </c>
      <c r="E4368" s="21" t="s">
        <v>714</v>
      </c>
      <c r="F4368" s="21" t="s">
        <v>708</v>
      </c>
    </row>
    <row r="4369" customFormat="false" ht="15" hidden="false" customHeight="false" outlineLevel="0" collapsed="false">
      <c r="B4369" s="19" t="s">
        <v>5491</v>
      </c>
      <c r="C4369" s="20" t="n">
        <f aca="false">ROUND(7.54/FX,2)</f>
        <v>1.05</v>
      </c>
      <c r="D4369" s="21" t="s">
        <v>1733</v>
      </c>
      <c r="E4369" s="21" t="s">
        <v>5492</v>
      </c>
      <c r="F4369" s="21" t="s">
        <v>708</v>
      </c>
    </row>
    <row r="4370" customFormat="false" ht="15" hidden="false" customHeight="false" outlineLevel="0" collapsed="false">
      <c r="B4370" s="19" t="s">
        <v>5493</v>
      </c>
      <c r="C4370" s="20" t="n">
        <f aca="false">ROUND(8.45/FX,2)</f>
        <v>1.17</v>
      </c>
      <c r="D4370" s="21" t="s">
        <v>1733</v>
      </c>
      <c r="E4370" s="21" t="s">
        <v>4000</v>
      </c>
      <c r="F4370" s="21" t="s">
        <v>708</v>
      </c>
    </row>
    <row r="4371" customFormat="false" ht="15" hidden="false" customHeight="false" outlineLevel="0" collapsed="false">
      <c r="B4371" s="19" t="s">
        <v>5494</v>
      </c>
      <c r="C4371" s="20" t="n">
        <f aca="false">ROUND(7.98/FX,2)</f>
        <v>1.11</v>
      </c>
      <c r="D4371" s="21" t="s">
        <v>1733</v>
      </c>
      <c r="E4371" s="21" t="s">
        <v>3317</v>
      </c>
      <c r="F4371" s="21" t="s">
        <v>708</v>
      </c>
    </row>
    <row r="4372" customFormat="false" ht="15" hidden="false" customHeight="false" outlineLevel="0" collapsed="false">
      <c r="B4372" s="19" t="s">
        <v>5495</v>
      </c>
      <c r="C4372" s="20" t="n">
        <f aca="false">ROUND(7.98/FX,2)</f>
        <v>1.11</v>
      </c>
      <c r="D4372" s="21" t="s">
        <v>1733</v>
      </c>
      <c r="E4372" s="21" t="s">
        <v>5496</v>
      </c>
      <c r="F4372" s="21" t="s">
        <v>708</v>
      </c>
    </row>
    <row r="4373" customFormat="false" ht="15" hidden="false" customHeight="false" outlineLevel="0" collapsed="false">
      <c r="B4373" s="19" t="s">
        <v>5497</v>
      </c>
      <c r="C4373" s="20" t="n">
        <f aca="false">ROUND(12.35/FX,2)</f>
        <v>1.72</v>
      </c>
      <c r="D4373" s="21" t="s">
        <v>1760</v>
      </c>
      <c r="E4373" s="21" t="s">
        <v>714</v>
      </c>
      <c r="F4373" s="21" t="s">
        <v>708</v>
      </c>
    </row>
    <row r="4374" customFormat="false" ht="15" hidden="false" customHeight="false" outlineLevel="0" collapsed="false">
      <c r="B4374" s="19" t="s">
        <v>5498</v>
      </c>
      <c r="C4374" s="20" t="n">
        <f aca="false">ROUND(7.54/FX,2)</f>
        <v>1.05</v>
      </c>
      <c r="D4374" s="21" t="s">
        <v>1760</v>
      </c>
      <c r="E4374" s="21" t="s">
        <v>5492</v>
      </c>
      <c r="F4374" s="21" t="s">
        <v>708</v>
      </c>
    </row>
    <row r="4375" customFormat="false" ht="15" hidden="false" customHeight="false" outlineLevel="0" collapsed="false">
      <c r="B4375" s="19" t="s">
        <v>5499</v>
      </c>
      <c r="C4375" s="20" t="n">
        <f aca="false">ROUND(8.45/FX,2)</f>
        <v>1.17</v>
      </c>
      <c r="D4375" s="21" t="s">
        <v>1760</v>
      </c>
      <c r="E4375" s="21" t="s">
        <v>4000</v>
      </c>
      <c r="F4375" s="21" t="s">
        <v>708</v>
      </c>
    </row>
    <row r="4376" customFormat="false" ht="15" hidden="false" customHeight="false" outlineLevel="0" collapsed="false">
      <c r="B4376" s="19" t="s">
        <v>5500</v>
      </c>
      <c r="C4376" s="20" t="n">
        <f aca="false">ROUND(7.98/FX,2)</f>
        <v>1.11</v>
      </c>
      <c r="D4376" s="21" t="s">
        <v>1760</v>
      </c>
      <c r="E4376" s="21" t="s">
        <v>3317</v>
      </c>
      <c r="F4376" s="21" t="s">
        <v>708</v>
      </c>
    </row>
    <row r="4377" customFormat="false" ht="15" hidden="false" customHeight="false" outlineLevel="0" collapsed="false">
      <c r="B4377" s="19" t="s">
        <v>5501</v>
      </c>
      <c r="C4377" s="20" t="n">
        <f aca="false">ROUND(7.98/FX,2)</f>
        <v>1.11</v>
      </c>
      <c r="D4377" s="21" t="s">
        <v>1760</v>
      </c>
      <c r="E4377" s="21" t="s">
        <v>5496</v>
      </c>
      <c r="F4377" s="21" t="s">
        <v>708</v>
      </c>
    </row>
    <row r="4378" customFormat="false" ht="15" hidden="false" customHeight="false" outlineLevel="0" collapsed="false">
      <c r="B4378" s="19" t="s">
        <v>5502</v>
      </c>
      <c r="C4378" s="20" t="n">
        <f aca="false">ROUND(13.78/FX,2)</f>
        <v>1.91</v>
      </c>
      <c r="D4378" s="21" t="s">
        <v>3253</v>
      </c>
      <c r="E4378" s="21" t="s">
        <v>714</v>
      </c>
      <c r="F4378" s="21" t="s">
        <v>708</v>
      </c>
    </row>
    <row r="4379" customFormat="false" ht="15" hidden="false" customHeight="false" outlineLevel="0" collapsed="false">
      <c r="B4379" s="19" t="s">
        <v>5503</v>
      </c>
      <c r="C4379" s="20" t="n">
        <f aca="false">ROUND(7.54/FX,2)</f>
        <v>1.05</v>
      </c>
      <c r="D4379" s="21" t="s">
        <v>3253</v>
      </c>
      <c r="E4379" s="21" t="s">
        <v>5492</v>
      </c>
      <c r="F4379" s="21" t="s">
        <v>708</v>
      </c>
    </row>
    <row r="4380" customFormat="false" ht="15" hidden="false" customHeight="false" outlineLevel="0" collapsed="false">
      <c r="B4380" s="19" t="s">
        <v>5504</v>
      </c>
      <c r="C4380" s="20" t="n">
        <f aca="false">ROUND(8.45/FX,2)</f>
        <v>1.17</v>
      </c>
      <c r="D4380" s="21" t="s">
        <v>3253</v>
      </c>
      <c r="E4380" s="21" t="s">
        <v>4000</v>
      </c>
      <c r="F4380" s="21" t="s">
        <v>708</v>
      </c>
    </row>
    <row r="4381" customFormat="false" ht="15" hidden="false" customHeight="false" outlineLevel="0" collapsed="false">
      <c r="B4381" s="19" t="s">
        <v>5505</v>
      </c>
      <c r="C4381" s="20" t="n">
        <f aca="false">ROUND(7.98/FX,2)</f>
        <v>1.11</v>
      </c>
      <c r="D4381" s="21" t="s">
        <v>3253</v>
      </c>
      <c r="E4381" s="21" t="s">
        <v>3317</v>
      </c>
      <c r="F4381" s="21" t="s">
        <v>708</v>
      </c>
    </row>
    <row r="4382" customFormat="false" ht="15" hidden="false" customHeight="false" outlineLevel="0" collapsed="false">
      <c r="B4382" s="19" t="s">
        <v>5506</v>
      </c>
      <c r="C4382" s="20" t="n">
        <f aca="false">ROUND(7.98/FX,2)</f>
        <v>1.11</v>
      </c>
      <c r="D4382" s="21" t="s">
        <v>3253</v>
      </c>
      <c r="E4382" s="21" t="s">
        <v>5496</v>
      </c>
      <c r="F4382" s="21" t="s">
        <v>708</v>
      </c>
    </row>
    <row r="4383" customFormat="false" ht="15" hidden="false" customHeight="false" outlineLevel="0" collapsed="false">
      <c r="B4383" s="19" t="s">
        <v>5507</v>
      </c>
      <c r="C4383" s="20" t="n">
        <f aca="false">ROUND(16.25/FX,2)</f>
        <v>2.26</v>
      </c>
      <c r="D4383" s="21" t="s">
        <v>1807</v>
      </c>
      <c r="E4383" s="21" t="s">
        <v>714</v>
      </c>
      <c r="F4383" s="21" t="s">
        <v>708</v>
      </c>
    </row>
    <row r="4384" customFormat="false" ht="15" hidden="false" customHeight="false" outlineLevel="0" collapsed="false">
      <c r="B4384" s="19" t="s">
        <v>5508</v>
      </c>
      <c r="C4384" s="20" t="n">
        <f aca="false">ROUND(7.54/FX,2)</f>
        <v>1.05</v>
      </c>
      <c r="D4384" s="21" t="s">
        <v>1807</v>
      </c>
      <c r="E4384" s="21" t="s">
        <v>5492</v>
      </c>
      <c r="F4384" s="21" t="s">
        <v>708</v>
      </c>
    </row>
    <row r="4385" customFormat="false" ht="15" hidden="false" customHeight="false" outlineLevel="0" collapsed="false">
      <c r="B4385" s="19" t="s">
        <v>5509</v>
      </c>
      <c r="C4385" s="20" t="n">
        <f aca="false">ROUND(19.5/FX,2)</f>
        <v>2.71</v>
      </c>
      <c r="D4385" s="21" t="s">
        <v>1807</v>
      </c>
      <c r="E4385" s="21" t="s">
        <v>4000</v>
      </c>
      <c r="F4385" s="21" t="s">
        <v>708</v>
      </c>
    </row>
    <row r="4386" customFormat="false" ht="15" hidden="false" customHeight="false" outlineLevel="0" collapsed="false">
      <c r="B4386" s="19" t="s">
        <v>5510</v>
      </c>
      <c r="C4386" s="20" t="n">
        <f aca="false">ROUND(7.98/FX,2)</f>
        <v>1.11</v>
      </c>
      <c r="D4386" s="21" t="s">
        <v>1807</v>
      </c>
      <c r="E4386" s="21" t="s">
        <v>3317</v>
      </c>
      <c r="F4386" s="21" t="s">
        <v>708</v>
      </c>
    </row>
    <row r="4387" customFormat="false" ht="15" hidden="false" customHeight="false" outlineLevel="0" collapsed="false">
      <c r="B4387" s="19" t="s">
        <v>5511</v>
      </c>
      <c r="C4387" s="20" t="n">
        <f aca="false">ROUND(7.98/FX,2)</f>
        <v>1.11</v>
      </c>
      <c r="D4387" s="21" t="s">
        <v>1807</v>
      </c>
      <c r="E4387" s="21" t="s">
        <v>5496</v>
      </c>
      <c r="F4387" s="21" t="s">
        <v>708</v>
      </c>
    </row>
    <row r="4388" customFormat="false" ht="15" hidden="false" customHeight="false" outlineLevel="0" collapsed="false">
      <c r="B4388" s="19" t="s">
        <v>5512</v>
      </c>
      <c r="C4388" s="20" t="n">
        <f aca="false">ROUND(14.82/FX,2)</f>
        <v>2.06</v>
      </c>
      <c r="D4388" s="21" t="s">
        <v>5513</v>
      </c>
      <c r="E4388" s="21" t="s">
        <v>714</v>
      </c>
      <c r="F4388" s="21" t="s">
        <v>708</v>
      </c>
    </row>
    <row r="4389" customFormat="false" ht="15" hidden="false" customHeight="false" outlineLevel="0" collapsed="false">
      <c r="B4389" s="19" t="s">
        <v>5514</v>
      </c>
      <c r="C4389" s="20" t="n">
        <f aca="false">ROUND(7.54/FX,2)</f>
        <v>1.05</v>
      </c>
      <c r="D4389" s="21" t="s">
        <v>5513</v>
      </c>
      <c r="E4389" s="21" t="s">
        <v>5492</v>
      </c>
      <c r="F4389" s="21" t="s">
        <v>708</v>
      </c>
    </row>
    <row r="4390" customFormat="false" ht="15" hidden="false" customHeight="false" outlineLevel="0" collapsed="false">
      <c r="B4390" s="19" t="s">
        <v>5515</v>
      </c>
      <c r="C4390" s="20" t="n">
        <f aca="false">ROUND(8.45/FX,2)</f>
        <v>1.17</v>
      </c>
      <c r="D4390" s="21" t="s">
        <v>5513</v>
      </c>
      <c r="E4390" s="21" t="s">
        <v>4000</v>
      </c>
      <c r="F4390" s="21" t="s">
        <v>708</v>
      </c>
    </row>
    <row r="4391" customFormat="false" ht="15" hidden="false" customHeight="false" outlineLevel="0" collapsed="false">
      <c r="B4391" s="19" t="s">
        <v>5516</v>
      </c>
      <c r="C4391" s="20" t="n">
        <f aca="false">ROUND(7.98/FX,2)</f>
        <v>1.11</v>
      </c>
      <c r="D4391" s="21" t="s">
        <v>5513</v>
      </c>
      <c r="E4391" s="21" t="s">
        <v>3317</v>
      </c>
      <c r="F4391" s="21" t="s">
        <v>708</v>
      </c>
    </row>
    <row r="4392" customFormat="false" ht="15" hidden="false" customHeight="false" outlineLevel="0" collapsed="false">
      <c r="B4392" s="19" t="s">
        <v>5517</v>
      </c>
      <c r="C4392" s="20" t="n">
        <f aca="false">ROUND(7.98/FX,2)</f>
        <v>1.11</v>
      </c>
      <c r="D4392" s="21" t="s">
        <v>5513</v>
      </c>
      <c r="E4392" s="21" t="s">
        <v>5496</v>
      </c>
      <c r="F4392" s="21" t="s">
        <v>708</v>
      </c>
    </row>
    <row r="4393" customFormat="false" ht="15" hidden="false" customHeight="false" outlineLevel="0" collapsed="false">
      <c r="B4393" s="19" t="s">
        <v>5518</v>
      </c>
      <c r="C4393" s="20" t="n">
        <f aca="false">ROUND(17.55/FX,2)</f>
        <v>2.44</v>
      </c>
      <c r="D4393" s="21" t="s">
        <v>5519</v>
      </c>
      <c r="E4393" s="21" t="s">
        <v>714</v>
      </c>
      <c r="F4393" s="21" t="s">
        <v>708</v>
      </c>
    </row>
    <row r="4394" customFormat="false" ht="15" hidden="false" customHeight="false" outlineLevel="0" collapsed="false">
      <c r="B4394" s="19" t="s">
        <v>5520</v>
      </c>
      <c r="C4394" s="20" t="n">
        <f aca="false">ROUND(7.54/FX,2)</f>
        <v>1.05</v>
      </c>
      <c r="D4394" s="21" t="s">
        <v>5519</v>
      </c>
      <c r="E4394" s="21" t="s">
        <v>5492</v>
      </c>
      <c r="F4394" s="21" t="s">
        <v>708</v>
      </c>
    </row>
    <row r="4395" customFormat="false" ht="15" hidden="false" customHeight="false" outlineLevel="0" collapsed="false">
      <c r="B4395" s="19" t="s">
        <v>5521</v>
      </c>
      <c r="C4395" s="20" t="n">
        <f aca="false">ROUND(8.45/FX,2)</f>
        <v>1.17</v>
      </c>
      <c r="D4395" s="21" t="s">
        <v>5519</v>
      </c>
      <c r="E4395" s="21" t="s">
        <v>4000</v>
      </c>
      <c r="F4395" s="21" t="s">
        <v>708</v>
      </c>
    </row>
    <row r="4396" customFormat="false" ht="15" hidden="false" customHeight="false" outlineLevel="0" collapsed="false">
      <c r="B4396" s="19" t="s">
        <v>5522</v>
      </c>
      <c r="C4396" s="20" t="n">
        <f aca="false">ROUND(7.98/FX,2)</f>
        <v>1.11</v>
      </c>
      <c r="D4396" s="21" t="s">
        <v>5519</v>
      </c>
      <c r="E4396" s="21" t="s">
        <v>3317</v>
      </c>
      <c r="F4396" s="21" t="s">
        <v>708</v>
      </c>
    </row>
    <row r="4397" customFormat="false" ht="15" hidden="false" customHeight="false" outlineLevel="0" collapsed="false">
      <c r="B4397" s="19" t="s">
        <v>5523</v>
      </c>
      <c r="C4397" s="20" t="n">
        <f aca="false">ROUND(7.98/FX,2)</f>
        <v>1.11</v>
      </c>
      <c r="D4397" s="21" t="s">
        <v>5519</v>
      </c>
      <c r="E4397" s="21" t="s">
        <v>5496</v>
      </c>
      <c r="F4397" s="21" t="s">
        <v>708</v>
      </c>
    </row>
    <row r="4398" customFormat="false" ht="15" hidden="false" customHeight="false" outlineLevel="0" collapsed="false">
      <c r="B4398" s="19" t="s">
        <v>5524</v>
      </c>
      <c r="C4398" s="20" t="n">
        <f aca="false">ROUND(20.8/FX,2)</f>
        <v>2.89</v>
      </c>
      <c r="D4398" s="21" t="s">
        <v>5525</v>
      </c>
      <c r="E4398" s="21" t="s">
        <v>714</v>
      </c>
      <c r="F4398" s="21" t="s">
        <v>708</v>
      </c>
    </row>
    <row r="4399" customFormat="false" ht="15" hidden="false" customHeight="false" outlineLevel="0" collapsed="false">
      <c r="B4399" s="19" t="s">
        <v>5526</v>
      </c>
      <c r="C4399" s="20" t="n">
        <f aca="false">ROUND(7.54/FX,2)</f>
        <v>1.05</v>
      </c>
      <c r="D4399" s="21" t="s">
        <v>5525</v>
      </c>
      <c r="E4399" s="21" t="s">
        <v>5492</v>
      </c>
      <c r="F4399" s="21" t="s">
        <v>708</v>
      </c>
    </row>
    <row r="4400" customFormat="false" ht="15" hidden="false" customHeight="false" outlineLevel="0" collapsed="false">
      <c r="B4400" s="19" t="s">
        <v>5527</v>
      </c>
      <c r="C4400" s="20" t="n">
        <f aca="false">ROUND(8.45/FX,2)</f>
        <v>1.17</v>
      </c>
      <c r="D4400" s="21" t="s">
        <v>5525</v>
      </c>
      <c r="E4400" s="21" t="s">
        <v>4000</v>
      </c>
      <c r="F4400" s="21" t="s">
        <v>708</v>
      </c>
    </row>
    <row r="4401" customFormat="false" ht="15" hidden="false" customHeight="false" outlineLevel="0" collapsed="false">
      <c r="B4401" s="19" t="s">
        <v>5528</v>
      </c>
      <c r="C4401" s="20" t="n">
        <f aca="false">ROUND(7.98/FX,2)</f>
        <v>1.11</v>
      </c>
      <c r="D4401" s="21" t="s">
        <v>5525</v>
      </c>
      <c r="E4401" s="21" t="s">
        <v>3317</v>
      </c>
      <c r="F4401" s="21" t="s">
        <v>708</v>
      </c>
    </row>
    <row r="4402" customFormat="false" ht="15" hidden="false" customHeight="false" outlineLevel="0" collapsed="false">
      <c r="B4402" s="19" t="s">
        <v>5529</v>
      </c>
      <c r="C4402" s="20" t="n">
        <f aca="false">ROUND(7.98/FX,2)</f>
        <v>1.11</v>
      </c>
      <c r="D4402" s="21" t="s">
        <v>5525</v>
      </c>
      <c r="E4402" s="21" t="s">
        <v>5496</v>
      </c>
      <c r="F4402" s="21" t="s">
        <v>708</v>
      </c>
    </row>
    <row r="4403" customFormat="false" ht="15" hidden="false" customHeight="false" outlineLevel="0" collapsed="false">
      <c r="B4403" s="19" t="s">
        <v>5530</v>
      </c>
      <c r="C4403" s="20" t="n">
        <f aca="false">ROUND(26/FX,2)</f>
        <v>3.61</v>
      </c>
      <c r="D4403" s="21" t="s">
        <v>5531</v>
      </c>
      <c r="E4403" s="21" t="s">
        <v>714</v>
      </c>
      <c r="F4403" s="21" t="s">
        <v>708</v>
      </c>
    </row>
    <row r="4404" customFormat="false" ht="15" hidden="false" customHeight="false" outlineLevel="0" collapsed="false">
      <c r="B4404" s="19" t="s">
        <v>5532</v>
      </c>
      <c r="C4404" s="20" t="n">
        <f aca="false">ROUND(4.42/FX,2)</f>
        <v>0.61</v>
      </c>
      <c r="D4404" s="21" t="s">
        <v>5531</v>
      </c>
      <c r="E4404" s="21" t="s">
        <v>5492</v>
      </c>
      <c r="F4404" s="21" t="s">
        <v>708</v>
      </c>
    </row>
    <row r="4405" customFormat="false" ht="15" hidden="false" customHeight="false" outlineLevel="0" collapsed="false">
      <c r="B4405" s="19" t="s">
        <v>5533</v>
      </c>
      <c r="C4405" s="20" t="n">
        <f aca="false">ROUND(4.42/FX,2)</f>
        <v>0.61</v>
      </c>
      <c r="D4405" s="21" t="s">
        <v>5531</v>
      </c>
      <c r="E4405" s="21" t="s">
        <v>4000</v>
      </c>
      <c r="F4405" s="21" t="s">
        <v>708</v>
      </c>
    </row>
    <row r="4406" customFormat="false" ht="15" hidden="false" customHeight="false" outlineLevel="0" collapsed="false">
      <c r="B4406" s="19" t="s">
        <v>5534</v>
      </c>
      <c r="C4406" s="20" t="n">
        <f aca="false">ROUND(7.98/FX,2)</f>
        <v>1.11</v>
      </c>
      <c r="D4406" s="21" t="s">
        <v>5531</v>
      </c>
      <c r="E4406" s="21" t="s">
        <v>3317</v>
      </c>
      <c r="F4406" s="21" t="s">
        <v>708</v>
      </c>
    </row>
    <row r="4407" customFormat="false" ht="15" hidden="false" customHeight="false" outlineLevel="0" collapsed="false">
      <c r="B4407" s="19" t="s">
        <v>5535</v>
      </c>
      <c r="C4407" s="20" t="n">
        <f aca="false">ROUND(7.98/FX,2)</f>
        <v>1.11</v>
      </c>
      <c r="D4407" s="21" t="s">
        <v>5531</v>
      </c>
      <c r="E4407" s="21" t="s">
        <v>5496</v>
      </c>
      <c r="F4407" s="21" t="s">
        <v>708</v>
      </c>
    </row>
    <row r="4408" customFormat="false" ht="15" hidden="false" customHeight="false" outlineLevel="0" collapsed="false">
      <c r="B4408" s="19" t="s">
        <v>5536</v>
      </c>
      <c r="C4408" s="20" t="n">
        <f aca="false">ROUND(24.96/FX,2)</f>
        <v>3.47</v>
      </c>
      <c r="D4408" s="21" t="s">
        <v>1924</v>
      </c>
      <c r="E4408" s="21" t="s">
        <v>714</v>
      </c>
      <c r="F4408" s="21" t="s">
        <v>708</v>
      </c>
    </row>
    <row r="4409" customFormat="false" ht="15" hidden="false" customHeight="false" outlineLevel="0" collapsed="false">
      <c r="B4409" s="19" t="s">
        <v>5537</v>
      </c>
      <c r="C4409" s="20" t="n">
        <f aca="false">ROUND(4.42/FX,2)</f>
        <v>0.61</v>
      </c>
      <c r="D4409" s="21" t="s">
        <v>1924</v>
      </c>
      <c r="E4409" s="21" t="s">
        <v>5492</v>
      </c>
      <c r="F4409" s="21" t="s">
        <v>708</v>
      </c>
    </row>
    <row r="4410" customFormat="false" ht="15" hidden="false" customHeight="false" outlineLevel="0" collapsed="false">
      <c r="B4410" s="19" t="s">
        <v>5538</v>
      </c>
      <c r="C4410" s="20" t="n">
        <f aca="false">ROUND(4.42/FX,2)</f>
        <v>0.61</v>
      </c>
      <c r="D4410" s="21" t="s">
        <v>1924</v>
      </c>
      <c r="E4410" s="21" t="s">
        <v>4000</v>
      </c>
      <c r="F4410" s="21" t="s">
        <v>708</v>
      </c>
    </row>
    <row r="4411" customFormat="false" ht="15" hidden="false" customHeight="false" outlineLevel="0" collapsed="false">
      <c r="B4411" s="19" t="s">
        <v>5539</v>
      </c>
      <c r="C4411" s="20" t="n">
        <f aca="false">ROUND(7.98/FX,2)</f>
        <v>1.11</v>
      </c>
      <c r="D4411" s="21" t="s">
        <v>1924</v>
      </c>
      <c r="E4411" s="21" t="s">
        <v>3317</v>
      </c>
      <c r="F4411" s="21" t="s">
        <v>708</v>
      </c>
    </row>
    <row r="4412" customFormat="false" ht="15" hidden="false" customHeight="false" outlineLevel="0" collapsed="false">
      <c r="B4412" s="19" t="s">
        <v>5540</v>
      </c>
      <c r="C4412" s="20" t="n">
        <f aca="false">ROUND(7.98/FX,2)</f>
        <v>1.11</v>
      </c>
      <c r="D4412" s="21" t="s">
        <v>1924</v>
      </c>
      <c r="E4412" s="21" t="s">
        <v>5496</v>
      </c>
      <c r="F4412" s="21" t="s">
        <v>708</v>
      </c>
    </row>
    <row r="4413" customFormat="false" ht="15" hidden="false" customHeight="false" outlineLevel="0" collapsed="false">
      <c r="B4413" s="19" t="s">
        <v>5541</v>
      </c>
      <c r="C4413" s="20" t="n">
        <f aca="false">ROUND(31.2/FX,2)</f>
        <v>4.33</v>
      </c>
      <c r="D4413" s="21" t="s">
        <v>5542</v>
      </c>
      <c r="E4413" s="21" t="s">
        <v>714</v>
      </c>
      <c r="F4413" s="21" t="s">
        <v>708</v>
      </c>
    </row>
    <row r="4414" customFormat="false" ht="15" hidden="false" customHeight="false" outlineLevel="0" collapsed="false">
      <c r="B4414" s="19" t="s">
        <v>5543</v>
      </c>
      <c r="C4414" s="20" t="n">
        <f aca="false">ROUND(4.42/FX,2)</f>
        <v>0.61</v>
      </c>
      <c r="D4414" s="21" t="s">
        <v>5542</v>
      </c>
      <c r="E4414" s="21" t="s">
        <v>5492</v>
      </c>
      <c r="F4414" s="21" t="s">
        <v>708</v>
      </c>
    </row>
    <row r="4415" customFormat="false" ht="15" hidden="false" customHeight="false" outlineLevel="0" collapsed="false">
      <c r="B4415" s="19" t="s">
        <v>5544</v>
      </c>
      <c r="C4415" s="20" t="n">
        <f aca="false">ROUND(4.42/FX,2)</f>
        <v>0.61</v>
      </c>
      <c r="D4415" s="21" t="s">
        <v>5542</v>
      </c>
      <c r="E4415" s="21" t="s">
        <v>4000</v>
      </c>
      <c r="F4415" s="21" t="s">
        <v>708</v>
      </c>
    </row>
    <row r="4416" customFormat="false" ht="15" hidden="false" customHeight="false" outlineLevel="0" collapsed="false">
      <c r="B4416" s="19" t="s">
        <v>5545</v>
      </c>
      <c r="C4416" s="20" t="n">
        <f aca="false">ROUND(7.98/FX,2)</f>
        <v>1.11</v>
      </c>
      <c r="D4416" s="21" t="s">
        <v>5542</v>
      </c>
      <c r="E4416" s="21" t="s">
        <v>3317</v>
      </c>
      <c r="F4416" s="21" t="s">
        <v>708</v>
      </c>
    </row>
    <row r="4417" customFormat="false" ht="15" hidden="false" customHeight="false" outlineLevel="0" collapsed="false">
      <c r="B4417" s="19" t="s">
        <v>5546</v>
      </c>
      <c r="C4417" s="20" t="n">
        <f aca="false">ROUND(7.98/FX,2)</f>
        <v>1.11</v>
      </c>
      <c r="D4417" s="21" t="s">
        <v>5542</v>
      </c>
      <c r="E4417" s="21" t="s">
        <v>5496</v>
      </c>
      <c r="F4417" s="21" t="s">
        <v>708</v>
      </c>
    </row>
    <row r="4418" customFormat="false" ht="15" hidden="false" customHeight="false" outlineLevel="0" collapsed="false">
      <c r="B4418" s="19" t="s">
        <v>5547</v>
      </c>
      <c r="C4418" s="20" t="n">
        <f aca="false">ROUND(42.9/FX,2)</f>
        <v>5.96</v>
      </c>
      <c r="D4418" s="21" t="s">
        <v>5548</v>
      </c>
      <c r="E4418" s="21" t="s">
        <v>714</v>
      </c>
      <c r="F4418" s="21" t="s">
        <v>708</v>
      </c>
    </row>
    <row r="4419" customFormat="false" ht="15" hidden="false" customHeight="false" outlineLevel="0" collapsed="false">
      <c r="B4419" s="19" t="s">
        <v>5549</v>
      </c>
      <c r="C4419" s="20" t="n">
        <f aca="false">ROUND(4.42/FX,2)</f>
        <v>0.61</v>
      </c>
      <c r="D4419" s="21" t="s">
        <v>5548</v>
      </c>
      <c r="E4419" s="21" t="s">
        <v>5492</v>
      </c>
      <c r="F4419" s="21" t="s">
        <v>708</v>
      </c>
    </row>
    <row r="4420" customFormat="false" ht="15" hidden="false" customHeight="false" outlineLevel="0" collapsed="false">
      <c r="B4420" s="19" t="s">
        <v>5550</v>
      </c>
      <c r="C4420" s="20" t="n">
        <f aca="false">ROUND(4.42/FX,2)</f>
        <v>0.61</v>
      </c>
      <c r="D4420" s="21" t="s">
        <v>5548</v>
      </c>
      <c r="E4420" s="21" t="s">
        <v>4000</v>
      </c>
      <c r="F4420" s="21" t="s">
        <v>708</v>
      </c>
    </row>
    <row r="4421" customFormat="false" ht="15" hidden="false" customHeight="false" outlineLevel="0" collapsed="false">
      <c r="B4421" s="19" t="s">
        <v>5551</v>
      </c>
      <c r="C4421" s="20" t="n">
        <f aca="false">ROUND(7.98/FX,2)</f>
        <v>1.11</v>
      </c>
      <c r="D4421" s="21" t="s">
        <v>5548</v>
      </c>
      <c r="E4421" s="21" t="s">
        <v>3317</v>
      </c>
      <c r="F4421" s="21" t="s">
        <v>708</v>
      </c>
    </row>
    <row r="4422" customFormat="false" ht="15" hidden="false" customHeight="false" outlineLevel="0" collapsed="false">
      <c r="B4422" s="19" t="s">
        <v>5552</v>
      </c>
      <c r="C4422" s="20" t="n">
        <f aca="false">ROUND(7.98/FX,2)</f>
        <v>1.11</v>
      </c>
      <c r="D4422" s="21" t="s">
        <v>5548</v>
      </c>
      <c r="E4422" s="21" t="s">
        <v>5496</v>
      </c>
      <c r="F4422" s="21" t="s">
        <v>708</v>
      </c>
    </row>
    <row r="4423" customFormat="false" ht="15" hidden="false" customHeight="false" outlineLevel="0" collapsed="false">
      <c r="B4423" s="19" t="s">
        <v>5553</v>
      </c>
      <c r="C4423" s="20" t="n">
        <f aca="false">ROUND(59/FX,2)</f>
        <v>8.19</v>
      </c>
      <c r="D4423" s="21" t="s">
        <v>5554</v>
      </c>
      <c r="E4423" s="21" t="s">
        <v>714</v>
      </c>
      <c r="F4423" s="21" t="s">
        <v>708</v>
      </c>
    </row>
    <row r="4424" customFormat="false" ht="15" hidden="false" customHeight="false" outlineLevel="0" collapsed="false">
      <c r="B4424" s="19" t="s">
        <v>5555</v>
      </c>
      <c r="C4424" s="20" t="n">
        <f aca="false">ROUND(7.98/FX,2)</f>
        <v>1.11</v>
      </c>
      <c r="D4424" s="21" t="s">
        <v>5554</v>
      </c>
      <c r="E4424" s="21" t="s">
        <v>5492</v>
      </c>
      <c r="F4424" s="21" t="s">
        <v>708</v>
      </c>
    </row>
    <row r="4425" customFormat="false" ht="15" hidden="false" customHeight="false" outlineLevel="0" collapsed="false">
      <c r="B4425" s="19" t="s">
        <v>5556</v>
      </c>
      <c r="C4425" s="20" t="n">
        <f aca="false">ROUND(7.98/FX,2)</f>
        <v>1.11</v>
      </c>
      <c r="D4425" s="21" t="s">
        <v>5554</v>
      </c>
      <c r="E4425" s="21" t="s">
        <v>4000</v>
      </c>
      <c r="F4425" s="21" t="s">
        <v>708</v>
      </c>
    </row>
    <row r="4426" customFormat="false" ht="15" hidden="false" customHeight="false" outlineLevel="0" collapsed="false">
      <c r="B4426" s="19" t="s">
        <v>5557</v>
      </c>
      <c r="C4426" s="20" t="n">
        <f aca="false">ROUND(7.98/FX,2)</f>
        <v>1.11</v>
      </c>
      <c r="D4426" s="21" t="s">
        <v>5554</v>
      </c>
      <c r="E4426" s="21" t="s">
        <v>3317</v>
      </c>
      <c r="F4426" s="21" t="s">
        <v>708</v>
      </c>
    </row>
    <row r="4427" customFormat="false" ht="15" hidden="false" customHeight="false" outlineLevel="0" collapsed="false">
      <c r="B4427" s="19" t="s">
        <v>5558</v>
      </c>
      <c r="C4427" s="20" t="n">
        <f aca="false">ROUND(149.5/FX,2)</f>
        <v>20.76</v>
      </c>
      <c r="D4427" s="21" t="s">
        <v>5554</v>
      </c>
      <c r="E4427" s="21" t="s">
        <v>5496</v>
      </c>
      <c r="F4427" s="21" t="s">
        <v>708</v>
      </c>
    </row>
    <row r="4428" customFormat="false" ht="15" hidden="false" customHeight="false" outlineLevel="0" collapsed="false">
      <c r="B4428" s="19" t="s">
        <v>5559</v>
      </c>
      <c r="C4428" s="20" t="n">
        <f aca="false">ROUND(63.7/FX,2)</f>
        <v>8.85</v>
      </c>
      <c r="D4428" s="21" t="s">
        <v>5560</v>
      </c>
      <c r="E4428" s="21" t="s">
        <v>714</v>
      </c>
      <c r="F4428" s="21" t="s">
        <v>708</v>
      </c>
    </row>
    <row r="4429" customFormat="false" ht="15" hidden="false" customHeight="false" outlineLevel="0" collapsed="false">
      <c r="B4429" s="19" t="s">
        <v>5561</v>
      </c>
      <c r="C4429" s="20" t="n">
        <f aca="false">ROUND(7.98/FX,2)</f>
        <v>1.11</v>
      </c>
      <c r="D4429" s="21" t="s">
        <v>5560</v>
      </c>
      <c r="E4429" s="21" t="s">
        <v>5492</v>
      </c>
      <c r="F4429" s="21" t="s">
        <v>708</v>
      </c>
    </row>
    <row r="4430" customFormat="false" ht="15" hidden="false" customHeight="false" outlineLevel="0" collapsed="false">
      <c r="B4430" s="19" t="s">
        <v>5562</v>
      </c>
      <c r="C4430" s="20" t="n">
        <f aca="false">ROUND(7.98/FX,2)</f>
        <v>1.11</v>
      </c>
      <c r="D4430" s="21" t="s">
        <v>5560</v>
      </c>
      <c r="E4430" s="21" t="s">
        <v>4000</v>
      </c>
      <c r="F4430" s="21" t="s">
        <v>708</v>
      </c>
    </row>
    <row r="4431" customFormat="false" ht="15" hidden="false" customHeight="false" outlineLevel="0" collapsed="false">
      <c r="B4431" s="19" t="s">
        <v>5563</v>
      </c>
      <c r="C4431" s="20" t="n">
        <f aca="false">ROUND(7.98/FX,2)</f>
        <v>1.11</v>
      </c>
      <c r="D4431" s="21" t="s">
        <v>5560</v>
      </c>
      <c r="E4431" s="21" t="s">
        <v>3317</v>
      </c>
      <c r="F4431" s="21" t="s">
        <v>708</v>
      </c>
    </row>
    <row r="4432" customFormat="false" ht="15" hidden="false" customHeight="false" outlineLevel="0" collapsed="false">
      <c r="B4432" s="19" t="s">
        <v>5564</v>
      </c>
      <c r="C4432" s="20" t="n">
        <f aca="false">ROUND(7.98/FX,2)</f>
        <v>1.11</v>
      </c>
      <c r="D4432" s="21" t="s">
        <v>5560</v>
      </c>
      <c r="E4432" s="21" t="s">
        <v>5496</v>
      </c>
      <c r="F4432" s="21" t="s">
        <v>708</v>
      </c>
    </row>
    <row r="4433" customFormat="false" ht="15" hidden="false" customHeight="false" outlineLevel="0" collapsed="false">
      <c r="B4433" s="19" t="s">
        <v>5565</v>
      </c>
      <c r="C4433" s="20" t="n">
        <f aca="false">ROUND(91/FX,2)</f>
        <v>12.64</v>
      </c>
      <c r="D4433" s="21" t="s">
        <v>5566</v>
      </c>
      <c r="E4433" s="21" t="s">
        <v>714</v>
      </c>
      <c r="F4433" s="21" t="s">
        <v>708</v>
      </c>
    </row>
    <row r="4434" customFormat="false" ht="15" hidden="false" customHeight="false" outlineLevel="0" collapsed="false">
      <c r="B4434" s="19" t="s">
        <v>5567</v>
      </c>
      <c r="C4434" s="20" t="n">
        <f aca="false">ROUND(7.98/FX,2)</f>
        <v>1.11</v>
      </c>
      <c r="D4434" s="21" t="s">
        <v>5566</v>
      </c>
      <c r="E4434" s="21" t="s">
        <v>5492</v>
      </c>
      <c r="F4434" s="21" t="s">
        <v>708</v>
      </c>
    </row>
    <row r="4435" customFormat="false" ht="15" hidden="false" customHeight="false" outlineLevel="0" collapsed="false">
      <c r="B4435" s="19" t="s">
        <v>5568</v>
      </c>
      <c r="C4435" s="20" t="n">
        <f aca="false">ROUND(7.98/FX,2)</f>
        <v>1.11</v>
      </c>
      <c r="D4435" s="21" t="s">
        <v>5566</v>
      </c>
      <c r="E4435" s="21" t="s">
        <v>4000</v>
      </c>
      <c r="F4435" s="21" t="s">
        <v>708</v>
      </c>
    </row>
    <row r="4436" customFormat="false" ht="15" hidden="false" customHeight="false" outlineLevel="0" collapsed="false">
      <c r="B4436" s="19" t="s">
        <v>5569</v>
      </c>
      <c r="C4436" s="20" t="n">
        <f aca="false">ROUND(7.98/FX,2)</f>
        <v>1.11</v>
      </c>
      <c r="D4436" s="21" t="s">
        <v>5566</v>
      </c>
      <c r="E4436" s="21" t="s">
        <v>3317</v>
      </c>
      <c r="F4436" s="21" t="s">
        <v>708</v>
      </c>
    </row>
    <row r="4437" customFormat="false" ht="15" hidden="false" customHeight="false" outlineLevel="0" collapsed="false">
      <c r="B4437" s="19" t="s">
        <v>5570</v>
      </c>
      <c r="C4437" s="20" t="n">
        <f aca="false">ROUND(7.98/FX,2)</f>
        <v>1.11</v>
      </c>
      <c r="D4437" s="21" t="s">
        <v>5566</v>
      </c>
      <c r="E4437" s="21" t="s">
        <v>5496</v>
      </c>
      <c r="F4437" s="21" t="s">
        <v>708</v>
      </c>
    </row>
    <row r="4438" customFormat="false" ht="15" hidden="false" customHeight="false" outlineLevel="0" collapsed="false">
      <c r="B4438" s="19" t="s">
        <v>5571</v>
      </c>
      <c r="C4438" s="20" t="n">
        <f aca="false">ROUND(7.98/FX,2)</f>
        <v>1.11</v>
      </c>
      <c r="D4438" s="21" t="s">
        <v>2351</v>
      </c>
      <c r="E4438" s="21" t="s">
        <v>714</v>
      </c>
      <c r="F4438" s="21" t="s">
        <v>708</v>
      </c>
    </row>
    <row r="4439" customFormat="false" ht="15" hidden="false" customHeight="false" outlineLevel="0" collapsed="false">
      <c r="B4439" s="19" t="s">
        <v>5572</v>
      </c>
      <c r="C4439" s="20" t="n">
        <f aca="false">ROUND(7.8/FX,2)</f>
        <v>1.08</v>
      </c>
      <c r="D4439" s="21" t="s">
        <v>2351</v>
      </c>
      <c r="E4439" s="21" t="s">
        <v>5492</v>
      </c>
      <c r="F4439" s="21" t="s">
        <v>708</v>
      </c>
    </row>
    <row r="4440" customFormat="false" ht="15" hidden="false" customHeight="false" outlineLevel="0" collapsed="false">
      <c r="B4440" s="19" t="s">
        <v>5573</v>
      </c>
      <c r="C4440" s="20" t="n">
        <f aca="false">ROUND(8.45/FX,2)</f>
        <v>1.17</v>
      </c>
      <c r="D4440" s="21" t="s">
        <v>2351</v>
      </c>
      <c r="E4440" s="21" t="s">
        <v>4000</v>
      </c>
      <c r="F4440" s="21" t="s">
        <v>708</v>
      </c>
    </row>
    <row r="4441" customFormat="false" ht="15" hidden="false" customHeight="false" outlineLevel="0" collapsed="false">
      <c r="B4441" s="19" t="s">
        <v>5574</v>
      </c>
      <c r="C4441" s="20" t="n">
        <f aca="false">ROUND(7.98/FX,2)</f>
        <v>1.11</v>
      </c>
      <c r="D4441" s="21" t="s">
        <v>2351</v>
      </c>
      <c r="E4441" s="21" t="s">
        <v>3317</v>
      </c>
      <c r="F4441" s="21" t="s">
        <v>708</v>
      </c>
    </row>
    <row r="4442" customFormat="false" ht="15" hidden="false" customHeight="false" outlineLevel="0" collapsed="false">
      <c r="B4442" s="19" t="s">
        <v>5575</v>
      </c>
      <c r="C4442" s="20" t="n">
        <f aca="false">ROUND(7.98/FX,2)</f>
        <v>1.11</v>
      </c>
      <c r="D4442" s="21" t="s">
        <v>2351</v>
      </c>
      <c r="E4442" s="21" t="s">
        <v>5496</v>
      </c>
      <c r="F4442" s="21" t="s">
        <v>708</v>
      </c>
    </row>
    <row r="4443" customFormat="false" ht="15" hidden="false" customHeight="false" outlineLevel="0" collapsed="false">
      <c r="B4443" s="19" t="s">
        <v>5576</v>
      </c>
      <c r="C4443" s="20" t="n">
        <f aca="false">ROUND(9.36/FX,2)</f>
        <v>1.3</v>
      </c>
      <c r="D4443" s="21" t="s">
        <v>2400</v>
      </c>
      <c r="E4443" s="21" t="s">
        <v>714</v>
      </c>
      <c r="F4443" s="21" t="s">
        <v>708</v>
      </c>
    </row>
    <row r="4444" customFormat="false" ht="15" hidden="false" customHeight="false" outlineLevel="0" collapsed="false">
      <c r="B4444" s="19" t="s">
        <v>5577</v>
      </c>
      <c r="C4444" s="20" t="n">
        <f aca="false">ROUND(7.54/FX,2)</f>
        <v>1.05</v>
      </c>
      <c r="D4444" s="21" t="s">
        <v>2400</v>
      </c>
      <c r="E4444" s="21" t="s">
        <v>5492</v>
      </c>
      <c r="F4444" s="21" t="s">
        <v>708</v>
      </c>
    </row>
    <row r="4445" customFormat="false" ht="15" hidden="false" customHeight="false" outlineLevel="0" collapsed="false">
      <c r="B4445" s="19" t="s">
        <v>5578</v>
      </c>
      <c r="C4445" s="20" t="n">
        <f aca="false">ROUND(8.45/FX,2)</f>
        <v>1.17</v>
      </c>
      <c r="D4445" s="21" t="s">
        <v>2400</v>
      </c>
      <c r="E4445" s="21" t="s">
        <v>4000</v>
      </c>
      <c r="F4445" s="21" t="s">
        <v>708</v>
      </c>
    </row>
    <row r="4446" customFormat="false" ht="15" hidden="false" customHeight="false" outlineLevel="0" collapsed="false">
      <c r="B4446" s="19" t="s">
        <v>5579</v>
      </c>
      <c r="C4446" s="20" t="n">
        <f aca="false">ROUND(7.98/FX,2)</f>
        <v>1.11</v>
      </c>
      <c r="D4446" s="21" t="s">
        <v>2400</v>
      </c>
      <c r="E4446" s="21" t="s">
        <v>3317</v>
      </c>
      <c r="F4446" s="21" t="s">
        <v>708</v>
      </c>
    </row>
    <row r="4447" customFormat="false" ht="15" hidden="false" customHeight="false" outlineLevel="0" collapsed="false">
      <c r="B4447" s="19" t="s">
        <v>5580</v>
      </c>
      <c r="C4447" s="20" t="n">
        <f aca="false">ROUND(7.98/FX,2)</f>
        <v>1.11</v>
      </c>
      <c r="D4447" s="21" t="s">
        <v>2400</v>
      </c>
      <c r="E4447" s="21" t="s">
        <v>5496</v>
      </c>
      <c r="F4447" s="21" t="s">
        <v>708</v>
      </c>
    </row>
    <row r="4448" customFormat="false" ht="15" hidden="false" customHeight="false" outlineLevel="0" collapsed="false">
      <c r="B4448" s="19" t="s">
        <v>5581</v>
      </c>
      <c r="C4448" s="20" t="n">
        <f aca="false">ROUND(9.13/FX,2)</f>
        <v>1.27</v>
      </c>
      <c r="D4448" s="21" t="s">
        <v>2440</v>
      </c>
      <c r="E4448" s="21" t="s">
        <v>714</v>
      </c>
      <c r="F4448" s="21" t="s">
        <v>708</v>
      </c>
    </row>
    <row r="4449" customFormat="false" ht="15" hidden="false" customHeight="false" outlineLevel="0" collapsed="false">
      <c r="B4449" s="19" t="s">
        <v>5582</v>
      </c>
      <c r="C4449" s="20" t="n">
        <f aca="false">ROUND(7.54/FX,2)</f>
        <v>1.05</v>
      </c>
      <c r="D4449" s="21" t="s">
        <v>2440</v>
      </c>
      <c r="E4449" s="21" t="s">
        <v>5492</v>
      </c>
      <c r="F4449" s="21" t="s">
        <v>708</v>
      </c>
    </row>
    <row r="4450" customFormat="false" ht="15" hidden="false" customHeight="false" outlineLevel="0" collapsed="false">
      <c r="B4450" s="19" t="s">
        <v>5583</v>
      </c>
      <c r="C4450" s="20" t="n">
        <f aca="false">ROUND(8.45/FX,2)</f>
        <v>1.17</v>
      </c>
      <c r="D4450" s="21" t="s">
        <v>2440</v>
      </c>
      <c r="E4450" s="21" t="s">
        <v>4000</v>
      </c>
      <c r="F4450" s="21" t="s">
        <v>708</v>
      </c>
    </row>
    <row r="4451" customFormat="false" ht="15" hidden="false" customHeight="false" outlineLevel="0" collapsed="false">
      <c r="B4451" s="19" t="s">
        <v>5584</v>
      </c>
      <c r="C4451" s="20" t="n">
        <f aca="false">ROUND(15.21/FX,2)</f>
        <v>2.11</v>
      </c>
      <c r="D4451" s="21" t="s">
        <v>2440</v>
      </c>
      <c r="E4451" s="21" t="s">
        <v>3317</v>
      </c>
      <c r="F4451" s="21" t="s">
        <v>708</v>
      </c>
    </row>
    <row r="4452" customFormat="false" ht="15" hidden="false" customHeight="false" outlineLevel="0" collapsed="false">
      <c r="B4452" s="19" t="s">
        <v>5585</v>
      </c>
      <c r="C4452" s="20" t="n">
        <f aca="false">ROUND(7.98/FX,2)</f>
        <v>1.11</v>
      </c>
      <c r="D4452" s="21" t="s">
        <v>2440</v>
      </c>
      <c r="E4452" s="21" t="s">
        <v>5496</v>
      </c>
      <c r="F4452" s="21" t="s">
        <v>708</v>
      </c>
    </row>
    <row r="4453" customFormat="false" ht="15" hidden="false" customHeight="false" outlineLevel="0" collapsed="false">
      <c r="B4453" s="19" t="s">
        <v>5586</v>
      </c>
      <c r="C4453" s="20" t="n">
        <f aca="false">ROUND(4.42/FX,2)</f>
        <v>0.61</v>
      </c>
      <c r="D4453" s="21" t="s">
        <v>5587</v>
      </c>
      <c r="E4453" s="21" t="s">
        <v>714</v>
      </c>
      <c r="F4453" s="21" t="s">
        <v>708</v>
      </c>
    </row>
    <row r="4454" customFormat="false" ht="15" hidden="false" customHeight="false" outlineLevel="0" collapsed="false">
      <c r="B4454" s="19" t="s">
        <v>5588</v>
      </c>
      <c r="C4454" s="20" t="n">
        <f aca="false">ROUND(11.7/FX,2)</f>
        <v>1.63</v>
      </c>
      <c r="D4454" s="21" t="s">
        <v>5587</v>
      </c>
      <c r="E4454" s="21" t="s">
        <v>5492</v>
      </c>
      <c r="F4454" s="21" t="s">
        <v>708</v>
      </c>
    </row>
    <row r="4455" customFormat="false" ht="15" hidden="false" customHeight="false" outlineLevel="0" collapsed="false">
      <c r="B4455" s="19" t="s">
        <v>5589</v>
      </c>
      <c r="C4455" s="20" t="n">
        <f aca="false">ROUND(4.42/FX,2)</f>
        <v>0.61</v>
      </c>
      <c r="D4455" s="21" t="s">
        <v>5587</v>
      </c>
      <c r="E4455" s="21" t="s">
        <v>4000</v>
      </c>
      <c r="F4455" s="21" t="s">
        <v>708</v>
      </c>
    </row>
    <row r="4456" customFormat="false" ht="15" hidden="false" customHeight="false" outlineLevel="0" collapsed="false">
      <c r="B4456" s="19" t="s">
        <v>5590</v>
      </c>
      <c r="C4456" s="20" t="n">
        <f aca="false">ROUND(7.98/FX,2)</f>
        <v>1.11</v>
      </c>
      <c r="D4456" s="21" t="s">
        <v>5587</v>
      </c>
      <c r="E4456" s="21" t="s">
        <v>3317</v>
      </c>
      <c r="F4456" s="21" t="s">
        <v>708</v>
      </c>
    </row>
    <row r="4457" customFormat="false" ht="15" hidden="false" customHeight="false" outlineLevel="0" collapsed="false">
      <c r="B4457" s="19" t="s">
        <v>5591</v>
      </c>
      <c r="C4457" s="20" t="n">
        <f aca="false">ROUND(7.98/FX,2)</f>
        <v>1.11</v>
      </c>
      <c r="D4457" s="21" t="s">
        <v>5587</v>
      </c>
      <c r="E4457" s="21" t="s">
        <v>5496</v>
      </c>
      <c r="F4457" s="21" t="s">
        <v>708</v>
      </c>
    </row>
    <row r="4458" customFormat="false" ht="15" hidden="false" customHeight="false" outlineLevel="0" collapsed="false">
      <c r="B4458" s="19" t="s">
        <v>5592</v>
      </c>
      <c r="C4458" s="20" t="n">
        <f aca="false">ROUND(9.23/FX,2)</f>
        <v>1.28</v>
      </c>
      <c r="D4458" s="21" t="s">
        <v>5593</v>
      </c>
      <c r="E4458" s="21" t="s">
        <v>714</v>
      </c>
      <c r="F4458" s="21" t="s">
        <v>708</v>
      </c>
    </row>
    <row r="4459" customFormat="false" ht="15" hidden="false" customHeight="false" outlineLevel="0" collapsed="false">
      <c r="B4459" s="19" t="s">
        <v>5594</v>
      </c>
      <c r="C4459" s="20" t="n">
        <f aca="false">ROUND(7.98/FX,2)</f>
        <v>1.11</v>
      </c>
      <c r="D4459" s="21" t="s">
        <v>5593</v>
      </c>
      <c r="E4459" s="21" t="s">
        <v>5492</v>
      </c>
      <c r="F4459" s="21" t="s">
        <v>708</v>
      </c>
    </row>
    <row r="4460" customFormat="false" ht="15" hidden="false" customHeight="false" outlineLevel="0" collapsed="false">
      <c r="B4460" s="19" t="s">
        <v>5595</v>
      </c>
      <c r="C4460" s="20" t="n">
        <f aca="false">ROUND(7.98/FX,2)</f>
        <v>1.11</v>
      </c>
      <c r="D4460" s="21" t="s">
        <v>5593</v>
      </c>
      <c r="E4460" s="21" t="s">
        <v>4000</v>
      </c>
      <c r="F4460" s="21" t="s">
        <v>708</v>
      </c>
    </row>
    <row r="4461" customFormat="false" ht="15" hidden="false" customHeight="false" outlineLevel="0" collapsed="false">
      <c r="B4461" s="19" t="s">
        <v>5596</v>
      </c>
      <c r="C4461" s="20" t="n">
        <f aca="false">ROUND(7.98/FX,2)</f>
        <v>1.11</v>
      </c>
      <c r="D4461" s="21" t="s">
        <v>5593</v>
      </c>
      <c r="E4461" s="21" t="s">
        <v>3317</v>
      </c>
      <c r="F4461" s="21" t="s">
        <v>708</v>
      </c>
    </row>
    <row r="4462" customFormat="false" ht="15" hidden="false" customHeight="false" outlineLevel="0" collapsed="false">
      <c r="B4462" s="19" t="s">
        <v>5597</v>
      </c>
      <c r="C4462" s="20" t="n">
        <f aca="false">ROUND(7.98/FX,2)</f>
        <v>1.11</v>
      </c>
      <c r="D4462" s="21" t="s">
        <v>5593</v>
      </c>
      <c r="E4462" s="21" t="s">
        <v>5496</v>
      </c>
      <c r="F4462" s="21" t="s">
        <v>708</v>
      </c>
    </row>
    <row r="4463" customFormat="false" ht="15" hidden="false" customHeight="false" outlineLevel="0" collapsed="false">
      <c r="B4463" s="19" t="s">
        <v>5598</v>
      </c>
      <c r="C4463" s="20" t="n">
        <f aca="false">ROUND(9.52/FX,2)</f>
        <v>1.32</v>
      </c>
      <c r="D4463" s="21" t="s">
        <v>2500</v>
      </c>
      <c r="E4463" s="21" t="s">
        <v>714</v>
      </c>
      <c r="F4463" s="21" t="s">
        <v>708</v>
      </c>
    </row>
    <row r="4464" customFormat="false" ht="15" hidden="false" customHeight="false" outlineLevel="0" collapsed="false">
      <c r="B4464" s="19" t="s">
        <v>5599</v>
      </c>
      <c r="C4464" s="20" t="n">
        <f aca="false">ROUND(7.54/FX,2)</f>
        <v>1.05</v>
      </c>
      <c r="D4464" s="21" t="s">
        <v>2500</v>
      </c>
      <c r="E4464" s="21" t="s">
        <v>5492</v>
      </c>
      <c r="F4464" s="21" t="s">
        <v>708</v>
      </c>
    </row>
    <row r="4465" customFormat="false" ht="15" hidden="false" customHeight="false" outlineLevel="0" collapsed="false">
      <c r="B4465" s="19" t="s">
        <v>5600</v>
      </c>
      <c r="C4465" s="20" t="n">
        <f aca="false">ROUND(8.45/FX,2)</f>
        <v>1.17</v>
      </c>
      <c r="D4465" s="21" t="s">
        <v>2500</v>
      </c>
      <c r="E4465" s="21" t="s">
        <v>4000</v>
      </c>
      <c r="F4465" s="21" t="s">
        <v>708</v>
      </c>
    </row>
    <row r="4466" customFormat="false" ht="15" hidden="false" customHeight="false" outlineLevel="0" collapsed="false">
      <c r="B4466" s="19" t="s">
        <v>5601</v>
      </c>
      <c r="C4466" s="20" t="n">
        <f aca="false">ROUND(7.98/FX,2)</f>
        <v>1.11</v>
      </c>
      <c r="D4466" s="21" t="s">
        <v>2500</v>
      </c>
      <c r="E4466" s="21" t="s">
        <v>3317</v>
      </c>
      <c r="F4466" s="21" t="s">
        <v>708</v>
      </c>
    </row>
    <row r="4467" customFormat="false" ht="15" hidden="false" customHeight="false" outlineLevel="0" collapsed="false">
      <c r="B4467" s="19" t="s">
        <v>5602</v>
      </c>
      <c r="C4467" s="20" t="n">
        <f aca="false">ROUND(7.98/FX,2)</f>
        <v>1.11</v>
      </c>
      <c r="D4467" s="21" t="s">
        <v>2500</v>
      </c>
      <c r="E4467" s="21" t="s">
        <v>5496</v>
      </c>
      <c r="F4467" s="21" t="s">
        <v>708</v>
      </c>
    </row>
    <row r="4468" customFormat="false" ht="15" hidden="false" customHeight="false" outlineLevel="0" collapsed="false">
      <c r="B4468" s="19" t="s">
        <v>5603</v>
      </c>
      <c r="C4468" s="20" t="n">
        <f aca="false">ROUND(18.72/FX,2)</f>
        <v>2.6</v>
      </c>
      <c r="D4468" s="21" t="s">
        <v>1881</v>
      </c>
      <c r="E4468" s="21" t="s">
        <v>3317</v>
      </c>
      <c r="F4468" s="21" t="s">
        <v>5604</v>
      </c>
    </row>
    <row r="4469" customFormat="false" ht="15" hidden="false" customHeight="false" outlineLevel="0" collapsed="false">
      <c r="B4469" s="19" t="s">
        <v>5605</v>
      </c>
      <c r="C4469" s="20" t="n">
        <f aca="false">ROUND(39/FX,2)</f>
        <v>5.42</v>
      </c>
      <c r="D4469" s="21" t="s">
        <v>5606</v>
      </c>
      <c r="E4469" s="21" t="s">
        <v>3317</v>
      </c>
      <c r="F4469" s="21" t="s">
        <v>5604</v>
      </c>
    </row>
    <row r="4470" customFormat="false" ht="15" hidden="false" customHeight="false" outlineLevel="0" collapsed="false">
      <c r="B4470" s="19" t="s">
        <v>5607</v>
      </c>
      <c r="C4470" s="20" t="n">
        <f aca="false">ROUND(59/FX,2)</f>
        <v>8.19</v>
      </c>
      <c r="D4470" s="21" t="s">
        <v>5554</v>
      </c>
      <c r="E4470" s="21" t="s">
        <v>714</v>
      </c>
      <c r="F4470" s="21" t="s">
        <v>3244</v>
      </c>
    </row>
    <row r="4471" customFormat="false" ht="15" hidden="false" customHeight="false" outlineLevel="0" collapsed="false">
      <c r="B4471" s="19" t="s">
        <v>5608</v>
      </c>
      <c r="C4471" s="20" t="n">
        <f aca="false">ROUND(149.5/FX,2)</f>
        <v>20.76</v>
      </c>
      <c r="D4471" s="21" t="s">
        <v>5554</v>
      </c>
      <c r="E4471" s="21" t="s">
        <v>5496</v>
      </c>
      <c r="F4471" s="21" t="s">
        <v>3244</v>
      </c>
    </row>
    <row r="4474" customFormat="false" ht="61.5" hidden="false" customHeight="true" outlineLevel="0" collapsed="false">
      <c r="A4474" s="9"/>
      <c r="B4474" s="10" t="s">
        <v>5609</v>
      </c>
      <c r="C4474" s="10"/>
      <c r="D4474" s="10"/>
    </row>
    <row r="4475" customFormat="false" ht="15" hidden="false" customHeight="false" outlineLevel="0" collapsed="false">
      <c r="B4475" s="18" t="s">
        <v>701</v>
      </c>
      <c r="C4475" s="18" t="s">
        <v>702</v>
      </c>
      <c r="D4475" s="18" t="s">
        <v>5610</v>
      </c>
    </row>
    <row r="4476" customFormat="false" ht="15" hidden="false" customHeight="false" outlineLevel="0" collapsed="false">
      <c r="B4476" s="19" t="s">
        <v>5611</v>
      </c>
      <c r="C4476" s="20" t="n">
        <f aca="false">ROUND(18.72/FX,2)</f>
        <v>2.6</v>
      </c>
      <c r="D4476" s="22" t="s">
        <v>5612</v>
      </c>
    </row>
    <row r="4479" customFormat="false" ht="61.5" hidden="false" customHeight="true" outlineLevel="0" collapsed="false">
      <c r="A4479" s="9"/>
      <c r="B4479" s="10" t="s">
        <v>5613</v>
      </c>
      <c r="C4479" s="10"/>
      <c r="D4479" s="10"/>
      <c r="E4479" s="10"/>
      <c r="F4479" s="10"/>
    </row>
    <row r="4480" customFormat="false" ht="15" hidden="false" customHeight="false" outlineLevel="0" collapsed="false">
      <c r="A4480" s="12" t="s">
        <v>700</v>
      </c>
      <c r="B4480" s="13" t="s">
        <v>701</v>
      </c>
      <c r="C4480" s="13" t="s">
        <v>702</v>
      </c>
      <c r="D4480" s="13" t="s">
        <v>703</v>
      </c>
      <c r="E4480" s="13" t="s">
        <v>704</v>
      </c>
      <c r="F4480" s="13" t="s">
        <v>5610</v>
      </c>
    </row>
    <row r="4481" customFormat="false" ht="30" hidden="false" customHeight="true" outlineLevel="0" collapsed="false">
      <c r="A4481" s="14" t="s">
        <v>706</v>
      </c>
      <c r="B4481" s="15" t="str">
        <f aca="false">IF(COUNTIFS($D$4484:$D$4502,IF(D4481="","*",D4481),$E$4484:$E$4502,IF(E4481="","*",E4481),$F$4484:$F$4502,IF(F4481="","*",F4481))=1,INDEX($B:$B,SUMPRODUCT(((D4481="")+($D$4484:$D$4502=D4481)&gt;0)*((E4481="")+($E$4484:$E$4502=E4481)&gt;0)*((F4481="")+($F$4484:$F$4502=F4481)&gt;0)*ROW($B$4484:$B$4502))),IF(COUNTIFS($D$4484:$D$4502,IF(D4481="","*",D4481),$E$4484:$E$4502,IF(E4481="","*",E4481),$F$4484:$F$4502,IF(F4481="","*",F4481))=0,"Not available",COUNTIFS($D$4484:$D$4502,IF(D4481="","*",D4481),$E$4484:$E$4502,IF(E4481="","*",E4481),$F$4484:$F$4502,IF(F4481="","*",F4481))&amp;" match, keep choosing"))</f>
        <v>114XL-10</v>
      </c>
      <c r="C4481" s="16" t="n">
        <f aca="false">IF(COUNTIFS($D$4484:$D$4502,IF(D4481="","*",D4481),$E$4484:$E$4502,IF(E4481="","*",E4481),$F$4484:$F$4502,IF(F4481="","*",F4481))=1,INDEX($C:$C,SUMPRODUCT(((D4481="")+($D$4484:$D$4502=D4481)&gt;0)*((E4481="")+($E$4484:$E$4502=E4481)&gt;0)*((F4481="")+($F$4484:$F$4502=F4481)&gt;0)*ROW($B$4484:$B$4502))),"")</f>
        <v>0.18</v>
      </c>
      <c r="D4481" s="17" t="s">
        <v>707</v>
      </c>
      <c r="E4481" s="17" t="s">
        <v>708</v>
      </c>
      <c r="F4481" s="17" t="s">
        <v>5614</v>
      </c>
    </row>
    <row r="4483" customFormat="false" ht="15" hidden="false" customHeight="false" outlineLevel="0" collapsed="false">
      <c r="B4483" s="18" t="s">
        <v>701</v>
      </c>
      <c r="C4483" s="18" t="s">
        <v>702</v>
      </c>
      <c r="D4483" s="18" t="s">
        <v>703</v>
      </c>
      <c r="E4483" s="18" t="s">
        <v>704</v>
      </c>
      <c r="F4483" s="18" t="s">
        <v>5610</v>
      </c>
    </row>
    <row r="4484" customFormat="false" ht="15" hidden="false" customHeight="false" outlineLevel="0" collapsed="false">
      <c r="B4484" s="19" t="s">
        <v>5615</v>
      </c>
      <c r="C4484" s="20" t="n">
        <f aca="false">ROUND(1.3/FX,2)</f>
        <v>0.18</v>
      </c>
      <c r="D4484" s="21" t="s">
        <v>707</v>
      </c>
      <c r="E4484" s="21" t="s">
        <v>708</v>
      </c>
      <c r="F4484" s="21" t="s">
        <v>5614</v>
      </c>
    </row>
    <row r="4485" customFormat="false" ht="15" hidden="false" customHeight="false" outlineLevel="0" collapsed="false">
      <c r="B4485" s="19" t="s">
        <v>5616</v>
      </c>
      <c r="C4485" s="20" t="n">
        <f aca="false">ROUND(2.1/FX,2)</f>
        <v>0.29</v>
      </c>
      <c r="D4485" s="21" t="s">
        <v>716</v>
      </c>
      <c r="E4485" s="21" t="s">
        <v>708</v>
      </c>
      <c r="F4485" s="21" t="s">
        <v>5614</v>
      </c>
    </row>
    <row r="4486" customFormat="false" ht="15" hidden="false" customHeight="false" outlineLevel="0" collapsed="false">
      <c r="B4486" s="19" t="s">
        <v>5617</v>
      </c>
      <c r="C4486" s="20" t="n">
        <f aca="false">ROUND(1.3/FX,2)</f>
        <v>0.18</v>
      </c>
      <c r="D4486" s="21" t="s">
        <v>719</v>
      </c>
      <c r="E4486" s="21" t="s">
        <v>708</v>
      </c>
      <c r="F4486" s="21" t="s">
        <v>5614</v>
      </c>
    </row>
    <row r="4487" customFormat="false" ht="15" hidden="false" customHeight="false" outlineLevel="0" collapsed="false">
      <c r="B4487" s="19" t="s">
        <v>5618</v>
      </c>
      <c r="C4487" s="20" t="n">
        <f aca="false">ROUND(1.3/FX,2)</f>
        <v>0.18</v>
      </c>
      <c r="D4487" s="21" t="s">
        <v>707</v>
      </c>
      <c r="E4487" s="21" t="s">
        <v>708</v>
      </c>
      <c r="F4487" s="21" t="s">
        <v>5619</v>
      </c>
    </row>
    <row r="4488" customFormat="false" ht="15" hidden="false" customHeight="false" outlineLevel="0" collapsed="false">
      <c r="B4488" s="19" t="s">
        <v>5620</v>
      </c>
      <c r="C4488" s="20" t="n">
        <f aca="false">ROUND(3.25/FX,2)</f>
        <v>0.45</v>
      </c>
      <c r="D4488" s="21" t="s">
        <v>3317</v>
      </c>
      <c r="E4488" s="21" t="s">
        <v>708</v>
      </c>
      <c r="F4488" s="21" t="s">
        <v>5621</v>
      </c>
    </row>
    <row r="4489" customFormat="false" ht="15" hidden="false" customHeight="false" outlineLevel="0" collapsed="false">
      <c r="B4489" s="19" t="s">
        <v>5622</v>
      </c>
      <c r="C4489" s="20" t="n">
        <f aca="false">ROUND(3.25/FX,2)</f>
        <v>0.45</v>
      </c>
      <c r="D4489" s="21" t="s">
        <v>847</v>
      </c>
      <c r="E4489" s="21" t="s">
        <v>708</v>
      </c>
      <c r="F4489" s="21" t="s">
        <v>5621</v>
      </c>
    </row>
    <row r="4490" customFormat="false" ht="15" hidden="false" customHeight="false" outlineLevel="0" collapsed="false">
      <c r="B4490" s="19" t="s">
        <v>5623</v>
      </c>
      <c r="C4490" s="20" t="n">
        <f aca="false">ROUND(1.3/FX,2)</f>
        <v>0.18</v>
      </c>
      <c r="D4490" s="21" t="s">
        <v>707</v>
      </c>
      <c r="E4490" s="21" t="s">
        <v>708</v>
      </c>
      <c r="F4490" s="21" t="s">
        <v>5624</v>
      </c>
    </row>
    <row r="4491" customFormat="false" ht="15" hidden="false" customHeight="false" outlineLevel="0" collapsed="false">
      <c r="B4491" s="19" t="s">
        <v>5625</v>
      </c>
      <c r="C4491" s="20" t="n">
        <f aca="false">ROUND(1.69/FX,2)</f>
        <v>0.23</v>
      </c>
      <c r="D4491" s="21" t="s">
        <v>707</v>
      </c>
      <c r="E4491" s="21" t="s">
        <v>708</v>
      </c>
      <c r="F4491" s="21" t="s">
        <v>5626</v>
      </c>
    </row>
    <row r="4492" customFormat="false" ht="15" hidden="false" customHeight="false" outlineLevel="0" collapsed="false">
      <c r="B4492" s="19" t="s">
        <v>5627</v>
      </c>
      <c r="C4492" s="20" t="n">
        <f aca="false">ROUND(1.56/FX,2)</f>
        <v>0.22</v>
      </c>
      <c r="D4492" s="21" t="s">
        <v>845</v>
      </c>
      <c r="E4492" s="21" t="s">
        <v>708</v>
      </c>
      <c r="F4492" s="21" t="s">
        <v>5628</v>
      </c>
    </row>
    <row r="4493" customFormat="false" ht="15" hidden="false" customHeight="false" outlineLevel="0" collapsed="false">
      <c r="B4493" s="19" t="s">
        <v>5629</v>
      </c>
      <c r="C4493" s="20" t="n">
        <f aca="false">ROUND(3.25/FX,2)</f>
        <v>0.45</v>
      </c>
      <c r="D4493" s="21" t="s">
        <v>3317</v>
      </c>
      <c r="E4493" s="21" t="s">
        <v>708</v>
      </c>
      <c r="F4493" s="21" t="s">
        <v>5630</v>
      </c>
    </row>
    <row r="4494" customFormat="false" ht="15" hidden="false" customHeight="false" outlineLevel="0" collapsed="false">
      <c r="B4494" s="19" t="s">
        <v>5631</v>
      </c>
      <c r="C4494" s="20" t="n">
        <f aca="false">ROUND(2.47/FX,2)</f>
        <v>0.34</v>
      </c>
      <c r="D4494" s="21" t="s">
        <v>847</v>
      </c>
      <c r="E4494" s="21" t="s">
        <v>708</v>
      </c>
      <c r="F4494" s="21" t="s">
        <v>5630</v>
      </c>
    </row>
    <row r="4495" customFormat="false" ht="15" hidden="false" customHeight="false" outlineLevel="0" collapsed="false">
      <c r="B4495" s="19" t="s">
        <v>5632</v>
      </c>
      <c r="C4495" s="20" t="n">
        <f aca="false">ROUND(3.25/FX,2)</f>
        <v>0.45</v>
      </c>
      <c r="D4495" s="21" t="s">
        <v>3317</v>
      </c>
      <c r="E4495" s="21" t="s">
        <v>708</v>
      </c>
      <c r="F4495" s="21" t="s">
        <v>5633</v>
      </c>
    </row>
    <row r="4496" customFormat="false" ht="15" hidden="false" customHeight="false" outlineLevel="0" collapsed="false">
      <c r="B4496" s="19" t="s">
        <v>5634</v>
      </c>
      <c r="C4496" s="20" t="n">
        <f aca="false">ROUND(3.51/FX,2)</f>
        <v>0.49</v>
      </c>
      <c r="D4496" s="21" t="s">
        <v>847</v>
      </c>
      <c r="E4496" s="21" t="s">
        <v>708</v>
      </c>
      <c r="F4496" s="21" t="s">
        <v>5633</v>
      </c>
    </row>
    <row r="4497" customFormat="false" ht="15" hidden="false" customHeight="false" outlineLevel="0" collapsed="false">
      <c r="B4497" s="19" t="s">
        <v>5635</v>
      </c>
      <c r="C4497" s="20" t="n">
        <f aca="false">ROUND(1.76/FX,2)</f>
        <v>0.24</v>
      </c>
      <c r="D4497" s="21" t="s">
        <v>707</v>
      </c>
      <c r="E4497" s="21" t="s">
        <v>708</v>
      </c>
      <c r="F4497" s="21" t="s">
        <v>5636</v>
      </c>
    </row>
    <row r="4498" customFormat="false" ht="15" hidden="false" customHeight="false" outlineLevel="0" collapsed="false">
      <c r="B4498" s="19" t="s">
        <v>5637</v>
      </c>
      <c r="C4498" s="20" t="n">
        <f aca="false">ROUND(1.76/FX,2)</f>
        <v>0.24</v>
      </c>
      <c r="D4498" s="21" t="s">
        <v>707</v>
      </c>
      <c r="E4498" s="21" t="s">
        <v>708</v>
      </c>
      <c r="F4498" s="21" t="s">
        <v>5638</v>
      </c>
    </row>
    <row r="4499" customFormat="false" ht="15" hidden="false" customHeight="false" outlineLevel="0" collapsed="false">
      <c r="B4499" s="19" t="s">
        <v>5639</v>
      </c>
      <c r="C4499" s="20" t="n">
        <f aca="false">ROUND(1.3/FX,2)</f>
        <v>0.18</v>
      </c>
      <c r="D4499" s="21" t="s">
        <v>707</v>
      </c>
      <c r="E4499" s="21" t="s">
        <v>708</v>
      </c>
      <c r="F4499" s="21" t="s">
        <v>5640</v>
      </c>
    </row>
    <row r="4500" customFormat="false" ht="15" hidden="false" customHeight="false" outlineLevel="0" collapsed="false">
      <c r="B4500" s="19" t="s">
        <v>5641</v>
      </c>
      <c r="C4500" s="20" t="n">
        <f aca="false">ROUND(1.56/FX,2)</f>
        <v>0.22</v>
      </c>
      <c r="D4500" s="21" t="s">
        <v>716</v>
      </c>
      <c r="E4500" s="21" t="s">
        <v>708</v>
      </c>
      <c r="F4500" s="21" t="s">
        <v>5640</v>
      </c>
    </row>
    <row r="4501" customFormat="false" ht="15" hidden="false" customHeight="false" outlineLevel="0" collapsed="false">
      <c r="B4501" s="19" t="s">
        <v>5642</v>
      </c>
      <c r="C4501" s="20" t="n">
        <f aca="false">ROUND(4.94/FX,2)</f>
        <v>0.69</v>
      </c>
      <c r="D4501" s="21" t="s">
        <v>761</v>
      </c>
      <c r="E4501" s="21" t="s">
        <v>725</v>
      </c>
      <c r="F4501" s="21" t="s">
        <v>5643</v>
      </c>
    </row>
    <row r="4502" customFormat="false" ht="15" hidden="false" customHeight="false" outlineLevel="0" collapsed="false">
      <c r="B4502" s="19" t="s">
        <v>5644</v>
      </c>
      <c r="C4502" s="20" t="n">
        <f aca="false">ROUND(2.86/FX,2)</f>
        <v>0.4</v>
      </c>
      <c r="D4502" s="21" t="s">
        <v>716</v>
      </c>
      <c r="E4502" s="21" t="s">
        <v>725</v>
      </c>
      <c r="F4502" s="21" t="s">
        <v>5643</v>
      </c>
    </row>
    <row r="4505" customFormat="false" ht="61.5" hidden="false" customHeight="true" outlineLevel="0" collapsed="false">
      <c r="A4505" s="9"/>
      <c r="B4505" s="10" t="s">
        <v>5645</v>
      </c>
      <c r="C4505" s="10"/>
      <c r="D4505" s="10"/>
      <c r="E4505" s="10"/>
      <c r="F4505" s="10"/>
      <c r="G4505" s="10"/>
    </row>
    <row r="4506" customFormat="false" ht="22.35" hidden="false" customHeight="true" outlineLevel="0" collapsed="false">
      <c r="B4506" s="11" t="s">
        <v>699</v>
      </c>
      <c r="C4506" s="11"/>
      <c r="D4506" s="11"/>
      <c r="E4506" s="11"/>
      <c r="F4506" s="11"/>
      <c r="G4506" s="11"/>
    </row>
    <row r="4507" customFormat="false" ht="15" hidden="false" customHeight="false" outlineLevel="0" collapsed="false">
      <c r="A4507" s="12" t="s">
        <v>700</v>
      </c>
      <c r="B4507" s="13" t="s">
        <v>701</v>
      </c>
      <c r="C4507" s="13" t="s">
        <v>702</v>
      </c>
      <c r="D4507" s="13" t="s">
        <v>703</v>
      </c>
      <c r="E4507" s="13" t="s">
        <v>722</v>
      </c>
      <c r="F4507" s="13" t="s">
        <v>704</v>
      </c>
      <c r="G4507" s="13" t="s">
        <v>705</v>
      </c>
    </row>
    <row r="4508" customFormat="false" ht="30" hidden="false" customHeight="true" outlineLevel="0" collapsed="false">
      <c r="A4508" s="14" t="s">
        <v>706</v>
      </c>
      <c r="B4508" s="15" t="str">
        <f aca="false">IF(COUNTIFS($D$4511:$D$4521,IF(D4508="","*",D4508),$E$4511:$E$4521,IF(E4508="","*",E4508),$F$4511:$F$4521,IF(F4508="","*",F4508),$G$4511:$G$4521,IF(G4508="","*",G4508))=1,INDEX($B:$B,SUMPRODUCT(((D4508="")+($D$4511:$D$4521=D4508)&gt;0)*((E4508="")+($E$4511:$E$4521=E4508)&gt;0)*((F4508="")+($F$4511:$F$4521=F4508)&gt;0)*((G4508="")+($G$4511:$G$4521=G4508)&gt;0)*ROW($B$4511:$B$4521))),IF(COUNTIFS($D$4511:$D$4521,IF(D4508="","*",D4508),$E$4511:$E$4521,IF(E4508="","*",E4508),$F$4511:$F$4521,IF(F4508="","*",F4508),$G$4511:$G$4521,IF(G4508="","*",G4508))=0,"Not available",COUNTIFS($D$4511:$D$4521,IF(D4508="","*",D4508),$E$4511:$E$4521,IF(E4508="","*",E4508),$F$4511:$F$4521,IF(F4508="","*",F4508),$G$4511:$G$4521,IF(G4508="","*",G4508))&amp;" match, keep choosing"))</f>
        <v>XL-10-BPU-1M</v>
      </c>
      <c r="C4508" s="16" t="n">
        <f aca="false">IF(COUNTIFS($D$4511:$D$4521,IF(D4508="","*",D4508),$E$4511:$E$4521,IF(E4508="","*",E4508),$F$4511:$F$4521,IF(F4508="","*",F4508),$G$4511:$G$4521,IF(G4508="","*",G4508))=1,INDEX($C:$C,SUMPRODUCT(((D4508="")+($D$4511:$D$4521=D4508)&gt;0)*((E4508="")+($E$4511:$E$4521=E4508)&gt;0)*((F4508="")+($F$4511:$F$4521=F4508)&gt;0)*((G4508="")+($G$4511:$G$4521=G4508)&gt;0)*ROW($B$4511:$B$4521))),"")</f>
        <v>0.54</v>
      </c>
      <c r="D4508" s="17" t="s">
        <v>707</v>
      </c>
      <c r="E4508" s="17" t="s">
        <v>724</v>
      </c>
      <c r="F4508" s="17" t="s">
        <v>725</v>
      </c>
      <c r="G4508" s="17" t="s">
        <v>709</v>
      </c>
    </row>
    <row r="4510" customFormat="false" ht="15" hidden="false" customHeight="false" outlineLevel="0" collapsed="false">
      <c r="B4510" s="18" t="s">
        <v>701</v>
      </c>
      <c r="C4510" s="18" t="s">
        <v>702</v>
      </c>
      <c r="D4510" s="18" t="s">
        <v>703</v>
      </c>
      <c r="E4510" s="18" t="s">
        <v>722</v>
      </c>
      <c r="F4510" s="18" t="s">
        <v>704</v>
      </c>
      <c r="G4510" s="18" t="s">
        <v>705</v>
      </c>
    </row>
    <row r="4511" customFormat="false" ht="15" hidden="false" customHeight="false" outlineLevel="0" collapsed="false">
      <c r="B4511" s="19" t="s">
        <v>5646</v>
      </c>
      <c r="C4511" s="20" t="n">
        <f aca="false">ROUND(3.9/FX,2)</f>
        <v>0.54</v>
      </c>
      <c r="D4511" s="21" t="s">
        <v>707</v>
      </c>
      <c r="E4511" s="21" t="s">
        <v>724</v>
      </c>
      <c r="F4511" s="21" t="s">
        <v>725</v>
      </c>
      <c r="G4511" s="21" t="s">
        <v>709</v>
      </c>
    </row>
    <row r="4512" customFormat="false" ht="15" hidden="false" customHeight="false" outlineLevel="0" collapsed="false">
      <c r="B4512" s="19" t="s">
        <v>5647</v>
      </c>
      <c r="C4512" s="20" t="n">
        <f aca="false">ROUND(4.55/FX,2)</f>
        <v>0.63</v>
      </c>
      <c r="D4512" s="21" t="s">
        <v>707</v>
      </c>
      <c r="E4512" s="21" t="s">
        <v>724</v>
      </c>
      <c r="F4512" s="21" t="s">
        <v>708</v>
      </c>
      <c r="G4512" s="21" t="s">
        <v>709</v>
      </c>
    </row>
    <row r="4513" customFormat="false" ht="15" hidden="false" customHeight="false" outlineLevel="0" collapsed="false">
      <c r="B4513" s="19" t="s">
        <v>5648</v>
      </c>
      <c r="C4513" s="20" t="n">
        <f aca="false">ROUND(455/FX,2)</f>
        <v>63.19</v>
      </c>
      <c r="D4513" s="21" t="s">
        <v>707</v>
      </c>
      <c r="E4513" s="21" t="s">
        <v>724</v>
      </c>
      <c r="F4513" s="21" t="s">
        <v>708</v>
      </c>
      <c r="G4513" s="21" t="s">
        <v>739</v>
      </c>
    </row>
    <row r="4514" customFormat="false" ht="15" hidden="false" customHeight="false" outlineLevel="0" collapsed="false">
      <c r="B4514" s="19" t="s">
        <v>5649</v>
      </c>
      <c r="C4514" s="20" t="n">
        <f aca="false">ROUND(3.9/FX,2)</f>
        <v>0.54</v>
      </c>
      <c r="D4514" s="21" t="s">
        <v>707</v>
      </c>
      <c r="E4514" s="21" t="s">
        <v>751</v>
      </c>
      <c r="F4514" s="21" t="s">
        <v>725</v>
      </c>
      <c r="G4514" s="21" t="s">
        <v>709</v>
      </c>
    </row>
    <row r="4515" customFormat="false" ht="15" hidden="false" customHeight="false" outlineLevel="0" collapsed="false">
      <c r="B4515" s="19" t="s">
        <v>5650</v>
      </c>
      <c r="C4515" s="20" t="n">
        <f aca="false">ROUND(140.4/FX,2)</f>
        <v>19.5</v>
      </c>
      <c r="D4515" s="21" t="s">
        <v>761</v>
      </c>
      <c r="E4515" s="21" t="s">
        <v>751</v>
      </c>
      <c r="F4515" s="21" t="s">
        <v>725</v>
      </c>
      <c r="G4515" s="21" t="s">
        <v>799</v>
      </c>
    </row>
    <row r="4516" customFormat="false" ht="15" hidden="false" customHeight="false" outlineLevel="0" collapsed="false">
      <c r="B4516" s="19" t="s">
        <v>5651</v>
      </c>
      <c r="C4516" s="20" t="n">
        <f aca="false">ROUND(4.55/FX,2)</f>
        <v>0.63</v>
      </c>
      <c r="D4516" s="21" t="s">
        <v>714</v>
      </c>
      <c r="E4516" s="21" t="s">
        <v>724</v>
      </c>
      <c r="F4516" s="21" t="s">
        <v>725</v>
      </c>
      <c r="G4516" s="21" t="s">
        <v>709</v>
      </c>
    </row>
    <row r="4517" customFormat="false" ht="15" hidden="false" customHeight="false" outlineLevel="0" collapsed="false">
      <c r="B4517" s="19" t="s">
        <v>5652</v>
      </c>
      <c r="C4517" s="20" t="n">
        <f aca="false">ROUND(7.8/FX,2)</f>
        <v>1.08</v>
      </c>
      <c r="D4517" s="21" t="s">
        <v>714</v>
      </c>
      <c r="E4517" s="21" t="s">
        <v>724</v>
      </c>
      <c r="F4517" s="21" t="s">
        <v>708</v>
      </c>
      <c r="G4517" s="21" t="s">
        <v>709</v>
      </c>
    </row>
    <row r="4518" customFormat="false" ht="15" hidden="false" customHeight="false" outlineLevel="0" collapsed="false">
      <c r="B4518" s="19" t="s">
        <v>5653</v>
      </c>
      <c r="C4518" s="20" t="n">
        <f aca="false">ROUND(4.55/FX,2)</f>
        <v>0.63</v>
      </c>
      <c r="D4518" s="21" t="s">
        <v>714</v>
      </c>
      <c r="E4518" s="21" t="s">
        <v>751</v>
      </c>
      <c r="F4518" s="21" t="s">
        <v>725</v>
      </c>
      <c r="G4518" s="21" t="s">
        <v>709</v>
      </c>
    </row>
    <row r="4519" customFormat="false" ht="15" hidden="false" customHeight="false" outlineLevel="0" collapsed="false">
      <c r="B4519" s="19" t="s">
        <v>5654</v>
      </c>
      <c r="C4519" s="20" t="n">
        <f aca="false">ROUND(2.86/FX,2)</f>
        <v>0.4</v>
      </c>
      <c r="D4519" s="21" t="s">
        <v>716</v>
      </c>
      <c r="E4519" s="21" t="s">
        <v>724</v>
      </c>
      <c r="F4519" s="21" t="s">
        <v>708</v>
      </c>
      <c r="G4519" s="21" t="s">
        <v>709</v>
      </c>
    </row>
    <row r="4520" customFormat="false" ht="15" hidden="false" customHeight="false" outlineLevel="0" collapsed="false">
      <c r="B4520" s="19" t="s">
        <v>5655</v>
      </c>
      <c r="C4520" s="20" t="n">
        <f aca="false">ROUND(3.51/FX,2)</f>
        <v>0.49</v>
      </c>
      <c r="D4520" s="21" t="s">
        <v>719</v>
      </c>
      <c r="E4520" s="21" t="s">
        <v>724</v>
      </c>
      <c r="F4520" s="21" t="s">
        <v>725</v>
      </c>
      <c r="G4520" s="21" t="s">
        <v>709</v>
      </c>
    </row>
    <row r="4521" customFormat="false" ht="15" hidden="false" customHeight="false" outlineLevel="0" collapsed="false">
      <c r="B4521" s="19" t="s">
        <v>5656</v>
      </c>
      <c r="C4521" s="20" t="n">
        <f aca="false">ROUND(3.51/FX,2)</f>
        <v>0.49</v>
      </c>
      <c r="D4521" s="21" t="s">
        <v>719</v>
      </c>
      <c r="E4521" s="21" t="s">
        <v>751</v>
      </c>
      <c r="F4521" s="21" t="s">
        <v>725</v>
      </c>
      <c r="G4521" s="21" t="s">
        <v>709</v>
      </c>
    </row>
    <row r="4524" customFormat="false" ht="61.5" hidden="false" customHeight="true" outlineLevel="0" collapsed="false">
      <c r="A4524" s="9"/>
      <c r="B4524" s="10" t="s">
        <v>5657</v>
      </c>
      <c r="C4524" s="10"/>
      <c r="D4524" s="10"/>
      <c r="E4524" s="10"/>
    </row>
    <row r="4525" customFormat="false" ht="22.35" hidden="false" customHeight="true" outlineLevel="0" collapsed="false">
      <c r="B4525" s="11" t="s">
        <v>699</v>
      </c>
      <c r="C4525" s="11"/>
      <c r="D4525" s="11"/>
      <c r="E4525" s="11"/>
    </row>
    <row r="4526" customFormat="false" ht="15" hidden="false" customHeight="false" outlineLevel="0" collapsed="false">
      <c r="A4526" s="12" t="s">
        <v>700</v>
      </c>
      <c r="B4526" s="13" t="s">
        <v>701</v>
      </c>
      <c r="C4526" s="13" t="s">
        <v>702</v>
      </c>
      <c r="D4526" s="13" t="s">
        <v>703</v>
      </c>
      <c r="E4526" s="13" t="s">
        <v>705</v>
      </c>
    </row>
    <row r="4527" customFormat="false" ht="30" hidden="false" customHeight="true" outlineLevel="0" collapsed="false">
      <c r="A4527" s="14" t="s">
        <v>706</v>
      </c>
      <c r="B4527" s="15" t="str">
        <f aca="false">IF(COUNTIFS($D$4530:$D$4536,IF(D4527="","*",D4527),$E$4530:$E$4536,IF(E4527="","*",E4527))=1,INDEX($B:$B,SUMPRODUCT(((D4527="")+($D$4530:$D$4536=D4527)&gt;0)*((E4527="")+($E$4530:$E$4536=E4527)&gt;0)*ROW($B$4530:$B$4536))),IF(COUNTIFS($D$4530:$D$4536,IF(D4527="","*",D4527),$E$4530:$E$4536,IF(E4527="","*",E4527))=0,"Not available",COUNTIFS($D$4530:$D$4536,IF(D4527="","*",D4527),$E$4530:$E$4536,IF(E4527="","*",E4527))&amp;" match, keep choosing"))</f>
        <v>MXL-10-R-1M</v>
      </c>
      <c r="C4527" s="16" t="n">
        <f aca="false">IF(COUNTIFS($D$4530:$D$4536,IF(D4527="","*",D4527),$E$4530:$E$4536,IF(E4527="","*",E4527))=1,INDEX($C:$C,SUMPRODUCT(((D4527="")+($D$4530:$D$4536=D4527)&gt;0)*((E4527="")+($E$4530:$E$4536=E4527)&gt;0)*ROW($B$4530:$B$4536))),"")</f>
        <v>0.7</v>
      </c>
      <c r="D4527" s="17" t="s">
        <v>707</v>
      </c>
      <c r="E4527" s="17" t="s">
        <v>709</v>
      </c>
    </row>
    <row r="4529" customFormat="false" ht="15" hidden="false" customHeight="false" outlineLevel="0" collapsed="false">
      <c r="B4529" s="18" t="s">
        <v>701</v>
      </c>
      <c r="C4529" s="18" t="s">
        <v>702</v>
      </c>
      <c r="D4529" s="18" t="s">
        <v>703</v>
      </c>
      <c r="E4529" s="18" t="s">
        <v>705</v>
      </c>
    </row>
    <row r="4530" customFormat="false" ht="15" hidden="false" customHeight="false" outlineLevel="0" collapsed="false">
      <c r="B4530" s="19" t="s">
        <v>5658</v>
      </c>
      <c r="C4530" s="20" t="n">
        <f aca="false">ROUND(5.07/FX,2)</f>
        <v>0.7</v>
      </c>
      <c r="D4530" s="21" t="s">
        <v>707</v>
      </c>
      <c r="E4530" s="21" t="s">
        <v>709</v>
      </c>
    </row>
    <row r="4531" customFormat="false" ht="15" hidden="false" customHeight="false" outlineLevel="0" collapsed="false">
      <c r="B4531" s="19" t="s">
        <v>5659</v>
      </c>
      <c r="C4531" s="20" t="n">
        <f aca="false">ROUND(8.46/FX,2)</f>
        <v>1.18</v>
      </c>
      <c r="D4531" s="21" t="s">
        <v>761</v>
      </c>
      <c r="E4531" s="21" t="s">
        <v>709</v>
      </c>
    </row>
    <row r="4532" customFormat="false" ht="15" hidden="false" customHeight="false" outlineLevel="0" collapsed="false">
      <c r="B4532" s="19" t="s">
        <v>5660</v>
      </c>
      <c r="C4532" s="20" t="n">
        <f aca="false">ROUND(9.1/FX,2)</f>
        <v>1.26</v>
      </c>
      <c r="D4532" s="21" t="s">
        <v>714</v>
      </c>
      <c r="E4532" s="21" t="s">
        <v>709</v>
      </c>
    </row>
    <row r="4533" customFormat="false" ht="15" hidden="false" customHeight="false" outlineLevel="0" collapsed="false">
      <c r="B4533" s="19" t="s">
        <v>5661</v>
      </c>
      <c r="C4533" s="20" t="n">
        <f aca="false">ROUND(8.13/FX,2)</f>
        <v>1.13</v>
      </c>
      <c r="D4533" s="21" t="s">
        <v>841</v>
      </c>
      <c r="E4533" s="21" t="s">
        <v>709</v>
      </c>
    </row>
    <row r="4534" customFormat="false" ht="15" hidden="false" customHeight="false" outlineLevel="0" collapsed="false">
      <c r="B4534" s="19" t="s">
        <v>5662</v>
      </c>
      <c r="C4534" s="20" t="n">
        <f aca="false">ROUND(2.6/FX,2)</f>
        <v>0.36</v>
      </c>
      <c r="D4534" s="21" t="s">
        <v>789</v>
      </c>
      <c r="E4534" s="21" t="s">
        <v>709</v>
      </c>
    </row>
    <row r="4535" customFormat="false" ht="15" hidden="false" customHeight="false" outlineLevel="0" collapsed="false">
      <c r="B4535" s="19" t="s">
        <v>5663</v>
      </c>
      <c r="C4535" s="20" t="n">
        <f aca="false">ROUND(3.25/FX,2)</f>
        <v>0.45</v>
      </c>
      <c r="D4535" s="21" t="s">
        <v>716</v>
      </c>
      <c r="E4535" s="21" t="s">
        <v>709</v>
      </c>
    </row>
    <row r="4536" customFormat="false" ht="15" hidden="false" customHeight="false" outlineLevel="0" collapsed="false">
      <c r="B4536" s="19" t="s">
        <v>5664</v>
      </c>
      <c r="C4536" s="20" t="n">
        <f aca="false">ROUND(4.55/FX,2)</f>
        <v>0.63</v>
      </c>
      <c r="D4536" s="21" t="s">
        <v>847</v>
      </c>
      <c r="E4536" s="21" t="s">
        <v>709</v>
      </c>
    </row>
    <row r="4539" customFormat="false" ht="61.5" hidden="false" customHeight="true" outlineLevel="0" collapsed="false">
      <c r="A4539" s="9"/>
      <c r="B4539" s="10" t="s">
        <v>5665</v>
      </c>
      <c r="C4539" s="10"/>
      <c r="D4539" s="10"/>
      <c r="E4539" s="10"/>
    </row>
    <row r="4540" customFormat="false" ht="15" hidden="false" customHeight="false" outlineLevel="0" collapsed="false">
      <c r="A4540" s="12" t="s">
        <v>700</v>
      </c>
      <c r="B4540" s="13" t="s">
        <v>701</v>
      </c>
      <c r="C4540" s="13" t="s">
        <v>702</v>
      </c>
      <c r="D4540" s="13" t="s">
        <v>703</v>
      </c>
      <c r="E4540" s="13" t="s">
        <v>5610</v>
      </c>
    </row>
    <row r="4541" customFormat="false" ht="30" hidden="false" customHeight="true" outlineLevel="0" collapsed="false">
      <c r="A4541" s="14" t="s">
        <v>706</v>
      </c>
      <c r="B4541" s="15" t="str">
        <f aca="false">IF(COUNTIFS($D$4544:$D$4970,IF(D4541="","*",D4541),$E$4544:$E$4970,IF(E4541="","*",E4541))=1,INDEX($B:$B,SUMPRODUCT(((D4541="")+($D$4544:$D$4970=D4541)&gt;0)*((E4541="")+($E$4544:$E$4970=E4541)&gt;0)*ROW($B$4544:$B$4970))),IF(COUNTIFS($D$4544:$D$4970,IF(D4541="","*",D4541),$E$4544:$E$4970,IF(E4541="","*",E4541))=0,"Not available",COUNTIFS($D$4544:$D$4970,IF(D4541="","*",D4541),$E$4544:$E$4970,IF(E4541="","*",E4541))&amp;" match, keep choosing"))</f>
        <v>B100MXL-10</v>
      </c>
      <c r="C4541" s="16" t="n">
        <f aca="false">IF(COUNTIFS($D$4544:$D$4970,IF(D4541="","*",D4541),$E$4544:$E$4970,IF(E4541="","*",E4541))=1,INDEX($C:$C,SUMPRODUCT(((D4541="")+($D$4544:$D$4970=D4541)&gt;0)*((E4541="")+($E$4544:$E$4970=E4541)&gt;0)*ROW($B$4544:$B$4970))),"")</f>
        <v>0.3</v>
      </c>
      <c r="D4541" s="17" t="s">
        <v>707</v>
      </c>
      <c r="E4541" s="17" t="s">
        <v>5666</v>
      </c>
    </row>
    <row r="4543" customFormat="false" ht="15" hidden="false" customHeight="false" outlineLevel="0" collapsed="false">
      <c r="B4543" s="18" t="s">
        <v>701</v>
      </c>
      <c r="C4543" s="18" t="s">
        <v>702</v>
      </c>
      <c r="D4543" s="18" t="s">
        <v>703</v>
      </c>
      <c r="E4543" s="18" t="s">
        <v>5610</v>
      </c>
    </row>
    <row r="4544" customFormat="false" ht="15" hidden="false" customHeight="false" outlineLevel="0" collapsed="false">
      <c r="B4544" s="19" t="s">
        <v>5667</v>
      </c>
      <c r="C4544" s="20" t="n">
        <f aca="false">ROUND(2.17/FX,2)</f>
        <v>0.3</v>
      </c>
      <c r="D4544" s="21" t="s">
        <v>707</v>
      </c>
      <c r="E4544" s="21" t="s">
        <v>5666</v>
      </c>
    </row>
    <row r="4545" customFormat="false" ht="15" hidden="false" customHeight="false" outlineLevel="0" collapsed="false">
      <c r="B4545" s="19" t="s">
        <v>5668</v>
      </c>
      <c r="C4545" s="20" t="n">
        <f aca="false">ROUND(0.94/FX,2)</f>
        <v>0.13</v>
      </c>
      <c r="D4545" s="21" t="s">
        <v>839</v>
      </c>
      <c r="E4545" s="21" t="s">
        <v>5666</v>
      </c>
    </row>
    <row r="4546" customFormat="false" ht="15" hidden="false" customHeight="false" outlineLevel="0" collapsed="false">
      <c r="B4546" s="19" t="s">
        <v>5669</v>
      </c>
      <c r="C4546" s="20" t="n">
        <f aca="false">ROUND(0.94/FX,2)</f>
        <v>0.13</v>
      </c>
      <c r="D4546" s="21" t="s">
        <v>841</v>
      </c>
      <c r="E4546" s="21" t="s">
        <v>5666</v>
      </c>
    </row>
    <row r="4547" customFormat="false" ht="15" hidden="false" customHeight="false" outlineLevel="0" collapsed="false">
      <c r="B4547" s="19" t="s">
        <v>5670</v>
      </c>
      <c r="C4547" s="20" t="n">
        <f aca="false">ROUND(0.94/FX,2)</f>
        <v>0.13</v>
      </c>
      <c r="D4547" s="21" t="s">
        <v>789</v>
      </c>
      <c r="E4547" s="21" t="s">
        <v>5666</v>
      </c>
    </row>
    <row r="4548" customFormat="false" ht="15" hidden="false" customHeight="false" outlineLevel="0" collapsed="false">
      <c r="B4548" s="19" t="s">
        <v>5671</v>
      </c>
      <c r="C4548" s="20" t="n">
        <f aca="false">ROUND(1.2/FX,2)</f>
        <v>0.17</v>
      </c>
      <c r="D4548" s="21" t="s">
        <v>716</v>
      </c>
      <c r="E4548" s="21" t="s">
        <v>5666</v>
      </c>
    </row>
    <row r="4549" customFormat="false" ht="15" hidden="false" customHeight="false" outlineLevel="0" collapsed="false">
      <c r="B4549" s="19" t="s">
        <v>5672</v>
      </c>
      <c r="C4549" s="20" t="n">
        <f aca="false">ROUND(0.94/FX,2)</f>
        <v>0.13</v>
      </c>
      <c r="D4549" s="21" t="s">
        <v>845</v>
      </c>
      <c r="E4549" s="21" t="s">
        <v>5666</v>
      </c>
    </row>
    <row r="4550" customFormat="false" ht="15" hidden="false" customHeight="false" outlineLevel="0" collapsed="false">
      <c r="B4550" s="19" t="s">
        <v>5673</v>
      </c>
      <c r="C4550" s="20" t="n">
        <f aca="false">ROUND(0.94/FX,2)</f>
        <v>0.13</v>
      </c>
      <c r="D4550" s="21" t="s">
        <v>719</v>
      </c>
      <c r="E4550" s="21" t="s">
        <v>5666</v>
      </c>
    </row>
    <row r="4551" customFormat="false" ht="15" hidden="false" customHeight="false" outlineLevel="0" collapsed="false">
      <c r="B4551" s="19" t="s">
        <v>5674</v>
      </c>
      <c r="C4551" s="20" t="n">
        <f aca="false">ROUND(2.17/FX,2)</f>
        <v>0.3</v>
      </c>
      <c r="D4551" s="21" t="s">
        <v>707</v>
      </c>
      <c r="E4551" s="21" t="s">
        <v>5675</v>
      </c>
    </row>
    <row r="4552" customFormat="false" ht="15" hidden="false" customHeight="false" outlineLevel="0" collapsed="false">
      <c r="B4552" s="19" t="s">
        <v>5676</v>
      </c>
      <c r="C4552" s="20" t="n">
        <f aca="false">ROUND(0.94/FX,2)</f>
        <v>0.13</v>
      </c>
      <c r="D4552" s="21" t="s">
        <v>839</v>
      </c>
      <c r="E4552" s="21" t="s">
        <v>5675</v>
      </c>
    </row>
    <row r="4553" customFormat="false" ht="15" hidden="false" customHeight="false" outlineLevel="0" collapsed="false">
      <c r="B4553" s="19" t="s">
        <v>5677</v>
      </c>
      <c r="C4553" s="20" t="n">
        <f aca="false">ROUND(0.94/FX,2)</f>
        <v>0.13</v>
      </c>
      <c r="D4553" s="21" t="s">
        <v>841</v>
      </c>
      <c r="E4553" s="21" t="s">
        <v>5675</v>
      </c>
    </row>
    <row r="4554" customFormat="false" ht="15" hidden="false" customHeight="false" outlineLevel="0" collapsed="false">
      <c r="B4554" s="19" t="s">
        <v>5678</v>
      </c>
      <c r="C4554" s="20" t="n">
        <f aca="false">ROUND(0.94/FX,2)</f>
        <v>0.13</v>
      </c>
      <c r="D4554" s="21" t="s">
        <v>789</v>
      </c>
      <c r="E4554" s="21" t="s">
        <v>5675</v>
      </c>
    </row>
    <row r="4555" customFormat="false" ht="15" hidden="false" customHeight="false" outlineLevel="0" collapsed="false">
      <c r="B4555" s="19" t="s">
        <v>5679</v>
      </c>
      <c r="C4555" s="20" t="n">
        <f aca="false">ROUND(1.17/FX,2)</f>
        <v>0.16</v>
      </c>
      <c r="D4555" s="21" t="s">
        <v>716</v>
      </c>
      <c r="E4555" s="21" t="s">
        <v>5675</v>
      </c>
    </row>
    <row r="4556" customFormat="false" ht="15" hidden="false" customHeight="false" outlineLevel="0" collapsed="false">
      <c r="B4556" s="19" t="s">
        <v>5680</v>
      </c>
      <c r="C4556" s="20" t="n">
        <f aca="false">ROUND(0.94/FX,2)</f>
        <v>0.13</v>
      </c>
      <c r="D4556" s="21" t="s">
        <v>845</v>
      </c>
      <c r="E4556" s="21" t="s">
        <v>5675</v>
      </c>
    </row>
    <row r="4557" customFormat="false" ht="15" hidden="false" customHeight="false" outlineLevel="0" collapsed="false">
      <c r="B4557" s="19" t="s">
        <v>5681</v>
      </c>
      <c r="C4557" s="20" t="n">
        <f aca="false">ROUND(0.94/FX,2)</f>
        <v>0.13</v>
      </c>
      <c r="D4557" s="21" t="s">
        <v>719</v>
      </c>
      <c r="E4557" s="21" t="s">
        <v>5675</v>
      </c>
    </row>
    <row r="4558" customFormat="false" ht="15" hidden="false" customHeight="false" outlineLevel="0" collapsed="false">
      <c r="B4558" s="19" t="s">
        <v>5682</v>
      </c>
      <c r="C4558" s="20" t="n">
        <f aca="false">ROUND(2.17/FX,2)</f>
        <v>0.3</v>
      </c>
      <c r="D4558" s="21" t="s">
        <v>707</v>
      </c>
      <c r="E4558" s="21" t="s">
        <v>5683</v>
      </c>
    </row>
    <row r="4559" customFormat="false" ht="15" hidden="false" customHeight="false" outlineLevel="0" collapsed="false">
      <c r="B4559" s="19" t="s">
        <v>5684</v>
      </c>
      <c r="C4559" s="20" t="n">
        <f aca="false">ROUND(0.94/FX,2)</f>
        <v>0.13</v>
      </c>
      <c r="D4559" s="21" t="s">
        <v>839</v>
      </c>
      <c r="E4559" s="21" t="s">
        <v>5683</v>
      </c>
    </row>
    <row r="4560" customFormat="false" ht="15" hidden="false" customHeight="false" outlineLevel="0" collapsed="false">
      <c r="B4560" s="19" t="s">
        <v>5685</v>
      </c>
      <c r="C4560" s="20" t="n">
        <f aca="false">ROUND(0.94/FX,2)</f>
        <v>0.13</v>
      </c>
      <c r="D4560" s="21" t="s">
        <v>841</v>
      </c>
      <c r="E4560" s="21" t="s">
        <v>5683</v>
      </c>
    </row>
    <row r="4561" customFormat="false" ht="15" hidden="false" customHeight="false" outlineLevel="0" collapsed="false">
      <c r="B4561" s="19" t="s">
        <v>5686</v>
      </c>
      <c r="C4561" s="20" t="n">
        <f aca="false">ROUND(0.94/FX,2)</f>
        <v>0.13</v>
      </c>
      <c r="D4561" s="21" t="s">
        <v>789</v>
      </c>
      <c r="E4561" s="21" t="s">
        <v>5683</v>
      </c>
    </row>
    <row r="4562" customFormat="false" ht="15" hidden="false" customHeight="false" outlineLevel="0" collapsed="false">
      <c r="B4562" s="19" t="s">
        <v>5687</v>
      </c>
      <c r="C4562" s="20" t="n">
        <f aca="false">ROUND(1.3/FX,2)</f>
        <v>0.18</v>
      </c>
      <c r="D4562" s="21" t="s">
        <v>716</v>
      </c>
      <c r="E4562" s="21" t="s">
        <v>5683</v>
      </c>
    </row>
    <row r="4563" customFormat="false" ht="15" hidden="false" customHeight="false" outlineLevel="0" collapsed="false">
      <c r="B4563" s="19" t="s">
        <v>5688</v>
      </c>
      <c r="C4563" s="20" t="n">
        <f aca="false">ROUND(0.94/FX,2)</f>
        <v>0.13</v>
      </c>
      <c r="D4563" s="21" t="s">
        <v>845</v>
      </c>
      <c r="E4563" s="21" t="s">
        <v>5683</v>
      </c>
    </row>
    <row r="4564" customFormat="false" ht="15" hidden="false" customHeight="false" outlineLevel="0" collapsed="false">
      <c r="B4564" s="19" t="s">
        <v>5689</v>
      </c>
      <c r="C4564" s="20" t="n">
        <f aca="false">ROUND(0.94/FX,2)</f>
        <v>0.13</v>
      </c>
      <c r="D4564" s="21" t="s">
        <v>719</v>
      </c>
      <c r="E4564" s="21" t="s">
        <v>5683</v>
      </c>
    </row>
    <row r="4565" customFormat="false" ht="15" hidden="false" customHeight="false" outlineLevel="0" collapsed="false">
      <c r="B4565" s="19" t="s">
        <v>5690</v>
      </c>
      <c r="C4565" s="20" t="n">
        <f aca="false">ROUND(2.17/FX,2)</f>
        <v>0.3</v>
      </c>
      <c r="D4565" s="21" t="s">
        <v>707</v>
      </c>
      <c r="E4565" s="21" t="s">
        <v>5691</v>
      </c>
    </row>
    <row r="4566" customFormat="false" ht="15" hidden="false" customHeight="false" outlineLevel="0" collapsed="false">
      <c r="B4566" s="19" t="s">
        <v>5692</v>
      </c>
      <c r="C4566" s="20" t="n">
        <f aca="false">ROUND(0.94/FX,2)</f>
        <v>0.13</v>
      </c>
      <c r="D4566" s="21" t="s">
        <v>839</v>
      </c>
      <c r="E4566" s="21" t="s">
        <v>5691</v>
      </c>
    </row>
    <row r="4567" customFormat="false" ht="15" hidden="false" customHeight="false" outlineLevel="0" collapsed="false">
      <c r="B4567" s="19" t="s">
        <v>5693</v>
      </c>
      <c r="C4567" s="20" t="n">
        <f aca="false">ROUND(0.94/FX,2)</f>
        <v>0.13</v>
      </c>
      <c r="D4567" s="21" t="s">
        <v>841</v>
      </c>
      <c r="E4567" s="21" t="s">
        <v>5691</v>
      </c>
    </row>
    <row r="4568" customFormat="false" ht="15" hidden="false" customHeight="false" outlineLevel="0" collapsed="false">
      <c r="B4568" s="19" t="s">
        <v>5694</v>
      </c>
      <c r="C4568" s="20" t="n">
        <f aca="false">ROUND(0.94/FX,2)</f>
        <v>0.13</v>
      </c>
      <c r="D4568" s="21" t="s">
        <v>789</v>
      </c>
      <c r="E4568" s="21" t="s">
        <v>5691</v>
      </c>
    </row>
    <row r="4569" customFormat="false" ht="15" hidden="false" customHeight="false" outlineLevel="0" collapsed="false">
      <c r="B4569" s="19" t="s">
        <v>5695</v>
      </c>
      <c r="C4569" s="20" t="n">
        <f aca="false">ROUND(1.17/FX,2)</f>
        <v>0.16</v>
      </c>
      <c r="D4569" s="21" t="s">
        <v>716</v>
      </c>
      <c r="E4569" s="21" t="s">
        <v>5691</v>
      </c>
    </row>
    <row r="4570" customFormat="false" ht="15" hidden="false" customHeight="false" outlineLevel="0" collapsed="false">
      <c r="B4570" s="19" t="s">
        <v>5696</v>
      </c>
      <c r="C4570" s="20" t="n">
        <f aca="false">ROUND(0.94/FX,2)</f>
        <v>0.13</v>
      </c>
      <c r="D4570" s="21" t="s">
        <v>845</v>
      </c>
      <c r="E4570" s="21" t="s">
        <v>5691</v>
      </c>
    </row>
    <row r="4571" customFormat="false" ht="15" hidden="false" customHeight="false" outlineLevel="0" collapsed="false">
      <c r="B4571" s="19" t="s">
        <v>5697</v>
      </c>
      <c r="C4571" s="20" t="n">
        <f aca="false">ROUND(0.94/FX,2)</f>
        <v>0.13</v>
      </c>
      <c r="D4571" s="21" t="s">
        <v>719</v>
      </c>
      <c r="E4571" s="21" t="s">
        <v>5691</v>
      </c>
    </row>
    <row r="4572" customFormat="false" ht="15" hidden="false" customHeight="false" outlineLevel="0" collapsed="false">
      <c r="B4572" s="19" t="s">
        <v>5698</v>
      </c>
      <c r="C4572" s="20" t="n">
        <f aca="false">ROUND(2.17/FX,2)</f>
        <v>0.3</v>
      </c>
      <c r="D4572" s="21" t="s">
        <v>707</v>
      </c>
      <c r="E4572" s="21" t="s">
        <v>5699</v>
      </c>
    </row>
    <row r="4573" customFormat="false" ht="15" hidden="false" customHeight="false" outlineLevel="0" collapsed="false">
      <c r="B4573" s="19" t="s">
        <v>5700</v>
      </c>
      <c r="C4573" s="20" t="n">
        <f aca="false">ROUND(0.94/FX,2)</f>
        <v>0.13</v>
      </c>
      <c r="D4573" s="21" t="s">
        <v>839</v>
      </c>
      <c r="E4573" s="21" t="s">
        <v>5699</v>
      </c>
    </row>
    <row r="4574" customFormat="false" ht="15" hidden="false" customHeight="false" outlineLevel="0" collapsed="false">
      <c r="B4574" s="19" t="s">
        <v>5701</v>
      </c>
      <c r="C4574" s="20" t="n">
        <f aca="false">ROUND(0.94/FX,2)</f>
        <v>0.13</v>
      </c>
      <c r="D4574" s="21" t="s">
        <v>841</v>
      </c>
      <c r="E4574" s="21" t="s">
        <v>5699</v>
      </c>
    </row>
    <row r="4575" customFormat="false" ht="15" hidden="false" customHeight="false" outlineLevel="0" collapsed="false">
      <c r="B4575" s="19" t="s">
        <v>5702</v>
      </c>
      <c r="C4575" s="20" t="n">
        <f aca="false">ROUND(0.94/FX,2)</f>
        <v>0.13</v>
      </c>
      <c r="D4575" s="21" t="s">
        <v>789</v>
      </c>
      <c r="E4575" s="21" t="s">
        <v>5699</v>
      </c>
    </row>
    <row r="4576" customFormat="false" ht="15" hidden="false" customHeight="false" outlineLevel="0" collapsed="false">
      <c r="B4576" s="19" t="s">
        <v>5703</v>
      </c>
      <c r="C4576" s="20" t="n">
        <f aca="false">ROUND(1.3/FX,2)</f>
        <v>0.18</v>
      </c>
      <c r="D4576" s="21" t="s">
        <v>716</v>
      </c>
      <c r="E4576" s="21" t="s">
        <v>5699</v>
      </c>
    </row>
    <row r="4577" customFormat="false" ht="15" hidden="false" customHeight="false" outlineLevel="0" collapsed="false">
      <c r="B4577" s="19" t="s">
        <v>5704</v>
      </c>
      <c r="C4577" s="20" t="n">
        <f aca="false">ROUND(0.94/FX,2)</f>
        <v>0.13</v>
      </c>
      <c r="D4577" s="21" t="s">
        <v>845</v>
      </c>
      <c r="E4577" s="21" t="s">
        <v>5699</v>
      </c>
    </row>
    <row r="4578" customFormat="false" ht="15" hidden="false" customHeight="false" outlineLevel="0" collapsed="false">
      <c r="B4578" s="19" t="s">
        <v>5705</v>
      </c>
      <c r="C4578" s="20" t="n">
        <f aca="false">ROUND(0.94/FX,2)</f>
        <v>0.13</v>
      </c>
      <c r="D4578" s="21" t="s">
        <v>719</v>
      </c>
      <c r="E4578" s="21" t="s">
        <v>5699</v>
      </c>
    </row>
    <row r="4579" customFormat="false" ht="15" hidden="false" customHeight="false" outlineLevel="0" collapsed="false">
      <c r="B4579" s="19" t="s">
        <v>5706</v>
      </c>
      <c r="C4579" s="20" t="n">
        <f aca="false">ROUND(2.17/FX,2)</f>
        <v>0.3</v>
      </c>
      <c r="D4579" s="21" t="s">
        <v>707</v>
      </c>
      <c r="E4579" s="21" t="s">
        <v>5707</v>
      </c>
    </row>
    <row r="4580" customFormat="false" ht="15" hidden="false" customHeight="false" outlineLevel="0" collapsed="false">
      <c r="B4580" s="19" t="s">
        <v>5708</v>
      </c>
      <c r="C4580" s="20" t="n">
        <f aca="false">ROUND(0.94/FX,2)</f>
        <v>0.13</v>
      </c>
      <c r="D4580" s="21" t="s">
        <v>839</v>
      </c>
      <c r="E4580" s="21" t="s">
        <v>5707</v>
      </c>
    </row>
    <row r="4581" customFormat="false" ht="15" hidden="false" customHeight="false" outlineLevel="0" collapsed="false">
      <c r="B4581" s="19" t="s">
        <v>5709</v>
      </c>
      <c r="C4581" s="20" t="n">
        <f aca="false">ROUND(0.94/FX,2)</f>
        <v>0.13</v>
      </c>
      <c r="D4581" s="21" t="s">
        <v>841</v>
      </c>
      <c r="E4581" s="21" t="s">
        <v>5707</v>
      </c>
    </row>
    <row r="4582" customFormat="false" ht="15" hidden="false" customHeight="false" outlineLevel="0" collapsed="false">
      <c r="B4582" s="19" t="s">
        <v>5710</v>
      </c>
      <c r="C4582" s="20" t="n">
        <f aca="false">ROUND(0.94/FX,2)</f>
        <v>0.13</v>
      </c>
      <c r="D4582" s="21" t="s">
        <v>789</v>
      </c>
      <c r="E4582" s="21" t="s">
        <v>5707</v>
      </c>
    </row>
    <row r="4583" customFormat="false" ht="15" hidden="false" customHeight="false" outlineLevel="0" collapsed="false">
      <c r="B4583" s="19" t="s">
        <v>5711</v>
      </c>
      <c r="C4583" s="20" t="n">
        <f aca="false">ROUND(1.3/FX,2)</f>
        <v>0.18</v>
      </c>
      <c r="D4583" s="21" t="s">
        <v>716</v>
      </c>
      <c r="E4583" s="21" t="s">
        <v>5707</v>
      </c>
    </row>
    <row r="4584" customFormat="false" ht="15" hidden="false" customHeight="false" outlineLevel="0" collapsed="false">
      <c r="B4584" s="19" t="s">
        <v>5712</v>
      </c>
      <c r="C4584" s="20" t="n">
        <f aca="false">ROUND(0.94/FX,2)</f>
        <v>0.13</v>
      </c>
      <c r="D4584" s="21" t="s">
        <v>845</v>
      </c>
      <c r="E4584" s="21" t="s">
        <v>5707</v>
      </c>
    </row>
    <row r="4585" customFormat="false" ht="15" hidden="false" customHeight="false" outlineLevel="0" collapsed="false">
      <c r="B4585" s="19" t="s">
        <v>5713</v>
      </c>
      <c r="C4585" s="20" t="n">
        <f aca="false">ROUND(0.94/FX,2)</f>
        <v>0.13</v>
      </c>
      <c r="D4585" s="21" t="s">
        <v>719</v>
      </c>
      <c r="E4585" s="21" t="s">
        <v>5707</v>
      </c>
    </row>
    <row r="4586" customFormat="false" ht="15" hidden="false" customHeight="false" outlineLevel="0" collapsed="false">
      <c r="B4586" s="19" t="s">
        <v>5714</v>
      </c>
      <c r="C4586" s="20" t="n">
        <f aca="false">ROUND(2.17/FX,2)</f>
        <v>0.3</v>
      </c>
      <c r="D4586" s="21" t="s">
        <v>707</v>
      </c>
      <c r="E4586" s="21" t="s">
        <v>5715</v>
      </c>
    </row>
    <row r="4587" customFormat="false" ht="15" hidden="false" customHeight="false" outlineLevel="0" collapsed="false">
      <c r="B4587" s="19" t="s">
        <v>5716</v>
      </c>
      <c r="C4587" s="20" t="n">
        <f aca="false">ROUND(0.94/FX,2)</f>
        <v>0.13</v>
      </c>
      <c r="D4587" s="21" t="s">
        <v>839</v>
      </c>
      <c r="E4587" s="21" t="s">
        <v>5715</v>
      </c>
    </row>
    <row r="4588" customFormat="false" ht="15" hidden="false" customHeight="false" outlineLevel="0" collapsed="false">
      <c r="B4588" s="19" t="s">
        <v>5717</v>
      </c>
      <c r="C4588" s="20" t="n">
        <f aca="false">ROUND(0.85/FX,2)</f>
        <v>0.12</v>
      </c>
      <c r="D4588" s="21" t="s">
        <v>841</v>
      </c>
      <c r="E4588" s="21" t="s">
        <v>5715</v>
      </c>
    </row>
    <row r="4589" customFormat="false" ht="15" hidden="false" customHeight="false" outlineLevel="0" collapsed="false">
      <c r="B4589" s="19" t="s">
        <v>5718</v>
      </c>
      <c r="C4589" s="20" t="n">
        <f aca="false">ROUND(0.94/FX,2)</f>
        <v>0.13</v>
      </c>
      <c r="D4589" s="21" t="s">
        <v>789</v>
      </c>
      <c r="E4589" s="21" t="s">
        <v>5715</v>
      </c>
    </row>
    <row r="4590" customFormat="false" ht="15" hidden="false" customHeight="false" outlineLevel="0" collapsed="false">
      <c r="B4590" s="19" t="s">
        <v>5719</v>
      </c>
      <c r="C4590" s="20" t="n">
        <f aca="false">ROUND(1.5/FX,2)</f>
        <v>0.21</v>
      </c>
      <c r="D4590" s="21" t="s">
        <v>716</v>
      </c>
      <c r="E4590" s="21" t="s">
        <v>5715</v>
      </c>
    </row>
    <row r="4591" customFormat="false" ht="15" hidden="false" customHeight="false" outlineLevel="0" collapsed="false">
      <c r="B4591" s="19" t="s">
        <v>5720</v>
      </c>
      <c r="C4591" s="20" t="n">
        <f aca="false">ROUND(0.94/FX,2)</f>
        <v>0.13</v>
      </c>
      <c r="D4591" s="21" t="s">
        <v>845</v>
      </c>
      <c r="E4591" s="21" t="s">
        <v>5715</v>
      </c>
    </row>
    <row r="4592" customFormat="false" ht="15" hidden="false" customHeight="false" outlineLevel="0" collapsed="false">
      <c r="B4592" s="19" t="s">
        <v>5721</v>
      </c>
      <c r="C4592" s="20" t="n">
        <f aca="false">ROUND(0.94/FX,2)</f>
        <v>0.13</v>
      </c>
      <c r="D4592" s="21" t="s">
        <v>719</v>
      </c>
      <c r="E4592" s="21" t="s">
        <v>5715</v>
      </c>
    </row>
    <row r="4593" customFormat="false" ht="15" hidden="false" customHeight="false" outlineLevel="0" collapsed="false">
      <c r="B4593" s="19" t="s">
        <v>5722</v>
      </c>
      <c r="C4593" s="20" t="n">
        <f aca="false">ROUND(2.17/FX,2)</f>
        <v>0.3</v>
      </c>
      <c r="D4593" s="21" t="s">
        <v>707</v>
      </c>
      <c r="E4593" s="21" t="s">
        <v>5723</v>
      </c>
    </row>
    <row r="4594" customFormat="false" ht="15" hidden="false" customHeight="false" outlineLevel="0" collapsed="false">
      <c r="B4594" s="19" t="s">
        <v>5724</v>
      </c>
      <c r="C4594" s="20" t="n">
        <f aca="false">ROUND(0.94/FX,2)</f>
        <v>0.13</v>
      </c>
      <c r="D4594" s="21" t="s">
        <v>839</v>
      </c>
      <c r="E4594" s="21" t="s">
        <v>5723</v>
      </c>
    </row>
    <row r="4595" customFormat="false" ht="15" hidden="false" customHeight="false" outlineLevel="0" collapsed="false">
      <c r="B4595" s="19" t="s">
        <v>5725</v>
      </c>
      <c r="C4595" s="20" t="n">
        <f aca="false">ROUND(0.94/FX,2)</f>
        <v>0.13</v>
      </c>
      <c r="D4595" s="21" t="s">
        <v>841</v>
      </c>
      <c r="E4595" s="21" t="s">
        <v>5723</v>
      </c>
    </row>
    <row r="4596" customFormat="false" ht="15" hidden="false" customHeight="false" outlineLevel="0" collapsed="false">
      <c r="B4596" s="19" t="s">
        <v>5726</v>
      </c>
      <c r="C4596" s="20" t="n">
        <f aca="false">ROUND(0.94/FX,2)</f>
        <v>0.13</v>
      </c>
      <c r="D4596" s="21" t="s">
        <v>789</v>
      </c>
      <c r="E4596" s="21" t="s">
        <v>5723</v>
      </c>
    </row>
    <row r="4597" customFormat="false" ht="15" hidden="false" customHeight="false" outlineLevel="0" collapsed="false">
      <c r="B4597" s="19" t="s">
        <v>5727</v>
      </c>
      <c r="C4597" s="20" t="n">
        <f aca="false">ROUND(1.3/FX,2)</f>
        <v>0.18</v>
      </c>
      <c r="D4597" s="21" t="s">
        <v>716</v>
      </c>
      <c r="E4597" s="21" t="s">
        <v>5723</v>
      </c>
    </row>
    <row r="4598" customFormat="false" ht="15" hidden="false" customHeight="false" outlineLevel="0" collapsed="false">
      <c r="B4598" s="19" t="s">
        <v>5728</v>
      </c>
      <c r="C4598" s="20" t="n">
        <f aca="false">ROUND(0.94/FX,2)</f>
        <v>0.13</v>
      </c>
      <c r="D4598" s="21" t="s">
        <v>845</v>
      </c>
      <c r="E4598" s="21" t="s">
        <v>5723</v>
      </c>
    </row>
    <row r="4599" customFormat="false" ht="15" hidden="false" customHeight="false" outlineLevel="0" collapsed="false">
      <c r="B4599" s="19" t="s">
        <v>5729</v>
      </c>
      <c r="C4599" s="20" t="n">
        <f aca="false">ROUND(0.94/FX,2)</f>
        <v>0.13</v>
      </c>
      <c r="D4599" s="21" t="s">
        <v>719</v>
      </c>
      <c r="E4599" s="21" t="s">
        <v>5723</v>
      </c>
    </row>
    <row r="4600" customFormat="false" ht="15" hidden="false" customHeight="false" outlineLevel="0" collapsed="false">
      <c r="B4600" s="19" t="s">
        <v>5730</v>
      </c>
      <c r="C4600" s="20" t="n">
        <f aca="false">ROUND(2.17/FX,2)</f>
        <v>0.3</v>
      </c>
      <c r="D4600" s="21" t="s">
        <v>707</v>
      </c>
      <c r="E4600" s="21" t="s">
        <v>5731</v>
      </c>
    </row>
    <row r="4601" customFormat="false" ht="15" hidden="false" customHeight="false" outlineLevel="0" collapsed="false">
      <c r="B4601" s="19" t="s">
        <v>5732</v>
      </c>
      <c r="C4601" s="20" t="n">
        <f aca="false">ROUND(0.94/FX,2)</f>
        <v>0.13</v>
      </c>
      <c r="D4601" s="21" t="s">
        <v>839</v>
      </c>
      <c r="E4601" s="21" t="s">
        <v>5731</v>
      </c>
    </row>
    <row r="4602" customFormat="false" ht="15" hidden="false" customHeight="false" outlineLevel="0" collapsed="false">
      <c r="B4602" s="19" t="s">
        <v>5733</v>
      </c>
      <c r="C4602" s="20" t="n">
        <f aca="false">ROUND(1.17/FX,2)</f>
        <v>0.16</v>
      </c>
      <c r="D4602" s="21" t="s">
        <v>841</v>
      </c>
      <c r="E4602" s="21" t="s">
        <v>5731</v>
      </c>
    </row>
    <row r="4603" customFormat="false" ht="15" hidden="false" customHeight="false" outlineLevel="0" collapsed="false">
      <c r="B4603" s="19" t="s">
        <v>5734</v>
      </c>
      <c r="C4603" s="20" t="n">
        <f aca="false">ROUND(0.94/FX,2)</f>
        <v>0.13</v>
      </c>
      <c r="D4603" s="21" t="s">
        <v>789</v>
      </c>
      <c r="E4603" s="21" t="s">
        <v>5731</v>
      </c>
    </row>
    <row r="4604" customFormat="false" ht="15" hidden="false" customHeight="false" outlineLevel="0" collapsed="false">
      <c r="B4604" s="19" t="s">
        <v>5735</v>
      </c>
      <c r="C4604" s="20" t="n">
        <f aca="false">ROUND(1.3/FX,2)</f>
        <v>0.18</v>
      </c>
      <c r="D4604" s="21" t="s">
        <v>716</v>
      </c>
      <c r="E4604" s="21" t="s">
        <v>5731</v>
      </c>
    </row>
    <row r="4605" customFormat="false" ht="15" hidden="false" customHeight="false" outlineLevel="0" collapsed="false">
      <c r="B4605" s="19" t="s">
        <v>5736</v>
      </c>
      <c r="C4605" s="20" t="n">
        <f aca="false">ROUND(0.94/FX,2)</f>
        <v>0.13</v>
      </c>
      <c r="D4605" s="21" t="s">
        <v>845</v>
      </c>
      <c r="E4605" s="21" t="s">
        <v>5731</v>
      </c>
    </row>
    <row r="4606" customFormat="false" ht="15" hidden="false" customHeight="false" outlineLevel="0" collapsed="false">
      <c r="B4606" s="19" t="s">
        <v>5737</v>
      </c>
      <c r="C4606" s="20" t="n">
        <f aca="false">ROUND(0.94/FX,2)</f>
        <v>0.13</v>
      </c>
      <c r="D4606" s="21" t="s">
        <v>719</v>
      </c>
      <c r="E4606" s="21" t="s">
        <v>5731</v>
      </c>
    </row>
    <row r="4607" customFormat="false" ht="15" hidden="false" customHeight="false" outlineLevel="0" collapsed="false">
      <c r="B4607" s="19" t="s">
        <v>5738</v>
      </c>
      <c r="C4607" s="20" t="n">
        <f aca="false">ROUND(2.17/FX,2)</f>
        <v>0.3</v>
      </c>
      <c r="D4607" s="21" t="s">
        <v>707</v>
      </c>
      <c r="E4607" s="21" t="s">
        <v>5739</v>
      </c>
    </row>
    <row r="4608" customFormat="false" ht="15" hidden="false" customHeight="false" outlineLevel="0" collapsed="false">
      <c r="B4608" s="19" t="s">
        <v>5740</v>
      </c>
      <c r="C4608" s="20" t="n">
        <f aca="false">ROUND(0.94/FX,2)</f>
        <v>0.13</v>
      </c>
      <c r="D4608" s="21" t="s">
        <v>839</v>
      </c>
      <c r="E4608" s="21" t="s">
        <v>5739</v>
      </c>
    </row>
    <row r="4609" customFormat="false" ht="15" hidden="false" customHeight="false" outlineLevel="0" collapsed="false">
      <c r="B4609" s="19" t="s">
        <v>5741</v>
      </c>
      <c r="C4609" s="20" t="n">
        <f aca="false">ROUND(1.17/FX,2)</f>
        <v>0.16</v>
      </c>
      <c r="D4609" s="21" t="s">
        <v>841</v>
      </c>
      <c r="E4609" s="21" t="s">
        <v>5739</v>
      </c>
    </row>
    <row r="4610" customFormat="false" ht="15" hidden="false" customHeight="false" outlineLevel="0" collapsed="false">
      <c r="B4610" s="19" t="s">
        <v>5742</v>
      </c>
      <c r="C4610" s="20" t="n">
        <f aca="false">ROUND(0.94/FX,2)</f>
        <v>0.13</v>
      </c>
      <c r="D4610" s="21" t="s">
        <v>789</v>
      </c>
      <c r="E4610" s="21" t="s">
        <v>5739</v>
      </c>
    </row>
    <row r="4611" customFormat="false" ht="15" hidden="false" customHeight="false" outlineLevel="0" collapsed="false">
      <c r="B4611" s="19" t="s">
        <v>5743</v>
      </c>
      <c r="C4611" s="20" t="n">
        <f aca="false">ROUND(1.3/FX,2)</f>
        <v>0.18</v>
      </c>
      <c r="D4611" s="21" t="s">
        <v>716</v>
      </c>
      <c r="E4611" s="21" t="s">
        <v>5739</v>
      </c>
    </row>
    <row r="4612" customFormat="false" ht="15" hidden="false" customHeight="false" outlineLevel="0" collapsed="false">
      <c r="B4612" s="19" t="s">
        <v>5744</v>
      </c>
      <c r="C4612" s="20" t="n">
        <f aca="false">ROUND(0.94/FX,2)</f>
        <v>0.13</v>
      </c>
      <c r="D4612" s="21" t="s">
        <v>845</v>
      </c>
      <c r="E4612" s="21" t="s">
        <v>5739</v>
      </c>
    </row>
    <row r="4613" customFormat="false" ht="15" hidden="false" customHeight="false" outlineLevel="0" collapsed="false">
      <c r="B4613" s="19" t="s">
        <v>5745</v>
      </c>
      <c r="C4613" s="20" t="n">
        <f aca="false">ROUND(0.94/FX,2)</f>
        <v>0.13</v>
      </c>
      <c r="D4613" s="21" t="s">
        <v>719</v>
      </c>
      <c r="E4613" s="21" t="s">
        <v>5739</v>
      </c>
    </row>
    <row r="4614" customFormat="false" ht="15" hidden="false" customHeight="false" outlineLevel="0" collapsed="false">
      <c r="B4614" s="19" t="s">
        <v>5746</v>
      </c>
      <c r="C4614" s="20" t="n">
        <f aca="false">ROUND(2.17/FX,2)</f>
        <v>0.3</v>
      </c>
      <c r="D4614" s="21" t="s">
        <v>707</v>
      </c>
      <c r="E4614" s="21" t="s">
        <v>5747</v>
      </c>
    </row>
    <row r="4615" customFormat="false" ht="15" hidden="false" customHeight="false" outlineLevel="0" collapsed="false">
      <c r="B4615" s="19" t="s">
        <v>5748</v>
      </c>
      <c r="C4615" s="20" t="n">
        <f aca="false">ROUND(0.94/FX,2)</f>
        <v>0.13</v>
      </c>
      <c r="D4615" s="21" t="s">
        <v>839</v>
      </c>
      <c r="E4615" s="21" t="s">
        <v>5747</v>
      </c>
    </row>
    <row r="4616" customFormat="false" ht="15" hidden="false" customHeight="false" outlineLevel="0" collapsed="false">
      <c r="B4616" s="19" t="s">
        <v>5749</v>
      </c>
      <c r="C4616" s="20" t="n">
        <f aca="false">ROUND(0.98/FX,2)</f>
        <v>0.14</v>
      </c>
      <c r="D4616" s="21" t="s">
        <v>841</v>
      </c>
      <c r="E4616" s="21" t="s">
        <v>5747</v>
      </c>
    </row>
    <row r="4617" customFormat="false" ht="15" hidden="false" customHeight="false" outlineLevel="0" collapsed="false">
      <c r="B4617" s="19" t="s">
        <v>5750</v>
      </c>
      <c r="C4617" s="20" t="n">
        <f aca="false">ROUND(0.94/FX,2)</f>
        <v>0.13</v>
      </c>
      <c r="D4617" s="21" t="s">
        <v>789</v>
      </c>
      <c r="E4617" s="21" t="s">
        <v>5747</v>
      </c>
    </row>
    <row r="4618" customFormat="false" ht="15" hidden="false" customHeight="false" outlineLevel="0" collapsed="false">
      <c r="B4618" s="19" t="s">
        <v>5751</v>
      </c>
      <c r="C4618" s="20" t="n">
        <f aca="false">ROUND(1.56/FX,2)</f>
        <v>0.22</v>
      </c>
      <c r="D4618" s="21" t="s">
        <v>716</v>
      </c>
      <c r="E4618" s="21" t="s">
        <v>5747</v>
      </c>
    </row>
    <row r="4619" customFormat="false" ht="15" hidden="false" customHeight="false" outlineLevel="0" collapsed="false">
      <c r="B4619" s="19" t="s">
        <v>5752</v>
      </c>
      <c r="C4619" s="20" t="n">
        <f aca="false">ROUND(0.94/FX,2)</f>
        <v>0.13</v>
      </c>
      <c r="D4619" s="21" t="s">
        <v>845</v>
      </c>
      <c r="E4619" s="21" t="s">
        <v>5747</v>
      </c>
    </row>
    <row r="4620" customFormat="false" ht="15" hidden="false" customHeight="false" outlineLevel="0" collapsed="false">
      <c r="B4620" s="19" t="s">
        <v>5753</v>
      </c>
      <c r="C4620" s="20" t="n">
        <f aca="false">ROUND(0.94/FX,2)</f>
        <v>0.13</v>
      </c>
      <c r="D4620" s="21" t="s">
        <v>719</v>
      </c>
      <c r="E4620" s="21" t="s">
        <v>5747</v>
      </c>
    </row>
    <row r="4621" customFormat="false" ht="15" hidden="false" customHeight="false" outlineLevel="0" collapsed="false">
      <c r="B4621" s="19" t="s">
        <v>5754</v>
      </c>
      <c r="C4621" s="20" t="n">
        <f aca="false">ROUND(2.17/FX,2)</f>
        <v>0.3</v>
      </c>
      <c r="D4621" s="21" t="s">
        <v>707</v>
      </c>
      <c r="E4621" s="21" t="s">
        <v>5755</v>
      </c>
    </row>
    <row r="4622" customFormat="false" ht="15" hidden="false" customHeight="false" outlineLevel="0" collapsed="false">
      <c r="B4622" s="19" t="s">
        <v>5756</v>
      </c>
      <c r="C4622" s="20" t="n">
        <f aca="false">ROUND(0.94/FX,2)</f>
        <v>0.13</v>
      </c>
      <c r="D4622" s="21" t="s">
        <v>839</v>
      </c>
      <c r="E4622" s="21" t="s">
        <v>5755</v>
      </c>
    </row>
    <row r="4623" customFormat="false" ht="15" hidden="false" customHeight="false" outlineLevel="0" collapsed="false">
      <c r="B4623" s="19" t="s">
        <v>5757</v>
      </c>
      <c r="C4623" s="20" t="n">
        <f aca="false">ROUND(0.95/FX,2)</f>
        <v>0.13</v>
      </c>
      <c r="D4623" s="21" t="s">
        <v>841</v>
      </c>
      <c r="E4623" s="21" t="s">
        <v>5755</v>
      </c>
    </row>
    <row r="4624" customFormat="false" ht="15" hidden="false" customHeight="false" outlineLevel="0" collapsed="false">
      <c r="B4624" s="19" t="s">
        <v>5758</v>
      </c>
      <c r="C4624" s="20" t="n">
        <f aca="false">ROUND(0.94/FX,2)</f>
        <v>0.13</v>
      </c>
      <c r="D4624" s="21" t="s">
        <v>789</v>
      </c>
      <c r="E4624" s="21" t="s">
        <v>5755</v>
      </c>
    </row>
    <row r="4625" customFormat="false" ht="15" hidden="false" customHeight="false" outlineLevel="0" collapsed="false">
      <c r="B4625" s="19" t="s">
        <v>5759</v>
      </c>
      <c r="C4625" s="20" t="n">
        <f aca="false">ROUND(1.43/FX,2)</f>
        <v>0.2</v>
      </c>
      <c r="D4625" s="21" t="s">
        <v>716</v>
      </c>
      <c r="E4625" s="21" t="s">
        <v>5755</v>
      </c>
    </row>
    <row r="4626" customFormat="false" ht="15" hidden="false" customHeight="false" outlineLevel="0" collapsed="false">
      <c r="B4626" s="19" t="s">
        <v>5760</v>
      </c>
      <c r="C4626" s="20" t="n">
        <f aca="false">ROUND(0.94/FX,2)</f>
        <v>0.13</v>
      </c>
      <c r="D4626" s="21" t="s">
        <v>845</v>
      </c>
      <c r="E4626" s="21" t="s">
        <v>5755</v>
      </c>
    </row>
    <row r="4627" customFormat="false" ht="15" hidden="false" customHeight="false" outlineLevel="0" collapsed="false">
      <c r="B4627" s="19" t="s">
        <v>5761</v>
      </c>
      <c r="C4627" s="20" t="n">
        <f aca="false">ROUND(0.94/FX,2)</f>
        <v>0.13</v>
      </c>
      <c r="D4627" s="21" t="s">
        <v>719</v>
      </c>
      <c r="E4627" s="21" t="s">
        <v>5755</v>
      </c>
    </row>
    <row r="4628" customFormat="false" ht="15" hidden="false" customHeight="false" outlineLevel="0" collapsed="false">
      <c r="B4628" s="19" t="s">
        <v>5762</v>
      </c>
      <c r="C4628" s="20" t="n">
        <f aca="false">ROUND(3.03/FX,2)</f>
        <v>0.42</v>
      </c>
      <c r="D4628" s="21" t="s">
        <v>707</v>
      </c>
      <c r="E4628" s="21" t="s">
        <v>5763</v>
      </c>
    </row>
    <row r="4629" customFormat="false" ht="15" hidden="false" customHeight="false" outlineLevel="0" collapsed="false">
      <c r="B4629" s="19" t="s">
        <v>5764</v>
      </c>
      <c r="C4629" s="20" t="n">
        <f aca="false">ROUND(0.94/FX,2)</f>
        <v>0.13</v>
      </c>
      <c r="D4629" s="21" t="s">
        <v>839</v>
      </c>
      <c r="E4629" s="21" t="s">
        <v>5763</v>
      </c>
    </row>
    <row r="4630" customFormat="false" ht="15" hidden="false" customHeight="false" outlineLevel="0" collapsed="false">
      <c r="B4630" s="19" t="s">
        <v>5765</v>
      </c>
      <c r="C4630" s="20" t="n">
        <f aca="false">ROUND(0.94/FX,2)</f>
        <v>0.13</v>
      </c>
      <c r="D4630" s="21" t="s">
        <v>841</v>
      </c>
      <c r="E4630" s="21" t="s">
        <v>5763</v>
      </c>
    </row>
    <row r="4631" customFormat="false" ht="15" hidden="false" customHeight="false" outlineLevel="0" collapsed="false">
      <c r="B4631" s="19" t="s">
        <v>5766</v>
      </c>
      <c r="C4631" s="20" t="n">
        <f aca="false">ROUND(0.94/FX,2)</f>
        <v>0.13</v>
      </c>
      <c r="D4631" s="21" t="s">
        <v>789</v>
      </c>
      <c r="E4631" s="21" t="s">
        <v>5763</v>
      </c>
    </row>
    <row r="4632" customFormat="false" ht="15" hidden="false" customHeight="false" outlineLevel="0" collapsed="false">
      <c r="B4632" s="19" t="s">
        <v>5767</v>
      </c>
      <c r="C4632" s="20" t="n">
        <f aca="false">ROUND(1.82/FX,2)</f>
        <v>0.25</v>
      </c>
      <c r="D4632" s="21" t="s">
        <v>716</v>
      </c>
      <c r="E4632" s="21" t="s">
        <v>5763</v>
      </c>
    </row>
    <row r="4633" customFormat="false" ht="15" hidden="false" customHeight="false" outlineLevel="0" collapsed="false">
      <c r="B4633" s="19" t="s">
        <v>5768</v>
      </c>
      <c r="C4633" s="20" t="n">
        <f aca="false">ROUND(0.94/FX,2)</f>
        <v>0.13</v>
      </c>
      <c r="D4633" s="21" t="s">
        <v>845</v>
      </c>
      <c r="E4633" s="21" t="s">
        <v>5763</v>
      </c>
    </row>
    <row r="4634" customFormat="false" ht="15" hidden="false" customHeight="false" outlineLevel="0" collapsed="false">
      <c r="B4634" s="19" t="s">
        <v>5769</v>
      </c>
      <c r="C4634" s="20" t="n">
        <f aca="false">ROUND(0.94/FX,2)</f>
        <v>0.13</v>
      </c>
      <c r="D4634" s="21" t="s">
        <v>719</v>
      </c>
      <c r="E4634" s="21" t="s">
        <v>5763</v>
      </c>
    </row>
    <row r="4635" customFormat="false" ht="15" hidden="false" customHeight="false" outlineLevel="0" collapsed="false">
      <c r="B4635" s="19" t="s">
        <v>5770</v>
      </c>
      <c r="C4635" s="20" t="n">
        <f aca="false">ROUND(0.94/FX,2)</f>
        <v>0.13</v>
      </c>
      <c r="D4635" s="21" t="s">
        <v>707</v>
      </c>
      <c r="E4635" s="21" t="s">
        <v>5771</v>
      </c>
    </row>
    <row r="4636" customFormat="false" ht="15" hidden="false" customHeight="false" outlineLevel="0" collapsed="false">
      <c r="B4636" s="19" t="s">
        <v>5772</v>
      </c>
      <c r="C4636" s="20" t="n">
        <f aca="false">ROUND(0.94/FX,2)</f>
        <v>0.13</v>
      </c>
      <c r="D4636" s="21" t="s">
        <v>839</v>
      </c>
      <c r="E4636" s="21" t="s">
        <v>5771</v>
      </c>
    </row>
    <row r="4637" customFormat="false" ht="15" hidden="false" customHeight="false" outlineLevel="0" collapsed="false">
      <c r="B4637" s="19" t="s">
        <v>5773</v>
      </c>
      <c r="C4637" s="20" t="n">
        <f aca="false">ROUND(0.94/FX,2)</f>
        <v>0.13</v>
      </c>
      <c r="D4637" s="21" t="s">
        <v>841</v>
      </c>
      <c r="E4637" s="21" t="s">
        <v>5771</v>
      </c>
    </row>
    <row r="4638" customFormat="false" ht="15" hidden="false" customHeight="false" outlineLevel="0" collapsed="false">
      <c r="B4638" s="19" t="s">
        <v>5774</v>
      </c>
      <c r="C4638" s="20" t="n">
        <f aca="false">ROUND(0.94/FX,2)</f>
        <v>0.13</v>
      </c>
      <c r="D4638" s="21" t="s">
        <v>789</v>
      </c>
      <c r="E4638" s="21" t="s">
        <v>5771</v>
      </c>
    </row>
    <row r="4639" customFormat="false" ht="15" hidden="false" customHeight="false" outlineLevel="0" collapsed="false">
      <c r="B4639" s="19" t="s">
        <v>5775</v>
      </c>
      <c r="C4639" s="20" t="n">
        <f aca="false">ROUND(1.7/FX,2)</f>
        <v>0.24</v>
      </c>
      <c r="D4639" s="21" t="s">
        <v>716</v>
      </c>
      <c r="E4639" s="21" t="s">
        <v>5771</v>
      </c>
    </row>
    <row r="4640" customFormat="false" ht="15" hidden="false" customHeight="false" outlineLevel="0" collapsed="false">
      <c r="B4640" s="19" t="s">
        <v>5776</v>
      </c>
      <c r="C4640" s="20" t="n">
        <f aca="false">ROUND(0.94/FX,2)</f>
        <v>0.13</v>
      </c>
      <c r="D4640" s="21" t="s">
        <v>845</v>
      </c>
      <c r="E4640" s="21" t="s">
        <v>5771</v>
      </c>
    </row>
    <row r="4641" customFormat="false" ht="15" hidden="false" customHeight="false" outlineLevel="0" collapsed="false">
      <c r="B4641" s="19" t="s">
        <v>5777</v>
      </c>
      <c r="C4641" s="20" t="n">
        <f aca="false">ROUND(0.94/FX,2)</f>
        <v>0.13</v>
      </c>
      <c r="D4641" s="21" t="s">
        <v>719</v>
      </c>
      <c r="E4641" s="21" t="s">
        <v>5771</v>
      </c>
    </row>
    <row r="4642" customFormat="false" ht="15" hidden="false" customHeight="false" outlineLevel="0" collapsed="false">
      <c r="B4642" s="19" t="s">
        <v>5778</v>
      </c>
      <c r="C4642" s="20" t="n">
        <f aca="false">ROUND(0.94/FX,2)</f>
        <v>0.13</v>
      </c>
      <c r="D4642" s="21" t="s">
        <v>707</v>
      </c>
      <c r="E4642" s="21" t="s">
        <v>5779</v>
      </c>
    </row>
    <row r="4643" customFormat="false" ht="15" hidden="false" customHeight="false" outlineLevel="0" collapsed="false">
      <c r="B4643" s="19" t="s">
        <v>5780</v>
      </c>
      <c r="C4643" s="20" t="n">
        <f aca="false">ROUND(0.94/FX,2)</f>
        <v>0.13</v>
      </c>
      <c r="D4643" s="21" t="s">
        <v>839</v>
      </c>
      <c r="E4643" s="21" t="s">
        <v>5779</v>
      </c>
    </row>
    <row r="4644" customFormat="false" ht="15" hidden="false" customHeight="false" outlineLevel="0" collapsed="false">
      <c r="B4644" s="19" t="s">
        <v>5781</v>
      </c>
      <c r="C4644" s="20" t="n">
        <f aca="false">ROUND(1.04/FX,2)</f>
        <v>0.14</v>
      </c>
      <c r="D4644" s="21" t="s">
        <v>841</v>
      </c>
      <c r="E4644" s="21" t="s">
        <v>5779</v>
      </c>
    </row>
    <row r="4645" customFormat="false" ht="15" hidden="false" customHeight="false" outlineLevel="0" collapsed="false">
      <c r="B4645" s="19" t="s">
        <v>5782</v>
      </c>
      <c r="C4645" s="20" t="n">
        <f aca="false">ROUND(0.94/FX,2)</f>
        <v>0.13</v>
      </c>
      <c r="D4645" s="21" t="s">
        <v>789</v>
      </c>
      <c r="E4645" s="21" t="s">
        <v>5779</v>
      </c>
    </row>
    <row r="4646" customFormat="false" ht="15" hidden="false" customHeight="false" outlineLevel="0" collapsed="false">
      <c r="B4646" s="19" t="s">
        <v>5783</v>
      </c>
      <c r="C4646" s="20" t="n">
        <f aca="false">ROUND(1.63/FX,2)</f>
        <v>0.23</v>
      </c>
      <c r="D4646" s="21" t="s">
        <v>716</v>
      </c>
      <c r="E4646" s="21" t="s">
        <v>5779</v>
      </c>
    </row>
    <row r="4647" customFormat="false" ht="15" hidden="false" customHeight="false" outlineLevel="0" collapsed="false">
      <c r="B4647" s="19" t="s">
        <v>5784</v>
      </c>
      <c r="C4647" s="20" t="n">
        <f aca="false">ROUND(0.94/FX,2)</f>
        <v>0.13</v>
      </c>
      <c r="D4647" s="21" t="s">
        <v>845</v>
      </c>
      <c r="E4647" s="21" t="s">
        <v>5779</v>
      </c>
    </row>
    <row r="4648" customFormat="false" ht="15" hidden="false" customHeight="false" outlineLevel="0" collapsed="false">
      <c r="B4648" s="19" t="s">
        <v>5785</v>
      </c>
      <c r="C4648" s="20" t="n">
        <f aca="false">ROUND(0.94/FX,2)</f>
        <v>0.13</v>
      </c>
      <c r="D4648" s="21" t="s">
        <v>719</v>
      </c>
      <c r="E4648" s="21" t="s">
        <v>5779</v>
      </c>
    </row>
    <row r="4649" customFormat="false" ht="15" hidden="false" customHeight="false" outlineLevel="0" collapsed="false">
      <c r="B4649" s="19" t="s">
        <v>5786</v>
      </c>
      <c r="C4649" s="20" t="n">
        <f aca="false">ROUND(0.94/FX,2)</f>
        <v>0.13</v>
      </c>
      <c r="D4649" s="21" t="s">
        <v>707</v>
      </c>
      <c r="E4649" s="21" t="s">
        <v>5787</v>
      </c>
    </row>
    <row r="4650" customFormat="false" ht="15" hidden="false" customHeight="false" outlineLevel="0" collapsed="false">
      <c r="B4650" s="19" t="s">
        <v>5788</v>
      </c>
      <c r="C4650" s="20" t="n">
        <f aca="false">ROUND(0.94/FX,2)</f>
        <v>0.13</v>
      </c>
      <c r="D4650" s="21" t="s">
        <v>839</v>
      </c>
      <c r="E4650" s="21" t="s">
        <v>5787</v>
      </c>
    </row>
    <row r="4651" customFormat="false" ht="15" hidden="false" customHeight="false" outlineLevel="0" collapsed="false">
      <c r="B4651" s="19" t="s">
        <v>5789</v>
      </c>
      <c r="C4651" s="20" t="n">
        <f aca="false">ROUND(1.07/FX,2)</f>
        <v>0.15</v>
      </c>
      <c r="D4651" s="21" t="s">
        <v>841</v>
      </c>
      <c r="E4651" s="21" t="s">
        <v>5787</v>
      </c>
    </row>
    <row r="4652" customFormat="false" ht="15" hidden="false" customHeight="false" outlineLevel="0" collapsed="false">
      <c r="B4652" s="19" t="s">
        <v>5790</v>
      </c>
      <c r="C4652" s="20" t="n">
        <f aca="false">ROUND(0.94/FX,2)</f>
        <v>0.13</v>
      </c>
      <c r="D4652" s="21" t="s">
        <v>789</v>
      </c>
      <c r="E4652" s="21" t="s">
        <v>5787</v>
      </c>
    </row>
    <row r="4653" customFormat="false" ht="15" hidden="false" customHeight="false" outlineLevel="0" collapsed="false">
      <c r="B4653" s="19" t="s">
        <v>5791</v>
      </c>
      <c r="C4653" s="20" t="n">
        <f aca="false">ROUND(1.56/FX,2)</f>
        <v>0.22</v>
      </c>
      <c r="D4653" s="21" t="s">
        <v>716</v>
      </c>
      <c r="E4653" s="21" t="s">
        <v>5787</v>
      </c>
    </row>
    <row r="4654" customFormat="false" ht="15" hidden="false" customHeight="false" outlineLevel="0" collapsed="false">
      <c r="B4654" s="19" t="s">
        <v>5792</v>
      </c>
      <c r="C4654" s="20" t="n">
        <f aca="false">ROUND(0.94/FX,2)</f>
        <v>0.13</v>
      </c>
      <c r="D4654" s="21" t="s">
        <v>845</v>
      </c>
      <c r="E4654" s="21" t="s">
        <v>5787</v>
      </c>
    </row>
    <row r="4655" customFormat="false" ht="15" hidden="false" customHeight="false" outlineLevel="0" collapsed="false">
      <c r="B4655" s="19" t="s">
        <v>5793</v>
      </c>
      <c r="C4655" s="20" t="n">
        <f aca="false">ROUND(0.94/FX,2)</f>
        <v>0.13</v>
      </c>
      <c r="D4655" s="21" t="s">
        <v>719</v>
      </c>
      <c r="E4655" s="21" t="s">
        <v>5787</v>
      </c>
    </row>
    <row r="4656" customFormat="false" ht="15" hidden="false" customHeight="false" outlineLevel="0" collapsed="false">
      <c r="B4656" s="19" t="s">
        <v>5794</v>
      </c>
      <c r="C4656" s="20" t="n">
        <f aca="false">ROUND(2.6/FX,2)</f>
        <v>0.36</v>
      </c>
      <c r="D4656" s="21" t="s">
        <v>707</v>
      </c>
      <c r="E4656" s="21" t="s">
        <v>5795</v>
      </c>
    </row>
    <row r="4657" customFormat="false" ht="15" hidden="false" customHeight="false" outlineLevel="0" collapsed="false">
      <c r="B4657" s="19" t="s">
        <v>5796</v>
      </c>
      <c r="C4657" s="20" t="n">
        <f aca="false">ROUND(0.94/FX,2)</f>
        <v>0.13</v>
      </c>
      <c r="D4657" s="21" t="s">
        <v>839</v>
      </c>
      <c r="E4657" s="21" t="s">
        <v>5795</v>
      </c>
    </row>
    <row r="4658" customFormat="false" ht="15" hidden="false" customHeight="false" outlineLevel="0" collapsed="false">
      <c r="B4658" s="19" t="s">
        <v>5797</v>
      </c>
      <c r="C4658" s="20" t="n">
        <f aca="false">ROUND(1.04/FX,2)</f>
        <v>0.14</v>
      </c>
      <c r="D4658" s="21" t="s">
        <v>841</v>
      </c>
      <c r="E4658" s="21" t="s">
        <v>5795</v>
      </c>
    </row>
    <row r="4659" customFormat="false" ht="15" hidden="false" customHeight="false" outlineLevel="0" collapsed="false">
      <c r="B4659" s="19" t="s">
        <v>5798</v>
      </c>
      <c r="C4659" s="20" t="n">
        <f aca="false">ROUND(0.94/FX,2)</f>
        <v>0.13</v>
      </c>
      <c r="D4659" s="21" t="s">
        <v>789</v>
      </c>
      <c r="E4659" s="21" t="s">
        <v>5795</v>
      </c>
    </row>
    <row r="4660" customFormat="false" ht="15" hidden="false" customHeight="false" outlineLevel="0" collapsed="false">
      <c r="B4660" s="19" t="s">
        <v>5799</v>
      </c>
      <c r="C4660" s="20" t="n">
        <f aca="false">ROUND(1.56/FX,2)</f>
        <v>0.22</v>
      </c>
      <c r="D4660" s="21" t="s">
        <v>716</v>
      </c>
      <c r="E4660" s="21" t="s">
        <v>5795</v>
      </c>
    </row>
    <row r="4661" customFormat="false" ht="15" hidden="false" customHeight="false" outlineLevel="0" collapsed="false">
      <c r="B4661" s="19" t="s">
        <v>5800</v>
      </c>
      <c r="C4661" s="20" t="n">
        <f aca="false">ROUND(0.94/FX,2)</f>
        <v>0.13</v>
      </c>
      <c r="D4661" s="21" t="s">
        <v>845</v>
      </c>
      <c r="E4661" s="21" t="s">
        <v>5795</v>
      </c>
    </row>
    <row r="4662" customFormat="false" ht="15" hidden="false" customHeight="false" outlineLevel="0" collapsed="false">
      <c r="B4662" s="19" t="s">
        <v>5801</v>
      </c>
      <c r="C4662" s="20" t="n">
        <f aca="false">ROUND(0.94/FX,2)</f>
        <v>0.13</v>
      </c>
      <c r="D4662" s="21" t="s">
        <v>719</v>
      </c>
      <c r="E4662" s="21" t="s">
        <v>5795</v>
      </c>
    </row>
    <row r="4663" customFormat="false" ht="15" hidden="false" customHeight="false" outlineLevel="0" collapsed="false">
      <c r="B4663" s="19" t="s">
        <v>5802</v>
      </c>
      <c r="C4663" s="20" t="n">
        <f aca="false">ROUND(2.15/FX,2)</f>
        <v>0.3</v>
      </c>
      <c r="D4663" s="21" t="s">
        <v>707</v>
      </c>
      <c r="E4663" s="21" t="s">
        <v>5803</v>
      </c>
    </row>
    <row r="4664" customFormat="false" ht="15" hidden="false" customHeight="false" outlineLevel="0" collapsed="false">
      <c r="B4664" s="19" t="s">
        <v>5804</v>
      </c>
      <c r="C4664" s="20" t="n">
        <f aca="false">ROUND(0.78/FX,2)</f>
        <v>0.11</v>
      </c>
      <c r="D4664" s="21" t="s">
        <v>839</v>
      </c>
      <c r="E4664" s="21" t="s">
        <v>5803</v>
      </c>
    </row>
    <row r="4665" customFormat="false" ht="15" hidden="false" customHeight="false" outlineLevel="0" collapsed="false">
      <c r="B4665" s="19" t="s">
        <v>5805</v>
      </c>
      <c r="C4665" s="20" t="n">
        <f aca="false">ROUND(0.94/FX,2)</f>
        <v>0.13</v>
      </c>
      <c r="D4665" s="21" t="s">
        <v>841</v>
      </c>
      <c r="E4665" s="21" t="s">
        <v>5803</v>
      </c>
    </row>
    <row r="4666" customFormat="false" ht="15" hidden="false" customHeight="false" outlineLevel="0" collapsed="false">
      <c r="B4666" s="19" t="s">
        <v>5806</v>
      </c>
      <c r="C4666" s="20" t="n">
        <f aca="false">ROUND(0.94/FX,2)</f>
        <v>0.13</v>
      </c>
      <c r="D4666" s="21" t="s">
        <v>789</v>
      </c>
      <c r="E4666" s="21" t="s">
        <v>5803</v>
      </c>
    </row>
    <row r="4667" customFormat="false" ht="15" hidden="false" customHeight="false" outlineLevel="0" collapsed="false">
      <c r="B4667" s="19" t="s">
        <v>5807</v>
      </c>
      <c r="C4667" s="20" t="n">
        <f aca="false">ROUND(1.3/FX,2)</f>
        <v>0.18</v>
      </c>
      <c r="D4667" s="21" t="s">
        <v>716</v>
      </c>
      <c r="E4667" s="21" t="s">
        <v>5803</v>
      </c>
    </row>
    <row r="4668" customFormat="false" ht="15" hidden="false" customHeight="false" outlineLevel="0" collapsed="false">
      <c r="B4668" s="19" t="s">
        <v>5808</v>
      </c>
      <c r="C4668" s="20" t="n">
        <f aca="false">ROUND(0.94/FX,2)</f>
        <v>0.13</v>
      </c>
      <c r="D4668" s="21" t="s">
        <v>845</v>
      </c>
      <c r="E4668" s="21" t="s">
        <v>5803</v>
      </c>
    </row>
    <row r="4669" customFormat="false" ht="15" hidden="false" customHeight="false" outlineLevel="0" collapsed="false">
      <c r="B4669" s="19" t="s">
        <v>5809</v>
      </c>
      <c r="C4669" s="20" t="n">
        <f aca="false">ROUND(0.94/FX,2)</f>
        <v>0.13</v>
      </c>
      <c r="D4669" s="21" t="s">
        <v>719</v>
      </c>
      <c r="E4669" s="21" t="s">
        <v>5803</v>
      </c>
    </row>
    <row r="4670" customFormat="false" ht="15" hidden="false" customHeight="false" outlineLevel="0" collapsed="false">
      <c r="B4670" s="19" t="s">
        <v>5810</v>
      </c>
      <c r="C4670" s="20" t="n">
        <f aca="false">ROUND(0.94/FX,2)</f>
        <v>0.13</v>
      </c>
      <c r="D4670" s="21" t="s">
        <v>707</v>
      </c>
      <c r="E4670" s="21" t="s">
        <v>5811</v>
      </c>
    </row>
    <row r="4671" customFormat="false" ht="15" hidden="false" customHeight="false" outlineLevel="0" collapsed="false">
      <c r="B4671" s="19" t="s">
        <v>5812</v>
      </c>
      <c r="C4671" s="20" t="n">
        <f aca="false">ROUND(0.94/FX,2)</f>
        <v>0.13</v>
      </c>
      <c r="D4671" s="21" t="s">
        <v>839</v>
      </c>
      <c r="E4671" s="21" t="s">
        <v>5811</v>
      </c>
    </row>
    <row r="4672" customFormat="false" ht="15" hidden="false" customHeight="false" outlineLevel="0" collapsed="false">
      <c r="B4672" s="19" t="s">
        <v>5813</v>
      </c>
      <c r="C4672" s="20" t="n">
        <f aca="false">ROUND(0.94/FX,2)</f>
        <v>0.13</v>
      </c>
      <c r="D4672" s="21" t="s">
        <v>841</v>
      </c>
      <c r="E4672" s="21" t="s">
        <v>5811</v>
      </c>
    </row>
    <row r="4673" customFormat="false" ht="15" hidden="false" customHeight="false" outlineLevel="0" collapsed="false">
      <c r="B4673" s="19" t="s">
        <v>5814</v>
      </c>
      <c r="C4673" s="20" t="n">
        <f aca="false">ROUND(0.94/FX,2)</f>
        <v>0.13</v>
      </c>
      <c r="D4673" s="21" t="s">
        <v>789</v>
      </c>
      <c r="E4673" s="21" t="s">
        <v>5811</v>
      </c>
    </row>
    <row r="4674" customFormat="false" ht="15" hidden="false" customHeight="false" outlineLevel="0" collapsed="false">
      <c r="B4674" s="19" t="s">
        <v>5815</v>
      </c>
      <c r="C4674" s="20" t="n">
        <f aca="false">ROUND(1.82/FX,2)</f>
        <v>0.25</v>
      </c>
      <c r="D4674" s="21" t="s">
        <v>716</v>
      </c>
      <c r="E4674" s="21" t="s">
        <v>5811</v>
      </c>
    </row>
    <row r="4675" customFormat="false" ht="15" hidden="false" customHeight="false" outlineLevel="0" collapsed="false">
      <c r="B4675" s="19" t="s">
        <v>5816</v>
      </c>
      <c r="C4675" s="20" t="n">
        <f aca="false">ROUND(0.94/FX,2)</f>
        <v>0.13</v>
      </c>
      <c r="D4675" s="21" t="s">
        <v>845</v>
      </c>
      <c r="E4675" s="21" t="s">
        <v>5811</v>
      </c>
    </row>
    <row r="4676" customFormat="false" ht="15" hidden="false" customHeight="false" outlineLevel="0" collapsed="false">
      <c r="B4676" s="19" t="s">
        <v>5817</v>
      </c>
      <c r="C4676" s="20" t="n">
        <f aca="false">ROUND(0.94/FX,2)</f>
        <v>0.13</v>
      </c>
      <c r="D4676" s="21" t="s">
        <v>719</v>
      </c>
      <c r="E4676" s="21" t="s">
        <v>5811</v>
      </c>
    </row>
    <row r="4677" customFormat="false" ht="15" hidden="false" customHeight="false" outlineLevel="0" collapsed="false">
      <c r="B4677" s="19" t="s">
        <v>5818</v>
      </c>
      <c r="C4677" s="20" t="n">
        <f aca="false">ROUND(0.94/FX,2)</f>
        <v>0.13</v>
      </c>
      <c r="D4677" s="21" t="s">
        <v>707</v>
      </c>
      <c r="E4677" s="21" t="s">
        <v>5819</v>
      </c>
    </row>
    <row r="4678" customFormat="false" ht="15" hidden="false" customHeight="false" outlineLevel="0" collapsed="false">
      <c r="B4678" s="19" t="s">
        <v>5820</v>
      </c>
      <c r="C4678" s="20" t="n">
        <f aca="false">ROUND(0.94/FX,2)</f>
        <v>0.13</v>
      </c>
      <c r="D4678" s="21" t="s">
        <v>839</v>
      </c>
      <c r="E4678" s="21" t="s">
        <v>5819</v>
      </c>
    </row>
    <row r="4679" customFormat="false" ht="15" hidden="false" customHeight="false" outlineLevel="0" collapsed="false">
      <c r="B4679" s="19" t="s">
        <v>5821</v>
      </c>
      <c r="C4679" s="20" t="n">
        <f aca="false">ROUND(1.11/FX,2)</f>
        <v>0.15</v>
      </c>
      <c r="D4679" s="21" t="s">
        <v>841</v>
      </c>
      <c r="E4679" s="21" t="s">
        <v>5819</v>
      </c>
    </row>
    <row r="4680" customFormat="false" ht="15" hidden="false" customHeight="false" outlineLevel="0" collapsed="false">
      <c r="B4680" s="19" t="s">
        <v>5822</v>
      </c>
      <c r="C4680" s="20" t="n">
        <f aca="false">ROUND(0.94/FX,2)</f>
        <v>0.13</v>
      </c>
      <c r="D4680" s="21" t="s">
        <v>789</v>
      </c>
      <c r="E4680" s="21" t="s">
        <v>5819</v>
      </c>
    </row>
    <row r="4681" customFormat="false" ht="15" hidden="false" customHeight="false" outlineLevel="0" collapsed="false">
      <c r="B4681" s="19" t="s">
        <v>5823</v>
      </c>
      <c r="C4681" s="20" t="n">
        <f aca="false">ROUND(0.94/FX,2)</f>
        <v>0.13</v>
      </c>
      <c r="D4681" s="21" t="s">
        <v>716</v>
      </c>
      <c r="E4681" s="21" t="s">
        <v>5819</v>
      </c>
    </row>
    <row r="4682" customFormat="false" ht="15" hidden="false" customHeight="false" outlineLevel="0" collapsed="false">
      <c r="B4682" s="19" t="s">
        <v>5824</v>
      </c>
      <c r="C4682" s="20" t="n">
        <f aca="false">ROUND(0.94/FX,2)</f>
        <v>0.13</v>
      </c>
      <c r="D4682" s="21" t="s">
        <v>845</v>
      </c>
      <c r="E4682" s="21" t="s">
        <v>5819</v>
      </c>
    </row>
    <row r="4683" customFormat="false" ht="15" hidden="false" customHeight="false" outlineLevel="0" collapsed="false">
      <c r="B4683" s="19" t="s">
        <v>5825</v>
      </c>
      <c r="C4683" s="20" t="n">
        <f aca="false">ROUND(0.94/FX,2)</f>
        <v>0.13</v>
      </c>
      <c r="D4683" s="21" t="s">
        <v>719</v>
      </c>
      <c r="E4683" s="21" t="s">
        <v>5819</v>
      </c>
    </row>
    <row r="4684" customFormat="false" ht="15" hidden="false" customHeight="false" outlineLevel="0" collapsed="false">
      <c r="B4684" s="19" t="s">
        <v>5826</v>
      </c>
      <c r="C4684" s="20" t="n">
        <f aca="false">ROUND(0.94/FX,2)</f>
        <v>0.13</v>
      </c>
      <c r="D4684" s="21" t="s">
        <v>707</v>
      </c>
      <c r="E4684" s="21" t="s">
        <v>5827</v>
      </c>
    </row>
    <row r="4685" customFormat="false" ht="15" hidden="false" customHeight="false" outlineLevel="0" collapsed="false">
      <c r="B4685" s="19" t="s">
        <v>5828</v>
      </c>
      <c r="C4685" s="20" t="n">
        <f aca="false">ROUND(0.94/FX,2)</f>
        <v>0.13</v>
      </c>
      <c r="D4685" s="21" t="s">
        <v>839</v>
      </c>
      <c r="E4685" s="21" t="s">
        <v>5827</v>
      </c>
    </row>
    <row r="4686" customFormat="false" ht="15" hidden="false" customHeight="false" outlineLevel="0" collapsed="false">
      <c r="B4686" s="19" t="s">
        <v>5829</v>
      </c>
      <c r="C4686" s="20" t="n">
        <f aca="false">ROUND(0.94/FX,2)</f>
        <v>0.13</v>
      </c>
      <c r="D4686" s="21" t="s">
        <v>841</v>
      </c>
      <c r="E4686" s="21" t="s">
        <v>5827</v>
      </c>
    </row>
    <row r="4687" customFormat="false" ht="15" hidden="false" customHeight="false" outlineLevel="0" collapsed="false">
      <c r="B4687" s="19" t="s">
        <v>5830</v>
      </c>
      <c r="C4687" s="20" t="n">
        <f aca="false">ROUND(0.94/FX,2)</f>
        <v>0.13</v>
      </c>
      <c r="D4687" s="21" t="s">
        <v>789</v>
      </c>
      <c r="E4687" s="21" t="s">
        <v>5827</v>
      </c>
    </row>
    <row r="4688" customFormat="false" ht="15" hidden="false" customHeight="false" outlineLevel="0" collapsed="false">
      <c r="B4688" s="19" t="s">
        <v>5831</v>
      </c>
      <c r="C4688" s="20" t="n">
        <f aca="false">ROUND(2.08/FX,2)</f>
        <v>0.29</v>
      </c>
      <c r="D4688" s="21" t="s">
        <v>716</v>
      </c>
      <c r="E4688" s="21" t="s">
        <v>5827</v>
      </c>
    </row>
    <row r="4689" customFormat="false" ht="15" hidden="false" customHeight="false" outlineLevel="0" collapsed="false">
      <c r="B4689" s="19" t="s">
        <v>5832</v>
      </c>
      <c r="C4689" s="20" t="n">
        <f aca="false">ROUND(0.94/FX,2)</f>
        <v>0.13</v>
      </c>
      <c r="D4689" s="21" t="s">
        <v>845</v>
      </c>
      <c r="E4689" s="21" t="s">
        <v>5827</v>
      </c>
    </row>
    <row r="4690" customFormat="false" ht="15" hidden="false" customHeight="false" outlineLevel="0" collapsed="false">
      <c r="B4690" s="19" t="s">
        <v>5833</v>
      </c>
      <c r="C4690" s="20" t="n">
        <f aca="false">ROUND(0.94/FX,2)</f>
        <v>0.13</v>
      </c>
      <c r="D4690" s="21" t="s">
        <v>719</v>
      </c>
      <c r="E4690" s="21" t="s">
        <v>5827</v>
      </c>
    </row>
    <row r="4691" customFormat="false" ht="15" hidden="false" customHeight="false" outlineLevel="0" collapsed="false">
      <c r="B4691" s="19" t="s">
        <v>5834</v>
      </c>
      <c r="C4691" s="20" t="n">
        <f aca="false">ROUND(0.94/FX,2)</f>
        <v>0.13</v>
      </c>
      <c r="D4691" s="21" t="s">
        <v>707</v>
      </c>
      <c r="E4691" s="21" t="s">
        <v>5835</v>
      </c>
    </row>
    <row r="4692" customFormat="false" ht="15" hidden="false" customHeight="false" outlineLevel="0" collapsed="false">
      <c r="B4692" s="19" t="s">
        <v>5836</v>
      </c>
      <c r="C4692" s="20" t="n">
        <f aca="false">ROUND(0.94/FX,2)</f>
        <v>0.13</v>
      </c>
      <c r="D4692" s="21" t="s">
        <v>839</v>
      </c>
      <c r="E4692" s="21" t="s">
        <v>5835</v>
      </c>
    </row>
    <row r="4693" customFormat="false" ht="15" hidden="false" customHeight="false" outlineLevel="0" collapsed="false">
      <c r="B4693" s="19" t="s">
        <v>5837</v>
      </c>
      <c r="C4693" s="20" t="n">
        <f aca="false">ROUND(0.94/FX,2)</f>
        <v>0.13</v>
      </c>
      <c r="D4693" s="21" t="s">
        <v>841</v>
      </c>
      <c r="E4693" s="21" t="s">
        <v>5835</v>
      </c>
    </row>
    <row r="4694" customFormat="false" ht="15" hidden="false" customHeight="false" outlineLevel="0" collapsed="false">
      <c r="B4694" s="19" t="s">
        <v>5838</v>
      </c>
      <c r="C4694" s="20" t="n">
        <f aca="false">ROUND(0.94/FX,2)</f>
        <v>0.13</v>
      </c>
      <c r="D4694" s="21" t="s">
        <v>789</v>
      </c>
      <c r="E4694" s="21" t="s">
        <v>5835</v>
      </c>
    </row>
    <row r="4695" customFormat="false" ht="15" hidden="false" customHeight="false" outlineLevel="0" collapsed="false">
      <c r="B4695" s="19" t="s">
        <v>5839</v>
      </c>
      <c r="C4695" s="20" t="n">
        <f aca="false">ROUND(1.56/FX,2)</f>
        <v>0.22</v>
      </c>
      <c r="D4695" s="21" t="s">
        <v>716</v>
      </c>
      <c r="E4695" s="21" t="s">
        <v>5835</v>
      </c>
    </row>
    <row r="4696" customFormat="false" ht="15" hidden="false" customHeight="false" outlineLevel="0" collapsed="false">
      <c r="B4696" s="19" t="s">
        <v>5840</v>
      </c>
      <c r="C4696" s="20" t="n">
        <f aca="false">ROUND(0.94/FX,2)</f>
        <v>0.13</v>
      </c>
      <c r="D4696" s="21" t="s">
        <v>845</v>
      </c>
      <c r="E4696" s="21" t="s">
        <v>5835</v>
      </c>
    </row>
    <row r="4697" customFormat="false" ht="15" hidden="false" customHeight="false" outlineLevel="0" collapsed="false">
      <c r="B4697" s="19" t="s">
        <v>5841</v>
      </c>
      <c r="C4697" s="20" t="n">
        <f aca="false">ROUND(0.94/FX,2)</f>
        <v>0.13</v>
      </c>
      <c r="D4697" s="21" t="s">
        <v>719</v>
      </c>
      <c r="E4697" s="21" t="s">
        <v>5835</v>
      </c>
    </row>
    <row r="4698" customFormat="false" ht="15" hidden="false" customHeight="false" outlineLevel="0" collapsed="false">
      <c r="B4698" s="19" t="s">
        <v>5842</v>
      </c>
      <c r="C4698" s="20" t="n">
        <f aca="false">ROUND(2.86/FX,2)</f>
        <v>0.4</v>
      </c>
      <c r="D4698" s="21" t="s">
        <v>707</v>
      </c>
      <c r="E4698" s="21" t="s">
        <v>5843</v>
      </c>
    </row>
    <row r="4699" customFormat="false" ht="15" hidden="false" customHeight="false" outlineLevel="0" collapsed="false">
      <c r="B4699" s="19" t="s">
        <v>5844</v>
      </c>
      <c r="C4699" s="20" t="n">
        <f aca="false">ROUND(0.94/FX,2)</f>
        <v>0.13</v>
      </c>
      <c r="D4699" s="21" t="s">
        <v>839</v>
      </c>
      <c r="E4699" s="21" t="s">
        <v>5843</v>
      </c>
    </row>
    <row r="4700" customFormat="false" ht="15" hidden="false" customHeight="false" outlineLevel="0" collapsed="false">
      <c r="B4700" s="19" t="s">
        <v>5845</v>
      </c>
      <c r="C4700" s="20" t="n">
        <f aca="false">ROUND(0.94/FX,2)</f>
        <v>0.13</v>
      </c>
      <c r="D4700" s="21" t="s">
        <v>841</v>
      </c>
      <c r="E4700" s="21" t="s">
        <v>5843</v>
      </c>
    </row>
    <row r="4701" customFormat="false" ht="15" hidden="false" customHeight="false" outlineLevel="0" collapsed="false">
      <c r="B4701" s="19" t="s">
        <v>5846</v>
      </c>
      <c r="C4701" s="20" t="n">
        <f aca="false">ROUND(0.94/FX,2)</f>
        <v>0.13</v>
      </c>
      <c r="D4701" s="21" t="s">
        <v>789</v>
      </c>
      <c r="E4701" s="21" t="s">
        <v>5843</v>
      </c>
    </row>
    <row r="4702" customFormat="false" ht="15" hidden="false" customHeight="false" outlineLevel="0" collapsed="false">
      <c r="B4702" s="19" t="s">
        <v>5847</v>
      </c>
      <c r="C4702" s="20" t="n">
        <f aca="false">ROUND(1.76/FX,2)</f>
        <v>0.24</v>
      </c>
      <c r="D4702" s="21" t="s">
        <v>716</v>
      </c>
      <c r="E4702" s="21" t="s">
        <v>5843</v>
      </c>
    </row>
    <row r="4703" customFormat="false" ht="15" hidden="false" customHeight="false" outlineLevel="0" collapsed="false">
      <c r="B4703" s="19" t="s">
        <v>5848</v>
      </c>
      <c r="C4703" s="20" t="n">
        <f aca="false">ROUND(0.94/FX,2)</f>
        <v>0.13</v>
      </c>
      <c r="D4703" s="21" t="s">
        <v>845</v>
      </c>
      <c r="E4703" s="21" t="s">
        <v>5843</v>
      </c>
    </row>
    <row r="4704" customFormat="false" ht="15" hidden="false" customHeight="false" outlineLevel="0" collapsed="false">
      <c r="B4704" s="19" t="s">
        <v>5849</v>
      </c>
      <c r="C4704" s="20" t="n">
        <f aca="false">ROUND(0.94/FX,2)</f>
        <v>0.13</v>
      </c>
      <c r="D4704" s="21" t="s">
        <v>719</v>
      </c>
      <c r="E4704" s="21" t="s">
        <v>5843</v>
      </c>
    </row>
    <row r="4705" customFormat="false" ht="15" hidden="false" customHeight="false" outlineLevel="0" collapsed="false">
      <c r="B4705" s="19" t="s">
        <v>5850</v>
      </c>
      <c r="C4705" s="20" t="n">
        <f aca="false">ROUND(2.99/FX,2)</f>
        <v>0.42</v>
      </c>
      <c r="D4705" s="21" t="s">
        <v>707</v>
      </c>
      <c r="E4705" s="21" t="s">
        <v>5851</v>
      </c>
    </row>
    <row r="4706" customFormat="false" ht="15" hidden="false" customHeight="false" outlineLevel="0" collapsed="false">
      <c r="B4706" s="19" t="s">
        <v>5852</v>
      </c>
      <c r="C4706" s="20" t="n">
        <f aca="false">ROUND(0.94/FX,2)</f>
        <v>0.13</v>
      </c>
      <c r="D4706" s="21" t="s">
        <v>839</v>
      </c>
      <c r="E4706" s="21" t="s">
        <v>5851</v>
      </c>
    </row>
    <row r="4707" customFormat="false" ht="15" hidden="false" customHeight="false" outlineLevel="0" collapsed="false">
      <c r="B4707" s="19" t="s">
        <v>5853</v>
      </c>
      <c r="C4707" s="20" t="n">
        <f aca="false">ROUND(1.2/FX,2)</f>
        <v>0.17</v>
      </c>
      <c r="D4707" s="21" t="s">
        <v>841</v>
      </c>
      <c r="E4707" s="21" t="s">
        <v>5851</v>
      </c>
    </row>
    <row r="4708" customFormat="false" ht="15" hidden="false" customHeight="false" outlineLevel="0" collapsed="false">
      <c r="B4708" s="19" t="s">
        <v>5854</v>
      </c>
      <c r="C4708" s="20" t="n">
        <f aca="false">ROUND(0.94/FX,2)</f>
        <v>0.13</v>
      </c>
      <c r="D4708" s="21" t="s">
        <v>789</v>
      </c>
      <c r="E4708" s="21" t="s">
        <v>5851</v>
      </c>
    </row>
    <row r="4709" customFormat="false" ht="15" hidden="false" customHeight="false" outlineLevel="0" collapsed="false">
      <c r="B4709" s="19" t="s">
        <v>5855</v>
      </c>
      <c r="C4709" s="20" t="n">
        <f aca="false">ROUND(1.82/FX,2)</f>
        <v>0.25</v>
      </c>
      <c r="D4709" s="21" t="s">
        <v>716</v>
      </c>
      <c r="E4709" s="21" t="s">
        <v>5851</v>
      </c>
    </row>
    <row r="4710" customFormat="false" ht="15" hidden="false" customHeight="false" outlineLevel="0" collapsed="false">
      <c r="B4710" s="19" t="s">
        <v>5856</v>
      </c>
      <c r="C4710" s="20" t="n">
        <f aca="false">ROUND(0.94/FX,2)</f>
        <v>0.13</v>
      </c>
      <c r="D4710" s="21" t="s">
        <v>845</v>
      </c>
      <c r="E4710" s="21" t="s">
        <v>5851</v>
      </c>
    </row>
    <row r="4711" customFormat="false" ht="15" hidden="false" customHeight="false" outlineLevel="0" collapsed="false">
      <c r="B4711" s="19" t="s">
        <v>5857</v>
      </c>
      <c r="C4711" s="20" t="n">
        <f aca="false">ROUND(0.94/FX,2)</f>
        <v>0.13</v>
      </c>
      <c r="D4711" s="21" t="s">
        <v>719</v>
      </c>
      <c r="E4711" s="21" t="s">
        <v>5851</v>
      </c>
    </row>
    <row r="4712" customFormat="false" ht="15" hidden="false" customHeight="false" outlineLevel="0" collapsed="false">
      <c r="B4712" s="19" t="s">
        <v>5858</v>
      </c>
      <c r="C4712" s="20" t="n">
        <f aca="false">ROUND(0.94/FX,2)</f>
        <v>0.13</v>
      </c>
      <c r="D4712" s="21" t="s">
        <v>707</v>
      </c>
      <c r="E4712" s="21" t="s">
        <v>5859</v>
      </c>
    </row>
    <row r="4713" customFormat="false" ht="15" hidden="false" customHeight="false" outlineLevel="0" collapsed="false">
      <c r="B4713" s="19" t="s">
        <v>5860</v>
      </c>
      <c r="C4713" s="20" t="n">
        <f aca="false">ROUND(0.78/FX,2)</f>
        <v>0.11</v>
      </c>
      <c r="D4713" s="21" t="s">
        <v>839</v>
      </c>
      <c r="E4713" s="21" t="s">
        <v>5859</v>
      </c>
    </row>
    <row r="4714" customFormat="false" ht="15" hidden="false" customHeight="false" outlineLevel="0" collapsed="false">
      <c r="B4714" s="19" t="s">
        <v>5861</v>
      </c>
      <c r="C4714" s="20" t="n">
        <f aca="false">ROUND(0.94/FX,2)</f>
        <v>0.13</v>
      </c>
      <c r="D4714" s="21" t="s">
        <v>841</v>
      </c>
      <c r="E4714" s="21" t="s">
        <v>5859</v>
      </c>
    </row>
    <row r="4715" customFormat="false" ht="15" hidden="false" customHeight="false" outlineLevel="0" collapsed="false">
      <c r="B4715" s="19" t="s">
        <v>5862</v>
      </c>
      <c r="C4715" s="20" t="n">
        <f aca="false">ROUND(0.94/FX,2)</f>
        <v>0.13</v>
      </c>
      <c r="D4715" s="21" t="s">
        <v>789</v>
      </c>
      <c r="E4715" s="21" t="s">
        <v>5859</v>
      </c>
    </row>
    <row r="4716" customFormat="false" ht="15" hidden="false" customHeight="false" outlineLevel="0" collapsed="false">
      <c r="B4716" s="19" t="s">
        <v>5863</v>
      </c>
      <c r="C4716" s="20" t="n">
        <f aca="false">ROUND(0.94/FX,2)</f>
        <v>0.13</v>
      </c>
      <c r="D4716" s="21" t="s">
        <v>716</v>
      </c>
      <c r="E4716" s="21" t="s">
        <v>5859</v>
      </c>
    </row>
    <row r="4717" customFormat="false" ht="15" hidden="false" customHeight="false" outlineLevel="0" collapsed="false">
      <c r="B4717" s="19" t="s">
        <v>5864</v>
      </c>
      <c r="C4717" s="20" t="n">
        <f aca="false">ROUND(0.94/FX,2)</f>
        <v>0.13</v>
      </c>
      <c r="D4717" s="21" t="s">
        <v>845</v>
      </c>
      <c r="E4717" s="21" t="s">
        <v>5859</v>
      </c>
    </row>
    <row r="4718" customFormat="false" ht="15" hidden="false" customHeight="false" outlineLevel="0" collapsed="false">
      <c r="B4718" s="19" t="s">
        <v>5865</v>
      </c>
      <c r="C4718" s="20" t="n">
        <f aca="false">ROUND(0.94/FX,2)</f>
        <v>0.13</v>
      </c>
      <c r="D4718" s="21" t="s">
        <v>719</v>
      </c>
      <c r="E4718" s="21" t="s">
        <v>5859</v>
      </c>
    </row>
    <row r="4719" customFormat="false" ht="15" hidden="false" customHeight="false" outlineLevel="0" collapsed="false">
      <c r="B4719" s="19" t="s">
        <v>5866</v>
      </c>
      <c r="C4719" s="20" t="n">
        <f aca="false">ROUND(3.25/FX,2)</f>
        <v>0.45</v>
      </c>
      <c r="D4719" s="21" t="s">
        <v>707</v>
      </c>
      <c r="E4719" s="21" t="s">
        <v>5867</v>
      </c>
    </row>
    <row r="4720" customFormat="false" ht="15" hidden="false" customHeight="false" outlineLevel="0" collapsed="false">
      <c r="B4720" s="19" t="s">
        <v>5868</v>
      </c>
      <c r="C4720" s="20" t="n">
        <f aca="false">ROUND(0.94/FX,2)</f>
        <v>0.13</v>
      </c>
      <c r="D4720" s="21" t="s">
        <v>839</v>
      </c>
      <c r="E4720" s="21" t="s">
        <v>5867</v>
      </c>
    </row>
    <row r="4721" customFormat="false" ht="15" hidden="false" customHeight="false" outlineLevel="0" collapsed="false">
      <c r="B4721" s="19" t="s">
        <v>5869</v>
      </c>
      <c r="C4721" s="20" t="n">
        <f aca="false">ROUND(0.94/FX,2)</f>
        <v>0.13</v>
      </c>
      <c r="D4721" s="21" t="s">
        <v>841</v>
      </c>
      <c r="E4721" s="21" t="s">
        <v>5867</v>
      </c>
    </row>
    <row r="4722" customFormat="false" ht="15" hidden="false" customHeight="false" outlineLevel="0" collapsed="false">
      <c r="B4722" s="19" t="s">
        <v>5870</v>
      </c>
      <c r="C4722" s="20" t="n">
        <f aca="false">ROUND(0.94/FX,2)</f>
        <v>0.13</v>
      </c>
      <c r="D4722" s="21" t="s">
        <v>789</v>
      </c>
      <c r="E4722" s="21" t="s">
        <v>5867</v>
      </c>
    </row>
    <row r="4723" customFormat="false" ht="15" hidden="false" customHeight="false" outlineLevel="0" collapsed="false">
      <c r="B4723" s="19" t="s">
        <v>5871</v>
      </c>
      <c r="C4723" s="20" t="n">
        <f aca="false">ROUND(2.02/FX,2)</f>
        <v>0.28</v>
      </c>
      <c r="D4723" s="21" t="s">
        <v>716</v>
      </c>
      <c r="E4723" s="21" t="s">
        <v>5867</v>
      </c>
    </row>
    <row r="4724" customFormat="false" ht="15" hidden="false" customHeight="false" outlineLevel="0" collapsed="false">
      <c r="B4724" s="19" t="s">
        <v>5872</v>
      </c>
      <c r="C4724" s="20" t="n">
        <f aca="false">ROUND(0.94/FX,2)</f>
        <v>0.13</v>
      </c>
      <c r="D4724" s="21" t="s">
        <v>845</v>
      </c>
      <c r="E4724" s="21" t="s">
        <v>5867</v>
      </c>
    </row>
    <row r="4725" customFormat="false" ht="15" hidden="false" customHeight="false" outlineLevel="0" collapsed="false">
      <c r="B4725" s="19" t="s">
        <v>5873</v>
      </c>
      <c r="C4725" s="20" t="n">
        <f aca="false">ROUND(0.94/FX,2)</f>
        <v>0.13</v>
      </c>
      <c r="D4725" s="21" t="s">
        <v>719</v>
      </c>
      <c r="E4725" s="21" t="s">
        <v>5867</v>
      </c>
    </row>
    <row r="4726" customFormat="false" ht="15" hidden="false" customHeight="false" outlineLevel="0" collapsed="false">
      <c r="B4726" s="19" t="s">
        <v>5874</v>
      </c>
      <c r="C4726" s="20" t="n">
        <f aca="false">ROUND(0.94/FX,2)</f>
        <v>0.13</v>
      </c>
      <c r="D4726" s="21" t="s">
        <v>707</v>
      </c>
      <c r="E4726" s="21" t="s">
        <v>5875</v>
      </c>
    </row>
    <row r="4727" customFormat="false" ht="15" hidden="false" customHeight="false" outlineLevel="0" collapsed="false">
      <c r="B4727" s="19" t="s">
        <v>5876</v>
      </c>
      <c r="C4727" s="20" t="n">
        <f aca="false">ROUND(0.94/FX,2)</f>
        <v>0.13</v>
      </c>
      <c r="D4727" s="21" t="s">
        <v>839</v>
      </c>
      <c r="E4727" s="21" t="s">
        <v>5875</v>
      </c>
    </row>
    <row r="4728" customFormat="false" ht="15" hidden="false" customHeight="false" outlineLevel="0" collapsed="false">
      <c r="B4728" s="19" t="s">
        <v>5877</v>
      </c>
      <c r="C4728" s="20" t="n">
        <f aca="false">ROUND(0.94/FX,2)</f>
        <v>0.13</v>
      </c>
      <c r="D4728" s="21" t="s">
        <v>841</v>
      </c>
      <c r="E4728" s="21" t="s">
        <v>5875</v>
      </c>
    </row>
    <row r="4729" customFormat="false" ht="15" hidden="false" customHeight="false" outlineLevel="0" collapsed="false">
      <c r="B4729" s="19" t="s">
        <v>5878</v>
      </c>
      <c r="C4729" s="20" t="n">
        <f aca="false">ROUND(0.94/FX,2)</f>
        <v>0.13</v>
      </c>
      <c r="D4729" s="21" t="s">
        <v>789</v>
      </c>
      <c r="E4729" s="21" t="s">
        <v>5875</v>
      </c>
    </row>
    <row r="4730" customFormat="false" ht="15" hidden="false" customHeight="false" outlineLevel="0" collapsed="false">
      <c r="B4730" s="19" t="s">
        <v>5879</v>
      </c>
      <c r="C4730" s="20" t="n">
        <f aca="false">ROUND(2.08/FX,2)</f>
        <v>0.29</v>
      </c>
      <c r="D4730" s="21" t="s">
        <v>716</v>
      </c>
      <c r="E4730" s="21" t="s">
        <v>5875</v>
      </c>
    </row>
    <row r="4731" customFormat="false" ht="15" hidden="false" customHeight="false" outlineLevel="0" collapsed="false">
      <c r="B4731" s="19" t="s">
        <v>5880</v>
      </c>
      <c r="C4731" s="20" t="n">
        <f aca="false">ROUND(0.94/FX,2)</f>
        <v>0.13</v>
      </c>
      <c r="D4731" s="21" t="s">
        <v>845</v>
      </c>
      <c r="E4731" s="21" t="s">
        <v>5875</v>
      </c>
    </row>
    <row r="4732" customFormat="false" ht="15" hidden="false" customHeight="false" outlineLevel="0" collapsed="false">
      <c r="B4732" s="19" t="s">
        <v>5881</v>
      </c>
      <c r="C4732" s="20" t="n">
        <f aca="false">ROUND(0.94/FX,2)</f>
        <v>0.13</v>
      </c>
      <c r="D4732" s="21" t="s">
        <v>719</v>
      </c>
      <c r="E4732" s="21" t="s">
        <v>5875</v>
      </c>
    </row>
    <row r="4733" customFormat="false" ht="15" hidden="false" customHeight="false" outlineLevel="0" collapsed="false">
      <c r="B4733" s="19" t="s">
        <v>5882</v>
      </c>
      <c r="C4733" s="20" t="n">
        <f aca="false">ROUND(2.56/FX,2)</f>
        <v>0.36</v>
      </c>
      <c r="D4733" s="21" t="s">
        <v>707</v>
      </c>
      <c r="E4733" s="21" t="s">
        <v>5883</v>
      </c>
    </row>
    <row r="4734" customFormat="false" ht="15" hidden="false" customHeight="false" outlineLevel="0" collapsed="false">
      <c r="B4734" s="19" t="s">
        <v>5884</v>
      </c>
      <c r="C4734" s="20" t="n">
        <f aca="false">ROUND(0.94/FX,2)</f>
        <v>0.13</v>
      </c>
      <c r="D4734" s="21" t="s">
        <v>839</v>
      </c>
      <c r="E4734" s="21" t="s">
        <v>5883</v>
      </c>
    </row>
    <row r="4735" customFormat="false" ht="15" hidden="false" customHeight="false" outlineLevel="0" collapsed="false">
      <c r="B4735" s="19" t="s">
        <v>5885</v>
      </c>
      <c r="C4735" s="20" t="n">
        <f aca="false">ROUND(0.94/FX,2)</f>
        <v>0.13</v>
      </c>
      <c r="D4735" s="21" t="s">
        <v>841</v>
      </c>
      <c r="E4735" s="21" t="s">
        <v>5883</v>
      </c>
    </row>
    <row r="4736" customFormat="false" ht="15" hidden="false" customHeight="false" outlineLevel="0" collapsed="false">
      <c r="B4736" s="19" t="s">
        <v>5886</v>
      </c>
      <c r="C4736" s="20" t="n">
        <f aca="false">ROUND(0.94/FX,2)</f>
        <v>0.13</v>
      </c>
      <c r="D4736" s="21" t="s">
        <v>789</v>
      </c>
      <c r="E4736" s="21" t="s">
        <v>5883</v>
      </c>
    </row>
    <row r="4737" customFormat="false" ht="15" hidden="false" customHeight="false" outlineLevel="0" collapsed="false">
      <c r="B4737" s="19" t="s">
        <v>5887</v>
      </c>
      <c r="C4737" s="20" t="n">
        <f aca="false">ROUND(0.94/FX,2)</f>
        <v>0.13</v>
      </c>
      <c r="D4737" s="21" t="s">
        <v>716</v>
      </c>
      <c r="E4737" s="21" t="s">
        <v>5883</v>
      </c>
    </row>
    <row r="4738" customFormat="false" ht="15" hidden="false" customHeight="false" outlineLevel="0" collapsed="false">
      <c r="B4738" s="19" t="s">
        <v>5888</v>
      </c>
      <c r="C4738" s="20" t="n">
        <f aca="false">ROUND(0.94/FX,2)</f>
        <v>0.13</v>
      </c>
      <c r="D4738" s="21" t="s">
        <v>845</v>
      </c>
      <c r="E4738" s="21" t="s">
        <v>5883</v>
      </c>
    </row>
    <row r="4739" customFormat="false" ht="15" hidden="false" customHeight="false" outlineLevel="0" collapsed="false">
      <c r="B4739" s="19" t="s">
        <v>5889</v>
      </c>
      <c r="C4739" s="20" t="n">
        <f aca="false">ROUND(0.94/FX,2)</f>
        <v>0.13</v>
      </c>
      <c r="D4739" s="21" t="s">
        <v>719</v>
      </c>
      <c r="E4739" s="21" t="s">
        <v>5883</v>
      </c>
    </row>
    <row r="4740" customFormat="false" ht="15" hidden="false" customHeight="false" outlineLevel="0" collapsed="false">
      <c r="B4740" s="19" t="s">
        <v>5890</v>
      </c>
      <c r="C4740" s="20" t="n">
        <f aca="false">ROUND(3.25/FX,2)</f>
        <v>0.45</v>
      </c>
      <c r="D4740" s="21" t="s">
        <v>707</v>
      </c>
      <c r="E4740" s="21" t="s">
        <v>5891</v>
      </c>
    </row>
    <row r="4741" customFormat="false" ht="15" hidden="false" customHeight="false" outlineLevel="0" collapsed="false">
      <c r="B4741" s="19" t="s">
        <v>5892</v>
      </c>
      <c r="C4741" s="20" t="n">
        <f aca="false">ROUND(0.94/FX,2)</f>
        <v>0.13</v>
      </c>
      <c r="D4741" s="21" t="s">
        <v>839</v>
      </c>
      <c r="E4741" s="21" t="s">
        <v>5891</v>
      </c>
    </row>
    <row r="4742" customFormat="false" ht="15" hidden="false" customHeight="false" outlineLevel="0" collapsed="false">
      <c r="B4742" s="19" t="s">
        <v>5893</v>
      </c>
      <c r="C4742" s="20" t="n">
        <f aca="false">ROUND(0.94/FX,2)</f>
        <v>0.13</v>
      </c>
      <c r="D4742" s="21" t="s">
        <v>841</v>
      </c>
      <c r="E4742" s="21" t="s">
        <v>5891</v>
      </c>
    </row>
    <row r="4743" customFormat="false" ht="15" hidden="false" customHeight="false" outlineLevel="0" collapsed="false">
      <c r="B4743" s="19" t="s">
        <v>5894</v>
      </c>
      <c r="C4743" s="20" t="n">
        <f aca="false">ROUND(0.94/FX,2)</f>
        <v>0.13</v>
      </c>
      <c r="D4743" s="21" t="s">
        <v>789</v>
      </c>
      <c r="E4743" s="21" t="s">
        <v>5891</v>
      </c>
    </row>
    <row r="4744" customFormat="false" ht="15" hidden="false" customHeight="false" outlineLevel="0" collapsed="false">
      <c r="B4744" s="19" t="s">
        <v>5895</v>
      </c>
      <c r="C4744" s="20" t="n">
        <f aca="false">ROUND(2.21/FX,2)</f>
        <v>0.31</v>
      </c>
      <c r="D4744" s="21" t="s">
        <v>716</v>
      </c>
      <c r="E4744" s="21" t="s">
        <v>5891</v>
      </c>
    </row>
    <row r="4745" customFormat="false" ht="15" hidden="false" customHeight="false" outlineLevel="0" collapsed="false">
      <c r="B4745" s="19" t="s">
        <v>5896</v>
      </c>
      <c r="C4745" s="20" t="n">
        <f aca="false">ROUND(0.94/FX,2)</f>
        <v>0.13</v>
      </c>
      <c r="D4745" s="21" t="s">
        <v>845</v>
      </c>
      <c r="E4745" s="21" t="s">
        <v>5891</v>
      </c>
    </row>
    <row r="4746" customFormat="false" ht="15" hidden="false" customHeight="false" outlineLevel="0" collapsed="false">
      <c r="B4746" s="19" t="s">
        <v>5897</v>
      </c>
      <c r="C4746" s="20" t="n">
        <f aca="false">ROUND(0.94/FX,2)</f>
        <v>0.13</v>
      </c>
      <c r="D4746" s="21" t="s">
        <v>719</v>
      </c>
      <c r="E4746" s="21" t="s">
        <v>5891</v>
      </c>
    </row>
    <row r="4747" customFormat="false" ht="15" hidden="false" customHeight="false" outlineLevel="0" collapsed="false">
      <c r="B4747" s="19" t="s">
        <v>5898</v>
      </c>
      <c r="C4747" s="20" t="n">
        <f aca="false">ROUND(4.29/FX,2)</f>
        <v>0.6</v>
      </c>
      <c r="D4747" s="21" t="s">
        <v>707</v>
      </c>
      <c r="E4747" s="21" t="s">
        <v>5899</v>
      </c>
    </row>
    <row r="4748" customFormat="false" ht="15" hidden="false" customHeight="false" outlineLevel="0" collapsed="false">
      <c r="B4748" s="19" t="s">
        <v>5900</v>
      </c>
      <c r="C4748" s="20" t="n">
        <f aca="false">ROUND(0.94/FX,2)</f>
        <v>0.13</v>
      </c>
      <c r="D4748" s="21" t="s">
        <v>839</v>
      </c>
      <c r="E4748" s="21" t="s">
        <v>5899</v>
      </c>
    </row>
    <row r="4749" customFormat="false" ht="15" hidden="false" customHeight="false" outlineLevel="0" collapsed="false">
      <c r="B4749" s="19" t="s">
        <v>5901</v>
      </c>
      <c r="C4749" s="20" t="n">
        <f aca="false">ROUND(0.94/FX,2)</f>
        <v>0.13</v>
      </c>
      <c r="D4749" s="21" t="s">
        <v>841</v>
      </c>
      <c r="E4749" s="21" t="s">
        <v>5899</v>
      </c>
    </row>
    <row r="4750" customFormat="false" ht="15" hidden="false" customHeight="false" outlineLevel="0" collapsed="false">
      <c r="B4750" s="19" t="s">
        <v>5902</v>
      </c>
      <c r="C4750" s="20" t="n">
        <f aca="false">ROUND(0.94/FX,2)</f>
        <v>0.13</v>
      </c>
      <c r="D4750" s="21" t="s">
        <v>789</v>
      </c>
      <c r="E4750" s="21" t="s">
        <v>5899</v>
      </c>
    </row>
    <row r="4751" customFormat="false" ht="15" hidden="false" customHeight="false" outlineLevel="0" collapsed="false">
      <c r="B4751" s="19" t="s">
        <v>5903</v>
      </c>
      <c r="C4751" s="20" t="n">
        <f aca="false">ROUND(3.12/FX,2)</f>
        <v>0.43</v>
      </c>
      <c r="D4751" s="21" t="s">
        <v>716</v>
      </c>
      <c r="E4751" s="21" t="s">
        <v>5899</v>
      </c>
    </row>
    <row r="4752" customFormat="false" ht="15" hidden="false" customHeight="false" outlineLevel="0" collapsed="false">
      <c r="B4752" s="19" t="s">
        <v>5904</v>
      </c>
      <c r="C4752" s="20" t="n">
        <f aca="false">ROUND(0.94/FX,2)</f>
        <v>0.13</v>
      </c>
      <c r="D4752" s="21" t="s">
        <v>845</v>
      </c>
      <c r="E4752" s="21" t="s">
        <v>5899</v>
      </c>
    </row>
    <row r="4753" customFormat="false" ht="15" hidden="false" customHeight="false" outlineLevel="0" collapsed="false">
      <c r="B4753" s="19" t="s">
        <v>5905</v>
      </c>
      <c r="C4753" s="20" t="n">
        <f aca="false">ROUND(0.94/FX,2)</f>
        <v>0.13</v>
      </c>
      <c r="D4753" s="21" t="s">
        <v>719</v>
      </c>
      <c r="E4753" s="21" t="s">
        <v>5899</v>
      </c>
    </row>
    <row r="4754" customFormat="false" ht="15" hidden="false" customHeight="false" outlineLevel="0" collapsed="false">
      <c r="B4754" s="19" t="s">
        <v>5906</v>
      </c>
      <c r="C4754" s="20" t="n">
        <f aca="false">ROUND(0.94/FX,2)</f>
        <v>0.13</v>
      </c>
      <c r="D4754" s="21" t="s">
        <v>707</v>
      </c>
      <c r="E4754" s="21" t="s">
        <v>5907</v>
      </c>
    </row>
    <row r="4755" customFormat="false" ht="15" hidden="false" customHeight="false" outlineLevel="0" collapsed="false">
      <c r="B4755" s="19" t="s">
        <v>5908</v>
      </c>
      <c r="C4755" s="20" t="n">
        <f aca="false">ROUND(0.94/FX,2)</f>
        <v>0.13</v>
      </c>
      <c r="D4755" s="21" t="s">
        <v>839</v>
      </c>
      <c r="E4755" s="21" t="s">
        <v>5907</v>
      </c>
    </row>
    <row r="4756" customFormat="false" ht="15" hidden="false" customHeight="false" outlineLevel="0" collapsed="false">
      <c r="B4756" s="19" t="s">
        <v>5909</v>
      </c>
      <c r="C4756" s="20" t="n">
        <f aca="false">ROUND(0.94/FX,2)</f>
        <v>0.13</v>
      </c>
      <c r="D4756" s="21" t="s">
        <v>841</v>
      </c>
      <c r="E4756" s="21" t="s">
        <v>5907</v>
      </c>
    </row>
    <row r="4757" customFormat="false" ht="15" hidden="false" customHeight="false" outlineLevel="0" collapsed="false">
      <c r="B4757" s="19" t="s">
        <v>5910</v>
      </c>
      <c r="C4757" s="20" t="n">
        <f aca="false">ROUND(0.94/FX,2)</f>
        <v>0.13</v>
      </c>
      <c r="D4757" s="21" t="s">
        <v>789</v>
      </c>
      <c r="E4757" s="21" t="s">
        <v>5907</v>
      </c>
    </row>
    <row r="4758" customFormat="false" ht="15" hidden="false" customHeight="false" outlineLevel="0" collapsed="false">
      <c r="B4758" s="19" t="s">
        <v>5911</v>
      </c>
      <c r="C4758" s="20" t="n">
        <f aca="false">ROUND(2.6/FX,2)</f>
        <v>0.36</v>
      </c>
      <c r="D4758" s="21" t="s">
        <v>716</v>
      </c>
      <c r="E4758" s="21" t="s">
        <v>5907</v>
      </c>
    </row>
    <row r="4759" customFormat="false" ht="15" hidden="false" customHeight="false" outlineLevel="0" collapsed="false">
      <c r="B4759" s="19" t="s">
        <v>5912</v>
      </c>
      <c r="C4759" s="20" t="n">
        <f aca="false">ROUND(0.94/FX,2)</f>
        <v>0.13</v>
      </c>
      <c r="D4759" s="21" t="s">
        <v>845</v>
      </c>
      <c r="E4759" s="21" t="s">
        <v>5907</v>
      </c>
    </row>
    <row r="4760" customFormat="false" ht="15" hidden="false" customHeight="false" outlineLevel="0" collapsed="false">
      <c r="B4760" s="19" t="s">
        <v>5913</v>
      </c>
      <c r="C4760" s="20" t="n">
        <f aca="false">ROUND(0.94/FX,2)</f>
        <v>0.13</v>
      </c>
      <c r="D4760" s="21" t="s">
        <v>719</v>
      </c>
      <c r="E4760" s="21" t="s">
        <v>5907</v>
      </c>
    </row>
    <row r="4761" customFormat="false" ht="15" hidden="false" customHeight="false" outlineLevel="0" collapsed="false">
      <c r="B4761" s="19" t="s">
        <v>5914</v>
      </c>
      <c r="C4761" s="20" t="n">
        <f aca="false">ROUND(4.55/FX,2)</f>
        <v>0.63</v>
      </c>
      <c r="D4761" s="21" t="s">
        <v>707</v>
      </c>
      <c r="E4761" s="21" t="s">
        <v>5915</v>
      </c>
    </row>
    <row r="4762" customFormat="false" ht="15" hidden="false" customHeight="false" outlineLevel="0" collapsed="false">
      <c r="B4762" s="19" t="s">
        <v>5916</v>
      </c>
      <c r="C4762" s="20" t="n">
        <f aca="false">ROUND(0.94/FX,2)</f>
        <v>0.13</v>
      </c>
      <c r="D4762" s="21" t="s">
        <v>839</v>
      </c>
      <c r="E4762" s="21" t="s">
        <v>5915</v>
      </c>
    </row>
    <row r="4763" customFormat="false" ht="15" hidden="false" customHeight="false" outlineLevel="0" collapsed="false">
      <c r="B4763" s="19" t="s">
        <v>5917</v>
      </c>
      <c r="C4763" s="20" t="n">
        <f aca="false">ROUND(0.94/FX,2)</f>
        <v>0.13</v>
      </c>
      <c r="D4763" s="21" t="s">
        <v>841</v>
      </c>
      <c r="E4763" s="21" t="s">
        <v>5915</v>
      </c>
    </row>
    <row r="4764" customFormat="false" ht="15" hidden="false" customHeight="false" outlineLevel="0" collapsed="false">
      <c r="B4764" s="19" t="s">
        <v>5918</v>
      </c>
      <c r="C4764" s="20" t="n">
        <f aca="false">ROUND(0.94/FX,2)</f>
        <v>0.13</v>
      </c>
      <c r="D4764" s="21" t="s">
        <v>789</v>
      </c>
      <c r="E4764" s="21" t="s">
        <v>5915</v>
      </c>
    </row>
    <row r="4765" customFormat="false" ht="15" hidden="false" customHeight="false" outlineLevel="0" collapsed="false">
      <c r="B4765" s="19" t="s">
        <v>5919</v>
      </c>
      <c r="C4765" s="20" t="n">
        <f aca="false">ROUND(0.94/FX,2)</f>
        <v>0.13</v>
      </c>
      <c r="D4765" s="21" t="s">
        <v>716</v>
      </c>
      <c r="E4765" s="21" t="s">
        <v>5915</v>
      </c>
    </row>
    <row r="4766" customFormat="false" ht="15" hidden="false" customHeight="false" outlineLevel="0" collapsed="false">
      <c r="B4766" s="19" t="s">
        <v>5920</v>
      </c>
      <c r="C4766" s="20" t="n">
        <f aca="false">ROUND(0.94/FX,2)</f>
        <v>0.13</v>
      </c>
      <c r="D4766" s="21" t="s">
        <v>845</v>
      </c>
      <c r="E4766" s="21" t="s">
        <v>5915</v>
      </c>
    </row>
    <row r="4767" customFormat="false" ht="15" hidden="false" customHeight="false" outlineLevel="0" collapsed="false">
      <c r="B4767" s="19" t="s">
        <v>5921</v>
      </c>
      <c r="C4767" s="20" t="n">
        <f aca="false">ROUND(0.94/FX,2)</f>
        <v>0.13</v>
      </c>
      <c r="D4767" s="21" t="s">
        <v>719</v>
      </c>
      <c r="E4767" s="21" t="s">
        <v>5915</v>
      </c>
    </row>
    <row r="4768" customFormat="false" ht="15" hidden="false" customHeight="false" outlineLevel="0" collapsed="false">
      <c r="B4768" s="19" t="s">
        <v>5922</v>
      </c>
      <c r="C4768" s="20" t="n">
        <f aca="false">ROUND(3.33/FX,2)</f>
        <v>0.46</v>
      </c>
      <c r="D4768" s="21" t="s">
        <v>707</v>
      </c>
      <c r="E4768" s="21" t="s">
        <v>5923</v>
      </c>
    </row>
    <row r="4769" customFormat="false" ht="15" hidden="false" customHeight="false" outlineLevel="0" collapsed="false">
      <c r="B4769" s="19" t="s">
        <v>5924</v>
      </c>
      <c r="C4769" s="20" t="n">
        <f aca="false">ROUND(0.94/FX,2)</f>
        <v>0.13</v>
      </c>
      <c r="D4769" s="21" t="s">
        <v>839</v>
      </c>
      <c r="E4769" s="21" t="s">
        <v>5923</v>
      </c>
    </row>
    <row r="4770" customFormat="false" ht="15" hidden="false" customHeight="false" outlineLevel="0" collapsed="false">
      <c r="B4770" s="19" t="s">
        <v>5925</v>
      </c>
      <c r="C4770" s="20" t="n">
        <f aca="false">ROUND(0.94/FX,2)</f>
        <v>0.13</v>
      </c>
      <c r="D4770" s="21" t="s">
        <v>841</v>
      </c>
      <c r="E4770" s="21" t="s">
        <v>5923</v>
      </c>
    </row>
    <row r="4771" customFormat="false" ht="15" hidden="false" customHeight="false" outlineLevel="0" collapsed="false">
      <c r="B4771" s="19" t="s">
        <v>5926</v>
      </c>
      <c r="C4771" s="20" t="n">
        <f aca="false">ROUND(0.94/FX,2)</f>
        <v>0.13</v>
      </c>
      <c r="D4771" s="21" t="s">
        <v>789</v>
      </c>
      <c r="E4771" s="21" t="s">
        <v>5923</v>
      </c>
    </row>
    <row r="4772" customFormat="false" ht="15" hidden="false" customHeight="false" outlineLevel="0" collapsed="false">
      <c r="B4772" s="19" t="s">
        <v>5927</v>
      </c>
      <c r="C4772" s="20" t="n">
        <f aca="false">ROUND(0.94/FX,2)</f>
        <v>0.13</v>
      </c>
      <c r="D4772" s="21" t="s">
        <v>716</v>
      </c>
      <c r="E4772" s="21" t="s">
        <v>5923</v>
      </c>
    </row>
    <row r="4773" customFormat="false" ht="15" hidden="false" customHeight="false" outlineLevel="0" collapsed="false">
      <c r="B4773" s="19" t="s">
        <v>5928</v>
      </c>
      <c r="C4773" s="20" t="n">
        <f aca="false">ROUND(0.94/FX,2)</f>
        <v>0.13</v>
      </c>
      <c r="D4773" s="21" t="s">
        <v>845</v>
      </c>
      <c r="E4773" s="21" t="s">
        <v>5923</v>
      </c>
    </row>
    <row r="4774" customFormat="false" ht="15" hidden="false" customHeight="false" outlineLevel="0" collapsed="false">
      <c r="B4774" s="19" t="s">
        <v>5929</v>
      </c>
      <c r="C4774" s="20" t="n">
        <f aca="false">ROUND(3.64/FX,2)</f>
        <v>0.51</v>
      </c>
      <c r="D4774" s="21" t="s">
        <v>719</v>
      </c>
      <c r="E4774" s="21" t="s">
        <v>5923</v>
      </c>
    </row>
    <row r="4775" customFormat="false" ht="15" hidden="false" customHeight="false" outlineLevel="0" collapsed="false">
      <c r="B4775" s="19" t="s">
        <v>5930</v>
      </c>
      <c r="C4775" s="20" t="n">
        <f aca="false">ROUND(0.94/FX,2)</f>
        <v>0.13</v>
      </c>
      <c r="D4775" s="21" t="s">
        <v>707</v>
      </c>
      <c r="E4775" s="21" t="s">
        <v>5931</v>
      </c>
    </row>
    <row r="4776" customFormat="false" ht="15" hidden="false" customHeight="false" outlineLevel="0" collapsed="false">
      <c r="B4776" s="19" t="s">
        <v>5932</v>
      </c>
      <c r="C4776" s="20" t="n">
        <f aca="false">ROUND(0.94/FX,2)</f>
        <v>0.13</v>
      </c>
      <c r="D4776" s="21" t="s">
        <v>839</v>
      </c>
      <c r="E4776" s="21" t="s">
        <v>5931</v>
      </c>
    </row>
    <row r="4777" customFormat="false" ht="15" hidden="false" customHeight="false" outlineLevel="0" collapsed="false">
      <c r="B4777" s="19" t="s">
        <v>5933</v>
      </c>
      <c r="C4777" s="20" t="n">
        <f aca="false">ROUND(0.94/FX,2)</f>
        <v>0.13</v>
      </c>
      <c r="D4777" s="21" t="s">
        <v>841</v>
      </c>
      <c r="E4777" s="21" t="s">
        <v>5931</v>
      </c>
    </row>
    <row r="4778" customFormat="false" ht="15" hidden="false" customHeight="false" outlineLevel="0" collapsed="false">
      <c r="B4778" s="19" t="s">
        <v>5934</v>
      </c>
      <c r="C4778" s="20" t="n">
        <f aca="false">ROUND(0.94/FX,2)</f>
        <v>0.13</v>
      </c>
      <c r="D4778" s="21" t="s">
        <v>789</v>
      </c>
      <c r="E4778" s="21" t="s">
        <v>5931</v>
      </c>
    </row>
    <row r="4779" customFormat="false" ht="15" hidden="false" customHeight="false" outlineLevel="0" collapsed="false">
      <c r="B4779" s="19" t="s">
        <v>5935</v>
      </c>
      <c r="C4779" s="20" t="n">
        <f aca="false">ROUND(2.6/FX,2)</f>
        <v>0.36</v>
      </c>
      <c r="D4779" s="21" t="s">
        <v>716</v>
      </c>
      <c r="E4779" s="21" t="s">
        <v>5931</v>
      </c>
    </row>
    <row r="4780" customFormat="false" ht="15" hidden="false" customHeight="false" outlineLevel="0" collapsed="false">
      <c r="B4780" s="19" t="s">
        <v>5936</v>
      </c>
      <c r="C4780" s="20" t="n">
        <f aca="false">ROUND(0.94/FX,2)</f>
        <v>0.13</v>
      </c>
      <c r="D4780" s="21" t="s">
        <v>845</v>
      </c>
      <c r="E4780" s="21" t="s">
        <v>5931</v>
      </c>
    </row>
    <row r="4781" customFormat="false" ht="15" hidden="false" customHeight="false" outlineLevel="0" collapsed="false">
      <c r="B4781" s="19" t="s">
        <v>5937</v>
      </c>
      <c r="C4781" s="20" t="n">
        <f aca="false">ROUND(0.94/FX,2)</f>
        <v>0.13</v>
      </c>
      <c r="D4781" s="21" t="s">
        <v>719</v>
      </c>
      <c r="E4781" s="21" t="s">
        <v>5931</v>
      </c>
    </row>
    <row r="4782" customFormat="false" ht="15" hidden="false" customHeight="false" outlineLevel="0" collapsed="false">
      <c r="B4782" s="19" t="s">
        <v>5938</v>
      </c>
      <c r="C4782" s="20" t="n">
        <f aca="false">ROUND(8.4/FX,2)</f>
        <v>1.17</v>
      </c>
      <c r="D4782" s="21" t="s">
        <v>707</v>
      </c>
      <c r="E4782" s="21" t="s">
        <v>5939</v>
      </c>
    </row>
    <row r="4783" customFormat="false" ht="15" hidden="false" customHeight="false" outlineLevel="0" collapsed="false">
      <c r="B4783" s="19" t="s">
        <v>5940</v>
      </c>
      <c r="C4783" s="20" t="n">
        <f aca="false">ROUND(0.94/FX,2)</f>
        <v>0.13</v>
      </c>
      <c r="D4783" s="21" t="s">
        <v>839</v>
      </c>
      <c r="E4783" s="21" t="s">
        <v>5939</v>
      </c>
    </row>
    <row r="4784" customFormat="false" ht="15" hidden="false" customHeight="false" outlineLevel="0" collapsed="false">
      <c r="B4784" s="19" t="s">
        <v>5941</v>
      </c>
      <c r="C4784" s="20" t="n">
        <f aca="false">ROUND(0.94/FX,2)</f>
        <v>0.13</v>
      </c>
      <c r="D4784" s="21" t="s">
        <v>841</v>
      </c>
      <c r="E4784" s="21" t="s">
        <v>5939</v>
      </c>
    </row>
    <row r="4785" customFormat="false" ht="15" hidden="false" customHeight="false" outlineLevel="0" collapsed="false">
      <c r="B4785" s="19" t="s">
        <v>5942</v>
      </c>
      <c r="C4785" s="20" t="n">
        <f aca="false">ROUND(0.94/FX,2)</f>
        <v>0.13</v>
      </c>
      <c r="D4785" s="21" t="s">
        <v>789</v>
      </c>
      <c r="E4785" s="21" t="s">
        <v>5939</v>
      </c>
    </row>
    <row r="4786" customFormat="false" ht="15" hidden="false" customHeight="false" outlineLevel="0" collapsed="false">
      <c r="B4786" s="19" t="s">
        <v>5943</v>
      </c>
      <c r="C4786" s="20" t="n">
        <f aca="false">ROUND(0.94/FX,2)</f>
        <v>0.13</v>
      </c>
      <c r="D4786" s="21" t="s">
        <v>716</v>
      </c>
      <c r="E4786" s="21" t="s">
        <v>5939</v>
      </c>
    </row>
    <row r="4787" customFormat="false" ht="15" hidden="false" customHeight="false" outlineLevel="0" collapsed="false">
      <c r="B4787" s="19" t="s">
        <v>5944</v>
      </c>
      <c r="C4787" s="20" t="n">
        <f aca="false">ROUND(0.94/FX,2)</f>
        <v>0.13</v>
      </c>
      <c r="D4787" s="21" t="s">
        <v>845</v>
      </c>
      <c r="E4787" s="21" t="s">
        <v>5939</v>
      </c>
    </row>
    <row r="4788" customFormat="false" ht="15" hidden="false" customHeight="false" outlineLevel="0" collapsed="false">
      <c r="B4788" s="19" t="s">
        <v>5945</v>
      </c>
      <c r="C4788" s="20" t="n">
        <f aca="false">ROUND(0.94/FX,2)</f>
        <v>0.13</v>
      </c>
      <c r="D4788" s="21" t="s">
        <v>719</v>
      </c>
      <c r="E4788" s="21" t="s">
        <v>5939</v>
      </c>
    </row>
    <row r="4789" customFormat="false" ht="15" hidden="false" customHeight="false" outlineLevel="0" collapsed="false">
      <c r="B4789" s="19" t="s">
        <v>5946</v>
      </c>
      <c r="C4789" s="20" t="n">
        <f aca="false">ROUND(0.94/FX,2)</f>
        <v>0.13</v>
      </c>
      <c r="D4789" s="21" t="s">
        <v>707</v>
      </c>
      <c r="E4789" s="21" t="s">
        <v>5947</v>
      </c>
    </row>
    <row r="4790" customFormat="false" ht="15" hidden="false" customHeight="false" outlineLevel="0" collapsed="false">
      <c r="B4790" s="19" t="s">
        <v>5948</v>
      </c>
      <c r="C4790" s="20" t="n">
        <f aca="false">ROUND(0.94/FX,2)</f>
        <v>0.13</v>
      </c>
      <c r="D4790" s="21" t="s">
        <v>839</v>
      </c>
      <c r="E4790" s="21" t="s">
        <v>5947</v>
      </c>
    </row>
    <row r="4791" customFormat="false" ht="15" hidden="false" customHeight="false" outlineLevel="0" collapsed="false">
      <c r="B4791" s="19" t="s">
        <v>5949</v>
      </c>
      <c r="C4791" s="20" t="n">
        <f aca="false">ROUND(0.94/FX,2)</f>
        <v>0.13</v>
      </c>
      <c r="D4791" s="21" t="s">
        <v>841</v>
      </c>
      <c r="E4791" s="21" t="s">
        <v>5947</v>
      </c>
    </row>
    <row r="4792" customFormat="false" ht="15" hidden="false" customHeight="false" outlineLevel="0" collapsed="false">
      <c r="B4792" s="19" t="s">
        <v>5950</v>
      </c>
      <c r="C4792" s="20" t="n">
        <f aca="false">ROUND(0.94/FX,2)</f>
        <v>0.13</v>
      </c>
      <c r="D4792" s="21" t="s">
        <v>789</v>
      </c>
      <c r="E4792" s="21" t="s">
        <v>5947</v>
      </c>
    </row>
    <row r="4793" customFormat="false" ht="15" hidden="false" customHeight="false" outlineLevel="0" collapsed="false">
      <c r="B4793" s="19" t="s">
        <v>5951</v>
      </c>
      <c r="C4793" s="20" t="n">
        <f aca="false">ROUND(4.29/FX,2)</f>
        <v>0.6</v>
      </c>
      <c r="D4793" s="21" t="s">
        <v>716</v>
      </c>
      <c r="E4793" s="21" t="s">
        <v>5947</v>
      </c>
    </row>
    <row r="4794" customFormat="false" ht="15" hidden="false" customHeight="false" outlineLevel="0" collapsed="false">
      <c r="B4794" s="19" t="s">
        <v>5952</v>
      </c>
      <c r="C4794" s="20" t="n">
        <f aca="false">ROUND(0.94/FX,2)</f>
        <v>0.13</v>
      </c>
      <c r="D4794" s="21" t="s">
        <v>845</v>
      </c>
      <c r="E4794" s="21" t="s">
        <v>5947</v>
      </c>
    </row>
    <row r="4795" customFormat="false" ht="15" hidden="false" customHeight="false" outlineLevel="0" collapsed="false">
      <c r="B4795" s="19" t="s">
        <v>5953</v>
      </c>
      <c r="C4795" s="20" t="n">
        <f aca="false">ROUND(0.94/FX,2)</f>
        <v>0.13</v>
      </c>
      <c r="D4795" s="21" t="s">
        <v>719</v>
      </c>
      <c r="E4795" s="21" t="s">
        <v>5947</v>
      </c>
    </row>
    <row r="4796" customFormat="false" ht="15" hidden="false" customHeight="false" outlineLevel="0" collapsed="false">
      <c r="B4796" s="19" t="s">
        <v>5954</v>
      </c>
      <c r="C4796" s="20" t="n">
        <f aca="false">ROUND(0.94/FX,2)</f>
        <v>0.13</v>
      </c>
      <c r="D4796" s="21" t="s">
        <v>707</v>
      </c>
      <c r="E4796" s="21" t="s">
        <v>5955</v>
      </c>
    </row>
    <row r="4797" customFormat="false" ht="15" hidden="false" customHeight="false" outlineLevel="0" collapsed="false">
      <c r="B4797" s="19" t="s">
        <v>5956</v>
      </c>
      <c r="C4797" s="20" t="n">
        <f aca="false">ROUND(0.65/FX,2)</f>
        <v>0.09</v>
      </c>
      <c r="D4797" s="21" t="s">
        <v>839</v>
      </c>
      <c r="E4797" s="21" t="s">
        <v>5955</v>
      </c>
    </row>
    <row r="4798" customFormat="false" ht="15" hidden="false" customHeight="false" outlineLevel="0" collapsed="false">
      <c r="B4798" s="19" t="s">
        <v>5957</v>
      </c>
      <c r="C4798" s="20" t="n">
        <f aca="false">ROUND(0.94/FX,2)</f>
        <v>0.13</v>
      </c>
      <c r="D4798" s="21" t="s">
        <v>841</v>
      </c>
      <c r="E4798" s="21" t="s">
        <v>5955</v>
      </c>
    </row>
    <row r="4799" customFormat="false" ht="15" hidden="false" customHeight="false" outlineLevel="0" collapsed="false">
      <c r="B4799" s="19" t="s">
        <v>5958</v>
      </c>
      <c r="C4799" s="20" t="n">
        <f aca="false">ROUND(0.94/FX,2)</f>
        <v>0.13</v>
      </c>
      <c r="D4799" s="21" t="s">
        <v>789</v>
      </c>
      <c r="E4799" s="21" t="s">
        <v>5955</v>
      </c>
    </row>
    <row r="4800" customFormat="false" ht="15" hidden="false" customHeight="false" outlineLevel="0" collapsed="false">
      <c r="B4800" s="19" t="s">
        <v>5959</v>
      </c>
      <c r="C4800" s="20" t="n">
        <f aca="false">ROUND(1.04/FX,2)</f>
        <v>0.14</v>
      </c>
      <c r="D4800" s="21" t="s">
        <v>716</v>
      </c>
      <c r="E4800" s="21" t="s">
        <v>5955</v>
      </c>
    </row>
    <row r="4801" customFormat="false" ht="15" hidden="false" customHeight="false" outlineLevel="0" collapsed="false">
      <c r="B4801" s="19" t="s">
        <v>5960</v>
      </c>
      <c r="C4801" s="20" t="n">
        <f aca="false">ROUND(0.94/FX,2)</f>
        <v>0.13</v>
      </c>
      <c r="D4801" s="21" t="s">
        <v>845</v>
      </c>
      <c r="E4801" s="21" t="s">
        <v>5955</v>
      </c>
    </row>
    <row r="4802" customFormat="false" ht="15" hidden="false" customHeight="false" outlineLevel="0" collapsed="false">
      <c r="B4802" s="19" t="s">
        <v>5961</v>
      </c>
      <c r="C4802" s="20" t="n">
        <f aca="false">ROUND(0.94/FX,2)</f>
        <v>0.13</v>
      </c>
      <c r="D4802" s="21" t="s">
        <v>719</v>
      </c>
      <c r="E4802" s="21" t="s">
        <v>5955</v>
      </c>
    </row>
    <row r="4803" customFormat="false" ht="15" hidden="false" customHeight="false" outlineLevel="0" collapsed="false">
      <c r="B4803" s="19" t="s">
        <v>5962</v>
      </c>
      <c r="C4803" s="20" t="n">
        <f aca="false">ROUND(9.6/FX,2)</f>
        <v>1.33</v>
      </c>
      <c r="D4803" s="21" t="s">
        <v>707</v>
      </c>
      <c r="E4803" s="21" t="s">
        <v>5963</v>
      </c>
    </row>
    <row r="4804" customFormat="false" ht="15" hidden="false" customHeight="false" outlineLevel="0" collapsed="false">
      <c r="B4804" s="19" t="s">
        <v>5964</v>
      </c>
      <c r="C4804" s="20" t="n">
        <f aca="false">ROUND(0.94/FX,2)</f>
        <v>0.13</v>
      </c>
      <c r="D4804" s="21" t="s">
        <v>839</v>
      </c>
      <c r="E4804" s="21" t="s">
        <v>5963</v>
      </c>
    </row>
    <row r="4805" customFormat="false" ht="15" hidden="false" customHeight="false" outlineLevel="0" collapsed="false">
      <c r="B4805" s="19" t="s">
        <v>5965</v>
      </c>
      <c r="C4805" s="20" t="n">
        <f aca="false">ROUND(0.94/FX,2)</f>
        <v>0.13</v>
      </c>
      <c r="D4805" s="21" t="s">
        <v>841</v>
      </c>
      <c r="E4805" s="21" t="s">
        <v>5963</v>
      </c>
    </row>
    <row r="4806" customFormat="false" ht="15" hidden="false" customHeight="false" outlineLevel="0" collapsed="false">
      <c r="B4806" s="19" t="s">
        <v>5966</v>
      </c>
      <c r="C4806" s="20" t="n">
        <f aca="false">ROUND(0.94/FX,2)</f>
        <v>0.13</v>
      </c>
      <c r="D4806" s="21" t="s">
        <v>789</v>
      </c>
      <c r="E4806" s="21" t="s">
        <v>5963</v>
      </c>
    </row>
    <row r="4807" customFormat="false" ht="15" hidden="false" customHeight="false" outlineLevel="0" collapsed="false">
      <c r="B4807" s="19" t="s">
        <v>5967</v>
      </c>
      <c r="C4807" s="20" t="n">
        <f aca="false">ROUND(0.94/FX,2)</f>
        <v>0.13</v>
      </c>
      <c r="D4807" s="21" t="s">
        <v>716</v>
      </c>
      <c r="E4807" s="21" t="s">
        <v>5963</v>
      </c>
    </row>
    <row r="4808" customFormat="false" ht="15" hidden="false" customHeight="false" outlineLevel="0" collapsed="false">
      <c r="B4808" s="19" t="s">
        <v>5968</v>
      </c>
      <c r="C4808" s="20" t="n">
        <f aca="false">ROUND(0.94/FX,2)</f>
        <v>0.13</v>
      </c>
      <c r="D4808" s="21" t="s">
        <v>845</v>
      </c>
      <c r="E4808" s="21" t="s">
        <v>5963</v>
      </c>
    </row>
    <row r="4809" customFormat="false" ht="15" hidden="false" customHeight="false" outlineLevel="0" collapsed="false">
      <c r="B4809" s="19" t="s">
        <v>5969</v>
      </c>
      <c r="C4809" s="20" t="n">
        <f aca="false">ROUND(0.94/FX,2)</f>
        <v>0.13</v>
      </c>
      <c r="D4809" s="21" t="s">
        <v>719</v>
      </c>
      <c r="E4809" s="21" t="s">
        <v>5963</v>
      </c>
    </row>
    <row r="4810" customFormat="false" ht="15" hidden="false" customHeight="false" outlineLevel="0" collapsed="false">
      <c r="B4810" s="19" t="s">
        <v>5970</v>
      </c>
      <c r="C4810" s="20" t="n">
        <f aca="false">ROUND(0.94/FX,2)</f>
        <v>0.13</v>
      </c>
      <c r="D4810" s="21" t="s">
        <v>707</v>
      </c>
      <c r="E4810" s="21" t="s">
        <v>5971</v>
      </c>
    </row>
    <row r="4811" customFormat="false" ht="15" hidden="false" customHeight="false" outlineLevel="0" collapsed="false">
      <c r="B4811" s="19" t="s">
        <v>5972</v>
      </c>
      <c r="C4811" s="20" t="n">
        <f aca="false">ROUND(0.65/FX,2)</f>
        <v>0.09</v>
      </c>
      <c r="D4811" s="21" t="s">
        <v>839</v>
      </c>
      <c r="E4811" s="21" t="s">
        <v>5971</v>
      </c>
    </row>
    <row r="4812" customFormat="false" ht="15" hidden="false" customHeight="false" outlineLevel="0" collapsed="false">
      <c r="B4812" s="19" t="s">
        <v>5973</v>
      </c>
      <c r="C4812" s="20" t="n">
        <f aca="false">ROUND(0.94/FX,2)</f>
        <v>0.13</v>
      </c>
      <c r="D4812" s="21" t="s">
        <v>841</v>
      </c>
      <c r="E4812" s="21" t="s">
        <v>5971</v>
      </c>
    </row>
    <row r="4813" customFormat="false" ht="15" hidden="false" customHeight="false" outlineLevel="0" collapsed="false">
      <c r="B4813" s="19" t="s">
        <v>5974</v>
      </c>
      <c r="C4813" s="20" t="n">
        <f aca="false">ROUND(0.94/FX,2)</f>
        <v>0.13</v>
      </c>
      <c r="D4813" s="21" t="s">
        <v>789</v>
      </c>
      <c r="E4813" s="21" t="s">
        <v>5971</v>
      </c>
    </row>
    <row r="4814" customFormat="false" ht="15" hidden="false" customHeight="false" outlineLevel="0" collapsed="false">
      <c r="B4814" s="19" t="s">
        <v>5975</v>
      </c>
      <c r="C4814" s="20" t="n">
        <f aca="false">ROUND(1.04/FX,2)</f>
        <v>0.14</v>
      </c>
      <c r="D4814" s="21" t="s">
        <v>716</v>
      </c>
      <c r="E4814" s="21" t="s">
        <v>5971</v>
      </c>
    </row>
    <row r="4815" customFormat="false" ht="15" hidden="false" customHeight="false" outlineLevel="0" collapsed="false">
      <c r="B4815" s="19" t="s">
        <v>5976</v>
      </c>
      <c r="C4815" s="20" t="n">
        <f aca="false">ROUND(0.94/FX,2)</f>
        <v>0.13</v>
      </c>
      <c r="D4815" s="21" t="s">
        <v>845</v>
      </c>
      <c r="E4815" s="21" t="s">
        <v>5971</v>
      </c>
    </row>
    <row r="4816" customFormat="false" ht="15" hidden="false" customHeight="false" outlineLevel="0" collapsed="false">
      <c r="B4816" s="19" t="s">
        <v>5977</v>
      </c>
      <c r="C4816" s="20" t="n">
        <f aca="false">ROUND(0.94/FX,2)</f>
        <v>0.13</v>
      </c>
      <c r="D4816" s="21" t="s">
        <v>719</v>
      </c>
      <c r="E4816" s="21" t="s">
        <v>5971</v>
      </c>
    </row>
    <row r="4817" customFormat="false" ht="15" hidden="false" customHeight="false" outlineLevel="0" collapsed="false">
      <c r="B4817" s="19" t="s">
        <v>5978</v>
      </c>
      <c r="C4817" s="20" t="n">
        <f aca="false">ROUND(0.94/FX,2)</f>
        <v>0.13</v>
      </c>
      <c r="D4817" s="21" t="s">
        <v>707</v>
      </c>
      <c r="E4817" s="21" t="s">
        <v>5979</v>
      </c>
    </row>
    <row r="4818" customFormat="false" ht="15" hidden="false" customHeight="false" outlineLevel="0" collapsed="false">
      <c r="B4818" s="19" t="s">
        <v>5980</v>
      </c>
      <c r="C4818" s="20" t="n">
        <f aca="false">ROUND(0.94/FX,2)</f>
        <v>0.13</v>
      </c>
      <c r="D4818" s="21" t="s">
        <v>839</v>
      </c>
      <c r="E4818" s="21" t="s">
        <v>5979</v>
      </c>
    </row>
    <row r="4819" customFormat="false" ht="15" hidden="false" customHeight="false" outlineLevel="0" collapsed="false">
      <c r="B4819" s="19" t="s">
        <v>5981</v>
      </c>
      <c r="C4819" s="20" t="n">
        <f aca="false">ROUND(0.94/FX,2)</f>
        <v>0.13</v>
      </c>
      <c r="D4819" s="21" t="s">
        <v>841</v>
      </c>
      <c r="E4819" s="21" t="s">
        <v>5979</v>
      </c>
    </row>
    <row r="4820" customFormat="false" ht="15" hidden="false" customHeight="false" outlineLevel="0" collapsed="false">
      <c r="B4820" s="19" t="s">
        <v>5982</v>
      </c>
      <c r="C4820" s="20" t="n">
        <f aca="false">ROUND(0.94/FX,2)</f>
        <v>0.13</v>
      </c>
      <c r="D4820" s="21" t="s">
        <v>789</v>
      </c>
      <c r="E4820" s="21" t="s">
        <v>5979</v>
      </c>
    </row>
    <row r="4821" customFormat="false" ht="15" hidden="false" customHeight="false" outlineLevel="0" collapsed="false">
      <c r="B4821" s="19" t="s">
        <v>5983</v>
      </c>
      <c r="C4821" s="20" t="n">
        <f aca="false">ROUND(1.17/FX,2)</f>
        <v>0.16</v>
      </c>
      <c r="D4821" s="21" t="s">
        <v>716</v>
      </c>
      <c r="E4821" s="21" t="s">
        <v>5979</v>
      </c>
    </row>
    <row r="4822" customFormat="false" ht="15" hidden="false" customHeight="false" outlineLevel="0" collapsed="false">
      <c r="B4822" s="19" t="s">
        <v>5984</v>
      </c>
      <c r="C4822" s="20" t="n">
        <f aca="false">ROUND(0.94/FX,2)</f>
        <v>0.13</v>
      </c>
      <c r="D4822" s="21" t="s">
        <v>845</v>
      </c>
      <c r="E4822" s="21" t="s">
        <v>5979</v>
      </c>
    </row>
    <row r="4823" customFormat="false" ht="15" hidden="false" customHeight="false" outlineLevel="0" collapsed="false">
      <c r="B4823" s="19" t="s">
        <v>5985</v>
      </c>
      <c r="C4823" s="20" t="n">
        <f aca="false">ROUND(0.94/FX,2)</f>
        <v>0.13</v>
      </c>
      <c r="D4823" s="21" t="s">
        <v>719</v>
      </c>
      <c r="E4823" s="21" t="s">
        <v>5979</v>
      </c>
    </row>
    <row r="4824" customFormat="false" ht="15" hidden="false" customHeight="false" outlineLevel="0" collapsed="false">
      <c r="B4824" s="19" t="s">
        <v>5986</v>
      </c>
      <c r="C4824" s="20" t="n">
        <f aca="false">ROUND(12/FX,2)</f>
        <v>1.67</v>
      </c>
      <c r="D4824" s="21" t="s">
        <v>707</v>
      </c>
      <c r="E4824" s="21" t="s">
        <v>5987</v>
      </c>
    </row>
    <row r="4825" customFormat="false" ht="15" hidden="false" customHeight="false" outlineLevel="0" collapsed="false">
      <c r="B4825" s="19" t="s">
        <v>5988</v>
      </c>
      <c r="C4825" s="20" t="n">
        <f aca="false">ROUND(0.94/FX,2)</f>
        <v>0.13</v>
      </c>
      <c r="D4825" s="21" t="s">
        <v>839</v>
      </c>
      <c r="E4825" s="21" t="s">
        <v>5987</v>
      </c>
    </row>
    <row r="4826" customFormat="false" ht="15" hidden="false" customHeight="false" outlineLevel="0" collapsed="false">
      <c r="B4826" s="19" t="s">
        <v>5989</v>
      </c>
      <c r="C4826" s="20" t="n">
        <f aca="false">ROUND(0.94/FX,2)</f>
        <v>0.13</v>
      </c>
      <c r="D4826" s="21" t="s">
        <v>841</v>
      </c>
      <c r="E4826" s="21" t="s">
        <v>5987</v>
      </c>
    </row>
    <row r="4827" customFormat="false" ht="15" hidden="false" customHeight="false" outlineLevel="0" collapsed="false">
      <c r="B4827" s="19" t="s">
        <v>5990</v>
      </c>
      <c r="C4827" s="20" t="n">
        <f aca="false">ROUND(0.94/FX,2)</f>
        <v>0.13</v>
      </c>
      <c r="D4827" s="21" t="s">
        <v>789</v>
      </c>
      <c r="E4827" s="21" t="s">
        <v>5987</v>
      </c>
    </row>
    <row r="4828" customFormat="false" ht="15" hidden="false" customHeight="false" outlineLevel="0" collapsed="false">
      <c r="B4828" s="19" t="s">
        <v>5991</v>
      </c>
      <c r="C4828" s="20" t="n">
        <f aca="false">ROUND(0.94/FX,2)</f>
        <v>0.13</v>
      </c>
      <c r="D4828" s="21" t="s">
        <v>716</v>
      </c>
      <c r="E4828" s="21" t="s">
        <v>5987</v>
      </c>
    </row>
    <row r="4829" customFormat="false" ht="15" hidden="false" customHeight="false" outlineLevel="0" collapsed="false">
      <c r="B4829" s="19" t="s">
        <v>5992</v>
      </c>
      <c r="C4829" s="20" t="n">
        <f aca="false">ROUND(0.94/FX,2)</f>
        <v>0.13</v>
      </c>
      <c r="D4829" s="21" t="s">
        <v>845</v>
      </c>
      <c r="E4829" s="21" t="s">
        <v>5987</v>
      </c>
    </row>
    <row r="4830" customFormat="false" ht="15" hidden="false" customHeight="false" outlineLevel="0" collapsed="false">
      <c r="B4830" s="19" t="s">
        <v>5993</v>
      </c>
      <c r="C4830" s="20" t="n">
        <f aca="false">ROUND(0.94/FX,2)</f>
        <v>0.13</v>
      </c>
      <c r="D4830" s="21" t="s">
        <v>719</v>
      </c>
      <c r="E4830" s="21" t="s">
        <v>5987</v>
      </c>
    </row>
    <row r="4831" customFormat="false" ht="15" hidden="false" customHeight="false" outlineLevel="0" collapsed="false">
      <c r="B4831" s="19" t="s">
        <v>5994</v>
      </c>
      <c r="C4831" s="20" t="n">
        <f aca="false">ROUND(12.6/FX,2)</f>
        <v>1.75</v>
      </c>
      <c r="D4831" s="21" t="s">
        <v>707</v>
      </c>
      <c r="E4831" s="21" t="s">
        <v>5995</v>
      </c>
    </row>
    <row r="4832" customFormat="false" ht="15" hidden="false" customHeight="false" outlineLevel="0" collapsed="false">
      <c r="B4832" s="19" t="s">
        <v>5996</v>
      </c>
      <c r="C4832" s="20" t="n">
        <f aca="false">ROUND(0.94/FX,2)</f>
        <v>0.13</v>
      </c>
      <c r="D4832" s="21" t="s">
        <v>839</v>
      </c>
      <c r="E4832" s="21" t="s">
        <v>5995</v>
      </c>
    </row>
    <row r="4833" customFormat="false" ht="15" hidden="false" customHeight="false" outlineLevel="0" collapsed="false">
      <c r="B4833" s="19" t="s">
        <v>5997</v>
      </c>
      <c r="C4833" s="20" t="n">
        <f aca="false">ROUND(0.94/FX,2)</f>
        <v>0.13</v>
      </c>
      <c r="D4833" s="21" t="s">
        <v>841</v>
      </c>
      <c r="E4833" s="21" t="s">
        <v>5995</v>
      </c>
    </row>
    <row r="4834" customFormat="false" ht="15" hidden="false" customHeight="false" outlineLevel="0" collapsed="false">
      <c r="B4834" s="19" t="s">
        <v>5998</v>
      </c>
      <c r="C4834" s="20" t="n">
        <f aca="false">ROUND(0.94/FX,2)</f>
        <v>0.13</v>
      </c>
      <c r="D4834" s="21" t="s">
        <v>789</v>
      </c>
      <c r="E4834" s="21" t="s">
        <v>5995</v>
      </c>
    </row>
    <row r="4835" customFormat="false" ht="15" hidden="false" customHeight="false" outlineLevel="0" collapsed="false">
      <c r="B4835" s="19" t="s">
        <v>5999</v>
      </c>
      <c r="C4835" s="20" t="n">
        <f aca="false">ROUND(0.94/FX,2)</f>
        <v>0.13</v>
      </c>
      <c r="D4835" s="21" t="s">
        <v>716</v>
      </c>
      <c r="E4835" s="21" t="s">
        <v>5995</v>
      </c>
    </row>
    <row r="4836" customFormat="false" ht="15" hidden="false" customHeight="false" outlineLevel="0" collapsed="false">
      <c r="B4836" s="19" t="s">
        <v>6000</v>
      </c>
      <c r="C4836" s="20" t="n">
        <f aca="false">ROUND(0.94/FX,2)</f>
        <v>0.13</v>
      </c>
      <c r="D4836" s="21" t="s">
        <v>845</v>
      </c>
      <c r="E4836" s="21" t="s">
        <v>5995</v>
      </c>
    </row>
    <row r="4837" customFormat="false" ht="15" hidden="false" customHeight="false" outlineLevel="0" collapsed="false">
      <c r="B4837" s="19" t="s">
        <v>6001</v>
      </c>
      <c r="C4837" s="20" t="n">
        <f aca="false">ROUND(0.94/FX,2)</f>
        <v>0.13</v>
      </c>
      <c r="D4837" s="21" t="s">
        <v>719</v>
      </c>
      <c r="E4837" s="21" t="s">
        <v>5995</v>
      </c>
    </row>
    <row r="4838" customFormat="false" ht="15" hidden="false" customHeight="false" outlineLevel="0" collapsed="false">
      <c r="B4838" s="19" t="s">
        <v>6002</v>
      </c>
      <c r="C4838" s="20" t="n">
        <f aca="false">ROUND(0.94/FX,2)</f>
        <v>0.13</v>
      </c>
      <c r="D4838" s="21" t="s">
        <v>707</v>
      </c>
      <c r="E4838" s="21" t="s">
        <v>6003</v>
      </c>
    </row>
    <row r="4839" customFormat="false" ht="15" hidden="false" customHeight="false" outlineLevel="0" collapsed="false">
      <c r="B4839" s="19" t="s">
        <v>6004</v>
      </c>
      <c r="C4839" s="20" t="n">
        <f aca="false">ROUND(0.94/FX,2)</f>
        <v>0.13</v>
      </c>
      <c r="D4839" s="21" t="s">
        <v>839</v>
      </c>
      <c r="E4839" s="21" t="s">
        <v>6003</v>
      </c>
    </row>
    <row r="4840" customFormat="false" ht="15" hidden="false" customHeight="false" outlineLevel="0" collapsed="false">
      <c r="B4840" s="19" t="s">
        <v>6005</v>
      </c>
      <c r="C4840" s="20" t="n">
        <f aca="false">ROUND(0.94/FX,2)</f>
        <v>0.13</v>
      </c>
      <c r="D4840" s="21" t="s">
        <v>841</v>
      </c>
      <c r="E4840" s="21" t="s">
        <v>6003</v>
      </c>
    </row>
    <row r="4841" customFormat="false" ht="15" hidden="false" customHeight="false" outlineLevel="0" collapsed="false">
      <c r="B4841" s="19" t="s">
        <v>6006</v>
      </c>
      <c r="C4841" s="20" t="n">
        <f aca="false">ROUND(0.94/FX,2)</f>
        <v>0.13</v>
      </c>
      <c r="D4841" s="21" t="s">
        <v>789</v>
      </c>
      <c r="E4841" s="21" t="s">
        <v>6003</v>
      </c>
    </row>
    <row r="4842" customFormat="false" ht="15" hidden="false" customHeight="false" outlineLevel="0" collapsed="false">
      <c r="B4842" s="19" t="s">
        <v>6007</v>
      </c>
      <c r="C4842" s="20" t="n">
        <f aca="false">ROUND(1.82/FX,2)</f>
        <v>0.25</v>
      </c>
      <c r="D4842" s="21" t="s">
        <v>716</v>
      </c>
      <c r="E4842" s="21" t="s">
        <v>6003</v>
      </c>
    </row>
    <row r="4843" customFormat="false" ht="15" hidden="false" customHeight="false" outlineLevel="0" collapsed="false">
      <c r="B4843" s="19" t="s">
        <v>6008</v>
      </c>
      <c r="C4843" s="20" t="n">
        <f aca="false">ROUND(0.94/FX,2)</f>
        <v>0.13</v>
      </c>
      <c r="D4843" s="21" t="s">
        <v>845</v>
      </c>
      <c r="E4843" s="21" t="s">
        <v>6003</v>
      </c>
    </row>
    <row r="4844" customFormat="false" ht="15" hidden="false" customHeight="false" outlineLevel="0" collapsed="false">
      <c r="B4844" s="19" t="s">
        <v>6009</v>
      </c>
      <c r="C4844" s="20" t="n">
        <f aca="false">ROUND(0.94/FX,2)</f>
        <v>0.13</v>
      </c>
      <c r="D4844" s="21" t="s">
        <v>719</v>
      </c>
      <c r="E4844" s="21" t="s">
        <v>6003</v>
      </c>
    </row>
    <row r="4845" customFormat="false" ht="15" hidden="false" customHeight="false" outlineLevel="0" collapsed="false">
      <c r="B4845" s="19" t="s">
        <v>6010</v>
      </c>
      <c r="C4845" s="20" t="n">
        <f aca="false">ROUND(0.94/FX,2)</f>
        <v>0.13</v>
      </c>
      <c r="D4845" s="21" t="s">
        <v>707</v>
      </c>
      <c r="E4845" s="21" t="s">
        <v>6011</v>
      </c>
    </row>
    <row r="4846" customFormat="false" ht="15" hidden="false" customHeight="false" outlineLevel="0" collapsed="false">
      <c r="B4846" s="19" t="s">
        <v>6012</v>
      </c>
      <c r="C4846" s="20" t="n">
        <f aca="false">ROUND(0.59/FX,2)</f>
        <v>0.08</v>
      </c>
      <c r="D4846" s="21" t="s">
        <v>839</v>
      </c>
      <c r="E4846" s="21" t="s">
        <v>6011</v>
      </c>
    </row>
    <row r="4847" customFormat="false" ht="15" hidden="false" customHeight="false" outlineLevel="0" collapsed="false">
      <c r="B4847" s="19" t="s">
        <v>6013</v>
      </c>
      <c r="C4847" s="20" t="n">
        <f aca="false">ROUND(0.65/FX,2)</f>
        <v>0.09</v>
      </c>
      <c r="D4847" s="21" t="s">
        <v>841</v>
      </c>
      <c r="E4847" s="21" t="s">
        <v>6011</v>
      </c>
    </row>
    <row r="4848" customFormat="false" ht="15" hidden="false" customHeight="false" outlineLevel="0" collapsed="false">
      <c r="B4848" s="19" t="s">
        <v>6014</v>
      </c>
      <c r="C4848" s="20" t="n">
        <f aca="false">ROUND(0.83/FX,2)</f>
        <v>0.12</v>
      </c>
      <c r="D4848" s="21" t="s">
        <v>789</v>
      </c>
      <c r="E4848" s="21" t="s">
        <v>6011</v>
      </c>
    </row>
    <row r="4849" customFormat="false" ht="15" hidden="false" customHeight="false" outlineLevel="0" collapsed="false">
      <c r="B4849" s="19" t="s">
        <v>6015</v>
      </c>
      <c r="C4849" s="20" t="n">
        <f aca="false">ROUND(0.98/FX,2)</f>
        <v>0.14</v>
      </c>
      <c r="D4849" s="21" t="s">
        <v>716</v>
      </c>
      <c r="E4849" s="21" t="s">
        <v>6011</v>
      </c>
    </row>
    <row r="4850" customFormat="false" ht="15" hidden="false" customHeight="false" outlineLevel="0" collapsed="false">
      <c r="B4850" s="19" t="s">
        <v>6016</v>
      </c>
      <c r="C4850" s="20" t="n">
        <f aca="false">ROUND(0.94/FX,2)</f>
        <v>0.13</v>
      </c>
      <c r="D4850" s="21" t="s">
        <v>845</v>
      </c>
      <c r="E4850" s="21" t="s">
        <v>6011</v>
      </c>
    </row>
    <row r="4851" customFormat="false" ht="15" hidden="false" customHeight="false" outlineLevel="0" collapsed="false">
      <c r="B4851" s="19" t="s">
        <v>6017</v>
      </c>
      <c r="C4851" s="20" t="n">
        <f aca="false">ROUND(0.94/FX,2)</f>
        <v>0.13</v>
      </c>
      <c r="D4851" s="21" t="s">
        <v>719</v>
      </c>
      <c r="E4851" s="21" t="s">
        <v>6011</v>
      </c>
    </row>
    <row r="4852" customFormat="false" ht="15" hidden="false" customHeight="false" outlineLevel="0" collapsed="false">
      <c r="B4852" s="19" t="s">
        <v>6018</v>
      </c>
      <c r="C4852" s="20" t="n">
        <f aca="false">ROUND(0.94/FX,2)</f>
        <v>0.13</v>
      </c>
      <c r="D4852" s="21" t="s">
        <v>707</v>
      </c>
      <c r="E4852" s="21" t="s">
        <v>6019</v>
      </c>
    </row>
    <row r="4853" customFormat="false" ht="15" hidden="false" customHeight="false" outlineLevel="0" collapsed="false">
      <c r="B4853" s="19" t="s">
        <v>6020</v>
      </c>
      <c r="C4853" s="20" t="n">
        <f aca="false">ROUND(0.94/FX,2)</f>
        <v>0.13</v>
      </c>
      <c r="D4853" s="21" t="s">
        <v>839</v>
      </c>
      <c r="E4853" s="21" t="s">
        <v>6019</v>
      </c>
    </row>
    <row r="4854" customFormat="false" ht="15" hidden="false" customHeight="false" outlineLevel="0" collapsed="false">
      <c r="B4854" s="19" t="s">
        <v>6021</v>
      </c>
      <c r="C4854" s="20" t="n">
        <f aca="false">ROUND(0.94/FX,2)</f>
        <v>0.13</v>
      </c>
      <c r="D4854" s="21" t="s">
        <v>841</v>
      </c>
      <c r="E4854" s="21" t="s">
        <v>6019</v>
      </c>
    </row>
    <row r="4855" customFormat="false" ht="15" hidden="false" customHeight="false" outlineLevel="0" collapsed="false">
      <c r="B4855" s="19" t="s">
        <v>6022</v>
      </c>
      <c r="C4855" s="20" t="n">
        <f aca="false">ROUND(0.94/FX,2)</f>
        <v>0.13</v>
      </c>
      <c r="D4855" s="21" t="s">
        <v>789</v>
      </c>
      <c r="E4855" s="21" t="s">
        <v>6019</v>
      </c>
    </row>
    <row r="4856" customFormat="false" ht="15" hidden="false" customHeight="false" outlineLevel="0" collapsed="false">
      <c r="B4856" s="19" t="s">
        <v>6023</v>
      </c>
      <c r="C4856" s="20" t="n">
        <f aca="false">ROUND(1.21/FX,2)</f>
        <v>0.17</v>
      </c>
      <c r="D4856" s="21" t="s">
        <v>716</v>
      </c>
      <c r="E4856" s="21" t="s">
        <v>6019</v>
      </c>
    </row>
    <row r="4857" customFormat="false" ht="15" hidden="false" customHeight="false" outlineLevel="0" collapsed="false">
      <c r="B4857" s="19" t="s">
        <v>6024</v>
      </c>
      <c r="C4857" s="20" t="n">
        <f aca="false">ROUND(0.94/FX,2)</f>
        <v>0.13</v>
      </c>
      <c r="D4857" s="21" t="s">
        <v>845</v>
      </c>
      <c r="E4857" s="21" t="s">
        <v>6019</v>
      </c>
    </row>
    <row r="4858" customFormat="false" ht="15" hidden="false" customHeight="false" outlineLevel="0" collapsed="false">
      <c r="B4858" s="19" t="s">
        <v>6025</v>
      </c>
      <c r="C4858" s="20" t="n">
        <f aca="false">ROUND(0.94/FX,2)</f>
        <v>0.13</v>
      </c>
      <c r="D4858" s="21" t="s">
        <v>719</v>
      </c>
      <c r="E4858" s="21" t="s">
        <v>6019</v>
      </c>
    </row>
    <row r="4859" customFormat="false" ht="15" hidden="false" customHeight="false" outlineLevel="0" collapsed="false">
      <c r="B4859" s="19" t="s">
        <v>6026</v>
      </c>
      <c r="C4859" s="20" t="n">
        <f aca="false">ROUND(0.94/FX,2)</f>
        <v>0.13</v>
      </c>
      <c r="D4859" s="21" t="s">
        <v>707</v>
      </c>
      <c r="E4859" s="21" t="s">
        <v>6027</v>
      </c>
    </row>
    <row r="4860" customFormat="false" ht="15" hidden="false" customHeight="false" outlineLevel="0" collapsed="false">
      <c r="B4860" s="19" t="s">
        <v>6028</v>
      </c>
      <c r="C4860" s="20" t="n">
        <f aca="false">ROUND(0.94/FX,2)</f>
        <v>0.13</v>
      </c>
      <c r="D4860" s="21" t="s">
        <v>839</v>
      </c>
      <c r="E4860" s="21" t="s">
        <v>6027</v>
      </c>
    </row>
    <row r="4861" customFormat="false" ht="15" hidden="false" customHeight="false" outlineLevel="0" collapsed="false">
      <c r="B4861" s="19" t="s">
        <v>6029</v>
      </c>
      <c r="C4861" s="20" t="n">
        <f aca="false">ROUND(0.94/FX,2)</f>
        <v>0.13</v>
      </c>
      <c r="D4861" s="21" t="s">
        <v>841</v>
      </c>
      <c r="E4861" s="21" t="s">
        <v>6027</v>
      </c>
    </row>
    <row r="4862" customFormat="false" ht="15" hidden="false" customHeight="false" outlineLevel="0" collapsed="false">
      <c r="B4862" s="19" t="s">
        <v>6030</v>
      </c>
      <c r="C4862" s="20" t="n">
        <f aca="false">ROUND(0.94/FX,2)</f>
        <v>0.13</v>
      </c>
      <c r="D4862" s="21" t="s">
        <v>789</v>
      </c>
      <c r="E4862" s="21" t="s">
        <v>6027</v>
      </c>
    </row>
    <row r="4863" customFormat="false" ht="15" hidden="false" customHeight="false" outlineLevel="0" collapsed="false">
      <c r="B4863" s="19" t="s">
        <v>6031</v>
      </c>
      <c r="C4863" s="20" t="n">
        <f aca="false">ROUND(1.04/FX,2)</f>
        <v>0.14</v>
      </c>
      <c r="D4863" s="21" t="s">
        <v>716</v>
      </c>
      <c r="E4863" s="21" t="s">
        <v>6027</v>
      </c>
    </row>
    <row r="4864" customFormat="false" ht="15" hidden="false" customHeight="false" outlineLevel="0" collapsed="false">
      <c r="B4864" s="19" t="s">
        <v>6032</v>
      </c>
      <c r="C4864" s="20" t="n">
        <f aca="false">ROUND(0.94/FX,2)</f>
        <v>0.13</v>
      </c>
      <c r="D4864" s="21" t="s">
        <v>845</v>
      </c>
      <c r="E4864" s="21" t="s">
        <v>6027</v>
      </c>
    </row>
    <row r="4865" customFormat="false" ht="15" hidden="false" customHeight="false" outlineLevel="0" collapsed="false">
      <c r="B4865" s="19" t="s">
        <v>6033</v>
      </c>
      <c r="C4865" s="20" t="n">
        <f aca="false">ROUND(0.94/FX,2)</f>
        <v>0.13</v>
      </c>
      <c r="D4865" s="21" t="s">
        <v>719</v>
      </c>
      <c r="E4865" s="21" t="s">
        <v>6027</v>
      </c>
    </row>
    <row r="4866" customFormat="false" ht="15" hidden="false" customHeight="false" outlineLevel="0" collapsed="false">
      <c r="B4866" s="19" t="s">
        <v>6034</v>
      </c>
      <c r="C4866" s="20" t="n">
        <f aca="false">ROUND(0.94/FX,2)</f>
        <v>0.13</v>
      </c>
      <c r="D4866" s="21" t="s">
        <v>707</v>
      </c>
      <c r="E4866" s="21" t="s">
        <v>6035</v>
      </c>
    </row>
    <row r="4867" customFormat="false" ht="15" hidden="false" customHeight="false" outlineLevel="0" collapsed="false">
      <c r="B4867" s="19" t="s">
        <v>6036</v>
      </c>
      <c r="C4867" s="20" t="n">
        <f aca="false">ROUND(0.94/FX,2)</f>
        <v>0.13</v>
      </c>
      <c r="D4867" s="21" t="s">
        <v>839</v>
      </c>
      <c r="E4867" s="21" t="s">
        <v>6035</v>
      </c>
    </row>
    <row r="4868" customFormat="false" ht="15" hidden="false" customHeight="false" outlineLevel="0" collapsed="false">
      <c r="B4868" s="19" t="s">
        <v>6037</v>
      </c>
      <c r="C4868" s="20" t="n">
        <f aca="false">ROUND(0.94/FX,2)</f>
        <v>0.13</v>
      </c>
      <c r="D4868" s="21" t="s">
        <v>841</v>
      </c>
      <c r="E4868" s="21" t="s">
        <v>6035</v>
      </c>
    </row>
    <row r="4869" customFormat="false" ht="15" hidden="false" customHeight="false" outlineLevel="0" collapsed="false">
      <c r="B4869" s="19" t="s">
        <v>6038</v>
      </c>
      <c r="C4869" s="20" t="n">
        <f aca="false">ROUND(0.94/FX,2)</f>
        <v>0.13</v>
      </c>
      <c r="D4869" s="21" t="s">
        <v>789</v>
      </c>
      <c r="E4869" s="21" t="s">
        <v>6035</v>
      </c>
    </row>
    <row r="4870" customFormat="false" ht="15" hidden="false" customHeight="false" outlineLevel="0" collapsed="false">
      <c r="B4870" s="19" t="s">
        <v>6039</v>
      </c>
      <c r="C4870" s="20" t="n">
        <f aca="false">ROUND(1.04/FX,2)</f>
        <v>0.14</v>
      </c>
      <c r="D4870" s="21" t="s">
        <v>716</v>
      </c>
      <c r="E4870" s="21" t="s">
        <v>6035</v>
      </c>
    </row>
    <row r="4871" customFormat="false" ht="15" hidden="false" customHeight="false" outlineLevel="0" collapsed="false">
      <c r="B4871" s="19" t="s">
        <v>6040</v>
      </c>
      <c r="C4871" s="20" t="n">
        <f aca="false">ROUND(0.94/FX,2)</f>
        <v>0.13</v>
      </c>
      <c r="D4871" s="21" t="s">
        <v>845</v>
      </c>
      <c r="E4871" s="21" t="s">
        <v>6035</v>
      </c>
    </row>
    <row r="4872" customFormat="false" ht="15" hidden="false" customHeight="false" outlineLevel="0" collapsed="false">
      <c r="B4872" s="19" t="s">
        <v>6041</v>
      </c>
      <c r="C4872" s="20" t="n">
        <f aca="false">ROUND(0.94/FX,2)</f>
        <v>0.13</v>
      </c>
      <c r="D4872" s="21" t="s">
        <v>719</v>
      </c>
      <c r="E4872" s="21" t="s">
        <v>6035</v>
      </c>
    </row>
    <row r="4873" customFormat="false" ht="15" hidden="false" customHeight="false" outlineLevel="0" collapsed="false">
      <c r="B4873" s="19" t="s">
        <v>6042</v>
      </c>
      <c r="C4873" s="20" t="n">
        <f aca="false">ROUND(0.94/FX,2)</f>
        <v>0.13</v>
      </c>
      <c r="D4873" s="21" t="s">
        <v>707</v>
      </c>
      <c r="E4873" s="21" t="s">
        <v>6043</v>
      </c>
    </row>
    <row r="4874" customFormat="false" ht="15" hidden="false" customHeight="false" outlineLevel="0" collapsed="false">
      <c r="B4874" s="19" t="s">
        <v>6044</v>
      </c>
      <c r="C4874" s="20" t="n">
        <f aca="false">ROUND(0.7/FX,2)</f>
        <v>0.1</v>
      </c>
      <c r="D4874" s="21" t="s">
        <v>839</v>
      </c>
      <c r="E4874" s="21" t="s">
        <v>6043</v>
      </c>
    </row>
    <row r="4875" customFormat="false" ht="15" hidden="false" customHeight="false" outlineLevel="0" collapsed="false">
      <c r="B4875" s="19" t="s">
        <v>6045</v>
      </c>
      <c r="C4875" s="20" t="n">
        <f aca="false">ROUND(0.94/FX,2)</f>
        <v>0.13</v>
      </c>
      <c r="D4875" s="21" t="s">
        <v>841</v>
      </c>
      <c r="E4875" s="21" t="s">
        <v>6043</v>
      </c>
    </row>
    <row r="4876" customFormat="false" ht="15" hidden="false" customHeight="false" outlineLevel="0" collapsed="false">
      <c r="B4876" s="19" t="s">
        <v>6046</v>
      </c>
      <c r="C4876" s="20" t="n">
        <f aca="false">ROUND(0.94/FX,2)</f>
        <v>0.13</v>
      </c>
      <c r="D4876" s="21" t="s">
        <v>789</v>
      </c>
      <c r="E4876" s="21" t="s">
        <v>6043</v>
      </c>
    </row>
    <row r="4877" customFormat="false" ht="15" hidden="false" customHeight="false" outlineLevel="0" collapsed="false">
      <c r="B4877" s="19" t="s">
        <v>6047</v>
      </c>
      <c r="C4877" s="20" t="n">
        <f aca="false">ROUND(0.78/FX,2)</f>
        <v>0.11</v>
      </c>
      <c r="D4877" s="21" t="s">
        <v>716</v>
      </c>
      <c r="E4877" s="21" t="s">
        <v>6043</v>
      </c>
    </row>
    <row r="4878" customFormat="false" ht="15" hidden="false" customHeight="false" outlineLevel="0" collapsed="false">
      <c r="B4878" s="19" t="s">
        <v>6048</v>
      </c>
      <c r="C4878" s="20" t="n">
        <f aca="false">ROUND(0.94/FX,2)</f>
        <v>0.13</v>
      </c>
      <c r="D4878" s="21" t="s">
        <v>845</v>
      </c>
      <c r="E4878" s="21" t="s">
        <v>6043</v>
      </c>
    </row>
    <row r="4879" customFormat="false" ht="15" hidden="false" customHeight="false" outlineLevel="0" collapsed="false">
      <c r="B4879" s="19" t="s">
        <v>6049</v>
      </c>
      <c r="C4879" s="20" t="n">
        <f aca="false">ROUND(0.94/FX,2)</f>
        <v>0.13</v>
      </c>
      <c r="D4879" s="21" t="s">
        <v>719</v>
      </c>
      <c r="E4879" s="21" t="s">
        <v>6043</v>
      </c>
    </row>
    <row r="4880" customFormat="false" ht="15" hidden="false" customHeight="false" outlineLevel="0" collapsed="false">
      <c r="B4880" s="19" t="s">
        <v>6050</v>
      </c>
      <c r="C4880" s="20" t="n">
        <f aca="false">ROUND(0.94/FX,2)</f>
        <v>0.13</v>
      </c>
      <c r="D4880" s="21" t="s">
        <v>707</v>
      </c>
      <c r="E4880" s="21" t="s">
        <v>6051</v>
      </c>
    </row>
    <row r="4881" customFormat="false" ht="15" hidden="false" customHeight="false" outlineLevel="0" collapsed="false">
      <c r="B4881" s="19" t="s">
        <v>6052</v>
      </c>
      <c r="C4881" s="20" t="n">
        <f aca="false">ROUND(0.94/FX,2)</f>
        <v>0.13</v>
      </c>
      <c r="D4881" s="21" t="s">
        <v>839</v>
      </c>
      <c r="E4881" s="21" t="s">
        <v>6051</v>
      </c>
    </row>
    <row r="4882" customFormat="false" ht="15" hidden="false" customHeight="false" outlineLevel="0" collapsed="false">
      <c r="B4882" s="19" t="s">
        <v>6053</v>
      </c>
      <c r="C4882" s="20" t="n">
        <f aca="false">ROUND(0.94/FX,2)</f>
        <v>0.13</v>
      </c>
      <c r="D4882" s="21" t="s">
        <v>841</v>
      </c>
      <c r="E4882" s="21" t="s">
        <v>6051</v>
      </c>
    </row>
    <row r="4883" customFormat="false" ht="15" hidden="false" customHeight="false" outlineLevel="0" collapsed="false">
      <c r="B4883" s="19" t="s">
        <v>6054</v>
      </c>
      <c r="C4883" s="20" t="n">
        <f aca="false">ROUND(0.94/FX,2)</f>
        <v>0.13</v>
      </c>
      <c r="D4883" s="21" t="s">
        <v>789</v>
      </c>
      <c r="E4883" s="21" t="s">
        <v>6051</v>
      </c>
    </row>
    <row r="4884" customFormat="false" ht="15" hidden="false" customHeight="false" outlineLevel="0" collapsed="false">
      <c r="B4884" s="19" t="s">
        <v>6055</v>
      </c>
      <c r="C4884" s="20" t="n">
        <f aca="false">ROUND(0.94/FX,2)</f>
        <v>0.13</v>
      </c>
      <c r="D4884" s="21" t="s">
        <v>716</v>
      </c>
      <c r="E4884" s="21" t="s">
        <v>6051</v>
      </c>
    </row>
    <row r="4885" customFormat="false" ht="15" hidden="false" customHeight="false" outlineLevel="0" collapsed="false">
      <c r="B4885" s="19" t="s">
        <v>6056</v>
      </c>
      <c r="C4885" s="20" t="n">
        <f aca="false">ROUND(0.65/FX,2)</f>
        <v>0.09</v>
      </c>
      <c r="D4885" s="21" t="s">
        <v>845</v>
      </c>
      <c r="E4885" s="21" t="s">
        <v>6051</v>
      </c>
    </row>
    <row r="4886" customFormat="false" ht="15" hidden="false" customHeight="false" outlineLevel="0" collapsed="false">
      <c r="B4886" s="19" t="s">
        <v>6057</v>
      </c>
      <c r="C4886" s="20" t="n">
        <f aca="false">ROUND(0.94/FX,2)</f>
        <v>0.13</v>
      </c>
      <c r="D4886" s="21" t="s">
        <v>719</v>
      </c>
      <c r="E4886" s="21" t="s">
        <v>6051</v>
      </c>
    </row>
    <row r="4887" customFormat="false" ht="15" hidden="false" customHeight="false" outlineLevel="0" collapsed="false">
      <c r="B4887" s="19" t="s">
        <v>6058</v>
      </c>
      <c r="C4887" s="20" t="n">
        <f aca="false">ROUND(0.91/FX,2)</f>
        <v>0.13</v>
      </c>
      <c r="D4887" s="21" t="s">
        <v>707</v>
      </c>
      <c r="E4887" s="21" t="s">
        <v>6059</v>
      </c>
    </row>
    <row r="4888" customFormat="false" ht="15" hidden="false" customHeight="false" outlineLevel="0" collapsed="false">
      <c r="B4888" s="19" t="s">
        <v>6060</v>
      </c>
      <c r="C4888" s="20" t="n">
        <f aca="false">ROUND(0.94/FX,2)</f>
        <v>0.13</v>
      </c>
      <c r="D4888" s="21" t="s">
        <v>839</v>
      </c>
      <c r="E4888" s="21" t="s">
        <v>6059</v>
      </c>
    </row>
    <row r="4889" customFormat="false" ht="15" hidden="false" customHeight="false" outlineLevel="0" collapsed="false">
      <c r="B4889" s="19" t="s">
        <v>6061</v>
      </c>
      <c r="C4889" s="20" t="n">
        <f aca="false">ROUND(0.94/FX,2)</f>
        <v>0.13</v>
      </c>
      <c r="D4889" s="21" t="s">
        <v>841</v>
      </c>
      <c r="E4889" s="21" t="s">
        <v>6059</v>
      </c>
    </row>
    <row r="4890" customFormat="false" ht="15" hidden="false" customHeight="false" outlineLevel="0" collapsed="false">
      <c r="B4890" s="19" t="s">
        <v>6062</v>
      </c>
      <c r="C4890" s="20" t="n">
        <f aca="false">ROUND(0.94/FX,2)</f>
        <v>0.13</v>
      </c>
      <c r="D4890" s="21" t="s">
        <v>789</v>
      </c>
      <c r="E4890" s="21" t="s">
        <v>6059</v>
      </c>
    </row>
    <row r="4891" customFormat="false" ht="15" hidden="false" customHeight="false" outlineLevel="0" collapsed="false">
      <c r="B4891" s="19" t="s">
        <v>6063</v>
      </c>
      <c r="C4891" s="20" t="n">
        <f aca="false">ROUND(1.17/FX,2)</f>
        <v>0.16</v>
      </c>
      <c r="D4891" s="21" t="s">
        <v>716</v>
      </c>
      <c r="E4891" s="21" t="s">
        <v>6059</v>
      </c>
    </row>
    <row r="4892" customFormat="false" ht="15" hidden="false" customHeight="false" outlineLevel="0" collapsed="false">
      <c r="B4892" s="19" t="s">
        <v>6064</v>
      </c>
      <c r="C4892" s="20" t="n">
        <f aca="false">ROUND(0.94/FX,2)</f>
        <v>0.13</v>
      </c>
      <c r="D4892" s="21" t="s">
        <v>845</v>
      </c>
      <c r="E4892" s="21" t="s">
        <v>6059</v>
      </c>
    </row>
    <row r="4893" customFormat="false" ht="15" hidden="false" customHeight="false" outlineLevel="0" collapsed="false">
      <c r="B4893" s="19" t="s">
        <v>6065</v>
      </c>
      <c r="C4893" s="20" t="n">
        <f aca="false">ROUND(0.94/FX,2)</f>
        <v>0.13</v>
      </c>
      <c r="D4893" s="21" t="s">
        <v>719</v>
      </c>
      <c r="E4893" s="21" t="s">
        <v>6059</v>
      </c>
    </row>
    <row r="4894" customFormat="false" ht="15" hidden="false" customHeight="false" outlineLevel="0" collapsed="false">
      <c r="B4894" s="19" t="s">
        <v>6066</v>
      </c>
      <c r="C4894" s="20" t="n">
        <f aca="false">ROUND(0.94/FX,2)</f>
        <v>0.13</v>
      </c>
      <c r="D4894" s="21" t="s">
        <v>707</v>
      </c>
      <c r="E4894" s="21" t="s">
        <v>6067</v>
      </c>
    </row>
    <row r="4895" customFormat="false" ht="15" hidden="false" customHeight="false" outlineLevel="0" collapsed="false">
      <c r="B4895" s="19" t="s">
        <v>6068</v>
      </c>
      <c r="C4895" s="20" t="n">
        <f aca="false">ROUND(0.94/FX,2)</f>
        <v>0.13</v>
      </c>
      <c r="D4895" s="21" t="s">
        <v>839</v>
      </c>
      <c r="E4895" s="21" t="s">
        <v>6067</v>
      </c>
    </row>
    <row r="4896" customFormat="false" ht="15" hidden="false" customHeight="false" outlineLevel="0" collapsed="false">
      <c r="B4896" s="19" t="s">
        <v>6069</v>
      </c>
      <c r="C4896" s="20" t="n">
        <f aca="false">ROUND(0.94/FX,2)</f>
        <v>0.13</v>
      </c>
      <c r="D4896" s="21" t="s">
        <v>841</v>
      </c>
      <c r="E4896" s="21" t="s">
        <v>6067</v>
      </c>
    </row>
    <row r="4897" customFormat="false" ht="15" hidden="false" customHeight="false" outlineLevel="0" collapsed="false">
      <c r="B4897" s="19" t="s">
        <v>6070</v>
      </c>
      <c r="C4897" s="20" t="n">
        <f aca="false">ROUND(0.94/FX,2)</f>
        <v>0.13</v>
      </c>
      <c r="D4897" s="21" t="s">
        <v>789</v>
      </c>
      <c r="E4897" s="21" t="s">
        <v>6067</v>
      </c>
    </row>
    <row r="4898" customFormat="false" ht="15" hidden="false" customHeight="false" outlineLevel="0" collapsed="false">
      <c r="B4898" s="19" t="s">
        <v>6071</v>
      </c>
      <c r="C4898" s="20" t="n">
        <f aca="false">ROUND(1.04/FX,2)</f>
        <v>0.14</v>
      </c>
      <c r="D4898" s="21" t="s">
        <v>716</v>
      </c>
      <c r="E4898" s="21" t="s">
        <v>6067</v>
      </c>
    </row>
    <row r="4899" customFormat="false" ht="15" hidden="false" customHeight="false" outlineLevel="0" collapsed="false">
      <c r="B4899" s="19" t="s">
        <v>6072</v>
      </c>
      <c r="C4899" s="20" t="n">
        <f aca="false">ROUND(0.94/FX,2)</f>
        <v>0.13</v>
      </c>
      <c r="D4899" s="21" t="s">
        <v>845</v>
      </c>
      <c r="E4899" s="21" t="s">
        <v>6067</v>
      </c>
    </row>
    <row r="4900" customFormat="false" ht="15" hidden="false" customHeight="false" outlineLevel="0" collapsed="false">
      <c r="B4900" s="19" t="s">
        <v>6073</v>
      </c>
      <c r="C4900" s="20" t="n">
        <f aca="false">ROUND(0.94/FX,2)</f>
        <v>0.13</v>
      </c>
      <c r="D4900" s="21" t="s">
        <v>719</v>
      </c>
      <c r="E4900" s="21" t="s">
        <v>6067</v>
      </c>
    </row>
    <row r="4901" customFormat="false" ht="15" hidden="false" customHeight="false" outlineLevel="0" collapsed="false">
      <c r="B4901" s="19" t="s">
        <v>6074</v>
      </c>
      <c r="C4901" s="20" t="n">
        <f aca="false">ROUND(0.94/FX,2)</f>
        <v>0.13</v>
      </c>
      <c r="D4901" s="21" t="s">
        <v>707</v>
      </c>
      <c r="E4901" s="21" t="s">
        <v>6075</v>
      </c>
    </row>
    <row r="4902" customFormat="false" ht="15" hidden="false" customHeight="false" outlineLevel="0" collapsed="false">
      <c r="B4902" s="19" t="s">
        <v>6076</v>
      </c>
      <c r="C4902" s="20" t="n">
        <f aca="false">ROUND(0.94/FX,2)</f>
        <v>0.13</v>
      </c>
      <c r="D4902" s="21" t="s">
        <v>839</v>
      </c>
      <c r="E4902" s="21" t="s">
        <v>6075</v>
      </c>
    </row>
    <row r="4903" customFormat="false" ht="15" hidden="false" customHeight="false" outlineLevel="0" collapsed="false">
      <c r="B4903" s="19" t="s">
        <v>6077</v>
      </c>
      <c r="C4903" s="20" t="n">
        <f aca="false">ROUND(0.94/FX,2)</f>
        <v>0.13</v>
      </c>
      <c r="D4903" s="21" t="s">
        <v>841</v>
      </c>
      <c r="E4903" s="21" t="s">
        <v>6075</v>
      </c>
    </row>
    <row r="4904" customFormat="false" ht="15" hidden="false" customHeight="false" outlineLevel="0" collapsed="false">
      <c r="B4904" s="19" t="s">
        <v>6078</v>
      </c>
      <c r="C4904" s="20" t="n">
        <f aca="false">ROUND(0.94/FX,2)</f>
        <v>0.13</v>
      </c>
      <c r="D4904" s="21" t="s">
        <v>789</v>
      </c>
      <c r="E4904" s="21" t="s">
        <v>6075</v>
      </c>
    </row>
    <row r="4905" customFormat="false" ht="15" hidden="false" customHeight="false" outlineLevel="0" collapsed="false">
      <c r="B4905" s="19" t="s">
        <v>6079</v>
      </c>
      <c r="C4905" s="20" t="n">
        <f aca="false">ROUND(1.04/FX,2)</f>
        <v>0.14</v>
      </c>
      <c r="D4905" s="21" t="s">
        <v>716</v>
      </c>
      <c r="E4905" s="21" t="s">
        <v>6075</v>
      </c>
    </row>
    <row r="4906" customFormat="false" ht="15" hidden="false" customHeight="false" outlineLevel="0" collapsed="false">
      <c r="B4906" s="19" t="s">
        <v>6080</v>
      </c>
      <c r="C4906" s="20" t="n">
        <f aca="false">ROUND(0.94/FX,2)</f>
        <v>0.13</v>
      </c>
      <c r="D4906" s="21" t="s">
        <v>845</v>
      </c>
      <c r="E4906" s="21" t="s">
        <v>6075</v>
      </c>
    </row>
    <row r="4907" customFormat="false" ht="15" hidden="false" customHeight="false" outlineLevel="0" collapsed="false">
      <c r="B4907" s="19" t="s">
        <v>6081</v>
      </c>
      <c r="C4907" s="20" t="n">
        <f aca="false">ROUND(0.94/FX,2)</f>
        <v>0.13</v>
      </c>
      <c r="D4907" s="21" t="s">
        <v>719</v>
      </c>
      <c r="E4907" s="21" t="s">
        <v>6075</v>
      </c>
    </row>
    <row r="4908" customFormat="false" ht="15" hidden="false" customHeight="false" outlineLevel="0" collapsed="false">
      <c r="B4908" s="19" t="s">
        <v>6082</v>
      </c>
      <c r="C4908" s="20" t="n">
        <f aca="false">ROUND(0.94/FX,2)</f>
        <v>0.13</v>
      </c>
      <c r="D4908" s="21" t="s">
        <v>707</v>
      </c>
      <c r="E4908" s="21" t="s">
        <v>6083</v>
      </c>
    </row>
    <row r="4909" customFormat="false" ht="15" hidden="false" customHeight="false" outlineLevel="0" collapsed="false">
      <c r="B4909" s="19" t="s">
        <v>6084</v>
      </c>
      <c r="C4909" s="20" t="n">
        <f aca="false">ROUND(0.94/FX,2)</f>
        <v>0.13</v>
      </c>
      <c r="D4909" s="21" t="s">
        <v>839</v>
      </c>
      <c r="E4909" s="21" t="s">
        <v>6083</v>
      </c>
    </row>
    <row r="4910" customFormat="false" ht="15" hidden="false" customHeight="false" outlineLevel="0" collapsed="false">
      <c r="B4910" s="19" t="s">
        <v>6085</v>
      </c>
      <c r="C4910" s="20" t="n">
        <f aca="false">ROUND(0.94/FX,2)</f>
        <v>0.13</v>
      </c>
      <c r="D4910" s="21" t="s">
        <v>841</v>
      </c>
      <c r="E4910" s="21" t="s">
        <v>6083</v>
      </c>
    </row>
    <row r="4911" customFormat="false" ht="15" hidden="false" customHeight="false" outlineLevel="0" collapsed="false">
      <c r="B4911" s="19" t="s">
        <v>6086</v>
      </c>
      <c r="C4911" s="20" t="n">
        <f aca="false">ROUND(0.94/FX,2)</f>
        <v>0.13</v>
      </c>
      <c r="D4911" s="21" t="s">
        <v>789</v>
      </c>
      <c r="E4911" s="21" t="s">
        <v>6083</v>
      </c>
    </row>
    <row r="4912" customFormat="false" ht="15" hidden="false" customHeight="false" outlineLevel="0" collapsed="false">
      <c r="B4912" s="19" t="s">
        <v>6087</v>
      </c>
      <c r="C4912" s="20" t="n">
        <f aca="false">ROUND(1.24/FX,2)</f>
        <v>0.17</v>
      </c>
      <c r="D4912" s="21" t="s">
        <v>716</v>
      </c>
      <c r="E4912" s="21" t="s">
        <v>6083</v>
      </c>
    </row>
    <row r="4913" customFormat="false" ht="15" hidden="false" customHeight="false" outlineLevel="0" collapsed="false">
      <c r="B4913" s="19" t="s">
        <v>6088</v>
      </c>
      <c r="C4913" s="20" t="n">
        <f aca="false">ROUND(0.94/FX,2)</f>
        <v>0.13</v>
      </c>
      <c r="D4913" s="21" t="s">
        <v>845</v>
      </c>
      <c r="E4913" s="21" t="s">
        <v>6083</v>
      </c>
    </row>
    <row r="4914" customFormat="false" ht="15" hidden="false" customHeight="false" outlineLevel="0" collapsed="false">
      <c r="B4914" s="19" t="s">
        <v>6089</v>
      </c>
      <c r="C4914" s="20" t="n">
        <f aca="false">ROUND(0.94/FX,2)</f>
        <v>0.13</v>
      </c>
      <c r="D4914" s="21" t="s">
        <v>719</v>
      </c>
      <c r="E4914" s="21" t="s">
        <v>6083</v>
      </c>
    </row>
    <row r="4915" customFormat="false" ht="15" hidden="false" customHeight="false" outlineLevel="0" collapsed="false">
      <c r="B4915" s="19" t="s">
        <v>6090</v>
      </c>
      <c r="C4915" s="20" t="n">
        <f aca="false">ROUND(0.94/FX,2)</f>
        <v>0.13</v>
      </c>
      <c r="D4915" s="21" t="s">
        <v>707</v>
      </c>
      <c r="E4915" s="21" t="s">
        <v>6091</v>
      </c>
    </row>
    <row r="4916" customFormat="false" ht="15" hidden="false" customHeight="false" outlineLevel="0" collapsed="false">
      <c r="B4916" s="19" t="s">
        <v>6092</v>
      </c>
      <c r="C4916" s="20" t="n">
        <f aca="false">ROUND(0.94/FX,2)</f>
        <v>0.13</v>
      </c>
      <c r="D4916" s="21" t="s">
        <v>839</v>
      </c>
      <c r="E4916" s="21" t="s">
        <v>6091</v>
      </c>
    </row>
    <row r="4917" customFormat="false" ht="15" hidden="false" customHeight="false" outlineLevel="0" collapsed="false">
      <c r="B4917" s="19" t="s">
        <v>6093</v>
      </c>
      <c r="C4917" s="20" t="n">
        <f aca="false">ROUND(0.69/FX,2)</f>
        <v>0.1</v>
      </c>
      <c r="D4917" s="21" t="s">
        <v>841</v>
      </c>
      <c r="E4917" s="21" t="s">
        <v>6091</v>
      </c>
    </row>
    <row r="4918" customFormat="false" ht="15" hidden="false" customHeight="false" outlineLevel="0" collapsed="false">
      <c r="B4918" s="19" t="s">
        <v>6094</v>
      </c>
      <c r="C4918" s="20" t="n">
        <f aca="false">ROUND(0.94/FX,2)</f>
        <v>0.13</v>
      </c>
      <c r="D4918" s="21" t="s">
        <v>789</v>
      </c>
      <c r="E4918" s="21" t="s">
        <v>6091</v>
      </c>
    </row>
    <row r="4919" customFormat="false" ht="15" hidden="false" customHeight="false" outlineLevel="0" collapsed="false">
      <c r="B4919" s="19" t="s">
        <v>6095</v>
      </c>
      <c r="C4919" s="20" t="n">
        <f aca="false">ROUND(1.17/FX,2)</f>
        <v>0.16</v>
      </c>
      <c r="D4919" s="21" t="s">
        <v>716</v>
      </c>
      <c r="E4919" s="21" t="s">
        <v>6091</v>
      </c>
    </row>
    <row r="4920" customFormat="false" ht="15" hidden="false" customHeight="false" outlineLevel="0" collapsed="false">
      <c r="B4920" s="19" t="s">
        <v>6096</v>
      </c>
      <c r="C4920" s="20" t="n">
        <f aca="false">ROUND(0.94/FX,2)</f>
        <v>0.13</v>
      </c>
      <c r="D4920" s="21" t="s">
        <v>845</v>
      </c>
      <c r="E4920" s="21" t="s">
        <v>6091</v>
      </c>
    </row>
    <row r="4921" customFormat="false" ht="15" hidden="false" customHeight="false" outlineLevel="0" collapsed="false">
      <c r="B4921" s="19" t="s">
        <v>6097</v>
      </c>
      <c r="C4921" s="20" t="n">
        <f aca="false">ROUND(0.94/FX,2)</f>
        <v>0.13</v>
      </c>
      <c r="D4921" s="21" t="s">
        <v>719</v>
      </c>
      <c r="E4921" s="21" t="s">
        <v>6091</v>
      </c>
    </row>
    <row r="4922" customFormat="false" ht="15" hidden="false" customHeight="false" outlineLevel="0" collapsed="false">
      <c r="B4922" s="19" t="s">
        <v>6098</v>
      </c>
      <c r="C4922" s="20" t="n">
        <f aca="false">ROUND(2.86/FX,2)</f>
        <v>0.4</v>
      </c>
      <c r="D4922" s="21" t="s">
        <v>707</v>
      </c>
      <c r="E4922" s="21" t="s">
        <v>6099</v>
      </c>
    </row>
    <row r="4923" customFormat="false" ht="15" hidden="false" customHeight="false" outlineLevel="0" collapsed="false">
      <c r="B4923" s="19" t="s">
        <v>6100</v>
      </c>
      <c r="C4923" s="20" t="n">
        <f aca="false">ROUND(0.94/FX,2)</f>
        <v>0.13</v>
      </c>
      <c r="D4923" s="21" t="s">
        <v>839</v>
      </c>
      <c r="E4923" s="21" t="s">
        <v>6099</v>
      </c>
    </row>
    <row r="4924" customFormat="false" ht="15" hidden="false" customHeight="false" outlineLevel="0" collapsed="false">
      <c r="B4924" s="19" t="s">
        <v>6101</v>
      </c>
      <c r="C4924" s="20" t="n">
        <f aca="false">ROUND(0.94/FX,2)</f>
        <v>0.13</v>
      </c>
      <c r="D4924" s="21" t="s">
        <v>841</v>
      </c>
      <c r="E4924" s="21" t="s">
        <v>6099</v>
      </c>
    </row>
    <row r="4925" customFormat="false" ht="15" hidden="false" customHeight="false" outlineLevel="0" collapsed="false">
      <c r="B4925" s="19" t="s">
        <v>6102</v>
      </c>
      <c r="C4925" s="20" t="n">
        <f aca="false">ROUND(0.73/FX,2)</f>
        <v>0.1</v>
      </c>
      <c r="D4925" s="21" t="s">
        <v>789</v>
      </c>
      <c r="E4925" s="21" t="s">
        <v>6099</v>
      </c>
    </row>
    <row r="4926" customFormat="false" ht="15" hidden="false" customHeight="false" outlineLevel="0" collapsed="false">
      <c r="B4926" s="19" t="s">
        <v>6103</v>
      </c>
      <c r="C4926" s="20" t="n">
        <f aca="false">ROUND(1.17/FX,2)</f>
        <v>0.16</v>
      </c>
      <c r="D4926" s="21" t="s">
        <v>716</v>
      </c>
      <c r="E4926" s="21" t="s">
        <v>6099</v>
      </c>
    </row>
    <row r="4927" customFormat="false" ht="15" hidden="false" customHeight="false" outlineLevel="0" collapsed="false">
      <c r="B4927" s="19" t="s">
        <v>6104</v>
      </c>
      <c r="C4927" s="20" t="n">
        <f aca="false">ROUND(0.94/FX,2)</f>
        <v>0.13</v>
      </c>
      <c r="D4927" s="21" t="s">
        <v>845</v>
      </c>
      <c r="E4927" s="21" t="s">
        <v>6099</v>
      </c>
    </row>
    <row r="4928" customFormat="false" ht="15" hidden="false" customHeight="false" outlineLevel="0" collapsed="false">
      <c r="B4928" s="19" t="s">
        <v>6105</v>
      </c>
      <c r="C4928" s="20" t="n">
        <f aca="false">ROUND(0.94/FX,2)</f>
        <v>0.13</v>
      </c>
      <c r="D4928" s="21" t="s">
        <v>719</v>
      </c>
      <c r="E4928" s="21" t="s">
        <v>6099</v>
      </c>
    </row>
    <row r="4929" customFormat="false" ht="15" hidden="false" customHeight="false" outlineLevel="0" collapsed="false">
      <c r="B4929" s="19" t="s">
        <v>6106</v>
      </c>
      <c r="C4929" s="20" t="n">
        <f aca="false">ROUND(0.94/FX,2)</f>
        <v>0.13</v>
      </c>
      <c r="D4929" s="21" t="s">
        <v>707</v>
      </c>
      <c r="E4929" s="21" t="s">
        <v>6107</v>
      </c>
    </row>
    <row r="4930" customFormat="false" ht="15" hidden="false" customHeight="false" outlineLevel="0" collapsed="false">
      <c r="B4930" s="19" t="s">
        <v>6108</v>
      </c>
      <c r="C4930" s="20" t="n">
        <f aca="false">ROUND(0.94/FX,2)</f>
        <v>0.13</v>
      </c>
      <c r="D4930" s="21" t="s">
        <v>839</v>
      </c>
      <c r="E4930" s="21" t="s">
        <v>6107</v>
      </c>
    </row>
    <row r="4931" customFormat="false" ht="15" hidden="false" customHeight="false" outlineLevel="0" collapsed="false">
      <c r="B4931" s="19" t="s">
        <v>6109</v>
      </c>
      <c r="C4931" s="20" t="n">
        <f aca="false">ROUND(0.65/FX,2)</f>
        <v>0.09</v>
      </c>
      <c r="D4931" s="21" t="s">
        <v>841</v>
      </c>
      <c r="E4931" s="21" t="s">
        <v>6107</v>
      </c>
    </row>
    <row r="4932" customFormat="false" ht="15" hidden="false" customHeight="false" outlineLevel="0" collapsed="false">
      <c r="B4932" s="19" t="s">
        <v>6110</v>
      </c>
      <c r="C4932" s="20" t="n">
        <f aca="false">ROUND(0.94/FX,2)</f>
        <v>0.13</v>
      </c>
      <c r="D4932" s="21" t="s">
        <v>789</v>
      </c>
      <c r="E4932" s="21" t="s">
        <v>6107</v>
      </c>
    </row>
    <row r="4933" customFormat="false" ht="15" hidden="false" customHeight="false" outlineLevel="0" collapsed="false">
      <c r="B4933" s="19" t="s">
        <v>6111</v>
      </c>
      <c r="C4933" s="20" t="n">
        <f aca="false">ROUND(1.1/FX,2)</f>
        <v>0.15</v>
      </c>
      <c r="D4933" s="21" t="s">
        <v>716</v>
      </c>
      <c r="E4933" s="21" t="s">
        <v>6107</v>
      </c>
    </row>
    <row r="4934" customFormat="false" ht="15" hidden="false" customHeight="false" outlineLevel="0" collapsed="false">
      <c r="B4934" s="19" t="s">
        <v>6112</v>
      </c>
      <c r="C4934" s="20" t="n">
        <f aca="false">ROUND(0.94/FX,2)</f>
        <v>0.13</v>
      </c>
      <c r="D4934" s="21" t="s">
        <v>845</v>
      </c>
      <c r="E4934" s="21" t="s">
        <v>6107</v>
      </c>
    </row>
    <row r="4935" customFormat="false" ht="15" hidden="false" customHeight="false" outlineLevel="0" collapsed="false">
      <c r="B4935" s="19" t="s">
        <v>6113</v>
      </c>
      <c r="C4935" s="20" t="n">
        <f aca="false">ROUND(0.94/FX,2)</f>
        <v>0.13</v>
      </c>
      <c r="D4935" s="21" t="s">
        <v>719</v>
      </c>
      <c r="E4935" s="21" t="s">
        <v>6107</v>
      </c>
    </row>
    <row r="4936" customFormat="false" ht="15" hidden="false" customHeight="false" outlineLevel="0" collapsed="false">
      <c r="B4936" s="19" t="s">
        <v>6114</v>
      </c>
      <c r="C4936" s="20" t="n">
        <f aca="false">ROUND(0.94/FX,2)</f>
        <v>0.13</v>
      </c>
      <c r="D4936" s="21" t="s">
        <v>707</v>
      </c>
      <c r="E4936" s="21" t="s">
        <v>6115</v>
      </c>
    </row>
    <row r="4937" customFormat="false" ht="15" hidden="false" customHeight="false" outlineLevel="0" collapsed="false">
      <c r="B4937" s="19" t="s">
        <v>6116</v>
      </c>
      <c r="C4937" s="20" t="n">
        <f aca="false">ROUND(0.94/FX,2)</f>
        <v>0.13</v>
      </c>
      <c r="D4937" s="21" t="s">
        <v>839</v>
      </c>
      <c r="E4937" s="21" t="s">
        <v>6115</v>
      </c>
    </row>
    <row r="4938" customFormat="false" ht="15" hidden="false" customHeight="false" outlineLevel="0" collapsed="false">
      <c r="B4938" s="19" t="s">
        <v>6117</v>
      </c>
      <c r="C4938" s="20" t="n">
        <f aca="false">ROUND(0.94/FX,2)</f>
        <v>0.13</v>
      </c>
      <c r="D4938" s="21" t="s">
        <v>841</v>
      </c>
      <c r="E4938" s="21" t="s">
        <v>6115</v>
      </c>
    </row>
    <row r="4939" customFormat="false" ht="15" hidden="false" customHeight="false" outlineLevel="0" collapsed="false">
      <c r="B4939" s="19" t="s">
        <v>6118</v>
      </c>
      <c r="C4939" s="20" t="n">
        <f aca="false">ROUND(0.94/FX,2)</f>
        <v>0.13</v>
      </c>
      <c r="D4939" s="21" t="s">
        <v>789</v>
      </c>
      <c r="E4939" s="21" t="s">
        <v>6115</v>
      </c>
    </row>
    <row r="4940" customFormat="false" ht="15" hidden="false" customHeight="false" outlineLevel="0" collapsed="false">
      <c r="B4940" s="19" t="s">
        <v>6119</v>
      </c>
      <c r="C4940" s="20" t="n">
        <f aca="false">ROUND(1.24/FX,2)</f>
        <v>0.17</v>
      </c>
      <c r="D4940" s="21" t="s">
        <v>716</v>
      </c>
      <c r="E4940" s="21" t="s">
        <v>6115</v>
      </c>
    </row>
    <row r="4941" customFormat="false" ht="15" hidden="false" customHeight="false" outlineLevel="0" collapsed="false">
      <c r="B4941" s="19" t="s">
        <v>6120</v>
      </c>
      <c r="C4941" s="20" t="n">
        <f aca="false">ROUND(0.94/FX,2)</f>
        <v>0.13</v>
      </c>
      <c r="D4941" s="21" t="s">
        <v>845</v>
      </c>
      <c r="E4941" s="21" t="s">
        <v>6115</v>
      </c>
    </row>
    <row r="4942" customFormat="false" ht="15" hidden="false" customHeight="false" outlineLevel="0" collapsed="false">
      <c r="B4942" s="19" t="s">
        <v>6121</v>
      </c>
      <c r="C4942" s="20" t="n">
        <f aca="false">ROUND(0.94/FX,2)</f>
        <v>0.13</v>
      </c>
      <c r="D4942" s="21" t="s">
        <v>719</v>
      </c>
      <c r="E4942" s="21" t="s">
        <v>6115</v>
      </c>
    </row>
    <row r="4943" customFormat="false" ht="15" hidden="false" customHeight="false" outlineLevel="0" collapsed="false">
      <c r="B4943" s="19" t="s">
        <v>6122</v>
      </c>
      <c r="C4943" s="20" t="n">
        <f aca="false">ROUND(0.94/FX,2)</f>
        <v>0.13</v>
      </c>
      <c r="D4943" s="21" t="s">
        <v>707</v>
      </c>
      <c r="E4943" s="21" t="s">
        <v>6123</v>
      </c>
    </row>
    <row r="4944" customFormat="false" ht="15" hidden="false" customHeight="false" outlineLevel="0" collapsed="false">
      <c r="B4944" s="19" t="s">
        <v>6124</v>
      </c>
      <c r="C4944" s="20" t="n">
        <f aca="false">ROUND(0.94/FX,2)</f>
        <v>0.13</v>
      </c>
      <c r="D4944" s="21" t="s">
        <v>839</v>
      </c>
      <c r="E4944" s="21" t="s">
        <v>6123</v>
      </c>
    </row>
    <row r="4945" customFormat="false" ht="15" hidden="false" customHeight="false" outlineLevel="0" collapsed="false">
      <c r="B4945" s="19" t="s">
        <v>6125</v>
      </c>
      <c r="C4945" s="20" t="n">
        <f aca="false">ROUND(0.94/FX,2)</f>
        <v>0.13</v>
      </c>
      <c r="D4945" s="21" t="s">
        <v>841</v>
      </c>
      <c r="E4945" s="21" t="s">
        <v>6123</v>
      </c>
    </row>
    <row r="4946" customFormat="false" ht="15" hidden="false" customHeight="false" outlineLevel="0" collapsed="false">
      <c r="B4946" s="19" t="s">
        <v>6126</v>
      </c>
      <c r="C4946" s="20" t="n">
        <f aca="false">ROUND(0.94/FX,2)</f>
        <v>0.13</v>
      </c>
      <c r="D4946" s="21" t="s">
        <v>789</v>
      </c>
      <c r="E4946" s="21" t="s">
        <v>6123</v>
      </c>
    </row>
    <row r="4947" customFormat="false" ht="15" hidden="false" customHeight="false" outlineLevel="0" collapsed="false">
      <c r="B4947" s="19" t="s">
        <v>6127</v>
      </c>
      <c r="C4947" s="20" t="n">
        <f aca="false">ROUND(1.3/FX,2)</f>
        <v>0.18</v>
      </c>
      <c r="D4947" s="21" t="s">
        <v>716</v>
      </c>
      <c r="E4947" s="21" t="s">
        <v>6123</v>
      </c>
    </row>
    <row r="4948" customFormat="false" ht="15" hidden="false" customHeight="false" outlineLevel="0" collapsed="false">
      <c r="B4948" s="19" t="s">
        <v>6128</v>
      </c>
      <c r="C4948" s="20" t="n">
        <f aca="false">ROUND(0.94/FX,2)</f>
        <v>0.13</v>
      </c>
      <c r="D4948" s="21" t="s">
        <v>845</v>
      </c>
      <c r="E4948" s="21" t="s">
        <v>6123</v>
      </c>
    </row>
    <row r="4949" customFormat="false" ht="15" hidden="false" customHeight="false" outlineLevel="0" collapsed="false">
      <c r="B4949" s="19" t="s">
        <v>6129</v>
      </c>
      <c r="C4949" s="20" t="n">
        <f aca="false">ROUND(0.94/FX,2)</f>
        <v>0.13</v>
      </c>
      <c r="D4949" s="21" t="s">
        <v>719</v>
      </c>
      <c r="E4949" s="21" t="s">
        <v>6123</v>
      </c>
    </row>
    <row r="4950" customFormat="false" ht="15" hidden="false" customHeight="false" outlineLevel="0" collapsed="false">
      <c r="B4950" s="19" t="s">
        <v>6130</v>
      </c>
      <c r="C4950" s="20" t="n">
        <f aca="false">ROUND(0.94/FX,2)</f>
        <v>0.13</v>
      </c>
      <c r="D4950" s="21" t="s">
        <v>707</v>
      </c>
      <c r="E4950" s="21" t="s">
        <v>6131</v>
      </c>
    </row>
    <row r="4951" customFormat="false" ht="15" hidden="false" customHeight="false" outlineLevel="0" collapsed="false">
      <c r="B4951" s="19" t="s">
        <v>6132</v>
      </c>
      <c r="C4951" s="20" t="n">
        <f aca="false">ROUND(0.65/FX,2)</f>
        <v>0.09</v>
      </c>
      <c r="D4951" s="21" t="s">
        <v>839</v>
      </c>
      <c r="E4951" s="21" t="s">
        <v>6131</v>
      </c>
    </row>
    <row r="4952" customFormat="false" ht="15" hidden="false" customHeight="false" outlineLevel="0" collapsed="false">
      <c r="B4952" s="19" t="s">
        <v>6133</v>
      </c>
      <c r="C4952" s="20" t="n">
        <f aca="false">ROUND(0.94/FX,2)</f>
        <v>0.13</v>
      </c>
      <c r="D4952" s="21" t="s">
        <v>841</v>
      </c>
      <c r="E4952" s="21" t="s">
        <v>6131</v>
      </c>
    </row>
    <row r="4953" customFormat="false" ht="15" hidden="false" customHeight="false" outlineLevel="0" collapsed="false">
      <c r="B4953" s="19" t="s">
        <v>6134</v>
      </c>
      <c r="C4953" s="20" t="n">
        <f aca="false">ROUND(0.94/FX,2)</f>
        <v>0.13</v>
      </c>
      <c r="D4953" s="21" t="s">
        <v>789</v>
      </c>
      <c r="E4953" s="21" t="s">
        <v>6131</v>
      </c>
    </row>
    <row r="4954" customFormat="false" ht="15" hidden="false" customHeight="false" outlineLevel="0" collapsed="false">
      <c r="B4954" s="19" t="s">
        <v>6135</v>
      </c>
      <c r="C4954" s="20" t="n">
        <f aca="false">ROUND(0.94/FX,2)</f>
        <v>0.13</v>
      </c>
      <c r="D4954" s="21" t="s">
        <v>716</v>
      </c>
      <c r="E4954" s="21" t="s">
        <v>6131</v>
      </c>
    </row>
    <row r="4955" customFormat="false" ht="15" hidden="false" customHeight="false" outlineLevel="0" collapsed="false">
      <c r="B4955" s="19" t="s">
        <v>6136</v>
      </c>
      <c r="C4955" s="20" t="n">
        <f aca="false">ROUND(0.94/FX,2)</f>
        <v>0.13</v>
      </c>
      <c r="D4955" s="21" t="s">
        <v>845</v>
      </c>
      <c r="E4955" s="21" t="s">
        <v>6131</v>
      </c>
    </row>
    <row r="4956" customFormat="false" ht="15" hidden="false" customHeight="false" outlineLevel="0" collapsed="false">
      <c r="B4956" s="19" t="s">
        <v>6137</v>
      </c>
      <c r="C4956" s="20" t="n">
        <f aca="false">ROUND(0.94/FX,2)</f>
        <v>0.13</v>
      </c>
      <c r="D4956" s="21" t="s">
        <v>719</v>
      </c>
      <c r="E4956" s="21" t="s">
        <v>6131</v>
      </c>
    </row>
    <row r="4957" customFormat="false" ht="15" hidden="false" customHeight="false" outlineLevel="0" collapsed="false">
      <c r="B4957" s="19" t="s">
        <v>6138</v>
      </c>
      <c r="C4957" s="20" t="n">
        <f aca="false">ROUND(0.94/FX,2)</f>
        <v>0.13</v>
      </c>
      <c r="D4957" s="21" t="s">
        <v>707</v>
      </c>
      <c r="E4957" s="21" t="s">
        <v>6139</v>
      </c>
    </row>
    <row r="4958" customFormat="false" ht="15" hidden="false" customHeight="false" outlineLevel="0" collapsed="false">
      <c r="B4958" s="19" t="s">
        <v>6140</v>
      </c>
      <c r="C4958" s="20" t="n">
        <f aca="false">ROUND(0.94/FX,2)</f>
        <v>0.13</v>
      </c>
      <c r="D4958" s="21" t="s">
        <v>839</v>
      </c>
      <c r="E4958" s="21" t="s">
        <v>6139</v>
      </c>
    </row>
    <row r="4959" customFormat="false" ht="15" hidden="false" customHeight="false" outlineLevel="0" collapsed="false">
      <c r="B4959" s="19" t="s">
        <v>6141</v>
      </c>
      <c r="C4959" s="20" t="n">
        <f aca="false">ROUND(0.94/FX,2)</f>
        <v>0.13</v>
      </c>
      <c r="D4959" s="21" t="s">
        <v>841</v>
      </c>
      <c r="E4959" s="21" t="s">
        <v>6139</v>
      </c>
    </row>
    <row r="4960" customFormat="false" ht="15" hidden="false" customHeight="false" outlineLevel="0" collapsed="false">
      <c r="B4960" s="19" t="s">
        <v>6142</v>
      </c>
      <c r="C4960" s="20" t="n">
        <f aca="false">ROUND(0.75/FX,2)</f>
        <v>0.1</v>
      </c>
      <c r="D4960" s="21" t="s">
        <v>789</v>
      </c>
      <c r="E4960" s="21" t="s">
        <v>6139</v>
      </c>
    </row>
    <row r="4961" customFormat="false" ht="15" hidden="false" customHeight="false" outlineLevel="0" collapsed="false">
      <c r="B4961" s="19" t="s">
        <v>6143</v>
      </c>
      <c r="C4961" s="20" t="n">
        <f aca="false">ROUND(0.91/FX,2)</f>
        <v>0.13</v>
      </c>
      <c r="D4961" s="21" t="s">
        <v>716</v>
      </c>
      <c r="E4961" s="21" t="s">
        <v>6139</v>
      </c>
    </row>
    <row r="4962" customFormat="false" ht="15" hidden="false" customHeight="false" outlineLevel="0" collapsed="false">
      <c r="B4962" s="19" t="s">
        <v>6144</v>
      </c>
      <c r="C4962" s="20" t="n">
        <f aca="false">ROUND(0.94/FX,2)</f>
        <v>0.13</v>
      </c>
      <c r="D4962" s="21" t="s">
        <v>845</v>
      </c>
      <c r="E4962" s="21" t="s">
        <v>6139</v>
      </c>
    </row>
    <row r="4963" customFormat="false" ht="15" hidden="false" customHeight="false" outlineLevel="0" collapsed="false">
      <c r="B4963" s="19" t="s">
        <v>6145</v>
      </c>
      <c r="C4963" s="20" t="n">
        <f aca="false">ROUND(0.94/FX,2)</f>
        <v>0.13</v>
      </c>
      <c r="D4963" s="21" t="s">
        <v>719</v>
      </c>
      <c r="E4963" s="21" t="s">
        <v>6139</v>
      </c>
    </row>
    <row r="4964" customFormat="false" ht="15" hidden="false" customHeight="false" outlineLevel="0" collapsed="false">
      <c r="B4964" s="19" t="s">
        <v>6146</v>
      </c>
      <c r="C4964" s="20" t="n">
        <f aca="false">ROUND(0.94/FX,2)</f>
        <v>0.13</v>
      </c>
      <c r="D4964" s="21" t="s">
        <v>707</v>
      </c>
      <c r="E4964" s="21" t="s">
        <v>6147</v>
      </c>
    </row>
    <row r="4965" customFormat="false" ht="15" hidden="false" customHeight="false" outlineLevel="0" collapsed="false">
      <c r="B4965" s="19" t="s">
        <v>6148</v>
      </c>
      <c r="C4965" s="20" t="n">
        <f aca="false">ROUND(0.94/FX,2)</f>
        <v>0.13</v>
      </c>
      <c r="D4965" s="21" t="s">
        <v>839</v>
      </c>
      <c r="E4965" s="21" t="s">
        <v>6147</v>
      </c>
    </row>
    <row r="4966" customFormat="false" ht="15" hidden="false" customHeight="false" outlineLevel="0" collapsed="false">
      <c r="B4966" s="19" t="s">
        <v>6149</v>
      </c>
      <c r="C4966" s="20" t="n">
        <f aca="false">ROUND(0.94/FX,2)</f>
        <v>0.13</v>
      </c>
      <c r="D4966" s="21" t="s">
        <v>841</v>
      </c>
      <c r="E4966" s="21" t="s">
        <v>6147</v>
      </c>
    </row>
    <row r="4967" customFormat="false" ht="15" hidden="false" customHeight="false" outlineLevel="0" collapsed="false">
      <c r="B4967" s="19" t="s">
        <v>6150</v>
      </c>
      <c r="C4967" s="20" t="n">
        <f aca="false">ROUND(0.94/FX,2)</f>
        <v>0.13</v>
      </c>
      <c r="D4967" s="21" t="s">
        <v>789</v>
      </c>
      <c r="E4967" s="21" t="s">
        <v>6147</v>
      </c>
    </row>
    <row r="4968" customFormat="false" ht="15" hidden="false" customHeight="false" outlineLevel="0" collapsed="false">
      <c r="B4968" s="19" t="s">
        <v>6151</v>
      </c>
      <c r="C4968" s="20" t="n">
        <f aca="false">ROUND(1.95/FX,2)</f>
        <v>0.27</v>
      </c>
      <c r="D4968" s="21" t="s">
        <v>716</v>
      </c>
      <c r="E4968" s="21" t="s">
        <v>6147</v>
      </c>
    </row>
    <row r="4969" customFormat="false" ht="15" hidden="false" customHeight="false" outlineLevel="0" collapsed="false">
      <c r="B4969" s="19" t="s">
        <v>6152</v>
      </c>
      <c r="C4969" s="20" t="n">
        <f aca="false">ROUND(0.94/FX,2)</f>
        <v>0.13</v>
      </c>
      <c r="D4969" s="21" t="s">
        <v>845</v>
      </c>
      <c r="E4969" s="21" t="s">
        <v>6147</v>
      </c>
    </row>
    <row r="4970" customFormat="false" ht="15" hidden="false" customHeight="false" outlineLevel="0" collapsed="false">
      <c r="B4970" s="19" t="s">
        <v>6153</v>
      </c>
      <c r="C4970" s="20" t="n">
        <f aca="false">ROUND(0.94/FX,2)</f>
        <v>0.13</v>
      </c>
      <c r="D4970" s="21" t="s">
        <v>719</v>
      </c>
      <c r="E4970" s="21" t="s">
        <v>6147</v>
      </c>
    </row>
    <row r="4973" customFormat="false" ht="61.5" hidden="false" customHeight="true" outlineLevel="0" collapsed="false">
      <c r="A4973" s="9"/>
      <c r="B4973" s="10" t="s">
        <v>6154</v>
      </c>
      <c r="C4973" s="10"/>
      <c r="D4973" s="10"/>
    </row>
    <row r="4974" customFormat="false" ht="15" hidden="false" customHeight="false" outlineLevel="0" collapsed="false">
      <c r="B4974" s="18" t="s">
        <v>701</v>
      </c>
      <c r="C4974" s="18" t="s">
        <v>702</v>
      </c>
      <c r="D4974" s="18" t="s">
        <v>5610</v>
      </c>
    </row>
    <row r="4975" customFormat="false" ht="15" hidden="false" customHeight="false" outlineLevel="0" collapsed="false">
      <c r="B4975" s="19" t="s">
        <v>6155</v>
      </c>
      <c r="C4975" s="20" t="n">
        <f aca="false">ROUND(15.6/FX,2)</f>
        <v>2.17</v>
      </c>
      <c r="D4975" s="22" t="s">
        <v>5612</v>
      </c>
    </row>
    <row r="4978" customFormat="false" ht="61.5" hidden="false" customHeight="true" outlineLevel="0" collapsed="false">
      <c r="A4978" s="9"/>
      <c r="B4978" s="10" t="s">
        <v>6156</v>
      </c>
      <c r="C4978" s="10"/>
      <c r="D4978" s="10"/>
    </row>
    <row r="4979" customFormat="false" ht="15" hidden="false" customHeight="false" outlineLevel="0" collapsed="false">
      <c r="B4979" s="18" t="s">
        <v>701</v>
      </c>
      <c r="C4979" s="18" t="s">
        <v>702</v>
      </c>
      <c r="D4979" s="18" t="s">
        <v>5610</v>
      </c>
    </row>
    <row r="4980" customFormat="false" ht="15" hidden="false" customHeight="false" outlineLevel="0" collapsed="false">
      <c r="B4980" s="19" t="s">
        <v>6157</v>
      </c>
      <c r="C4980" s="20" t="n">
        <f aca="false">ROUND(18.2/FX,2)</f>
        <v>2.53</v>
      </c>
      <c r="D4980" s="22" t="s">
        <v>5612</v>
      </c>
    </row>
    <row r="4983" customFormat="false" ht="61.5" hidden="false" customHeight="true" outlineLevel="0" collapsed="false">
      <c r="A4983" s="9"/>
      <c r="B4983" s="10" t="s">
        <v>6158</v>
      </c>
      <c r="C4983" s="10"/>
      <c r="D4983" s="10"/>
      <c r="E4983" s="10"/>
      <c r="F4983" s="10"/>
      <c r="G4983" s="10"/>
    </row>
    <row r="4984" customFormat="false" ht="15" hidden="false" customHeight="false" outlineLevel="0" collapsed="false">
      <c r="A4984" s="12" t="s">
        <v>700</v>
      </c>
      <c r="B4984" s="13" t="s">
        <v>701</v>
      </c>
      <c r="C4984" s="13" t="s">
        <v>702</v>
      </c>
      <c r="D4984" s="13" t="s">
        <v>830</v>
      </c>
      <c r="E4984" s="13" t="s">
        <v>703</v>
      </c>
      <c r="F4984" s="13" t="s">
        <v>704</v>
      </c>
      <c r="G4984" s="13" t="s">
        <v>6159</v>
      </c>
    </row>
    <row r="4985" customFormat="false" ht="30" hidden="false" customHeight="true" outlineLevel="0" collapsed="false">
      <c r="A4985" s="14" t="s">
        <v>706</v>
      </c>
      <c r="B4985" s="15" t="str">
        <f aca="false">IF(COUNTIFS($D$4988:$D$5045,IF(D4985="","*",D4985),$E$4988:$E$5045,IF(E4985="","*",E4985),$F$4988:$F$5045,IF(F4985="","*",F4985),$G$4988:$G$5045,IF(G4985="","*",G4985))=1,INDEX($B:$B,SUMPRODUCT(((D4985="")+($D$4988:$D$5045=D4985)&gt;0)*((E4985="")+($E$4988:$E$5045=E4985)&gt;0)*((F4985="")+($F$4988:$F$5045=F4985)&gt;0)*((G4985="")+($G$4988:$G$5045=G4985)&gt;0)*ROW($B$4988:$B$5045))),IF(COUNTIFS($D$4988:$D$5045,IF(D4985="","*",D4985),$E$4988:$E$5045,IF(E4985="","*",E4985),$F$4988:$F$5045,IF(F4985="","*",F4985),$G$4988:$G$5045,IF(G4985="","*",G4985))=0,"Not available",COUNTIFS($D$4988:$D$5045,IF(D4985="","*",D4985),$E$4988:$E$5045,IF(E4985="","*",E4985),$F$4988:$F$5045,IF(F4985="","*",F4985),$G$4988:$G$5045,IF(G4985="","*",G4985))&amp;" match, keep choosing"))</f>
        <v>PU-S3M-408-15</v>
      </c>
      <c r="C4985" s="16" t="n">
        <f aca="false">IF(COUNTIFS($D$4988:$D$5045,IF(D4985="","*",D4985),$E$4988:$E$5045,IF(E4985="","*",E4985),$F$4988:$F$5045,IF(F4985="","*",F4985),$G$4988:$G$5045,IF(G4985="","*",G4985))=1,INDEX($C:$C,SUMPRODUCT(((D4985="")+($D$4988:$D$5045=D4985)&gt;0)*((E4985="")+($E$4988:$E$5045=E4985)&gt;0)*((F4985="")+($F$4988:$F$5045=F4985)&gt;0)*((G4985="")+($G$4988:$G$5045=G4985)&gt;0)*ROW($B$4988:$B$5045))),"")</f>
        <v>1.26</v>
      </c>
      <c r="D4985" s="17" t="s">
        <v>3374</v>
      </c>
      <c r="E4985" s="17" t="s">
        <v>714</v>
      </c>
      <c r="F4985" s="17" t="s">
        <v>725</v>
      </c>
      <c r="G4985" s="17" t="s">
        <v>6160</v>
      </c>
    </row>
    <row r="4987" customFormat="false" ht="15" hidden="false" customHeight="false" outlineLevel="0" collapsed="false">
      <c r="B4987" s="18" t="s">
        <v>701</v>
      </c>
      <c r="C4987" s="18" t="s">
        <v>702</v>
      </c>
      <c r="D4987" s="18" t="s">
        <v>830</v>
      </c>
      <c r="E4987" s="18" t="s">
        <v>703</v>
      </c>
      <c r="F4987" s="18" t="s">
        <v>704</v>
      </c>
      <c r="G4987" s="18" t="s">
        <v>6159</v>
      </c>
    </row>
    <row r="4988" customFormat="false" ht="15" hidden="false" customHeight="false" outlineLevel="0" collapsed="false">
      <c r="B4988" s="19" t="s">
        <v>6161</v>
      </c>
      <c r="C4988" s="20" t="n">
        <f aca="false">ROUND(9.1/FX,2)</f>
        <v>1.26</v>
      </c>
      <c r="D4988" s="21" t="s">
        <v>3374</v>
      </c>
      <c r="E4988" s="21" t="s">
        <v>714</v>
      </c>
      <c r="F4988" s="21" t="s">
        <v>725</v>
      </c>
      <c r="G4988" s="21" t="s">
        <v>6160</v>
      </c>
    </row>
    <row r="4989" customFormat="false" ht="15" hidden="false" customHeight="false" outlineLevel="0" collapsed="false">
      <c r="B4989" s="19" t="s">
        <v>6162</v>
      </c>
      <c r="C4989" s="20" t="n">
        <f aca="false">ROUND(4.55/FX,2)</f>
        <v>0.63</v>
      </c>
      <c r="D4989" s="21" t="s">
        <v>4883</v>
      </c>
      <c r="E4989" s="21" t="s">
        <v>714</v>
      </c>
      <c r="F4989" s="21" t="s">
        <v>725</v>
      </c>
      <c r="G4989" s="21" t="s">
        <v>6163</v>
      </c>
    </row>
    <row r="4990" customFormat="false" ht="15" hidden="false" customHeight="false" outlineLevel="0" collapsed="false">
      <c r="B4990" s="19" t="s">
        <v>6164</v>
      </c>
      <c r="C4990" s="20" t="n">
        <f aca="false">ROUND(9.1/FX,2)</f>
        <v>1.26</v>
      </c>
      <c r="D4990" s="21" t="s">
        <v>6165</v>
      </c>
      <c r="E4990" s="21" t="s">
        <v>707</v>
      </c>
      <c r="F4990" s="21" t="s">
        <v>708</v>
      </c>
      <c r="G4990" s="21" t="s">
        <v>6166</v>
      </c>
    </row>
    <row r="4991" customFormat="false" ht="15" hidden="false" customHeight="false" outlineLevel="0" collapsed="false">
      <c r="B4991" s="19" t="s">
        <v>6167</v>
      </c>
      <c r="C4991" s="20" t="n">
        <f aca="false">ROUND(1.56/FX,2)</f>
        <v>0.22</v>
      </c>
      <c r="D4991" s="21" t="s">
        <v>6165</v>
      </c>
      <c r="E4991" s="21" t="s">
        <v>714</v>
      </c>
      <c r="F4991" s="21" t="s">
        <v>708</v>
      </c>
      <c r="G4991" s="21" t="s">
        <v>6166</v>
      </c>
    </row>
    <row r="4992" customFormat="false" ht="15" hidden="false" customHeight="false" outlineLevel="0" collapsed="false">
      <c r="B4992" s="19" t="s">
        <v>6168</v>
      </c>
      <c r="C4992" s="20" t="n">
        <f aca="false">ROUND(1.56/FX,2)</f>
        <v>0.22</v>
      </c>
      <c r="D4992" s="21" t="s">
        <v>6165</v>
      </c>
      <c r="E4992" s="21" t="s">
        <v>716</v>
      </c>
      <c r="F4992" s="21" t="s">
        <v>708</v>
      </c>
      <c r="G4992" s="21" t="s">
        <v>6166</v>
      </c>
    </row>
    <row r="4993" customFormat="false" ht="15" hidden="false" customHeight="false" outlineLevel="0" collapsed="false">
      <c r="B4993" s="19" t="s">
        <v>6169</v>
      </c>
      <c r="C4993" s="20" t="n">
        <f aca="false">ROUND(11.05/FX,2)</f>
        <v>1.53</v>
      </c>
      <c r="D4993" s="21" t="s">
        <v>6170</v>
      </c>
      <c r="E4993" s="21" t="s">
        <v>707</v>
      </c>
      <c r="F4993" s="21" t="s">
        <v>708</v>
      </c>
      <c r="G4993" s="21" t="s">
        <v>6166</v>
      </c>
    </row>
    <row r="4994" customFormat="false" ht="15" hidden="false" customHeight="false" outlineLevel="0" collapsed="false">
      <c r="B4994" s="19" t="s">
        <v>6171</v>
      </c>
      <c r="C4994" s="20" t="n">
        <f aca="false">ROUND(1.56/FX,2)</f>
        <v>0.22</v>
      </c>
      <c r="D4994" s="21" t="s">
        <v>6170</v>
      </c>
      <c r="E4994" s="21" t="s">
        <v>714</v>
      </c>
      <c r="F4994" s="21" t="s">
        <v>708</v>
      </c>
      <c r="G4994" s="21" t="s">
        <v>6166</v>
      </c>
    </row>
    <row r="4995" customFormat="false" ht="15" hidden="false" customHeight="false" outlineLevel="0" collapsed="false">
      <c r="B4995" s="19" t="s">
        <v>6172</v>
      </c>
      <c r="C4995" s="20" t="n">
        <f aca="false">ROUND(1.56/FX,2)</f>
        <v>0.22</v>
      </c>
      <c r="D4995" s="21" t="s">
        <v>6170</v>
      </c>
      <c r="E4995" s="21" t="s">
        <v>716</v>
      </c>
      <c r="F4995" s="21" t="s">
        <v>708</v>
      </c>
      <c r="G4995" s="21" t="s">
        <v>6166</v>
      </c>
    </row>
    <row r="4996" customFormat="false" ht="15" hidden="false" customHeight="false" outlineLevel="0" collapsed="false">
      <c r="B4996" s="19" t="s">
        <v>6173</v>
      </c>
      <c r="C4996" s="20" t="n">
        <f aca="false">ROUND(1.82/FX,2)</f>
        <v>0.25</v>
      </c>
      <c r="D4996" s="21" t="s">
        <v>2861</v>
      </c>
      <c r="E4996" s="21" t="s">
        <v>707</v>
      </c>
      <c r="F4996" s="21" t="s">
        <v>708</v>
      </c>
      <c r="G4996" s="21" t="s">
        <v>6166</v>
      </c>
    </row>
    <row r="4997" customFormat="false" ht="15" hidden="false" customHeight="false" outlineLevel="0" collapsed="false">
      <c r="B4997" s="19" t="s">
        <v>6174</v>
      </c>
      <c r="C4997" s="20" t="n">
        <f aca="false">ROUND(1.56/FX,2)</f>
        <v>0.22</v>
      </c>
      <c r="D4997" s="21" t="s">
        <v>2861</v>
      </c>
      <c r="E4997" s="21" t="s">
        <v>714</v>
      </c>
      <c r="F4997" s="21" t="s">
        <v>708</v>
      </c>
      <c r="G4997" s="21" t="s">
        <v>6166</v>
      </c>
    </row>
    <row r="4998" customFormat="false" ht="15" hidden="false" customHeight="false" outlineLevel="0" collapsed="false">
      <c r="B4998" s="19" t="s">
        <v>6175</v>
      </c>
      <c r="C4998" s="20" t="n">
        <f aca="false">ROUND(1.56/FX,2)</f>
        <v>0.22</v>
      </c>
      <c r="D4998" s="21" t="s">
        <v>2861</v>
      </c>
      <c r="E4998" s="21" t="s">
        <v>716</v>
      </c>
      <c r="F4998" s="21" t="s">
        <v>708</v>
      </c>
      <c r="G4998" s="21" t="s">
        <v>6166</v>
      </c>
    </row>
    <row r="4999" customFormat="false" ht="15" hidden="false" customHeight="false" outlineLevel="0" collapsed="false">
      <c r="B4999" s="19" t="s">
        <v>6176</v>
      </c>
      <c r="C4999" s="20" t="n">
        <f aca="false">ROUND(2.34/FX,2)</f>
        <v>0.33</v>
      </c>
      <c r="D4999" s="21" t="s">
        <v>1103</v>
      </c>
      <c r="E4999" s="21" t="s">
        <v>707</v>
      </c>
      <c r="F4999" s="21" t="s">
        <v>708</v>
      </c>
      <c r="G4999" s="21" t="s">
        <v>6166</v>
      </c>
    </row>
    <row r="5000" customFormat="false" ht="15" hidden="false" customHeight="false" outlineLevel="0" collapsed="false">
      <c r="B5000" s="19" t="s">
        <v>6177</v>
      </c>
      <c r="C5000" s="20" t="n">
        <f aca="false">ROUND(1.56/FX,2)</f>
        <v>0.22</v>
      </c>
      <c r="D5000" s="21" t="s">
        <v>1103</v>
      </c>
      <c r="E5000" s="21" t="s">
        <v>714</v>
      </c>
      <c r="F5000" s="21" t="s">
        <v>708</v>
      </c>
      <c r="G5000" s="21" t="s">
        <v>6166</v>
      </c>
    </row>
    <row r="5001" customFormat="false" ht="15" hidden="false" customHeight="false" outlineLevel="0" collapsed="false">
      <c r="B5001" s="19" t="s">
        <v>6178</v>
      </c>
      <c r="C5001" s="20" t="n">
        <f aca="false">ROUND(1.56/FX,2)</f>
        <v>0.22</v>
      </c>
      <c r="D5001" s="21" t="s">
        <v>1103</v>
      </c>
      <c r="E5001" s="21" t="s">
        <v>716</v>
      </c>
      <c r="F5001" s="21" t="s">
        <v>708</v>
      </c>
      <c r="G5001" s="21" t="s">
        <v>6166</v>
      </c>
    </row>
    <row r="5002" customFormat="false" ht="15" hidden="false" customHeight="false" outlineLevel="0" collapsed="false">
      <c r="B5002" s="19" t="s">
        <v>6179</v>
      </c>
      <c r="C5002" s="20" t="n">
        <f aca="false">ROUND(1.56/FX,2)</f>
        <v>0.22</v>
      </c>
      <c r="D5002" s="21" t="s">
        <v>1323</v>
      </c>
      <c r="E5002" s="21" t="s">
        <v>707</v>
      </c>
      <c r="F5002" s="21" t="s">
        <v>708</v>
      </c>
      <c r="G5002" s="21" t="s">
        <v>6166</v>
      </c>
    </row>
    <row r="5003" customFormat="false" ht="15" hidden="false" customHeight="false" outlineLevel="0" collapsed="false">
      <c r="B5003" s="19" t="s">
        <v>6180</v>
      </c>
      <c r="C5003" s="20" t="n">
        <f aca="false">ROUND(1.56/FX,2)</f>
        <v>0.22</v>
      </c>
      <c r="D5003" s="21" t="s">
        <v>1323</v>
      </c>
      <c r="E5003" s="21" t="s">
        <v>714</v>
      </c>
      <c r="F5003" s="21" t="s">
        <v>708</v>
      </c>
      <c r="G5003" s="21" t="s">
        <v>6166</v>
      </c>
    </row>
    <row r="5004" customFormat="false" ht="15" hidden="false" customHeight="false" outlineLevel="0" collapsed="false">
      <c r="B5004" s="19" t="s">
        <v>6181</v>
      </c>
      <c r="C5004" s="20" t="n">
        <f aca="false">ROUND(1.56/FX,2)</f>
        <v>0.22</v>
      </c>
      <c r="D5004" s="21" t="s">
        <v>1323</v>
      </c>
      <c r="E5004" s="21" t="s">
        <v>716</v>
      </c>
      <c r="F5004" s="21" t="s">
        <v>708</v>
      </c>
      <c r="G5004" s="21" t="s">
        <v>6166</v>
      </c>
    </row>
    <row r="5005" customFormat="false" ht="15" hidden="false" customHeight="false" outlineLevel="0" collapsed="false">
      <c r="B5005" s="19" t="s">
        <v>6182</v>
      </c>
      <c r="C5005" s="20" t="n">
        <f aca="false">ROUND(3.25/FX,2)</f>
        <v>0.45</v>
      </c>
      <c r="D5005" s="21" t="s">
        <v>1525</v>
      </c>
      <c r="E5005" s="21" t="s">
        <v>707</v>
      </c>
      <c r="F5005" s="21" t="s">
        <v>708</v>
      </c>
      <c r="G5005" s="21" t="s">
        <v>6166</v>
      </c>
    </row>
    <row r="5006" customFormat="false" ht="15" hidden="false" customHeight="false" outlineLevel="0" collapsed="false">
      <c r="B5006" s="19" t="s">
        <v>6183</v>
      </c>
      <c r="C5006" s="20" t="n">
        <f aca="false">ROUND(1.56/FX,2)</f>
        <v>0.22</v>
      </c>
      <c r="D5006" s="21" t="s">
        <v>1525</v>
      </c>
      <c r="E5006" s="21" t="s">
        <v>714</v>
      </c>
      <c r="F5006" s="21" t="s">
        <v>708</v>
      </c>
      <c r="G5006" s="21" t="s">
        <v>6166</v>
      </c>
    </row>
    <row r="5007" customFormat="false" ht="15" hidden="false" customHeight="false" outlineLevel="0" collapsed="false">
      <c r="B5007" s="19" t="s">
        <v>6184</v>
      </c>
      <c r="C5007" s="20" t="n">
        <f aca="false">ROUND(1.56/FX,2)</f>
        <v>0.22</v>
      </c>
      <c r="D5007" s="21" t="s">
        <v>1525</v>
      </c>
      <c r="E5007" s="21" t="s">
        <v>716</v>
      </c>
      <c r="F5007" s="21" t="s">
        <v>708</v>
      </c>
      <c r="G5007" s="21" t="s">
        <v>6166</v>
      </c>
    </row>
    <row r="5008" customFormat="false" ht="15" hidden="false" customHeight="false" outlineLevel="0" collapsed="false">
      <c r="B5008" s="19" t="s">
        <v>6185</v>
      </c>
      <c r="C5008" s="20" t="n">
        <f aca="false">ROUND(1.56/FX,2)</f>
        <v>0.22</v>
      </c>
      <c r="D5008" s="21" t="s">
        <v>1595</v>
      </c>
      <c r="E5008" s="21" t="s">
        <v>707</v>
      </c>
      <c r="F5008" s="21" t="s">
        <v>708</v>
      </c>
      <c r="G5008" s="21" t="s">
        <v>6166</v>
      </c>
    </row>
    <row r="5009" customFormat="false" ht="15" hidden="false" customHeight="false" outlineLevel="0" collapsed="false">
      <c r="B5009" s="19" t="s">
        <v>6186</v>
      </c>
      <c r="C5009" s="20" t="n">
        <f aca="false">ROUND(6.5/FX,2)</f>
        <v>0.9</v>
      </c>
      <c r="D5009" s="21" t="s">
        <v>1595</v>
      </c>
      <c r="E5009" s="21" t="s">
        <v>714</v>
      </c>
      <c r="F5009" s="21" t="s">
        <v>708</v>
      </c>
      <c r="G5009" s="21" t="s">
        <v>6166</v>
      </c>
    </row>
    <row r="5010" customFormat="false" ht="15" hidden="false" customHeight="false" outlineLevel="0" collapsed="false">
      <c r="B5010" s="19" t="s">
        <v>6187</v>
      </c>
      <c r="C5010" s="20" t="n">
        <f aca="false">ROUND(1.56/FX,2)</f>
        <v>0.22</v>
      </c>
      <c r="D5010" s="21" t="s">
        <v>1595</v>
      </c>
      <c r="E5010" s="21" t="s">
        <v>716</v>
      </c>
      <c r="F5010" s="21" t="s">
        <v>708</v>
      </c>
      <c r="G5010" s="21" t="s">
        <v>6166</v>
      </c>
    </row>
    <row r="5011" customFormat="false" ht="15" hidden="false" customHeight="false" outlineLevel="0" collapsed="false">
      <c r="B5011" s="19" t="s">
        <v>6188</v>
      </c>
      <c r="C5011" s="20" t="n">
        <f aca="false">ROUND(1.56/FX,2)</f>
        <v>0.22</v>
      </c>
      <c r="D5011" s="21" t="s">
        <v>1972</v>
      </c>
      <c r="E5011" s="21" t="s">
        <v>707</v>
      </c>
      <c r="F5011" s="21" t="s">
        <v>708</v>
      </c>
      <c r="G5011" s="21" t="s">
        <v>6166</v>
      </c>
    </row>
    <row r="5012" customFormat="false" ht="15" hidden="false" customHeight="false" outlineLevel="0" collapsed="false">
      <c r="B5012" s="19" t="s">
        <v>6189</v>
      </c>
      <c r="C5012" s="20" t="n">
        <f aca="false">ROUND(4.29/FX,2)</f>
        <v>0.6</v>
      </c>
      <c r="D5012" s="21" t="s">
        <v>1972</v>
      </c>
      <c r="E5012" s="21" t="s">
        <v>714</v>
      </c>
      <c r="F5012" s="21" t="s">
        <v>708</v>
      </c>
      <c r="G5012" s="21" t="s">
        <v>6166</v>
      </c>
    </row>
    <row r="5013" customFormat="false" ht="15" hidden="false" customHeight="false" outlineLevel="0" collapsed="false">
      <c r="B5013" s="19" t="s">
        <v>6190</v>
      </c>
      <c r="C5013" s="20" t="n">
        <f aca="false">ROUND(1.56/FX,2)</f>
        <v>0.22</v>
      </c>
      <c r="D5013" s="21" t="s">
        <v>1972</v>
      </c>
      <c r="E5013" s="21" t="s">
        <v>716</v>
      </c>
      <c r="F5013" s="21" t="s">
        <v>708</v>
      </c>
      <c r="G5013" s="21" t="s">
        <v>6166</v>
      </c>
    </row>
    <row r="5014" customFormat="false" ht="15" hidden="false" customHeight="false" outlineLevel="0" collapsed="false">
      <c r="B5014" s="19" t="s">
        <v>6191</v>
      </c>
      <c r="C5014" s="20" t="n">
        <f aca="false">ROUND(1.56/FX,2)</f>
        <v>0.22</v>
      </c>
      <c r="D5014" s="21" t="s">
        <v>6192</v>
      </c>
      <c r="E5014" s="21" t="s">
        <v>707</v>
      </c>
      <c r="F5014" s="21" t="s">
        <v>708</v>
      </c>
      <c r="G5014" s="21" t="s">
        <v>6166</v>
      </c>
    </row>
    <row r="5015" customFormat="false" ht="15" hidden="false" customHeight="false" outlineLevel="0" collapsed="false">
      <c r="B5015" s="19" t="s">
        <v>6193</v>
      </c>
      <c r="C5015" s="20" t="n">
        <f aca="false">ROUND(4.68/FX,2)</f>
        <v>0.65</v>
      </c>
      <c r="D5015" s="21" t="s">
        <v>6192</v>
      </c>
      <c r="E5015" s="21" t="s">
        <v>714</v>
      </c>
      <c r="F5015" s="21" t="s">
        <v>708</v>
      </c>
      <c r="G5015" s="21" t="s">
        <v>6166</v>
      </c>
    </row>
    <row r="5016" customFormat="false" ht="15" hidden="false" customHeight="false" outlineLevel="0" collapsed="false">
      <c r="B5016" s="19" t="s">
        <v>6194</v>
      </c>
      <c r="C5016" s="20" t="n">
        <f aca="false">ROUND(1.56/FX,2)</f>
        <v>0.22</v>
      </c>
      <c r="D5016" s="21" t="s">
        <v>6192</v>
      </c>
      <c r="E5016" s="21" t="s">
        <v>716</v>
      </c>
      <c r="F5016" s="21" t="s">
        <v>708</v>
      </c>
      <c r="G5016" s="21" t="s">
        <v>6166</v>
      </c>
    </row>
    <row r="5017" customFormat="false" ht="15" hidden="false" customHeight="false" outlineLevel="0" collapsed="false">
      <c r="B5017" s="19" t="s">
        <v>6195</v>
      </c>
      <c r="C5017" s="20" t="n">
        <f aca="false">ROUND(3.25/FX,2)</f>
        <v>0.45</v>
      </c>
      <c r="D5017" s="21" t="s">
        <v>2082</v>
      </c>
      <c r="E5017" s="21" t="s">
        <v>707</v>
      </c>
      <c r="F5017" s="21" t="s">
        <v>708</v>
      </c>
      <c r="G5017" s="21" t="s">
        <v>6166</v>
      </c>
    </row>
    <row r="5018" customFormat="false" ht="15" hidden="false" customHeight="false" outlineLevel="0" collapsed="false">
      <c r="B5018" s="19" t="s">
        <v>6196</v>
      </c>
      <c r="C5018" s="20" t="n">
        <f aca="false">ROUND(1.56/FX,2)</f>
        <v>0.22</v>
      </c>
      <c r="D5018" s="21" t="s">
        <v>2082</v>
      </c>
      <c r="E5018" s="21" t="s">
        <v>714</v>
      </c>
      <c r="F5018" s="21" t="s">
        <v>708</v>
      </c>
      <c r="G5018" s="21" t="s">
        <v>6166</v>
      </c>
    </row>
    <row r="5019" customFormat="false" ht="15" hidden="false" customHeight="false" outlineLevel="0" collapsed="false">
      <c r="B5019" s="19" t="s">
        <v>6197</v>
      </c>
      <c r="C5019" s="20" t="n">
        <f aca="false">ROUND(1.56/FX,2)</f>
        <v>0.22</v>
      </c>
      <c r="D5019" s="21" t="s">
        <v>2082</v>
      </c>
      <c r="E5019" s="21" t="s">
        <v>716</v>
      </c>
      <c r="F5019" s="21" t="s">
        <v>708</v>
      </c>
      <c r="G5019" s="21" t="s">
        <v>6166</v>
      </c>
    </row>
    <row r="5020" customFormat="false" ht="15" hidden="false" customHeight="false" outlineLevel="0" collapsed="false">
      <c r="B5020" s="19" t="s">
        <v>6198</v>
      </c>
      <c r="C5020" s="20" t="n">
        <f aca="false">ROUND(4.55/FX,2)</f>
        <v>0.63</v>
      </c>
      <c r="D5020" s="21" t="s">
        <v>2157</v>
      </c>
      <c r="E5020" s="21" t="s">
        <v>707</v>
      </c>
      <c r="F5020" s="21" t="s">
        <v>708</v>
      </c>
      <c r="G5020" s="21" t="s">
        <v>6166</v>
      </c>
    </row>
    <row r="5021" customFormat="false" ht="15" hidden="false" customHeight="false" outlineLevel="0" collapsed="false">
      <c r="B5021" s="19" t="s">
        <v>6199</v>
      </c>
      <c r="C5021" s="20" t="n">
        <f aca="false">ROUND(1.56/FX,2)</f>
        <v>0.22</v>
      </c>
      <c r="D5021" s="21" t="s">
        <v>2157</v>
      </c>
      <c r="E5021" s="21" t="s">
        <v>714</v>
      </c>
      <c r="F5021" s="21" t="s">
        <v>708</v>
      </c>
      <c r="G5021" s="21" t="s">
        <v>6166</v>
      </c>
    </row>
    <row r="5022" customFormat="false" ht="15" hidden="false" customHeight="false" outlineLevel="0" collapsed="false">
      <c r="B5022" s="19" t="s">
        <v>6200</v>
      </c>
      <c r="C5022" s="20" t="n">
        <f aca="false">ROUND(1.56/FX,2)</f>
        <v>0.22</v>
      </c>
      <c r="D5022" s="21" t="s">
        <v>2157</v>
      </c>
      <c r="E5022" s="21" t="s">
        <v>716</v>
      </c>
      <c r="F5022" s="21" t="s">
        <v>708</v>
      </c>
      <c r="G5022" s="21" t="s">
        <v>6166</v>
      </c>
    </row>
    <row r="5023" customFormat="false" ht="15" hidden="false" customHeight="false" outlineLevel="0" collapsed="false">
      <c r="B5023" s="19" t="s">
        <v>6201</v>
      </c>
      <c r="C5023" s="20" t="n">
        <f aca="false">ROUND(7.15/FX,2)</f>
        <v>0.99</v>
      </c>
      <c r="D5023" s="21" t="s">
        <v>2440</v>
      </c>
      <c r="E5023" s="21" t="s">
        <v>707</v>
      </c>
      <c r="F5023" s="21" t="s">
        <v>708</v>
      </c>
      <c r="G5023" s="21" t="s">
        <v>6166</v>
      </c>
    </row>
    <row r="5024" customFormat="false" ht="15" hidden="false" customHeight="false" outlineLevel="0" collapsed="false">
      <c r="B5024" s="19" t="s">
        <v>6202</v>
      </c>
      <c r="C5024" s="20" t="n">
        <f aca="false">ROUND(1.56/FX,2)</f>
        <v>0.22</v>
      </c>
      <c r="D5024" s="21" t="s">
        <v>2440</v>
      </c>
      <c r="E5024" s="21" t="s">
        <v>714</v>
      </c>
      <c r="F5024" s="21" t="s">
        <v>708</v>
      </c>
      <c r="G5024" s="21" t="s">
        <v>6166</v>
      </c>
    </row>
    <row r="5025" customFormat="false" ht="15" hidden="false" customHeight="false" outlineLevel="0" collapsed="false">
      <c r="B5025" s="19" t="s">
        <v>6203</v>
      </c>
      <c r="C5025" s="20" t="n">
        <f aca="false">ROUND(1.56/FX,2)</f>
        <v>0.22</v>
      </c>
      <c r="D5025" s="21" t="s">
        <v>2440</v>
      </c>
      <c r="E5025" s="21" t="s">
        <v>716</v>
      </c>
      <c r="F5025" s="21" t="s">
        <v>708</v>
      </c>
      <c r="G5025" s="21" t="s">
        <v>6166</v>
      </c>
    </row>
    <row r="5026" customFormat="false" ht="15" hidden="false" customHeight="false" outlineLevel="0" collapsed="false">
      <c r="B5026" s="19" t="s">
        <v>6204</v>
      </c>
      <c r="C5026" s="20" t="n">
        <f aca="false">ROUND(1.56/FX,2)</f>
        <v>0.22</v>
      </c>
      <c r="D5026" s="21" t="s">
        <v>6205</v>
      </c>
      <c r="E5026" s="21" t="s">
        <v>707</v>
      </c>
      <c r="F5026" s="21" t="s">
        <v>708</v>
      </c>
      <c r="G5026" s="21" t="s">
        <v>6166</v>
      </c>
    </row>
    <row r="5027" customFormat="false" ht="15" hidden="false" customHeight="false" outlineLevel="0" collapsed="false">
      <c r="B5027" s="19" t="s">
        <v>6206</v>
      </c>
      <c r="C5027" s="20" t="n">
        <f aca="false">ROUND(1.56/FX,2)</f>
        <v>0.22</v>
      </c>
      <c r="D5027" s="21" t="s">
        <v>6205</v>
      </c>
      <c r="E5027" s="21" t="s">
        <v>714</v>
      </c>
      <c r="F5027" s="21" t="s">
        <v>708</v>
      </c>
      <c r="G5027" s="21" t="s">
        <v>6166</v>
      </c>
    </row>
    <row r="5028" customFormat="false" ht="15" hidden="false" customHeight="false" outlineLevel="0" collapsed="false">
      <c r="B5028" s="19" t="s">
        <v>6207</v>
      </c>
      <c r="C5028" s="20" t="n">
        <f aca="false">ROUND(4.03/FX,2)</f>
        <v>0.56</v>
      </c>
      <c r="D5028" s="21" t="s">
        <v>6205</v>
      </c>
      <c r="E5028" s="21" t="s">
        <v>716</v>
      </c>
      <c r="F5028" s="21" t="s">
        <v>708</v>
      </c>
      <c r="G5028" s="21" t="s">
        <v>6166</v>
      </c>
    </row>
    <row r="5029" customFormat="false" ht="15" hidden="false" customHeight="false" outlineLevel="0" collapsed="false">
      <c r="B5029" s="19" t="s">
        <v>6208</v>
      </c>
      <c r="C5029" s="20" t="n">
        <f aca="false">ROUND(3.25/FX,2)</f>
        <v>0.45</v>
      </c>
      <c r="D5029" s="21" t="s">
        <v>2611</v>
      </c>
      <c r="E5029" s="21" t="s">
        <v>707</v>
      </c>
      <c r="F5029" s="21" t="s">
        <v>708</v>
      </c>
      <c r="G5029" s="21" t="s">
        <v>6160</v>
      </c>
    </row>
    <row r="5030" customFormat="false" ht="15" hidden="false" customHeight="false" outlineLevel="0" collapsed="false">
      <c r="B5030" s="19" t="s">
        <v>6209</v>
      </c>
      <c r="C5030" s="20" t="n">
        <f aca="false">ROUND(2.6/FX,2)</f>
        <v>0.36</v>
      </c>
      <c r="D5030" s="21" t="s">
        <v>2611</v>
      </c>
      <c r="E5030" s="21" t="s">
        <v>716</v>
      </c>
      <c r="F5030" s="21" t="s">
        <v>708</v>
      </c>
      <c r="G5030" s="21" t="s">
        <v>6160</v>
      </c>
    </row>
    <row r="5031" customFormat="false" ht="15" hidden="false" customHeight="false" outlineLevel="0" collapsed="false">
      <c r="B5031" s="19" t="s">
        <v>6210</v>
      </c>
      <c r="C5031" s="20" t="n">
        <f aca="false">ROUND(13/FX,2)</f>
        <v>1.81</v>
      </c>
      <c r="D5031" s="21" t="s">
        <v>6211</v>
      </c>
      <c r="E5031" s="21" t="s">
        <v>707</v>
      </c>
      <c r="F5031" s="21" t="s">
        <v>708</v>
      </c>
      <c r="G5031" s="21" t="s">
        <v>6160</v>
      </c>
    </row>
    <row r="5032" customFormat="false" ht="15" hidden="false" customHeight="false" outlineLevel="0" collapsed="false">
      <c r="B5032" s="19" t="s">
        <v>6212</v>
      </c>
      <c r="C5032" s="20" t="n">
        <f aca="false">ROUND(3.9/FX,2)</f>
        <v>0.54</v>
      </c>
      <c r="D5032" s="21" t="s">
        <v>6211</v>
      </c>
      <c r="E5032" s="21" t="s">
        <v>716</v>
      </c>
      <c r="F5032" s="21" t="s">
        <v>708</v>
      </c>
      <c r="G5032" s="21" t="s">
        <v>6160</v>
      </c>
    </row>
    <row r="5033" customFormat="false" ht="15" hidden="false" customHeight="false" outlineLevel="0" collapsed="false">
      <c r="B5033" s="19" t="s">
        <v>6213</v>
      </c>
      <c r="C5033" s="20" t="n">
        <f aca="false">ROUND(3.9/FX,2)</f>
        <v>0.54</v>
      </c>
      <c r="D5033" s="21" t="s">
        <v>6214</v>
      </c>
      <c r="E5033" s="21" t="s">
        <v>707</v>
      </c>
      <c r="F5033" s="21" t="s">
        <v>708</v>
      </c>
      <c r="G5033" s="21" t="s">
        <v>6160</v>
      </c>
    </row>
    <row r="5034" customFormat="false" ht="15" hidden="false" customHeight="false" outlineLevel="0" collapsed="false">
      <c r="B5034" s="19" t="s">
        <v>6215</v>
      </c>
      <c r="C5034" s="20" t="n">
        <f aca="false">ROUND(9.75/FX,2)</f>
        <v>1.35</v>
      </c>
      <c r="D5034" s="21" t="s">
        <v>6214</v>
      </c>
      <c r="E5034" s="21" t="s">
        <v>716</v>
      </c>
      <c r="F5034" s="21" t="s">
        <v>708</v>
      </c>
      <c r="G5034" s="21" t="s">
        <v>6160</v>
      </c>
    </row>
    <row r="5035" customFormat="false" ht="15" hidden="false" customHeight="false" outlineLevel="0" collapsed="false">
      <c r="B5035" s="19" t="s">
        <v>6216</v>
      </c>
      <c r="C5035" s="20" t="n">
        <f aca="false">ROUND(1.56/FX,2)</f>
        <v>0.22</v>
      </c>
      <c r="D5035" s="21" t="s">
        <v>1202</v>
      </c>
      <c r="E5035" s="21" t="s">
        <v>707</v>
      </c>
      <c r="F5035" s="21" t="s">
        <v>708</v>
      </c>
      <c r="G5035" s="21" t="s">
        <v>6160</v>
      </c>
    </row>
    <row r="5036" customFormat="false" ht="15" hidden="false" customHeight="false" outlineLevel="0" collapsed="false">
      <c r="B5036" s="19" t="s">
        <v>6217</v>
      </c>
      <c r="C5036" s="20" t="n">
        <f aca="false">ROUND(2.6/FX,2)</f>
        <v>0.36</v>
      </c>
      <c r="D5036" s="21" t="s">
        <v>1202</v>
      </c>
      <c r="E5036" s="21" t="s">
        <v>716</v>
      </c>
      <c r="F5036" s="21" t="s">
        <v>708</v>
      </c>
      <c r="G5036" s="21" t="s">
        <v>6160</v>
      </c>
    </row>
    <row r="5037" customFormat="false" ht="15" hidden="false" customHeight="false" outlineLevel="0" collapsed="false">
      <c r="B5037" s="19" t="s">
        <v>6218</v>
      </c>
      <c r="C5037" s="20" t="n">
        <f aca="false">ROUND(3.9/FX,2)</f>
        <v>0.54</v>
      </c>
      <c r="D5037" s="21" t="s">
        <v>6219</v>
      </c>
      <c r="E5037" s="21" t="s">
        <v>707</v>
      </c>
      <c r="F5037" s="21" t="s">
        <v>708</v>
      </c>
      <c r="G5037" s="21" t="s">
        <v>6160</v>
      </c>
    </row>
    <row r="5038" customFormat="false" ht="15" hidden="false" customHeight="false" outlineLevel="0" collapsed="false">
      <c r="B5038" s="19" t="s">
        <v>6220</v>
      </c>
      <c r="C5038" s="20" t="n">
        <f aca="false">ROUND(14.3/FX,2)</f>
        <v>1.99</v>
      </c>
      <c r="D5038" s="21" t="s">
        <v>6219</v>
      </c>
      <c r="E5038" s="21" t="s">
        <v>716</v>
      </c>
      <c r="F5038" s="21" t="s">
        <v>708</v>
      </c>
      <c r="G5038" s="21" t="s">
        <v>6160</v>
      </c>
    </row>
    <row r="5039" customFormat="false" ht="15" hidden="false" customHeight="false" outlineLevel="0" collapsed="false">
      <c r="B5039" s="19" t="s">
        <v>6221</v>
      </c>
      <c r="C5039" s="20" t="n">
        <f aca="false">ROUND(3.9/FX,2)</f>
        <v>0.54</v>
      </c>
      <c r="D5039" s="21" t="s">
        <v>6222</v>
      </c>
      <c r="E5039" s="21" t="s">
        <v>707</v>
      </c>
      <c r="F5039" s="21" t="s">
        <v>708</v>
      </c>
      <c r="G5039" s="21" t="s">
        <v>6160</v>
      </c>
    </row>
    <row r="5040" customFormat="false" ht="15" hidden="false" customHeight="false" outlineLevel="0" collapsed="false">
      <c r="B5040" s="19" t="s">
        <v>6223</v>
      </c>
      <c r="C5040" s="20" t="n">
        <f aca="false">ROUND(14.3/FX,2)</f>
        <v>1.99</v>
      </c>
      <c r="D5040" s="21" t="s">
        <v>6222</v>
      </c>
      <c r="E5040" s="21" t="s">
        <v>716</v>
      </c>
      <c r="F5040" s="21" t="s">
        <v>708</v>
      </c>
      <c r="G5040" s="21" t="s">
        <v>6160</v>
      </c>
    </row>
    <row r="5041" customFormat="false" ht="15" hidden="false" customHeight="false" outlineLevel="0" collapsed="false">
      <c r="B5041" s="19" t="s">
        <v>6224</v>
      </c>
      <c r="C5041" s="20" t="n">
        <f aca="false">ROUND(1.95/FX,2)</f>
        <v>0.27</v>
      </c>
      <c r="D5041" s="21" t="s">
        <v>4216</v>
      </c>
      <c r="E5041" s="21" t="s">
        <v>707</v>
      </c>
      <c r="F5041" s="21" t="s">
        <v>708</v>
      </c>
      <c r="G5041" s="21" t="s">
        <v>6160</v>
      </c>
    </row>
    <row r="5042" customFormat="false" ht="15" hidden="false" customHeight="false" outlineLevel="0" collapsed="false">
      <c r="B5042" s="19" t="s">
        <v>6225</v>
      </c>
      <c r="C5042" s="20" t="n">
        <f aca="false">ROUND(2.6/FX,2)</f>
        <v>0.36</v>
      </c>
      <c r="D5042" s="21" t="s">
        <v>4216</v>
      </c>
      <c r="E5042" s="21" t="s">
        <v>716</v>
      </c>
      <c r="F5042" s="21" t="s">
        <v>708</v>
      </c>
      <c r="G5042" s="21" t="s">
        <v>6160</v>
      </c>
    </row>
    <row r="5043" customFormat="false" ht="15" hidden="false" customHeight="false" outlineLevel="0" collapsed="false">
      <c r="B5043" s="19" t="s">
        <v>6226</v>
      </c>
      <c r="C5043" s="20" t="n">
        <f aca="false">ROUND(2.6/FX,2)</f>
        <v>0.36</v>
      </c>
      <c r="D5043" s="21" t="s">
        <v>4502</v>
      </c>
      <c r="E5043" s="21" t="s">
        <v>707</v>
      </c>
      <c r="F5043" s="21" t="s">
        <v>708</v>
      </c>
      <c r="G5043" s="21" t="s">
        <v>6160</v>
      </c>
    </row>
    <row r="5044" customFormat="false" ht="15" hidden="false" customHeight="false" outlineLevel="0" collapsed="false">
      <c r="B5044" s="19" t="s">
        <v>6227</v>
      </c>
      <c r="C5044" s="20" t="n">
        <f aca="false">ROUND(3.9/FX,2)</f>
        <v>0.54</v>
      </c>
      <c r="D5044" s="21" t="s">
        <v>4502</v>
      </c>
      <c r="E5044" s="21" t="s">
        <v>716</v>
      </c>
      <c r="F5044" s="21" t="s">
        <v>708</v>
      </c>
      <c r="G5044" s="21" t="s">
        <v>6160</v>
      </c>
    </row>
    <row r="5045" customFormat="false" ht="15" hidden="false" customHeight="false" outlineLevel="0" collapsed="false">
      <c r="B5045" s="19" t="s">
        <v>6228</v>
      </c>
      <c r="C5045" s="20" t="n">
        <f aca="false">ROUND(7.28/FX,2)</f>
        <v>1.01</v>
      </c>
      <c r="D5045" s="21" t="s">
        <v>2261</v>
      </c>
      <c r="E5045" s="21" t="s">
        <v>714</v>
      </c>
      <c r="F5045" s="21" t="s">
        <v>708</v>
      </c>
      <c r="G5045" s="21" t="s">
        <v>6163</v>
      </c>
    </row>
    <row r="5048" customFormat="false" ht="61.5" hidden="false" customHeight="true" outlineLevel="0" collapsed="false">
      <c r="A5048" s="9"/>
      <c r="B5048" s="10" t="s">
        <v>6229</v>
      </c>
      <c r="C5048" s="10"/>
      <c r="D5048" s="10"/>
      <c r="E5048" s="10"/>
      <c r="F5048" s="10"/>
      <c r="G5048" s="10"/>
      <c r="H5048" s="10"/>
    </row>
    <row r="5049" customFormat="false" ht="22.35" hidden="false" customHeight="true" outlineLevel="0" collapsed="false">
      <c r="B5049" s="11" t="s">
        <v>699</v>
      </c>
      <c r="C5049" s="11"/>
      <c r="D5049" s="11"/>
      <c r="E5049" s="11"/>
      <c r="F5049" s="11"/>
      <c r="G5049" s="11"/>
      <c r="H5049" s="11"/>
    </row>
    <row r="5050" customFormat="false" ht="15" hidden="false" customHeight="false" outlineLevel="0" collapsed="false">
      <c r="A5050" s="12" t="s">
        <v>700</v>
      </c>
      <c r="B5050" s="13" t="s">
        <v>701</v>
      </c>
      <c r="C5050" s="13" t="s">
        <v>702</v>
      </c>
      <c r="D5050" s="13" t="s">
        <v>703</v>
      </c>
      <c r="E5050" s="13" t="s">
        <v>722</v>
      </c>
      <c r="F5050" s="13" t="s">
        <v>704</v>
      </c>
      <c r="G5050" s="13" t="s">
        <v>6159</v>
      </c>
      <c r="H5050" s="13" t="s">
        <v>705</v>
      </c>
    </row>
    <row r="5051" customFormat="false" ht="30" hidden="false" customHeight="true" outlineLevel="0" collapsed="false">
      <c r="A5051" s="14" t="s">
        <v>706</v>
      </c>
      <c r="B5051" s="15" t="str">
        <f aca="false">IF(COUNTIFS($D$5054:$D$5057,IF(D5051="","*",D5051),$E$5054:$E$5057,IF(E5051="","*",E5051),$F$5054:$F$5057,IF(F5051="","*",F5051),$G$5054:$G$5057,IF(G5051="","*",G5051),$H$5054:$H$5057,IF(H5051="","*",H5051))=1,INDEX($B:$B,SUMPRODUCT(((D5051="")+($D$5054:$D$5057=D5051)&gt;0)*((E5051="")+($E$5054:$E$5057=E5051)&gt;0)*((F5051="")+($F$5054:$F$5057=F5051)&gt;0)*((G5051="")+($G$5054:$G$5057=G5051)&gt;0)*((H5051="")+($H$5054:$H$5057=H5051)&gt;0)*ROW($B$5054:$B$5057))),IF(COUNTIFS($D$5054:$D$5057,IF(D5051="","*",D5051),$E$5054:$E$5057,IF(E5051="","*",E5051),$F$5054:$F$5057,IF(F5051="","*",F5051),$G$5054:$G$5057,IF(G5051="","*",G5051),$H$5054:$H$5057,IF(H5051="","*",H5051))=0,"Not available",COUNTIFS($D$5054:$D$5057,IF(D5051="","*",D5051),$E$5054:$E$5057,IF(E5051="","*",E5051),$F$5054:$F$5057,IF(F5051="","*",F5051),$G$5054:$G$5057,IF(G5051="","*",G5051),$H$5054:$H$5057,IF(H5051="","*",H5051))&amp;" match, keep choosing"))</f>
        <v>S2M-10-R-1M</v>
      </c>
      <c r="C5051" s="16" t="n">
        <f aca="false">IF(COUNTIFS($D$5054:$D$5057,IF(D5051="","*",D5051),$E$5054:$E$5057,IF(E5051="","*",E5051),$F$5054:$F$5057,IF(F5051="","*",F5051),$G$5054:$G$5057,IF(G5051="","*",G5051),$H$5054:$H$5057,IF(H5051="","*",H5051))=1,INDEX($C:$C,SUMPRODUCT(((D5051="")+($D$5054:$D$5057=D5051)&gt;0)*((E5051="")+($E$5054:$E$5057=E5051)&gt;0)*((F5051="")+($F$5054:$F$5057=F5051)&gt;0)*((G5051="")+($G$5054:$G$5057=G5051)&gt;0)*((H5051="")+($H$5054:$H$5057=H5051)&gt;0)*ROW($B$5054:$B$5057))),"")</f>
        <v>0.81</v>
      </c>
      <c r="D5051" s="17" t="s">
        <v>707</v>
      </c>
      <c r="E5051" s="17" t="s">
        <v>724</v>
      </c>
      <c r="F5051" s="17" t="s">
        <v>708</v>
      </c>
      <c r="G5051" s="17" t="s">
        <v>6166</v>
      </c>
      <c r="H5051" s="17" t="s">
        <v>709</v>
      </c>
    </row>
    <row r="5053" customFormat="false" ht="15" hidden="false" customHeight="false" outlineLevel="0" collapsed="false">
      <c r="B5053" s="18" t="s">
        <v>701</v>
      </c>
      <c r="C5053" s="18" t="s">
        <v>702</v>
      </c>
      <c r="D5053" s="18" t="s">
        <v>703</v>
      </c>
      <c r="E5053" s="18" t="s">
        <v>722</v>
      </c>
      <c r="F5053" s="18" t="s">
        <v>704</v>
      </c>
      <c r="G5053" s="18" t="s">
        <v>6159</v>
      </c>
      <c r="H5053" s="18" t="s">
        <v>705</v>
      </c>
    </row>
    <row r="5054" customFormat="false" ht="15" hidden="false" customHeight="false" outlineLevel="0" collapsed="false">
      <c r="B5054" s="19" t="s">
        <v>6230</v>
      </c>
      <c r="C5054" s="20" t="n">
        <f aca="false">ROUND(5.85/FX,2)</f>
        <v>0.81</v>
      </c>
      <c r="D5054" s="21" t="s">
        <v>707</v>
      </c>
      <c r="E5054" s="21" t="s">
        <v>724</v>
      </c>
      <c r="F5054" s="21" t="s">
        <v>708</v>
      </c>
      <c r="G5054" s="21" t="s">
        <v>6166</v>
      </c>
      <c r="H5054" s="21" t="s">
        <v>709</v>
      </c>
    </row>
    <row r="5055" customFormat="false" ht="15" hidden="false" customHeight="false" outlineLevel="0" collapsed="false">
      <c r="B5055" s="19" t="s">
        <v>6231</v>
      </c>
      <c r="C5055" s="20" t="n">
        <f aca="false">ROUND(2.86/FX,2)</f>
        <v>0.4</v>
      </c>
      <c r="D5055" s="21" t="s">
        <v>789</v>
      </c>
      <c r="E5055" s="21" t="s">
        <v>724</v>
      </c>
      <c r="F5055" s="21" t="s">
        <v>708</v>
      </c>
      <c r="G5055" s="21" t="s">
        <v>6166</v>
      </c>
      <c r="H5055" s="21" t="s">
        <v>709</v>
      </c>
    </row>
    <row r="5056" customFormat="false" ht="15" hidden="false" customHeight="false" outlineLevel="0" collapsed="false">
      <c r="B5056" s="19" t="s">
        <v>6232</v>
      </c>
      <c r="C5056" s="20" t="n">
        <f aca="false">ROUND(3.28/FX,2)</f>
        <v>0.46</v>
      </c>
      <c r="D5056" s="21" t="s">
        <v>716</v>
      </c>
      <c r="E5056" s="21" t="s">
        <v>724</v>
      </c>
      <c r="F5056" s="21" t="s">
        <v>708</v>
      </c>
      <c r="G5056" s="21" t="s">
        <v>6166</v>
      </c>
      <c r="H5056" s="21" t="s">
        <v>709</v>
      </c>
    </row>
    <row r="5057" customFormat="false" ht="15" hidden="false" customHeight="false" outlineLevel="0" collapsed="false">
      <c r="B5057" s="19" t="s">
        <v>6233</v>
      </c>
      <c r="C5057" s="20" t="n">
        <f aca="false">ROUND(7.8/FX,2)</f>
        <v>1.08</v>
      </c>
      <c r="D5057" s="21" t="s">
        <v>3317</v>
      </c>
      <c r="E5057" s="21" t="s">
        <v>751</v>
      </c>
      <c r="F5057" s="21" t="s">
        <v>725</v>
      </c>
      <c r="G5057" s="21" t="s">
        <v>6163</v>
      </c>
      <c r="H5057" s="21" t="s">
        <v>709</v>
      </c>
    </row>
    <row r="5060" customFormat="false" ht="61.5" hidden="false" customHeight="true" outlineLevel="0" collapsed="false">
      <c r="A5060" s="9"/>
      <c r="B5060" s="10" t="s">
        <v>6234</v>
      </c>
      <c r="C5060" s="10"/>
      <c r="D5060" s="10"/>
      <c r="E5060" s="10"/>
      <c r="F5060" s="10"/>
      <c r="G5060" s="10"/>
    </row>
    <row r="5061" customFormat="false" ht="15" hidden="false" customHeight="false" outlineLevel="0" collapsed="false">
      <c r="A5061" s="12" t="s">
        <v>700</v>
      </c>
      <c r="B5061" s="13" t="s">
        <v>701</v>
      </c>
      <c r="C5061" s="13" t="s">
        <v>702</v>
      </c>
      <c r="D5061" s="13" t="s">
        <v>830</v>
      </c>
      <c r="E5061" s="13" t="s">
        <v>703</v>
      </c>
      <c r="F5061" s="13" t="s">
        <v>704</v>
      </c>
      <c r="G5061" s="13" t="s">
        <v>6159</v>
      </c>
    </row>
    <row r="5062" customFormat="false" ht="30" hidden="false" customHeight="true" outlineLevel="0" collapsed="false">
      <c r="A5062" s="14" t="s">
        <v>706</v>
      </c>
      <c r="B5062" s="15" t="str">
        <f aca="false">IF(COUNTIFS($D$5065:$D$5130,IF(D5062="","*",D5062),$E$5065:$E$5130,IF(E5062="","*",E5062),$F$5065:$F$5130,IF(F5062="","*",F5062),$G$5065:$G$5130,IF(G5062="","*",G5062))=1,INDEX($B:$B,SUMPRODUCT(((D5062="")+($D$5065:$D$5130=D5062)&gt;0)*((E5062="")+($E$5065:$E$5130=E5062)&gt;0)*((F5062="")+($F$5065:$F$5130=F5062)&gt;0)*((G5062="")+($G$5065:$G$5130=G5062)&gt;0)*ROW($B$5065:$B$5130))),IF(COUNTIFS($D$5065:$D$5130,IF(D5062="","*",D5062),$E$5065:$E$5130,IF(E5062="","*",E5062),$F$5065:$F$5130,IF(F5062="","*",F5062),$G$5065:$G$5130,IF(G5062="","*",G5062))=0,"Not available",COUNTIFS($D$5065:$D$5130,IF(D5062="","*",D5062),$E$5065:$E$5130,IF(E5062="","*",E5062),$F$5065:$F$5130,IF(F5062="","*",F5062),$G$5065:$G$5130,IF(G5062="","*",G5062))&amp;" match, keep choosing"))</f>
        <v>PU-AT5-300-16</v>
      </c>
      <c r="C5062" s="16" t="n">
        <f aca="false">IF(COUNTIFS($D$5065:$D$5130,IF(D5062="","*",D5062),$E$5065:$E$5130,IF(E5062="","*",E5062),$F$5065:$F$5130,IF(F5062="","*",F5062),$G$5065:$G$5130,IF(G5062="","*",G5062))=1,INDEX($C:$C,SUMPRODUCT(((D5062="")+($D$5065:$D$5130=D5062)&gt;0)*((E5062="")+($E$5065:$E$5130=E5062)&gt;0)*((F5062="")+($F$5065:$F$5130=F5062)&gt;0)*((G5062="")+($G$5065:$G$5130=G5062)&gt;0)*ROW($B$5065:$B$5130))),"")</f>
        <v>1.26</v>
      </c>
      <c r="D5062" s="17" t="s">
        <v>1520</v>
      </c>
      <c r="E5062" s="17" t="s">
        <v>3833</v>
      </c>
      <c r="F5062" s="17" t="s">
        <v>725</v>
      </c>
      <c r="G5062" s="17" t="s">
        <v>6235</v>
      </c>
    </row>
    <row r="5064" customFormat="false" ht="15" hidden="false" customHeight="false" outlineLevel="0" collapsed="false">
      <c r="B5064" s="18" t="s">
        <v>701</v>
      </c>
      <c r="C5064" s="18" t="s">
        <v>702</v>
      </c>
      <c r="D5064" s="18" t="s">
        <v>830</v>
      </c>
      <c r="E5064" s="18" t="s">
        <v>703</v>
      </c>
      <c r="F5064" s="18" t="s">
        <v>704</v>
      </c>
      <c r="G5064" s="18" t="s">
        <v>6159</v>
      </c>
    </row>
    <row r="5065" customFormat="false" ht="15" hidden="false" customHeight="false" outlineLevel="0" collapsed="false">
      <c r="B5065" s="19" t="s">
        <v>6236</v>
      </c>
      <c r="C5065" s="20" t="n">
        <f aca="false">ROUND(9.1/FX,2)</f>
        <v>1.26</v>
      </c>
      <c r="D5065" s="21" t="s">
        <v>1520</v>
      </c>
      <c r="E5065" s="21" t="s">
        <v>3833</v>
      </c>
      <c r="F5065" s="21" t="s">
        <v>725</v>
      </c>
      <c r="G5065" s="21" t="s">
        <v>6235</v>
      </c>
    </row>
    <row r="5066" customFormat="false" ht="15" hidden="false" customHeight="false" outlineLevel="0" collapsed="false">
      <c r="B5066" s="19" t="s">
        <v>6237</v>
      </c>
      <c r="C5066" s="20" t="n">
        <f aca="false">ROUND(12.35/FX,2)</f>
        <v>1.72</v>
      </c>
      <c r="D5066" s="21" t="s">
        <v>2351</v>
      </c>
      <c r="E5066" s="21" t="s">
        <v>707</v>
      </c>
      <c r="F5066" s="21" t="s">
        <v>725</v>
      </c>
      <c r="G5066" s="21" t="s">
        <v>6235</v>
      </c>
    </row>
    <row r="5067" customFormat="false" ht="15" hidden="false" customHeight="false" outlineLevel="0" collapsed="false">
      <c r="B5067" s="19" t="s">
        <v>6238</v>
      </c>
      <c r="C5067" s="20" t="n">
        <f aca="false">ROUND(11.05/FX,2)</f>
        <v>1.53</v>
      </c>
      <c r="D5067" s="21" t="s">
        <v>1733</v>
      </c>
      <c r="E5067" s="21" t="s">
        <v>707</v>
      </c>
      <c r="F5067" s="21" t="s">
        <v>725</v>
      </c>
      <c r="G5067" s="21" t="s">
        <v>6239</v>
      </c>
    </row>
    <row r="5068" customFormat="false" ht="15" hidden="false" customHeight="false" outlineLevel="0" collapsed="false">
      <c r="B5068" s="19" t="s">
        <v>6240</v>
      </c>
      <c r="C5068" s="20" t="n">
        <f aca="false">ROUND(3.25/FX,2)</f>
        <v>0.45</v>
      </c>
      <c r="D5068" s="21" t="s">
        <v>4908</v>
      </c>
      <c r="E5068" s="21" t="s">
        <v>707</v>
      </c>
      <c r="F5068" s="21" t="s">
        <v>725</v>
      </c>
      <c r="G5068" s="21" t="s">
        <v>6239</v>
      </c>
    </row>
    <row r="5069" customFormat="false" ht="15" hidden="false" customHeight="false" outlineLevel="0" collapsed="false">
      <c r="B5069" s="19" t="s">
        <v>6241</v>
      </c>
      <c r="C5069" s="20" t="n">
        <f aca="false">ROUND(4.68/FX,2)</f>
        <v>0.65</v>
      </c>
      <c r="D5069" s="21" t="s">
        <v>1852</v>
      </c>
      <c r="E5069" s="21" t="s">
        <v>707</v>
      </c>
      <c r="F5069" s="21" t="s">
        <v>708</v>
      </c>
      <c r="G5069" s="21" t="s">
        <v>6242</v>
      </c>
    </row>
    <row r="5070" customFormat="false" ht="15" hidden="false" customHeight="false" outlineLevel="0" collapsed="false">
      <c r="B5070" s="19" t="s">
        <v>6243</v>
      </c>
      <c r="C5070" s="20" t="n">
        <f aca="false">ROUND(4.68/FX,2)</f>
        <v>0.65</v>
      </c>
      <c r="D5070" s="21" t="s">
        <v>1852</v>
      </c>
      <c r="E5070" s="21" t="s">
        <v>6244</v>
      </c>
      <c r="F5070" s="21" t="s">
        <v>708</v>
      </c>
      <c r="G5070" s="21" t="s">
        <v>6242</v>
      </c>
    </row>
    <row r="5071" customFormat="false" ht="15" hidden="false" customHeight="false" outlineLevel="0" collapsed="false">
      <c r="B5071" s="19" t="s">
        <v>6245</v>
      </c>
      <c r="C5071" s="20" t="n">
        <f aca="false">ROUND(33.8/FX,2)</f>
        <v>4.69</v>
      </c>
      <c r="D5071" s="21" t="s">
        <v>1852</v>
      </c>
      <c r="E5071" s="21" t="s">
        <v>6246</v>
      </c>
      <c r="F5071" s="21" t="s">
        <v>708</v>
      </c>
      <c r="G5071" s="21" t="s">
        <v>6242</v>
      </c>
    </row>
    <row r="5072" customFormat="false" ht="15" hidden="false" customHeight="false" outlineLevel="0" collapsed="false">
      <c r="B5072" s="19" t="s">
        <v>6247</v>
      </c>
      <c r="C5072" s="20" t="n">
        <f aca="false">ROUND(4.68/FX,2)</f>
        <v>0.65</v>
      </c>
      <c r="D5072" s="21" t="s">
        <v>2261</v>
      </c>
      <c r="E5072" s="21" t="s">
        <v>707</v>
      </c>
      <c r="F5072" s="21" t="s">
        <v>708</v>
      </c>
      <c r="G5072" s="21" t="s">
        <v>6242</v>
      </c>
    </row>
    <row r="5073" customFormat="false" ht="15" hidden="false" customHeight="false" outlineLevel="0" collapsed="false">
      <c r="B5073" s="19" t="s">
        <v>6248</v>
      </c>
      <c r="C5073" s="20" t="n">
        <f aca="false">ROUND(4.68/FX,2)</f>
        <v>0.65</v>
      </c>
      <c r="D5073" s="21" t="s">
        <v>2261</v>
      </c>
      <c r="E5073" s="21" t="s">
        <v>6244</v>
      </c>
      <c r="F5073" s="21" t="s">
        <v>708</v>
      </c>
      <c r="G5073" s="21" t="s">
        <v>6242</v>
      </c>
    </row>
    <row r="5074" customFormat="false" ht="15" hidden="false" customHeight="false" outlineLevel="0" collapsed="false">
      <c r="B5074" s="19" t="s">
        <v>6249</v>
      </c>
      <c r="C5074" s="20" t="n">
        <f aca="false">ROUND(4.68/FX,2)</f>
        <v>0.65</v>
      </c>
      <c r="D5074" s="21" t="s">
        <v>2261</v>
      </c>
      <c r="E5074" s="21" t="s">
        <v>6246</v>
      </c>
      <c r="F5074" s="21" t="s">
        <v>708</v>
      </c>
      <c r="G5074" s="21" t="s">
        <v>6242</v>
      </c>
    </row>
    <row r="5075" customFormat="false" ht="15" hidden="false" customHeight="false" outlineLevel="0" collapsed="false">
      <c r="B5075" s="19" t="s">
        <v>6250</v>
      </c>
      <c r="C5075" s="20" t="n">
        <f aca="false">ROUND(4.68/FX,2)</f>
        <v>0.65</v>
      </c>
      <c r="D5075" s="21" t="s">
        <v>2460</v>
      </c>
      <c r="E5075" s="21" t="s">
        <v>707</v>
      </c>
      <c r="F5075" s="21" t="s">
        <v>708</v>
      </c>
      <c r="G5075" s="21" t="s">
        <v>6242</v>
      </c>
    </row>
    <row r="5076" customFormat="false" ht="15" hidden="false" customHeight="false" outlineLevel="0" collapsed="false">
      <c r="B5076" s="19" t="s">
        <v>6251</v>
      </c>
      <c r="C5076" s="20" t="n">
        <f aca="false">ROUND(17.42/FX,2)</f>
        <v>2.42</v>
      </c>
      <c r="D5076" s="21" t="s">
        <v>2460</v>
      </c>
      <c r="E5076" s="21" t="s">
        <v>6244</v>
      </c>
      <c r="F5076" s="21" t="s">
        <v>708</v>
      </c>
      <c r="G5076" s="21" t="s">
        <v>6242</v>
      </c>
    </row>
    <row r="5077" customFormat="false" ht="15" hidden="false" customHeight="false" outlineLevel="0" collapsed="false">
      <c r="B5077" s="19" t="s">
        <v>6252</v>
      </c>
      <c r="C5077" s="20" t="n">
        <f aca="false">ROUND(21.84/FX,2)</f>
        <v>3.03</v>
      </c>
      <c r="D5077" s="21" t="s">
        <v>2460</v>
      </c>
      <c r="E5077" s="21" t="s">
        <v>6246</v>
      </c>
      <c r="F5077" s="21" t="s">
        <v>708</v>
      </c>
      <c r="G5077" s="21" t="s">
        <v>6242</v>
      </c>
    </row>
    <row r="5078" customFormat="false" ht="15" hidden="false" customHeight="false" outlineLevel="0" collapsed="false">
      <c r="B5078" s="19" t="s">
        <v>6253</v>
      </c>
      <c r="C5078" s="20" t="n">
        <f aca="false">ROUND(4.68/FX,2)</f>
        <v>0.65</v>
      </c>
      <c r="D5078" s="21" t="s">
        <v>2520</v>
      </c>
      <c r="E5078" s="21" t="s">
        <v>707</v>
      </c>
      <c r="F5078" s="21" t="s">
        <v>708</v>
      </c>
      <c r="G5078" s="21" t="s">
        <v>6242</v>
      </c>
    </row>
    <row r="5079" customFormat="false" ht="15" hidden="false" customHeight="false" outlineLevel="0" collapsed="false">
      <c r="B5079" s="19" t="s">
        <v>6254</v>
      </c>
      <c r="C5079" s="20" t="n">
        <f aca="false">ROUND(19.11/FX,2)</f>
        <v>2.65</v>
      </c>
      <c r="D5079" s="21" t="s">
        <v>2520</v>
      </c>
      <c r="E5079" s="21" t="s">
        <v>6244</v>
      </c>
      <c r="F5079" s="21" t="s">
        <v>708</v>
      </c>
      <c r="G5079" s="21" t="s">
        <v>6242</v>
      </c>
    </row>
    <row r="5080" customFormat="false" ht="15" hidden="false" customHeight="false" outlineLevel="0" collapsed="false">
      <c r="B5080" s="19" t="s">
        <v>6255</v>
      </c>
      <c r="C5080" s="20" t="n">
        <f aca="false">ROUND(4.68/FX,2)</f>
        <v>0.65</v>
      </c>
      <c r="D5080" s="21" t="s">
        <v>2520</v>
      </c>
      <c r="E5080" s="21" t="s">
        <v>6246</v>
      </c>
      <c r="F5080" s="21" t="s">
        <v>708</v>
      </c>
      <c r="G5080" s="21" t="s">
        <v>6242</v>
      </c>
    </row>
    <row r="5081" customFormat="false" ht="15" hidden="false" customHeight="false" outlineLevel="0" collapsed="false">
      <c r="B5081" s="19" t="s">
        <v>6256</v>
      </c>
      <c r="C5081" s="20" t="n">
        <f aca="false">ROUND(4.68/FX,2)</f>
        <v>0.65</v>
      </c>
      <c r="D5081" s="21" t="s">
        <v>6257</v>
      </c>
      <c r="E5081" s="21" t="s">
        <v>707</v>
      </c>
      <c r="F5081" s="21" t="s">
        <v>708</v>
      </c>
      <c r="G5081" s="21" t="s">
        <v>6242</v>
      </c>
    </row>
    <row r="5082" customFormat="false" ht="15" hidden="false" customHeight="false" outlineLevel="0" collapsed="false">
      <c r="B5082" s="19" t="s">
        <v>6258</v>
      </c>
      <c r="C5082" s="20" t="n">
        <f aca="false">ROUND(4.68/FX,2)</f>
        <v>0.65</v>
      </c>
      <c r="D5082" s="21" t="s">
        <v>6257</v>
      </c>
      <c r="E5082" s="21" t="s">
        <v>6244</v>
      </c>
      <c r="F5082" s="21" t="s">
        <v>708</v>
      </c>
      <c r="G5082" s="21" t="s">
        <v>6242</v>
      </c>
    </row>
    <row r="5083" customFormat="false" ht="15" hidden="false" customHeight="false" outlineLevel="0" collapsed="false">
      <c r="B5083" s="19" t="s">
        <v>6259</v>
      </c>
      <c r="C5083" s="20" t="n">
        <f aca="false">ROUND(25.48/FX,2)</f>
        <v>3.54</v>
      </c>
      <c r="D5083" s="21" t="s">
        <v>6257</v>
      </c>
      <c r="E5083" s="21" t="s">
        <v>6246</v>
      </c>
      <c r="F5083" s="21" t="s">
        <v>708</v>
      </c>
      <c r="G5083" s="21" t="s">
        <v>6242</v>
      </c>
    </row>
    <row r="5084" customFormat="false" ht="15" hidden="false" customHeight="false" outlineLevel="0" collapsed="false">
      <c r="B5084" s="19" t="s">
        <v>6260</v>
      </c>
      <c r="C5084" s="20" t="n">
        <f aca="false">ROUND(1.3/FX,2)</f>
        <v>0.18</v>
      </c>
      <c r="D5084" s="21" t="s">
        <v>2901</v>
      </c>
      <c r="E5084" s="21" t="s">
        <v>707</v>
      </c>
      <c r="F5084" s="21" t="s">
        <v>708</v>
      </c>
      <c r="G5084" s="21" t="s">
        <v>6261</v>
      </c>
    </row>
    <row r="5085" customFormat="false" ht="15" hidden="false" customHeight="false" outlineLevel="0" collapsed="false">
      <c r="B5085" s="19" t="s">
        <v>6262</v>
      </c>
      <c r="C5085" s="20" t="n">
        <f aca="false">ROUND(1.3/FX,2)</f>
        <v>0.18</v>
      </c>
      <c r="D5085" s="21" t="s">
        <v>2901</v>
      </c>
      <c r="E5085" s="21" t="s">
        <v>841</v>
      </c>
      <c r="F5085" s="21" t="s">
        <v>708</v>
      </c>
      <c r="G5085" s="21" t="s">
        <v>6261</v>
      </c>
    </row>
    <row r="5086" customFormat="false" ht="15" hidden="false" customHeight="false" outlineLevel="0" collapsed="false">
      <c r="B5086" s="19" t="s">
        <v>6263</v>
      </c>
      <c r="C5086" s="20" t="n">
        <f aca="false">ROUND(1.3/FX,2)</f>
        <v>0.18</v>
      </c>
      <c r="D5086" s="21" t="s">
        <v>2901</v>
      </c>
      <c r="E5086" s="21" t="s">
        <v>716</v>
      </c>
      <c r="F5086" s="21" t="s">
        <v>708</v>
      </c>
      <c r="G5086" s="21" t="s">
        <v>6261</v>
      </c>
    </row>
    <row r="5087" customFormat="false" ht="15" hidden="false" customHeight="false" outlineLevel="0" collapsed="false">
      <c r="B5087" s="19" t="s">
        <v>6264</v>
      </c>
      <c r="C5087" s="20" t="n">
        <f aca="false">ROUND(1.3/FX,2)</f>
        <v>0.18</v>
      </c>
      <c r="D5087" s="21" t="s">
        <v>2901</v>
      </c>
      <c r="E5087" s="21" t="s">
        <v>719</v>
      </c>
      <c r="F5087" s="21" t="s">
        <v>708</v>
      </c>
      <c r="G5087" s="21" t="s">
        <v>6261</v>
      </c>
    </row>
    <row r="5088" customFormat="false" ht="15" hidden="false" customHeight="false" outlineLevel="0" collapsed="false">
      <c r="B5088" s="19" t="s">
        <v>6265</v>
      </c>
      <c r="C5088" s="20" t="n">
        <f aca="false">ROUND(1.3/FX,2)</f>
        <v>0.18</v>
      </c>
      <c r="D5088" s="21" t="s">
        <v>883</v>
      </c>
      <c r="E5088" s="21" t="s">
        <v>707</v>
      </c>
      <c r="F5088" s="21" t="s">
        <v>708</v>
      </c>
      <c r="G5088" s="21" t="s">
        <v>6261</v>
      </c>
    </row>
    <row r="5089" customFormat="false" ht="15" hidden="false" customHeight="false" outlineLevel="0" collapsed="false">
      <c r="B5089" s="19" t="s">
        <v>6266</v>
      </c>
      <c r="C5089" s="20" t="n">
        <f aca="false">ROUND(1.3/FX,2)</f>
        <v>0.18</v>
      </c>
      <c r="D5089" s="21" t="s">
        <v>883</v>
      </c>
      <c r="E5089" s="21" t="s">
        <v>841</v>
      </c>
      <c r="F5089" s="21" t="s">
        <v>708</v>
      </c>
      <c r="G5089" s="21" t="s">
        <v>6261</v>
      </c>
    </row>
    <row r="5090" customFormat="false" ht="15" hidden="false" customHeight="false" outlineLevel="0" collapsed="false">
      <c r="B5090" s="19" t="s">
        <v>6267</v>
      </c>
      <c r="C5090" s="20" t="n">
        <f aca="false">ROUND(1.17/FX,2)</f>
        <v>0.16</v>
      </c>
      <c r="D5090" s="21" t="s">
        <v>883</v>
      </c>
      <c r="E5090" s="21" t="s">
        <v>716</v>
      </c>
      <c r="F5090" s="21" t="s">
        <v>708</v>
      </c>
      <c r="G5090" s="21" t="s">
        <v>6261</v>
      </c>
    </row>
    <row r="5091" customFormat="false" ht="15" hidden="false" customHeight="false" outlineLevel="0" collapsed="false">
      <c r="B5091" s="19" t="s">
        <v>6268</v>
      </c>
      <c r="C5091" s="20" t="n">
        <f aca="false">ROUND(1.3/FX,2)</f>
        <v>0.18</v>
      </c>
      <c r="D5091" s="21" t="s">
        <v>883</v>
      </c>
      <c r="E5091" s="21" t="s">
        <v>719</v>
      </c>
      <c r="F5091" s="21" t="s">
        <v>708</v>
      </c>
      <c r="G5091" s="21" t="s">
        <v>6261</v>
      </c>
    </row>
    <row r="5092" customFormat="false" ht="15" hidden="false" customHeight="false" outlineLevel="0" collapsed="false">
      <c r="B5092" s="19" t="s">
        <v>6269</v>
      </c>
      <c r="C5092" s="20" t="n">
        <f aca="false">ROUND(1.3/FX,2)</f>
        <v>0.18</v>
      </c>
      <c r="D5092" s="21" t="s">
        <v>1048</v>
      </c>
      <c r="E5092" s="21" t="s">
        <v>707</v>
      </c>
      <c r="F5092" s="21" t="s">
        <v>708</v>
      </c>
      <c r="G5092" s="21" t="s">
        <v>6261</v>
      </c>
    </row>
    <row r="5093" customFormat="false" ht="15" hidden="false" customHeight="false" outlineLevel="0" collapsed="false">
      <c r="B5093" s="19" t="s">
        <v>6270</v>
      </c>
      <c r="C5093" s="20" t="n">
        <f aca="false">ROUND(1.3/FX,2)</f>
        <v>0.18</v>
      </c>
      <c r="D5093" s="21" t="s">
        <v>1048</v>
      </c>
      <c r="E5093" s="21" t="s">
        <v>841</v>
      </c>
      <c r="F5093" s="21" t="s">
        <v>708</v>
      </c>
      <c r="G5093" s="21" t="s">
        <v>6261</v>
      </c>
    </row>
    <row r="5094" customFormat="false" ht="15" hidden="false" customHeight="false" outlineLevel="0" collapsed="false">
      <c r="B5094" s="19" t="s">
        <v>6271</v>
      </c>
      <c r="C5094" s="20" t="n">
        <f aca="false">ROUND(1.3/FX,2)</f>
        <v>0.18</v>
      </c>
      <c r="D5094" s="21" t="s">
        <v>1048</v>
      </c>
      <c r="E5094" s="21" t="s">
        <v>716</v>
      </c>
      <c r="F5094" s="21" t="s">
        <v>708</v>
      </c>
      <c r="G5094" s="21" t="s">
        <v>6261</v>
      </c>
    </row>
    <row r="5095" customFormat="false" ht="15" hidden="false" customHeight="false" outlineLevel="0" collapsed="false">
      <c r="B5095" s="19" t="s">
        <v>6272</v>
      </c>
      <c r="C5095" s="20" t="n">
        <f aca="false">ROUND(1.3/FX,2)</f>
        <v>0.18</v>
      </c>
      <c r="D5095" s="21" t="s">
        <v>1048</v>
      </c>
      <c r="E5095" s="21" t="s">
        <v>719</v>
      </c>
      <c r="F5095" s="21" t="s">
        <v>708</v>
      </c>
      <c r="G5095" s="21" t="s">
        <v>6261</v>
      </c>
    </row>
    <row r="5096" customFormat="false" ht="15" hidden="false" customHeight="false" outlineLevel="0" collapsed="false">
      <c r="B5096" s="19" t="s">
        <v>6273</v>
      </c>
      <c r="C5096" s="20" t="n">
        <f aca="false">ROUND(1.3/FX,2)</f>
        <v>0.18</v>
      </c>
      <c r="D5096" s="21" t="s">
        <v>1279</v>
      </c>
      <c r="E5096" s="21" t="s">
        <v>707</v>
      </c>
      <c r="F5096" s="21" t="s">
        <v>708</v>
      </c>
      <c r="G5096" s="21" t="s">
        <v>6261</v>
      </c>
    </row>
    <row r="5097" customFormat="false" ht="15" hidden="false" customHeight="false" outlineLevel="0" collapsed="false">
      <c r="B5097" s="19" t="s">
        <v>6274</v>
      </c>
      <c r="C5097" s="20" t="n">
        <f aca="false">ROUND(1.3/FX,2)</f>
        <v>0.18</v>
      </c>
      <c r="D5097" s="21" t="s">
        <v>1279</v>
      </c>
      <c r="E5097" s="21" t="s">
        <v>841</v>
      </c>
      <c r="F5097" s="21" t="s">
        <v>708</v>
      </c>
      <c r="G5097" s="21" t="s">
        <v>6261</v>
      </c>
    </row>
    <row r="5098" customFormat="false" ht="15" hidden="false" customHeight="false" outlineLevel="0" collapsed="false">
      <c r="B5098" s="19" t="s">
        <v>6275</v>
      </c>
      <c r="C5098" s="20" t="n">
        <f aca="false">ROUND(1.3/FX,2)</f>
        <v>0.18</v>
      </c>
      <c r="D5098" s="21" t="s">
        <v>1279</v>
      </c>
      <c r="E5098" s="21" t="s">
        <v>716</v>
      </c>
      <c r="F5098" s="21" t="s">
        <v>708</v>
      </c>
      <c r="G5098" s="21" t="s">
        <v>6261</v>
      </c>
    </row>
    <row r="5099" customFormat="false" ht="15" hidden="false" customHeight="false" outlineLevel="0" collapsed="false">
      <c r="B5099" s="19" t="s">
        <v>6276</v>
      </c>
      <c r="C5099" s="20" t="n">
        <f aca="false">ROUND(1.3/FX,2)</f>
        <v>0.18</v>
      </c>
      <c r="D5099" s="21" t="s">
        <v>1279</v>
      </c>
      <c r="E5099" s="21" t="s">
        <v>719</v>
      </c>
      <c r="F5099" s="21" t="s">
        <v>708</v>
      </c>
      <c r="G5099" s="21" t="s">
        <v>6261</v>
      </c>
    </row>
    <row r="5100" customFormat="false" ht="15" hidden="false" customHeight="false" outlineLevel="0" collapsed="false">
      <c r="B5100" s="19" t="s">
        <v>6277</v>
      </c>
      <c r="C5100" s="20" t="n">
        <f aca="false">ROUND(3.25/FX,2)</f>
        <v>0.45</v>
      </c>
      <c r="D5100" s="21" t="s">
        <v>6278</v>
      </c>
      <c r="E5100" s="21" t="s">
        <v>707</v>
      </c>
      <c r="F5100" s="21" t="s">
        <v>708</v>
      </c>
      <c r="G5100" s="21" t="s">
        <v>6261</v>
      </c>
    </row>
    <row r="5101" customFormat="false" ht="15" hidden="false" customHeight="false" outlineLevel="0" collapsed="false">
      <c r="B5101" s="19" t="s">
        <v>6279</v>
      </c>
      <c r="C5101" s="20" t="n">
        <f aca="false">ROUND(1.3/FX,2)</f>
        <v>0.18</v>
      </c>
      <c r="D5101" s="21" t="s">
        <v>6278</v>
      </c>
      <c r="E5101" s="21" t="s">
        <v>841</v>
      </c>
      <c r="F5101" s="21" t="s">
        <v>708</v>
      </c>
      <c r="G5101" s="21" t="s">
        <v>6261</v>
      </c>
    </row>
    <row r="5102" customFormat="false" ht="15" hidden="false" customHeight="false" outlineLevel="0" collapsed="false">
      <c r="B5102" s="19" t="s">
        <v>6280</v>
      </c>
      <c r="C5102" s="20" t="n">
        <f aca="false">ROUND(1.37/FX,2)</f>
        <v>0.19</v>
      </c>
      <c r="D5102" s="21" t="s">
        <v>6278</v>
      </c>
      <c r="E5102" s="21" t="s">
        <v>716</v>
      </c>
      <c r="F5102" s="21" t="s">
        <v>708</v>
      </c>
      <c r="G5102" s="21" t="s">
        <v>6261</v>
      </c>
    </row>
    <row r="5103" customFormat="false" ht="15" hidden="false" customHeight="false" outlineLevel="0" collapsed="false">
      <c r="B5103" s="19" t="s">
        <v>6281</v>
      </c>
      <c r="C5103" s="20" t="n">
        <f aca="false">ROUND(4.68/FX,2)</f>
        <v>0.65</v>
      </c>
      <c r="D5103" s="21" t="s">
        <v>6278</v>
      </c>
      <c r="E5103" s="21" t="s">
        <v>719</v>
      </c>
      <c r="F5103" s="21" t="s">
        <v>708</v>
      </c>
      <c r="G5103" s="21" t="s">
        <v>6261</v>
      </c>
    </row>
    <row r="5104" customFormat="false" ht="15" hidden="false" customHeight="false" outlineLevel="0" collapsed="false">
      <c r="B5104" s="19" t="s">
        <v>6282</v>
      </c>
      <c r="C5104" s="20" t="n">
        <f aca="false">ROUND(1.3/FX,2)</f>
        <v>0.18</v>
      </c>
      <c r="D5104" s="21" t="s">
        <v>4975</v>
      </c>
      <c r="E5104" s="21" t="s">
        <v>707</v>
      </c>
      <c r="F5104" s="21" t="s">
        <v>708</v>
      </c>
      <c r="G5104" s="21" t="s">
        <v>6261</v>
      </c>
    </row>
    <row r="5105" customFormat="false" ht="15" hidden="false" customHeight="false" outlineLevel="0" collapsed="false">
      <c r="B5105" s="19" t="s">
        <v>6283</v>
      </c>
      <c r="C5105" s="20" t="n">
        <f aca="false">ROUND(1.3/FX,2)</f>
        <v>0.18</v>
      </c>
      <c r="D5105" s="21" t="s">
        <v>4975</v>
      </c>
      <c r="E5105" s="21" t="s">
        <v>841</v>
      </c>
      <c r="F5105" s="21" t="s">
        <v>708</v>
      </c>
      <c r="G5105" s="21" t="s">
        <v>6261</v>
      </c>
    </row>
    <row r="5106" customFormat="false" ht="15" hidden="false" customHeight="false" outlineLevel="0" collapsed="false">
      <c r="B5106" s="19" t="s">
        <v>6284</v>
      </c>
      <c r="C5106" s="20" t="n">
        <f aca="false">ROUND(1.04/FX,2)</f>
        <v>0.14</v>
      </c>
      <c r="D5106" s="21" t="s">
        <v>4975</v>
      </c>
      <c r="E5106" s="21" t="s">
        <v>716</v>
      </c>
      <c r="F5106" s="21" t="s">
        <v>708</v>
      </c>
      <c r="G5106" s="21" t="s">
        <v>6261</v>
      </c>
    </row>
    <row r="5107" customFormat="false" ht="15" hidden="false" customHeight="false" outlineLevel="0" collapsed="false">
      <c r="B5107" s="19" t="s">
        <v>6285</v>
      </c>
      <c r="C5107" s="20" t="n">
        <f aca="false">ROUND(1.3/FX,2)</f>
        <v>0.18</v>
      </c>
      <c r="D5107" s="21" t="s">
        <v>4975</v>
      </c>
      <c r="E5107" s="21" t="s">
        <v>719</v>
      </c>
      <c r="F5107" s="21" t="s">
        <v>708</v>
      </c>
      <c r="G5107" s="21" t="s">
        <v>6261</v>
      </c>
    </row>
    <row r="5108" customFormat="false" ht="15" hidden="false" customHeight="false" outlineLevel="0" collapsed="false">
      <c r="B5108" s="19" t="s">
        <v>6286</v>
      </c>
      <c r="C5108" s="20" t="n">
        <f aca="false">ROUND(1.3/FX,2)</f>
        <v>0.18</v>
      </c>
      <c r="D5108" s="21" t="s">
        <v>2112</v>
      </c>
      <c r="E5108" s="21" t="s">
        <v>707</v>
      </c>
      <c r="F5108" s="21" t="s">
        <v>708</v>
      </c>
      <c r="G5108" s="21" t="s">
        <v>6261</v>
      </c>
    </row>
    <row r="5109" customFormat="false" ht="15" hidden="false" customHeight="false" outlineLevel="0" collapsed="false">
      <c r="B5109" s="19" t="s">
        <v>6287</v>
      </c>
      <c r="C5109" s="20" t="n">
        <f aca="false">ROUND(2.43/FX,2)</f>
        <v>0.34</v>
      </c>
      <c r="D5109" s="21" t="s">
        <v>2112</v>
      </c>
      <c r="E5109" s="21" t="s">
        <v>841</v>
      </c>
      <c r="F5109" s="21" t="s">
        <v>708</v>
      </c>
      <c r="G5109" s="21" t="s">
        <v>6261</v>
      </c>
    </row>
    <row r="5110" customFormat="false" ht="15" hidden="false" customHeight="false" outlineLevel="0" collapsed="false">
      <c r="B5110" s="19" t="s">
        <v>6288</v>
      </c>
      <c r="C5110" s="20" t="n">
        <f aca="false">ROUND(3.64/FX,2)</f>
        <v>0.51</v>
      </c>
      <c r="D5110" s="21" t="s">
        <v>2112</v>
      </c>
      <c r="E5110" s="21" t="s">
        <v>716</v>
      </c>
      <c r="F5110" s="21" t="s">
        <v>708</v>
      </c>
      <c r="G5110" s="21" t="s">
        <v>6261</v>
      </c>
    </row>
    <row r="5111" customFormat="false" ht="15" hidden="false" customHeight="false" outlineLevel="0" collapsed="false">
      <c r="B5111" s="19" t="s">
        <v>6289</v>
      </c>
      <c r="C5111" s="20" t="n">
        <f aca="false">ROUND(1.3/FX,2)</f>
        <v>0.18</v>
      </c>
      <c r="D5111" s="21" t="s">
        <v>2112</v>
      </c>
      <c r="E5111" s="21" t="s">
        <v>719</v>
      </c>
      <c r="F5111" s="21" t="s">
        <v>708</v>
      </c>
      <c r="G5111" s="21" t="s">
        <v>6261</v>
      </c>
    </row>
    <row r="5112" customFormat="false" ht="15" hidden="false" customHeight="false" outlineLevel="0" collapsed="false">
      <c r="B5112" s="19" t="s">
        <v>6290</v>
      </c>
      <c r="C5112" s="20" t="n">
        <f aca="false">ROUND(1.3/FX,2)</f>
        <v>0.18</v>
      </c>
      <c r="D5112" s="21" t="s">
        <v>6291</v>
      </c>
      <c r="E5112" s="21" t="s">
        <v>707</v>
      </c>
      <c r="F5112" s="21" t="s">
        <v>708</v>
      </c>
      <c r="G5112" s="21" t="s">
        <v>6261</v>
      </c>
    </row>
    <row r="5113" customFormat="false" ht="15" hidden="false" customHeight="false" outlineLevel="0" collapsed="false">
      <c r="B5113" s="19" t="s">
        <v>6292</v>
      </c>
      <c r="C5113" s="20" t="n">
        <f aca="false">ROUND(1.3/FX,2)</f>
        <v>0.18</v>
      </c>
      <c r="D5113" s="21" t="s">
        <v>6291</v>
      </c>
      <c r="E5113" s="21" t="s">
        <v>841</v>
      </c>
      <c r="F5113" s="21" t="s">
        <v>708</v>
      </c>
      <c r="G5113" s="21" t="s">
        <v>6261</v>
      </c>
    </row>
    <row r="5114" customFormat="false" ht="15" hidden="false" customHeight="false" outlineLevel="0" collapsed="false">
      <c r="B5114" s="19" t="s">
        <v>6293</v>
      </c>
      <c r="C5114" s="20" t="n">
        <f aca="false">ROUND(4.16/FX,2)</f>
        <v>0.58</v>
      </c>
      <c r="D5114" s="21" t="s">
        <v>6291</v>
      </c>
      <c r="E5114" s="21" t="s">
        <v>716</v>
      </c>
      <c r="F5114" s="21" t="s">
        <v>708</v>
      </c>
      <c r="G5114" s="21" t="s">
        <v>6261</v>
      </c>
    </row>
    <row r="5115" customFormat="false" ht="15" hidden="false" customHeight="false" outlineLevel="0" collapsed="false">
      <c r="B5115" s="19" t="s">
        <v>6294</v>
      </c>
      <c r="C5115" s="20" t="n">
        <f aca="false">ROUND(1.3/FX,2)</f>
        <v>0.18</v>
      </c>
      <c r="D5115" s="21" t="s">
        <v>6291</v>
      </c>
      <c r="E5115" s="21" t="s">
        <v>719</v>
      </c>
      <c r="F5115" s="21" t="s">
        <v>708</v>
      </c>
      <c r="G5115" s="21" t="s">
        <v>6261</v>
      </c>
    </row>
    <row r="5116" customFormat="false" ht="15" hidden="false" customHeight="false" outlineLevel="0" collapsed="false">
      <c r="B5116" s="19" t="s">
        <v>6295</v>
      </c>
      <c r="C5116" s="20" t="n">
        <f aca="false">ROUND(8.45/FX,2)</f>
        <v>1.17</v>
      </c>
      <c r="D5116" s="21" t="s">
        <v>1733</v>
      </c>
      <c r="E5116" s="21" t="s">
        <v>707</v>
      </c>
      <c r="F5116" s="21" t="s">
        <v>708</v>
      </c>
      <c r="G5116" s="21" t="s">
        <v>6239</v>
      </c>
    </row>
    <row r="5117" customFormat="false" ht="15" hidden="false" customHeight="false" outlineLevel="0" collapsed="false">
      <c r="B5117" s="19" t="s">
        <v>6296</v>
      </c>
      <c r="C5117" s="20" t="n">
        <f aca="false">ROUND(16.9/FX,2)</f>
        <v>2.35</v>
      </c>
      <c r="D5117" s="21" t="s">
        <v>1733</v>
      </c>
      <c r="E5117" s="21" t="s">
        <v>3247</v>
      </c>
      <c r="F5117" s="21" t="s">
        <v>708</v>
      </c>
      <c r="G5117" s="21" t="s">
        <v>6239</v>
      </c>
    </row>
    <row r="5118" customFormat="false" ht="15" hidden="false" customHeight="false" outlineLevel="0" collapsed="false">
      <c r="B5118" s="19" t="s">
        <v>6297</v>
      </c>
      <c r="C5118" s="20" t="n">
        <f aca="false">ROUND(19.5/FX,2)</f>
        <v>2.71</v>
      </c>
      <c r="D5118" s="21" t="s">
        <v>3253</v>
      </c>
      <c r="E5118" s="21" t="s">
        <v>3247</v>
      </c>
      <c r="F5118" s="21" t="s">
        <v>708</v>
      </c>
      <c r="G5118" s="21" t="s">
        <v>6239</v>
      </c>
    </row>
    <row r="5119" customFormat="false" ht="15" hidden="false" customHeight="false" outlineLevel="0" collapsed="false">
      <c r="B5119" s="19" t="s">
        <v>6298</v>
      </c>
      <c r="C5119" s="20" t="n">
        <f aca="false">ROUND(23.4/FX,2)</f>
        <v>3.25</v>
      </c>
      <c r="D5119" s="21" t="s">
        <v>6299</v>
      </c>
      <c r="E5119" s="21" t="s">
        <v>3247</v>
      </c>
      <c r="F5119" s="21" t="s">
        <v>708</v>
      </c>
      <c r="G5119" s="21" t="s">
        <v>6239</v>
      </c>
    </row>
    <row r="5120" customFormat="false" ht="15" hidden="false" customHeight="false" outlineLevel="0" collapsed="false">
      <c r="B5120" s="19" t="s">
        <v>6300</v>
      </c>
      <c r="C5120" s="20" t="n">
        <f aca="false">ROUND(28.6/FX,2)</f>
        <v>3.97</v>
      </c>
      <c r="D5120" s="21" t="s">
        <v>6301</v>
      </c>
      <c r="E5120" s="21" t="s">
        <v>3247</v>
      </c>
      <c r="F5120" s="21" t="s">
        <v>708</v>
      </c>
      <c r="G5120" s="21" t="s">
        <v>6239</v>
      </c>
    </row>
    <row r="5121" customFormat="false" ht="15" hidden="false" customHeight="false" outlineLevel="0" collapsed="false">
      <c r="B5121" s="19" t="s">
        <v>6302</v>
      </c>
      <c r="C5121" s="20" t="n">
        <f aca="false">ROUND(31.2/FX,2)</f>
        <v>4.33</v>
      </c>
      <c r="D5121" s="21" t="s">
        <v>4614</v>
      </c>
      <c r="E5121" s="21" t="s">
        <v>3247</v>
      </c>
      <c r="F5121" s="21" t="s">
        <v>708</v>
      </c>
      <c r="G5121" s="21" t="s">
        <v>6239</v>
      </c>
    </row>
    <row r="5122" customFormat="false" ht="15" hidden="false" customHeight="false" outlineLevel="0" collapsed="false">
      <c r="B5122" s="19" t="s">
        <v>6303</v>
      </c>
      <c r="C5122" s="20" t="n">
        <f aca="false">ROUND(32.5/FX,2)</f>
        <v>4.51</v>
      </c>
      <c r="D5122" s="21" t="s">
        <v>1924</v>
      </c>
      <c r="E5122" s="21" t="s">
        <v>3247</v>
      </c>
      <c r="F5122" s="21" t="s">
        <v>708</v>
      </c>
      <c r="G5122" s="21" t="s">
        <v>6239</v>
      </c>
    </row>
    <row r="5123" customFormat="false" ht="15" hidden="false" customHeight="false" outlineLevel="0" collapsed="false">
      <c r="B5123" s="19" t="s">
        <v>6304</v>
      </c>
      <c r="C5123" s="20" t="n">
        <f aca="false">ROUND(4.55/FX,2)</f>
        <v>0.63</v>
      </c>
      <c r="D5123" s="21" t="s">
        <v>1323</v>
      </c>
      <c r="E5123" s="21" t="s">
        <v>3247</v>
      </c>
      <c r="F5123" s="21" t="s">
        <v>708</v>
      </c>
      <c r="G5123" s="21" t="s">
        <v>6239</v>
      </c>
    </row>
    <row r="5124" customFormat="false" ht="15" hidden="false" customHeight="false" outlineLevel="0" collapsed="false">
      <c r="B5124" s="19" t="s">
        <v>6305</v>
      </c>
      <c r="C5124" s="20" t="n">
        <f aca="false">ROUND(2.86/FX,2)</f>
        <v>0.4</v>
      </c>
      <c r="D5124" s="21" t="s">
        <v>4908</v>
      </c>
      <c r="E5124" s="21" t="s">
        <v>707</v>
      </c>
      <c r="F5124" s="21" t="s">
        <v>708</v>
      </c>
      <c r="G5124" s="21" t="s">
        <v>6239</v>
      </c>
    </row>
    <row r="5125" customFormat="false" ht="15" hidden="false" customHeight="false" outlineLevel="0" collapsed="false">
      <c r="B5125" s="19" t="s">
        <v>6306</v>
      </c>
      <c r="C5125" s="20" t="n">
        <f aca="false">ROUND(5.2/FX,2)</f>
        <v>0.72</v>
      </c>
      <c r="D5125" s="21" t="s">
        <v>1520</v>
      </c>
      <c r="E5125" s="21" t="s">
        <v>3247</v>
      </c>
      <c r="F5125" s="21" t="s">
        <v>708</v>
      </c>
      <c r="G5125" s="21" t="s">
        <v>6239</v>
      </c>
    </row>
    <row r="5126" customFormat="false" ht="15" hidden="false" customHeight="false" outlineLevel="0" collapsed="false">
      <c r="B5126" s="19" t="s">
        <v>6307</v>
      </c>
      <c r="C5126" s="20" t="n">
        <f aca="false">ROUND(5.85/FX,2)</f>
        <v>0.81</v>
      </c>
      <c r="D5126" s="21" t="s">
        <v>1635</v>
      </c>
      <c r="E5126" s="21" t="s">
        <v>3247</v>
      </c>
      <c r="F5126" s="21" t="s">
        <v>708</v>
      </c>
      <c r="G5126" s="21" t="s">
        <v>6239</v>
      </c>
    </row>
    <row r="5127" customFormat="false" ht="15" hidden="false" customHeight="false" outlineLevel="0" collapsed="false">
      <c r="B5127" s="19" t="s">
        <v>6308</v>
      </c>
      <c r="C5127" s="20" t="n">
        <f aca="false">ROUND(4.16/FX,2)</f>
        <v>0.58</v>
      </c>
      <c r="D5127" s="21" t="s">
        <v>2002</v>
      </c>
      <c r="E5127" s="21" t="s">
        <v>3247</v>
      </c>
      <c r="F5127" s="21" t="s">
        <v>708</v>
      </c>
      <c r="G5127" s="21" t="s">
        <v>6239</v>
      </c>
    </row>
    <row r="5128" customFormat="false" ht="15" hidden="false" customHeight="false" outlineLevel="0" collapsed="false">
      <c r="B5128" s="19" t="s">
        <v>6309</v>
      </c>
      <c r="C5128" s="20" t="n">
        <f aca="false">ROUND(4.55/FX,2)</f>
        <v>0.63</v>
      </c>
      <c r="D5128" s="21" t="s">
        <v>2261</v>
      </c>
      <c r="E5128" s="21" t="s">
        <v>707</v>
      </c>
      <c r="F5128" s="21" t="s">
        <v>708</v>
      </c>
      <c r="G5128" s="21" t="s">
        <v>6239</v>
      </c>
    </row>
    <row r="5129" customFormat="false" ht="15" hidden="false" customHeight="false" outlineLevel="0" collapsed="false">
      <c r="B5129" s="19" t="s">
        <v>6310</v>
      </c>
      <c r="C5129" s="20" t="n">
        <f aca="false">ROUND(12.35/FX,2)</f>
        <v>1.72</v>
      </c>
      <c r="D5129" s="21" t="s">
        <v>2400</v>
      </c>
      <c r="E5129" s="21" t="s">
        <v>3247</v>
      </c>
      <c r="F5129" s="21" t="s">
        <v>708</v>
      </c>
      <c r="G5129" s="21" t="s">
        <v>6239</v>
      </c>
    </row>
    <row r="5130" customFormat="false" ht="15" hidden="false" customHeight="false" outlineLevel="0" collapsed="false">
      <c r="B5130" s="19" t="s">
        <v>6311</v>
      </c>
      <c r="C5130" s="20" t="n">
        <f aca="false">ROUND(14.95/FX,2)</f>
        <v>2.08</v>
      </c>
      <c r="D5130" s="21" t="s">
        <v>2500</v>
      </c>
      <c r="E5130" s="21" t="s">
        <v>3247</v>
      </c>
      <c r="F5130" s="21" t="s">
        <v>708</v>
      </c>
      <c r="G5130" s="21" t="s">
        <v>6239</v>
      </c>
    </row>
    <row r="5133" customFormat="false" ht="61.5" hidden="false" customHeight="true" outlineLevel="0" collapsed="false">
      <c r="A5133" s="9"/>
      <c r="B5133" s="10" t="s">
        <v>6312</v>
      </c>
      <c r="C5133" s="10"/>
      <c r="D5133" s="10"/>
      <c r="E5133" s="10"/>
      <c r="F5133" s="10"/>
      <c r="G5133" s="10"/>
      <c r="H5133" s="10"/>
    </row>
    <row r="5134" customFormat="false" ht="22.35" hidden="false" customHeight="true" outlineLevel="0" collapsed="false">
      <c r="B5134" s="11" t="s">
        <v>699</v>
      </c>
      <c r="C5134" s="11"/>
      <c r="D5134" s="11"/>
      <c r="E5134" s="11"/>
      <c r="F5134" s="11"/>
      <c r="G5134" s="11"/>
      <c r="H5134" s="11"/>
    </row>
    <row r="5135" customFormat="false" ht="15" hidden="false" customHeight="false" outlineLevel="0" collapsed="false">
      <c r="A5135" s="12" t="s">
        <v>700</v>
      </c>
      <c r="B5135" s="13" t="s">
        <v>701</v>
      </c>
      <c r="C5135" s="13" t="s">
        <v>702</v>
      </c>
      <c r="D5135" s="13" t="s">
        <v>703</v>
      </c>
      <c r="E5135" s="13" t="s">
        <v>722</v>
      </c>
      <c r="F5135" s="13" t="s">
        <v>704</v>
      </c>
      <c r="G5135" s="13" t="s">
        <v>6159</v>
      </c>
      <c r="H5135" s="13" t="s">
        <v>705</v>
      </c>
    </row>
    <row r="5136" customFormat="false" ht="30" hidden="false" customHeight="true" outlineLevel="0" collapsed="false">
      <c r="A5136" s="14" t="s">
        <v>706</v>
      </c>
      <c r="B5136" s="15" t="str">
        <f aca="false">IF(COUNTIFS($D$5139:$D$5150,IF(D5136="","*",D5136),$E$5139:$E$5150,IF(E5136="","*",E5136),$F$5139:$F$5150,IF(F5136="","*",F5136),$G$5139:$G$5150,IF(G5136="","*",G5136),$H$5139:$H$5150,IF(H5136="","*",H5136))=1,INDEX($B:$B,SUMPRODUCT(((D5136="")+($D$5139:$D$5150=D5136)&gt;0)*((E5136="")+($E$5139:$E$5150=E5136)&gt;0)*((F5136="")+($F$5139:$F$5150=F5136)&gt;0)*((G5136="")+($G$5139:$G$5150=G5136)&gt;0)*((H5136="")+($H$5139:$H$5150=H5136)&gt;0)*ROW($B$5139:$B$5150))),IF(COUNTIFS($D$5139:$D$5150,IF(D5136="","*",D5136),$E$5139:$E$5150,IF(E5136="","*",E5136),$F$5139:$F$5150,IF(F5136="","*",F5136),$G$5139:$G$5150,IF(G5136="","*",G5136),$H$5139:$H$5150,IF(H5136="","*",H5136))=0,"Not available",COUNTIFS($D$5139:$D$5150,IF(D5136="","*",D5136),$E$5139:$E$5150,IF(E5136="","*",E5136),$F$5139:$F$5150,IF(F5136="","*",F5136),$G$5139:$G$5150,IF(G5136="","*",G5136),$H$5139:$H$5150,IF(H5136="","*",H5136))&amp;" match, keep choosing"))</f>
        <v>T2.5-4-R-1M</v>
      </c>
      <c r="C5136" s="16" t="n">
        <f aca="false">IF(COUNTIFS($D$5139:$D$5150,IF(D5136="","*",D5136),$E$5139:$E$5150,IF(E5136="","*",E5136),$F$5139:$F$5150,IF(F5136="","*",F5136),$G$5139:$G$5150,IF(G5136="","*",G5136),$H$5139:$H$5150,IF(H5136="","*",H5136))=1,INDEX($C:$C,SUMPRODUCT(((D5136="")+($D$5139:$D$5150=D5136)&gt;0)*((E5136="")+($E$5139:$E$5150=E5136)&gt;0)*((F5136="")+($F$5139:$F$5150=F5136)&gt;0)*((G5136="")+($G$5139:$G$5150=G5136)&gt;0)*((H5136="")+($H$5139:$H$5150=H5136)&gt;0)*ROW($B$5139:$B$5150))),"")</f>
        <v>0.36</v>
      </c>
      <c r="D5136" s="17" t="s">
        <v>841</v>
      </c>
      <c r="E5136" s="17" t="s">
        <v>724</v>
      </c>
      <c r="F5136" s="17" t="s">
        <v>708</v>
      </c>
      <c r="G5136" s="17" t="s">
        <v>6261</v>
      </c>
      <c r="H5136" s="17" t="s">
        <v>709</v>
      </c>
    </row>
    <row r="5138" customFormat="false" ht="15" hidden="false" customHeight="false" outlineLevel="0" collapsed="false">
      <c r="B5138" s="18" t="s">
        <v>701</v>
      </c>
      <c r="C5138" s="18" t="s">
        <v>702</v>
      </c>
      <c r="D5138" s="18" t="s">
        <v>703</v>
      </c>
      <c r="E5138" s="18" t="s">
        <v>722</v>
      </c>
      <c r="F5138" s="18" t="s">
        <v>704</v>
      </c>
      <c r="G5138" s="18" t="s">
        <v>6159</v>
      </c>
      <c r="H5138" s="18" t="s">
        <v>705</v>
      </c>
    </row>
    <row r="5139" customFormat="false" ht="15" hidden="false" customHeight="false" outlineLevel="0" collapsed="false">
      <c r="B5139" s="19" t="s">
        <v>6313</v>
      </c>
      <c r="C5139" s="20" t="n">
        <f aca="false">ROUND(2.6/FX,2)</f>
        <v>0.36</v>
      </c>
      <c r="D5139" s="21" t="s">
        <v>841</v>
      </c>
      <c r="E5139" s="21" t="s">
        <v>724</v>
      </c>
      <c r="F5139" s="21" t="s">
        <v>708</v>
      </c>
      <c r="G5139" s="21" t="s">
        <v>6261</v>
      </c>
      <c r="H5139" s="21" t="s">
        <v>709</v>
      </c>
    </row>
    <row r="5140" customFormat="false" ht="15" hidden="false" customHeight="false" outlineLevel="0" collapsed="false">
      <c r="B5140" s="19" t="s">
        <v>6314</v>
      </c>
      <c r="C5140" s="20" t="n">
        <f aca="false">ROUND(2.86/FX,2)</f>
        <v>0.4</v>
      </c>
      <c r="D5140" s="21" t="s">
        <v>716</v>
      </c>
      <c r="E5140" s="21" t="s">
        <v>724</v>
      </c>
      <c r="F5140" s="21" t="s">
        <v>708</v>
      </c>
      <c r="G5140" s="21" t="s">
        <v>6261</v>
      </c>
      <c r="H5140" s="21" t="s">
        <v>709</v>
      </c>
    </row>
    <row r="5141" customFormat="false" ht="15" hidden="false" customHeight="false" outlineLevel="0" collapsed="false">
      <c r="B5141" s="19" t="s">
        <v>6315</v>
      </c>
      <c r="C5141" s="20" t="n">
        <f aca="false">ROUND(6.24/FX,2)</f>
        <v>0.87</v>
      </c>
      <c r="D5141" s="21" t="s">
        <v>707</v>
      </c>
      <c r="E5141" s="21" t="s">
        <v>724</v>
      </c>
      <c r="F5141" s="21" t="s">
        <v>708</v>
      </c>
      <c r="G5141" s="21" t="s">
        <v>6239</v>
      </c>
      <c r="H5141" s="21" t="s">
        <v>709</v>
      </c>
    </row>
    <row r="5142" customFormat="false" ht="15" hidden="false" customHeight="false" outlineLevel="0" collapsed="false">
      <c r="B5142" s="19" t="s">
        <v>6316</v>
      </c>
      <c r="C5142" s="20" t="n">
        <f aca="false">ROUND(5.2/FX,2)</f>
        <v>0.72</v>
      </c>
      <c r="D5142" s="21" t="s">
        <v>707</v>
      </c>
      <c r="E5142" s="21" t="s">
        <v>751</v>
      </c>
      <c r="F5142" s="21" t="s">
        <v>725</v>
      </c>
      <c r="G5142" s="21" t="s">
        <v>6239</v>
      </c>
      <c r="H5142" s="21" t="s">
        <v>709</v>
      </c>
    </row>
    <row r="5143" customFormat="false" ht="15" hidden="false" customHeight="false" outlineLevel="0" collapsed="false">
      <c r="B5143" s="19" t="s">
        <v>6317</v>
      </c>
      <c r="C5143" s="20" t="n">
        <f aca="false">ROUND(5.2/FX,2)</f>
        <v>0.72</v>
      </c>
      <c r="D5143" s="21" t="s">
        <v>714</v>
      </c>
      <c r="E5143" s="21" t="s">
        <v>751</v>
      </c>
      <c r="F5143" s="21" t="s">
        <v>725</v>
      </c>
      <c r="G5143" s="21" t="s">
        <v>6239</v>
      </c>
      <c r="H5143" s="21" t="s">
        <v>709</v>
      </c>
    </row>
    <row r="5144" customFormat="false" ht="15" hidden="false" customHeight="false" outlineLevel="0" collapsed="false">
      <c r="B5144" s="19" t="s">
        <v>6318</v>
      </c>
      <c r="C5144" s="20" t="n">
        <f aca="false">ROUND(5.2/FX,2)</f>
        <v>0.72</v>
      </c>
      <c r="D5144" s="21" t="s">
        <v>3833</v>
      </c>
      <c r="E5144" s="21" t="s">
        <v>724</v>
      </c>
      <c r="F5144" s="21" t="s">
        <v>725</v>
      </c>
      <c r="G5144" s="21" t="s">
        <v>6239</v>
      </c>
      <c r="H5144" s="21" t="s">
        <v>709</v>
      </c>
    </row>
    <row r="5145" customFormat="false" ht="15" hidden="false" customHeight="false" outlineLevel="0" collapsed="false">
      <c r="B5145" s="19" t="s">
        <v>6319</v>
      </c>
      <c r="C5145" s="20" t="n">
        <f aca="false">ROUND(4.03/FX,2)</f>
        <v>0.56</v>
      </c>
      <c r="D5145" s="21" t="s">
        <v>3833</v>
      </c>
      <c r="E5145" s="21" t="s">
        <v>751</v>
      </c>
      <c r="F5145" s="21" t="s">
        <v>725</v>
      </c>
      <c r="G5145" s="21" t="s">
        <v>6239</v>
      </c>
      <c r="H5145" s="21" t="s">
        <v>709</v>
      </c>
    </row>
    <row r="5146" customFormat="false" ht="15" hidden="false" customHeight="false" outlineLevel="0" collapsed="false">
      <c r="B5146" s="19" t="s">
        <v>6320</v>
      </c>
      <c r="C5146" s="20" t="n">
        <f aca="false">ROUND(7.15/FX,2)</f>
        <v>0.99</v>
      </c>
      <c r="D5146" s="21" t="s">
        <v>3247</v>
      </c>
      <c r="E5146" s="21" t="s">
        <v>724</v>
      </c>
      <c r="F5146" s="21" t="s">
        <v>725</v>
      </c>
      <c r="G5146" s="21" t="s">
        <v>6239</v>
      </c>
      <c r="H5146" s="21" t="s">
        <v>709</v>
      </c>
    </row>
    <row r="5147" customFormat="false" ht="15" hidden="false" customHeight="false" outlineLevel="0" collapsed="false">
      <c r="B5147" s="19" t="s">
        <v>6321</v>
      </c>
      <c r="C5147" s="20" t="n">
        <f aca="false">ROUND(13/FX,2)</f>
        <v>1.81</v>
      </c>
      <c r="D5147" s="21" t="s">
        <v>3247</v>
      </c>
      <c r="E5147" s="21" t="s">
        <v>724</v>
      </c>
      <c r="F5147" s="21" t="s">
        <v>708</v>
      </c>
      <c r="G5147" s="21" t="s">
        <v>6239</v>
      </c>
      <c r="H5147" s="21" t="s">
        <v>709</v>
      </c>
    </row>
    <row r="5148" customFormat="false" ht="15" hidden="false" customHeight="false" outlineLevel="0" collapsed="false">
      <c r="B5148" s="19" t="s">
        <v>6322</v>
      </c>
      <c r="C5148" s="20" t="n">
        <f aca="false">ROUND(6.5/FX,2)</f>
        <v>0.9</v>
      </c>
      <c r="D5148" s="21" t="s">
        <v>3247</v>
      </c>
      <c r="E5148" s="21" t="s">
        <v>751</v>
      </c>
      <c r="F5148" s="21" t="s">
        <v>725</v>
      </c>
      <c r="G5148" s="21" t="s">
        <v>6239</v>
      </c>
      <c r="H5148" s="21" t="s">
        <v>709</v>
      </c>
    </row>
    <row r="5149" customFormat="false" ht="15" hidden="false" customHeight="false" outlineLevel="0" collapsed="false">
      <c r="B5149" s="19" t="s">
        <v>6323</v>
      </c>
      <c r="C5149" s="20" t="n">
        <f aca="false">ROUND(2.6/FX,2)</f>
        <v>0.36</v>
      </c>
      <c r="D5149" s="21" t="s">
        <v>716</v>
      </c>
      <c r="E5149" s="21" t="s">
        <v>724</v>
      </c>
      <c r="F5149" s="21" t="s">
        <v>725</v>
      </c>
      <c r="G5149" s="21" t="s">
        <v>6239</v>
      </c>
      <c r="H5149" s="21" t="s">
        <v>709</v>
      </c>
    </row>
    <row r="5150" customFormat="false" ht="15" hidden="false" customHeight="false" outlineLevel="0" collapsed="false">
      <c r="B5150" s="19" t="s">
        <v>6324</v>
      </c>
      <c r="C5150" s="20" t="n">
        <f aca="false">ROUND(1.95/FX,2)</f>
        <v>0.27</v>
      </c>
      <c r="D5150" s="21" t="s">
        <v>716</v>
      </c>
      <c r="E5150" s="21" t="s">
        <v>751</v>
      </c>
      <c r="F5150" s="21" t="s">
        <v>725</v>
      </c>
      <c r="G5150" s="21" t="s">
        <v>6239</v>
      </c>
      <c r="H5150" s="21" t="s">
        <v>709</v>
      </c>
    </row>
    <row r="5153" customFormat="false" ht="61.5" hidden="false" customHeight="true" outlineLevel="0" collapsed="false">
      <c r="A5153" s="9"/>
      <c r="B5153" s="10" t="s">
        <v>6325</v>
      </c>
      <c r="C5153" s="10"/>
      <c r="D5153" s="10"/>
    </row>
    <row r="5154" customFormat="false" ht="15" hidden="false" customHeight="false" outlineLevel="0" collapsed="false">
      <c r="B5154" s="18" t="s">
        <v>701</v>
      </c>
      <c r="C5154" s="18" t="s">
        <v>702</v>
      </c>
      <c r="D5154" s="18" t="s">
        <v>5610</v>
      </c>
    </row>
    <row r="5155" customFormat="false" ht="15" hidden="false" customHeight="false" outlineLevel="0" collapsed="false">
      <c r="B5155" s="19" t="s">
        <v>6326</v>
      </c>
      <c r="C5155" s="20" t="n">
        <f aca="false">ROUND(4.1/FX,2)</f>
        <v>0.57</v>
      </c>
      <c r="D5155" s="22" t="s">
        <v>5612</v>
      </c>
    </row>
    <row r="5158" customFormat="false" ht="61.5" hidden="false" customHeight="true" outlineLevel="0" collapsed="false">
      <c r="A5158" s="9"/>
      <c r="B5158" s="10" t="s">
        <v>6327</v>
      </c>
      <c r="C5158" s="10"/>
      <c r="D5158" s="10"/>
      <c r="E5158" s="10"/>
      <c r="F5158" s="10"/>
      <c r="G5158" s="10"/>
    </row>
    <row r="5159" customFormat="false" ht="15" hidden="false" customHeight="false" outlineLevel="0" collapsed="false">
      <c r="A5159" s="12" t="s">
        <v>700</v>
      </c>
      <c r="B5159" s="13" t="s">
        <v>701</v>
      </c>
      <c r="C5159" s="13" t="s">
        <v>702</v>
      </c>
      <c r="D5159" s="13" t="s">
        <v>722</v>
      </c>
      <c r="E5159" s="13" t="s">
        <v>5610</v>
      </c>
      <c r="F5159" s="13" t="s">
        <v>6328</v>
      </c>
      <c r="G5159" s="13" t="s">
        <v>6329</v>
      </c>
    </row>
    <row r="5160" customFormat="false" ht="30" hidden="false" customHeight="true" outlineLevel="0" collapsed="false">
      <c r="A5160" s="14" t="s">
        <v>706</v>
      </c>
      <c r="B5160" s="15" t="str">
        <f aca="false">IF(COUNTIFS($D$5163:$D$5166,IF(D5160="","*",D5160),$E$5163:$E$5166,IF(E5160="","*",E5160),$F$5163:$F$5166,IF(F5160="","*",F5160),$G$5163:$G$5166,IF(G5160="","*",G5160))=1,INDEX($B:$B,SUMPRODUCT(((D5160="")+($D$5163:$D$5166=D5160)&gt;0)*((E5160="")+($E$5163:$E$5166=E5160)&gt;0)*((F5160="")+($F$5163:$F$5166=F5160)&gt;0)*((G5160="")+($G$5163:$G$5166=G5160)&gt;0)*ROW($B$5163:$B$5166))),IF(COUNTIFS($D$5163:$D$5166,IF(D5160="","*",D5160),$E$5163:$E$5166,IF(E5160="","*",E5160),$F$5163:$F$5166,IF(F5160="","*",F5160),$G$5163:$G$5166,IF(G5160="","*",G5160))=0,"Not available",COUNTIFS($D$5163:$D$5166,IF(D5160="","*",D5160),$E$5163:$E$5166,IF(E5160="","*",E5160),$F$5163:$F$5166,IF(F5160="","*",F5160),$G$5163:$G$5166,IF(G5160="","*",G5160))&amp;" match, keep choosing"))</f>
        <v>TB-009-BK-C-376-2GT-KD6</v>
      </c>
      <c r="C5160" s="16" t="n">
        <f aca="false">IF(COUNTIFS($D$5163:$D$5166,IF(D5160="","*",D5160),$E$5163:$E$5166,IF(E5160="","*",E5160),$F$5163:$F$5166,IF(F5160="","*",F5160),$G$5163:$G$5166,IF(G5160="","*",G5160))=1,INDEX($C:$C,SUMPRODUCT(((D5160="")+($D$5163:$D$5166=D5160)&gt;0)*((E5160="")+($E$5163:$E$5166=E5160)&gt;0)*((F5160="")+($F$5163:$F$5166=F5160)&gt;0)*((G5160="")+($G$5163:$G$5166=G5160)&gt;0)*ROW($B$5163:$B$5166))),"")</f>
        <v>1.75</v>
      </c>
      <c r="D5160" s="17" t="s">
        <v>724</v>
      </c>
      <c r="E5160" s="17" t="s">
        <v>6330</v>
      </c>
      <c r="F5160" s="17" t="s">
        <v>6331</v>
      </c>
      <c r="G5160" s="17" t="s">
        <v>716</v>
      </c>
    </row>
    <row r="5162" customFormat="false" ht="15" hidden="false" customHeight="false" outlineLevel="0" collapsed="false">
      <c r="B5162" s="18" t="s">
        <v>701</v>
      </c>
      <c r="C5162" s="18" t="s">
        <v>702</v>
      </c>
      <c r="D5162" s="18" t="s">
        <v>722</v>
      </c>
      <c r="E5162" s="18" t="s">
        <v>5610</v>
      </c>
      <c r="F5162" s="18" t="s">
        <v>6328</v>
      </c>
      <c r="G5162" s="18" t="s">
        <v>6329</v>
      </c>
    </row>
    <row r="5163" customFormat="false" ht="15" hidden="false" customHeight="false" outlineLevel="0" collapsed="false">
      <c r="B5163" s="19" t="s">
        <v>6332</v>
      </c>
      <c r="C5163" s="20" t="n">
        <f aca="false">ROUND(12.61/FX,2)</f>
        <v>1.75</v>
      </c>
      <c r="D5163" s="21" t="s">
        <v>724</v>
      </c>
      <c r="E5163" s="21" t="s">
        <v>6330</v>
      </c>
      <c r="F5163" s="21" t="s">
        <v>6331</v>
      </c>
      <c r="G5163" s="21" t="s">
        <v>716</v>
      </c>
    </row>
    <row r="5164" customFormat="false" ht="15" hidden="false" customHeight="false" outlineLevel="0" collapsed="false">
      <c r="B5164" s="19" t="s">
        <v>6333</v>
      </c>
      <c r="C5164" s="20" t="n">
        <f aca="false">ROUND(19.5/FX,2)</f>
        <v>2.71</v>
      </c>
      <c r="D5164" s="21" t="s">
        <v>724</v>
      </c>
      <c r="E5164" s="21" t="s">
        <v>6334</v>
      </c>
      <c r="F5164" s="21" t="s">
        <v>6331</v>
      </c>
      <c r="G5164" s="21" t="s">
        <v>839</v>
      </c>
    </row>
    <row r="5165" customFormat="false" ht="15" hidden="false" customHeight="false" outlineLevel="0" collapsed="false">
      <c r="B5165" s="19" t="s">
        <v>6335</v>
      </c>
      <c r="C5165" s="20" t="n">
        <f aca="false">ROUND(14.3/FX,2)</f>
        <v>1.99</v>
      </c>
      <c r="D5165" s="21" t="s">
        <v>6336</v>
      </c>
      <c r="E5165" s="21" t="s">
        <v>6330</v>
      </c>
      <c r="F5165" s="21" t="s">
        <v>6337</v>
      </c>
      <c r="G5165" s="21" t="s">
        <v>716</v>
      </c>
    </row>
    <row r="5166" customFormat="false" ht="15" hidden="false" customHeight="false" outlineLevel="0" collapsed="false">
      <c r="B5166" s="19" t="s">
        <v>6338</v>
      </c>
      <c r="C5166" s="20" t="n">
        <f aca="false">ROUND(6.32/FX,2)</f>
        <v>0.88</v>
      </c>
      <c r="D5166" s="21" t="s">
        <v>6336</v>
      </c>
      <c r="E5166" s="21" t="s">
        <v>6339</v>
      </c>
      <c r="F5166" s="21" t="s">
        <v>6337</v>
      </c>
      <c r="G5166" s="21" t="s">
        <v>716</v>
      </c>
    </row>
    <row r="5169" customFormat="false" ht="61.5" hidden="false" customHeight="true" outlineLevel="0" collapsed="false">
      <c r="A5169" s="9"/>
      <c r="B5169" s="10" t="s">
        <v>6340</v>
      </c>
      <c r="C5169" s="10"/>
      <c r="D5169" s="10"/>
    </row>
    <row r="5170" customFormat="false" ht="15" hidden="false" customHeight="false" outlineLevel="0" collapsed="false">
      <c r="A5170" s="12" t="s">
        <v>700</v>
      </c>
      <c r="B5170" s="13" t="s">
        <v>701</v>
      </c>
      <c r="C5170" s="13" t="s">
        <v>702</v>
      </c>
      <c r="D5170" s="13" t="s">
        <v>723</v>
      </c>
    </row>
    <row r="5171" customFormat="false" ht="30" hidden="false" customHeight="true" outlineLevel="0" collapsed="false">
      <c r="A5171" s="14" t="s">
        <v>706</v>
      </c>
      <c r="B5171" s="15" t="str">
        <f aca="false">IF(COUNTIFS($D$5174:$D$5175,IF(D5171="","*",D5171))=1,INDEX($B:$B,SUMPRODUCT(((D5171="")+($D$5174:$D$5175=D5171)&gt;0)*ROW($B$5174:$B$5175))),IF(COUNTIFS($D$5174:$D$5175,IF(D5171="","*",D5171))=0,"Not available",COUNTIFS($D$5174:$D$5175,IF(D5171="","*",D5171))&amp;" match, keep choosing"))</f>
        <v>TB-016-A-28</v>
      </c>
      <c r="C5171" s="16" t="n">
        <f aca="false">IF(COUNTIFS($D$5174:$D$5175,IF(D5171="","*",D5171))=1,INDEX($C:$C,SUMPRODUCT(((D5171="")+($D$5174:$D$5175=D5171)&gt;0)*ROW($B$5174:$B$5175))),"")</f>
        <v>0.45</v>
      </c>
      <c r="D5171" s="17" t="s">
        <v>6341</v>
      </c>
    </row>
    <row r="5173" customFormat="false" ht="15" hidden="false" customHeight="false" outlineLevel="0" collapsed="false">
      <c r="B5173" s="18" t="s">
        <v>701</v>
      </c>
      <c r="C5173" s="18" t="s">
        <v>702</v>
      </c>
      <c r="D5173" s="18" t="s">
        <v>723</v>
      </c>
    </row>
    <row r="5174" customFormat="false" ht="15" hidden="false" customHeight="false" outlineLevel="0" collapsed="false">
      <c r="B5174" s="19" t="s">
        <v>6342</v>
      </c>
      <c r="C5174" s="20" t="n">
        <f aca="false">ROUND(3.25/FX,2)</f>
        <v>0.45</v>
      </c>
      <c r="D5174" s="21" t="s">
        <v>6341</v>
      </c>
    </row>
    <row r="5175" customFormat="false" ht="15" hidden="false" customHeight="false" outlineLevel="0" collapsed="false">
      <c r="B5175" s="19" t="s">
        <v>6343</v>
      </c>
      <c r="C5175" s="20" t="n">
        <f aca="false">ROUND(3.25/FX,2)</f>
        <v>0.45</v>
      </c>
      <c r="D5175" s="21" t="s">
        <v>6344</v>
      </c>
    </row>
    <row r="5178" customFormat="false" ht="61.5" hidden="false" customHeight="true" outlineLevel="0" collapsed="false">
      <c r="A5178" s="9"/>
      <c r="B5178" s="10" t="s">
        <v>6345</v>
      </c>
      <c r="C5178" s="10"/>
      <c r="D5178" s="10"/>
    </row>
    <row r="5179" customFormat="false" ht="15" hidden="false" customHeight="false" outlineLevel="0" collapsed="false">
      <c r="B5179" s="18" t="s">
        <v>701</v>
      </c>
      <c r="C5179" s="18" t="s">
        <v>702</v>
      </c>
      <c r="D5179" s="18" t="s">
        <v>5610</v>
      </c>
    </row>
    <row r="5180" customFormat="false" ht="15" hidden="false" customHeight="false" outlineLevel="0" collapsed="false">
      <c r="B5180" s="19" t="s">
        <v>6346</v>
      </c>
      <c r="C5180" s="20" t="n">
        <f aca="false">ROUND(0.78/FX,2)</f>
        <v>0.11</v>
      </c>
      <c r="D5180" s="22" t="s">
        <v>5612</v>
      </c>
    </row>
    <row r="5183" customFormat="false" ht="61.5" hidden="false" customHeight="true" outlineLevel="0" collapsed="false">
      <c r="A5183" s="9"/>
      <c r="B5183" s="10" t="s">
        <v>6347</v>
      </c>
      <c r="C5183" s="10"/>
      <c r="D5183" s="10"/>
    </row>
    <row r="5184" customFormat="false" ht="15" hidden="false" customHeight="false" outlineLevel="0" collapsed="false">
      <c r="A5184" s="12" t="s">
        <v>700</v>
      </c>
      <c r="B5184" s="13" t="s">
        <v>701</v>
      </c>
      <c r="C5184" s="13" t="s">
        <v>702</v>
      </c>
      <c r="D5184" s="13" t="s">
        <v>723</v>
      </c>
    </row>
    <row r="5185" customFormat="false" ht="30" hidden="false" customHeight="true" outlineLevel="0" collapsed="false">
      <c r="A5185" s="14" t="s">
        <v>706</v>
      </c>
      <c r="B5185" s="15" t="str">
        <f aca="false">IF(COUNTIFS($D$5188:$D$5189,IF(D5185="","*",D5185))=1,INDEX($B:$B,SUMPRODUCT(((D5185="")+($D$5188:$D$5189=D5185)&gt;0)*ROW($B$5188:$B$5189))),IF(COUNTIFS($D$5188:$D$5189,IF(D5185="","*",D5185))=0,"Not available",COUNTIFS($D$5188:$D$5189,IF(D5185="","*",D5185))&amp;" match, keep choosing"))</f>
        <v>TB-014-MB250</v>
      </c>
      <c r="C5185" s="16" t="n">
        <f aca="false">IF(COUNTIFS($D$5188:$D$5189,IF(D5185="","*",D5185))=1,INDEX($C:$C,SUMPRODUCT(((D5185="")+($D$5188:$D$5189=D5185)&gt;0)*ROW($B$5188:$B$5189))),"")</f>
        <v>0.18</v>
      </c>
      <c r="D5185" s="17" t="s">
        <v>6348</v>
      </c>
    </row>
    <row r="5187" customFormat="false" ht="15" hidden="false" customHeight="false" outlineLevel="0" collapsed="false">
      <c r="B5187" s="18" t="s">
        <v>701</v>
      </c>
      <c r="C5187" s="18" t="s">
        <v>702</v>
      </c>
      <c r="D5187" s="18" t="s">
        <v>723</v>
      </c>
    </row>
    <row r="5188" customFormat="false" ht="15" hidden="false" customHeight="false" outlineLevel="0" collapsed="false">
      <c r="B5188" s="19" t="s">
        <v>6349</v>
      </c>
      <c r="C5188" s="20" t="n">
        <f aca="false">ROUND(1.3/FX,2)</f>
        <v>0.18</v>
      </c>
      <c r="D5188" s="21" t="s">
        <v>6348</v>
      </c>
    </row>
    <row r="5189" customFormat="false" ht="15" hidden="false" customHeight="false" outlineLevel="0" collapsed="false">
      <c r="B5189" s="19" t="s">
        <v>6350</v>
      </c>
      <c r="C5189" s="20" t="n">
        <f aca="false">ROUND(1.3/FX,2)</f>
        <v>0.18</v>
      </c>
      <c r="D5189" s="21" t="s">
        <v>6351</v>
      </c>
    </row>
    <row r="5192" customFormat="false" ht="61.5" hidden="false" customHeight="true" outlineLevel="0" collapsed="false">
      <c r="A5192" s="9"/>
      <c r="B5192" s="10" t="s">
        <v>6352</v>
      </c>
      <c r="C5192" s="10"/>
      <c r="D5192" s="10"/>
      <c r="E5192" s="10"/>
      <c r="F5192" s="10"/>
      <c r="G5192" s="10"/>
    </row>
    <row r="5193" customFormat="false" ht="15" hidden="false" customHeight="true" outlineLevel="0" collapsed="false">
      <c r="B5193" s="11" t="s">
        <v>6353</v>
      </c>
      <c r="C5193" s="11"/>
      <c r="D5193" s="11"/>
      <c r="E5193" s="11"/>
      <c r="F5193" s="11"/>
      <c r="G5193" s="11"/>
    </row>
    <row r="5194" customFormat="false" ht="15" hidden="false" customHeight="false" outlineLevel="0" collapsed="false">
      <c r="A5194" s="12" t="s">
        <v>700</v>
      </c>
      <c r="B5194" s="13" t="s">
        <v>701</v>
      </c>
      <c r="C5194" s="13" t="s">
        <v>702</v>
      </c>
      <c r="D5194" s="13" t="s">
        <v>722</v>
      </c>
      <c r="E5194" s="13" t="s">
        <v>705</v>
      </c>
      <c r="F5194" s="13" t="s">
        <v>6354</v>
      </c>
      <c r="G5194" s="13" t="s">
        <v>6355</v>
      </c>
    </row>
    <row r="5195" customFormat="false" ht="30" hidden="false" customHeight="true" outlineLevel="0" collapsed="false">
      <c r="A5195" s="14" t="s">
        <v>706</v>
      </c>
      <c r="B5195" s="15" t="str">
        <f aca="false">IF(COUNTIFS($D$5198:$D$5262,IF(D5195="","*",D5195),$E$5198:$E$5262,IF(E5195="","*",E5195),$F$5198:$F$5262,IF(F5195="","*",F5195),$G$5198:$G$5262,IF(G5195="","*",G5195))=1,INDEX($B:$B,SUMPRODUCT(((D5195="")+($D$5198:$D$5262=D5195)&gt;0)*((E5195="")+($E$5198:$E$5262=E5195)&gt;0)*((F5195="")+($F$5198:$F$5262=F5195)&gt;0)*((G5195="")+($G$5198:$G$5262=G5195)&gt;0)*ROW($B$5198:$B$5262))),IF(COUNTIFS($D$5198:$D$5262,IF(D5195="","*",D5195),$E$5198:$E$5262,IF(E5195="","*",E5195),$F$5198:$F$5262,IF(F5195="","*",F5195),$G$5198:$G$5262,IF(G5195="","*",G5195))=0,"Not available",COUNTIFS($D$5198:$D$5262,IF(D5195="","*",D5195),$E$5198:$E$5262,IF(E5195="","*",E5195),$F$5198:$F$5262,IF(F5195="","*",F5195),$G$5198:$G$5262,IF(G5195="","*",G5195))&amp;" match, keep choosing"))</f>
        <v>PUR-1.5-RG-2M</v>
      </c>
      <c r="C5195" s="16" t="n">
        <f aca="false">IF(COUNTIFS($D$5198:$D$5262,IF(D5195="","*",D5195),$E$5198:$E$5262,IF(E5195="","*",E5195),$F$5198:$F$5262,IF(F5195="","*",F5195),$G$5198:$G$5262,IF(G5195="","*",G5195))=1,INDEX($C:$C,SUMPRODUCT(((D5195="")+($D$5198:$D$5262=D5195)&gt;0)*((E5195="")+($E$5198:$E$5262=E5195)&gt;0)*((F5195="")+($F$5198:$F$5262=F5195)&gt;0)*((G5195="")+($G$5198:$G$5262=G5195)&gt;0)*ROW($B$5198:$B$5262))),"")</f>
        <v>0.18</v>
      </c>
      <c r="D5195" s="17" t="s">
        <v>6356</v>
      </c>
      <c r="E5195" s="17" t="s">
        <v>6357</v>
      </c>
      <c r="F5195" s="17" t="s">
        <v>6358</v>
      </c>
      <c r="G5195" s="17" t="s">
        <v>6359</v>
      </c>
    </row>
    <row r="5197" customFormat="false" ht="15" hidden="false" customHeight="false" outlineLevel="0" collapsed="false">
      <c r="B5197" s="18" t="s">
        <v>701</v>
      </c>
      <c r="C5197" s="18" t="s">
        <v>702</v>
      </c>
      <c r="D5197" s="18" t="s">
        <v>722</v>
      </c>
      <c r="E5197" s="18" t="s">
        <v>705</v>
      </c>
      <c r="F5197" s="18" t="s">
        <v>6354</v>
      </c>
      <c r="G5197" s="18" t="s">
        <v>6355</v>
      </c>
    </row>
    <row r="5198" customFormat="false" ht="15" hidden="false" customHeight="false" outlineLevel="0" collapsed="false">
      <c r="B5198" s="19" t="s">
        <v>6360</v>
      </c>
      <c r="C5198" s="20" t="n">
        <f aca="false">ROUND(1.3/FX,2)</f>
        <v>0.18</v>
      </c>
      <c r="D5198" s="21" t="s">
        <v>6356</v>
      </c>
      <c r="E5198" s="21" t="s">
        <v>6357</v>
      </c>
      <c r="F5198" s="21" t="s">
        <v>6358</v>
      </c>
      <c r="G5198" s="21" t="s">
        <v>6359</v>
      </c>
    </row>
    <row r="5199" customFormat="false" ht="15" hidden="false" customHeight="false" outlineLevel="0" collapsed="false">
      <c r="B5199" s="19" t="s">
        <v>6361</v>
      </c>
      <c r="C5199" s="20" t="n">
        <f aca="false">ROUND(1.3/FX,2)</f>
        <v>0.18</v>
      </c>
      <c r="D5199" s="21" t="s">
        <v>6362</v>
      </c>
      <c r="E5199" s="21" t="s">
        <v>6357</v>
      </c>
      <c r="F5199" s="21" t="s">
        <v>6363</v>
      </c>
      <c r="G5199" s="21" t="s">
        <v>6359</v>
      </c>
    </row>
    <row r="5200" customFormat="false" ht="15" hidden="false" customHeight="false" outlineLevel="0" collapsed="false">
      <c r="B5200" s="19" t="s">
        <v>6364</v>
      </c>
      <c r="C5200" s="20" t="n">
        <f aca="false">ROUND(5.85/FX,2)</f>
        <v>0.81</v>
      </c>
      <c r="D5200" s="21" t="s">
        <v>6356</v>
      </c>
      <c r="E5200" s="21" t="s">
        <v>709</v>
      </c>
      <c r="F5200" s="21" t="s">
        <v>6358</v>
      </c>
      <c r="G5200" s="21" t="s">
        <v>707</v>
      </c>
    </row>
    <row r="5201" customFormat="false" ht="15" hidden="false" customHeight="false" outlineLevel="0" collapsed="false">
      <c r="B5201" s="19" t="s">
        <v>6365</v>
      </c>
      <c r="C5201" s="20" t="n">
        <f aca="false">ROUND(227.5/FX,2)</f>
        <v>31.6</v>
      </c>
      <c r="D5201" s="21" t="s">
        <v>6356</v>
      </c>
      <c r="E5201" s="21" t="s">
        <v>799</v>
      </c>
      <c r="F5201" s="21" t="s">
        <v>6358</v>
      </c>
      <c r="G5201" s="21" t="s">
        <v>707</v>
      </c>
    </row>
    <row r="5202" customFormat="false" ht="15" hidden="false" customHeight="false" outlineLevel="0" collapsed="false">
      <c r="B5202" s="19" t="s">
        <v>6366</v>
      </c>
      <c r="C5202" s="20" t="n">
        <f aca="false">ROUND(11.7/FX,2)</f>
        <v>1.63</v>
      </c>
      <c r="D5202" s="21" t="s">
        <v>751</v>
      </c>
      <c r="E5202" s="21" t="s">
        <v>709</v>
      </c>
      <c r="F5202" s="21" t="s">
        <v>6358</v>
      </c>
      <c r="G5202" s="21" t="s">
        <v>707</v>
      </c>
    </row>
    <row r="5203" customFormat="false" ht="15" hidden="false" customHeight="false" outlineLevel="0" collapsed="false">
      <c r="B5203" s="19" t="s">
        <v>6367</v>
      </c>
      <c r="C5203" s="20" t="n">
        <f aca="false">ROUND(4.94/FX,2)</f>
        <v>0.69</v>
      </c>
      <c r="D5203" s="21" t="s">
        <v>6362</v>
      </c>
      <c r="E5203" s="21" t="s">
        <v>709</v>
      </c>
      <c r="F5203" s="21" t="s">
        <v>6363</v>
      </c>
      <c r="G5203" s="21" t="s">
        <v>707</v>
      </c>
    </row>
    <row r="5204" customFormat="false" ht="15" hidden="false" customHeight="false" outlineLevel="0" collapsed="false">
      <c r="B5204" s="19" t="s">
        <v>6368</v>
      </c>
      <c r="C5204" s="20" t="n">
        <f aca="false">ROUND(5.85/FX,2)</f>
        <v>0.81</v>
      </c>
      <c r="D5204" s="21" t="s">
        <v>6369</v>
      </c>
      <c r="E5204" s="21" t="s">
        <v>709</v>
      </c>
      <c r="F5204" s="21" t="s">
        <v>6363</v>
      </c>
      <c r="G5204" s="21" t="s">
        <v>707</v>
      </c>
    </row>
    <row r="5205" customFormat="false" ht="15" hidden="false" customHeight="false" outlineLevel="0" collapsed="false">
      <c r="B5205" s="19" t="s">
        <v>6370</v>
      </c>
      <c r="C5205" s="20" t="n">
        <f aca="false">ROUND(6.89/FX,2)</f>
        <v>0.96</v>
      </c>
      <c r="D5205" s="21" t="s">
        <v>6356</v>
      </c>
      <c r="E5205" s="21" t="s">
        <v>709</v>
      </c>
      <c r="F5205" s="21" t="s">
        <v>6358</v>
      </c>
      <c r="G5205" s="21" t="s">
        <v>5091</v>
      </c>
    </row>
    <row r="5206" customFormat="false" ht="15" hidden="false" customHeight="false" outlineLevel="0" collapsed="false">
      <c r="B5206" s="19" t="s">
        <v>6371</v>
      </c>
      <c r="C5206" s="20" t="n">
        <f aca="false">ROUND(9.1/FX,2)</f>
        <v>1.26</v>
      </c>
      <c r="D5206" s="21" t="s">
        <v>6356</v>
      </c>
      <c r="E5206" s="21" t="s">
        <v>709</v>
      </c>
      <c r="F5206" s="21" t="s">
        <v>6358</v>
      </c>
      <c r="G5206" s="21" t="s">
        <v>761</v>
      </c>
    </row>
    <row r="5207" customFormat="false" ht="15" hidden="false" customHeight="false" outlineLevel="0" collapsed="false">
      <c r="B5207" s="19" t="s">
        <v>6372</v>
      </c>
      <c r="C5207" s="20" t="n">
        <f aca="false">ROUND(7.8/FX,2)</f>
        <v>1.08</v>
      </c>
      <c r="D5207" s="21" t="s">
        <v>6362</v>
      </c>
      <c r="E5207" s="21" t="s">
        <v>709</v>
      </c>
      <c r="F5207" s="21" t="s">
        <v>6363</v>
      </c>
      <c r="G5207" s="21" t="s">
        <v>761</v>
      </c>
    </row>
    <row r="5208" customFormat="false" ht="15" hidden="false" customHeight="false" outlineLevel="0" collapsed="false">
      <c r="B5208" s="19" t="s">
        <v>6373</v>
      </c>
      <c r="C5208" s="20" t="n">
        <f aca="false">ROUND(14.3/FX,2)</f>
        <v>1.99</v>
      </c>
      <c r="D5208" s="21" t="s">
        <v>6356</v>
      </c>
      <c r="E5208" s="21" t="s">
        <v>709</v>
      </c>
      <c r="F5208" s="21" t="s">
        <v>6358</v>
      </c>
      <c r="G5208" s="21" t="s">
        <v>714</v>
      </c>
    </row>
    <row r="5209" customFormat="false" ht="15" hidden="false" customHeight="false" outlineLevel="0" collapsed="false">
      <c r="B5209" s="19" t="s">
        <v>6374</v>
      </c>
      <c r="C5209" s="20" t="n">
        <f aca="false">ROUND(11.27/FX,2)</f>
        <v>1.57</v>
      </c>
      <c r="D5209" s="21" t="s">
        <v>6362</v>
      </c>
      <c r="E5209" s="21" t="s">
        <v>709</v>
      </c>
      <c r="F5209" s="21" t="s">
        <v>6363</v>
      </c>
      <c r="G5209" s="21" t="s">
        <v>714</v>
      </c>
    </row>
    <row r="5210" customFormat="false" ht="15" hidden="false" customHeight="false" outlineLevel="0" collapsed="false">
      <c r="B5210" s="19" t="s">
        <v>6375</v>
      </c>
      <c r="C5210" s="20" t="n">
        <f aca="false">ROUND(338/FX,2)</f>
        <v>46.94</v>
      </c>
      <c r="D5210" s="21" t="s">
        <v>6362</v>
      </c>
      <c r="E5210" s="21" t="s">
        <v>3293</v>
      </c>
      <c r="F5210" s="21" t="s">
        <v>6363</v>
      </c>
      <c r="G5210" s="21" t="s">
        <v>714</v>
      </c>
    </row>
    <row r="5211" customFormat="false" ht="15" hidden="false" customHeight="false" outlineLevel="0" collapsed="false">
      <c r="B5211" s="19" t="s">
        <v>6376</v>
      </c>
      <c r="C5211" s="20" t="n">
        <f aca="false">ROUND(20.8/FX,2)</f>
        <v>2.89</v>
      </c>
      <c r="D5211" s="21" t="s">
        <v>6356</v>
      </c>
      <c r="E5211" s="21" t="s">
        <v>709</v>
      </c>
      <c r="F5211" s="21" t="s">
        <v>6358</v>
      </c>
      <c r="G5211" s="21" t="s">
        <v>4000</v>
      </c>
    </row>
    <row r="5212" customFormat="false" ht="15" hidden="false" customHeight="false" outlineLevel="0" collapsed="false">
      <c r="B5212" s="19" t="s">
        <v>6377</v>
      </c>
      <c r="C5212" s="20" t="n">
        <f aca="false">ROUND(15.6/FX,2)</f>
        <v>2.17</v>
      </c>
      <c r="D5212" s="21" t="s">
        <v>6362</v>
      </c>
      <c r="E5212" s="21" t="s">
        <v>709</v>
      </c>
      <c r="F5212" s="21" t="s">
        <v>6363</v>
      </c>
      <c r="G5212" s="21" t="s">
        <v>4000</v>
      </c>
    </row>
    <row r="5213" customFormat="false" ht="15" hidden="false" customHeight="false" outlineLevel="0" collapsed="false">
      <c r="B5213" s="19" t="s">
        <v>6378</v>
      </c>
      <c r="C5213" s="20" t="n">
        <f aca="false">ROUND(468/FX,2)</f>
        <v>65</v>
      </c>
      <c r="D5213" s="21" t="s">
        <v>6362</v>
      </c>
      <c r="E5213" s="21" t="s">
        <v>3293</v>
      </c>
      <c r="F5213" s="21" t="s">
        <v>6363</v>
      </c>
      <c r="G5213" s="21" t="s">
        <v>4000</v>
      </c>
    </row>
    <row r="5214" customFormat="false" ht="15" hidden="false" customHeight="false" outlineLevel="0" collapsed="false">
      <c r="B5214" s="19" t="s">
        <v>6379</v>
      </c>
      <c r="C5214" s="20" t="n">
        <f aca="false">ROUND(1.43/FX,2)</f>
        <v>0.2</v>
      </c>
      <c r="D5214" s="21" t="s">
        <v>6356</v>
      </c>
      <c r="E5214" s="21" t="s">
        <v>6357</v>
      </c>
      <c r="F5214" s="21" t="s">
        <v>6358</v>
      </c>
      <c r="G5214" s="21" t="s">
        <v>837</v>
      </c>
    </row>
    <row r="5215" customFormat="false" ht="15" hidden="false" customHeight="false" outlineLevel="0" collapsed="false">
      <c r="B5215" s="19" t="s">
        <v>6380</v>
      </c>
      <c r="C5215" s="20" t="n">
        <f aca="false">ROUND(1.04/FX,2)</f>
        <v>0.14</v>
      </c>
      <c r="D5215" s="21" t="s">
        <v>6362</v>
      </c>
      <c r="E5215" s="21" t="s">
        <v>6357</v>
      </c>
      <c r="F5215" s="21" t="s">
        <v>6363</v>
      </c>
      <c r="G5215" s="21" t="s">
        <v>837</v>
      </c>
    </row>
    <row r="5216" customFormat="false" ht="15" hidden="false" customHeight="false" outlineLevel="0" collapsed="false">
      <c r="B5216" s="19" t="s">
        <v>6381</v>
      </c>
      <c r="C5216" s="20" t="n">
        <f aca="false">ROUND(1.3/FX,2)</f>
        <v>0.18</v>
      </c>
      <c r="D5216" s="21" t="s">
        <v>6369</v>
      </c>
      <c r="E5216" s="21" t="s">
        <v>6357</v>
      </c>
      <c r="F5216" s="21" t="s">
        <v>6363</v>
      </c>
      <c r="G5216" s="21" t="s">
        <v>837</v>
      </c>
    </row>
    <row r="5217" customFormat="false" ht="15" hidden="false" customHeight="false" outlineLevel="0" collapsed="false">
      <c r="B5217" s="19" t="s">
        <v>6382</v>
      </c>
      <c r="C5217" s="20" t="n">
        <f aca="false">ROUND(1.69/FX,2)</f>
        <v>0.23</v>
      </c>
      <c r="D5217" s="21" t="s">
        <v>6362</v>
      </c>
      <c r="E5217" s="21" t="s">
        <v>6357</v>
      </c>
      <c r="F5217" s="21" t="s">
        <v>6363</v>
      </c>
      <c r="G5217" s="21" t="s">
        <v>6383</v>
      </c>
    </row>
    <row r="5218" customFormat="false" ht="15" hidden="false" customHeight="false" outlineLevel="0" collapsed="false">
      <c r="B5218" s="19" t="s">
        <v>6384</v>
      </c>
      <c r="C5218" s="20" t="n">
        <f aca="false">ROUND(1.56/FX,2)</f>
        <v>0.22</v>
      </c>
      <c r="D5218" s="21" t="s">
        <v>6369</v>
      </c>
      <c r="E5218" s="21" t="s">
        <v>6357</v>
      </c>
      <c r="F5218" s="21" t="s">
        <v>6363</v>
      </c>
      <c r="G5218" s="21" t="s">
        <v>6383</v>
      </c>
    </row>
    <row r="5219" customFormat="false" ht="15" hidden="false" customHeight="false" outlineLevel="0" collapsed="false">
      <c r="B5219" s="19" t="s">
        <v>6385</v>
      </c>
      <c r="C5219" s="20" t="n">
        <f aca="false">ROUND(22.53/FX,2)</f>
        <v>3.13</v>
      </c>
      <c r="D5219" s="21" t="s">
        <v>6356</v>
      </c>
      <c r="E5219" s="21" t="s">
        <v>709</v>
      </c>
      <c r="F5219" s="21" t="s">
        <v>6358</v>
      </c>
      <c r="G5219" s="21" t="s">
        <v>3247</v>
      </c>
    </row>
    <row r="5220" customFormat="false" ht="15" hidden="false" customHeight="false" outlineLevel="0" collapsed="false">
      <c r="B5220" s="19" t="s">
        <v>6386</v>
      </c>
      <c r="C5220" s="20" t="n">
        <f aca="false">ROUND(676/FX,2)</f>
        <v>93.89</v>
      </c>
      <c r="D5220" s="21" t="s">
        <v>6356</v>
      </c>
      <c r="E5220" s="21" t="s">
        <v>3293</v>
      </c>
      <c r="F5220" s="21" t="s">
        <v>6358</v>
      </c>
      <c r="G5220" s="21" t="s">
        <v>3247</v>
      </c>
    </row>
    <row r="5221" customFormat="false" ht="15" hidden="false" customHeight="false" outlineLevel="0" collapsed="false">
      <c r="B5221" s="19" t="s">
        <v>6387</v>
      </c>
      <c r="C5221" s="20" t="n">
        <f aca="false">ROUND(22.53/FX,2)</f>
        <v>3.13</v>
      </c>
      <c r="D5221" s="21" t="s">
        <v>6362</v>
      </c>
      <c r="E5221" s="21" t="s">
        <v>709</v>
      </c>
      <c r="F5221" s="21" t="s">
        <v>6363</v>
      </c>
      <c r="G5221" s="21" t="s">
        <v>3247</v>
      </c>
    </row>
    <row r="5222" customFormat="false" ht="15" hidden="false" customHeight="false" outlineLevel="0" collapsed="false">
      <c r="B5222" s="19" t="s">
        <v>6388</v>
      </c>
      <c r="C5222" s="20" t="n">
        <f aca="false">ROUND(676/FX,2)</f>
        <v>93.89</v>
      </c>
      <c r="D5222" s="21" t="s">
        <v>6362</v>
      </c>
      <c r="E5222" s="21" t="s">
        <v>3293</v>
      </c>
      <c r="F5222" s="21" t="s">
        <v>6363</v>
      </c>
      <c r="G5222" s="21" t="s">
        <v>3247</v>
      </c>
    </row>
    <row r="5223" customFormat="false" ht="15" hidden="false" customHeight="false" outlineLevel="0" collapsed="false">
      <c r="B5223" s="19" t="s">
        <v>6389</v>
      </c>
      <c r="C5223" s="20" t="n">
        <f aca="false">ROUND(1.56/FX,2)</f>
        <v>0.22</v>
      </c>
      <c r="D5223" s="21" t="s">
        <v>6356</v>
      </c>
      <c r="E5223" s="21" t="s">
        <v>6357</v>
      </c>
      <c r="F5223" s="21" t="s">
        <v>6358</v>
      </c>
      <c r="G5223" s="21" t="s">
        <v>839</v>
      </c>
    </row>
    <row r="5224" customFormat="false" ht="15" hidden="false" customHeight="false" outlineLevel="0" collapsed="false">
      <c r="B5224" s="19" t="s">
        <v>6390</v>
      </c>
      <c r="C5224" s="20" t="n">
        <f aca="false">ROUND(210.21/FX,2)</f>
        <v>29.2</v>
      </c>
      <c r="D5224" s="21" t="s">
        <v>6356</v>
      </c>
      <c r="E5224" s="21" t="s">
        <v>6391</v>
      </c>
      <c r="F5224" s="21" t="s">
        <v>6358</v>
      </c>
      <c r="G5224" s="21" t="s">
        <v>839</v>
      </c>
    </row>
    <row r="5225" customFormat="false" ht="15" hidden="false" customHeight="false" outlineLevel="0" collapsed="false">
      <c r="B5225" s="19" t="s">
        <v>6392</v>
      </c>
      <c r="C5225" s="20" t="n">
        <f aca="false">ROUND(1.69/FX,2)</f>
        <v>0.23</v>
      </c>
      <c r="D5225" s="21" t="s">
        <v>751</v>
      </c>
      <c r="E5225" s="21" t="s">
        <v>6357</v>
      </c>
      <c r="F5225" s="21" t="s">
        <v>6358</v>
      </c>
      <c r="G5225" s="21" t="s">
        <v>839</v>
      </c>
    </row>
    <row r="5226" customFormat="false" ht="15" hidden="false" customHeight="false" outlineLevel="0" collapsed="false">
      <c r="B5226" s="19" t="s">
        <v>6393</v>
      </c>
      <c r="C5226" s="20" t="n">
        <f aca="false">ROUND(1.17/FX,2)</f>
        <v>0.16</v>
      </c>
      <c r="D5226" s="21" t="s">
        <v>6362</v>
      </c>
      <c r="E5226" s="21" t="s">
        <v>6357</v>
      </c>
      <c r="F5226" s="21" t="s">
        <v>6363</v>
      </c>
      <c r="G5226" s="21" t="s">
        <v>839</v>
      </c>
    </row>
    <row r="5227" customFormat="false" ht="15" hidden="false" customHeight="false" outlineLevel="0" collapsed="false">
      <c r="B5227" s="19" t="s">
        <v>6394</v>
      </c>
      <c r="C5227" s="20" t="n">
        <f aca="false">ROUND(1.56/FX,2)</f>
        <v>0.22</v>
      </c>
      <c r="D5227" s="21" t="s">
        <v>6369</v>
      </c>
      <c r="E5227" s="21" t="s">
        <v>6357</v>
      </c>
      <c r="F5227" s="21" t="s">
        <v>6363</v>
      </c>
      <c r="G5227" s="21" t="s">
        <v>839</v>
      </c>
    </row>
    <row r="5228" customFormat="false" ht="15" hidden="false" customHeight="false" outlineLevel="0" collapsed="false">
      <c r="B5228" s="19" t="s">
        <v>6395</v>
      </c>
      <c r="C5228" s="20" t="n">
        <f aca="false">ROUND(1.95/FX,2)</f>
        <v>0.27</v>
      </c>
      <c r="D5228" s="21" t="s">
        <v>6356</v>
      </c>
      <c r="E5228" s="21" t="s">
        <v>6357</v>
      </c>
      <c r="F5228" s="21" t="s">
        <v>6358</v>
      </c>
      <c r="G5228" s="21" t="s">
        <v>6396</v>
      </c>
    </row>
    <row r="5229" customFormat="false" ht="15" hidden="false" customHeight="false" outlineLevel="0" collapsed="false">
      <c r="B5229" s="19" t="s">
        <v>6397</v>
      </c>
      <c r="C5229" s="20" t="n">
        <f aca="false">ROUND(1.56/FX,2)</f>
        <v>0.22</v>
      </c>
      <c r="D5229" s="21" t="s">
        <v>751</v>
      </c>
      <c r="E5229" s="21" t="s">
        <v>6357</v>
      </c>
      <c r="F5229" s="21" t="s">
        <v>6358</v>
      </c>
      <c r="G5229" s="21" t="s">
        <v>6396</v>
      </c>
    </row>
    <row r="5230" customFormat="false" ht="15" hidden="false" customHeight="false" outlineLevel="0" collapsed="false">
      <c r="B5230" s="19" t="s">
        <v>6398</v>
      </c>
      <c r="C5230" s="20" t="n">
        <f aca="false">ROUND(156/FX,2)</f>
        <v>21.67</v>
      </c>
      <c r="D5230" s="21" t="s">
        <v>751</v>
      </c>
      <c r="E5230" s="21" t="s">
        <v>6399</v>
      </c>
      <c r="F5230" s="21" t="s">
        <v>6358</v>
      </c>
      <c r="G5230" s="21" t="s">
        <v>6396</v>
      </c>
    </row>
    <row r="5231" customFormat="false" ht="15" hidden="false" customHeight="false" outlineLevel="0" collapsed="false">
      <c r="B5231" s="19" t="s">
        <v>6400</v>
      </c>
      <c r="C5231" s="20" t="n">
        <f aca="false">ROUND(1.56/FX,2)</f>
        <v>0.22</v>
      </c>
      <c r="D5231" s="21" t="s">
        <v>6362</v>
      </c>
      <c r="E5231" s="21" t="s">
        <v>6357</v>
      </c>
      <c r="F5231" s="21" t="s">
        <v>6363</v>
      </c>
      <c r="G5231" s="21" t="s">
        <v>6396</v>
      </c>
    </row>
    <row r="5232" customFormat="false" ht="15" hidden="false" customHeight="false" outlineLevel="0" collapsed="false">
      <c r="B5232" s="19" t="s">
        <v>6401</v>
      </c>
      <c r="C5232" s="20" t="n">
        <f aca="false">ROUND(1.56/FX,2)</f>
        <v>0.22</v>
      </c>
      <c r="D5232" s="21" t="s">
        <v>6369</v>
      </c>
      <c r="E5232" s="21" t="s">
        <v>6357</v>
      </c>
      <c r="F5232" s="21" t="s">
        <v>6363</v>
      </c>
      <c r="G5232" s="21" t="s">
        <v>6396</v>
      </c>
    </row>
    <row r="5233" customFormat="false" ht="15" hidden="false" customHeight="false" outlineLevel="0" collapsed="false">
      <c r="B5233" s="19" t="s">
        <v>6402</v>
      </c>
      <c r="C5233" s="20" t="n">
        <f aca="false">ROUND(1.69/FX,2)</f>
        <v>0.23</v>
      </c>
      <c r="D5233" s="21" t="s">
        <v>6356</v>
      </c>
      <c r="E5233" s="21" t="s">
        <v>6357</v>
      </c>
      <c r="F5233" s="21" t="s">
        <v>6358</v>
      </c>
      <c r="G5233" s="21" t="s">
        <v>841</v>
      </c>
    </row>
    <row r="5234" customFormat="false" ht="15" hidden="false" customHeight="false" outlineLevel="0" collapsed="false">
      <c r="B5234" s="19" t="s">
        <v>6403</v>
      </c>
      <c r="C5234" s="20" t="n">
        <f aca="false">ROUND(1.04/FX,2)</f>
        <v>0.14</v>
      </c>
      <c r="D5234" s="21" t="s">
        <v>751</v>
      </c>
      <c r="E5234" s="21" t="s">
        <v>709</v>
      </c>
      <c r="F5234" s="21" t="s">
        <v>6358</v>
      </c>
      <c r="G5234" s="21" t="s">
        <v>841</v>
      </c>
    </row>
    <row r="5235" customFormat="false" ht="15" hidden="false" customHeight="false" outlineLevel="0" collapsed="false">
      <c r="B5235" s="19" t="s">
        <v>6404</v>
      </c>
      <c r="C5235" s="20" t="n">
        <f aca="false">ROUND(1.82/FX,2)</f>
        <v>0.25</v>
      </c>
      <c r="D5235" s="21" t="s">
        <v>6362</v>
      </c>
      <c r="E5235" s="21" t="s">
        <v>6357</v>
      </c>
      <c r="F5235" s="21" t="s">
        <v>6363</v>
      </c>
      <c r="G5235" s="21" t="s">
        <v>841</v>
      </c>
    </row>
    <row r="5236" customFormat="false" ht="15" hidden="false" customHeight="false" outlineLevel="0" collapsed="false">
      <c r="B5236" s="19" t="s">
        <v>6405</v>
      </c>
      <c r="C5236" s="20" t="n">
        <f aca="false">ROUND(1.04/FX,2)</f>
        <v>0.14</v>
      </c>
      <c r="D5236" s="21" t="s">
        <v>6369</v>
      </c>
      <c r="E5236" s="21" t="s">
        <v>709</v>
      </c>
      <c r="F5236" s="21" t="s">
        <v>6363</v>
      </c>
      <c r="G5236" s="21" t="s">
        <v>841</v>
      </c>
    </row>
    <row r="5237" customFormat="false" ht="15" hidden="false" customHeight="false" outlineLevel="0" collapsed="false">
      <c r="B5237" s="19" t="s">
        <v>6406</v>
      </c>
      <c r="C5237" s="20" t="n">
        <f aca="false">ROUND(1.17/FX,2)</f>
        <v>0.16</v>
      </c>
      <c r="D5237" s="21" t="s">
        <v>6356</v>
      </c>
      <c r="E5237" s="21" t="s">
        <v>709</v>
      </c>
      <c r="F5237" s="21" t="s">
        <v>6358</v>
      </c>
      <c r="G5237" s="21" t="s">
        <v>6407</v>
      </c>
    </row>
    <row r="5238" customFormat="false" ht="15" hidden="false" customHeight="false" outlineLevel="0" collapsed="false">
      <c r="B5238" s="19" t="s">
        <v>6408</v>
      </c>
      <c r="C5238" s="20" t="n">
        <f aca="false">ROUND(234/FX,2)</f>
        <v>32.5</v>
      </c>
      <c r="D5238" s="21" t="s">
        <v>6356</v>
      </c>
      <c r="E5238" s="21" t="s">
        <v>6399</v>
      </c>
      <c r="F5238" s="21" t="s">
        <v>6358</v>
      </c>
      <c r="G5238" s="21" t="s">
        <v>6407</v>
      </c>
    </row>
    <row r="5239" customFormat="false" ht="15" hidden="false" customHeight="false" outlineLevel="0" collapsed="false">
      <c r="B5239" s="19" t="s">
        <v>6409</v>
      </c>
      <c r="C5239" s="20" t="n">
        <f aca="false">ROUND(1.3/FX,2)</f>
        <v>0.18</v>
      </c>
      <c r="D5239" s="21" t="s">
        <v>6356</v>
      </c>
      <c r="E5239" s="21" t="s">
        <v>709</v>
      </c>
      <c r="F5239" s="21" t="s">
        <v>6358</v>
      </c>
      <c r="G5239" s="21" t="s">
        <v>6410</v>
      </c>
    </row>
    <row r="5240" customFormat="false" ht="15" hidden="false" customHeight="false" outlineLevel="0" collapsed="false">
      <c r="B5240" s="19" t="s">
        <v>6411</v>
      </c>
      <c r="C5240" s="20" t="n">
        <f aca="false">ROUND(1.04/FX,2)</f>
        <v>0.14</v>
      </c>
      <c r="D5240" s="21" t="s">
        <v>6362</v>
      </c>
      <c r="E5240" s="21" t="s">
        <v>709</v>
      </c>
      <c r="F5240" s="21" t="s">
        <v>6363</v>
      </c>
      <c r="G5240" s="21" t="s">
        <v>6410</v>
      </c>
    </row>
    <row r="5241" customFormat="false" ht="15" hidden="false" customHeight="false" outlineLevel="0" collapsed="false">
      <c r="B5241" s="19" t="s">
        <v>6412</v>
      </c>
      <c r="C5241" s="20" t="n">
        <f aca="false">ROUND(1.16/FX,2)</f>
        <v>0.16</v>
      </c>
      <c r="D5241" s="21" t="s">
        <v>6356</v>
      </c>
      <c r="E5241" s="21" t="s">
        <v>709</v>
      </c>
      <c r="F5241" s="21" t="s">
        <v>6358</v>
      </c>
      <c r="G5241" s="21" t="s">
        <v>789</v>
      </c>
    </row>
    <row r="5242" customFormat="false" ht="15" hidden="false" customHeight="false" outlineLevel="0" collapsed="false">
      <c r="B5242" s="19" t="s">
        <v>6413</v>
      </c>
      <c r="C5242" s="20" t="n">
        <f aca="false">ROUND(232.7/FX,2)</f>
        <v>32.32</v>
      </c>
      <c r="D5242" s="21" t="s">
        <v>6356</v>
      </c>
      <c r="E5242" s="21" t="s">
        <v>6399</v>
      </c>
      <c r="F5242" s="21" t="s">
        <v>6358</v>
      </c>
      <c r="G5242" s="21" t="s">
        <v>789</v>
      </c>
    </row>
    <row r="5243" customFormat="false" ht="15" hidden="false" customHeight="false" outlineLevel="0" collapsed="false">
      <c r="B5243" s="19" t="s">
        <v>6414</v>
      </c>
      <c r="C5243" s="20" t="n">
        <f aca="false">ROUND(2.21/FX,2)</f>
        <v>0.31</v>
      </c>
      <c r="D5243" s="21" t="s">
        <v>751</v>
      </c>
      <c r="E5243" s="21" t="s">
        <v>709</v>
      </c>
      <c r="F5243" s="21" t="s">
        <v>6358</v>
      </c>
      <c r="G5243" s="21" t="s">
        <v>789</v>
      </c>
    </row>
    <row r="5244" customFormat="false" ht="15" hidden="false" customHeight="false" outlineLevel="0" collapsed="false">
      <c r="B5244" s="19" t="s">
        <v>6415</v>
      </c>
      <c r="C5244" s="20" t="n">
        <f aca="false">ROUND(1.3/FX,2)</f>
        <v>0.18</v>
      </c>
      <c r="D5244" s="21" t="s">
        <v>6362</v>
      </c>
      <c r="E5244" s="21" t="s">
        <v>709</v>
      </c>
      <c r="F5244" s="21" t="s">
        <v>6363</v>
      </c>
      <c r="G5244" s="21" t="s">
        <v>789</v>
      </c>
    </row>
    <row r="5245" customFormat="false" ht="15" hidden="false" customHeight="false" outlineLevel="0" collapsed="false">
      <c r="B5245" s="19" t="s">
        <v>6416</v>
      </c>
      <c r="C5245" s="20" t="n">
        <f aca="false">ROUND(1.69/FX,2)</f>
        <v>0.23</v>
      </c>
      <c r="D5245" s="21" t="s">
        <v>6369</v>
      </c>
      <c r="E5245" s="21" t="s">
        <v>709</v>
      </c>
      <c r="F5245" s="21" t="s">
        <v>6363</v>
      </c>
      <c r="G5245" s="21" t="s">
        <v>789</v>
      </c>
    </row>
    <row r="5246" customFormat="false" ht="15" hidden="false" customHeight="false" outlineLevel="0" collapsed="false">
      <c r="B5246" s="19" t="s">
        <v>6417</v>
      </c>
      <c r="C5246" s="20" t="n">
        <f aca="false">ROUND(1.43/FX,2)</f>
        <v>0.2</v>
      </c>
      <c r="D5246" s="21" t="s">
        <v>6356</v>
      </c>
      <c r="E5246" s="21" t="s">
        <v>709</v>
      </c>
      <c r="F5246" s="21" t="s">
        <v>6358</v>
      </c>
      <c r="G5246" s="21" t="s">
        <v>6418</v>
      </c>
    </row>
    <row r="5247" customFormat="false" ht="15" hidden="false" customHeight="false" outlineLevel="0" collapsed="false">
      <c r="B5247" s="19" t="s">
        <v>6419</v>
      </c>
      <c r="C5247" s="20" t="n">
        <f aca="false">ROUND(1.82/FX,2)</f>
        <v>0.25</v>
      </c>
      <c r="D5247" s="21" t="s">
        <v>6362</v>
      </c>
      <c r="E5247" s="21" t="s">
        <v>709</v>
      </c>
      <c r="F5247" s="21" t="s">
        <v>6363</v>
      </c>
      <c r="G5247" s="21" t="s">
        <v>6418</v>
      </c>
    </row>
    <row r="5248" customFormat="false" ht="15" hidden="false" customHeight="false" outlineLevel="0" collapsed="false">
      <c r="B5248" s="19" t="s">
        <v>6420</v>
      </c>
      <c r="C5248" s="20" t="n">
        <f aca="false">ROUND(1.51/FX,2)</f>
        <v>0.21</v>
      </c>
      <c r="D5248" s="21" t="s">
        <v>6356</v>
      </c>
      <c r="E5248" s="21" t="s">
        <v>709</v>
      </c>
      <c r="F5248" s="21" t="s">
        <v>6358</v>
      </c>
      <c r="G5248" s="21" t="s">
        <v>716</v>
      </c>
    </row>
    <row r="5249" customFormat="false" ht="15" hidden="false" customHeight="false" outlineLevel="0" collapsed="false">
      <c r="B5249" s="19" t="s">
        <v>6421</v>
      </c>
      <c r="C5249" s="20" t="n">
        <f aca="false">ROUND(150.8/FX,2)</f>
        <v>20.94</v>
      </c>
      <c r="D5249" s="21" t="s">
        <v>6356</v>
      </c>
      <c r="E5249" s="21" t="s">
        <v>739</v>
      </c>
      <c r="F5249" s="21" t="s">
        <v>6358</v>
      </c>
      <c r="G5249" s="21" t="s">
        <v>716</v>
      </c>
    </row>
    <row r="5250" customFormat="false" ht="15" hidden="false" customHeight="false" outlineLevel="0" collapsed="false">
      <c r="B5250" s="19" t="s">
        <v>6422</v>
      </c>
      <c r="C5250" s="20" t="n">
        <f aca="false">ROUND(2.86/FX,2)</f>
        <v>0.4</v>
      </c>
      <c r="D5250" s="21" t="s">
        <v>751</v>
      </c>
      <c r="E5250" s="21" t="s">
        <v>709</v>
      </c>
      <c r="F5250" s="21" t="s">
        <v>6358</v>
      </c>
      <c r="G5250" s="21" t="s">
        <v>716</v>
      </c>
    </row>
    <row r="5251" customFormat="false" ht="15" hidden="false" customHeight="false" outlineLevel="0" collapsed="false">
      <c r="B5251" s="19" t="s">
        <v>6423</v>
      </c>
      <c r="C5251" s="20" t="n">
        <f aca="false">ROUND(1.82/FX,2)</f>
        <v>0.25</v>
      </c>
      <c r="D5251" s="21" t="s">
        <v>6362</v>
      </c>
      <c r="E5251" s="21" t="s">
        <v>709</v>
      </c>
      <c r="F5251" s="21" t="s">
        <v>6363</v>
      </c>
      <c r="G5251" s="21" t="s">
        <v>716</v>
      </c>
    </row>
    <row r="5252" customFormat="false" ht="15" hidden="false" customHeight="false" outlineLevel="0" collapsed="false">
      <c r="B5252" s="19" t="s">
        <v>6424</v>
      </c>
      <c r="C5252" s="20" t="n">
        <f aca="false">ROUND(1.95/FX,2)</f>
        <v>0.27</v>
      </c>
      <c r="D5252" s="21" t="s">
        <v>6369</v>
      </c>
      <c r="E5252" s="21" t="s">
        <v>709</v>
      </c>
      <c r="F5252" s="21" t="s">
        <v>6363</v>
      </c>
      <c r="G5252" s="21" t="s">
        <v>716</v>
      </c>
    </row>
    <row r="5253" customFormat="false" ht="15" hidden="false" customHeight="false" outlineLevel="0" collapsed="false">
      <c r="B5253" s="19" t="s">
        <v>6425</v>
      </c>
      <c r="C5253" s="20" t="n">
        <f aca="false">ROUND(3.38/FX,2)</f>
        <v>0.47</v>
      </c>
      <c r="D5253" s="21" t="s">
        <v>6356</v>
      </c>
      <c r="E5253" s="21" t="s">
        <v>709</v>
      </c>
      <c r="F5253" s="21" t="s">
        <v>6358</v>
      </c>
      <c r="G5253" s="21" t="s">
        <v>845</v>
      </c>
    </row>
    <row r="5254" customFormat="false" ht="15" hidden="false" customHeight="false" outlineLevel="0" collapsed="false">
      <c r="B5254" s="19" t="s">
        <v>6426</v>
      </c>
      <c r="C5254" s="20" t="n">
        <f aca="false">ROUND(3.12/FX,2)</f>
        <v>0.43</v>
      </c>
      <c r="D5254" s="21" t="s">
        <v>6362</v>
      </c>
      <c r="E5254" s="21" t="s">
        <v>709</v>
      </c>
      <c r="F5254" s="21" t="s">
        <v>6363</v>
      </c>
      <c r="G5254" s="21" t="s">
        <v>845</v>
      </c>
    </row>
    <row r="5255" customFormat="false" ht="15" hidden="false" customHeight="false" outlineLevel="0" collapsed="false">
      <c r="B5255" s="19" t="s">
        <v>6427</v>
      </c>
      <c r="C5255" s="20" t="n">
        <f aca="false">ROUND(2.67/FX,2)</f>
        <v>0.37</v>
      </c>
      <c r="D5255" s="21" t="s">
        <v>6356</v>
      </c>
      <c r="E5255" s="21" t="s">
        <v>709</v>
      </c>
      <c r="F5255" s="21" t="s">
        <v>6358</v>
      </c>
      <c r="G5255" s="21" t="s">
        <v>847</v>
      </c>
    </row>
    <row r="5256" customFormat="false" ht="15" hidden="false" customHeight="false" outlineLevel="0" collapsed="false">
      <c r="B5256" s="19" t="s">
        <v>6428</v>
      </c>
      <c r="C5256" s="20" t="n">
        <f aca="false">ROUND(266.5/FX,2)</f>
        <v>37.01</v>
      </c>
      <c r="D5256" s="21" t="s">
        <v>6356</v>
      </c>
      <c r="E5256" s="21" t="s">
        <v>739</v>
      </c>
      <c r="F5256" s="21" t="s">
        <v>6358</v>
      </c>
      <c r="G5256" s="21" t="s">
        <v>847</v>
      </c>
    </row>
    <row r="5257" customFormat="false" ht="15" hidden="false" customHeight="false" outlineLevel="0" collapsed="false">
      <c r="B5257" s="19" t="s">
        <v>6429</v>
      </c>
      <c r="C5257" s="20" t="n">
        <f aca="false">ROUND(3.9/FX,2)</f>
        <v>0.54</v>
      </c>
      <c r="D5257" s="21" t="s">
        <v>751</v>
      </c>
      <c r="E5257" s="21" t="s">
        <v>709</v>
      </c>
      <c r="F5257" s="21" t="s">
        <v>6358</v>
      </c>
      <c r="G5257" s="21" t="s">
        <v>847</v>
      </c>
    </row>
    <row r="5258" customFormat="false" ht="15" hidden="false" customHeight="false" outlineLevel="0" collapsed="false">
      <c r="B5258" s="19" t="s">
        <v>6430</v>
      </c>
      <c r="C5258" s="20" t="n">
        <f aca="false">ROUND(3.25/FX,2)</f>
        <v>0.45</v>
      </c>
      <c r="D5258" s="21" t="s">
        <v>6362</v>
      </c>
      <c r="E5258" s="21" t="s">
        <v>709</v>
      </c>
      <c r="F5258" s="21" t="s">
        <v>6363</v>
      </c>
      <c r="G5258" s="21" t="s">
        <v>847</v>
      </c>
    </row>
    <row r="5259" customFormat="false" ht="15" hidden="false" customHeight="false" outlineLevel="0" collapsed="false">
      <c r="B5259" s="19" t="s">
        <v>6431</v>
      </c>
      <c r="C5259" s="20" t="n">
        <f aca="false">ROUND(3.9/FX,2)</f>
        <v>0.54</v>
      </c>
      <c r="D5259" s="21" t="s">
        <v>6369</v>
      </c>
      <c r="E5259" s="21" t="s">
        <v>709</v>
      </c>
      <c r="F5259" s="21" t="s">
        <v>6363</v>
      </c>
      <c r="G5259" s="21" t="s">
        <v>847</v>
      </c>
    </row>
    <row r="5260" customFormat="false" ht="15" hidden="false" customHeight="false" outlineLevel="0" collapsed="false">
      <c r="B5260" s="19" t="s">
        <v>6432</v>
      </c>
      <c r="C5260" s="20" t="n">
        <f aca="false">ROUND(4.55/FX,2)</f>
        <v>0.63</v>
      </c>
      <c r="D5260" s="21" t="s">
        <v>6356</v>
      </c>
      <c r="E5260" s="21" t="s">
        <v>709</v>
      </c>
      <c r="F5260" s="21" t="s">
        <v>6358</v>
      </c>
      <c r="G5260" s="21" t="s">
        <v>719</v>
      </c>
    </row>
    <row r="5261" customFormat="false" ht="15" hidden="false" customHeight="false" outlineLevel="0" collapsed="false">
      <c r="B5261" s="19" t="s">
        <v>6433</v>
      </c>
      <c r="C5261" s="20" t="n">
        <f aca="false">ROUND(4.16/FX,2)</f>
        <v>0.58</v>
      </c>
      <c r="D5261" s="21" t="s">
        <v>6362</v>
      </c>
      <c r="E5261" s="21" t="s">
        <v>709</v>
      </c>
      <c r="F5261" s="21" t="s">
        <v>6363</v>
      </c>
      <c r="G5261" s="21" t="s">
        <v>719</v>
      </c>
    </row>
    <row r="5262" customFormat="false" ht="15" hidden="false" customHeight="false" outlineLevel="0" collapsed="false">
      <c r="B5262" s="19" t="s">
        <v>6434</v>
      </c>
      <c r="C5262" s="20" t="n">
        <f aca="false">ROUND(416/FX,2)</f>
        <v>57.78</v>
      </c>
      <c r="D5262" s="21" t="s">
        <v>6362</v>
      </c>
      <c r="E5262" s="21" t="s">
        <v>739</v>
      </c>
      <c r="F5262" s="21" t="s">
        <v>6363</v>
      </c>
      <c r="G5262" s="21" t="s">
        <v>719</v>
      </c>
    </row>
    <row r="5265" customFormat="false" ht="61.5" hidden="false" customHeight="true" outlineLevel="0" collapsed="false">
      <c r="A5265" s="9"/>
      <c r="B5265" s="10" t="s">
        <v>6435</v>
      </c>
      <c r="C5265" s="10"/>
      <c r="D5265" s="10"/>
      <c r="E5265" s="10"/>
      <c r="F5265" s="10"/>
      <c r="G5265" s="10"/>
      <c r="H5265" s="10"/>
    </row>
    <row r="5266" customFormat="false" ht="15" hidden="false" customHeight="false" outlineLevel="0" collapsed="false">
      <c r="A5266" s="12" t="s">
        <v>700</v>
      </c>
      <c r="B5266" s="13" t="s">
        <v>701</v>
      </c>
      <c r="C5266" s="13" t="s">
        <v>702</v>
      </c>
      <c r="D5266" s="13" t="s">
        <v>830</v>
      </c>
      <c r="E5266" s="13" t="s">
        <v>722</v>
      </c>
      <c r="F5266" s="13" t="s">
        <v>6354</v>
      </c>
      <c r="G5266" s="13" t="s">
        <v>6355</v>
      </c>
      <c r="H5266" s="13" t="s">
        <v>6436</v>
      </c>
    </row>
    <row r="5267" customFormat="false" ht="30" hidden="false" customHeight="true" outlineLevel="0" collapsed="false">
      <c r="A5267" s="14" t="s">
        <v>706</v>
      </c>
      <c r="B5267" s="15" t="str">
        <f aca="false">IF(COUNTIFS($D$5270:$D$5343,IF(D5267="","*",D5267),$E$5270:$E$5343,IF(E5267="","*",E5267),$F$5270:$F$5343,IF(F5267="","*",F5267),$G$5270:$G$5343,IF(G5267="","*",G5267),$H$5270:$H$5343,IF(H5267="","*",H5267))=1,INDEX($B:$B,SUMPRODUCT(((D5267="")+($D$5270:$D$5343=D5267)&gt;0)*((E5267="")+($E$5270:$E$5343=E5267)&gt;0)*((F5267="")+($F$5270:$F$5343=F5267)&gt;0)*((G5267="")+($G$5270:$G$5343=G5267)&gt;0)*((H5267="")+($H$5270:$H$5343=H5267)&gt;0)*ROW($B$5270:$B$5343))),IF(COUNTIFS($D$5270:$D$5343,IF(D5267="","*",D5267),$E$5270:$E$5343,IF(E5267="","*",E5267),$F$5270:$F$5343,IF(F5267="","*",F5267),$G$5270:$G$5343,IF(G5267="","*",G5267),$H$5270:$H$5343,IF(H5267="","*",H5267))=0,"Not available",COUNTIFS($D$5270:$D$5343,IF(D5267="","*",D5267),$E$5270:$E$5343,IF(E5267="","*",E5267),$F$5270:$F$5343,IF(F5267="","*",F5267),$G$5270:$G$5343,IF(G5267="","*",G5267),$H$5270:$H$5343,IF(H5267="","*",H5267))&amp;" match, keep choosing"))</f>
        <v>PUR-JB-10-290-RG</v>
      </c>
      <c r="C5267" s="16" t="n">
        <f aca="false">IF(COUNTIFS($D$5270:$D$5343,IF(D5267="","*",D5267),$E$5270:$E$5343,IF(E5267="","*",E5267),$F$5270:$F$5343,IF(F5267="","*",F5267),$G$5270:$G$5343,IF(G5267="","*",G5267),$H$5270:$H$5343,IF(H5267="","*",H5267))=1,INDEX($C:$C,SUMPRODUCT(((D5267="")+($D$5270:$D$5343=D5267)&gt;0)*((E5267="")+($E$5270:$E$5343=E5267)&gt;0)*((F5267="")+($F$5270:$F$5343=F5267)&gt;0)*((G5267="")+($G$5270:$G$5343=G5267)&gt;0)*((H5267="")+($H$5270:$H$5343=H5267)&gt;0)*ROW($B$5270:$B$5343))),"")</f>
        <v>0.54</v>
      </c>
      <c r="D5267" s="17" t="s">
        <v>1495</v>
      </c>
      <c r="E5267" s="17" t="s">
        <v>6356</v>
      </c>
      <c r="F5267" s="17" t="s">
        <v>6358</v>
      </c>
      <c r="G5267" s="17" t="s">
        <v>707</v>
      </c>
      <c r="H5267" s="17" t="s">
        <v>6437</v>
      </c>
    </row>
    <row r="5269" customFormat="false" ht="15" hidden="false" customHeight="false" outlineLevel="0" collapsed="false">
      <c r="B5269" s="18" t="s">
        <v>701</v>
      </c>
      <c r="C5269" s="18" t="s">
        <v>702</v>
      </c>
      <c r="D5269" s="18" t="s">
        <v>830</v>
      </c>
      <c r="E5269" s="18" t="s">
        <v>722</v>
      </c>
      <c r="F5269" s="18" t="s">
        <v>6354</v>
      </c>
      <c r="G5269" s="18" t="s">
        <v>6355</v>
      </c>
      <c r="H5269" s="18" t="s">
        <v>6436</v>
      </c>
    </row>
    <row r="5270" customFormat="false" ht="15" hidden="false" customHeight="false" outlineLevel="0" collapsed="false">
      <c r="B5270" s="19" t="s">
        <v>6438</v>
      </c>
      <c r="C5270" s="20" t="n">
        <f aca="false">ROUND(3.9/FX,2)</f>
        <v>0.54</v>
      </c>
      <c r="D5270" s="21" t="s">
        <v>1495</v>
      </c>
      <c r="E5270" s="21" t="s">
        <v>6356</v>
      </c>
      <c r="F5270" s="21" t="s">
        <v>6358</v>
      </c>
      <c r="G5270" s="21" t="s">
        <v>707</v>
      </c>
      <c r="H5270" s="21" t="s">
        <v>6437</v>
      </c>
    </row>
    <row r="5271" customFormat="false" ht="15" hidden="false" customHeight="false" outlineLevel="0" collapsed="false">
      <c r="B5271" s="19" t="s">
        <v>6439</v>
      </c>
      <c r="C5271" s="20" t="n">
        <f aca="false">ROUND(3.9/FX,2)</f>
        <v>0.54</v>
      </c>
      <c r="D5271" s="21" t="s">
        <v>1545</v>
      </c>
      <c r="E5271" s="21" t="s">
        <v>6356</v>
      </c>
      <c r="F5271" s="21" t="s">
        <v>6358</v>
      </c>
      <c r="G5271" s="21" t="s">
        <v>707</v>
      </c>
      <c r="H5271" s="21" t="s">
        <v>6437</v>
      </c>
    </row>
    <row r="5272" customFormat="false" ht="15" hidden="false" customHeight="false" outlineLevel="0" collapsed="false">
      <c r="B5272" s="19" t="s">
        <v>6440</v>
      </c>
      <c r="C5272" s="20" t="n">
        <f aca="false">ROUND(1.43/FX,2)</f>
        <v>0.2</v>
      </c>
      <c r="D5272" s="21" t="s">
        <v>2052</v>
      </c>
      <c r="E5272" s="21" t="s">
        <v>6356</v>
      </c>
      <c r="F5272" s="21" t="s">
        <v>6358</v>
      </c>
      <c r="G5272" s="21" t="s">
        <v>841</v>
      </c>
      <c r="H5272" s="21" t="s">
        <v>6437</v>
      </c>
    </row>
    <row r="5273" customFormat="false" ht="15" hidden="false" customHeight="false" outlineLevel="0" collapsed="false">
      <c r="B5273" s="19" t="s">
        <v>6441</v>
      </c>
      <c r="C5273" s="20" t="n">
        <f aca="false">ROUND(1.56/FX,2)</f>
        <v>0.22</v>
      </c>
      <c r="D5273" s="21" t="s">
        <v>6442</v>
      </c>
      <c r="E5273" s="21" t="s">
        <v>6356</v>
      </c>
      <c r="F5273" s="21" t="s">
        <v>6358</v>
      </c>
      <c r="G5273" s="21" t="s">
        <v>841</v>
      </c>
      <c r="H5273" s="21" t="s">
        <v>6437</v>
      </c>
    </row>
    <row r="5274" customFormat="false" ht="15" hidden="false" customHeight="false" outlineLevel="0" collapsed="false">
      <c r="B5274" s="19" t="s">
        <v>6443</v>
      </c>
      <c r="C5274" s="20" t="n">
        <f aca="false">ROUND(1.46/FX,2)</f>
        <v>0.2</v>
      </c>
      <c r="D5274" s="21" t="s">
        <v>2309</v>
      </c>
      <c r="E5274" s="21" t="s">
        <v>6356</v>
      </c>
      <c r="F5274" s="21" t="s">
        <v>6358</v>
      </c>
      <c r="G5274" s="21" t="s">
        <v>841</v>
      </c>
      <c r="H5274" s="21" t="s">
        <v>6437</v>
      </c>
    </row>
    <row r="5275" customFormat="false" ht="15" hidden="false" customHeight="false" outlineLevel="0" collapsed="false">
      <c r="B5275" s="19" t="s">
        <v>6444</v>
      </c>
      <c r="C5275" s="20" t="n">
        <f aca="false">ROUND(1.69/FX,2)</f>
        <v>0.23</v>
      </c>
      <c r="D5275" s="21" t="s">
        <v>5593</v>
      </c>
      <c r="E5275" s="21" t="s">
        <v>6356</v>
      </c>
      <c r="F5275" s="21" t="s">
        <v>6358</v>
      </c>
      <c r="G5275" s="21" t="s">
        <v>841</v>
      </c>
      <c r="H5275" s="21" t="s">
        <v>6437</v>
      </c>
    </row>
    <row r="5276" customFormat="false" ht="15" hidden="false" customHeight="false" outlineLevel="0" collapsed="false">
      <c r="B5276" s="19" t="s">
        <v>6445</v>
      </c>
      <c r="C5276" s="20" t="n">
        <f aca="false">ROUND(1.69/FX,2)</f>
        <v>0.23</v>
      </c>
      <c r="D5276" s="21" t="s">
        <v>6446</v>
      </c>
      <c r="E5276" s="21" t="s">
        <v>6356</v>
      </c>
      <c r="F5276" s="21" t="s">
        <v>6358</v>
      </c>
      <c r="G5276" s="21" t="s">
        <v>841</v>
      </c>
      <c r="H5276" s="21" t="s">
        <v>6437</v>
      </c>
    </row>
    <row r="5277" customFormat="false" ht="15" hidden="false" customHeight="false" outlineLevel="0" collapsed="false">
      <c r="B5277" s="19" t="s">
        <v>6447</v>
      </c>
      <c r="C5277" s="20" t="n">
        <f aca="false">ROUND(1.3/FX,2)</f>
        <v>0.18</v>
      </c>
      <c r="D5277" s="21" t="s">
        <v>4083</v>
      </c>
      <c r="E5277" s="21" t="s">
        <v>6356</v>
      </c>
      <c r="F5277" s="21" t="s">
        <v>6358</v>
      </c>
      <c r="G5277" s="21" t="s">
        <v>789</v>
      </c>
      <c r="H5277" s="21" t="s">
        <v>6437</v>
      </c>
    </row>
    <row r="5278" customFormat="false" ht="15" hidden="false" customHeight="false" outlineLevel="0" collapsed="false">
      <c r="B5278" s="19" t="s">
        <v>6448</v>
      </c>
      <c r="C5278" s="20" t="n">
        <f aca="false">ROUND(1.95/FX,2)</f>
        <v>0.27</v>
      </c>
      <c r="D5278" s="21" t="s">
        <v>1495</v>
      </c>
      <c r="E5278" s="21" t="s">
        <v>6369</v>
      </c>
      <c r="F5278" s="21" t="s">
        <v>6363</v>
      </c>
      <c r="G5278" s="21" t="s">
        <v>789</v>
      </c>
      <c r="H5278" s="21" t="s">
        <v>6437</v>
      </c>
    </row>
    <row r="5279" customFormat="false" ht="15" hidden="false" customHeight="false" outlineLevel="0" collapsed="false">
      <c r="B5279" s="19" t="s">
        <v>6449</v>
      </c>
      <c r="C5279" s="20" t="n">
        <f aca="false">ROUND(1.3/FX,2)</f>
        <v>0.18</v>
      </c>
      <c r="D5279" s="21" t="s">
        <v>1595</v>
      </c>
      <c r="E5279" s="21" t="s">
        <v>6356</v>
      </c>
      <c r="F5279" s="21" t="s">
        <v>6358</v>
      </c>
      <c r="G5279" s="21" t="s">
        <v>789</v>
      </c>
      <c r="H5279" s="21" t="s">
        <v>6437</v>
      </c>
    </row>
    <row r="5280" customFormat="false" ht="15" hidden="false" customHeight="false" outlineLevel="0" collapsed="false">
      <c r="B5280" s="19" t="s">
        <v>6450</v>
      </c>
      <c r="C5280" s="20" t="n">
        <f aca="false">ROUND(1.95/FX,2)</f>
        <v>0.27</v>
      </c>
      <c r="D5280" s="21" t="s">
        <v>1670</v>
      </c>
      <c r="E5280" s="21" t="s">
        <v>6356</v>
      </c>
      <c r="F5280" s="21" t="s">
        <v>6358</v>
      </c>
      <c r="G5280" s="21" t="s">
        <v>789</v>
      </c>
      <c r="H5280" s="21" t="s">
        <v>6437</v>
      </c>
    </row>
    <row r="5281" customFormat="false" ht="15" hidden="false" customHeight="false" outlineLevel="0" collapsed="false">
      <c r="B5281" s="19" t="s">
        <v>6451</v>
      </c>
      <c r="C5281" s="20" t="n">
        <f aca="false">ROUND(1.3/FX,2)</f>
        <v>0.18</v>
      </c>
      <c r="D5281" s="21" t="s">
        <v>4482</v>
      </c>
      <c r="E5281" s="21" t="s">
        <v>6356</v>
      </c>
      <c r="F5281" s="21" t="s">
        <v>6358</v>
      </c>
      <c r="G5281" s="21" t="s">
        <v>789</v>
      </c>
      <c r="H5281" s="21" t="s">
        <v>6437</v>
      </c>
    </row>
    <row r="5282" customFormat="false" ht="15" hidden="false" customHeight="false" outlineLevel="0" collapsed="false">
      <c r="B5282" s="19" t="s">
        <v>6452</v>
      </c>
      <c r="C5282" s="20" t="n">
        <f aca="false">ROUND(2.6/FX,2)</f>
        <v>0.36</v>
      </c>
      <c r="D5282" s="21" t="s">
        <v>2369</v>
      </c>
      <c r="E5282" s="21" t="s">
        <v>6356</v>
      </c>
      <c r="F5282" s="21" t="s">
        <v>6358</v>
      </c>
      <c r="G5282" s="21" t="s">
        <v>789</v>
      </c>
      <c r="H5282" s="21" t="s">
        <v>6437</v>
      </c>
    </row>
    <row r="5283" customFormat="false" ht="15" hidden="false" customHeight="false" outlineLevel="0" collapsed="false">
      <c r="B5283" s="19" t="s">
        <v>6453</v>
      </c>
      <c r="C5283" s="20" t="n">
        <f aca="false">ROUND(1.56/FX,2)</f>
        <v>0.22</v>
      </c>
      <c r="D5283" s="21" t="s">
        <v>1595</v>
      </c>
      <c r="E5283" s="21" t="s">
        <v>6356</v>
      </c>
      <c r="F5283" s="21" t="s">
        <v>6358</v>
      </c>
      <c r="G5283" s="21" t="s">
        <v>716</v>
      </c>
      <c r="H5283" s="21" t="s">
        <v>6437</v>
      </c>
    </row>
    <row r="5284" customFormat="false" ht="15" hidden="false" customHeight="false" outlineLevel="0" collapsed="false">
      <c r="B5284" s="19" t="s">
        <v>6454</v>
      </c>
      <c r="C5284" s="20" t="n">
        <f aca="false">ROUND(2.6/FX,2)</f>
        <v>0.36</v>
      </c>
      <c r="D5284" s="21" t="s">
        <v>2002</v>
      </c>
      <c r="E5284" s="21" t="s">
        <v>6362</v>
      </c>
      <c r="F5284" s="21" t="s">
        <v>6363</v>
      </c>
      <c r="G5284" s="21" t="s">
        <v>716</v>
      </c>
      <c r="H5284" s="21" t="s">
        <v>6437</v>
      </c>
    </row>
    <row r="5285" customFormat="false" ht="15" hidden="false" customHeight="false" outlineLevel="0" collapsed="false">
      <c r="B5285" s="19" t="s">
        <v>6455</v>
      </c>
      <c r="C5285" s="20" t="n">
        <f aca="false">ROUND(1.56/FX,2)</f>
        <v>0.22</v>
      </c>
      <c r="D5285" s="21" t="s">
        <v>4793</v>
      </c>
      <c r="E5285" s="21" t="s">
        <v>6356</v>
      </c>
      <c r="F5285" s="21" t="s">
        <v>6358</v>
      </c>
      <c r="G5285" s="21" t="s">
        <v>841</v>
      </c>
      <c r="H5285" s="21" t="s">
        <v>6456</v>
      </c>
    </row>
    <row r="5286" customFormat="false" ht="15" hidden="false" customHeight="false" outlineLevel="0" collapsed="false">
      <c r="B5286" s="19" t="s">
        <v>6457</v>
      </c>
      <c r="C5286" s="20" t="n">
        <f aca="false">ROUND(1.56/FX,2)</f>
        <v>0.22</v>
      </c>
      <c r="D5286" s="21" t="s">
        <v>3991</v>
      </c>
      <c r="E5286" s="21" t="s">
        <v>6356</v>
      </c>
      <c r="F5286" s="21" t="s">
        <v>6358</v>
      </c>
      <c r="G5286" s="21" t="s">
        <v>841</v>
      </c>
      <c r="H5286" s="21" t="s">
        <v>6456</v>
      </c>
    </row>
    <row r="5287" customFormat="false" ht="15" hidden="false" customHeight="false" outlineLevel="0" collapsed="false">
      <c r="B5287" s="19" t="s">
        <v>6458</v>
      </c>
      <c r="C5287" s="20" t="n">
        <f aca="false">ROUND(2.08/FX,2)</f>
        <v>0.29</v>
      </c>
      <c r="D5287" s="21" t="s">
        <v>1520</v>
      </c>
      <c r="E5287" s="21" t="s">
        <v>6356</v>
      </c>
      <c r="F5287" s="21" t="s">
        <v>6358</v>
      </c>
      <c r="G5287" s="21" t="s">
        <v>841</v>
      </c>
      <c r="H5287" s="21" t="s">
        <v>6456</v>
      </c>
    </row>
    <row r="5288" customFormat="false" ht="15" hidden="false" customHeight="false" outlineLevel="0" collapsed="false">
      <c r="B5288" s="19" t="s">
        <v>6459</v>
      </c>
      <c r="C5288" s="20" t="n">
        <f aca="false">ROUND(2.21/FX,2)</f>
        <v>0.31</v>
      </c>
      <c r="D5288" s="21" t="s">
        <v>1595</v>
      </c>
      <c r="E5288" s="21" t="s">
        <v>6356</v>
      </c>
      <c r="F5288" s="21" t="s">
        <v>6358</v>
      </c>
      <c r="G5288" s="21" t="s">
        <v>841</v>
      </c>
      <c r="H5288" s="21" t="s">
        <v>6456</v>
      </c>
    </row>
    <row r="5289" customFormat="false" ht="15" hidden="false" customHeight="false" outlineLevel="0" collapsed="false">
      <c r="B5289" s="19" t="s">
        <v>6460</v>
      </c>
      <c r="C5289" s="20" t="n">
        <f aca="false">ROUND(2.73/FX,2)</f>
        <v>0.38</v>
      </c>
      <c r="D5289" s="21" t="s">
        <v>1982</v>
      </c>
      <c r="E5289" s="21" t="s">
        <v>6356</v>
      </c>
      <c r="F5289" s="21" t="s">
        <v>6358</v>
      </c>
      <c r="G5289" s="21" t="s">
        <v>841</v>
      </c>
      <c r="H5289" s="21" t="s">
        <v>6456</v>
      </c>
    </row>
    <row r="5290" customFormat="false" ht="15" hidden="false" customHeight="false" outlineLevel="0" collapsed="false">
      <c r="B5290" s="19" t="s">
        <v>6461</v>
      </c>
      <c r="C5290" s="20" t="n">
        <f aca="false">ROUND(2.86/FX,2)</f>
        <v>0.4</v>
      </c>
      <c r="D5290" s="21" t="s">
        <v>2007</v>
      </c>
      <c r="E5290" s="21" t="s">
        <v>6356</v>
      </c>
      <c r="F5290" s="21" t="s">
        <v>6358</v>
      </c>
      <c r="G5290" s="21" t="s">
        <v>841</v>
      </c>
      <c r="H5290" s="21" t="s">
        <v>6456</v>
      </c>
    </row>
    <row r="5291" customFormat="false" ht="15" hidden="false" customHeight="false" outlineLevel="0" collapsed="false">
      <c r="B5291" s="19" t="s">
        <v>6462</v>
      </c>
      <c r="C5291" s="20" t="n">
        <f aca="false">ROUND(2.99/FX,2)</f>
        <v>0.42</v>
      </c>
      <c r="D5291" s="21" t="s">
        <v>2052</v>
      </c>
      <c r="E5291" s="21" t="s">
        <v>6356</v>
      </c>
      <c r="F5291" s="21" t="s">
        <v>6358</v>
      </c>
      <c r="G5291" s="21" t="s">
        <v>841</v>
      </c>
      <c r="H5291" s="21" t="s">
        <v>6456</v>
      </c>
    </row>
    <row r="5292" customFormat="false" ht="15" hidden="false" customHeight="false" outlineLevel="0" collapsed="false">
      <c r="B5292" s="19" t="s">
        <v>6463</v>
      </c>
      <c r="C5292" s="20" t="n">
        <f aca="false">ROUND(3.12/FX,2)</f>
        <v>0.43</v>
      </c>
      <c r="D5292" s="21" t="s">
        <v>2082</v>
      </c>
      <c r="E5292" s="21" t="s">
        <v>6356</v>
      </c>
      <c r="F5292" s="21" t="s">
        <v>6358</v>
      </c>
      <c r="G5292" s="21" t="s">
        <v>841</v>
      </c>
      <c r="H5292" s="21" t="s">
        <v>6456</v>
      </c>
    </row>
    <row r="5293" customFormat="false" ht="15" hidden="false" customHeight="false" outlineLevel="0" collapsed="false">
      <c r="B5293" s="19" t="s">
        <v>6464</v>
      </c>
      <c r="C5293" s="20" t="n">
        <f aca="false">ROUND(3.25/FX,2)</f>
        <v>0.45</v>
      </c>
      <c r="D5293" s="21" t="s">
        <v>2112</v>
      </c>
      <c r="E5293" s="21" t="s">
        <v>6356</v>
      </c>
      <c r="F5293" s="21" t="s">
        <v>6358</v>
      </c>
      <c r="G5293" s="21" t="s">
        <v>841</v>
      </c>
      <c r="H5293" s="21" t="s">
        <v>6456</v>
      </c>
    </row>
    <row r="5294" customFormat="false" ht="15" hidden="false" customHeight="false" outlineLevel="0" collapsed="false">
      <c r="B5294" s="19" t="s">
        <v>6465</v>
      </c>
      <c r="C5294" s="20" t="n">
        <f aca="false">ROUND(3.51/FX,2)</f>
        <v>0.49</v>
      </c>
      <c r="D5294" s="21" t="s">
        <v>5337</v>
      </c>
      <c r="E5294" s="21" t="s">
        <v>6356</v>
      </c>
      <c r="F5294" s="21" t="s">
        <v>6358</v>
      </c>
      <c r="G5294" s="21" t="s">
        <v>841</v>
      </c>
      <c r="H5294" s="21" t="s">
        <v>6456</v>
      </c>
    </row>
    <row r="5295" customFormat="false" ht="15" hidden="false" customHeight="false" outlineLevel="0" collapsed="false">
      <c r="B5295" s="19" t="s">
        <v>6466</v>
      </c>
      <c r="C5295" s="20" t="n">
        <f aca="false">ROUND(3.9/FX,2)</f>
        <v>0.54</v>
      </c>
      <c r="D5295" s="21" t="s">
        <v>6442</v>
      </c>
      <c r="E5295" s="21" t="s">
        <v>6356</v>
      </c>
      <c r="F5295" s="21" t="s">
        <v>6358</v>
      </c>
      <c r="G5295" s="21" t="s">
        <v>841</v>
      </c>
      <c r="H5295" s="21" t="s">
        <v>6456</v>
      </c>
    </row>
    <row r="5296" customFormat="false" ht="15" hidden="false" customHeight="false" outlineLevel="0" collapsed="false">
      <c r="B5296" s="19" t="s">
        <v>6467</v>
      </c>
      <c r="C5296" s="20" t="n">
        <f aca="false">ROUND(3.9/FX,2)</f>
        <v>0.54</v>
      </c>
      <c r="D5296" s="21" t="s">
        <v>2309</v>
      </c>
      <c r="E5296" s="21" t="s">
        <v>6356</v>
      </c>
      <c r="F5296" s="21" t="s">
        <v>6358</v>
      </c>
      <c r="G5296" s="21" t="s">
        <v>841</v>
      </c>
      <c r="H5296" s="21" t="s">
        <v>6456</v>
      </c>
    </row>
    <row r="5297" customFormat="false" ht="15" hidden="false" customHeight="false" outlineLevel="0" collapsed="false">
      <c r="B5297" s="19" t="s">
        <v>6468</v>
      </c>
      <c r="C5297" s="20" t="n">
        <f aca="false">ROUND(5.2/FX,2)</f>
        <v>0.72</v>
      </c>
      <c r="D5297" s="21" t="s">
        <v>5593</v>
      </c>
      <c r="E5297" s="21" t="s">
        <v>6356</v>
      </c>
      <c r="F5297" s="21" t="s">
        <v>6358</v>
      </c>
      <c r="G5297" s="21" t="s">
        <v>841</v>
      </c>
      <c r="H5297" s="21" t="s">
        <v>6456</v>
      </c>
    </row>
    <row r="5298" customFormat="false" ht="15" hidden="false" customHeight="false" outlineLevel="0" collapsed="false">
      <c r="B5298" s="19" t="s">
        <v>6469</v>
      </c>
      <c r="C5298" s="20" t="n">
        <f aca="false">ROUND(5.2/FX,2)</f>
        <v>0.72</v>
      </c>
      <c r="D5298" s="21" t="s">
        <v>6446</v>
      </c>
      <c r="E5298" s="21" t="s">
        <v>6356</v>
      </c>
      <c r="F5298" s="21" t="s">
        <v>6363</v>
      </c>
      <c r="G5298" s="21" t="s">
        <v>841</v>
      </c>
      <c r="H5298" s="21" t="s">
        <v>6456</v>
      </c>
    </row>
    <row r="5299" customFormat="false" ht="15" hidden="false" customHeight="false" outlineLevel="0" collapsed="false">
      <c r="B5299" s="19" t="s">
        <v>6470</v>
      </c>
      <c r="C5299" s="20" t="n">
        <f aca="false">ROUND(1.3/FX,2)</f>
        <v>0.18</v>
      </c>
      <c r="D5299" s="21" t="s">
        <v>3881</v>
      </c>
      <c r="E5299" s="21" t="s">
        <v>6356</v>
      </c>
      <c r="F5299" s="21" t="s">
        <v>6358</v>
      </c>
      <c r="G5299" s="21" t="s">
        <v>789</v>
      </c>
      <c r="H5299" s="21" t="s">
        <v>6456</v>
      </c>
    </row>
    <row r="5300" customFormat="false" ht="15" hidden="false" customHeight="false" outlineLevel="0" collapsed="false">
      <c r="B5300" s="19" t="s">
        <v>6471</v>
      </c>
      <c r="C5300" s="20" t="n">
        <f aca="false">ROUND(1.3/FX,2)</f>
        <v>0.18</v>
      </c>
      <c r="D5300" s="21" t="s">
        <v>1048</v>
      </c>
      <c r="E5300" s="21" t="s">
        <v>6356</v>
      </c>
      <c r="F5300" s="21" t="s">
        <v>6358</v>
      </c>
      <c r="G5300" s="21" t="s">
        <v>789</v>
      </c>
      <c r="H5300" s="21" t="s">
        <v>6456</v>
      </c>
    </row>
    <row r="5301" customFormat="false" ht="15" hidden="false" customHeight="false" outlineLevel="0" collapsed="false">
      <c r="B5301" s="19" t="s">
        <v>6472</v>
      </c>
      <c r="C5301" s="20" t="n">
        <f aca="false">ROUND(1.3/FX,2)</f>
        <v>0.18</v>
      </c>
      <c r="D5301" s="21" t="s">
        <v>1268</v>
      </c>
      <c r="E5301" s="21" t="s">
        <v>6356</v>
      </c>
      <c r="F5301" s="21" t="s">
        <v>6358</v>
      </c>
      <c r="G5301" s="21" t="s">
        <v>789</v>
      </c>
      <c r="H5301" s="21" t="s">
        <v>6456</v>
      </c>
    </row>
    <row r="5302" customFormat="false" ht="15" hidden="false" customHeight="false" outlineLevel="0" collapsed="false">
      <c r="B5302" s="19" t="s">
        <v>6473</v>
      </c>
      <c r="C5302" s="20" t="n">
        <f aca="false">ROUND(1.56/FX,2)</f>
        <v>0.22</v>
      </c>
      <c r="D5302" s="21" t="s">
        <v>1356</v>
      </c>
      <c r="E5302" s="21" t="s">
        <v>6356</v>
      </c>
      <c r="F5302" s="21" t="s">
        <v>6358</v>
      </c>
      <c r="G5302" s="21" t="s">
        <v>789</v>
      </c>
      <c r="H5302" s="21" t="s">
        <v>6456</v>
      </c>
    </row>
    <row r="5303" customFormat="false" ht="15" hidden="false" customHeight="false" outlineLevel="0" collapsed="false">
      <c r="B5303" s="19" t="s">
        <v>6474</v>
      </c>
      <c r="C5303" s="20" t="n">
        <f aca="false">ROUND(1.69/FX,2)</f>
        <v>0.23</v>
      </c>
      <c r="D5303" s="21" t="s">
        <v>4883</v>
      </c>
      <c r="E5303" s="21" t="s">
        <v>6356</v>
      </c>
      <c r="F5303" s="21" t="s">
        <v>6358</v>
      </c>
      <c r="G5303" s="21" t="s">
        <v>789</v>
      </c>
      <c r="H5303" s="21" t="s">
        <v>6456</v>
      </c>
    </row>
    <row r="5304" customFormat="false" ht="15" hidden="false" customHeight="false" outlineLevel="0" collapsed="false">
      <c r="B5304" s="19" t="s">
        <v>6475</v>
      </c>
      <c r="C5304" s="20" t="n">
        <f aca="false">ROUND(1.64/FX,2)</f>
        <v>0.23</v>
      </c>
      <c r="D5304" s="21" t="s">
        <v>1520</v>
      </c>
      <c r="E5304" s="21" t="s">
        <v>6356</v>
      </c>
      <c r="F5304" s="21" t="s">
        <v>6358</v>
      </c>
      <c r="G5304" s="21" t="s">
        <v>789</v>
      </c>
      <c r="H5304" s="21" t="s">
        <v>6456</v>
      </c>
    </row>
    <row r="5305" customFormat="false" ht="15" hidden="false" customHeight="false" outlineLevel="0" collapsed="false">
      <c r="B5305" s="19" t="s">
        <v>6476</v>
      </c>
      <c r="C5305" s="20" t="n">
        <f aca="false">ROUND(1.95/FX,2)</f>
        <v>0.27</v>
      </c>
      <c r="D5305" s="21" t="s">
        <v>1535</v>
      </c>
      <c r="E5305" s="21" t="s">
        <v>6356</v>
      </c>
      <c r="F5305" s="21" t="s">
        <v>6358</v>
      </c>
      <c r="G5305" s="21" t="s">
        <v>789</v>
      </c>
      <c r="H5305" s="21" t="s">
        <v>6456</v>
      </c>
    </row>
    <row r="5306" customFormat="false" ht="15" hidden="false" customHeight="false" outlineLevel="0" collapsed="false">
      <c r="B5306" s="19" t="s">
        <v>6477</v>
      </c>
      <c r="C5306" s="20" t="n">
        <f aca="false">ROUND(1.82/FX,2)</f>
        <v>0.25</v>
      </c>
      <c r="D5306" s="21" t="s">
        <v>1545</v>
      </c>
      <c r="E5306" s="21" t="s">
        <v>6356</v>
      </c>
      <c r="F5306" s="21" t="s">
        <v>6358</v>
      </c>
      <c r="G5306" s="21" t="s">
        <v>789</v>
      </c>
      <c r="H5306" s="21" t="s">
        <v>6456</v>
      </c>
    </row>
    <row r="5307" customFormat="false" ht="15" hidden="false" customHeight="false" outlineLevel="0" collapsed="false">
      <c r="B5307" s="19" t="s">
        <v>6478</v>
      </c>
      <c r="C5307" s="20" t="n">
        <f aca="false">ROUND(2.08/FX,2)</f>
        <v>0.29</v>
      </c>
      <c r="D5307" s="21" t="s">
        <v>1595</v>
      </c>
      <c r="E5307" s="21" t="s">
        <v>6356</v>
      </c>
      <c r="F5307" s="21" t="s">
        <v>6358</v>
      </c>
      <c r="G5307" s="21" t="s">
        <v>789</v>
      </c>
      <c r="H5307" s="21" t="s">
        <v>6456</v>
      </c>
    </row>
    <row r="5308" customFormat="false" ht="15" hidden="false" customHeight="false" outlineLevel="0" collapsed="false">
      <c r="B5308" s="19" t="s">
        <v>6479</v>
      </c>
      <c r="C5308" s="20" t="n">
        <f aca="false">ROUND(2.21/FX,2)</f>
        <v>0.31</v>
      </c>
      <c r="D5308" s="21" t="s">
        <v>1655</v>
      </c>
      <c r="E5308" s="21" t="s">
        <v>6356</v>
      </c>
      <c r="F5308" s="21" t="s">
        <v>6358</v>
      </c>
      <c r="G5308" s="21" t="s">
        <v>789</v>
      </c>
      <c r="H5308" s="21" t="s">
        <v>6456</v>
      </c>
    </row>
    <row r="5309" customFormat="false" ht="15" hidden="false" customHeight="false" outlineLevel="0" collapsed="false">
      <c r="B5309" s="19" t="s">
        <v>6480</v>
      </c>
      <c r="C5309" s="20" t="n">
        <f aca="false">ROUND(2.34/FX,2)</f>
        <v>0.33</v>
      </c>
      <c r="D5309" s="21" t="s">
        <v>1685</v>
      </c>
      <c r="E5309" s="21" t="s">
        <v>6356</v>
      </c>
      <c r="F5309" s="21" t="s">
        <v>6358</v>
      </c>
      <c r="G5309" s="21" t="s">
        <v>789</v>
      </c>
      <c r="H5309" s="21" t="s">
        <v>6456</v>
      </c>
    </row>
    <row r="5310" customFormat="false" ht="15" hidden="false" customHeight="false" outlineLevel="0" collapsed="false">
      <c r="B5310" s="19" t="s">
        <v>6481</v>
      </c>
      <c r="C5310" s="20" t="n">
        <f aca="false">ROUND(2.19/FX,2)</f>
        <v>0.3</v>
      </c>
      <c r="D5310" s="21" t="s">
        <v>2002</v>
      </c>
      <c r="E5310" s="21" t="s">
        <v>6356</v>
      </c>
      <c r="F5310" s="21" t="s">
        <v>6358</v>
      </c>
      <c r="G5310" s="21" t="s">
        <v>789</v>
      </c>
      <c r="H5310" s="21" t="s">
        <v>6456</v>
      </c>
    </row>
    <row r="5311" customFormat="false" ht="15" hidden="false" customHeight="false" outlineLevel="0" collapsed="false">
      <c r="B5311" s="19" t="s">
        <v>6482</v>
      </c>
      <c r="C5311" s="20" t="n">
        <f aca="false">ROUND(2.6/FX,2)</f>
        <v>0.36</v>
      </c>
      <c r="D5311" s="21" t="s">
        <v>2022</v>
      </c>
      <c r="E5311" s="21" t="s">
        <v>6356</v>
      </c>
      <c r="F5311" s="21" t="s">
        <v>6358</v>
      </c>
      <c r="G5311" s="21" t="s">
        <v>789</v>
      </c>
      <c r="H5311" s="21" t="s">
        <v>6456</v>
      </c>
    </row>
    <row r="5312" customFormat="false" ht="15" hidden="false" customHeight="false" outlineLevel="0" collapsed="false">
      <c r="B5312" s="19" t="s">
        <v>6483</v>
      </c>
      <c r="C5312" s="20" t="n">
        <f aca="false">ROUND(2.73/FX,2)</f>
        <v>0.38</v>
      </c>
      <c r="D5312" s="21" t="s">
        <v>2052</v>
      </c>
      <c r="E5312" s="21" t="s">
        <v>6356</v>
      </c>
      <c r="F5312" s="21" t="s">
        <v>6358</v>
      </c>
      <c r="G5312" s="21" t="s">
        <v>789</v>
      </c>
      <c r="H5312" s="21" t="s">
        <v>6456</v>
      </c>
    </row>
    <row r="5313" customFormat="false" ht="15" hidden="false" customHeight="false" outlineLevel="0" collapsed="false">
      <c r="B5313" s="19" t="s">
        <v>6484</v>
      </c>
      <c r="C5313" s="20" t="n">
        <f aca="false">ROUND(2.86/FX,2)</f>
        <v>0.4</v>
      </c>
      <c r="D5313" s="21" t="s">
        <v>2082</v>
      </c>
      <c r="E5313" s="21" t="s">
        <v>6356</v>
      </c>
      <c r="F5313" s="21" t="s">
        <v>6358</v>
      </c>
      <c r="G5313" s="21" t="s">
        <v>789</v>
      </c>
      <c r="H5313" s="21" t="s">
        <v>6456</v>
      </c>
    </row>
    <row r="5314" customFormat="false" ht="15" hidden="false" customHeight="false" outlineLevel="0" collapsed="false">
      <c r="B5314" s="19" t="s">
        <v>6485</v>
      </c>
      <c r="C5314" s="20" t="n">
        <f aca="false">ROUND(2.86/FX,2)</f>
        <v>0.4</v>
      </c>
      <c r="D5314" s="21" t="s">
        <v>2097</v>
      </c>
      <c r="E5314" s="21" t="s">
        <v>6356</v>
      </c>
      <c r="F5314" s="21" t="s">
        <v>6358</v>
      </c>
      <c r="G5314" s="21" t="s">
        <v>789</v>
      </c>
      <c r="H5314" s="21" t="s">
        <v>6456</v>
      </c>
    </row>
    <row r="5315" customFormat="false" ht="15" hidden="false" customHeight="false" outlineLevel="0" collapsed="false">
      <c r="B5315" s="19" t="s">
        <v>6486</v>
      </c>
      <c r="C5315" s="20" t="n">
        <f aca="false">ROUND(2.99/FX,2)</f>
        <v>0.42</v>
      </c>
      <c r="D5315" s="21" t="s">
        <v>5288</v>
      </c>
      <c r="E5315" s="21" t="s">
        <v>6356</v>
      </c>
      <c r="F5315" s="21" t="s">
        <v>6358</v>
      </c>
      <c r="G5315" s="21" t="s">
        <v>789</v>
      </c>
      <c r="H5315" s="21" t="s">
        <v>6456</v>
      </c>
    </row>
    <row r="5316" customFormat="false" ht="15" hidden="false" customHeight="false" outlineLevel="0" collapsed="false">
      <c r="B5316" s="19" t="s">
        <v>6487</v>
      </c>
      <c r="C5316" s="20" t="n">
        <f aca="false">ROUND(2.99/FX,2)</f>
        <v>0.42</v>
      </c>
      <c r="D5316" s="21" t="s">
        <v>2142</v>
      </c>
      <c r="E5316" s="21" t="s">
        <v>6356</v>
      </c>
      <c r="F5316" s="21" t="s">
        <v>6358</v>
      </c>
      <c r="G5316" s="21" t="s">
        <v>789</v>
      </c>
      <c r="H5316" s="21" t="s">
        <v>6456</v>
      </c>
    </row>
    <row r="5317" customFormat="false" ht="15" hidden="false" customHeight="false" outlineLevel="0" collapsed="false">
      <c r="B5317" s="19" t="s">
        <v>6488</v>
      </c>
      <c r="C5317" s="20" t="n">
        <f aca="false">ROUND(3.12/FX,2)</f>
        <v>0.43</v>
      </c>
      <c r="D5317" s="21" t="s">
        <v>2162</v>
      </c>
      <c r="E5317" s="21" t="s">
        <v>6356</v>
      </c>
      <c r="F5317" s="21" t="s">
        <v>6358</v>
      </c>
      <c r="G5317" s="21" t="s">
        <v>789</v>
      </c>
      <c r="H5317" s="21" t="s">
        <v>6456</v>
      </c>
    </row>
    <row r="5318" customFormat="false" ht="15" hidden="false" customHeight="false" outlineLevel="0" collapsed="false">
      <c r="B5318" s="19" t="s">
        <v>6489</v>
      </c>
      <c r="C5318" s="20" t="n">
        <f aca="false">ROUND(3.9/FX,2)</f>
        <v>0.54</v>
      </c>
      <c r="D5318" s="21" t="s">
        <v>2227</v>
      </c>
      <c r="E5318" s="21" t="s">
        <v>6356</v>
      </c>
      <c r="F5318" s="21" t="s">
        <v>6358</v>
      </c>
      <c r="G5318" s="21" t="s">
        <v>789</v>
      </c>
      <c r="H5318" s="21" t="s">
        <v>6456</v>
      </c>
    </row>
    <row r="5319" customFormat="false" ht="15" hidden="false" customHeight="false" outlineLevel="0" collapsed="false">
      <c r="B5319" s="19" t="s">
        <v>6490</v>
      </c>
      <c r="C5319" s="20" t="n">
        <f aca="false">ROUND(4.03/FX,2)</f>
        <v>0.56</v>
      </c>
      <c r="D5319" s="21" t="s">
        <v>2369</v>
      </c>
      <c r="E5319" s="21" t="s">
        <v>6356</v>
      </c>
      <c r="F5319" s="21" t="s">
        <v>6358</v>
      </c>
      <c r="G5319" s="21" t="s">
        <v>789</v>
      </c>
      <c r="H5319" s="21" t="s">
        <v>6456</v>
      </c>
    </row>
    <row r="5320" customFormat="false" ht="15" hidden="false" customHeight="false" outlineLevel="0" collapsed="false">
      <c r="B5320" s="19" t="s">
        <v>6491</v>
      </c>
      <c r="C5320" s="20" t="n">
        <f aca="false">ROUND(4.81/FX,2)</f>
        <v>0.67</v>
      </c>
      <c r="D5320" s="21" t="s">
        <v>6492</v>
      </c>
      <c r="E5320" s="21" t="s">
        <v>6356</v>
      </c>
      <c r="F5320" s="21" t="s">
        <v>6363</v>
      </c>
      <c r="G5320" s="21" t="s">
        <v>789</v>
      </c>
      <c r="H5320" s="21" t="s">
        <v>6456</v>
      </c>
    </row>
    <row r="5321" customFormat="false" ht="15" hidden="false" customHeight="false" outlineLevel="0" collapsed="false">
      <c r="B5321" s="19" t="s">
        <v>6493</v>
      </c>
      <c r="C5321" s="20" t="n">
        <f aca="false">ROUND(5.2/FX,2)</f>
        <v>0.72</v>
      </c>
      <c r="D5321" s="21" t="s">
        <v>6494</v>
      </c>
      <c r="E5321" s="21" t="s">
        <v>6356</v>
      </c>
      <c r="F5321" s="21" t="s">
        <v>6363</v>
      </c>
      <c r="G5321" s="21" t="s">
        <v>789</v>
      </c>
      <c r="H5321" s="21" t="s">
        <v>6456</v>
      </c>
    </row>
    <row r="5322" customFormat="false" ht="15" hidden="false" customHeight="false" outlineLevel="0" collapsed="false">
      <c r="B5322" s="19" t="s">
        <v>6495</v>
      </c>
      <c r="C5322" s="20" t="n">
        <f aca="false">ROUND(5.85/FX,2)</f>
        <v>0.81</v>
      </c>
      <c r="D5322" s="21" t="s">
        <v>2480</v>
      </c>
      <c r="E5322" s="21" t="s">
        <v>6356</v>
      </c>
      <c r="F5322" s="21" t="s">
        <v>6363</v>
      </c>
      <c r="G5322" s="21" t="s">
        <v>789</v>
      </c>
      <c r="H5322" s="21" t="s">
        <v>6456</v>
      </c>
    </row>
    <row r="5323" customFormat="false" ht="15" hidden="false" customHeight="false" outlineLevel="0" collapsed="false">
      <c r="B5323" s="19" t="s">
        <v>6496</v>
      </c>
      <c r="C5323" s="20" t="n">
        <f aca="false">ROUND(1.82/FX,2)</f>
        <v>0.25</v>
      </c>
      <c r="D5323" s="21" t="s">
        <v>6497</v>
      </c>
      <c r="E5323" s="21" t="s">
        <v>6356</v>
      </c>
      <c r="F5323" s="21" t="s">
        <v>6358</v>
      </c>
      <c r="G5323" s="21" t="s">
        <v>716</v>
      </c>
      <c r="H5323" s="21" t="s">
        <v>6456</v>
      </c>
    </row>
    <row r="5324" customFormat="false" ht="15" hidden="false" customHeight="false" outlineLevel="0" collapsed="false">
      <c r="B5324" s="19" t="s">
        <v>6498</v>
      </c>
      <c r="C5324" s="20" t="n">
        <f aca="false">ROUND(1.69/FX,2)</f>
        <v>0.23</v>
      </c>
      <c r="D5324" s="21" t="s">
        <v>4883</v>
      </c>
      <c r="E5324" s="21" t="s">
        <v>6356</v>
      </c>
      <c r="F5324" s="21" t="s">
        <v>6358</v>
      </c>
      <c r="G5324" s="21" t="s">
        <v>716</v>
      </c>
      <c r="H5324" s="21" t="s">
        <v>6456</v>
      </c>
    </row>
    <row r="5325" customFormat="false" ht="15" hidden="false" customHeight="false" outlineLevel="0" collapsed="false">
      <c r="B5325" s="19" t="s">
        <v>6499</v>
      </c>
      <c r="C5325" s="20" t="n">
        <f aca="false">ROUND(1.95/FX,2)</f>
        <v>0.27</v>
      </c>
      <c r="D5325" s="21" t="s">
        <v>1520</v>
      </c>
      <c r="E5325" s="21" t="s">
        <v>6356</v>
      </c>
      <c r="F5325" s="21" t="s">
        <v>6358</v>
      </c>
      <c r="G5325" s="21" t="s">
        <v>716</v>
      </c>
      <c r="H5325" s="21" t="s">
        <v>6456</v>
      </c>
    </row>
    <row r="5326" customFormat="false" ht="15" hidden="false" customHeight="false" outlineLevel="0" collapsed="false">
      <c r="B5326" s="19" t="s">
        <v>6500</v>
      </c>
      <c r="C5326" s="20" t="n">
        <f aca="false">ROUND(2.21/FX,2)</f>
        <v>0.31</v>
      </c>
      <c r="D5326" s="21" t="s">
        <v>1595</v>
      </c>
      <c r="E5326" s="21" t="s">
        <v>6356</v>
      </c>
      <c r="F5326" s="21" t="s">
        <v>6358</v>
      </c>
      <c r="G5326" s="21" t="s">
        <v>716</v>
      </c>
      <c r="H5326" s="21" t="s">
        <v>6456</v>
      </c>
    </row>
    <row r="5327" customFormat="false" ht="15" hidden="false" customHeight="false" outlineLevel="0" collapsed="false">
      <c r="B5327" s="19" t="s">
        <v>6501</v>
      </c>
      <c r="C5327" s="20" t="n">
        <f aca="false">ROUND(2.55/FX,2)</f>
        <v>0.35</v>
      </c>
      <c r="D5327" s="21" t="s">
        <v>2002</v>
      </c>
      <c r="E5327" s="21" t="s">
        <v>6356</v>
      </c>
      <c r="F5327" s="21" t="s">
        <v>6358</v>
      </c>
      <c r="G5327" s="21" t="s">
        <v>716</v>
      </c>
      <c r="H5327" s="21" t="s">
        <v>6456</v>
      </c>
    </row>
    <row r="5328" customFormat="false" ht="15" hidden="false" customHeight="false" outlineLevel="0" collapsed="false">
      <c r="B5328" s="19" t="s">
        <v>6502</v>
      </c>
      <c r="C5328" s="20" t="n">
        <f aca="false">ROUND(2.41/FX,2)</f>
        <v>0.33</v>
      </c>
      <c r="D5328" s="21" t="s">
        <v>2022</v>
      </c>
      <c r="E5328" s="21" t="s">
        <v>6356</v>
      </c>
      <c r="F5328" s="21" t="s">
        <v>6358</v>
      </c>
      <c r="G5328" s="21" t="s">
        <v>716</v>
      </c>
      <c r="H5328" s="21" t="s">
        <v>6456</v>
      </c>
    </row>
    <row r="5329" customFormat="false" ht="15" hidden="false" customHeight="false" outlineLevel="0" collapsed="false">
      <c r="B5329" s="19" t="s">
        <v>6503</v>
      </c>
      <c r="C5329" s="20" t="n">
        <f aca="false">ROUND(2.73/FX,2)</f>
        <v>0.38</v>
      </c>
      <c r="D5329" s="21" t="s">
        <v>2052</v>
      </c>
      <c r="E5329" s="21" t="s">
        <v>6356</v>
      </c>
      <c r="F5329" s="21" t="s">
        <v>6358</v>
      </c>
      <c r="G5329" s="21" t="s">
        <v>716</v>
      </c>
      <c r="H5329" s="21" t="s">
        <v>6456</v>
      </c>
    </row>
    <row r="5330" customFormat="false" ht="15" hidden="false" customHeight="false" outlineLevel="0" collapsed="false">
      <c r="B5330" s="19" t="s">
        <v>6504</v>
      </c>
      <c r="C5330" s="20" t="n">
        <f aca="false">ROUND(2.86/FX,2)</f>
        <v>0.4</v>
      </c>
      <c r="D5330" s="21" t="s">
        <v>2082</v>
      </c>
      <c r="E5330" s="21" t="s">
        <v>6356</v>
      </c>
      <c r="F5330" s="21" t="s">
        <v>6358</v>
      </c>
      <c r="G5330" s="21" t="s">
        <v>716</v>
      </c>
      <c r="H5330" s="21" t="s">
        <v>6456</v>
      </c>
    </row>
    <row r="5331" customFormat="false" ht="15" hidden="false" customHeight="false" outlineLevel="0" collapsed="false">
      <c r="B5331" s="19" t="s">
        <v>6505</v>
      </c>
      <c r="C5331" s="20" t="n">
        <f aca="false">ROUND(2.86/FX,2)</f>
        <v>0.4</v>
      </c>
      <c r="D5331" s="21" t="s">
        <v>2097</v>
      </c>
      <c r="E5331" s="21" t="s">
        <v>6356</v>
      </c>
      <c r="F5331" s="21" t="s">
        <v>6358</v>
      </c>
      <c r="G5331" s="21" t="s">
        <v>716</v>
      </c>
      <c r="H5331" s="21" t="s">
        <v>6456</v>
      </c>
    </row>
    <row r="5332" customFormat="false" ht="15" hidden="false" customHeight="false" outlineLevel="0" collapsed="false">
      <c r="B5332" s="19" t="s">
        <v>6506</v>
      </c>
      <c r="C5332" s="20" t="n">
        <f aca="false">ROUND(2.99/FX,2)</f>
        <v>0.42</v>
      </c>
      <c r="D5332" s="21" t="s">
        <v>2127</v>
      </c>
      <c r="E5332" s="21" t="s">
        <v>6356</v>
      </c>
      <c r="F5332" s="21" t="s">
        <v>6358</v>
      </c>
      <c r="G5332" s="21" t="s">
        <v>716</v>
      </c>
      <c r="H5332" s="21" t="s">
        <v>6456</v>
      </c>
    </row>
    <row r="5333" customFormat="false" ht="15" hidden="false" customHeight="false" outlineLevel="0" collapsed="false">
      <c r="B5333" s="19" t="s">
        <v>6507</v>
      </c>
      <c r="C5333" s="20" t="n">
        <f aca="false">ROUND(3.12/FX,2)</f>
        <v>0.43</v>
      </c>
      <c r="D5333" s="21" t="s">
        <v>2142</v>
      </c>
      <c r="E5333" s="21" t="s">
        <v>6356</v>
      </c>
      <c r="F5333" s="21" t="s">
        <v>6358</v>
      </c>
      <c r="G5333" s="21" t="s">
        <v>716</v>
      </c>
      <c r="H5333" s="21" t="s">
        <v>6456</v>
      </c>
    </row>
    <row r="5334" customFormat="false" ht="15" hidden="false" customHeight="false" outlineLevel="0" collapsed="false">
      <c r="B5334" s="19" t="s">
        <v>6508</v>
      </c>
      <c r="C5334" s="20" t="n">
        <f aca="false">ROUND(2.86/FX,2)</f>
        <v>0.4</v>
      </c>
      <c r="D5334" s="21" t="s">
        <v>2162</v>
      </c>
      <c r="E5334" s="21" t="s">
        <v>6356</v>
      </c>
      <c r="F5334" s="21" t="s">
        <v>6358</v>
      </c>
      <c r="G5334" s="21" t="s">
        <v>716</v>
      </c>
      <c r="H5334" s="21" t="s">
        <v>6456</v>
      </c>
    </row>
    <row r="5335" customFormat="false" ht="15" hidden="false" customHeight="false" outlineLevel="0" collapsed="false">
      <c r="B5335" s="19" t="s">
        <v>6509</v>
      </c>
      <c r="C5335" s="20" t="n">
        <f aca="false">ROUND(3.51/FX,2)</f>
        <v>0.49</v>
      </c>
      <c r="D5335" s="21" t="s">
        <v>6510</v>
      </c>
      <c r="E5335" s="21" t="s">
        <v>6356</v>
      </c>
      <c r="F5335" s="21" t="s">
        <v>6358</v>
      </c>
      <c r="G5335" s="21" t="s">
        <v>716</v>
      </c>
      <c r="H5335" s="21" t="s">
        <v>6456</v>
      </c>
    </row>
    <row r="5336" customFormat="false" ht="15" hidden="false" customHeight="false" outlineLevel="0" collapsed="false">
      <c r="B5336" s="19" t="s">
        <v>6511</v>
      </c>
      <c r="C5336" s="20" t="n">
        <f aca="false">ROUND(3.77/FX,2)</f>
        <v>0.52</v>
      </c>
      <c r="D5336" s="21" t="s">
        <v>2227</v>
      </c>
      <c r="E5336" s="21" t="s">
        <v>6356</v>
      </c>
      <c r="F5336" s="21" t="s">
        <v>6358</v>
      </c>
      <c r="G5336" s="21" t="s">
        <v>716</v>
      </c>
      <c r="H5336" s="21" t="s">
        <v>6456</v>
      </c>
    </row>
    <row r="5337" customFormat="false" ht="15" hidden="false" customHeight="false" outlineLevel="0" collapsed="false">
      <c r="B5337" s="19" t="s">
        <v>6512</v>
      </c>
      <c r="C5337" s="20" t="n">
        <f aca="false">ROUND(3.9/FX,2)</f>
        <v>0.54</v>
      </c>
      <c r="D5337" s="21" t="s">
        <v>6513</v>
      </c>
      <c r="E5337" s="21" t="s">
        <v>6356</v>
      </c>
      <c r="F5337" s="21" t="s">
        <v>6358</v>
      </c>
      <c r="G5337" s="21" t="s">
        <v>716</v>
      </c>
      <c r="H5337" s="21" t="s">
        <v>6456</v>
      </c>
    </row>
    <row r="5338" customFormat="false" ht="15" hidden="false" customHeight="false" outlineLevel="0" collapsed="false">
      <c r="B5338" s="19" t="s">
        <v>6514</v>
      </c>
      <c r="C5338" s="20" t="n">
        <f aca="false">ROUND(4.16/FX,2)</f>
        <v>0.58</v>
      </c>
      <c r="D5338" s="21" t="s">
        <v>2279</v>
      </c>
      <c r="E5338" s="21" t="s">
        <v>6356</v>
      </c>
      <c r="F5338" s="21" t="s">
        <v>6358</v>
      </c>
      <c r="G5338" s="21" t="s">
        <v>716</v>
      </c>
      <c r="H5338" s="21" t="s">
        <v>6456</v>
      </c>
    </row>
    <row r="5339" customFormat="false" ht="15" hidden="false" customHeight="false" outlineLevel="0" collapsed="false">
      <c r="B5339" s="19" t="s">
        <v>6515</v>
      </c>
      <c r="C5339" s="20" t="n">
        <f aca="false">ROUND(4.42/FX,2)</f>
        <v>0.61</v>
      </c>
      <c r="D5339" s="21" t="s">
        <v>6516</v>
      </c>
      <c r="E5339" s="21" t="s">
        <v>6356</v>
      </c>
      <c r="F5339" s="21" t="s">
        <v>6358</v>
      </c>
      <c r="G5339" s="21" t="s">
        <v>716</v>
      </c>
      <c r="H5339" s="21" t="s">
        <v>6456</v>
      </c>
    </row>
    <row r="5340" customFormat="false" ht="15" hidden="false" customHeight="false" outlineLevel="0" collapsed="false">
      <c r="B5340" s="19" t="s">
        <v>6517</v>
      </c>
      <c r="C5340" s="20" t="n">
        <f aca="false">ROUND(4.55/FX,2)</f>
        <v>0.63</v>
      </c>
      <c r="D5340" s="21" t="s">
        <v>2380</v>
      </c>
      <c r="E5340" s="21" t="s">
        <v>6356</v>
      </c>
      <c r="F5340" s="21" t="s">
        <v>6358</v>
      </c>
      <c r="G5340" s="21" t="s">
        <v>716</v>
      </c>
      <c r="H5340" s="21" t="s">
        <v>6456</v>
      </c>
    </row>
    <row r="5341" customFormat="false" ht="15" hidden="false" customHeight="false" outlineLevel="0" collapsed="false">
      <c r="B5341" s="19" t="s">
        <v>6518</v>
      </c>
      <c r="C5341" s="20" t="n">
        <f aca="false">ROUND(5.33/FX,2)</f>
        <v>0.74</v>
      </c>
      <c r="D5341" s="21" t="s">
        <v>2480</v>
      </c>
      <c r="E5341" s="21" t="s">
        <v>6356</v>
      </c>
      <c r="F5341" s="21" t="s">
        <v>6358</v>
      </c>
      <c r="G5341" s="21" t="s">
        <v>716</v>
      </c>
      <c r="H5341" s="21" t="s">
        <v>6456</v>
      </c>
    </row>
    <row r="5342" customFormat="false" ht="15" hidden="false" customHeight="false" outlineLevel="0" collapsed="false">
      <c r="B5342" s="19" t="s">
        <v>6519</v>
      </c>
      <c r="C5342" s="20" t="n">
        <f aca="false">ROUND(2.21/FX,2)</f>
        <v>0.31</v>
      </c>
      <c r="D5342" s="21" t="s">
        <v>1433</v>
      </c>
      <c r="E5342" s="21" t="s">
        <v>6356</v>
      </c>
      <c r="F5342" s="21" t="s">
        <v>6358</v>
      </c>
      <c r="G5342" s="21" t="s">
        <v>845</v>
      </c>
      <c r="H5342" s="21" t="s">
        <v>6456</v>
      </c>
    </row>
    <row r="5343" customFormat="false" ht="15" hidden="false" customHeight="false" outlineLevel="0" collapsed="false">
      <c r="B5343" s="19" t="s">
        <v>6520</v>
      </c>
      <c r="C5343" s="20" t="n">
        <f aca="false">ROUND(4.55/FX,2)</f>
        <v>0.63</v>
      </c>
      <c r="D5343" s="21" t="s">
        <v>6521</v>
      </c>
      <c r="E5343" s="21" t="s">
        <v>6356</v>
      </c>
      <c r="F5343" s="21" t="s">
        <v>6358</v>
      </c>
      <c r="G5343" s="21" t="s">
        <v>847</v>
      </c>
      <c r="H5343" s="21" t="s">
        <v>6456</v>
      </c>
    </row>
    <row r="5346" customFormat="false" ht="61.5" hidden="false" customHeight="true" outlineLevel="0" collapsed="false">
      <c r="A5346" s="9"/>
      <c r="B5346" s="10" t="s">
        <v>6522</v>
      </c>
      <c r="C5346" s="10"/>
      <c r="D5346" s="10"/>
      <c r="E5346" s="10"/>
    </row>
    <row r="5347" customFormat="false" ht="15" hidden="false" customHeight="false" outlineLevel="0" collapsed="false">
      <c r="A5347" s="12" t="s">
        <v>700</v>
      </c>
      <c r="B5347" s="13" t="s">
        <v>701</v>
      </c>
      <c r="C5347" s="13" t="s">
        <v>702</v>
      </c>
      <c r="D5347" s="13" t="s">
        <v>723</v>
      </c>
      <c r="E5347" s="13" t="s">
        <v>6523</v>
      </c>
    </row>
    <row r="5348" customFormat="false" ht="30" hidden="false" customHeight="true" outlineLevel="0" collapsed="false">
      <c r="A5348" s="14" t="s">
        <v>706</v>
      </c>
      <c r="B5348" s="15" t="str">
        <f aca="false">IF(COUNTIFS($D$5351:$D$5355,IF(D5348="","*",D5348),$E$5351:$E$5355,IF(E5348="","*",E5348))=1,INDEX($B:$B,SUMPRODUCT(((D5348="")+($D$5351:$D$5355=D5348)&gt;0)*((E5348="")+($E$5351:$E$5355=E5348)&gt;0)*ROW($B$5351:$B$5355))),IF(COUNTIFS($D$5351:$D$5355,IF(D5348="","*",D5348),$E$5351:$E$5355,IF(E5348="","*",E5348))=0,"Not available",COUNTIFS($D$5351:$D$5355,IF(D5348="","*",D5348),$E$5351:$E$5355,IF(E5348="","*",E5348))&amp;" match, keep choosing"))</f>
        <v>TB-011-10x6-SJD-ZX-1M</v>
      </c>
      <c r="C5348" s="16" t="n">
        <f aca="false">IF(COUNTIFS($D$5351:$D$5355,IF(D5348="","*",D5348),$E$5351:$E$5355,IF(E5348="","*",E5348))=1,INDEX($C:$C,SUMPRODUCT(((D5348="")+($D$5351:$D$5355=D5348)&gt;0)*((E5348="")+($E$5351:$E$5355=E5348)&gt;0)*ROW($B$5351:$B$5355))),"")</f>
        <v>0.72</v>
      </c>
      <c r="D5348" s="17" t="s">
        <v>6524</v>
      </c>
      <c r="E5348" s="17" t="s">
        <v>6525</v>
      </c>
    </row>
    <row r="5350" customFormat="false" ht="15" hidden="false" customHeight="false" outlineLevel="0" collapsed="false">
      <c r="B5350" s="18" t="s">
        <v>701</v>
      </c>
      <c r="C5350" s="18" t="s">
        <v>702</v>
      </c>
      <c r="D5350" s="18" t="s">
        <v>723</v>
      </c>
      <c r="E5350" s="18" t="s">
        <v>6523</v>
      </c>
    </row>
    <row r="5351" customFormat="false" ht="15" hidden="false" customHeight="false" outlineLevel="0" collapsed="false">
      <c r="B5351" s="19" t="s">
        <v>6526</v>
      </c>
      <c r="C5351" s="20" t="n">
        <f aca="false">ROUND(5.2/FX,2)</f>
        <v>0.72</v>
      </c>
      <c r="D5351" s="21" t="s">
        <v>6524</v>
      </c>
      <c r="E5351" s="21" t="s">
        <v>6525</v>
      </c>
    </row>
    <row r="5352" customFormat="false" ht="28.35" hidden="false" customHeight="false" outlineLevel="0" collapsed="false">
      <c r="B5352" s="19" t="s">
        <v>6527</v>
      </c>
      <c r="C5352" s="20" t="n">
        <f aca="false">ROUND(260/FX,2)</f>
        <v>36.11</v>
      </c>
      <c r="D5352" s="21" t="s">
        <v>6528</v>
      </c>
      <c r="E5352" s="21" t="s">
        <v>6525</v>
      </c>
    </row>
    <row r="5353" customFormat="false" ht="15" hidden="false" customHeight="false" outlineLevel="0" collapsed="false">
      <c r="B5353" s="19" t="s">
        <v>6529</v>
      </c>
      <c r="C5353" s="20" t="n">
        <f aca="false">ROUND(26/FX,2)</f>
        <v>3.61</v>
      </c>
      <c r="D5353" s="21" t="s">
        <v>6530</v>
      </c>
      <c r="E5353" s="21" t="s">
        <v>6531</v>
      </c>
    </row>
    <row r="5354" customFormat="false" ht="28.35" hidden="false" customHeight="false" outlineLevel="0" collapsed="false">
      <c r="B5354" s="19" t="s">
        <v>6532</v>
      </c>
      <c r="C5354" s="20" t="n">
        <f aca="false">ROUND(767/FX,2)</f>
        <v>106.53</v>
      </c>
      <c r="D5354" s="21" t="s">
        <v>6533</v>
      </c>
      <c r="E5354" s="21" t="s">
        <v>6531</v>
      </c>
    </row>
    <row r="5355" customFormat="false" ht="15" hidden="false" customHeight="false" outlineLevel="0" collapsed="false">
      <c r="B5355" s="19" t="s">
        <v>6534</v>
      </c>
      <c r="C5355" s="20" t="n">
        <f aca="false">ROUND(1.04/FX,2)</f>
        <v>0.14</v>
      </c>
      <c r="D5355" s="21" t="s">
        <v>6535</v>
      </c>
      <c r="E5355" s="21" t="s">
        <v>6336</v>
      </c>
    </row>
    <row r="5358" customFormat="false" ht="61.5" hidden="false" customHeight="true" outlineLevel="0" collapsed="false">
      <c r="A5358" s="9"/>
      <c r="B5358" s="10" t="s">
        <v>6536</v>
      </c>
      <c r="C5358" s="10"/>
      <c r="D5358" s="10"/>
    </row>
    <row r="5359" customFormat="false" ht="15" hidden="false" customHeight="false" outlineLevel="0" collapsed="false">
      <c r="A5359" s="12" t="s">
        <v>700</v>
      </c>
      <c r="B5359" s="13" t="s">
        <v>701</v>
      </c>
      <c r="C5359" s="13" t="s">
        <v>702</v>
      </c>
      <c r="D5359" s="13" t="s">
        <v>5610</v>
      </c>
    </row>
    <row r="5360" customFormat="false" ht="30" hidden="false" customHeight="true" outlineLevel="0" collapsed="false">
      <c r="A5360" s="14" t="s">
        <v>706</v>
      </c>
      <c r="B5360" s="15" t="str">
        <f aca="false">IF(COUNTIFS($D$5363:$D$5365,IF(D5360="","*",D5360))=1,INDEX($B:$B,SUMPRODUCT(((D5360="")+($D$5363:$D$5365=D5360)&gt;0)*ROW($B$5363:$B$5365))),IF(COUNTIFS($D$5363:$D$5365,IF(D5360="","*",D5360))=0,"Not available",COUNTIFS($D$5363:$D$5365,IF(D5360="","*",D5360))&amp;" match, keep choosing"))</f>
        <v>TB-004-DK-6-100G</v>
      </c>
      <c r="C5360" s="16" t="n">
        <f aca="false">IF(COUNTIFS($D$5363:$D$5365,IF(D5360="","*",D5360))=1,INDEX($C:$C,SUMPRODUCT(((D5360="")+($D$5363:$D$5365=D5360)&gt;0)*ROW($B$5363:$B$5365))),"")</f>
        <v>1.22</v>
      </c>
      <c r="D5360" s="17" t="s">
        <v>6537</v>
      </c>
    </row>
    <row r="5362" customFormat="false" ht="15" hidden="false" customHeight="false" outlineLevel="0" collapsed="false">
      <c r="B5362" s="18" t="s">
        <v>701</v>
      </c>
      <c r="C5362" s="18" t="s">
        <v>702</v>
      </c>
      <c r="D5362" s="18" t="s">
        <v>5610</v>
      </c>
    </row>
    <row r="5363" customFormat="false" ht="15" hidden="false" customHeight="false" outlineLevel="0" collapsed="false">
      <c r="B5363" s="19" t="s">
        <v>6538</v>
      </c>
      <c r="C5363" s="20" t="n">
        <f aca="false">ROUND(8.8/FX,2)</f>
        <v>1.22</v>
      </c>
      <c r="D5363" s="21" t="s">
        <v>6537</v>
      </c>
    </row>
    <row r="5364" customFormat="false" ht="15" hidden="false" customHeight="false" outlineLevel="0" collapsed="false">
      <c r="B5364" s="19" t="s">
        <v>6539</v>
      </c>
      <c r="C5364" s="20" t="n">
        <f aca="false">ROUND(0.87/FX,2)</f>
        <v>0.12</v>
      </c>
      <c r="D5364" s="21" t="s">
        <v>6540</v>
      </c>
    </row>
    <row r="5365" customFormat="false" ht="28.35" hidden="false" customHeight="false" outlineLevel="0" collapsed="false">
      <c r="B5365" s="19" t="s">
        <v>6541</v>
      </c>
      <c r="C5365" s="20" t="n">
        <f aca="false">ROUND(0.97/FX,2)</f>
        <v>0.13</v>
      </c>
      <c r="D5365" s="21" t="s">
        <v>6542</v>
      </c>
    </row>
    <row r="5368" customFormat="false" ht="61.5" hidden="false" customHeight="true" outlineLevel="0" collapsed="false">
      <c r="A5368" s="9"/>
      <c r="B5368" s="10" t="s">
        <v>6543</v>
      </c>
      <c r="C5368" s="10"/>
      <c r="D5368" s="10"/>
      <c r="E5368" s="10"/>
      <c r="F5368" s="10"/>
    </row>
    <row r="5369" customFormat="false" ht="15" hidden="false" customHeight="false" outlineLevel="0" collapsed="false">
      <c r="A5369" s="12" t="s">
        <v>700</v>
      </c>
      <c r="B5369" s="13" t="s">
        <v>701</v>
      </c>
      <c r="C5369" s="13" t="s">
        <v>702</v>
      </c>
      <c r="D5369" s="13" t="s">
        <v>722</v>
      </c>
      <c r="E5369" s="13" t="s">
        <v>704</v>
      </c>
      <c r="F5369" s="13" t="s">
        <v>723</v>
      </c>
    </row>
    <row r="5370" customFormat="false" ht="30" hidden="false" customHeight="true" outlineLevel="0" collapsed="false">
      <c r="A5370" s="14" t="s">
        <v>706</v>
      </c>
      <c r="B5370" s="15" t="str">
        <f aca="false">IF(COUNTIFS($D$5373:$D$5378,IF(D5370="","*",D5370),$E$5373:$E$5378,IF(E5370="","*",E5370),$F$5373:$F$5378,IF(F5370="","*",F5370))=1,INDEX($B:$B,SUMPRODUCT(((D5370="")+($D$5373:$D$5378=D5370)&gt;0)*((E5370="")+($E$5373:$E$5378=E5370)&gt;0)*((F5370="")+($F$5373:$F$5378=F5370)&gt;0)*ROW($B$5373:$B$5378))),IF(COUNTIFS($D$5373:$D$5378,IF(D5370="","*",D5370),$E$5373:$E$5378,IF(E5370="","*",E5370),$F$5373:$F$5378,IF(F5370="","*",F5370))=0,"Not available",COUNTIFS($D$5373:$D$5378,IF(D5370="","*",D5370),$E$5373:$E$5378,IF(E5370="","*",E5370),$F$5373:$F$5378,IF(F5370="","*",F5370))&amp;" match, keep choosing"))</f>
        <v>TB-003-BK-NL-CJ2-KD9</v>
      </c>
      <c r="C5370" s="16" t="n">
        <f aca="false">IF(COUNTIFS($D$5373:$D$5378,IF(D5370="","*",D5370),$E$5373:$E$5378,IF(E5370="","*",E5370),$F$5373:$F$5378,IF(F5370="","*",F5370))=1,INDEX($C:$C,SUMPRODUCT(((D5370="")+($D$5373:$D$5378=D5370)&gt;0)*((E5370="")+($E$5373:$E$5378=E5370)&gt;0)*((F5370="")+($F$5373:$F$5378=F5370)&gt;0)*ROW($B$5373:$B$5378))),"")</f>
        <v>0.11</v>
      </c>
      <c r="D5370" s="17" t="s">
        <v>724</v>
      </c>
      <c r="E5370" s="17" t="s">
        <v>6336</v>
      </c>
      <c r="F5370" s="17" t="s">
        <v>6544</v>
      </c>
    </row>
    <row r="5372" customFormat="false" ht="15" hidden="false" customHeight="false" outlineLevel="0" collapsed="false">
      <c r="B5372" s="18" t="s">
        <v>701</v>
      </c>
      <c r="C5372" s="18" t="s">
        <v>702</v>
      </c>
      <c r="D5372" s="18" t="s">
        <v>722</v>
      </c>
      <c r="E5372" s="18" t="s">
        <v>704</v>
      </c>
      <c r="F5372" s="18" t="s">
        <v>723</v>
      </c>
    </row>
    <row r="5373" customFormat="false" ht="28.35" hidden="false" customHeight="false" outlineLevel="0" collapsed="false">
      <c r="B5373" s="19" t="s">
        <v>6545</v>
      </c>
      <c r="C5373" s="20" t="n">
        <f aca="false">ROUND(0.82/FX,2)</f>
        <v>0.11</v>
      </c>
      <c r="D5373" s="21" t="s">
        <v>724</v>
      </c>
      <c r="E5373" s="21" t="s">
        <v>6336</v>
      </c>
      <c r="F5373" s="21" t="s">
        <v>6544</v>
      </c>
    </row>
    <row r="5374" customFormat="false" ht="28.35" hidden="false" customHeight="false" outlineLevel="0" collapsed="false">
      <c r="B5374" s="19" t="s">
        <v>6546</v>
      </c>
      <c r="C5374" s="20" t="n">
        <f aca="false">ROUND(0.82/FX,2)</f>
        <v>0.11</v>
      </c>
      <c r="D5374" s="21" t="s">
        <v>724</v>
      </c>
      <c r="E5374" s="21" t="s">
        <v>6336</v>
      </c>
      <c r="F5374" s="21" t="s">
        <v>6547</v>
      </c>
    </row>
    <row r="5375" customFormat="false" ht="15" hidden="false" customHeight="false" outlineLevel="0" collapsed="false">
      <c r="B5375" s="19" t="s">
        <v>6548</v>
      </c>
      <c r="C5375" s="20" t="n">
        <f aca="false">ROUND(0.78/FX,2)</f>
        <v>0.11</v>
      </c>
      <c r="D5375" s="21" t="s">
        <v>6549</v>
      </c>
      <c r="E5375" s="21" t="s">
        <v>6550</v>
      </c>
      <c r="F5375" s="21" t="s">
        <v>6551</v>
      </c>
    </row>
    <row r="5376" customFormat="false" ht="28.35" hidden="false" customHeight="false" outlineLevel="0" collapsed="false">
      <c r="B5376" s="19" t="s">
        <v>6552</v>
      </c>
      <c r="C5376" s="20" t="n">
        <f aca="false">ROUND(1.04/FX,2)</f>
        <v>0.14</v>
      </c>
      <c r="D5376" s="21" t="s">
        <v>6549</v>
      </c>
      <c r="E5376" s="21" t="s">
        <v>6550</v>
      </c>
      <c r="F5376" s="21" t="s">
        <v>6553</v>
      </c>
    </row>
    <row r="5377" customFormat="false" ht="28.35" hidden="false" customHeight="false" outlineLevel="0" collapsed="false">
      <c r="B5377" s="19" t="s">
        <v>6554</v>
      </c>
      <c r="C5377" s="20" t="n">
        <f aca="false">ROUND(3.72/FX,2)</f>
        <v>0.52</v>
      </c>
      <c r="D5377" s="21" t="s">
        <v>6549</v>
      </c>
      <c r="E5377" s="21" t="s">
        <v>6550</v>
      </c>
      <c r="F5377" s="21" t="s">
        <v>6555</v>
      </c>
    </row>
    <row r="5378" customFormat="false" ht="28.35" hidden="false" customHeight="false" outlineLevel="0" collapsed="false">
      <c r="B5378" s="19" t="s">
        <v>6556</v>
      </c>
      <c r="C5378" s="20" t="n">
        <f aca="false">ROUND(3.12/FX,2)</f>
        <v>0.43</v>
      </c>
      <c r="D5378" s="21" t="s">
        <v>6549</v>
      </c>
      <c r="E5378" s="21" t="s">
        <v>6550</v>
      </c>
      <c r="F5378" s="21" t="s">
        <v>6557</v>
      </c>
    </row>
    <row r="5381" customFormat="false" ht="61.5" hidden="false" customHeight="true" outlineLevel="0" collapsed="false">
      <c r="A5381" s="9"/>
      <c r="B5381" s="10" t="s">
        <v>6558</v>
      </c>
      <c r="C5381" s="10"/>
      <c r="D5381" s="10"/>
      <c r="E5381" s="10"/>
      <c r="F5381" s="10"/>
    </row>
    <row r="5382" customFormat="false" ht="15" hidden="false" customHeight="false" outlineLevel="0" collapsed="false">
      <c r="A5382" s="12" t="s">
        <v>700</v>
      </c>
      <c r="B5382" s="13" t="s">
        <v>701</v>
      </c>
      <c r="C5382" s="13" t="s">
        <v>702</v>
      </c>
      <c r="D5382" s="13" t="s">
        <v>722</v>
      </c>
      <c r="E5382" s="13" t="s">
        <v>723</v>
      </c>
      <c r="F5382" s="13" t="s">
        <v>6559</v>
      </c>
    </row>
    <row r="5383" customFormat="false" ht="30" hidden="false" customHeight="true" outlineLevel="0" collapsed="false">
      <c r="A5383" s="14" t="s">
        <v>706</v>
      </c>
      <c r="B5383" s="15" t="str">
        <f aca="false">IF(COUNTIFS($D$5386:$D$5390,IF(D5383="","*",D5383),$E$5386:$E$5390,IF(E5383="","*",E5383),$F$5386:$F$5390,IF(F5383="","*",F5383))=1,INDEX($B:$B,SUMPRODUCT(((D5383="")+($D$5386:$D$5390=D5383)&gt;0)*((E5383="")+($E$5386:$E$5390=E5383)&gt;0)*((F5383="")+($F$5386:$F$5390=F5383)&gt;0)*ROW($B$5386:$B$5390))),IF(COUNTIFS($D$5386:$D$5390,IF(D5383="","*",D5383),$E$5386:$E$5390,IF(E5383="","*",E5383),$F$5386:$F$5390,IF(F5383="","*",F5383))=0,"Not available",COUNTIFS($D$5386:$D$5390,IF(D5383="","*",D5383),$E$5386:$E$5390,IF(E5383="","*",E5383),$F$5386:$F$5390,IF(F5383="","*",F5383))&amp;" match, keep choosing"))</f>
        <v>TB-006-K10-BK-3M-MM</v>
      </c>
      <c r="C5383" s="16" t="n">
        <f aca="false">IF(COUNTIFS($D$5386:$D$5390,IF(D5383="","*",D5383),$E$5386:$E$5390,IF(E5383="","*",E5383),$F$5386:$F$5390,IF(F5383="","*",F5383))=1,INDEX($C:$C,SUMPRODUCT(((D5383="")+($D$5386:$D$5390=D5383)&gt;0)*((E5383="")+($E$5386:$E$5390=E5383)&gt;0)*((F5383="")+($F$5386:$F$5390=F5383)&gt;0)*ROW($B$5386:$B$5390))),"")</f>
        <v>0.76</v>
      </c>
      <c r="D5383" s="17" t="s">
        <v>724</v>
      </c>
      <c r="E5383" s="17" t="s">
        <v>6560</v>
      </c>
      <c r="F5383" s="17" t="s">
        <v>6561</v>
      </c>
    </row>
    <row r="5385" customFormat="false" ht="15" hidden="false" customHeight="false" outlineLevel="0" collapsed="false">
      <c r="B5385" s="18" t="s">
        <v>701</v>
      </c>
      <c r="C5385" s="18" t="s">
        <v>702</v>
      </c>
      <c r="D5385" s="18" t="s">
        <v>722</v>
      </c>
      <c r="E5385" s="18" t="s">
        <v>723</v>
      </c>
      <c r="F5385" s="18" t="s">
        <v>6559</v>
      </c>
    </row>
    <row r="5386" customFormat="false" ht="15" hidden="false" customHeight="false" outlineLevel="0" collapsed="false">
      <c r="B5386" s="19" t="s">
        <v>6562</v>
      </c>
      <c r="C5386" s="20" t="n">
        <f aca="false">ROUND(5.46/FX,2)</f>
        <v>0.76</v>
      </c>
      <c r="D5386" s="21" t="s">
        <v>724</v>
      </c>
      <c r="E5386" s="21" t="s">
        <v>6560</v>
      </c>
      <c r="F5386" s="21" t="s">
        <v>6561</v>
      </c>
    </row>
    <row r="5387" customFormat="false" ht="15" hidden="false" customHeight="false" outlineLevel="0" collapsed="false">
      <c r="B5387" s="19" t="s">
        <v>6563</v>
      </c>
      <c r="C5387" s="20" t="n">
        <f aca="false">ROUND(5.46/FX,2)</f>
        <v>0.76</v>
      </c>
      <c r="D5387" s="21" t="s">
        <v>6549</v>
      </c>
      <c r="E5387" s="21" t="s">
        <v>6560</v>
      </c>
      <c r="F5387" s="21" t="s">
        <v>6561</v>
      </c>
    </row>
    <row r="5388" customFormat="false" ht="15" hidden="false" customHeight="false" outlineLevel="0" collapsed="false">
      <c r="B5388" s="19" t="s">
        <v>6564</v>
      </c>
      <c r="C5388" s="20" t="n">
        <f aca="false">ROUND(10.4/FX,2)</f>
        <v>1.44</v>
      </c>
      <c r="D5388" s="21" t="s">
        <v>724</v>
      </c>
      <c r="E5388" s="21" t="s">
        <v>6560</v>
      </c>
      <c r="F5388" s="21" t="s">
        <v>6565</v>
      </c>
    </row>
    <row r="5389" customFormat="false" ht="28.35" hidden="false" customHeight="false" outlineLevel="0" collapsed="false">
      <c r="B5389" s="19" t="s">
        <v>6566</v>
      </c>
      <c r="C5389" s="20" t="n">
        <f aca="false">ROUND(4.81/FX,2)</f>
        <v>0.67</v>
      </c>
      <c r="D5389" s="21" t="s">
        <v>724</v>
      </c>
      <c r="E5389" s="21" t="s">
        <v>6567</v>
      </c>
      <c r="F5389" s="21" t="s">
        <v>6568</v>
      </c>
    </row>
    <row r="5390" customFormat="false" ht="28.35" hidden="false" customHeight="false" outlineLevel="0" collapsed="false">
      <c r="B5390" s="19" t="s">
        <v>6569</v>
      </c>
      <c r="C5390" s="20" t="n">
        <f aca="false">ROUND(4.81/FX,2)</f>
        <v>0.67</v>
      </c>
      <c r="D5390" s="21" t="s">
        <v>6549</v>
      </c>
      <c r="E5390" s="21" t="s">
        <v>6567</v>
      </c>
      <c r="F5390" s="21" t="s">
        <v>6568</v>
      </c>
    </row>
    <row r="5393" customFormat="false" ht="61.5" hidden="false" customHeight="true" outlineLevel="0" collapsed="false">
      <c r="A5393" s="9"/>
      <c r="B5393" s="10" t="s">
        <v>6570</v>
      </c>
      <c r="C5393" s="10"/>
      <c r="D5393" s="10"/>
      <c r="E5393" s="10"/>
    </row>
    <row r="5394" customFormat="false" ht="15" hidden="false" customHeight="false" outlineLevel="0" collapsed="false">
      <c r="A5394" s="12" t="s">
        <v>700</v>
      </c>
      <c r="B5394" s="13" t="s">
        <v>701</v>
      </c>
      <c r="C5394" s="13" t="s">
        <v>702</v>
      </c>
      <c r="D5394" s="13" t="s">
        <v>723</v>
      </c>
      <c r="E5394" s="13" t="s">
        <v>6559</v>
      </c>
    </row>
    <row r="5395" customFormat="false" ht="30" hidden="false" customHeight="true" outlineLevel="0" collapsed="false">
      <c r="A5395" s="14" t="s">
        <v>706</v>
      </c>
      <c r="B5395" s="15" t="str">
        <f aca="false">IF(COUNTIFS($D$5398:$D$5468,IF(D5395="","*",D5395),$E$5398:$E$5468,IF(E5395="","*",E5395))=1,INDEX($B:$B,SUMPRODUCT(((D5395="")+($D$5398:$D$5468=D5395)&gt;0)*((E5395="")+($E$5398:$E$5468=E5395)&gt;0)*ROW($B$5398:$B$5468))),IF(COUNTIFS($D$5398:$D$5468,IF(D5395="","*",D5395),$E$5398:$E$5468,IF(E5395="","*",E5395))=0,"Not available",COUNTIFS($D$5398:$D$5468,IF(D5395="","*",D5395),$E$5398:$E$5468,IF(E5395="","*",E5395))&amp;" match, keep choosing"))</f>
        <v>TB-015-K10-DKCB-2GTTBD-D-MM</v>
      </c>
      <c r="C5395" s="16" t="n">
        <f aca="false">IF(COUNTIFS($D$5398:$D$5468,IF(D5395="","*",D5395),$E$5398:$E$5468,IF(E5395="","*",E5395))=1,INDEX($C:$C,SUMPRODUCT(((D5395="")+($D$5398:$D$5468=D5395)&gt;0)*((E5395="")+($E$5398:$E$5468=E5395)&gt;0)*ROW($B$5398:$B$5468))),"")</f>
        <v>0.65</v>
      </c>
      <c r="D5395" s="17" t="s">
        <v>6571</v>
      </c>
      <c r="E5395" s="17" t="s">
        <v>6561</v>
      </c>
    </row>
    <row r="5397" customFormat="false" ht="15" hidden="false" customHeight="false" outlineLevel="0" collapsed="false">
      <c r="B5397" s="18" t="s">
        <v>701</v>
      </c>
      <c r="C5397" s="18" t="s">
        <v>702</v>
      </c>
      <c r="D5397" s="18" t="s">
        <v>723</v>
      </c>
      <c r="E5397" s="18" t="s">
        <v>6559</v>
      </c>
    </row>
    <row r="5398" customFormat="false" ht="41.75" hidden="false" customHeight="false" outlineLevel="0" collapsed="false">
      <c r="B5398" s="19" t="s">
        <v>6572</v>
      </c>
      <c r="C5398" s="20" t="n">
        <f aca="false">ROUND(4.71/FX,2)</f>
        <v>0.65</v>
      </c>
      <c r="D5398" s="21" t="s">
        <v>6571</v>
      </c>
      <c r="E5398" s="21" t="s">
        <v>6561</v>
      </c>
    </row>
    <row r="5399" customFormat="false" ht="41.75" hidden="false" customHeight="false" outlineLevel="0" collapsed="false">
      <c r="B5399" s="19" t="s">
        <v>6573</v>
      </c>
      <c r="C5399" s="20" t="n">
        <f aca="false">ROUND(3.3/FX,2)</f>
        <v>0.46</v>
      </c>
      <c r="D5399" s="21" t="s">
        <v>6574</v>
      </c>
      <c r="E5399" s="21" t="s">
        <v>6561</v>
      </c>
    </row>
    <row r="5400" customFormat="false" ht="41.75" hidden="false" customHeight="false" outlineLevel="0" collapsed="false">
      <c r="B5400" s="19" t="s">
        <v>6575</v>
      </c>
      <c r="C5400" s="20" t="n">
        <f aca="false">ROUND(5.85/FX,2)</f>
        <v>0.81</v>
      </c>
      <c r="D5400" s="21" t="s">
        <v>6576</v>
      </c>
      <c r="E5400" s="21" t="s">
        <v>6561</v>
      </c>
    </row>
    <row r="5401" customFormat="false" ht="41.75" hidden="false" customHeight="false" outlineLevel="0" collapsed="false">
      <c r="B5401" s="19" t="s">
        <v>6577</v>
      </c>
      <c r="C5401" s="20" t="n">
        <f aca="false">ROUND(5.23/FX,2)</f>
        <v>0.73</v>
      </c>
      <c r="D5401" s="21" t="s">
        <v>6578</v>
      </c>
      <c r="E5401" s="21" t="s">
        <v>6561</v>
      </c>
    </row>
    <row r="5402" customFormat="false" ht="41.75" hidden="false" customHeight="false" outlineLevel="0" collapsed="false">
      <c r="B5402" s="19" t="s">
        <v>6579</v>
      </c>
      <c r="C5402" s="20" t="n">
        <f aca="false">ROUND(4.26/FX,2)</f>
        <v>0.59</v>
      </c>
      <c r="D5402" s="21" t="s">
        <v>6580</v>
      </c>
      <c r="E5402" s="21" t="s">
        <v>6561</v>
      </c>
    </row>
    <row r="5403" customFormat="false" ht="41.75" hidden="false" customHeight="false" outlineLevel="0" collapsed="false">
      <c r="B5403" s="19" t="s">
        <v>6581</v>
      </c>
      <c r="C5403" s="20" t="n">
        <f aca="false">ROUND(4.26/FX,2)</f>
        <v>0.59</v>
      </c>
      <c r="D5403" s="21" t="s">
        <v>6582</v>
      </c>
      <c r="E5403" s="21" t="s">
        <v>6561</v>
      </c>
    </row>
    <row r="5404" customFormat="false" ht="41.75" hidden="false" customHeight="false" outlineLevel="0" collapsed="false">
      <c r="B5404" s="19" t="s">
        <v>6583</v>
      </c>
      <c r="C5404" s="20" t="n">
        <f aca="false">ROUND(4.55/FX,2)</f>
        <v>0.63</v>
      </c>
      <c r="D5404" s="21" t="s">
        <v>6584</v>
      </c>
      <c r="E5404" s="21" t="s">
        <v>6561</v>
      </c>
    </row>
    <row r="5405" customFormat="false" ht="41.75" hidden="false" customHeight="false" outlineLevel="0" collapsed="false">
      <c r="B5405" s="19" t="s">
        <v>6585</v>
      </c>
      <c r="C5405" s="20" t="n">
        <f aca="false">ROUND(4.91/FX,2)</f>
        <v>0.68</v>
      </c>
      <c r="D5405" s="21" t="s">
        <v>6586</v>
      </c>
      <c r="E5405" s="21" t="s">
        <v>6561</v>
      </c>
    </row>
    <row r="5406" customFormat="false" ht="41.75" hidden="false" customHeight="false" outlineLevel="0" collapsed="false">
      <c r="B5406" s="19" t="s">
        <v>6587</v>
      </c>
      <c r="C5406" s="20" t="n">
        <f aca="false">ROUND(5.23/FX,2)</f>
        <v>0.73</v>
      </c>
      <c r="D5406" s="21" t="s">
        <v>6588</v>
      </c>
      <c r="E5406" s="21" t="s">
        <v>6561</v>
      </c>
    </row>
    <row r="5407" customFormat="false" ht="41.75" hidden="false" customHeight="false" outlineLevel="0" collapsed="false">
      <c r="B5407" s="19" t="s">
        <v>6589</v>
      </c>
      <c r="C5407" s="20" t="n">
        <f aca="false">ROUND(8.84/FX,2)</f>
        <v>1.23</v>
      </c>
      <c r="D5407" s="21" t="s">
        <v>6590</v>
      </c>
      <c r="E5407" s="21" t="s">
        <v>6561</v>
      </c>
    </row>
    <row r="5408" customFormat="false" ht="41.75" hidden="false" customHeight="false" outlineLevel="0" collapsed="false">
      <c r="B5408" s="19" t="s">
        <v>6591</v>
      </c>
      <c r="C5408" s="20" t="n">
        <f aca="false">ROUND(6.02/FX,2)</f>
        <v>0.84</v>
      </c>
      <c r="D5408" s="21" t="s">
        <v>6580</v>
      </c>
      <c r="E5408" s="21" t="s">
        <v>6592</v>
      </c>
    </row>
    <row r="5409" customFormat="false" ht="41.75" hidden="false" customHeight="false" outlineLevel="0" collapsed="false">
      <c r="B5409" s="19" t="s">
        <v>6593</v>
      </c>
      <c r="C5409" s="20" t="n">
        <f aca="false">ROUND(4.55/FX,2)</f>
        <v>0.63</v>
      </c>
      <c r="D5409" s="21" t="s">
        <v>6594</v>
      </c>
      <c r="E5409" s="21" t="s">
        <v>6565</v>
      </c>
    </row>
    <row r="5410" customFormat="false" ht="55.2" hidden="false" customHeight="false" outlineLevel="0" collapsed="false">
      <c r="B5410" s="19" t="s">
        <v>6595</v>
      </c>
      <c r="C5410" s="20" t="n">
        <f aca="false">ROUND(6.21/FX,2)</f>
        <v>0.86</v>
      </c>
      <c r="D5410" s="21" t="s">
        <v>6596</v>
      </c>
      <c r="E5410" s="21" t="s">
        <v>6565</v>
      </c>
    </row>
    <row r="5411" customFormat="false" ht="41.75" hidden="false" customHeight="false" outlineLevel="0" collapsed="false">
      <c r="B5411" s="19" t="s">
        <v>6597</v>
      </c>
      <c r="C5411" s="20" t="n">
        <f aca="false">ROUND(4.55/FX,2)</f>
        <v>0.63</v>
      </c>
      <c r="D5411" s="21" t="s">
        <v>6598</v>
      </c>
      <c r="E5411" s="21" t="s">
        <v>6565</v>
      </c>
    </row>
    <row r="5412" customFormat="false" ht="41.75" hidden="false" customHeight="false" outlineLevel="0" collapsed="false">
      <c r="B5412" s="19" t="s">
        <v>6599</v>
      </c>
      <c r="C5412" s="20" t="n">
        <f aca="false">ROUND(4.91/FX,2)</f>
        <v>0.68</v>
      </c>
      <c r="D5412" s="21" t="s">
        <v>6600</v>
      </c>
      <c r="E5412" s="21" t="s">
        <v>6565</v>
      </c>
    </row>
    <row r="5413" customFormat="false" ht="41.75" hidden="false" customHeight="false" outlineLevel="0" collapsed="false">
      <c r="B5413" s="19" t="s">
        <v>6601</v>
      </c>
      <c r="C5413" s="20" t="n">
        <f aca="false">ROUND(6/FX,2)</f>
        <v>0.83</v>
      </c>
      <c r="D5413" s="21" t="s">
        <v>6578</v>
      </c>
      <c r="E5413" s="21" t="s">
        <v>6565</v>
      </c>
    </row>
    <row r="5414" customFormat="false" ht="41.75" hidden="false" customHeight="false" outlineLevel="0" collapsed="false">
      <c r="B5414" s="19" t="s">
        <v>6602</v>
      </c>
      <c r="C5414" s="20" t="n">
        <f aca="false">ROUND(6.8/FX,2)</f>
        <v>0.94</v>
      </c>
      <c r="D5414" s="21" t="s">
        <v>6603</v>
      </c>
      <c r="E5414" s="21" t="s">
        <v>6565</v>
      </c>
    </row>
    <row r="5415" customFormat="false" ht="41.75" hidden="false" customHeight="false" outlineLevel="0" collapsed="false">
      <c r="B5415" s="19" t="s">
        <v>6604</v>
      </c>
      <c r="C5415" s="20" t="n">
        <f aca="false">ROUND(6.02/FX,2)</f>
        <v>0.84</v>
      </c>
      <c r="D5415" s="21" t="s">
        <v>6582</v>
      </c>
      <c r="E5415" s="21" t="s">
        <v>6565</v>
      </c>
    </row>
    <row r="5416" customFormat="false" ht="41.75" hidden="false" customHeight="false" outlineLevel="0" collapsed="false">
      <c r="B5416" s="19" t="s">
        <v>6605</v>
      </c>
      <c r="C5416" s="20" t="n">
        <f aca="false">ROUND(5.23/FX,2)</f>
        <v>0.73</v>
      </c>
      <c r="D5416" s="21" t="s">
        <v>6606</v>
      </c>
      <c r="E5416" s="21" t="s">
        <v>6565</v>
      </c>
    </row>
    <row r="5417" customFormat="false" ht="41.75" hidden="false" customHeight="false" outlineLevel="0" collapsed="false">
      <c r="B5417" s="19" t="s">
        <v>6607</v>
      </c>
      <c r="C5417" s="20" t="n">
        <f aca="false">ROUND(3.48/FX,2)</f>
        <v>0.48</v>
      </c>
      <c r="D5417" s="21" t="s">
        <v>6588</v>
      </c>
      <c r="E5417" s="21" t="s">
        <v>6565</v>
      </c>
    </row>
    <row r="5418" customFormat="false" ht="41.75" hidden="false" customHeight="false" outlineLevel="0" collapsed="false">
      <c r="B5418" s="19" t="s">
        <v>6608</v>
      </c>
      <c r="C5418" s="20" t="n">
        <f aca="false">ROUND(5.14/FX,2)</f>
        <v>0.71</v>
      </c>
      <c r="D5418" s="21" t="s">
        <v>6609</v>
      </c>
      <c r="E5418" s="21" t="s">
        <v>6565</v>
      </c>
    </row>
    <row r="5419" customFormat="false" ht="41.75" hidden="false" customHeight="false" outlineLevel="0" collapsed="false">
      <c r="B5419" s="19" t="s">
        <v>6610</v>
      </c>
      <c r="C5419" s="20" t="n">
        <f aca="false">ROUND(10.14/FX,2)</f>
        <v>1.41</v>
      </c>
      <c r="D5419" s="21" t="s">
        <v>6590</v>
      </c>
      <c r="E5419" s="21" t="s">
        <v>6565</v>
      </c>
    </row>
    <row r="5420" customFormat="false" ht="41.75" hidden="false" customHeight="false" outlineLevel="0" collapsed="false">
      <c r="B5420" s="19" t="s">
        <v>6611</v>
      </c>
      <c r="C5420" s="20" t="n">
        <f aca="false">ROUND(9.43/FX,2)</f>
        <v>1.31</v>
      </c>
      <c r="D5420" s="21" t="s">
        <v>6576</v>
      </c>
      <c r="E5420" s="21" t="s">
        <v>6612</v>
      </c>
    </row>
    <row r="5421" customFormat="false" ht="41.75" hidden="false" customHeight="false" outlineLevel="0" collapsed="false">
      <c r="B5421" s="19" t="s">
        <v>6613</v>
      </c>
      <c r="C5421" s="20" t="n">
        <f aca="false">ROUND(5.2/FX,2)</f>
        <v>0.72</v>
      </c>
      <c r="D5421" s="21" t="s">
        <v>6614</v>
      </c>
      <c r="E5421" s="21" t="s">
        <v>6612</v>
      </c>
    </row>
    <row r="5422" customFormat="false" ht="41.75" hidden="false" customHeight="false" outlineLevel="0" collapsed="false">
      <c r="B5422" s="19" t="s">
        <v>6615</v>
      </c>
      <c r="C5422" s="20" t="n">
        <f aca="false">ROUND(5.56/FX,2)</f>
        <v>0.77</v>
      </c>
      <c r="D5422" s="21" t="s">
        <v>6616</v>
      </c>
      <c r="E5422" s="21" t="s">
        <v>6612</v>
      </c>
    </row>
    <row r="5423" customFormat="false" ht="41.75" hidden="false" customHeight="false" outlineLevel="0" collapsed="false">
      <c r="B5423" s="19" t="s">
        <v>6617</v>
      </c>
      <c r="C5423" s="20" t="n">
        <f aca="false">ROUND(8.02/FX,2)</f>
        <v>1.11</v>
      </c>
      <c r="D5423" s="21" t="s">
        <v>6603</v>
      </c>
      <c r="E5423" s="21" t="s">
        <v>6612</v>
      </c>
    </row>
    <row r="5424" customFormat="false" ht="41.75" hidden="false" customHeight="false" outlineLevel="0" collapsed="false">
      <c r="B5424" s="19" t="s">
        <v>6618</v>
      </c>
      <c r="C5424" s="20" t="n">
        <f aca="false">ROUND(6.89/FX,2)</f>
        <v>0.96</v>
      </c>
      <c r="D5424" s="21" t="s">
        <v>6580</v>
      </c>
      <c r="E5424" s="21" t="s">
        <v>6612</v>
      </c>
    </row>
    <row r="5425" customFormat="false" ht="41.75" hidden="false" customHeight="false" outlineLevel="0" collapsed="false">
      <c r="B5425" s="19" t="s">
        <v>6619</v>
      </c>
      <c r="C5425" s="20" t="n">
        <f aca="false">ROUND(9.43/FX,2)</f>
        <v>1.31</v>
      </c>
      <c r="D5425" s="21" t="s">
        <v>6606</v>
      </c>
      <c r="E5425" s="21" t="s">
        <v>6612</v>
      </c>
    </row>
    <row r="5426" customFormat="false" ht="41.75" hidden="false" customHeight="false" outlineLevel="0" collapsed="false">
      <c r="B5426" s="19" t="s">
        <v>6620</v>
      </c>
      <c r="C5426" s="20" t="n">
        <f aca="false">ROUND(6.63/FX,2)</f>
        <v>0.92</v>
      </c>
      <c r="D5426" s="21" t="s">
        <v>6588</v>
      </c>
      <c r="E5426" s="21" t="s">
        <v>6612</v>
      </c>
    </row>
    <row r="5427" customFormat="false" ht="41.75" hidden="false" customHeight="false" outlineLevel="0" collapsed="false">
      <c r="B5427" s="19" t="s">
        <v>6621</v>
      </c>
      <c r="C5427" s="20" t="n">
        <f aca="false">ROUND(6.94/FX,2)</f>
        <v>0.96</v>
      </c>
      <c r="D5427" s="21" t="s">
        <v>6609</v>
      </c>
      <c r="E5427" s="21" t="s">
        <v>6612</v>
      </c>
    </row>
    <row r="5428" customFormat="false" ht="41.75" hidden="false" customHeight="false" outlineLevel="0" collapsed="false">
      <c r="B5428" s="19" t="s">
        <v>6622</v>
      </c>
      <c r="C5428" s="20" t="n">
        <f aca="false">ROUND(12.74/FX,2)</f>
        <v>1.77</v>
      </c>
      <c r="D5428" s="21" t="s">
        <v>6590</v>
      </c>
      <c r="E5428" s="21" t="s">
        <v>6612</v>
      </c>
    </row>
    <row r="5429" customFormat="false" ht="41.75" hidden="false" customHeight="false" outlineLevel="0" collapsed="false">
      <c r="B5429" s="19" t="s">
        <v>6623</v>
      </c>
      <c r="C5429" s="20" t="n">
        <f aca="false">ROUND(12.57/FX,2)</f>
        <v>1.75</v>
      </c>
      <c r="D5429" s="21" t="s">
        <v>6576</v>
      </c>
      <c r="E5429" s="21" t="s">
        <v>6624</v>
      </c>
    </row>
    <row r="5430" customFormat="false" ht="41.75" hidden="false" customHeight="false" outlineLevel="0" collapsed="false">
      <c r="B5430" s="19" t="s">
        <v>6625</v>
      </c>
      <c r="C5430" s="20" t="n">
        <f aca="false">ROUND(5.2/FX,2)</f>
        <v>0.72</v>
      </c>
      <c r="D5430" s="21" t="s">
        <v>6614</v>
      </c>
      <c r="E5430" s="21" t="s">
        <v>6624</v>
      </c>
    </row>
    <row r="5431" customFormat="false" ht="41.75" hidden="false" customHeight="false" outlineLevel="0" collapsed="false">
      <c r="B5431" s="19" t="s">
        <v>6626</v>
      </c>
      <c r="C5431" s="20" t="n">
        <f aca="false">ROUND(5.56/FX,2)</f>
        <v>0.77</v>
      </c>
      <c r="D5431" s="21" t="s">
        <v>6616</v>
      </c>
      <c r="E5431" s="21" t="s">
        <v>6624</v>
      </c>
    </row>
    <row r="5432" customFormat="false" ht="41.75" hidden="false" customHeight="false" outlineLevel="0" collapsed="false">
      <c r="B5432" s="19" t="s">
        <v>6627</v>
      </c>
      <c r="C5432" s="20" t="n">
        <f aca="false">ROUND(7.6/FX,2)</f>
        <v>1.06</v>
      </c>
      <c r="D5432" s="21" t="s">
        <v>6603</v>
      </c>
      <c r="E5432" s="21" t="s">
        <v>6624</v>
      </c>
    </row>
    <row r="5433" customFormat="false" ht="41.75" hidden="false" customHeight="false" outlineLevel="0" collapsed="false">
      <c r="B5433" s="19" t="s">
        <v>6628</v>
      </c>
      <c r="C5433" s="20" t="n">
        <f aca="false">ROUND(12.57/FX,2)</f>
        <v>1.75</v>
      </c>
      <c r="D5433" s="21" t="s">
        <v>6606</v>
      </c>
      <c r="E5433" s="21" t="s">
        <v>6624</v>
      </c>
    </row>
    <row r="5434" customFormat="false" ht="41.75" hidden="false" customHeight="false" outlineLevel="0" collapsed="false">
      <c r="B5434" s="19" t="s">
        <v>6629</v>
      </c>
      <c r="C5434" s="20" t="n">
        <f aca="false">ROUND(6.08/FX,2)</f>
        <v>0.84</v>
      </c>
      <c r="D5434" s="21" t="s">
        <v>6588</v>
      </c>
      <c r="E5434" s="21" t="s">
        <v>6624</v>
      </c>
    </row>
    <row r="5435" customFormat="false" ht="41.75" hidden="false" customHeight="false" outlineLevel="0" collapsed="false">
      <c r="B5435" s="19" t="s">
        <v>6630</v>
      </c>
      <c r="C5435" s="20" t="n">
        <f aca="false">ROUND(7.72/FX,2)</f>
        <v>1.07</v>
      </c>
      <c r="D5435" s="21" t="s">
        <v>6609</v>
      </c>
      <c r="E5435" s="21" t="s">
        <v>6624</v>
      </c>
    </row>
    <row r="5436" customFormat="false" ht="41.75" hidden="false" customHeight="false" outlineLevel="0" collapsed="false">
      <c r="B5436" s="19" t="s">
        <v>6631</v>
      </c>
      <c r="C5436" s="20" t="n">
        <f aca="false">ROUND(15.6/FX,2)</f>
        <v>2.17</v>
      </c>
      <c r="D5436" s="21" t="s">
        <v>6590</v>
      </c>
      <c r="E5436" s="21" t="s">
        <v>6624</v>
      </c>
    </row>
    <row r="5437" customFormat="false" ht="41.75" hidden="false" customHeight="false" outlineLevel="0" collapsed="false">
      <c r="B5437" s="19" t="s">
        <v>6632</v>
      </c>
      <c r="C5437" s="20" t="n">
        <f aca="false">ROUND(15.72/FX,2)</f>
        <v>2.18</v>
      </c>
      <c r="D5437" s="21" t="s">
        <v>6576</v>
      </c>
      <c r="E5437" s="21" t="s">
        <v>6633</v>
      </c>
    </row>
    <row r="5438" customFormat="false" ht="41.75" hidden="false" customHeight="false" outlineLevel="0" collapsed="false">
      <c r="B5438" s="19" t="s">
        <v>6634</v>
      </c>
      <c r="C5438" s="20" t="n">
        <f aca="false">ROUND(10.13/FX,2)</f>
        <v>1.41</v>
      </c>
      <c r="D5438" s="21" t="s">
        <v>6578</v>
      </c>
      <c r="E5438" s="21" t="s">
        <v>6633</v>
      </c>
    </row>
    <row r="5439" customFormat="false" ht="41.75" hidden="false" customHeight="false" outlineLevel="0" collapsed="false">
      <c r="B5439" s="19" t="s">
        <v>6635</v>
      </c>
      <c r="C5439" s="20" t="n">
        <f aca="false">ROUND(13.73/FX,2)</f>
        <v>1.91</v>
      </c>
      <c r="D5439" s="21" t="s">
        <v>6606</v>
      </c>
      <c r="E5439" s="21" t="s">
        <v>6633</v>
      </c>
    </row>
    <row r="5440" customFormat="false" ht="41.75" hidden="false" customHeight="false" outlineLevel="0" collapsed="false">
      <c r="B5440" s="19" t="s">
        <v>6636</v>
      </c>
      <c r="C5440" s="20" t="n">
        <f aca="false">ROUND(7.72/FX,2)</f>
        <v>1.07</v>
      </c>
      <c r="D5440" s="21" t="s">
        <v>6588</v>
      </c>
      <c r="E5440" s="21" t="s">
        <v>6633</v>
      </c>
    </row>
    <row r="5441" customFormat="false" ht="41.75" hidden="false" customHeight="false" outlineLevel="0" collapsed="false">
      <c r="B5441" s="19" t="s">
        <v>6637</v>
      </c>
      <c r="C5441" s="20" t="n">
        <f aca="false">ROUND(8.24/FX,2)</f>
        <v>1.14</v>
      </c>
      <c r="D5441" s="21" t="s">
        <v>6609</v>
      </c>
      <c r="E5441" s="21" t="s">
        <v>6633</v>
      </c>
    </row>
    <row r="5442" customFormat="false" ht="41.75" hidden="false" customHeight="false" outlineLevel="0" collapsed="false">
      <c r="B5442" s="19" t="s">
        <v>6638</v>
      </c>
      <c r="C5442" s="20" t="n">
        <f aca="false">ROUND(16.9/FX,2)</f>
        <v>2.35</v>
      </c>
      <c r="D5442" s="21" t="s">
        <v>6590</v>
      </c>
      <c r="E5442" s="21" t="s">
        <v>6633</v>
      </c>
    </row>
    <row r="5443" customFormat="false" ht="41.75" hidden="false" customHeight="false" outlineLevel="0" collapsed="false">
      <c r="B5443" s="19" t="s">
        <v>6639</v>
      </c>
      <c r="C5443" s="20" t="n">
        <f aca="false">ROUND(10.56/FX,2)</f>
        <v>1.47</v>
      </c>
      <c r="D5443" s="21" t="s">
        <v>6578</v>
      </c>
      <c r="E5443" s="21" t="s">
        <v>6640</v>
      </c>
    </row>
    <row r="5444" customFormat="false" ht="41.75" hidden="false" customHeight="false" outlineLevel="0" collapsed="false">
      <c r="B5444" s="19" t="s">
        <v>6641</v>
      </c>
      <c r="C5444" s="20" t="n">
        <f aca="false">ROUND(9.46/FX,2)</f>
        <v>1.31</v>
      </c>
      <c r="D5444" s="21" t="s">
        <v>6603</v>
      </c>
      <c r="E5444" s="21" t="s">
        <v>6640</v>
      </c>
    </row>
    <row r="5445" customFormat="false" ht="41.75" hidden="false" customHeight="false" outlineLevel="0" collapsed="false">
      <c r="B5445" s="19" t="s">
        <v>6642</v>
      </c>
      <c r="C5445" s="20" t="n">
        <f aca="false">ROUND(9.18/FX,2)</f>
        <v>1.28</v>
      </c>
      <c r="D5445" s="21" t="s">
        <v>6588</v>
      </c>
      <c r="E5445" s="21" t="s">
        <v>6640</v>
      </c>
    </row>
    <row r="5446" customFormat="false" ht="41.75" hidden="false" customHeight="false" outlineLevel="0" collapsed="false">
      <c r="B5446" s="19" t="s">
        <v>6643</v>
      </c>
      <c r="C5446" s="20" t="n">
        <f aca="false">ROUND(10.79/FX,2)</f>
        <v>1.5</v>
      </c>
      <c r="D5446" s="21" t="s">
        <v>6609</v>
      </c>
      <c r="E5446" s="21" t="s">
        <v>6640</v>
      </c>
    </row>
    <row r="5447" customFormat="false" ht="41.75" hidden="false" customHeight="false" outlineLevel="0" collapsed="false">
      <c r="B5447" s="19" t="s">
        <v>6644</v>
      </c>
      <c r="C5447" s="20" t="n">
        <f aca="false">ROUND(3.12/FX,2)</f>
        <v>0.43</v>
      </c>
      <c r="D5447" s="21" t="s">
        <v>6582</v>
      </c>
      <c r="E5447" s="21" t="s">
        <v>6645</v>
      </c>
    </row>
    <row r="5448" customFormat="false" ht="41.75" hidden="false" customHeight="false" outlineLevel="0" collapsed="false">
      <c r="B5448" s="19" t="s">
        <v>6646</v>
      </c>
      <c r="C5448" s="20" t="n">
        <f aca="false">ROUND(10.82/FX,2)</f>
        <v>1.5</v>
      </c>
      <c r="D5448" s="21" t="s">
        <v>6578</v>
      </c>
      <c r="E5448" s="21" t="s">
        <v>6647</v>
      </c>
    </row>
    <row r="5449" customFormat="false" ht="41.75" hidden="false" customHeight="false" outlineLevel="0" collapsed="false">
      <c r="B5449" s="19" t="s">
        <v>6648</v>
      </c>
      <c r="C5449" s="20" t="n">
        <f aca="false">ROUND(9.61/FX,2)</f>
        <v>1.33</v>
      </c>
      <c r="D5449" s="21" t="s">
        <v>6603</v>
      </c>
      <c r="E5449" s="21" t="s">
        <v>6647</v>
      </c>
    </row>
    <row r="5450" customFormat="false" ht="41.75" hidden="false" customHeight="false" outlineLevel="0" collapsed="false">
      <c r="B5450" s="19" t="s">
        <v>6649</v>
      </c>
      <c r="C5450" s="20" t="n">
        <f aca="false">ROUND(9.4/FX,2)</f>
        <v>1.31</v>
      </c>
      <c r="D5450" s="21" t="s">
        <v>6588</v>
      </c>
      <c r="E5450" s="21" t="s">
        <v>6647</v>
      </c>
    </row>
    <row r="5451" customFormat="false" ht="41.75" hidden="false" customHeight="false" outlineLevel="0" collapsed="false">
      <c r="B5451" s="19" t="s">
        <v>6650</v>
      </c>
      <c r="C5451" s="20" t="n">
        <f aca="false">ROUND(9.61/FX,2)</f>
        <v>1.33</v>
      </c>
      <c r="D5451" s="21" t="s">
        <v>6609</v>
      </c>
      <c r="E5451" s="21" t="s">
        <v>6647</v>
      </c>
    </row>
    <row r="5452" customFormat="false" ht="41.75" hidden="false" customHeight="false" outlineLevel="0" collapsed="false">
      <c r="B5452" s="19" t="s">
        <v>6651</v>
      </c>
      <c r="C5452" s="20" t="n">
        <f aca="false">ROUND(18.2/FX,2)</f>
        <v>2.53</v>
      </c>
      <c r="D5452" s="21" t="s">
        <v>6590</v>
      </c>
      <c r="E5452" s="21" t="s">
        <v>6647</v>
      </c>
    </row>
    <row r="5453" customFormat="false" ht="41.75" hidden="false" customHeight="false" outlineLevel="0" collapsed="false">
      <c r="B5453" s="19" t="s">
        <v>6652</v>
      </c>
      <c r="C5453" s="20" t="n">
        <f aca="false">ROUND(10.62/FX,2)</f>
        <v>1.48</v>
      </c>
      <c r="D5453" s="21" t="s">
        <v>6603</v>
      </c>
      <c r="E5453" s="21" t="s">
        <v>6653</v>
      </c>
    </row>
    <row r="5454" customFormat="false" ht="41.75" hidden="false" customHeight="false" outlineLevel="0" collapsed="false">
      <c r="B5454" s="19" t="s">
        <v>6654</v>
      </c>
      <c r="C5454" s="20" t="n">
        <f aca="false">ROUND(12.1/FX,2)</f>
        <v>1.68</v>
      </c>
      <c r="D5454" s="21" t="s">
        <v>6609</v>
      </c>
      <c r="E5454" s="21" t="s">
        <v>6653</v>
      </c>
    </row>
    <row r="5455" customFormat="false" ht="41.75" hidden="false" customHeight="false" outlineLevel="0" collapsed="false">
      <c r="B5455" s="19" t="s">
        <v>6655</v>
      </c>
      <c r="C5455" s="20" t="n">
        <f aca="false">ROUND(13/FX,2)</f>
        <v>1.81</v>
      </c>
      <c r="D5455" s="21" t="s">
        <v>6578</v>
      </c>
      <c r="E5455" s="21" t="s">
        <v>6656</v>
      </c>
    </row>
    <row r="5456" customFormat="false" ht="41.75" hidden="false" customHeight="false" outlineLevel="0" collapsed="false">
      <c r="B5456" s="19" t="s">
        <v>6657</v>
      </c>
      <c r="C5456" s="20" t="n">
        <f aca="false">ROUND(10.95/FX,2)</f>
        <v>1.52</v>
      </c>
      <c r="D5456" s="21" t="s">
        <v>6603</v>
      </c>
      <c r="E5456" s="21" t="s">
        <v>6656</v>
      </c>
    </row>
    <row r="5457" customFormat="false" ht="41.75" hidden="false" customHeight="false" outlineLevel="0" collapsed="false">
      <c r="B5457" s="19" t="s">
        <v>6658</v>
      </c>
      <c r="C5457" s="20" t="n">
        <f aca="false">ROUND(11.32/FX,2)</f>
        <v>1.57</v>
      </c>
      <c r="D5457" s="21" t="s">
        <v>6588</v>
      </c>
      <c r="E5457" s="21" t="s">
        <v>6656</v>
      </c>
    </row>
    <row r="5458" customFormat="false" ht="41.75" hidden="false" customHeight="false" outlineLevel="0" collapsed="false">
      <c r="B5458" s="19" t="s">
        <v>6659</v>
      </c>
      <c r="C5458" s="20" t="n">
        <f aca="false">ROUND(12.48/FX,2)</f>
        <v>1.73</v>
      </c>
      <c r="D5458" s="21" t="s">
        <v>6609</v>
      </c>
      <c r="E5458" s="21" t="s">
        <v>6656</v>
      </c>
    </row>
    <row r="5459" customFormat="false" ht="41.75" hidden="false" customHeight="false" outlineLevel="0" collapsed="false">
      <c r="B5459" s="19" t="s">
        <v>6660</v>
      </c>
      <c r="C5459" s="20" t="n">
        <f aca="false">ROUND(26/FX,2)</f>
        <v>3.61</v>
      </c>
      <c r="D5459" s="21" t="s">
        <v>6590</v>
      </c>
      <c r="E5459" s="21" t="s">
        <v>6656</v>
      </c>
    </row>
    <row r="5460" customFormat="false" ht="41.75" hidden="false" customHeight="false" outlineLevel="0" collapsed="false">
      <c r="B5460" s="19" t="s">
        <v>6661</v>
      </c>
      <c r="C5460" s="20" t="n">
        <f aca="false">ROUND(3.37/FX,2)</f>
        <v>0.47</v>
      </c>
      <c r="D5460" s="21" t="s">
        <v>6571</v>
      </c>
      <c r="E5460" s="21" t="s">
        <v>6568</v>
      </c>
    </row>
    <row r="5461" customFormat="false" ht="41.75" hidden="false" customHeight="false" outlineLevel="0" collapsed="false">
      <c r="B5461" s="19" t="s">
        <v>6662</v>
      </c>
      <c r="C5461" s="20" t="n">
        <f aca="false">ROUND(3.25/FX,2)</f>
        <v>0.45</v>
      </c>
      <c r="D5461" s="21" t="s">
        <v>6594</v>
      </c>
      <c r="E5461" s="21" t="s">
        <v>6568</v>
      </c>
    </row>
    <row r="5462" customFormat="false" ht="55.2" hidden="false" customHeight="false" outlineLevel="0" collapsed="false">
      <c r="B5462" s="19" t="s">
        <v>6663</v>
      </c>
      <c r="C5462" s="20" t="n">
        <f aca="false">ROUND(3.61/FX,2)</f>
        <v>0.5</v>
      </c>
      <c r="D5462" s="21" t="s">
        <v>6596</v>
      </c>
      <c r="E5462" s="21" t="s">
        <v>6568</v>
      </c>
    </row>
    <row r="5463" customFormat="false" ht="41.75" hidden="false" customHeight="false" outlineLevel="0" collapsed="false">
      <c r="B5463" s="19" t="s">
        <v>6664</v>
      </c>
      <c r="C5463" s="20" t="n">
        <f aca="false">ROUND(4.27/FX,2)</f>
        <v>0.59</v>
      </c>
      <c r="D5463" s="21" t="s">
        <v>6576</v>
      </c>
      <c r="E5463" s="21" t="s">
        <v>6568</v>
      </c>
    </row>
    <row r="5464" customFormat="false" ht="41.75" hidden="false" customHeight="false" outlineLevel="0" collapsed="false">
      <c r="B5464" s="19" t="s">
        <v>6665</v>
      </c>
      <c r="C5464" s="20" t="n">
        <f aca="false">ROUND(3.13/FX,2)</f>
        <v>0.43</v>
      </c>
      <c r="D5464" s="21" t="s">
        <v>6580</v>
      </c>
      <c r="E5464" s="21" t="s">
        <v>6568</v>
      </c>
    </row>
    <row r="5465" customFormat="false" ht="41.75" hidden="false" customHeight="false" outlineLevel="0" collapsed="false">
      <c r="B5465" s="19" t="s">
        <v>6666</v>
      </c>
      <c r="C5465" s="20" t="n">
        <f aca="false">ROUND(3.12/FX,2)</f>
        <v>0.43</v>
      </c>
      <c r="D5465" s="21" t="s">
        <v>6582</v>
      </c>
      <c r="E5465" s="21" t="s">
        <v>6568</v>
      </c>
    </row>
    <row r="5466" customFormat="false" ht="41.75" hidden="false" customHeight="false" outlineLevel="0" collapsed="false">
      <c r="B5466" s="19" t="s">
        <v>6667</v>
      </c>
      <c r="C5466" s="20" t="n">
        <f aca="false">ROUND(4.26/FX,2)</f>
        <v>0.59</v>
      </c>
      <c r="D5466" s="21" t="s">
        <v>6606</v>
      </c>
      <c r="E5466" s="21" t="s">
        <v>6568</v>
      </c>
    </row>
    <row r="5467" customFormat="false" ht="41.75" hidden="false" customHeight="false" outlineLevel="0" collapsed="false">
      <c r="B5467" s="19" t="s">
        <v>6668</v>
      </c>
      <c r="C5467" s="20" t="n">
        <f aca="false">ROUND(4.19/FX,2)</f>
        <v>0.58</v>
      </c>
      <c r="D5467" s="21" t="s">
        <v>6669</v>
      </c>
      <c r="E5467" s="21" t="s">
        <v>6568</v>
      </c>
    </row>
    <row r="5468" customFormat="false" ht="41.75" hidden="false" customHeight="false" outlineLevel="0" collapsed="false">
      <c r="B5468" s="19" t="s">
        <v>6670</v>
      </c>
      <c r="C5468" s="20" t="n">
        <f aca="false">ROUND(4.26/FX,2)</f>
        <v>0.59</v>
      </c>
      <c r="D5468" s="21" t="s">
        <v>6669</v>
      </c>
      <c r="E5468" s="21" t="s">
        <v>6671</v>
      </c>
    </row>
    <row r="5471" customFormat="false" ht="61.5" hidden="false" customHeight="true" outlineLevel="0" collapsed="false">
      <c r="A5471" s="9"/>
      <c r="B5471" s="10" t="s">
        <v>6672</v>
      </c>
      <c r="C5471" s="10"/>
      <c r="D5471" s="10"/>
    </row>
    <row r="5472" customFormat="false" ht="15" hidden="false" customHeight="false" outlineLevel="0" collapsed="false">
      <c r="B5472" s="18" t="s">
        <v>701</v>
      </c>
      <c r="C5472" s="18" t="s">
        <v>702</v>
      </c>
      <c r="D5472" s="18" t="s">
        <v>5610</v>
      </c>
    </row>
    <row r="5473" customFormat="false" ht="15" hidden="false" customHeight="false" outlineLevel="0" collapsed="false">
      <c r="B5473" s="19" t="s">
        <v>6673</v>
      </c>
      <c r="C5473" s="20" t="n">
        <f aca="false">ROUND(0.21/FX,2)</f>
        <v>0.03</v>
      </c>
      <c r="D5473" s="22" t="s">
        <v>5612</v>
      </c>
    </row>
    <row r="5476" customFormat="false" ht="61.5" hidden="false" customHeight="true" outlineLevel="0" collapsed="false">
      <c r="A5476" s="9"/>
      <c r="B5476" s="10" t="s">
        <v>6674</v>
      </c>
      <c r="C5476" s="10"/>
      <c r="D5476" s="10"/>
    </row>
    <row r="5477" customFormat="false" ht="15" hidden="false" customHeight="false" outlineLevel="0" collapsed="false">
      <c r="A5477" s="12" t="s">
        <v>700</v>
      </c>
      <c r="B5477" s="13" t="s">
        <v>701</v>
      </c>
      <c r="C5477" s="13" t="s">
        <v>702</v>
      </c>
      <c r="D5477" s="13" t="s">
        <v>723</v>
      </c>
    </row>
    <row r="5478" customFormat="false" ht="30" hidden="false" customHeight="true" outlineLevel="0" collapsed="false">
      <c r="A5478" s="14" t="s">
        <v>706</v>
      </c>
      <c r="B5478" s="15" t="str">
        <f aca="false">IF(COUNTIFS($D$5481:$D$5486,IF(D5478="","*",D5478))=1,INDEX($B:$B,SUMPRODUCT(((D5478="")+($D$5481:$D$5486=D5478)&gt;0)*ROW($B$5481:$B$5486))),IF(COUNTIFS($D$5481:$D$5486,IF(D5478="","*",D5478))=0,"Not available",COUNTIFS($D$5481:$D$5486,IF(D5478="","*",D5478))&amp;" match, keep choosing"))</f>
        <v>TB-005-BR-20CNJ8-+2GT-180-D</v>
      </c>
      <c r="C5478" s="16" t="n">
        <f aca="false">IF(COUNTIFS($D$5481:$D$5486,IF(D5478="","*",D5478))=1,INDEX($C:$C,SUMPRODUCT(((D5478="")+($D$5481:$D$5486=D5478)&gt;0)*ROW($B$5481:$B$5486))),"")</f>
        <v>0.28</v>
      </c>
      <c r="D5478" s="17" t="s">
        <v>6675</v>
      </c>
    </row>
    <row r="5480" customFormat="false" ht="15" hidden="false" customHeight="false" outlineLevel="0" collapsed="false">
      <c r="B5480" s="18" t="s">
        <v>701</v>
      </c>
      <c r="C5480" s="18" t="s">
        <v>702</v>
      </c>
      <c r="D5480" s="18" t="s">
        <v>723</v>
      </c>
    </row>
    <row r="5481" customFormat="false" ht="28.35" hidden="false" customHeight="false" outlineLevel="0" collapsed="false">
      <c r="B5481" s="19" t="s">
        <v>6676</v>
      </c>
      <c r="C5481" s="20" t="n">
        <f aca="false">ROUND(2.05/FX,2)</f>
        <v>0.28</v>
      </c>
      <c r="D5481" s="21" t="s">
        <v>6675</v>
      </c>
    </row>
    <row r="5482" customFormat="false" ht="41.75" hidden="false" customHeight="false" outlineLevel="0" collapsed="false">
      <c r="B5482" s="19" t="s">
        <v>6677</v>
      </c>
      <c r="C5482" s="20" t="n">
        <f aca="false">ROUND(8.09/FX,2)</f>
        <v>1.12</v>
      </c>
      <c r="D5482" s="21" t="s">
        <v>6678</v>
      </c>
    </row>
    <row r="5483" customFormat="false" ht="41.75" hidden="false" customHeight="false" outlineLevel="0" collapsed="false">
      <c r="B5483" s="19" t="s">
        <v>6679</v>
      </c>
      <c r="C5483" s="20" t="n">
        <f aca="false">ROUND(8.09/FX,2)</f>
        <v>1.12</v>
      </c>
      <c r="D5483" s="21" t="s">
        <v>6680</v>
      </c>
    </row>
    <row r="5484" customFormat="false" ht="41.75" hidden="false" customHeight="false" outlineLevel="0" collapsed="false">
      <c r="B5484" s="19" t="s">
        <v>6681</v>
      </c>
      <c r="C5484" s="20" t="n">
        <f aca="false">ROUND(10.67/FX,2)</f>
        <v>1.48</v>
      </c>
      <c r="D5484" s="21" t="s">
        <v>6682</v>
      </c>
    </row>
    <row r="5485" customFormat="false" ht="28.35" hidden="false" customHeight="false" outlineLevel="0" collapsed="false">
      <c r="B5485" s="19" t="s">
        <v>6683</v>
      </c>
      <c r="C5485" s="20" t="n">
        <f aca="false">ROUND(3.74/FX,2)</f>
        <v>0.52</v>
      </c>
      <c r="D5485" s="21" t="s">
        <v>6684</v>
      </c>
    </row>
    <row r="5486" customFormat="false" ht="41.75" hidden="false" customHeight="false" outlineLevel="0" collapsed="false">
      <c r="B5486" s="19" t="s">
        <v>6685</v>
      </c>
      <c r="C5486" s="20" t="n">
        <f aca="false">ROUND(16.45/FX,2)</f>
        <v>2.28</v>
      </c>
      <c r="D5486" s="21" t="s">
        <v>6686</v>
      </c>
    </row>
    <row r="5489" customFormat="false" ht="61.5" hidden="false" customHeight="true" outlineLevel="0" collapsed="false">
      <c r="A5489" s="9"/>
      <c r="B5489" s="10" t="s">
        <v>6687</v>
      </c>
      <c r="C5489" s="10"/>
      <c r="D5489" s="10"/>
    </row>
    <row r="5490" customFormat="false" ht="15" hidden="false" customHeight="false" outlineLevel="0" collapsed="false">
      <c r="A5490" s="12" t="s">
        <v>700</v>
      </c>
      <c r="B5490" s="13" t="s">
        <v>701</v>
      </c>
      <c r="C5490" s="13" t="s">
        <v>702</v>
      </c>
      <c r="D5490" s="13" t="s">
        <v>723</v>
      </c>
    </row>
    <row r="5491" customFormat="false" ht="30" hidden="false" customHeight="true" outlineLevel="0" collapsed="false">
      <c r="A5491" s="14" t="s">
        <v>706</v>
      </c>
      <c r="B5491" s="15" t="str">
        <f aca="false">IF(COUNTIFS($D$5494:$D$5495,IF(D5491="","*",D5491))=1,INDEX($B:$B,SUMPRODUCT(((D5491="")+($D$5494:$D$5495=D5491)&gt;0)*ROW($B$5494:$B$5495))),IF(COUNTIFS($D$5494:$D$5495,IF(D5491="","*",D5491))=0,"Not available",COUNTIFS($D$5494:$D$5495,IF(D5491="","*",D5491))&amp;" match, keep choosing"))</f>
        <v>TB-001-KA</v>
      </c>
      <c r="C5491" s="16" t="n">
        <f aca="false">IF(COUNTIFS($D$5494:$D$5495,IF(D5491="","*",D5491))=1,INDEX($C:$C,SUMPRODUCT(((D5491="")+($D$5494:$D$5495=D5491)&gt;0)*ROW($B$5494:$B$5495))),"")</f>
        <v>1.22</v>
      </c>
      <c r="D5491" s="17" t="s">
        <v>6688</v>
      </c>
    </row>
    <row r="5493" customFormat="false" ht="15" hidden="false" customHeight="false" outlineLevel="0" collapsed="false">
      <c r="B5493" s="18" t="s">
        <v>701</v>
      </c>
      <c r="C5493" s="18" t="s">
        <v>702</v>
      </c>
      <c r="D5493" s="18" t="s">
        <v>723</v>
      </c>
    </row>
    <row r="5494" customFormat="false" ht="15" hidden="false" customHeight="false" outlineLevel="0" collapsed="false">
      <c r="B5494" s="19" t="s">
        <v>6689</v>
      </c>
      <c r="C5494" s="20" t="n">
        <f aca="false">ROUND(8.77/FX,2)</f>
        <v>1.22</v>
      </c>
      <c r="D5494" s="21" t="s">
        <v>6688</v>
      </c>
    </row>
    <row r="5495" customFormat="false" ht="15" hidden="false" customHeight="false" outlineLevel="0" collapsed="false">
      <c r="B5495" s="19" t="s">
        <v>6690</v>
      </c>
      <c r="C5495" s="20" t="n">
        <f aca="false">ROUND(7.37/FX,2)</f>
        <v>1.02</v>
      </c>
      <c r="D5495" s="21" t="s">
        <v>6691</v>
      </c>
    </row>
    <row r="5498" customFormat="false" ht="61.5" hidden="false" customHeight="true" outlineLevel="0" collapsed="false">
      <c r="A5498" s="9"/>
      <c r="B5498" s="10" t="s">
        <v>6692</v>
      </c>
      <c r="C5498" s="10"/>
      <c r="D5498" s="10"/>
    </row>
    <row r="5499" customFormat="false" ht="15" hidden="false" customHeight="false" outlineLevel="0" collapsed="false">
      <c r="B5499" s="18" t="s">
        <v>701</v>
      </c>
      <c r="C5499" s="18" t="s">
        <v>702</v>
      </c>
      <c r="D5499" s="18" t="s">
        <v>5610</v>
      </c>
    </row>
    <row r="5500" customFormat="false" ht="15" hidden="false" customHeight="false" outlineLevel="0" collapsed="false">
      <c r="B5500" s="19" t="s">
        <v>6693</v>
      </c>
      <c r="C5500" s="20" t="n">
        <f aca="false">ROUND(5.8/FX,2)</f>
        <v>0.81</v>
      </c>
      <c r="D5500" s="22" t="s">
        <v>5612</v>
      </c>
    </row>
  </sheetData>
  <mergeCells count="56">
    <mergeCell ref="B1:F1"/>
    <mergeCell ref="B2:F2"/>
    <mergeCell ref="B16:H16"/>
    <mergeCell ref="B17:H17"/>
    <mergeCell ref="B108:G108"/>
    <mergeCell ref="B903:G903"/>
    <mergeCell ref="B1612:G1612"/>
    <mergeCell ref="B2155:F2155"/>
    <mergeCell ref="B2174:E2174"/>
    <mergeCell ref="B2175:E2175"/>
    <mergeCell ref="B2187:F2187"/>
    <mergeCell ref="B2217:H2217"/>
    <mergeCell ref="B2218:H2218"/>
    <mergeCell ref="B2229:F2229"/>
    <mergeCell ref="B2247:H2247"/>
    <mergeCell ref="B2248:H2248"/>
    <mergeCell ref="B2325:F2325"/>
    <mergeCell ref="B2768:F2768"/>
    <mergeCell ref="B3460:F3460"/>
    <mergeCell ref="B3591:H3591"/>
    <mergeCell ref="B3592:H3592"/>
    <mergeCell ref="B3645:F3645"/>
    <mergeCell ref="B3968:F3968"/>
    <mergeCell ref="B4363:F4363"/>
    <mergeCell ref="B4474:D4474"/>
    <mergeCell ref="B4479:F4479"/>
    <mergeCell ref="B4505:G4505"/>
    <mergeCell ref="B4506:G4506"/>
    <mergeCell ref="B4524:E4524"/>
    <mergeCell ref="B4525:E4525"/>
    <mergeCell ref="B4539:E4539"/>
    <mergeCell ref="B4973:D4973"/>
    <mergeCell ref="B4978:D4978"/>
    <mergeCell ref="B4983:G4983"/>
    <mergeCell ref="B5048:H5048"/>
    <mergeCell ref="B5049:H5049"/>
    <mergeCell ref="B5060:G5060"/>
    <mergeCell ref="B5133:H5133"/>
    <mergeCell ref="B5134:H5134"/>
    <mergeCell ref="B5153:D5153"/>
    <mergeCell ref="B5158:G5158"/>
    <mergeCell ref="B5169:D5169"/>
    <mergeCell ref="B5178:D5178"/>
    <mergeCell ref="B5183:D5183"/>
    <mergeCell ref="B5192:G5192"/>
    <mergeCell ref="B5193:G5193"/>
    <mergeCell ref="B5265:H5265"/>
    <mergeCell ref="B5346:E5346"/>
    <mergeCell ref="B5358:D5358"/>
    <mergeCell ref="B5368:F5368"/>
    <mergeCell ref="B5381:F5381"/>
    <mergeCell ref="B5393:E5393"/>
    <mergeCell ref="B5471:D5471"/>
    <mergeCell ref="B5476:D5476"/>
    <mergeCell ref="B5489:D5489"/>
    <mergeCell ref="B5498:D5498"/>
  </mergeCells>
  <dataValidations count="121">
    <dataValidation allowBlank="true" error="Please choose from the list" errorStyle="stop" errorTitle="▶ Quick quote" operator="between" showDropDown="false" showErrorMessage="false" showInputMessage="false" sqref="D4" type="list">
      <formula1>_lists!$A$1:$A$4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" type="list">
      <formula1>_lists!$B$1:$B$2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" type="list">
      <formula1>_lists!$C$1:$C$1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" type="list">
      <formula1>_lists!$D$1:$D$7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" type="list">
      <formula1>_lists!$E$1:$E$2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9" type="list">
      <formula1>_lists!$F$1:$F$5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9" type="list">
      <formula1>_lists!$G$1:$G$10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9" type="list">
      <formula1>_lists!$H$1:$H$4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0" type="list">
      <formula1>_lists!$I$1:$I$104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0" type="list">
      <formula1>_lists!$J$1:$J$10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10" type="list">
      <formula1>_lists!$K$1:$K$2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10" type="list">
      <formula1>_lists!$L$1:$L$2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05" type="list">
      <formula1>_lists!$M$1:$M$163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05" type="list">
      <formula1>_lists!$N$1:$N$8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05" type="list">
      <formula1>_lists!$O$1:$O$2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905" type="list">
      <formula1>_lists!$P$1:$P$2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14" type="list">
      <formula1>_lists!$Q$1:$Q$56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614" type="list">
      <formula1>_lists!$R$1:$R$9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614" type="list">
      <formula1>_lists!$S$1:$S$2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614" type="list">
      <formula1>_lists!$T$1:$T$2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57" type="list">
      <formula1>_lists!$U$1:$U$9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57" type="list">
      <formula1>_lists!$V$1:$V$3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157" type="list">
      <formula1>_lists!$W$1:$W$4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77" type="list">
      <formula1>_lists!$X$1:$X$4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77" type="list">
      <formula1>_lists!$Y$1:$Y$2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89" type="list">
      <formula1>_lists!$Z$1:$Z$7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89" type="list">
      <formula1>_lists!$AA$1:$AA$3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189" type="list">
      <formula1>_lists!$AB$1:$AB$2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20" type="list">
      <formula1>_lists!$AC$1:$AC$2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20" type="list">
      <formula1>_lists!$AD$1:$AD$2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220" type="list">
      <formula1>_lists!$AE$1:$AE$2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220" type="list">
      <formula1>_lists!$AF$1:$AF$1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220" type="list">
      <formula1>_lists!$AG$1:$AG$2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31" type="list">
      <formula1>_lists!$AH$1:$AH$6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31" type="list">
      <formula1>_lists!$AI$1:$AI$2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231" type="list">
      <formula1>_lists!$AJ$1:$AJ$2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50" type="list">
      <formula1>_lists!$AK$1:$AK$10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50" type="list">
      <formula1>_lists!$AL$1:$AL$2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250" type="list">
      <formula1>_lists!$AM$1:$AM$4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250" type="list">
      <formula1>_lists!$AN$1:$AN$6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250" type="list">
      <formula1>_lists!$AO$1:$AO$3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327" type="list">
      <formula1>_lists!$AP$1:$AP$69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327" type="list">
      <formula1>_lists!$AQ$1:$AQ$7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327" type="list">
      <formula1>_lists!$AR$1:$AR$4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770" type="list">
      <formula1>_lists!$AS$1:$AS$90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770" type="list">
      <formula1>_lists!$AT$1:$AT$9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770" type="list">
      <formula1>_lists!$AU$1:$AU$3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62" type="list">
      <formula1>_lists!$AV$1:$AV$30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462" type="list">
      <formula1>_lists!$AW$1:$AW$4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462" type="list">
      <formula1>_lists!$AX$1:$AX$3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594" type="list">
      <formula1>_lists!$AY$1:$AY$7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594" type="list">
      <formula1>_lists!$AZ$1:$AZ$2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594" type="list">
      <formula1>_lists!$BA$1:$BA$4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594" type="list">
      <formula1>_lists!$BB$1:$BB$7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3594" type="list">
      <formula1>_lists!$BC$1:$BC$3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47" type="list">
      <formula1>_lists!$BD$1:$BD$39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47" type="list">
      <formula1>_lists!$BE$1:$BE$8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647" type="list">
      <formula1>_lists!$BF$1:$BF$2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70" type="list">
      <formula1>_lists!$BG$1:$BG$32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970" type="list">
      <formula1>_lists!$BH$1:$BH$12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970" type="list">
      <formula1>_lists!$BI$1:$BI$2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365" type="list">
      <formula1>_lists!$BJ$1:$BJ$22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365" type="list">
      <formula1>_lists!$BK$1:$BK$5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365" type="list">
      <formula1>_lists!$BL$1:$BL$3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81" type="list">
      <formula1>_lists!$BM$1:$BM$7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481" type="list">
      <formula1>_lists!$BN$1:$BN$2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481" type="list">
      <formula1>_lists!$BO$1:$BO$12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508" type="list">
      <formula1>_lists!$BP$1:$BP$5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508" type="list">
      <formula1>_lists!$BQ$1:$BQ$2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508" type="list">
      <formula1>_lists!$BR$1:$BR$2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508" type="list">
      <formula1>_lists!$BS$1:$BS$3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527" type="list">
      <formula1>_lists!$BT$1:$BT$7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527" type="list">
      <formula1>_lists!$BU$1:$BU$1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541" type="list">
      <formula1>_lists!$BV$1:$BV$7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541" type="list">
      <formula1>_lists!$BW$1:$BW$61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985" type="list">
      <formula1>_lists!$BX$1:$BX$24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985" type="list">
      <formula1>_lists!$BY$1:$BY$3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985" type="list">
      <formula1>_lists!$BZ$1:$BZ$2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985" type="list">
      <formula1>_lists!$CA$1:$CA$3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051" type="list">
      <formula1>_lists!$CB$1:$CB$4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051" type="list">
      <formula1>_lists!$CC$1:$CC$2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051" type="list">
      <formula1>_lists!$CD$1:$CD$2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051" type="list">
      <formula1>_lists!$CE$1:$CE$2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5051" type="list">
      <formula1>_lists!$CF$1:$CF$1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062" type="list">
      <formula1>_lists!$CG$1:$CG$27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062" type="list">
      <formula1>_lists!$CH$1:$CH$8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062" type="list">
      <formula1>_lists!$CI$1:$CI$2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062" type="list">
      <formula1>_lists!$CJ$1:$CJ$4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36" type="list">
      <formula1>_lists!$CK$1:$CK$6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136" type="list">
      <formula1>_lists!$CL$1:$CL$2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136" type="list">
      <formula1>_lists!$CM$1:$CM$2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136" type="list">
      <formula1>_lists!$CN$1:$CN$2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5136" type="list">
      <formula1>_lists!$CO$1:$CO$1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60" type="list">
      <formula1>_lists!$CP$1:$CP$2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160" type="list">
      <formula1>_lists!$CQ$1:$CQ$3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160" type="list">
      <formula1>_lists!$CR$1:$CR$2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160" type="list">
      <formula1>_lists!$CS$1:$CS$2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71" type="list">
      <formula1>_lists!$CT$1:$CT$2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85" type="list">
      <formula1>_lists!$CU$1:$CU$2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95" type="list">
      <formula1>_lists!$CV$1:$CV$4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195" type="list">
      <formula1>_lists!$CW$1:$CW$7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195" type="list">
      <formula1>_lists!$CX$1:$CX$2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195" type="list">
      <formula1>_lists!$CY$1:$CY$20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267" type="list">
      <formula1>_lists!$CZ$1:$CZ$47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267" type="list">
      <formula1>_lists!$DA$1:$DA$3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267" type="list">
      <formula1>_lists!$DB$1:$DB$2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267" type="list">
      <formula1>_lists!$DC$1:$DC$6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5267" type="list">
      <formula1>_lists!$DD$1:$DD$2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348" type="list">
      <formula1>_lists!$DE$1:$DE$5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348" type="list">
      <formula1>_lists!$DF$1:$DF$3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360" type="list">
      <formula1>_lists!$DG$1:$DG$3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370" type="list">
      <formula1>_lists!$DH$1:$DH$2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370" type="list">
      <formula1>_lists!$DI$1:$DI$2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370" type="list">
      <formula1>_lists!$DJ$1:$DJ$6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383" type="list">
      <formula1>_lists!$DK$1:$DK$2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383" type="list">
      <formula1>_lists!$DL$1:$DL$2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383" type="list">
      <formula1>_lists!$DM$1:$DM$3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395" type="list">
      <formula1>_lists!$DN$1:$DN$20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395" type="list">
      <formula1>_lists!$DO$1:$DO$13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478" type="list">
      <formula1>_lists!$DP$1:$DP$6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491" type="list">
      <formula1>_lists!$DQ$1:$DQ$2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6694</v>
      </c>
      <c r="C1" s="10"/>
      <c r="D1" s="10"/>
      <c r="E1" s="10"/>
      <c r="F1" s="10"/>
      <c r="G1" s="10"/>
      <c r="H1" s="10"/>
      <c r="I1" s="10"/>
    </row>
    <row r="2" customFormat="false" ht="15" hidden="false" customHeight="false" outlineLevel="0" collapsed="false">
      <c r="A2" s="12" t="s">
        <v>700</v>
      </c>
      <c r="B2" s="13" t="s">
        <v>701</v>
      </c>
      <c r="C2" s="13" t="s">
        <v>702</v>
      </c>
      <c r="D2" s="13" t="s">
        <v>703</v>
      </c>
      <c r="E2" s="13" t="s">
        <v>723</v>
      </c>
      <c r="F2" s="13" t="s">
        <v>6354</v>
      </c>
      <c r="G2" s="13" t="s">
        <v>6328</v>
      </c>
      <c r="H2" s="13" t="s">
        <v>6695</v>
      </c>
      <c r="I2" s="13" t="s">
        <v>6696</v>
      </c>
    </row>
    <row r="3" customFormat="false" ht="30" hidden="false" customHeight="true" outlineLevel="0" collapsed="false">
      <c r="A3" s="14" t="s">
        <v>706</v>
      </c>
      <c r="B3" s="15" t="str">
        <f aca="false">IF(COUNTIFS($D$6:$D$440,IF(D3="","*",D3),$E$6:$E$440,IF(E3="","*",E3),$F$6:$F$440,IF(F3="","*",F3),$G$6:$G$440,IF(G3="","*",G3),$H$6:$H$440,IF(H3="","*",H3),$I$6:$I$440,IF(I3="","*",I3))=1,INDEX($B:$B,SUMPRODUCT(((D3="")+($D$6:$D$440=D3)&gt;0)*((E3="")+($E$6:$E$440=E3)&gt;0)*((F3="")+($F$6:$F$440=F3)&gt;0)*((G3="")+($G$6:$G$440=G3)&gt;0)*((H3="")+($H$6:$H$440=H3)&gt;0)*((I3="")+($I$6:$I$440=I3)&gt;0)*ROW($B$6:$B$440))),IF(COUNTIFS($D$6:$D$440,IF(D3="","*",D3),$E$6:$E$440,IF(E3="","*",E3),$F$6:$F$440,IF(F3="","*",F3),$G$6:$G$440,IF(G3="","*",G3),$H$6:$H$440,IF(H3="","*",H3),$I$6:$I$440,IF(I3="","*",I3))=0,"Not available",COUNTIFS($D$6:$D$440,IF(D3="","*",D3),$E$6:$E$440,IF(E3="","*",E3),$F$6:$F$440,IF(F3="","*",F3),$G$6:$G$440,IF(G3="","*",G3),$H$6:$H$440,IF(H3="","*",H3),$I$6:$I$440,IF(I3="","*",I3))&amp;" match, keep choosing"))</f>
        <v>2GT-AF14-3-6-MS-NS</v>
      </c>
      <c r="C3" s="16" t="n">
        <f aca="false">IF(COUNTIFS($D$6:$D$440,IF(D3="","*",D3),$E$6:$E$440,IF(E3="","*",E3),$F$6:$F$440,IF(F3="","*",F3),$G$6:$G$440,IF(G3="","*",G3),$H$6:$H$440,IF(H3="","*",H3),$I$6:$I$440,IF(I3="","*",I3))=1,INDEX($C:$C,SUMPRODUCT(((D3="")+($D$6:$D$440=D3)&gt;0)*((E3="")+($E$6:$E$440=E3)&gt;0)*((F3="")+($F$6:$F$440=F3)&gt;0)*((G3="")+($G$6:$G$440=G3)&gt;0)*((H3="")+($H$6:$H$440=H3)&gt;0)*((I3="")+($I$6:$I$440=I3)&gt;0)*ROW($B$6:$B$440))),"")</f>
        <v>0.36</v>
      </c>
      <c r="D3" s="17" t="s">
        <v>716</v>
      </c>
      <c r="E3" s="17" t="s">
        <v>6697</v>
      </c>
      <c r="F3" s="17" t="s">
        <v>6698</v>
      </c>
      <c r="G3" s="17" t="s">
        <v>6699</v>
      </c>
      <c r="H3" s="17" t="s">
        <v>4721</v>
      </c>
      <c r="I3" s="17" t="s">
        <v>839</v>
      </c>
    </row>
    <row r="5" customFormat="false" ht="15" hidden="false" customHeight="false" outlineLevel="0" collapsed="false">
      <c r="B5" s="18" t="s">
        <v>701</v>
      </c>
      <c r="C5" s="18" t="s">
        <v>702</v>
      </c>
      <c r="D5" s="18" t="s">
        <v>703</v>
      </c>
      <c r="E5" s="18" t="s">
        <v>723</v>
      </c>
      <c r="F5" s="18" t="s">
        <v>6354</v>
      </c>
      <c r="G5" s="18" t="s">
        <v>6328</v>
      </c>
      <c r="H5" s="18" t="s">
        <v>6695</v>
      </c>
      <c r="I5" s="18" t="s">
        <v>6696</v>
      </c>
    </row>
    <row r="6" customFormat="false" ht="15" hidden="false" customHeight="false" outlineLevel="0" collapsed="false">
      <c r="B6" s="19" t="s">
        <v>6700</v>
      </c>
      <c r="C6" s="20" t="n">
        <f aca="false">ROUND(2.6/FX,2)</f>
        <v>0.36</v>
      </c>
      <c r="D6" s="21" t="s">
        <v>716</v>
      </c>
      <c r="E6" s="21" t="s">
        <v>6697</v>
      </c>
      <c r="F6" s="21" t="s">
        <v>6698</v>
      </c>
      <c r="G6" s="21" t="s">
        <v>6699</v>
      </c>
      <c r="H6" s="21" t="s">
        <v>4721</v>
      </c>
      <c r="I6" s="21" t="s">
        <v>839</v>
      </c>
    </row>
    <row r="7" customFormat="false" ht="15" hidden="false" customHeight="false" outlineLevel="0" collapsed="false">
      <c r="B7" s="19" t="s">
        <v>6701</v>
      </c>
      <c r="C7" s="20" t="n">
        <f aca="false">ROUND(2.6/FX,2)</f>
        <v>0.36</v>
      </c>
      <c r="D7" s="21" t="s">
        <v>716</v>
      </c>
      <c r="E7" s="21" t="s">
        <v>6697</v>
      </c>
      <c r="F7" s="21" t="s">
        <v>6698</v>
      </c>
      <c r="G7" s="21" t="s">
        <v>6699</v>
      </c>
      <c r="H7" s="21" t="s">
        <v>4721</v>
      </c>
      <c r="I7" s="21" t="s">
        <v>841</v>
      </c>
    </row>
    <row r="8" customFormat="false" ht="15" hidden="false" customHeight="false" outlineLevel="0" collapsed="false">
      <c r="B8" s="19" t="s">
        <v>6702</v>
      </c>
      <c r="C8" s="20" t="n">
        <f aca="false">ROUND(2.6/FX,2)</f>
        <v>0.36</v>
      </c>
      <c r="D8" s="21" t="s">
        <v>716</v>
      </c>
      <c r="E8" s="21" t="s">
        <v>6697</v>
      </c>
      <c r="F8" s="21" t="s">
        <v>6698</v>
      </c>
      <c r="G8" s="21" t="s">
        <v>6699</v>
      </c>
      <c r="H8" s="21" t="s">
        <v>4721</v>
      </c>
      <c r="I8" s="21" t="s">
        <v>716</v>
      </c>
    </row>
    <row r="9" customFormat="false" ht="15" hidden="false" customHeight="false" outlineLevel="0" collapsed="false">
      <c r="B9" s="19" t="s">
        <v>6703</v>
      </c>
      <c r="C9" s="20" t="n">
        <f aca="false">ROUND(2.73/FX,2)</f>
        <v>0.38</v>
      </c>
      <c r="D9" s="21" t="s">
        <v>716</v>
      </c>
      <c r="E9" s="21" t="s">
        <v>734</v>
      </c>
      <c r="F9" s="21" t="s">
        <v>6698</v>
      </c>
      <c r="G9" s="21" t="s">
        <v>6699</v>
      </c>
      <c r="H9" s="21" t="s">
        <v>3833</v>
      </c>
      <c r="I9" s="21" t="s">
        <v>839</v>
      </c>
    </row>
    <row r="10" customFormat="false" ht="15" hidden="false" customHeight="false" outlineLevel="0" collapsed="false">
      <c r="B10" s="19" t="s">
        <v>6704</v>
      </c>
      <c r="C10" s="20" t="n">
        <f aca="false">ROUND(2.73/FX,2)</f>
        <v>0.38</v>
      </c>
      <c r="D10" s="21" t="s">
        <v>716</v>
      </c>
      <c r="E10" s="21" t="s">
        <v>734</v>
      </c>
      <c r="F10" s="21" t="s">
        <v>6698</v>
      </c>
      <c r="G10" s="21" t="s">
        <v>6699</v>
      </c>
      <c r="H10" s="21" t="s">
        <v>3833</v>
      </c>
      <c r="I10" s="21" t="s">
        <v>841</v>
      </c>
    </row>
    <row r="11" customFormat="false" ht="15" hidden="false" customHeight="false" outlineLevel="0" collapsed="false">
      <c r="B11" s="19" t="s">
        <v>6705</v>
      </c>
      <c r="C11" s="20" t="n">
        <f aca="false">ROUND(1.04/FX,2)</f>
        <v>0.14</v>
      </c>
      <c r="D11" s="21" t="s">
        <v>716</v>
      </c>
      <c r="E11" s="21" t="s">
        <v>734</v>
      </c>
      <c r="F11" s="21" t="s">
        <v>6706</v>
      </c>
      <c r="G11" s="21" t="s">
        <v>6699</v>
      </c>
      <c r="H11" s="21" t="s">
        <v>3833</v>
      </c>
      <c r="I11" s="21" t="s">
        <v>789</v>
      </c>
    </row>
    <row r="12" customFormat="false" ht="15" hidden="false" customHeight="false" outlineLevel="0" collapsed="false">
      <c r="B12" s="19" t="s">
        <v>6707</v>
      </c>
      <c r="C12" s="20" t="n">
        <f aca="false">ROUND(2.73/FX,2)</f>
        <v>0.38</v>
      </c>
      <c r="D12" s="21" t="s">
        <v>716</v>
      </c>
      <c r="E12" s="21" t="s">
        <v>734</v>
      </c>
      <c r="F12" s="21" t="s">
        <v>6698</v>
      </c>
      <c r="G12" s="21" t="s">
        <v>6699</v>
      </c>
      <c r="H12" s="21" t="s">
        <v>3833</v>
      </c>
      <c r="I12" s="21" t="s">
        <v>789</v>
      </c>
    </row>
    <row r="13" customFormat="false" ht="15" hidden="false" customHeight="false" outlineLevel="0" collapsed="false">
      <c r="B13" s="19" t="s">
        <v>6708</v>
      </c>
      <c r="C13" s="20" t="n">
        <f aca="false">ROUND(2.73/FX,2)</f>
        <v>0.38</v>
      </c>
      <c r="D13" s="21" t="s">
        <v>707</v>
      </c>
      <c r="E13" s="21" t="s">
        <v>734</v>
      </c>
      <c r="F13" s="21" t="s">
        <v>6698</v>
      </c>
      <c r="G13" s="21" t="s">
        <v>6699</v>
      </c>
      <c r="H13" s="21" t="s">
        <v>4000</v>
      </c>
      <c r="I13" s="21" t="s">
        <v>6709</v>
      </c>
    </row>
    <row r="14" customFormat="false" ht="15" hidden="false" customHeight="false" outlineLevel="0" collapsed="false">
      <c r="B14" s="19" t="s">
        <v>6710</v>
      </c>
      <c r="C14" s="20" t="n">
        <f aca="false">ROUND(1.04/FX,2)</f>
        <v>0.14</v>
      </c>
      <c r="D14" s="21" t="s">
        <v>716</v>
      </c>
      <c r="E14" s="21" t="s">
        <v>734</v>
      </c>
      <c r="F14" s="21" t="s">
        <v>6706</v>
      </c>
      <c r="G14" s="21" t="s">
        <v>6699</v>
      </c>
      <c r="H14" s="21" t="s">
        <v>3247</v>
      </c>
      <c r="I14" s="21" t="s">
        <v>839</v>
      </c>
    </row>
    <row r="15" customFormat="false" ht="15" hidden="false" customHeight="false" outlineLevel="0" collapsed="false">
      <c r="B15" s="19" t="s">
        <v>6711</v>
      </c>
      <c r="C15" s="20" t="n">
        <f aca="false">ROUND(2.73/FX,2)</f>
        <v>0.38</v>
      </c>
      <c r="D15" s="21" t="s">
        <v>707</v>
      </c>
      <c r="E15" s="21" t="s">
        <v>734</v>
      </c>
      <c r="F15" s="21" t="s">
        <v>6712</v>
      </c>
      <c r="G15" s="21" t="s">
        <v>6699</v>
      </c>
      <c r="H15" s="21" t="s">
        <v>3247</v>
      </c>
      <c r="I15" s="21" t="s">
        <v>841</v>
      </c>
    </row>
    <row r="16" customFormat="false" ht="15" hidden="false" customHeight="false" outlineLevel="0" collapsed="false">
      <c r="B16" s="19" t="s">
        <v>6713</v>
      </c>
      <c r="C16" s="20" t="n">
        <f aca="false">ROUND(2.73/FX,2)</f>
        <v>0.38</v>
      </c>
      <c r="D16" s="21" t="s">
        <v>716</v>
      </c>
      <c r="E16" s="21" t="s">
        <v>734</v>
      </c>
      <c r="F16" s="21" t="s">
        <v>6712</v>
      </c>
      <c r="G16" s="21" t="s">
        <v>6699</v>
      </c>
      <c r="H16" s="21" t="s">
        <v>3247</v>
      </c>
      <c r="I16" s="21" t="s">
        <v>841</v>
      </c>
    </row>
    <row r="17" customFormat="false" ht="15" hidden="false" customHeight="false" outlineLevel="0" collapsed="false">
      <c r="B17" s="19" t="s">
        <v>6714</v>
      </c>
      <c r="C17" s="20" t="n">
        <f aca="false">ROUND(2.73/FX,2)</f>
        <v>0.38</v>
      </c>
      <c r="D17" s="21" t="s">
        <v>707</v>
      </c>
      <c r="E17" s="21" t="s">
        <v>734</v>
      </c>
      <c r="F17" s="21" t="s">
        <v>6698</v>
      </c>
      <c r="G17" s="21" t="s">
        <v>6699</v>
      </c>
      <c r="H17" s="21" t="s">
        <v>3247</v>
      </c>
      <c r="I17" s="21" t="s">
        <v>789</v>
      </c>
    </row>
    <row r="18" customFormat="false" ht="15" hidden="false" customHeight="false" outlineLevel="0" collapsed="false">
      <c r="B18" s="19" t="s">
        <v>6715</v>
      </c>
      <c r="C18" s="20" t="n">
        <f aca="false">ROUND(1.3/FX,2)</f>
        <v>0.18</v>
      </c>
      <c r="D18" s="21" t="s">
        <v>716</v>
      </c>
      <c r="E18" s="21" t="s">
        <v>734</v>
      </c>
      <c r="F18" s="21" t="s">
        <v>724</v>
      </c>
      <c r="G18" s="21" t="s">
        <v>6699</v>
      </c>
      <c r="H18" s="21" t="s">
        <v>3247</v>
      </c>
      <c r="I18" s="21" t="s">
        <v>789</v>
      </c>
    </row>
    <row r="19" customFormat="false" ht="15" hidden="false" customHeight="false" outlineLevel="0" collapsed="false">
      <c r="B19" s="19" t="s">
        <v>6716</v>
      </c>
      <c r="C19" s="20" t="n">
        <f aca="false">ROUND(1.3/FX,2)</f>
        <v>0.18</v>
      </c>
      <c r="D19" s="21" t="s">
        <v>716</v>
      </c>
      <c r="E19" s="21" t="s">
        <v>734</v>
      </c>
      <c r="F19" s="21" t="s">
        <v>6706</v>
      </c>
      <c r="G19" s="21" t="s">
        <v>6699</v>
      </c>
      <c r="H19" s="21" t="s">
        <v>3247</v>
      </c>
      <c r="I19" s="21" t="s">
        <v>789</v>
      </c>
    </row>
    <row r="20" customFormat="false" ht="15" hidden="false" customHeight="false" outlineLevel="0" collapsed="false">
      <c r="B20" s="19" t="s">
        <v>6717</v>
      </c>
      <c r="C20" s="20" t="n">
        <f aca="false">ROUND(2.73/FX,2)</f>
        <v>0.38</v>
      </c>
      <c r="D20" s="21" t="s">
        <v>716</v>
      </c>
      <c r="E20" s="21" t="s">
        <v>734</v>
      </c>
      <c r="F20" s="21" t="s">
        <v>6712</v>
      </c>
      <c r="G20" s="21" t="s">
        <v>6699</v>
      </c>
      <c r="H20" s="21" t="s">
        <v>3247</v>
      </c>
      <c r="I20" s="21" t="s">
        <v>789</v>
      </c>
    </row>
    <row r="21" customFormat="false" ht="15" hidden="false" customHeight="false" outlineLevel="0" collapsed="false">
      <c r="B21" s="19" t="s">
        <v>6718</v>
      </c>
      <c r="C21" s="20" t="n">
        <f aca="false">ROUND(1.95/FX,2)</f>
        <v>0.27</v>
      </c>
      <c r="D21" s="21" t="s">
        <v>707</v>
      </c>
      <c r="E21" s="21" t="s">
        <v>734</v>
      </c>
      <c r="F21" s="21" t="s">
        <v>6712</v>
      </c>
      <c r="G21" s="21" t="s">
        <v>6699</v>
      </c>
      <c r="H21" s="21" t="s">
        <v>3247</v>
      </c>
      <c r="I21" s="21" t="s">
        <v>716</v>
      </c>
    </row>
    <row r="22" customFormat="false" ht="15" hidden="false" customHeight="false" outlineLevel="0" collapsed="false">
      <c r="B22" s="19" t="s">
        <v>6719</v>
      </c>
      <c r="C22" s="20" t="n">
        <f aca="false">ROUND(2.73/FX,2)</f>
        <v>0.38</v>
      </c>
      <c r="D22" s="21" t="s">
        <v>716</v>
      </c>
      <c r="E22" s="21" t="s">
        <v>734</v>
      </c>
      <c r="F22" s="21" t="s">
        <v>6698</v>
      </c>
      <c r="G22" s="21" t="s">
        <v>6699</v>
      </c>
      <c r="H22" s="21" t="s">
        <v>3247</v>
      </c>
      <c r="I22" s="21" t="s">
        <v>716</v>
      </c>
    </row>
    <row r="23" customFormat="false" ht="15" hidden="false" customHeight="false" outlineLevel="0" collapsed="false">
      <c r="B23" s="19" t="s">
        <v>6720</v>
      </c>
      <c r="C23" s="20" t="n">
        <f aca="false">ROUND(2.6/FX,2)</f>
        <v>0.36</v>
      </c>
      <c r="D23" s="21" t="s">
        <v>707</v>
      </c>
      <c r="E23" s="21" t="s">
        <v>6697</v>
      </c>
      <c r="F23" s="21" t="s">
        <v>6698</v>
      </c>
      <c r="G23" s="21" t="s">
        <v>6699</v>
      </c>
      <c r="H23" s="21" t="s">
        <v>3247</v>
      </c>
      <c r="I23" s="21" t="s">
        <v>847</v>
      </c>
    </row>
    <row r="24" customFormat="false" ht="15" hidden="false" customHeight="false" outlineLevel="0" collapsed="false">
      <c r="B24" s="19" t="s">
        <v>6721</v>
      </c>
      <c r="C24" s="20" t="n">
        <f aca="false">ROUND(2.6/FX,2)</f>
        <v>0.36</v>
      </c>
      <c r="D24" s="21" t="s">
        <v>716</v>
      </c>
      <c r="E24" s="21" t="s">
        <v>6697</v>
      </c>
      <c r="F24" s="21" t="s">
        <v>6698</v>
      </c>
      <c r="G24" s="21" t="s">
        <v>6699</v>
      </c>
      <c r="H24" s="21" t="s">
        <v>3247</v>
      </c>
      <c r="I24" s="21" t="s">
        <v>847</v>
      </c>
    </row>
    <row r="25" customFormat="false" ht="15" hidden="false" customHeight="false" outlineLevel="0" collapsed="false">
      <c r="B25" s="19" t="s">
        <v>6722</v>
      </c>
      <c r="C25" s="20" t="n">
        <f aca="false">ROUND(3.25/FX,2)</f>
        <v>0.45</v>
      </c>
      <c r="D25" s="21" t="s">
        <v>707</v>
      </c>
      <c r="E25" s="21" t="s">
        <v>734</v>
      </c>
      <c r="F25" s="21" t="s">
        <v>6698</v>
      </c>
      <c r="G25" s="21" t="s">
        <v>6699</v>
      </c>
      <c r="H25" s="21" t="s">
        <v>6723</v>
      </c>
      <c r="I25" s="21" t="s">
        <v>841</v>
      </c>
    </row>
    <row r="26" customFormat="false" ht="15" hidden="false" customHeight="false" outlineLevel="0" collapsed="false">
      <c r="B26" s="19" t="s">
        <v>6724</v>
      </c>
      <c r="C26" s="20" t="n">
        <f aca="false">ROUND(4.55/FX,2)</f>
        <v>0.63</v>
      </c>
      <c r="D26" s="21" t="s">
        <v>784</v>
      </c>
      <c r="E26" s="21" t="s">
        <v>734</v>
      </c>
      <c r="F26" s="21" t="s">
        <v>6712</v>
      </c>
      <c r="G26" s="21" t="s">
        <v>6699</v>
      </c>
      <c r="H26" s="21" t="s">
        <v>784</v>
      </c>
      <c r="I26" s="21" t="s">
        <v>761</v>
      </c>
    </row>
    <row r="27" customFormat="false" ht="15" hidden="false" customHeight="false" outlineLevel="0" collapsed="false">
      <c r="B27" s="19" t="s">
        <v>6725</v>
      </c>
      <c r="C27" s="20" t="n">
        <f aca="false">ROUND(3.77/FX,2)</f>
        <v>0.52</v>
      </c>
      <c r="D27" s="21" t="s">
        <v>716</v>
      </c>
      <c r="E27" s="21" t="s">
        <v>734</v>
      </c>
      <c r="F27" s="21" t="s">
        <v>6698</v>
      </c>
      <c r="G27" s="21" t="s">
        <v>6699</v>
      </c>
      <c r="H27" s="21" t="s">
        <v>784</v>
      </c>
      <c r="I27" s="21" t="s">
        <v>841</v>
      </c>
    </row>
    <row r="28" customFormat="false" ht="15" hidden="false" customHeight="false" outlineLevel="0" collapsed="false">
      <c r="B28" s="19" t="s">
        <v>6726</v>
      </c>
      <c r="C28" s="20" t="n">
        <f aca="false">ROUND(3.77/FX,2)</f>
        <v>0.52</v>
      </c>
      <c r="D28" s="21" t="s">
        <v>707</v>
      </c>
      <c r="E28" s="21" t="s">
        <v>734</v>
      </c>
      <c r="F28" s="21" t="s">
        <v>6698</v>
      </c>
      <c r="G28" s="21" t="s">
        <v>6699</v>
      </c>
      <c r="H28" s="21" t="s">
        <v>784</v>
      </c>
      <c r="I28" s="21" t="s">
        <v>847</v>
      </c>
    </row>
    <row r="29" customFormat="false" ht="15" hidden="false" customHeight="false" outlineLevel="0" collapsed="false">
      <c r="B29" s="19" t="s">
        <v>6727</v>
      </c>
      <c r="C29" s="20" t="n">
        <f aca="false">ROUND(4.55/FX,2)</f>
        <v>0.63</v>
      </c>
      <c r="D29" s="21" t="s">
        <v>784</v>
      </c>
      <c r="E29" s="21" t="s">
        <v>734</v>
      </c>
      <c r="F29" s="21" t="s">
        <v>6712</v>
      </c>
      <c r="G29" s="21" t="s">
        <v>6699</v>
      </c>
      <c r="H29" s="21" t="s">
        <v>784</v>
      </c>
      <c r="I29" s="21" t="s">
        <v>847</v>
      </c>
    </row>
    <row r="30" customFormat="false" ht="15" hidden="false" customHeight="false" outlineLevel="0" collapsed="false">
      <c r="B30" s="19" t="s">
        <v>6728</v>
      </c>
      <c r="C30" s="20" t="n">
        <f aca="false">ROUND(3.9/FX,2)</f>
        <v>0.54</v>
      </c>
      <c r="D30" s="21" t="s">
        <v>716</v>
      </c>
      <c r="E30" s="21" t="s">
        <v>734</v>
      </c>
      <c r="F30" s="21" t="s">
        <v>6698</v>
      </c>
      <c r="G30" s="21" t="s">
        <v>6699</v>
      </c>
      <c r="H30" s="21" t="s">
        <v>784</v>
      </c>
      <c r="I30" s="21" t="s">
        <v>847</v>
      </c>
    </row>
    <row r="31" customFormat="false" ht="15" hidden="false" customHeight="false" outlineLevel="0" collapsed="false">
      <c r="B31" s="19" t="s">
        <v>6729</v>
      </c>
      <c r="C31" s="20" t="n">
        <f aca="false">ROUND(4.29/FX,2)</f>
        <v>0.6</v>
      </c>
      <c r="D31" s="21" t="s">
        <v>707</v>
      </c>
      <c r="E31" s="21" t="s">
        <v>734</v>
      </c>
      <c r="F31" s="21" t="s">
        <v>6712</v>
      </c>
      <c r="G31" s="21" t="s">
        <v>6699</v>
      </c>
      <c r="H31" s="21" t="s">
        <v>6730</v>
      </c>
      <c r="I31" s="21" t="s">
        <v>707</v>
      </c>
    </row>
    <row r="32" customFormat="false" ht="15" hidden="false" customHeight="false" outlineLevel="0" collapsed="false">
      <c r="B32" s="19" t="s">
        <v>6731</v>
      </c>
      <c r="C32" s="20" t="n">
        <f aca="false">ROUND(4.29/FX,2)</f>
        <v>0.6</v>
      </c>
      <c r="D32" s="21" t="s">
        <v>716</v>
      </c>
      <c r="E32" s="21" t="s">
        <v>734</v>
      </c>
      <c r="F32" s="21" t="s">
        <v>6698</v>
      </c>
      <c r="G32" s="21" t="s">
        <v>6699</v>
      </c>
      <c r="H32" s="21" t="s">
        <v>6730</v>
      </c>
      <c r="I32" s="21" t="s">
        <v>707</v>
      </c>
    </row>
    <row r="33" customFormat="false" ht="15" hidden="false" customHeight="false" outlineLevel="0" collapsed="false">
      <c r="B33" s="19" t="s">
        <v>6732</v>
      </c>
      <c r="C33" s="20" t="n">
        <f aca="false">ROUND(3.9/FX,2)</f>
        <v>0.54</v>
      </c>
      <c r="D33" s="21" t="s">
        <v>841</v>
      </c>
      <c r="E33" s="21" t="s">
        <v>734</v>
      </c>
      <c r="F33" s="21" t="s">
        <v>6733</v>
      </c>
      <c r="G33" s="21" t="s">
        <v>6699</v>
      </c>
      <c r="H33" s="21" t="s">
        <v>6730</v>
      </c>
      <c r="I33" s="21" t="s">
        <v>716</v>
      </c>
    </row>
    <row r="34" customFormat="false" ht="15" hidden="false" customHeight="false" outlineLevel="0" collapsed="false">
      <c r="B34" s="19" t="s">
        <v>6734</v>
      </c>
      <c r="C34" s="20" t="n">
        <f aca="false">ROUND(5.85/FX,2)</f>
        <v>0.81</v>
      </c>
      <c r="D34" s="21" t="s">
        <v>784</v>
      </c>
      <c r="E34" s="21" t="s">
        <v>6697</v>
      </c>
      <c r="F34" s="21" t="s">
        <v>6698</v>
      </c>
      <c r="G34" s="21" t="s">
        <v>6699</v>
      </c>
      <c r="H34" s="21" t="s">
        <v>6730</v>
      </c>
      <c r="I34" s="21" t="s">
        <v>847</v>
      </c>
    </row>
    <row r="35" customFormat="false" ht="15" hidden="false" customHeight="false" outlineLevel="0" collapsed="false">
      <c r="B35" s="19" t="s">
        <v>6735</v>
      </c>
      <c r="C35" s="20" t="n">
        <f aca="false">ROUND(5.2/FX,2)</f>
        <v>0.72</v>
      </c>
      <c r="D35" s="21" t="s">
        <v>784</v>
      </c>
      <c r="E35" s="21" t="s">
        <v>734</v>
      </c>
      <c r="F35" s="21" t="s">
        <v>6712</v>
      </c>
      <c r="G35" s="21" t="s">
        <v>6699</v>
      </c>
      <c r="H35" s="21" t="s">
        <v>6730</v>
      </c>
      <c r="I35" s="21" t="s">
        <v>847</v>
      </c>
    </row>
    <row r="36" customFormat="false" ht="15" hidden="false" customHeight="false" outlineLevel="0" collapsed="false">
      <c r="B36" s="19" t="s">
        <v>6736</v>
      </c>
      <c r="C36" s="20" t="n">
        <f aca="false">ROUND(4.16/FX,2)</f>
        <v>0.58</v>
      </c>
      <c r="D36" s="21" t="s">
        <v>716</v>
      </c>
      <c r="E36" s="21" t="s">
        <v>734</v>
      </c>
      <c r="F36" s="21" t="s">
        <v>6698</v>
      </c>
      <c r="G36" s="21" t="s">
        <v>6699</v>
      </c>
      <c r="H36" s="21" t="s">
        <v>6730</v>
      </c>
      <c r="I36" s="21" t="s">
        <v>847</v>
      </c>
    </row>
    <row r="37" customFormat="false" ht="15" hidden="false" customHeight="false" outlineLevel="0" collapsed="false">
      <c r="B37" s="19" t="s">
        <v>6737</v>
      </c>
      <c r="C37" s="20" t="n">
        <f aca="false">ROUND(7.8/FX,2)</f>
        <v>1.08</v>
      </c>
      <c r="D37" s="21" t="s">
        <v>784</v>
      </c>
      <c r="E37" s="21" t="s">
        <v>734</v>
      </c>
      <c r="F37" s="21" t="s">
        <v>6698</v>
      </c>
      <c r="G37" s="21" t="s">
        <v>6699</v>
      </c>
      <c r="H37" s="21" t="s">
        <v>6246</v>
      </c>
      <c r="I37" s="21" t="s">
        <v>3833</v>
      </c>
    </row>
    <row r="38" customFormat="false" ht="15" hidden="false" customHeight="false" outlineLevel="0" collapsed="false">
      <c r="B38" s="19" t="s">
        <v>6738</v>
      </c>
      <c r="C38" s="20" t="n">
        <f aca="false">ROUND(4.55/FX,2)</f>
        <v>0.63</v>
      </c>
      <c r="D38" s="21" t="s">
        <v>707</v>
      </c>
      <c r="E38" s="21" t="s">
        <v>734</v>
      </c>
      <c r="F38" s="21" t="s">
        <v>6698</v>
      </c>
      <c r="G38" s="21" t="s">
        <v>6699</v>
      </c>
      <c r="H38" s="21" t="s">
        <v>6246</v>
      </c>
      <c r="I38" s="21" t="s">
        <v>716</v>
      </c>
    </row>
    <row r="39" customFormat="false" ht="15" hidden="false" customHeight="false" outlineLevel="0" collapsed="false">
      <c r="B39" s="19" t="s">
        <v>6739</v>
      </c>
      <c r="C39" s="20" t="n">
        <f aca="false">ROUND(4.55/FX,2)</f>
        <v>0.63</v>
      </c>
      <c r="D39" s="21" t="s">
        <v>707</v>
      </c>
      <c r="E39" s="21" t="s">
        <v>734</v>
      </c>
      <c r="F39" s="21" t="s">
        <v>6698</v>
      </c>
      <c r="G39" s="21" t="s">
        <v>6699</v>
      </c>
      <c r="H39" s="21" t="s">
        <v>6246</v>
      </c>
      <c r="I39" s="21" t="s">
        <v>6740</v>
      </c>
    </row>
    <row r="40" customFormat="false" ht="15" hidden="false" customHeight="false" outlineLevel="0" collapsed="false">
      <c r="B40" s="19" t="s">
        <v>6741</v>
      </c>
      <c r="C40" s="20" t="n">
        <f aca="false">ROUND(5.59/FX,2)</f>
        <v>0.78</v>
      </c>
      <c r="D40" s="21" t="s">
        <v>707</v>
      </c>
      <c r="E40" s="21" t="s">
        <v>734</v>
      </c>
      <c r="F40" s="21" t="s">
        <v>6698</v>
      </c>
      <c r="G40" s="21" t="s">
        <v>6699</v>
      </c>
      <c r="H40" s="21" t="s">
        <v>6742</v>
      </c>
      <c r="I40" s="21" t="s">
        <v>707</v>
      </c>
    </row>
    <row r="41" customFormat="false" ht="15" hidden="false" customHeight="false" outlineLevel="0" collapsed="false">
      <c r="B41" s="19" t="s">
        <v>6743</v>
      </c>
      <c r="C41" s="20" t="n">
        <f aca="false">ROUND(5.59/FX,2)</f>
        <v>0.78</v>
      </c>
      <c r="D41" s="21" t="s">
        <v>716</v>
      </c>
      <c r="E41" s="21" t="s">
        <v>734</v>
      </c>
      <c r="F41" s="21" t="s">
        <v>6698</v>
      </c>
      <c r="G41" s="21" t="s">
        <v>6699</v>
      </c>
      <c r="H41" s="21" t="s">
        <v>6742</v>
      </c>
      <c r="I41" s="21" t="s">
        <v>4721</v>
      </c>
    </row>
    <row r="42" customFormat="false" ht="15" hidden="false" customHeight="false" outlineLevel="0" collapsed="false">
      <c r="B42" s="19" t="s">
        <v>6744</v>
      </c>
      <c r="C42" s="20" t="n">
        <f aca="false">ROUND(5.59/FX,2)</f>
        <v>0.78</v>
      </c>
      <c r="D42" s="21" t="s">
        <v>707</v>
      </c>
      <c r="E42" s="21" t="s">
        <v>734</v>
      </c>
      <c r="F42" s="21" t="s">
        <v>6698</v>
      </c>
      <c r="G42" s="21" t="s">
        <v>6699</v>
      </c>
      <c r="H42" s="21" t="s">
        <v>6742</v>
      </c>
      <c r="I42" s="21" t="s">
        <v>847</v>
      </c>
    </row>
    <row r="43" customFormat="false" ht="15" hidden="false" customHeight="false" outlineLevel="0" collapsed="false">
      <c r="B43" s="19" t="s">
        <v>6745</v>
      </c>
      <c r="C43" s="20" t="n">
        <f aca="false">ROUND(5.59/FX,2)</f>
        <v>0.78</v>
      </c>
      <c r="D43" s="21" t="s">
        <v>716</v>
      </c>
      <c r="E43" s="21" t="s">
        <v>734</v>
      </c>
      <c r="F43" s="21" t="s">
        <v>6712</v>
      </c>
      <c r="G43" s="21" t="s">
        <v>6699</v>
      </c>
      <c r="H43" s="21" t="s">
        <v>6742</v>
      </c>
      <c r="I43" s="21" t="s">
        <v>847</v>
      </c>
    </row>
    <row r="44" customFormat="false" ht="15" hidden="false" customHeight="false" outlineLevel="0" collapsed="false">
      <c r="B44" s="19" t="s">
        <v>6746</v>
      </c>
      <c r="C44" s="20" t="n">
        <f aca="false">ROUND(5.46/FX,2)</f>
        <v>0.76</v>
      </c>
      <c r="D44" s="21" t="s">
        <v>707</v>
      </c>
      <c r="E44" s="21" t="s">
        <v>734</v>
      </c>
      <c r="F44" s="21" t="s">
        <v>6698</v>
      </c>
      <c r="G44" s="21" t="s">
        <v>6699</v>
      </c>
      <c r="H44" s="21" t="s">
        <v>2911</v>
      </c>
      <c r="I44" s="21" t="s">
        <v>707</v>
      </c>
    </row>
    <row r="45" customFormat="false" ht="15" hidden="false" customHeight="false" outlineLevel="0" collapsed="false">
      <c r="B45" s="19" t="s">
        <v>6747</v>
      </c>
      <c r="C45" s="20" t="n">
        <f aca="false">ROUND(5.46/FX,2)</f>
        <v>0.76</v>
      </c>
      <c r="D45" s="21" t="s">
        <v>716</v>
      </c>
      <c r="E45" s="21" t="s">
        <v>734</v>
      </c>
      <c r="F45" s="21" t="s">
        <v>6698</v>
      </c>
      <c r="G45" s="21" t="s">
        <v>6699</v>
      </c>
      <c r="H45" s="21" t="s">
        <v>2911</v>
      </c>
      <c r="I45" s="21" t="s">
        <v>716</v>
      </c>
    </row>
    <row r="46" customFormat="false" ht="15" hidden="false" customHeight="false" outlineLevel="0" collapsed="false">
      <c r="B46" s="19" t="s">
        <v>6748</v>
      </c>
      <c r="C46" s="20" t="n">
        <f aca="false">ROUND(5.46/FX,2)</f>
        <v>0.76</v>
      </c>
      <c r="D46" s="21" t="s">
        <v>716</v>
      </c>
      <c r="E46" s="21" t="s">
        <v>734</v>
      </c>
      <c r="F46" s="21" t="s">
        <v>6698</v>
      </c>
      <c r="G46" s="21" t="s">
        <v>6699</v>
      </c>
      <c r="H46" s="21" t="s">
        <v>2911</v>
      </c>
      <c r="I46" s="21" t="s">
        <v>847</v>
      </c>
    </row>
    <row r="47" customFormat="false" ht="15" hidden="false" customHeight="false" outlineLevel="0" collapsed="false">
      <c r="B47" s="19" t="s">
        <v>6749</v>
      </c>
      <c r="C47" s="20" t="n">
        <f aca="false">ROUND(6.89/FX,2)</f>
        <v>0.96</v>
      </c>
      <c r="D47" s="21" t="s">
        <v>707</v>
      </c>
      <c r="E47" s="21" t="s">
        <v>6750</v>
      </c>
      <c r="F47" s="21" t="s">
        <v>6698</v>
      </c>
      <c r="G47" s="21" t="s">
        <v>6699</v>
      </c>
      <c r="H47" s="21" t="s">
        <v>2961</v>
      </c>
      <c r="I47" s="21" t="s">
        <v>707</v>
      </c>
    </row>
    <row r="48" customFormat="false" ht="15" hidden="false" customHeight="false" outlineLevel="0" collapsed="false">
      <c r="B48" s="19" t="s">
        <v>6751</v>
      </c>
      <c r="C48" s="20" t="n">
        <f aca="false">ROUND(7.24/FX,2)</f>
        <v>1.01</v>
      </c>
      <c r="D48" s="21" t="s">
        <v>716</v>
      </c>
      <c r="E48" s="21" t="s">
        <v>6750</v>
      </c>
      <c r="F48" s="21" t="s">
        <v>6698</v>
      </c>
      <c r="G48" s="21" t="s">
        <v>6699</v>
      </c>
      <c r="H48" s="21" t="s">
        <v>2961</v>
      </c>
      <c r="I48" s="21" t="s">
        <v>707</v>
      </c>
    </row>
    <row r="49" customFormat="false" ht="15" hidden="false" customHeight="false" outlineLevel="0" collapsed="false">
      <c r="B49" s="19" t="s">
        <v>6752</v>
      </c>
      <c r="C49" s="20" t="n">
        <f aca="false">ROUND(6.89/FX,2)</f>
        <v>0.96</v>
      </c>
      <c r="D49" s="21" t="s">
        <v>707</v>
      </c>
      <c r="E49" s="21" t="s">
        <v>734</v>
      </c>
      <c r="F49" s="21" t="s">
        <v>6698</v>
      </c>
      <c r="G49" s="21" t="s">
        <v>6699</v>
      </c>
      <c r="H49" s="21" t="s">
        <v>2961</v>
      </c>
      <c r="I49" s="21" t="s">
        <v>761</v>
      </c>
    </row>
    <row r="50" customFormat="false" ht="15" hidden="false" customHeight="false" outlineLevel="0" collapsed="false">
      <c r="B50" s="19" t="s">
        <v>6753</v>
      </c>
      <c r="C50" s="20" t="n">
        <f aca="false">ROUND(6.89/FX,2)</f>
        <v>0.96</v>
      </c>
      <c r="D50" s="21" t="s">
        <v>707</v>
      </c>
      <c r="E50" s="21" t="s">
        <v>6750</v>
      </c>
      <c r="F50" s="21" t="s">
        <v>6698</v>
      </c>
      <c r="G50" s="21" t="s">
        <v>6699</v>
      </c>
      <c r="H50" s="21" t="s">
        <v>2961</v>
      </c>
      <c r="I50" s="21" t="s">
        <v>761</v>
      </c>
    </row>
    <row r="51" customFormat="false" ht="15" hidden="false" customHeight="false" outlineLevel="0" collapsed="false">
      <c r="B51" s="19" t="s">
        <v>6754</v>
      </c>
      <c r="C51" s="20" t="n">
        <f aca="false">ROUND(6.89/FX,2)</f>
        <v>0.96</v>
      </c>
      <c r="D51" s="21" t="s">
        <v>716</v>
      </c>
      <c r="E51" s="21" t="s">
        <v>6750</v>
      </c>
      <c r="F51" s="21" t="s">
        <v>6698</v>
      </c>
      <c r="G51" s="21" t="s">
        <v>6699</v>
      </c>
      <c r="H51" s="21" t="s">
        <v>2961</v>
      </c>
      <c r="I51" s="21" t="s">
        <v>789</v>
      </c>
    </row>
    <row r="52" customFormat="false" ht="15" hidden="false" customHeight="false" outlineLevel="0" collapsed="false">
      <c r="B52" s="19" t="s">
        <v>6755</v>
      </c>
      <c r="C52" s="20" t="n">
        <f aca="false">ROUND(7.24/FX,2)</f>
        <v>1.01</v>
      </c>
      <c r="D52" s="21" t="s">
        <v>707</v>
      </c>
      <c r="E52" s="21" t="s">
        <v>6750</v>
      </c>
      <c r="F52" s="21" t="s">
        <v>6698</v>
      </c>
      <c r="G52" s="21" t="s">
        <v>6699</v>
      </c>
      <c r="H52" s="21" t="s">
        <v>2961</v>
      </c>
      <c r="I52" s="21" t="s">
        <v>847</v>
      </c>
    </row>
    <row r="53" customFormat="false" ht="15" hidden="false" customHeight="false" outlineLevel="0" collapsed="false">
      <c r="B53" s="19" t="s">
        <v>6756</v>
      </c>
      <c r="C53" s="20" t="n">
        <f aca="false">ROUND(6.89/FX,2)</f>
        <v>0.96</v>
      </c>
      <c r="D53" s="21" t="s">
        <v>841</v>
      </c>
      <c r="E53" s="21" t="s">
        <v>6750</v>
      </c>
      <c r="F53" s="21" t="s">
        <v>6698</v>
      </c>
      <c r="G53" s="21" t="s">
        <v>6699</v>
      </c>
      <c r="H53" s="21" t="s">
        <v>2961</v>
      </c>
      <c r="I53" s="21" t="s">
        <v>847</v>
      </c>
    </row>
    <row r="54" customFormat="false" ht="15" hidden="false" customHeight="false" outlineLevel="0" collapsed="false">
      <c r="B54" s="19" t="s">
        <v>6757</v>
      </c>
      <c r="C54" s="20" t="n">
        <f aca="false">ROUND(18.46/FX,2)</f>
        <v>2.56</v>
      </c>
      <c r="D54" s="21" t="s">
        <v>707</v>
      </c>
      <c r="E54" s="21" t="s">
        <v>734</v>
      </c>
      <c r="F54" s="21" t="s">
        <v>6698</v>
      </c>
      <c r="G54" s="21" t="s">
        <v>6758</v>
      </c>
      <c r="H54" s="21" t="s">
        <v>2600</v>
      </c>
      <c r="I54" s="21" t="s">
        <v>761</v>
      </c>
    </row>
    <row r="55" customFormat="false" ht="15" hidden="false" customHeight="false" outlineLevel="0" collapsed="false">
      <c r="B55" s="19" t="s">
        <v>6759</v>
      </c>
      <c r="C55" s="20" t="n">
        <f aca="false">ROUND(17.16/FX,2)</f>
        <v>2.38</v>
      </c>
      <c r="D55" s="21" t="s">
        <v>716</v>
      </c>
      <c r="E55" s="21" t="s">
        <v>734</v>
      </c>
      <c r="F55" s="21" t="s">
        <v>6698</v>
      </c>
      <c r="G55" s="21" t="s">
        <v>6758</v>
      </c>
      <c r="H55" s="21" t="s">
        <v>2600</v>
      </c>
      <c r="I55" s="21" t="s">
        <v>3317</v>
      </c>
    </row>
    <row r="56" customFormat="false" ht="15" hidden="false" customHeight="false" outlineLevel="0" collapsed="false">
      <c r="B56" s="19" t="s">
        <v>6760</v>
      </c>
      <c r="C56" s="20" t="n">
        <f aca="false">ROUND(18.46/FX,2)</f>
        <v>2.56</v>
      </c>
      <c r="D56" s="21" t="s">
        <v>707</v>
      </c>
      <c r="E56" s="21" t="s">
        <v>734</v>
      </c>
      <c r="F56" s="21" t="s">
        <v>6698</v>
      </c>
      <c r="G56" s="21" t="s">
        <v>6758</v>
      </c>
      <c r="H56" s="21" t="s">
        <v>2600</v>
      </c>
      <c r="I56" s="21" t="s">
        <v>847</v>
      </c>
    </row>
    <row r="57" customFormat="false" ht="15" hidden="false" customHeight="false" outlineLevel="0" collapsed="false">
      <c r="B57" s="19" t="s">
        <v>6761</v>
      </c>
      <c r="C57" s="20" t="n">
        <f aca="false">ROUND(17.16/FX,2)</f>
        <v>2.38</v>
      </c>
      <c r="D57" s="21" t="s">
        <v>716</v>
      </c>
      <c r="E57" s="21" t="s">
        <v>734</v>
      </c>
      <c r="F57" s="21" t="s">
        <v>6698</v>
      </c>
      <c r="G57" s="21" t="s">
        <v>6758</v>
      </c>
      <c r="H57" s="21" t="s">
        <v>2600</v>
      </c>
      <c r="I57" s="21" t="s">
        <v>847</v>
      </c>
    </row>
    <row r="58" customFormat="false" ht="15" hidden="false" customHeight="false" outlineLevel="0" collapsed="false">
      <c r="B58" s="19" t="s">
        <v>6762</v>
      </c>
      <c r="C58" s="20" t="n">
        <f aca="false">ROUND(22.75/FX,2)</f>
        <v>3.16</v>
      </c>
      <c r="D58" s="21" t="s">
        <v>716</v>
      </c>
      <c r="E58" s="21" t="s">
        <v>734</v>
      </c>
      <c r="F58" s="21" t="s">
        <v>6698</v>
      </c>
      <c r="G58" s="21" t="s">
        <v>6758</v>
      </c>
      <c r="H58" s="21" t="s">
        <v>2701</v>
      </c>
      <c r="I58" s="21" t="s">
        <v>761</v>
      </c>
    </row>
    <row r="59" customFormat="false" ht="15" hidden="false" customHeight="false" outlineLevel="0" collapsed="false">
      <c r="B59" s="19" t="s">
        <v>6763</v>
      </c>
      <c r="C59" s="20" t="n">
        <f aca="false">ROUND(22.75/FX,2)</f>
        <v>3.16</v>
      </c>
      <c r="D59" s="21" t="s">
        <v>716</v>
      </c>
      <c r="E59" s="21" t="s">
        <v>734</v>
      </c>
      <c r="F59" s="21" t="s">
        <v>6698</v>
      </c>
      <c r="G59" s="21" t="s">
        <v>6758</v>
      </c>
      <c r="H59" s="21" t="s">
        <v>2701</v>
      </c>
      <c r="I59" s="21" t="s">
        <v>3317</v>
      </c>
    </row>
    <row r="60" customFormat="false" ht="15" hidden="false" customHeight="false" outlineLevel="0" collapsed="false">
      <c r="B60" s="19" t="s">
        <v>6764</v>
      </c>
      <c r="C60" s="20" t="n">
        <f aca="false">ROUND(22.75/FX,2)</f>
        <v>3.16</v>
      </c>
      <c r="D60" s="21" t="s">
        <v>716</v>
      </c>
      <c r="E60" s="21" t="s">
        <v>734</v>
      </c>
      <c r="F60" s="21" t="s">
        <v>6698</v>
      </c>
      <c r="G60" s="21" t="s">
        <v>6758</v>
      </c>
      <c r="H60" s="21" t="s">
        <v>2701</v>
      </c>
      <c r="I60" s="21" t="s">
        <v>789</v>
      </c>
    </row>
    <row r="61" customFormat="false" ht="15" hidden="false" customHeight="false" outlineLevel="0" collapsed="false">
      <c r="B61" s="19" t="s">
        <v>6765</v>
      </c>
      <c r="C61" s="20" t="n">
        <f aca="false">ROUND(22.75/FX,2)</f>
        <v>3.16</v>
      </c>
      <c r="D61" s="21" t="s">
        <v>716</v>
      </c>
      <c r="E61" s="21" t="s">
        <v>734</v>
      </c>
      <c r="F61" s="21" t="s">
        <v>6698</v>
      </c>
      <c r="G61" s="21" t="s">
        <v>6758</v>
      </c>
      <c r="H61" s="21" t="s">
        <v>2701</v>
      </c>
      <c r="I61" s="21" t="s">
        <v>716</v>
      </c>
    </row>
    <row r="62" customFormat="false" ht="15" hidden="false" customHeight="false" outlineLevel="0" collapsed="false">
      <c r="B62" s="19" t="s">
        <v>6766</v>
      </c>
      <c r="C62" s="20" t="n">
        <f aca="false">ROUND(22.75/FX,2)</f>
        <v>3.16</v>
      </c>
      <c r="D62" s="21" t="s">
        <v>716</v>
      </c>
      <c r="E62" s="21" t="s">
        <v>734</v>
      </c>
      <c r="F62" s="21" t="s">
        <v>6698</v>
      </c>
      <c r="G62" s="21" t="s">
        <v>6758</v>
      </c>
      <c r="H62" s="21" t="s">
        <v>2701</v>
      </c>
      <c r="I62" s="21" t="s">
        <v>6740</v>
      </c>
    </row>
    <row r="63" customFormat="false" ht="15" hidden="false" customHeight="false" outlineLevel="0" collapsed="false">
      <c r="B63" s="19" t="s">
        <v>6767</v>
      </c>
      <c r="C63" s="20" t="n">
        <f aca="false">ROUND(2.86/FX,2)</f>
        <v>0.4</v>
      </c>
      <c r="D63" s="21" t="s">
        <v>707</v>
      </c>
      <c r="E63" s="21" t="s">
        <v>734</v>
      </c>
      <c r="F63" s="21" t="s">
        <v>6712</v>
      </c>
      <c r="G63" s="21" t="s">
        <v>6758</v>
      </c>
      <c r="H63" s="21" t="s">
        <v>6768</v>
      </c>
      <c r="I63" s="21" t="s">
        <v>6740</v>
      </c>
    </row>
    <row r="64" customFormat="false" ht="15" hidden="false" customHeight="false" outlineLevel="0" collapsed="false">
      <c r="B64" s="19" t="s">
        <v>6769</v>
      </c>
      <c r="C64" s="20" t="n">
        <f aca="false">ROUND(3.51/FX,2)</f>
        <v>0.49</v>
      </c>
      <c r="D64" s="21" t="s">
        <v>716</v>
      </c>
      <c r="E64" s="21" t="s">
        <v>734</v>
      </c>
      <c r="F64" s="21" t="s">
        <v>6712</v>
      </c>
      <c r="G64" s="21" t="s">
        <v>6758</v>
      </c>
      <c r="H64" s="21" t="s">
        <v>6768</v>
      </c>
      <c r="I64" s="21" t="s">
        <v>6740</v>
      </c>
    </row>
    <row r="65" customFormat="false" ht="15" hidden="false" customHeight="false" outlineLevel="0" collapsed="false">
      <c r="B65" s="19" t="s">
        <v>6770</v>
      </c>
      <c r="C65" s="20" t="n">
        <f aca="false">ROUND(3.9/FX,2)</f>
        <v>0.54</v>
      </c>
      <c r="D65" s="21" t="s">
        <v>707</v>
      </c>
      <c r="E65" s="21" t="s">
        <v>734</v>
      </c>
      <c r="F65" s="21" t="s">
        <v>6712</v>
      </c>
      <c r="G65" s="21" t="s">
        <v>6758</v>
      </c>
      <c r="H65" s="21" t="s">
        <v>6768</v>
      </c>
      <c r="I65" s="21" t="s">
        <v>847</v>
      </c>
    </row>
    <row r="66" customFormat="false" ht="15" hidden="false" customHeight="false" outlineLevel="0" collapsed="false">
      <c r="B66" s="19" t="s">
        <v>6771</v>
      </c>
      <c r="C66" s="20" t="n">
        <f aca="false">ROUND(3.77/FX,2)</f>
        <v>0.52</v>
      </c>
      <c r="D66" s="21" t="s">
        <v>716</v>
      </c>
      <c r="E66" s="21" t="s">
        <v>734</v>
      </c>
      <c r="F66" s="21" t="s">
        <v>6698</v>
      </c>
      <c r="G66" s="21" t="s">
        <v>6758</v>
      </c>
      <c r="H66" s="21" t="s">
        <v>784</v>
      </c>
      <c r="I66" s="21" t="s">
        <v>841</v>
      </c>
    </row>
    <row r="67" customFormat="false" ht="15" hidden="false" customHeight="false" outlineLevel="0" collapsed="false">
      <c r="B67" s="19" t="s">
        <v>6772</v>
      </c>
      <c r="C67" s="20" t="n">
        <f aca="false">ROUND(3.77/FX,2)</f>
        <v>0.52</v>
      </c>
      <c r="D67" s="21" t="s">
        <v>707</v>
      </c>
      <c r="E67" s="21" t="s">
        <v>734</v>
      </c>
      <c r="F67" s="21" t="s">
        <v>6733</v>
      </c>
      <c r="G67" s="21" t="s">
        <v>6758</v>
      </c>
      <c r="H67" s="21" t="s">
        <v>784</v>
      </c>
      <c r="I67" s="21" t="s">
        <v>789</v>
      </c>
    </row>
    <row r="68" customFormat="false" ht="15" hidden="false" customHeight="false" outlineLevel="0" collapsed="false">
      <c r="B68" s="19" t="s">
        <v>6773</v>
      </c>
      <c r="C68" s="20" t="n">
        <f aca="false">ROUND(4.55/FX,2)</f>
        <v>0.63</v>
      </c>
      <c r="D68" s="21" t="s">
        <v>714</v>
      </c>
      <c r="E68" s="21" t="s">
        <v>734</v>
      </c>
      <c r="F68" s="21" t="s">
        <v>6712</v>
      </c>
      <c r="G68" s="21" t="s">
        <v>6758</v>
      </c>
      <c r="H68" s="21" t="s">
        <v>784</v>
      </c>
      <c r="I68" s="21" t="s">
        <v>789</v>
      </c>
    </row>
    <row r="69" customFormat="false" ht="15" hidden="false" customHeight="false" outlineLevel="0" collapsed="false">
      <c r="B69" s="19" t="s">
        <v>6774</v>
      </c>
      <c r="C69" s="20" t="n">
        <f aca="false">ROUND(2.47/FX,2)</f>
        <v>0.34</v>
      </c>
      <c r="D69" s="21" t="s">
        <v>716</v>
      </c>
      <c r="E69" s="21" t="s">
        <v>734</v>
      </c>
      <c r="F69" s="21" t="s">
        <v>6706</v>
      </c>
      <c r="G69" s="21" t="s">
        <v>6758</v>
      </c>
      <c r="H69" s="21" t="s">
        <v>784</v>
      </c>
      <c r="I69" s="21" t="s">
        <v>789</v>
      </c>
    </row>
    <row r="70" customFormat="false" ht="15" hidden="false" customHeight="false" outlineLevel="0" collapsed="false">
      <c r="B70" s="19" t="s">
        <v>6775</v>
      </c>
      <c r="C70" s="20" t="n">
        <f aca="false">ROUND(3.9/FX,2)</f>
        <v>0.54</v>
      </c>
      <c r="D70" s="21" t="s">
        <v>716</v>
      </c>
      <c r="E70" s="21" t="s">
        <v>734</v>
      </c>
      <c r="F70" s="21" t="s">
        <v>6712</v>
      </c>
      <c r="G70" s="21" t="s">
        <v>6758</v>
      </c>
      <c r="H70" s="21" t="s">
        <v>784</v>
      </c>
      <c r="I70" s="21" t="s">
        <v>789</v>
      </c>
    </row>
    <row r="71" customFormat="false" ht="15" hidden="false" customHeight="false" outlineLevel="0" collapsed="false">
      <c r="B71" s="19" t="s">
        <v>6776</v>
      </c>
      <c r="C71" s="20" t="n">
        <f aca="false">ROUND(3.9/FX,2)</f>
        <v>0.54</v>
      </c>
      <c r="D71" s="21" t="s">
        <v>707</v>
      </c>
      <c r="E71" s="21" t="s">
        <v>734</v>
      </c>
      <c r="F71" s="21" t="s">
        <v>6733</v>
      </c>
      <c r="G71" s="21" t="s">
        <v>6758</v>
      </c>
      <c r="H71" s="21" t="s">
        <v>784</v>
      </c>
      <c r="I71" s="21" t="s">
        <v>716</v>
      </c>
    </row>
    <row r="72" customFormat="false" ht="15" hidden="false" customHeight="false" outlineLevel="0" collapsed="false">
      <c r="B72" s="19" t="s">
        <v>6777</v>
      </c>
      <c r="C72" s="20" t="n">
        <f aca="false">ROUND(3.77/FX,2)</f>
        <v>0.52</v>
      </c>
      <c r="D72" s="21" t="s">
        <v>716</v>
      </c>
      <c r="E72" s="21" t="s">
        <v>734</v>
      </c>
      <c r="F72" s="21" t="s">
        <v>6712</v>
      </c>
      <c r="G72" s="21" t="s">
        <v>6758</v>
      </c>
      <c r="H72" s="21" t="s">
        <v>784</v>
      </c>
      <c r="I72" s="21" t="s">
        <v>716</v>
      </c>
    </row>
    <row r="73" customFormat="false" ht="15" hidden="false" customHeight="false" outlineLevel="0" collapsed="false">
      <c r="B73" s="19" t="s">
        <v>6778</v>
      </c>
      <c r="C73" s="20" t="n">
        <f aca="false">ROUND(3.77/FX,2)</f>
        <v>0.52</v>
      </c>
      <c r="D73" s="21" t="s">
        <v>707</v>
      </c>
      <c r="E73" s="21" t="s">
        <v>734</v>
      </c>
      <c r="F73" s="21" t="s">
        <v>6733</v>
      </c>
      <c r="G73" s="21" t="s">
        <v>6758</v>
      </c>
      <c r="H73" s="21" t="s">
        <v>784</v>
      </c>
      <c r="I73" s="21" t="s">
        <v>6740</v>
      </c>
    </row>
    <row r="74" customFormat="false" ht="15" hidden="false" customHeight="false" outlineLevel="0" collapsed="false">
      <c r="B74" s="19" t="s">
        <v>6779</v>
      </c>
      <c r="C74" s="20" t="n">
        <f aca="false">ROUND(4.55/FX,2)</f>
        <v>0.63</v>
      </c>
      <c r="D74" s="21" t="s">
        <v>714</v>
      </c>
      <c r="E74" s="21" t="s">
        <v>734</v>
      </c>
      <c r="F74" s="21" t="s">
        <v>6712</v>
      </c>
      <c r="G74" s="21" t="s">
        <v>6758</v>
      </c>
      <c r="H74" s="21" t="s">
        <v>784</v>
      </c>
      <c r="I74" s="21" t="s">
        <v>6740</v>
      </c>
    </row>
    <row r="75" customFormat="false" ht="15" hidden="false" customHeight="false" outlineLevel="0" collapsed="false">
      <c r="B75" s="19" t="s">
        <v>6780</v>
      </c>
      <c r="C75" s="20" t="n">
        <f aca="false">ROUND(2.47/FX,2)</f>
        <v>0.34</v>
      </c>
      <c r="D75" s="21" t="s">
        <v>716</v>
      </c>
      <c r="E75" s="21" t="s">
        <v>734</v>
      </c>
      <c r="F75" s="21" t="s">
        <v>6706</v>
      </c>
      <c r="G75" s="21" t="s">
        <v>6758</v>
      </c>
      <c r="H75" s="21" t="s">
        <v>784</v>
      </c>
      <c r="I75" s="21" t="s">
        <v>6740</v>
      </c>
    </row>
    <row r="76" customFormat="false" ht="15" hidden="false" customHeight="false" outlineLevel="0" collapsed="false">
      <c r="B76" s="19" t="s">
        <v>6781</v>
      </c>
      <c r="C76" s="20" t="n">
        <f aca="false">ROUND(3.77/FX,2)</f>
        <v>0.52</v>
      </c>
      <c r="D76" s="21" t="s">
        <v>716</v>
      </c>
      <c r="E76" s="21" t="s">
        <v>734</v>
      </c>
      <c r="F76" s="21" t="s">
        <v>6733</v>
      </c>
      <c r="G76" s="21" t="s">
        <v>6758</v>
      </c>
      <c r="H76" s="21" t="s">
        <v>784</v>
      </c>
      <c r="I76" s="21" t="s">
        <v>6740</v>
      </c>
    </row>
    <row r="77" customFormat="false" ht="15" hidden="false" customHeight="false" outlineLevel="0" collapsed="false">
      <c r="B77" s="19" t="s">
        <v>6782</v>
      </c>
      <c r="C77" s="20" t="n">
        <f aca="false">ROUND(3.64/FX,2)</f>
        <v>0.51</v>
      </c>
      <c r="D77" s="21" t="s">
        <v>707</v>
      </c>
      <c r="E77" s="21" t="s">
        <v>734</v>
      </c>
      <c r="F77" s="21" t="s">
        <v>6706</v>
      </c>
      <c r="G77" s="21" t="s">
        <v>6758</v>
      </c>
      <c r="H77" s="21" t="s">
        <v>784</v>
      </c>
      <c r="I77" s="21" t="s">
        <v>847</v>
      </c>
    </row>
    <row r="78" customFormat="false" ht="15" hidden="false" customHeight="false" outlineLevel="0" collapsed="false">
      <c r="B78" s="19" t="s">
        <v>6783</v>
      </c>
      <c r="C78" s="20" t="n">
        <f aca="false">ROUND(3.9/FX,2)</f>
        <v>0.54</v>
      </c>
      <c r="D78" s="21" t="s">
        <v>707</v>
      </c>
      <c r="E78" s="21" t="s">
        <v>734</v>
      </c>
      <c r="F78" s="21" t="s">
        <v>6698</v>
      </c>
      <c r="G78" s="21" t="s">
        <v>6758</v>
      </c>
      <c r="H78" s="21" t="s">
        <v>784</v>
      </c>
      <c r="I78" s="21" t="s">
        <v>847</v>
      </c>
    </row>
    <row r="79" customFormat="false" ht="15" hidden="false" customHeight="false" outlineLevel="0" collapsed="false">
      <c r="B79" s="19" t="s">
        <v>6784</v>
      </c>
      <c r="C79" s="20" t="n">
        <f aca="false">ROUND(4.55/FX,2)</f>
        <v>0.63</v>
      </c>
      <c r="D79" s="21" t="s">
        <v>714</v>
      </c>
      <c r="E79" s="21" t="s">
        <v>734</v>
      </c>
      <c r="F79" s="21" t="s">
        <v>6712</v>
      </c>
      <c r="G79" s="21" t="s">
        <v>6758</v>
      </c>
      <c r="H79" s="21" t="s">
        <v>784</v>
      </c>
      <c r="I79" s="21" t="s">
        <v>847</v>
      </c>
    </row>
    <row r="80" customFormat="false" ht="15" hidden="false" customHeight="false" outlineLevel="0" collapsed="false">
      <c r="B80" s="19" t="s">
        <v>6785</v>
      </c>
      <c r="C80" s="20" t="n">
        <f aca="false">ROUND(3.64/FX,2)</f>
        <v>0.51</v>
      </c>
      <c r="D80" s="21" t="s">
        <v>716</v>
      </c>
      <c r="E80" s="21" t="s">
        <v>734</v>
      </c>
      <c r="F80" s="21" t="s">
        <v>6706</v>
      </c>
      <c r="G80" s="21" t="s">
        <v>6758</v>
      </c>
      <c r="H80" s="21" t="s">
        <v>784</v>
      </c>
      <c r="I80" s="21" t="s">
        <v>847</v>
      </c>
    </row>
    <row r="81" customFormat="false" ht="15" hidden="false" customHeight="false" outlineLevel="0" collapsed="false">
      <c r="B81" s="19" t="s">
        <v>6786</v>
      </c>
      <c r="C81" s="20" t="n">
        <f aca="false">ROUND(3.9/FX,2)</f>
        <v>0.54</v>
      </c>
      <c r="D81" s="21" t="s">
        <v>716</v>
      </c>
      <c r="E81" s="21" t="s">
        <v>734</v>
      </c>
      <c r="F81" s="21" t="s">
        <v>6733</v>
      </c>
      <c r="G81" s="21" t="s">
        <v>6758</v>
      </c>
      <c r="H81" s="21" t="s">
        <v>784</v>
      </c>
      <c r="I81" s="21" t="s">
        <v>847</v>
      </c>
    </row>
    <row r="82" customFormat="false" ht="15" hidden="false" customHeight="false" outlineLevel="0" collapsed="false">
      <c r="B82" s="19" t="s">
        <v>6787</v>
      </c>
      <c r="C82" s="20" t="n">
        <f aca="false">ROUND(4.55/FX,2)</f>
        <v>0.63</v>
      </c>
      <c r="D82" s="21" t="s">
        <v>716</v>
      </c>
      <c r="E82" s="21" t="s">
        <v>6788</v>
      </c>
      <c r="F82" s="21" t="s">
        <v>6712</v>
      </c>
      <c r="G82" s="21" t="s">
        <v>6758</v>
      </c>
      <c r="H82" s="21" t="s">
        <v>784</v>
      </c>
      <c r="I82" s="21" t="s">
        <v>847</v>
      </c>
    </row>
    <row r="83" customFormat="false" ht="15" hidden="false" customHeight="false" outlineLevel="0" collapsed="false">
      <c r="B83" s="19" t="s">
        <v>6789</v>
      </c>
      <c r="C83" s="20" t="n">
        <f aca="false">ROUND(3.9/FX,2)</f>
        <v>0.54</v>
      </c>
      <c r="D83" s="21" t="s">
        <v>707</v>
      </c>
      <c r="E83" s="21" t="s">
        <v>734</v>
      </c>
      <c r="F83" s="21" t="s">
        <v>6733</v>
      </c>
      <c r="G83" s="21" t="s">
        <v>6758</v>
      </c>
      <c r="H83" s="21" t="s">
        <v>6244</v>
      </c>
      <c r="I83" s="21" t="s">
        <v>707</v>
      </c>
    </row>
    <row r="84" customFormat="false" ht="15" hidden="false" customHeight="false" outlineLevel="0" collapsed="false">
      <c r="B84" s="19" t="s">
        <v>6790</v>
      </c>
      <c r="C84" s="20" t="n">
        <f aca="false">ROUND(3.9/FX,2)</f>
        <v>0.54</v>
      </c>
      <c r="D84" s="21" t="s">
        <v>716</v>
      </c>
      <c r="E84" s="21" t="s">
        <v>734</v>
      </c>
      <c r="F84" s="21" t="s">
        <v>6733</v>
      </c>
      <c r="G84" s="21" t="s">
        <v>6758</v>
      </c>
      <c r="H84" s="21" t="s">
        <v>6244</v>
      </c>
      <c r="I84" s="21" t="s">
        <v>707</v>
      </c>
    </row>
    <row r="85" customFormat="false" ht="15" hidden="false" customHeight="false" outlineLevel="0" collapsed="false">
      <c r="B85" s="19" t="s">
        <v>6791</v>
      </c>
      <c r="C85" s="20" t="n">
        <f aca="false">ROUND(3.77/FX,2)</f>
        <v>0.52</v>
      </c>
      <c r="D85" s="21" t="s">
        <v>707</v>
      </c>
      <c r="E85" s="21" t="s">
        <v>734</v>
      </c>
      <c r="F85" s="21" t="s">
        <v>6698</v>
      </c>
      <c r="G85" s="21" t="s">
        <v>6758</v>
      </c>
      <c r="H85" s="21" t="s">
        <v>6244</v>
      </c>
      <c r="I85" s="21" t="s">
        <v>761</v>
      </c>
    </row>
    <row r="86" customFormat="false" ht="15" hidden="false" customHeight="false" outlineLevel="0" collapsed="false">
      <c r="B86" s="19" t="s">
        <v>6792</v>
      </c>
      <c r="C86" s="20" t="n">
        <f aca="false">ROUND(3.77/FX,2)</f>
        <v>0.52</v>
      </c>
      <c r="D86" s="21" t="s">
        <v>716</v>
      </c>
      <c r="E86" s="21" t="s">
        <v>734</v>
      </c>
      <c r="F86" s="21" t="s">
        <v>6698</v>
      </c>
      <c r="G86" s="21" t="s">
        <v>6758</v>
      </c>
      <c r="H86" s="21" t="s">
        <v>6244</v>
      </c>
      <c r="I86" s="21" t="s">
        <v>761</v>
      </c>
    </row>
    <row r="87" customFormat="false" ht="15" hidden="false" customHeight="false" outlineLevel="0" collapsed="false">
      <c r="B87" s="19" t="s">
        <v>6793</v>
      </c>
      <c r="C87" s="20" t="n">
        <f aca="false">ROUND(3.77/FX,2)</f>
        <v>0.52</v>
      </c>
      <c r="D87" s="21" t="s">
        <v>707</v>
      </c>
      <c r="E87" s="21" t="s">
        <v>734</v>
      </c>
      <c r="F87" s="21" t="s">
        <v>6733</v>
      </c>
      <c r="G87" s="21" t="s">
        <v>6758</v>
      </c>
      <c r="H87" s="21" t="s">
        <v>6244</v>
      </c>
      <c r="I87" s="21" t="s">
        <v>789</v>
      </c>
    </row>
    <row r="88" customFormat="false" ht="15" hidden="false" customHeight="false" outlineLevel="0" collapsed="false">
      <c r="B88" s="19" t="s">
        <v>6794</v>
      </c>
      <c r="C88" s="20" t="n">
        <f aca="false">ROUND(3.77/FX,2)</f>
        <v>0.52</v>
      </c>
      <c r="D88" s="21" t="s">
        <v>716</v>
      </c>
      <c r="E88" s="21" t="s">
        <v>734</v>
      </c>
      <c r="F88" s="21" t="s">
        <v>6712</v>
      </c>
      <c r="G88" s="21" t="s">
        <v>6758</v>
      </c>
      <c r="H88" s="21" t="s">
        <v>6244</v>
      </c>
      <c r="I88" s="21" t="s">
        <v>789</v>
      </c>
    </row>
    <row r="89" customFormat="false" ht="15" hidden="false" customHeight="false" outlineLevel="0" collapsed="false">
      <c r="B89" s="19" t="s">
        <v>6795</v>
      </c>
      <c r="C89" s="20" t="n">
        <f aca="false">ROUND(3.12/FX,2)</f>
        <v>0.43</v>
      </c>
      <c r="D89" s="21" t="s">
        <v>707</v>
      </c>
      <c r="E89" s="21" t="s">
        <v>734</v>
      </c>
      <c r="F89" s="21" t="s">
        <v>6733</v>
      </c>
      <c r="G89" s="21" t="s">
        <v>6758</v>
      </c>
      <c r="H89" s="21" t="s">
        <v>6244</v>
      </c>
      <c r="I89" s="21" t="s">
        <v>716</v>
      </c>
    </row>
    <row r="90" customFormat="false" ht="15" hidden="false" customHeight="false" outlineLevel="0" collapsed="false">
      <c r="B90" s="19" t="s">
        <v>6796</v>
      </c>
      <c r="C90" s="20" t="n">
        <f aca="false">ROUND(3.9/FX,2)</f>
        <v>0.54</v>
      </c>
      <c r="D90" s="21" t="s">
        <v>716</v>
      </c>
      <c r="E90" s="21" t="s">
        <v>734</v>
      </c>
      <c r="F90" s="21" t="s">
        <v>6733</v>
      </c>
      <c r="G90" s="21" t="s">
        <v>6758</v>
      </c>
      <c r="H90" s="21" t="s">
        <v>6244</v>
      </c>
      <c r="I90" s="21" t="s">
        <v>716</v>
      </c>
    </row>
    <row r="91" customFormat="false" ht="15" hidden="false" customHeight="false" outlineLevel="0" collapsed="false">
      <c r="B91" s="19" t="s">
        <v>6797</v>
      </c>
      <c r="C91" s="20" t="n">
        <f aca="false">ROUND(7.8/FX,2)</f>
        <v>1.08</v>
      </c>
      <c r="D91" s="21" t="s">
        <v>716</v>
      </c>
      <c r="E91" s="21" t="s">
        <v>6798</v>
      </c>
      <c r="F91" s="21" t="s">
        <v>6712</v>
      </c>
      <c r="G91" s="21" t="s">
        <v>6758</v>
      </c>
      <c r="H91" s="21" t="s">
        <v>6244</v>
      </c>
      <c r="I91" s="21" t="s">
        <v>716</v>
      </c>
    </row>
    <row r="92" customFormat="false" ht="15" hidden="false" customHeight="false" outlineLevel="0" collapsed="false">
      <c r="B92" s="19" t="s">
        <v>6799</v>
      </c>
      <c r="C92" s="20" t="n">
        <f aca="false">ROUND(3.9/FX,2)</f>
        <v>0.54</v>
      </c>
      <c r="D92" s="21" t="s">
        <v>707</v>
      </c>
      <c r="E92" s="21" t="s">
        <v>734</v>
      </c>
      <c r="F92" s="21" t="s">
        <v>6712</v>
      </c>
      <c r="G92" s="21" t="s">
        <v>6758</v>
      </c>
      <c r="H92" s="21" t="s">
        <v>6244</v>
      </c>
      <c r="I92" s="21" t="s">
        <v>6740</v>
      </c>
    </row>
    <row r="93" customFormat="false" ht="15" hidden="false" customHeight="false" outlineLevel="0" collapsed="false">
      <c r="B93" s="19" t="s">
        <v>6800</v>
      </c>
      <c r="C93" s="20" t="n">
        <f aca="false">ROUND(3.77/FX,2)</f>
        <v>0.52</v>
      </c>
      <c r="D93" s="21" t="s">
        <v>716</v>
      </c>
      <c r="E93" s="21" t="s">
        <v>734</v>
      </c>
      <c r="F93" s="21" t="s">
        <v>6733</v>
      </c>
      <c r="G93" s="21" t="s">
        <v>6758</v>
      </c>
      <c r="H93" s="21" t="s">
        <v>6244</v>
      </c>
      <c r="I93" s="21" t="s">
        <v>6740</v>
      </c>
    </row>
    <row r="94" customFormat="false" ht="15" hidden="false" customHeight="false" outlineLevel="0" collapsed="false">
      <c r="B94" s="19" t="s">
        <v>6801</v>
      </c>
      <c r="C94" s="20" t="n">
        <f aca="false">ROUND(3.77/FX,2)</f>
        <v>0.52</v>
      </c>
      <c r="D94" s="21" t="s">
        <v>707</v>
      </c>
      <c r="E94" s="21" t="s">
        <v>734</v>
      </c>
      <c r="F94" s="21" t="s">
        <v>6712</v>
      </c>
      <c r="G94" s="21" t="s">
        <v>6758</v>
      </c>
      <c r="H94" s="21" t="s">
        <v>6244</v>
      </c>
      <c r="I94" s="21" t="s">
        <v>847</v>
      </c>
    </row>
    <row r="95" customFormat="false" ht="15" hidden="false" customHeight="false" outlineLevel="0" collapsed="false">
      <c r="B95" s="19" t="s">
        <v>6802</v>
      </c>
      <c r="C95" s="20" t="n">
        <f aca="false">ROUND(3.77/FX,2)</f>
        <v>0.52</v>
      </c>
      <c r="D95" s="21" t="s">
        <v>716</v>
      </c>
      <c r="E95" s="21" t="s">
        <v>734</v>
      </c>
      <c r="F95" s="21" t="s">
        <v>6712</v>
      </c>
      <c r="G95" s="21" t="s">
        <v>6758</v>
      </c>
      <c r="H95" s="21" t="s">
        <v>6244</v>
      </c>
      <c r="I95" s="21" t="s">
        <v>847</v>
      </c>
    </row>
    <row r="96" customFormat="false" ht="15" hidden="false" customHeight="false" outlineLevel="0" collapsed="false">
      <c r="B96" s="19" t="s">
        <v>6803</v>
      </c>
      <c r="C96" s="20" t="n">
        <f aca="false">ROUND(3.64/FX,2)</f>
        <v>0.51</v>
      </c>
      <c r="D96" s="21" t="s">
        <v>719</v>
      </c>
      <c r="E96" s="21" t="s">
        <v>734</v>
      </c>
      <c r="F96" s="21" t="s">
        <v>6733</v>
      </c>
      <c r="G96" s="21" t="s">
        <v>6758</v>
      </c>
      <c r="H96" s="21" t="s">
        <v>6244</v>
      </c>
      <c r="I96" s="21" t="s">
        <v>847</v>
      </c>
    </row>
    <row r="97" customFormat="false" ht="15" hidden="false" customHeight="false" outlineLevel="0" collapsed="false">
      <c r="B97" s="19" t="s">
        <v>6804</v>
      </c>
      <c r="C97" s="20" t="n">
        <f aca="false">ROUND(4.1/FX,2)</f>
        <v>0.57</v>
      </c>
      <c r="D97" s="21" t="s">
        <v>707</v>
      </c>
      <c r="E97" s="21" t="s">
        <v>734</v>
      </c>
      <c r="F97" s="21" t="s">
        <v>6698</v>
      </c>
      <c r="G97" s="21" t="s">
        <v>6758</v>
      </c>
      <c r="H97" s="21" t="s">
        <v>6805</v>
      </c>
      <c r="I97" s="21" t="s">
        <v>841</v>
      </c>
    </row>
    <row r="98" customFormat="false" ht="15" hidden="false" customHeight="false" outlineLevel="0" collapsed="false">
      <c r="B98" s="19" t="s">
        <v>6806</v>
      </c>
      <c r="C98" s="20" t="n">
        <f aca="false">ROUND(4.16/FX,2)</f>
        <v>0.58</v>
      </c>
      <c r="D98" s="21" t="s">
        <v>707</v>
      </c>
      <c r="E98" s="21" t="s">
        <v>734</v>
      </c>
      <c r="F98" s="21" t="s">
        <v>6733</v>
      </c>
      <c r="G98" s="21" t="s">
        <v>6758</v>
      </c>
      <c r="H98" s="21" t="s">
        <v>6730</v>
      </c>
      <c r="I98" s="21" t="s">
        <v>707</v>
      </c>
    </row>
    <row r="99" customFormat="false" ht="15" hidden="false" customHeight="false" outlineLevel="0" collapsed="false">
      <c r="B99" s="19" t="s">
        <v>6807</v>
      </c>
      <c r="C99" s="20" t="n">
        <f aca="false">ROUND(4.29/FX,2)</f>
        <v>0.6</v>
      </c>
      <c r="D99" s="21" t="s">
        <v>714</v>
      </c>
      <c r="E99" s="21" t="s">
        <v>734</v>
      </c>
      <c r="F99" s="21" t="s">
        <v>6712</v>
      </c>
      <c r="G99" s="21" t="s">
        <v>6758</v>
      </c>
      <c r="H99" s="21" t="s">
        <v>6730</v>
      </c>
      <c r="I99" s="21" t="s">
        <v>707</v>
      </c>
    </row>
    <row r="100" customFormat="false" ht="15" hidden="false" customHeight="false" outlineLevel="0" collapsed="false">
      <c r="B100" s="19" t="s">
        <v>6808</v>
      </c>
      <c r="C100" s="20" t="n">
        <f aca="false">ROUND(2.73/FX,2)</f>
        <v>0.38</v>
      </c>
      <c r="D100" s="21" t="s">
        <v>716</v>
      </c>
      <c r="E100" s="21" t="s">
        <v>734</v>
      </c>
      <c r="F100" s="21" t="s">
        <v>6706</v>
      </c>
      <c r="G100" s="21" t="s">
        <v>6758</v>
      </c>
      <c r="H100" s="21" t="s">
        <v>6730</v>
      </c>
      <c r="I100" s="21" t="s">
        <v>707</v>
      </c>
    </row>
    <row r="101" customFormat="false" ht="15" hidden="false" customHeight="false" outlineLevel="0" collapsed="false">
      <c r="B101" s="19" t="s">
        <v>6809</v>
      </c>
      <c r="C101" s="20" t="n">
        <f aca="false">ROUND(4.16/FX,2)</f>
        <v>0.58</v>
      </c>
      <c r="D101" s="21" t="s">
        <v>716</v>
      </c>
      <c r="E101" s="21" t="s">
        <v>734</v>
      </c>
      <c r="F101" s="21" t="s">
        <v>6733</v>
      </c>
      <c r="G101" s="21" t="s">
        <v>6758</v>
      </c>
      <c r="H101" s="21" t="s">
        <v>6730</v>
      </c>
      <c r="I101" s="21" t="s">
        <v>707</v>
      </c>
    </row>
    <row r="102" customFormat="false" ht="15" hidden="false" customHeight="false" outlineLevel="0" collapsed="false">
      <c r="B102" s="19" t="s">
        <v>6810</v>
      </c>
      <c r="C102" s="20" t="n">
        <f aca="false">ROUND(4.55/FX,2)</f>
        <v>0.63</v>
      </c>
      <c r="D102" s="21" t="s">
        <v>719</v>
      </c>
      <c r="E102" s="21" t="s">
        <v>734</v>
      </c>
      <c r="F102" s="21" t="s">
        <v>6733</v>
      </c>
      <c r="G102" s="21" t="s">
        <v>6758</v>
      </c>
      <c r="H102" s="21" t="s">
        <v>6730</v>
      </c>
      <c r="I102" s="21" t="s">
        <v>707</v>
      </c>
    </row>
    <row r="103" customFormat="false" ht="15" hidden="false" customHeight="false" outlineLevel="0" collapsed="false">
      <c r="B103" s="19" t="s">
        <v>6811</v>
      </c>
      <c r="C103" s="20" t="n">
        <f aca="false">ROUND(3.9/FX,2)</f>
        <v>0.54</v>
      </c>
      <c r="D103" s="21" t="s">
        <v>707</v>
      </c>
      <c r="E103" s="21" t="s">
        <v>734</v>
      </c>
      <c r="F103" s="21" t="s">
        <v>6733</v>
      </c>
      <c r="G103" s="21" t="s">
        <v>6758</v>
      </c>
      <c r="H103" s="21" t="s">
        <v>6730</v>
      </c>
      <c r="I103" s="21" t="s">
        <v>761</v>
      </c>
    </row>
    <row r="104" customFormat="false" ht="15" hidden="false" customHeight="false" outlineLevel="0" collapsed="false">
      <c r="B104" s="19" t="s">
        <v>6812</v>
      </c>
      <c r="C104" s="20" t="n">
        <f aca="false">ROUND(4.29/FX,2)</f>
        <v>0.6</v>
      </c>
      <c r="D104" s="21" t="s">
        <v>714</v>
      </c>
      <c r="E104" s="21" t="s">
        <v>734</v>
      </c>
      <c r="F104" s="21" t="s">
        <v>6733</v>
      </c>
      <c r="G104" s="21" t="s">
        <v>6758</v>
      </c>
      <c r="H104" s="21" t="s">
        <v>6730</v>
      </c>
      <c r="I104" s="21" t="s">
        <v>761</v>
      </c>
    </row>
    <row r="105" customFormat="false" ht="15" hidden="false" customHeight="false" outlineLevel="0" collapsed="false">
      <c r="B105" s="19" t="s">
        <v>6813</v>
      </c>
      <c r="C105" s="20" t="n">
        <f aca="false">ROUND(4.29/FX,2)</f>
        <v>0.6</v>
      </c>
      <c r="D105" s="21" t="s">
        <v>716</v>
      </c>
      <c r="E105" s="21" t="s">
        <v>734</v>
      </c>
      <c r="F105" s="21" t="s">
        <v>6733</v>
      </c>
      <c r="G105" s="21" t="s">
        <v>6758</v>
      </c>
      <c r="H105" s="21" t="s">
        <v>6730</v>
      </c>
      <c r="I105" s="21" t="s">
        <v>761</v>
      </c>
    </row>
    <row r="106" customFormat="false" ht="15" hidden="false" customHeight="false" outlineLevel="0" collapsed="false">
      <c r="B106" s="19" t="s">
        <v>6814</v>
      </c>
      <c r="C106" s="20" t="n">
        <f aca="false">ROUND(3.51/FX,2)</f>
        <v>0.49</v>
      </c>
      <c r="D106" s="21" t="s">
        <v>716</v>
      </c>
      <c r="E106" s="21" t="s">
        <v>734</v>
      </c>
      <c r="F106" s="21" t="s">
        <v>6733</v>
      </c>
      <c r="G106" s="21" t="s">
        <v>6758</v>
      </c>
      <c r="H106" s="21" t="s">
        <v>6730</v>
      </c>
      <c r="I106" s="21" t="s">
        <v>6815</v>
      </c>
    </row>
    <row r="107" customFormat="false" ht="15" hidden="false" customHeight="false" outlineLevel="0" collapsed="false">
      <c r="B107" s="19" t="s">
        <v>6816</v>
      </c>
      <c r="C107" s="20" t="n">
        <f aca="false">ROUND(4.55/FX,2)</f>
        <v>0.63</v>
      </c>
      <c r="D107" s="21" t="s">
        <v>707</v>
      </c>
      <c r="E107" s="21" t="s">
        <v>734</v>
      </c>
      <c r="F107" s="21" t="s">
        <v>6733</v>
      </c>
      <c r="G107" s="21" t="s">
        <v>6758</v>
      </c>
      <c r="H107" s="21" t="s">
        <v>6730</v>
      </c>
      <c r="I107" s="21" t="s">
        <v>789</v>
      </c>
    </row>
    <row r="108" customFormat="false" ht="15" hidden="false" customHeight="false" outlineLevel="0" collapsed="false">
      <c r="B108" s="19" t="s">
        <v>6817</v>
      </c>
      <c r="C108" s="20" t="n">
        <f aca="false">ROUND(2.73/FX,2)</f>
        <v>0.38</v>
      </c>
      <c r="D108" s="21" t="s">
        <v>716</v>
      </c>
      <c r="E108" s="21" t="s">
        <v>734</v>
      </c>
      <c r="F108" s="21" t="s">
        <v>6706</v>
      </c>
      <c r="G108" s="21" t="s">
        <v>6758</v>
      </c>
      <c r="H108" s="21" t="s">
        <v>6730</v>
      </c>
      <c r="I108" s="21" t="s">
        <v>789</v>
      </c>
    </row>
    <row r="109" customFormat="false" ht="15" hidden="false" customHeight="false" outlineLevel="0" collapsed="false">
      <c r="B109" s="19" t="s">
        <v>6818</v>
      </c>
      <c r="C109" s="20" t="n">
        <f aca="false">ROUND(4.16/FX,2)</f>
        <v>0.58</v>
      </c>
      <c r="D109" s="21" t="s">
        <v>716</v>
      </c>
      <c r="E109" s="21" t="s">
        <v>734</v>
      </c>
      <c r="F109" s="21" t="s">
        <v>6698</v>
      </c>
      <c r="G109" s="21" t="s">
        <v>6758</v>
      </c>
      <c r="H109" s="21" t="s">
        <v>6730</v>
      </c>
      <c r="I109" s="21" t="s">
        <v>789</v>
      </c>
    </row>
    <row r="110" customFormat="false" ht="15" hidden="false" customHeight="false" outlineLevel="0" collapsed="false">
      <c r="B110" s="19" t="s">
        <v>6819</v>
      </c>
      <c r="C110" s="20" t="n">
        <f aca="false">ROUND(3.9/FX,2)</f>
        <v>0.54</v>
      </c>
      <c r="D110" s="21" t="s">
        <v>719</v>
      </c>
      <c r="E110" s="21" t="s">
        <v>734</v>
      </c>
      <c r="F110" s="21" t="s">
        <v>6733</v>
      </c>
      <c r="G110" s="21" t="s">
        <v>6758</v>
      </c>
      <c r="H110" s="21" t="s">
        <v>6730</v>
      </c>
      <c r="I110" s="21" t="s">
        <v>789</v>
      </c>
    </row>
    <row r="111" customFormat="false" ht="15" hidden="false" customHeight="false" outlineLevel="0" collapsed="false">
      <c r="B111" s="19" t="s">
        <v>6820</v>
      </c>
      <c r="C111" s="20" t="n">
        <f aca="false">ROUND(4.55/FX,2)</f>
        <v>0.63</v>
      </c>
      <c r="D111" s="21" t="s">
        <v>707</v>
      </c>
      <c r="E111" s="21" t="s">
        <v>734</v>
      </c>
      <c r="F111" s="21" t="s">
        <v>6733</v>
      </c>
      <c r="G111" s="21" t="s">
        <v>6758</v>
      </c>
      <c r="H111" s="21" t="s">
        <v>6730</v>
      </c>
      <c r="I111" s="21" t="s">
        <v>716</v>
      </c>
    </row>
    <row r="112" customFormat="false" ht="15" hidden="false" customHeight="false" outlineLevel="0" collapsed="false">
      <c r="B112" s="19" t="s">
        <v>6821</v>
      </c>
      <c r="C112" s="20" t="n">
        <f aca="false">ROUND(4.29/FX,2)</f>
        <v>0.6</v>
      </c>
      <c r="D112" s="21" t="s">
        <v>716</v>
      </c>
      <c r="E112" s="21" t="s">
        <v>734</v>
      </c>
      <c r="F112" s="21" t="s">
        <v>6698</v>
      </c>
      <c r="G112" s="21" t="s">
        <v>6758</v>
      </c>
      <c r="H112" s="21" t="s">
        <v>6730</v>
      </c>
      <c r="I112" s="21" t="s">
        <v>716</v>
      </c>
    </row>
    <row r="113" customFormat="false" ht="15" hidden="false" customHeight="false" outlineLevel="0" collapsed="false">
      <c r="B113" s="19" t="s">
        <v>6822</v>
      </c>
      <c r="C113" s="20" t="n">
        <f aca="false">ROUND(4.55/FX,2)</f>
        <v>0.63</v>
      </c>
      <c r="D113" s="21" t="s">
        <v>719</v>
      </c>
      <c r="E113" s="21" t="s">
        <v>734</v>
      </c>
      <c r="F113" s="21" t="s">
        <v>6733</v>
      </c>
      <c r="G113" s="21" t="s">
        <v>6758</v>
      </c>
      <c r="H113" s="21" t="s">
        <v>6730</v>
      </c>
      <c r="I113" s="21" t="s">
        <v>716</v>
      </c>
    </row>
    <row r="114" customFormat="false" ht="15" hidden="false" customHeight="false" outlineLevel="0" collapsed="false">
      <c r="B114" s="19" t="s">
        <v>6823</v>
      </c>
      <c r="C114" s="20" t="n">
        <f aca="false">ROUND(4.55/FX,2)</f>
        <v>0.63</v>
      </c>
      <c r="D114" s="21" t="s">
        <v>707</v>
      </c>
      <c r="E114" s="21" t="s">
        <v>734</v>
      </c>
      <c r="F114" s="21" t="s">
        <v>6733</v>
      </c>
      <c r="G114" s="21" t="s">
        <v>6758</v>
      </c>
      <c r="H114" s="21" t="s">
        <v>6730</v>
      </c>
      <c r="I114" s="21" t="s">
        <v>6740</v>
      </c>
    </row>
    <row r="115" customFormat="false" ht="15" hidden="false" customHeight="false" outlineLevel="0" collapsed="false">
      <c r="B115" s="19" t="s">
        <v>6824</v>
      </c>
      <c r="C115" s="20" t="n">
        <f aca="false">ROUND(4.55/FX,2)</f>
        <v>0.63</v>
      </c>
      <c r="D115" s="21" t="s">
        <v>716</v>
      </c>
      <c r="E115" s="21" t="s">
        <v>734</v>
      </c>
      <c r="F115" s="21" t="s">
        <v>6733</v>
      </c>
      <c r="G115" s="21" t="s">
        <v>6758</v>
      </c>
      <c r="H115" s="21" t="s">
        <v>6730</v>
      </c>
      <c r="I115" s="21" t="s">
        <v>6740</v>
      </c>
    </row>
    <row r="116" customFormat="false" ht="15" hidden="false" customHeight="false" outlineLevel="0" collapsed="false">
      <c r="B116" s="19" t="s">
        <v>6825</v>
      </c>
      <c r="C116" s="20" t="n">
        <f aca="false">ROUND(4.94/FX,2)</f>
        <v>0.69</v>
      </c>
      <c r="D116" s="21" t="s">
        <v>719</v>
      </c>
      <c r="E116" s="21" t="s">
        <v>734</v>
      </c>
      <c r="F116" s="21" t="s">
        <v>6733</v>
      </c>
      <c r="G116" s="21" t="s">
        <v>6758</v>
      </c>
      <c r="H116" s="21" t="s">
        <v>6730</v>
      </c>
      <c r="I116" s="21" t="s">
        <v>6740</v>
      </c>
    </row>
    <row r="117" customFormat="false" ht="15" hidden="false" customHeight="false" outlineLevel="0" collapsed="false">
      <c r="B117" s="19" t="s">
        <v>6826</v>
      </c>
      <c r="C117" s="20" t="n">
        <f aca="false">ROUND(4.29/FX,2)</f>
        <v>0.6</v>
      </c>
      <c r="D117" s="21" t="s">
        <v>707</v>
      </c>
      <c r="E117" s="21" t="s">
        <v>734</v>
      </c>
      <c r="F117" s="21" t="s">
        <v>6733</v>
      </c>
      <c r="G117" s="21" t="s">
        <v>6758</v>
      </c>
      <c r="H117" s="21" t="s">
        <v>6730</v>
      </c>
      <c r="I117" s="21" t="s">
        <v>847</v>
      </c>
    </row>
    <row r="118" customFormat="false" ht="15" hidden="false" customHeight="false" outlineLevel="0" collapsed="false">
      <c r="B118" s="19" t="s">
        <v>6827</v>
      </c>
      <c r="C118" s="20" t="n">
        <f aca="false">ROUND(4.29/FX,2)</f>
        <v>0.6</v>
      </c>
      <c r="D118" s="21" t="s">
        <v>714</v>
      </c>
      <c r="E118" s="21" t="s">
        <v>734</v>
      </c>
      <c r="F118" s="21" t="s">
        <v>6712</v>
      </c>
      <c r="G118" s="21" t="s">
        <v>6758</v>
      </c>
      <c r="H118" s="21" t="s">
        <v>6730</v>
      </c>
      <c r="I118" s="21" t="s">
        <v>847</v>
      </c>
    </row>
    <row r="119" customFormat="false" ht="15" hidden="false" customHeight="false" outlineLevel="0" collapsed="false">
      <c r="B119" s="19" t="s">
        <v>6828</v>
      </c>
      <c r="C119" s="20" t="n">
        <f aca="false">ROUND(2.73/FX,2)</f>
        <v>0.38</v>
      </c>
      <c r="D119" s="21" t="s">
        <v>716</v>
      </c>
      <c r="E119" s="21" t="s">
        <v>734</v>
      </c>
      <c r="F119" s="21" t="s">
        <v>6706</v>
      </c>
      <c r="G119" s="21" t="s">
        <v>6758</v>
      </c>
      <c r="H119" s="21" t="s">
        <v>6730</v>
      </c>
      <c r="I119" s="21" t="s">
        <v>847</v>
      </c>
    </row>
    <row r="120" customFormat="false" ht="15" hidden="false" customHeight="false" outlineLevel="0" collapsed="false">
      <c r="B120" s="19" t="s">
        <v>6829</v>
      </c>
      <c r="C120" s="20" t="n">
        <f aca="false">ROUND(4.16/FX,2)</f>
        <v>0.58</v>
      </c>
      <c r="D120" s="21" t="s">
        <v>716</v>
      </c>
      <c r="E120" s="21" t="s">
        <v>734</v>
      </c>
      <c r="F120" s="21" t="s">
        <v>6712</v>
      </c>
      <c r="G120" s="21" t="s">
        <v>6758</v>
      </c>
      <c r="H120" s="21" t="s">
        <v>6730</v>
      </c>
      <c r="I120" s="21" t="s">
        <v>847</v>
      </c>
    </row>
    <row r="121" customFormat="false" ht="15" hidden="false" customHeight="false" outlineLevel="0" collapsed="false">
      <c r="B121" s="19" t="s">
        <v>6830</v>
      </c>
      <c r="C121" s="20" t="n">
        <f aca="false">ROUND(4.55/FX,2)</f>
        <v>0.63</v>
      </c>
      <c r="D121" s="21" t="s">
        <v>719</v>
      </c>
      <c r="E121" s="21" t="s">
        <v>734</v>
      </c>
      <c r="F121" s="21" t="s">
        <v>6733</v>
      </c>
      <c r="G121" s="21" t="s">
        <v>6758</v>
      </c>
      <c r="H121" s="21" t="s">
        <v>6730</v>
      </c>
      <c r="I121" s="21" t="s">
        <v>847</v>
      </c>
    </row>
    <row r="122" customFormat="false" ht="15" hidden="false" customHeight="false" outlineLevel="0" collapsed="false">
      <c r="B122" s="19" t="s">
        <v>6831</v>
      </c>
      <c r="C122" s="20" t="n">
        <f aca="false">ROUND(4.68/FX,2)</f>
        <v>0.65</v>
      </c>
      <c r="D122" s="21" t="s">
        <v>707</v>
      </c>
      <c r="E122" s="21" t="s">
        <v>734</v>
      </c>
      <c r="F122" s="21" t="s">
        <v>6698</v>
      </c>
      <c r="G122" s="21" t="s">
        <v>6758</v>
      </c>
      <c r="H122" s="21" t="s">
        <v>6246</v>
      </c>
      <c r="I122" s="21" t="s">
        <v>707</v>
      </c>
    </row>
    <row r="123" customFormat="false" ht="15" hidden="false" customHeight="false" outlineLevel="0" collapsed="false">
      <c r="B123" s="19" t="s">
        <v>6832</v>
      </c>
      <c r="C123" s="20" t="n">
        <f aca="false">ROUND(5.59/FX,2)</f>
        <v>0.78</v>
      </c>
      <c r="D123" s="21" t="s">
        <v>714</v>
      </c>
      <c r="E123" s="21" t="s">
        <v>734</v>
      </c>
      <c r="F123" s="21" t="s">
        <v>6712</v>
      </c>
      <c r="G123" s="21" t="s">
        <v>6758</v>
      </c>
      <c r="H123" s="21" t="s">
        <v>6246</v>
      </c>
      <c r="I123" s="21" t="s">
        <v>707</v>
      </c>
    </row>
    <row r="124" customFormat="false" ht="15" hidden="false" customHeight="false" outlineLevel="0" collapsed="false">
      <c r="B124" s="19" t="s">
        <v>6833</v>
      </c>
      <c r="C124" s="20" t="n">
        <f aca="false">ROUND(4.68/FX,2)</f>
        <v>0.65</v>
      </c>
      <c r="D124" s="21" t="s">
        <v>716</v>
      </c>
      <c r="E124" s="21" t="s">
        <v>734</v>
      </c>
      <c r="F124" s="21" t="s">
        <v>6733</v>
      </c>
      <c r="G124" s="21" t="s">
        <v>6758</v>
      </c>
      <c r="H124" s="21" t="s">
        <v>6246</v>
      </c>
      <c r="I124" s="21" t="s">
        <v>707</v>
      </c>
    </row>
    <row r="125" customFormat="false" ht="15" hidden="false" customHeight="false" outlineLevel="0" collapsed="false">
      <c r="B125" s="19" t="s">
        <v>6834</v>
      </c>
      <c r="C125" s="20" t="n">
        <f aca="false">ROUND(4.55/FX,2)</f>
        <v>0.63</v>
      </c>
      <c r="D125" s="21" t="s">
        <v>719</v>
      </c>
      <c r="E125" s="21" t="s">
        <v>734</v>
      </c>
      <c r="F125" s="21" t="s">
        <v>6733</v>
      </c>
      <c r="G125" s="21" t="s">
        <v>6758</v>
      </c>
      <c r="H125" s="21" t="s">
        <v>6246</v>
      </c>
      <c r="I125" s="21" t="s">
        <v>707</v>
      </c>
    </row>
    <row r="126" customFormat="false" ht="15" hidden="false" customHeight="false" outlineLevel="0" collapsed="false">
      <c r="B126" s="19" t="s">
        <v>6835</v>
      </c>
      <c r="C126" s="20" t="n">
        <f aca="false">ROUND(3.38/FX,2)</f>
        <v>0.47</v>
      </c>
      <c r="D126" s="21" t="s">
        <v>707</v>
      </c>
      <c r="E126" s="21" t="s">
        <v>734</v>
      </c>
      <c r="F126" s="21" t="s">
        <v>6706</v>
      </c>
      <c r="G126" s="21" t="s">
        <v>6758</v>
      </c>
      <c r="H126" s="21" t="s">
        <v>6246</v>
      </c>
      <c r="I126" s="21" t="s">
        <v>761</v>
      </c>
    </row>
    <row r="127" customFormat="false" ht="15" hidden="false" customHeight="false" outlineLevel="0" collapsed="false">
      <c r="B127" s="19" t="s">
        <v>6836</v>
      </c>
      <c r="C127" s="20" t="n">
        <f aca="false">ROUND(4.68/FX,2)</f>
        <v>0.65</v>
      </c>
      <c r="D127" s="21" t="s">
        <v>707</v>
      </c>
      <c r="E127" s="21" t="s">
        <v>734</v>
      </c>
      <c r="F127" s="21" t="s">
        <v>6712</v>
      </c>
      <c r="G127" s="21" t="s">
        <v>6758</v>
      </c>
      <c r="H127" s="21" t="s">
        <v>6246</v>
      </c>
      <c r="I127" s="21" t="s">
        <v>761</v>
      </c>
    </row>
    <row r="128" customFormat="false" ht="15" hidden="false" customHeight="false" outlineLevel="0" collapsed="false">
      <c r="B128" s="19" t="s">
        <v>6837</v>
      </c>
      <c r="C128" s="20" t="n">
        <f aca="false">ROUND(5.59/FX,2)</f>
        <v>0.78</v>
      </c>
      <c r="D128" s="21" t="s">
        <v>714</v>
      </c>
      <c r="E128" s="21" t="s">
        <v>734</v>
      </c>
      <c r="F128" s="21" t="s">
        <v>6712</v>
      </c>
      <c r="G128" s="21" t="s">
        <v>6758</v>
      </c>
      <c r="H128" s="21" t="s">
        <v>6246</v>
      </c>
      <c r="I128" s="21" t="s">
        <v>761</v>
      </c>
    </row>
    <row r="129" customFormat="false" ht="15" hidden="false" customHeight="false" outlineLevel="0" collapsed="false">
      <c r="B129" s="19" t="s">
        <v>6838</v>
      </c>
      <c r="C129" s="20" t="n">
        <f aca="false">ROUND(3.25/FX,2)</f>
        <v>0.45</v>
      </c>
      <c r="D129" s="21" t="s">
        <v>716</v>
      </c>
      <c r="E129" s="21" t="s">
        <v>734</v>
      </c>
      <c r="F129" s="21" t="s">
        <v>6706</v>
      </c>
      <c r="G129" s="21" t="s">
        <v>6758</v>
      </c>
      <c r="H129" s="21" t="s">
        <v>6246</v>
      </c>
      <c r="I129" s="21" t="s">
        <v>761</v>
      </c>
    </row>
    <row r="130" customFormat="false" ht="15" hidden="false" customHeight="false" outlineLevel="0" collapsed="false">
      <c r="B130" s="19" t="s">
        <v>6839</v>
      </c>
      <c r="C130" s="20" t="n">
        <f aca="false">ROUND(4.68/FX,2)</f>
        <v>0.65</v>
      </c>
      <c r="D130" s="21" t="s">
        <v>716</v>
      </c>
      <c r="E130" s="21" t="s">
        <v>734</v>
      </c>
      <c r="F130" s="21" t="s">
        <v>6733</v>
      </c>
      <c r="G130" s="21" t="s">
        <v>6758</v>
      </c>
      <c r="H130" s="21" t="s">
        <v>6246</v>
      </c>
      <c r="I130" s="21" t="s">
        <v>761</v>
      </c>
    </row>
    <row r="131" customFormat="false" ht="15" hidden="false" customHeight="false" outlineLevel="0" collapsed="false">
      <c r="B131" s="19" t="s">
        <v>6840</v>
      </c>
      <c r="C131" s="20" t="n">
        <f aca="false">ROUND(4.94/FX,2)</f>
        <v>0.69</v>
      </c>
      <c r="D131" s="21" t="s">
        <v>719</v>
      </c>
      <c r="E131" s="21" t="s">
        <v>734</v>
      </c>
      <c r="F131" s="21" t="s">
        <v>6733</v>
      </c>
      <c r="G131" s="21" t="s">
        <v>6758</v>
      </c>
      <c r="H131" s="21" t="s">
        <v>6246</v>
      </c>
      <c r="I131" s="21" t="s">
        <v>761</v>
      </c>
    </row>
    <row r="132" customFormat="false" ht="15" hidden="false" customHeight="false" outlineLevel="0" collapsed="false">
      <c r="B132" s="19" t="s">
        <v>6841</v>
      </c>
      <c r="C132" s="20" t="n">
        <f aca="false">ROUND(4.94/FX,2)</f>
        <v>0.69</v>
      </c>
      <c r="D132" s="21" t="s">
        <v>707</v>
      </c>
      <c r="E132" s="21" t="s">
        <v>734</v>
      </c>
      <c r="F132" s="21" t="s">
        <v>6733</v>
      </c>
      <c r="G132" s="21" t="s">
        <v>6758</v>
      </c>
      <c r="H132" s="21" t="s">
        <v>6246</v>
      </c>
      <c r="I132" s="21" t="s">
        <v>4721</v>
      </c>
    </row>
    <row r="133" customFormat="false" ht="15" hidden="false" customHeight="false" outlineLevel="0" collapsed="false">
      <c r="B133" s="19" t="s">
        <v>6842</v>
      </c>
      <c r="C133" s="20" t="n">
        <f aca="false">ROUND(3.38/FX,2)</f>
        <v>0.47</v>
      </c>
      <c r="D133" s="21" t="s">
        <v>707</v>
      </c>
      <c r="E133" s="21" t="s">
        <v>734</v>
      </c>
      <c r="F133" s="21" t="s">
        <v>6706</v>
      </c>
      <c r="G133" s="21" t="s">
        <v>6758</v>
      </c>
      <c r="H133" s="21" t="s">
        <v>6246</v>
      </c>
      <c r="I133" s="21" t="s">
        <v>789</v>
      </c>
    </row>
    <row r="134" customFormat="false" ht="15" hidden="false" customHeight="false" outlineLevel="0" collapsed="false">
      <c r="B134" s="19" t="s">
        <v>6843</v>
      </c>
      <c r="C134" s="20" t="n">
        <f aca="false">ROUND(4.55/FX,2)</f>
        <v>0.63</v>
      </c>
      <c r="D134" s="21" t="s">
        <v>707</v>
      </c>
      <c r="E134" s="21" t="s">
        <v>734</v>
      </c>
      <c r="F134" s="21" t="s">
        <v>6712</v>
      </c>
      <c r="G134" s="21" t="s">
        <v>6758</v>
      </c>
      <c r="H134" s="21" t="s">
        <v>6246</v>
      </c>
      <c r="I134" s="21" t="s">
        <v>789</v>
      </c>
    </row>
    <row r="135" customFormat="false" ht="15" hidden="false" customHeight="false" outlineLevel="0" collapsed="false">
      <c r="B135" s="19" t="s">
        <v>6844</v>
      </c>
      <c r="C135" s="20" t="n">
        <f aca="false">ROUND(5.59/FX,2)</f>
        <v>0.78</v>
      </c>
      <c r="D135" s="21" t="s">
        <v>714</v>
      </c>
      <c r="E135" s="21" t="s">
        <v>734</v>
      </c>
      <c r="F135" s="21" t="s">
        <v>6733</v>
      </c>
      <c r="G135" s="21" t="s">
        <v>6758</v>
      </c>
      <c r="H135" s="21" t="s">
        <v>6246</v>
      </c>
      <c r="I135" s="21" t="s">
        <v>789</v>
      </c>
    </row>
    <row r="136" customFormat="false" ht="15" hidden="false" customHeight="false" outlineLevel="0" collapsed="false">
      <c r="B136" s="19" t="s">
        <v>6845</v>
      </c>
      <c r="C136" s="20" t="n">
        <f aca="false">ROUND(3.19/FX,2)</f>
        <v>0.44</v>
      </c>
      <c r="D136" s="21" t="s">
        <v>716</v>
      </c>
      <c r="E136" s="21" t="s">
        <v>734</v>
      </c>
      <c r="F136" s="21" t="s">
        <v>6706</v>
      </c>
      <c r="G136" s="21" t="s">
        <v>6758</v>
      </c>
      <c r="H136" s="21" t="s">
        <v>6246</v>
      </c>
      <c r="I136" s="21" t="s">
        <v>789</v>
      </c>
    </row>
    <row r="137" customFormat="false" ht="15" hidden="false" customHeight="false" outlineLevel="0" collapsed="false">
      <c r="B137" s="19" t="s">
        <v>6846</v>
      </c>
      <c r="C137" s="20" t="n">
        <f aca="false">ROUND(4.55/FX,2)</f>
        <v>0.63</v>
      </c>
      <c r="D137" s="21" t="s">
        <v>716</v>
      </c>
      <c r="E137" s="21" t="s">
        <v>734</v>
      </c>
      <c r="F137" s="21" t="s">
        <v>6698</v>
      </c>
      <c r="G137" s="21" t="s">
        <v>6758</v>
      </c>
      <c r="H137" s="21" t="s">
        <v>6246</v>
      </c>
      <c r="I137" s="21" t="s">
        <v>789</v>
      </c>
    </row>
    <row r="138" customFormat="false" ht="15" hidden="false" customHeight="false" outlineLevel="0" collapsed="false">
      <c r="B138" s="19" t="s">
        <v>6847</v>
      </c>
      <c r="C138" s="20" t="n">
        <f aca="false">ROUND(4.94/FX,2)</f>
        <v>0.69</v>
      </c>
      <c r="D138" s="21" t="s">
        <v>719</v>
      </c>
      <c r="E138" s="21" t="s">
        <v>734</v>
      </c>
      <c r="F138" s="21" t="s">
        <v>6733</v>
      </c>
      <c r="G138" s="21" t="s">
        <v>6758</v>
      </c>
      <c r="H138" s="21" t="s">
        <v>6246</v>
      </c>
      <c r="I138" s="21" t="s">
        <v>789</v>
      </c>
    </row>
    <row r="139" customFormat="false" ht="15" hidden="false" customHeight="false" outlineLevel="0" collapsed="false">
      <c r="B139" s="19" t="s">
        <v>6848</v>
      </c>
      <c r="C139" s="20" t="n">
        <f aca="false">ROUND(4.68/FX,2)</f>
        <v>0.65</v>
      </c>
      <c r="D139" s="21" t="s">
        <v>707</v>
      </c>
      <c r="E139" s="21" t="s">
        <v>734</v>
      </c>
      <c r="F139" s="21" t="s">
        <v>6733</v>
      </c>
      <c r="G139" s="21" t="s">
        <v>6758</v>
      </c>
      <c r="H139" s="21" t="s">
        <v>6246</v>
      </c>
      <c r="I139" s="21" t="s">
        <v>716</v>
      </c>
    </row>
    <row r="140" customFormat="false" ht="15" hidden="false" customHeight="false" outlineLevel="0" collapsed="false">
      <c r="B140" s="19" t="s">
        <v>6849</v>
      </c>
      <c r="C140" s="20" t="n">
        <f aca="false">ROUND(4.68/FX,2)</f>
        <v>0.65</v>
      </c>
      <c r="D140" s="21" t="s">
        <v>716</v>
      </c>
      <c r="E140" s="21" t="s">
        <v>734</v>
      </c>
      <c r="F140" s="21" t="s">
        <v>6733</v>
      </c>
      <c r="G140" s="21" t="s">
        <v>6758</v>
      </c>
      <c r="H140" s="21" t="s">
        <v>6246</v>
      </c>
      <c r="I140" s="21" t="s">
        <v>716</v>
      </c>
    </row>
    <row r="141" customFormat="false" ht="15" hidden="false" customHeight="false" outlineLevel="0" collapsed="false">
      <c r="B141" s="19" t="s">
        <v>6850</v>
      </c>
      <c r="C141" s="20" t="n">
        <f aca="false">ROUND(3.9/FX,2)</f>
        <v>0.54</v>
      </c>
      <c r="D141" s="21" t="s">
        <v>719</v>
      </c>
      <c r="E141" s="21" t="s">
        <v>734</v>
      </c>
      <c r="F141" s="21" t="s">
        <v>6733</v>
      </c>
      <c r="G141" s="21" t="s">
        <v>6758</v>
      </c>
      <c r="H141" s="21" t="s">
        <v>6246</v>
      </c>
      <c r="I141" s="21" t="s">
        <v>716</v>
      </c>
    </row>
    <row r="142" customFormat="false" ht="15" hidden="false" customHeight="false" outlineLevel="0" collapsed="false">
      <c r="B142" s="19" t="s">
        <v>6851</v>
      </c>
      <c r="C142" s="20" t="n">
        <f aca="false">ROUND(8.45/FX,2)</f>
        <v>1.17</v>
      </c>
      <c r="D142" s="21" t="s">
        <v>719</v>
      </c>
      <c r="E142" s="21" t="s">
        <v>6798</v>
      </c>
      <c r="F142" s="21" t="s">
        <v>6712</v>
      </c>
      <c r="G142" s="21" t="s">
        <v>6758</v>
      </c>
      <c r="H142" s="21" t="s">
        <v>6246</v>
      </c>
      <c r="I142" s="21" t="s">
        <v>716</v>
      </c>
    </row>
    <row r="143" customFormat="false" ht="15" hidden="false" customHeight="false" outlineLevel="0" collapsed="false">
      <c r="B143" s="19" t="s">
        <v>6852</v>
      </c>
      <c r="C143" s="20" t="n">
        <f aca="false">ROUND(4.68/FX,2)</f>
        <v>0.65</v>
      </c>
      <c r="D143" s="21" t="s">
        <v>707</v>
      </c>
      <c r="E143" s="21" t="s">
        <v>734</v>
      </c>
      <c r="F143" s="21" t="s">
        <v>6733</v>
      </c>
      <c r="G143" s="21" t="s">
        <v>6758</v>
      </c>
      <c r="H143" s="21" t="s">
        <v>6246</v>
      </c>
      <c r="I143" s="21" t="s">
        <v>6740</v>
      </c>
    </row>
    <row r="144" customFormat="false" ht="15" hidden="false" customHeight="false" outlineLevel="0" collapsed="false">
      <c r="B144" s="19" t="s">
        <v>6853</v>
      </c>
      <c r="C144" s="20" t="n">
        <f aca="false">ROUND(5.59/FX,2)</f>
        <v>0.78</v>
      </c>
      <c r="D144" s="21" t="s">
        <v>714</v>
      </c>
      <c r="E144" s="21" t="s">
        <v>734</v>
      </c>
      <c r="F144" s="21" t="s">
        <v>6733</v>
      </c>
      <c r="G144" s="21" t="s">
        <v>6758</v>
      </c>
      <c r="H144" s="21" t="s">
        <v>6246</v>
      </c>
      <c r="I144" s="21" t="s">
        <v>6740</v>
      </c>
    </row>
    <row r="145" customFormat="false" ht="15" hidden="false" customHeight="false" outlineLevel="0" collapsed="false">
      <c r="B145" s="19" t="s">
        <v>6854</v>
      </c>
      <c r="C145" s="20" t="n">
        <f aca="false">ROUND(4/FX,2)</f>
        <v>0.56</v>
      </c>
      <c r="D145" s="21" t="s">
        <v>716</v>
      </c>
      <c r="E145" s="21" t="s">
        <v>734</v>
      </c>
      <c r="F145" s="21" t="s">
        <v>6706</v>
      </c>
      <c r="G145" s="21" t="s">
        <v>6758</v>
      </c>
      <c r="H145" s="21" t="s">
        <v>6246</v>
      </c>
      <c r="I145" s="21" t="s">
        <v>6740</v>
      </c>
    </row>
    <row r="146" customFormat="false" ht="15" hidden="false" customHeight="false" outlineLevel="0" collapsed="false">
      <c r="B146" s="19" t="s">
        <v>6855</v>
      </c>
      <c r="C146" s="20" t="n">
        <f aca="false">ROUND(4.94/FX,2)</f>
        <v>0.69</v>
      </c>
      <c r="D146" s="21" t="s">
        <v>716</v>
      </c>
      <c r="E146" s="21" t="s">
        <v>734</v>
      </c>
      <c r="F146" s="21" t="s">
        <v>6712</v>
      </c>
      <c r="G146" s="21" t="s">
        <v>6758</v>
      </c>
      <c r="H146" s="21" t="s">
        <v>6246</v>
      </c>
      <c r="I146" s="21" t="s">
        <v>6740</v>
      </c>
    </row>
    <row r="147" customFormat="false" ht="15" hidden="false" customHeight="false" outlineLevel="0" collapsed="false">
      <c r="B147" s="19" t="s">
        <v>6856</v>
      </c>
      <c r="C147" s="20" t="n">
        <f aca="false">ROUND(4.55/FX,2)</f>
        <v>0.63</v>
      </c>
      <c r="D147" s="21" t="s">
        <v>719</v>
      </c>
      <c r="E147" s="21" t="s">
        <v>734</v>
      </c>
      <c r="F147" s="21" t="s">
        <v>6733</v>
      </c>
      <c r="G147" s="21" t="s">
        <v>6758</v>
      </c>
      <c r="H147" s="21" t="s">
        <v>6246</v>
      </c>
      <c r="I147" s="21" t="s">
        <v>6740</v>
      </c>
    </row>
    <row r="148" customFormat="false" ht="15" hidden="false" customHeight="false" outlineLevel="0" collapsed="false">
      <c r="B148" s="19" t="s">
        <v>6857</v>
      </c>
      <c r="C148" s="20" t="n">
        <f aca="false">ROUND(4.68/FX,2)</f>
        <v>0.65</v>
      </c>
      <c r="D148" s="21" t="s">
        <v>707</v>
      </c>
      <c r="E148" s="21" t="s">
        <v>734</v>
      </c>
      <c r="F148" s="21" t="s">
        <v>6712</v>
      </c>
      <c r="G148" s="21" t="s">
        <v>6758</v>
      </c>
      <c r="H148" s="21" t="s">
        <v>6246</v>
      </c>
      <c r="I148" s="21" t="s">
        <v>847</v>
      </c>
    </row>
    <row r="149" customFormat="false" ht="15" hidden="false" customHeight="false" outlineLevel="0" collapsed="false">
      <c r="B149" s="19" t="s">
        <v>6858</v>
      </c>
      <c r="C149" s="20" t="n">
        <f aca="false">ROUND(5.2/FX,2)</f>
        <v>0.72</v>
      </c>
      <c r="D149" s="21" t="s">
        <v>714</v>
      </c>
      <c r="E149" s="21" t="s">
        <v>734</v>
      </c>
      <c r="F149" s="21" t="s">
        <v>6712</v>
      </c>
      <c r="G149" s="21" t="s">
        <v>6758</v>
      </c>
      <c r="H149" s="21" t="s">
        <v>6246</v>
      </c>
      <c r="I149" s="21" t="s">
        <v>847</v>
      </c>
    </row>
    <row r="150" customFormat="false" ht="15" hidden="false" customHeight="false" outlineLevel="0" collapsed="false">
      <c r="B150" s="19" t="s">
        <v>6859</v>
      </c>
      <c r="C150" s="20" t="n">
        <f aca="false">ROUND(4/FX,2)</f>
        <v>0.56</v>
      </c>
      <c r="D150" s="21" t="s">
        <v>716</v>
      </c>
      <c r="E150" s="21" t="s">
        <v>734</v>
      </c>
      <c r="F150" s="21" t="s">
        <v>6706</v>
      </c>
      <c r="G150" s="21" t="s">
        <v>6758</v>
      </c>
      <c r="H150" s="21" t="s">
        <v>6246</v>
      </c>
      <c r="I150" s="21" t="s">
        <v>847</v>
      </c>
    </row>
    <row r="151" customFormat="false" ht="15" hidden="false" customHeight="false" outlineLevel="0" collapsed="false">
      <c r="B151" s="19" t="s">
        <v>6860</v>
      </c>
      <c r="C151" s="20" t="n">
        <f aca="false">ROUND(4.68/FX,2)</f>
        <v>0.65</v>
      </c>
      <c r="D151" s="21" t="s">
        <v>716</v>
      </c>
      <c r="E151" s="21" t="s">
        <v>734</v>
      </c>
      <c r="F151" s="21" t="s">
        <v>6698</v>
      </c>
      <c r="G151" s="21" t="s">
        <v>6758</v>
      </c>
      <c r="H151" s="21" t="s">
        <v>6246</v>
      </c>
      <c r="I151" s="21" t="s">
        <v>847</v>
      </c>
    </row>
    <row r="152" customFormat="false" ht="15" hidden="false" customHeight="false" outlineLevel="0" collapsed="false">
      <c r="B152" s="19" t="s">
        <v>6861</v>
      </c>
      <c r="C152" s="20" t="n">
        <f aca="false">ROUND(4.94/FX,2)</f>
        <v>0.69</v>
      </c>
      <c r="D152" s="21" t="s">
        <v>716</v>
      </c>
      <c r="E152" s="21" t="s">
        <v>734</v>
      </c>
      <c r="F152" s="21" t="s">
        <v>6862</v>
      </c>
      <c r="G152" s="21" t="s">
        <v>6758</v>
      </c>
      <c r="H152" s="21" t="s">
        <v>6246</v>
      </c>
      <c r="I152" s="21" t="s">
        <v>847</v>
      </c>
    </row>
    <row r="153" customFormat="false" ht="15" hidden="false" customHeight="false" outlineLevel="0" collapsed="false">
      <c r="B153" s="19" t="s">
        <v>6863</v>
      </c>
      <c r="C153" s="20" t="n">
        <f aca="false">ROUND(3.9/FX,2)</f>
        <v>0.54</v>
      </c>
      <c r="D153" s="21" t="s">
        <v>719</v>
      </c>
      <c r="E153" s="21" t="s">
        <v>734</v>
      </c>
      <c r="F153" s="21" t="s">
        <v>6733</v>
      </c>
      <c r="G153" s="21" t="s">
        <v>6758</v>
      </c>
      <c r="H153" s="21" t="s">
        <v>6246</v>
      </c>
      <c r="I153" s="21" t="s">
        <v>847</v>
      </c>
    </row>
    <row r="154" customFormat="false" ht="15" hidden="false" customHeight="false" outlineLevel="0" collapsed="false">
      <c r="B154" s="19" t="s">
        <v>6864</v>
      </c>
      <c r="C154" s="20" t="n">
        <f aca="false">ROUND(5.46/FX,2)</f>
        <v>0.76</v>
      </c>
      <c r="D154" s="21" t="s">
        <v>707</v>
      </c>
      <c r="E154" s="21" t="s">
        <v>734</v>
      </c>
      <c r="F154" s="21" t="s">
        <v>6733</v>
      </c>
      <c r="G154" s="21" t="s">
        <v>6758</v>
      </c>
      <c r="H154" s="21" t="s">
        <v>6742</v>
      </c>
      <c r="I154" s="21" t="s">
        <v>707</v>
      </c>
    </row>
    <row r="155" customFormat="false" ht="15" hidden="false" customHeight="false" outlineLevel="0" collapsed="false">
      <c r="B155" s="19" t="s">
        <v>6865</v>
      </c>
      <c r="C155" s="20" t="n">
        <f aca="false">ROUND(6.89/FX,2)</f>
        <v>0.96</v>
      </c>
      <c r="D155" s="21" t="s">
        <v>714</v>
      </c>
      <c r="E155" s="21" t="s">
        <v>734</v>
      </c>
      <c r="F155" s="21" t="s">
        <v>6712</v>
      </c>
      <c r="G155" s="21" t="s">
        <v>6758</v>
      </c>
      <c r="H155" s="21" t="s">
        <v>6742</v>
      </c>
      <c r="I155" s="21" t="s">
        <v>707</v>
      </c>
    </row>
    <row r="156" customFormat="false" ht="15" hidden="false" customHeight="false" outlineLevel="0" collapsed="false">
      <c r="B156" s="19" t="s">
        <v>6866</v>
      </c>
      <c r="C156" s="20" t="n">
        <f aca="false">ROUND(5.72/FX,2)</f>
        <v>0.79</v>
      </c>
      <c r="D156" s="21" t="s">
        <v>716</v>
      </c>
      <c r="E156" s="21" t="s">
        <v>734</v>
      </c>
      <c r="F156" s="21" t="s">
        <v>6733</v>
      </c>
      <c r="G156" s="21" t="s">
        <v>6758</v>
      </c>
      <c r="H156" s="21" t="s">
        <v>6742</v>
      </c>
      <c r="I156" s="21" t="s">
        <v>707</v>
      </c>
    </row>
    <row r="157" customFormat="false" ht="15" hidden="false" customHeight="false" outlineLevel="0" collapsed="false">
      <c r="B157" s="19" t="s">
        <v>6867</v>
      </c>
      <c r="C157" s="20" t="n">
        <f aca="false">ROUND(5.2/FX,2)</f>
        <v>0.72</v>
      </c>
      <c r="D157" s="21" t="s">
        <v>707</v>
      </c>
      <c r="E157" s="21" t="s">
        <v>734</v>
      </c>
      <c r="F157" s="21" t="s">
        <v>6733</v>
      </c>
      <c r="G157" s="21" t="s">
        <v>6758</v>
      </c>
      <c r="H157" s="21" t="s">
        <v>6742</v>
      </c>
      <c r="I157" s="21" t="s">
        <v>761</v>
      </c>
    </row>
    <row r="158" customFormat="false" ht="15" hidden="false" customHeight="false" outlineLevel="0" collapsed="false">
      <c r="B158" s="19" t="s">
        <v>6868</v>
      </c>
      <c r="C158" s="20" t="n">
        <f aca="false">ROUND(6.89/FX,2)</f>
        <v>0.96</v>
      </c>
      <c r="D158" s="21" t="s">
        <v>714</v>
      </c>
      <c r="E158" s="21" t="s">
        <v>734</v>
      </c>
      <c r="F158" s="21" t="s">
        <v>6733</v>
      </c>
      <c r="G158" s="21" t="s">
        <v>6758</v>
      </c>
      <c r="H158" s="21" t="s">
        <v>6742</v>
      </c>
      <c r="I158" s="21" t="s">
        <v>761</v>
      </c>
    </row>
    <row r="159" customFormat="false" ht="15" hidden="false" customHeight="false" outlineLevel="0" collapsed="false">
      <c r="B159" s="19" t="s">
        <v>6869</v>
      </c>
      <c r="C159" s="20" t="n">
        <f aca="false">ROUND(5.46/FX,2)</f>
        <v>0.76</v>
      </c>
      <c r="D159" s="21" t="s">
        <v>716</v>
      </c>
      <c r="E159" s="21" t="s">
        <v>734</v>
      </c>
      <c r="F159" s="21" t="s">
        <v>6698</v>
      </c>
      <c r="G159" s="21" t="s">
        <v>6758</v>
      </c>
      <c r="H159" s="21" t="s">
        <v>6742</v>
      </c>
      <c r="I159" s="21" t="s">
        <v>761</v>
      </c>
    </row>
    <row r="160" customFormat="false" ht="15" hidden="false" customHeight="false" outlineLevel="0" collapsed="false">
      <c r="B160" s="19" t="s">
        <v>6870</v>
      </c>
      <c r="C160" s="20" t="n">
        <f aca="false">ROUND(5.2/FX,2)</f>
        <v>0.72</v>
      </c>
      <c r="D160" s="21" t="s">
        <v>716</v>
      </c>
      <c r="E160" s="21" t="s">
        <v>734</v>
      </c>
      <c r="F160" s="21" t="s">
        <v>6733</v>
      </c>
      <c r="G160" s="21" t="s">
        <v>6758</v>
      </c>
      <c r="H160" s="21" t="s">
        <v>6742</v>
      </c>
      <c r="I160" s="21" t="s">
        <v>6815</v>
      </c>
    </row>
    <row r="161" customFormat="false" ht="15" hidden="false" customHeight="false" outlineLevel="0" collapsed="false">
      <c r="B161" s="19" t="s">
        <v>6871</v>
      </c>
      <c r="C161" s="20" t="n">
        <f aca="false">ROUND(5.59/FX,2)</f>
        <v>0.78</v>
      </c>
      <c r="D161" s="21" t="s">
        <v>716</v>
      </c>
      <c r="E161" s="21" t="s">
        <v>734</v>
      </c>
      <c r="F161" s="21" t="s">
        <v>6698</v>
      </c>
      <c r="G161" s="21" t="s">
        <v>6758</v>
      </c>
      <c r="H161" s="21" t="s">
        <v>6742</v>
      </c>
      <c r="I161" s="21" t="s">
        <v>4721</v>
      </c>
    </row>
    <row r="162" customFormat="false" ht="15" hidden="false" customHeight="false" outlineLevel="0" collapsed="false">
      <c r="B162" s="19" t="s">
        <v>6872</v>
      </c>
      <c r="C162" s="20" t="n">
        <f aca="false">ROUND(5.46/FX,2)</f>
        <v>0.76</v>
      </c>
      <c r="D162" s="21" t="s">
        <v>707</v>
      </c>
      <c r="E162" s="21" t="s">
        <v>734</v>
      </c>
      <c r="F162" s="21" t="s">
        <v>6733</v>
      </c>
      <c r="G162" s="21" t="s">
        <v>6758</v>
      </c>
      <c r="H162" s="21" t="s">
        <v>6742</v>
      </c>
      <c r="I162" s="21" t="s">
        <v>789</v>
      </c>
    </row>
    <row r="163" customFormat="false" ht="15" hidden="false" customHeight="false" outlineLevel="0" collapsed="false">
      <c r="B163" s="19" t="s">
        <v>6873</v>
      </c>
      <c r="C163" s="20" t="n">
        <f aca="false">ROUND(5.72/FX,2)</f>
        <v>0.79</v>
      </c>
      <c r="D163" s="21" t="s">
        <v>716</v>
      </c>
      <c r="E163" s="21" t="s">
        <v>734</v>
      </c>
      <c r="F163" s="21" t="s">
        <v>6712</v>
      </c>
      <c r="G163" s="21" t="s">
        <v>6758</v>
      </c>
      <c r="H163" s="21" t="s">
        <v>6742</v>
      </c>
      <c r="I163" s="21" t="s">
        <v>789</v>
      </c>
    </row>
    <row r="164" customFormat="false" ht="15" hidden="false" customHeight="false" outlineLevel="0" collapsed="false">
      <c r="B164" s="19" t="s">
        <v>6874</v>
      </c>
      <c r="C164" s="20" t="n">
        <f aca="false">ROUND(5.46/FX,2)</f>
        <v>0.76</v>
      </c>
      <c r="D164" s="21" t="s">
        <v>707</v>
      </c>
      <c r="E164" s="21" t="s">
        <v>734</v>
      </c>
      <c r="F164" s="21" t="s">
        <v>6698</v>
      </c>
      <c r="G164" s="21" t="s">
        <v>6758</v>
      </c>
      <c r="H164" s="21" t="s">
        <v>6742</v>
      </c>
      <c r="I164" s="21" t="s">
        <v>716</v>
      </c>
    </row>
    <row r="165" customFormat="false" ht="15" hidden="false" customHeight="false" outlineLevel="0" collapsed="false">
      <c r="B165" s="19" t="s">
        <v>6875</v>
      </c>
      <c r="C165" s="20" t="n">
        <f aca="false">ROUND(5.46/FX,2)</f>
        <v>0.76</v>
      </c>
      <c r="D165" s="21" t="s">
        <v>716</v>
      </c>
      <c r="E165" s="21" t="s">
        <v>734</v>
      </c>
      <c r="F165" s="21" t="s">
        <v>6698</v>
      </c>
      <c r="G165" s="21" t="s">
        <v>6758</v>
      </c>
      <c r="H165" s="21" t="s">
        <v>6742</v>
      </c>
      <c r="I165" s="21" t="s">
        <v>716</v>
      </c>
    </row>
    <row r="166" customFormat="false" ht="15" hidden="false" customHeight="false" outlineLevel="0" collapsed="false">
      <c r="B166" s="19" t="s">
        <v>6876</v>
      </c>
      <c r="C166" s="20" t="n">
        <f aca="false">ROUND(5.2/FX,2)</f>
        <v>0.72</v>
      </c>
      <c r="D166" s="21" t="s">
        <v>707</v>
      </c>
      <c r="E166" s="21" t="s">
        <v>734</v>
      </c>
      <c r="F166" s="21" t="s">
        <v>6733</v>
      </c>
      <c r="G166" s="21" t="s">
        <v>6758</v>
      </c>
      <c r="H166" s="21" t="s">
        <v>6742</v>
      </c>
      <c r="I166" s="21" t="s">
        <v>6740</v>
      </c>
    </row>
    <row r="167" customFormat="false" ht="15" hidden="false" customHeight="false" outlineLevel="0" collapsed="false">
      <c r="B167" s="19" t="s">
        <v>6877</v>
      </c>
      <c r="C167" s="20" t="n">
        <f aca="false">ROUND(5.59/FX,2)</f>
        <v>0.78</v>
      </c>
      <c r="D167" s="21" t="s">
        <v>716</v>
      </c>
      <c r="E167" s="21" t="s">
        <v>734</v>
      </c>
      <c r="F167" s="21" t="s">
        <v>6733</v>
      </c>
      <c r="G167" s="21" t="s">
        <v>6758</v>
      </c>
      <c r="H167" s="21" t="s">
        <v>6742</v>
      </c>
      <c r="I167" s="21" t="s">
        <v>6740</v>
      </c>
    </row>
    <row r="168" customFormat="false" ht="15" hidden="false" customHeight="false" outlineLevel="0" collapsed="false">
      <c r="B168" s="19" t="s">
        <v>6878</v>
      </c>
      <c r="C168" s="20" t="n">
        <f aca="false">ROUND(5.46/FX,2)</f>
        <v>0.76</v>
      </c>
      <c r="D168" s="21" t="s">
        <v>707</v>
      </c>
      <c r="E168" s="21" t="s">
        <v>734</v>
      </c>
      <c r="F168" s="21" t="s">
        <v>6712</v>
      </c>
      <c r="G168" s="21" t="s">
        <v>6758</v>
      </c>
      <c r="H168" s="21" t="s">
        <v>6742</v>
      </c>
      <c r="I168" s="21" t="s">
        <v>847</v>
      </c>
    </row>
    <row r="169" customFormat="false" ht="15" hidden="false" customHeight="false" outlineLevel="0" collapsed="false">
      <c r="B169" s="19" t="s">
        <v>6879</v>
      </c>
      <c r="C169" s="20" t="n">
        <f aca="false">ROUND(6.89/FX,2)</f>
        <v>0.96</v>
      </c>
      <c r="D169" s="21" t="s">
        <v>714</v>
      </c>
      <c r="E169" s="21" t="s">
        <v>734</v>
      </c>
      <c r="F169" s="21" t="s">
        <v>6712</v>
      </c>
      <c r="G169" s="21" t="s">
        <v>6758</v>
      </c>
      <c r="H169" s="21" t="s">
        <v>6742</v>
      </c>
      <c r="I169" s="21" t="s">
        <v>847</v>
      </c>
    </row>
    <row r="170" customFormat="false" ht="15" hidden="false" customHeight="false" outlineLevel="0" collapsed="false">
      <c r="B170" s="19" t="s">
        <v>6880</v>
      </c>
      <c r="C170" s="20" t="n">
        <f aca="false">ROUND(4.94/FX,2)</f>
        <v>0.69</v>
      </c>
      <c r="D170" s="21" t="s">
        <v>716</v>
      </c>
      <c r="E170" s="21" t="s">
        <v>734</v>
      </c>
      <c r="F170" s="21" t="s">
        <v>6706</v>
      </c>
      <c r="G170" s="21" t="s">
        <v>6758</v>
      </c>
      <c r="H170" s="21" t="s">
        <v>6742</v>
      </c>
      <c r="I170" s="21" t="s">
        <v>847</v>
      </c>
    </row>
    <row r="171" customFormat="false" ht="15" hidden="false" customHeight="false" outlineLevel="0" collapsed="false">
      <c r="B171" s="19" t="s">
        <v>6881</v>
      </c>
      <c r="C171" s="20" t="n">
        <f aca="false">ROUND(5.85/FX,2)</f>
        <v>0.81</v>
      </c>
      <c r="D171" s="21" t="s">
        <v>716</v>
      </c>
      <c r="E171" s="21" t="s">
        <v>734</v>
      </c>
      <c r="F171" s="21" t="s">
        <v>6733</v>
      </c>
      <c r="G171" s="21" t="s">
        <v>6758</v>
      </c>
      <c r="H171" s="21" t="s">
        <v>6742</v>
      </c>
      <c r="I171" s="21" t="s">
        <v>847</v>
      </c>
    </row>
    <row r="172" customFormat="false" ht="15" hidden="false" customHeight="false" outlineLevel="0" collapsed="false">
      <c r="B172" s="19" t="s">
        <v>6882</v>
      </c>
      <c r="C172" s="20" t="n">
        <f aca="false">ROUND(5.59/FX,2)</f>
        <v>0.78</v>
      </c>
      <c r="D172" s="21" t="s">
        <v>716</v>
      </c>
      <c r="E172" s="21" t="s">
        <v>734</v>
      </c>
      <c r="F172" s="21" t="s">
        <v>6733</v>
      </c>
      <c r="G172" s="21" t="s">
        <v>6758</v>
      </c>
      <c r="H172" s="21" t="s">
        <v>2911</v>
      </c>
      <c r="I172" s="21" t="s">
        <v>789</v>
      </c>
    </row>
    <row r="173" customFormat="false" ht="15" hidden="false" customHeight="false" outlineLevel="0" collapsed="false">
      <c r="B173" s="19" t="s">
        <v>6883</v>
      </c>
      <c r="C173" s="20" t="n">
        <f aca="false">ROUND(5.85/FX,2)</f>
        <v>0.81</v>
      </c>
      <c r="D173" s="21" t="s">
        <v>716</v>
      </c>
      <c r="E173" s="21" t="s">
        <v>734</v>
      </c>
      <c r="F173" s="21" t="s">
        <v>6733</v>
      </c>
      <c r="G173" s="21" t="s">
        <v>6758</v>
      </c>
      <c r="H173" s="21" t="s">
        <v>2911</v>
      </c>
      <c r="I173" s="21" t="s">
        <v>716</v>
      </c>
    </row>
    <row r="174" customFormat="false" ht="15" hidden="false" customHeight="false" outlineLevel="0" collapsed="false">
      <c r="B174" s="19" t="s">
        <v>6884</v>
      </c>
      <c r="C174" s="20" t="n">
        <f aca="false">ROUND(5.85/FX,2)</f>
        <v>0.81</v>
      </c>
      <c r="D174" s="21" t="s">
        <v>716</v>
      </c>
      <c r="E174" s="21" t="s">
        <v>734</v>
      </c>
      <c r="F174" s="21" t="s">
        <v>6733</v>
      </c>
      <c r="G174" s="21" t="s">
        <v>6758</v>
      </c>
      <c r="H174" s="21" t="s">
        <v>2911</v>
      </c>
      <c r="I174" s="21" t="s">
        <v>6740</v>
      </c>
    </row>
    <row r="175" customFormat="false" ht="15" hidden="false" customHeight="false" outlineLevel="0" collapsed="false">
      <c r="B175" s="19" t="s">
        <v>6885</v>
      </c>
      <c r="C175" s="20" t="n">
        <f aca="false">ROUND(5.85/FX,2)</f>
        <v>0.81</v>
      </c>
      <c r="D175" s="21" t="s">
        <v>716</v>
      </c>
      <c r="E175" s="21" t="s">
        <v>734</v>
      </c>
      <c r="F175" s="21" t="s">
        <v>6733</v>
      </c>
      <c r="G175" s="21" t="s">
        <v>6758</v>
      </c>
      <c r="H175" s="21" t="s">
        <v>2911</v>
      </c>
      <c r="I175" s="21" t="s">
        <v>847</v>
      </c>
    </row>
    <row r="176" customFormat="false" ht="15" hidden="false" customHeight="false" outlineLevel="0" collapsed="false">
      <c r="B176" s="19" t="s">
        <v>6886</v>
      </c>
      <c r="C176" s="20" t="n">
        <f aca="false">ROUND(6.89/FX,2)</f>
        <v>0.96</v>
      </c>
      <c r="D176" s="21" t="s">
        <v>707</v>
      </c>
      <c r="E176" s="21" t="s">
        <v>734</v>
      </c>
      <c r="F176" s="21" t="s">
        <v>6698</v>
      </c>
      <c r="G176" s="21" t="s">
        <v>6758</v>
      </c>
      <c r="H176" s="21" t="s">
        <v>2961</v>
      </c>
      <c r="I176" s="21" t="s">
        <v>707</v>
      </c>
    </row>
    <row r="177" customFormat="false" ht="15" hidden="false" customHeight="false" outlineLevel="0" collapsed="false">
      <c r="B177" s="19" t="s">
        <v>6887</v>
      </c>
      <c r="C177" s="20" t="n">
        <f aca="false">ROUND(7.54/FX,2)</f>
        <v>1.05</v>
      </c>
      <c r="D177" s="21" t="s">
        <v>714</v>
      </c>
      <c r="E177" s="21" t="s">
        <v>734</v>
      </c>
      <c r="F177" s="21" t="s">
        <v>6733</v>
      </c>
      <c r="G177" s="21" t="s">
        <v>6758</v>
      </c>
      <c r="H177" s="21" t="s">
        <v>2961</v>
      </c>
      <c r="I177" s="21" t="s">
        <v>707</v>
      </c>
    </row>
    <row r="178" customFormat="false" ht="15" hidden="false" customHeight="false" outlineLevel="0" collapsed="false">
      <c r="B178" s="19" t="s">
        <v>6888</v>
      </c>
      <c r="C178" s="20" t="n">
        <f aca="false">ROUND(6.89/FX,2)</f>
        <v>0.96</v>
      </c>
      <c r="D178" s="21" t="s">
        <v>716</v>
      </c>
      <c r="E178" s="21" t="s">
        <v>734</v>
      </c>
      <c r="F178" s="21" t="s">
        <v>6698</v>
      </c>
      <c r="G178" s="21" t="s">
        <v>6758</v>
      </c>
      <c r="H178" s="21" t="s">
        <v>2961</v>
      </c>
      <c r="I178" s="21" t="s">
        <v>707</v>
      </c>
    </row>
    <row r="179" customFormat="false" ht="15" hidden="false" customHeight="false" outlineLevel="0" collapsed="false">
      <c r="B179" s="19" t="s">
        <v>6889</v>
      </c>
      <c r="C179" s="20" t="n">
        <f aca="false">ROUND(6.89/FX,2)</f>
        <v>0.96</v>
      </c>
      <c r="D179" s="21" t="s">
        <v>707</v>
      </c>
      <c r="E179" s="21" t="s">
        <v>734</v>
      </c>
      <c r="F179" s="21" t="s">
        <v>6733</v>
      </c>
      <c r="G179" s="21" t="s">
        <v>6758</v>
      </c>
      <c r="H179" s="21" t="s">
        <v>2961</v>
      </c>
      <c r="I179" s="21" t="s">
        <v>761</v>
      </c>
    </row>
    <row r="180" customFormat="false" ht="15" hidden="false" customHeight="false" outlineLevel="0" collapsed="false">
      <c r="B180" s="19" t="s">
        <v>6890</v>
      </c>
      <c r="C180" s="20" t="n">
        <f aca="false">ROUND(8.84/FX,2)</f>
        <v>1.23</v>
      </c>
      <c r="D180" s="21" t="s">
        <v>714</v>
      </c>
      <c r="E180" s="21" t="s">
        <v>734</v>
      </c>
      <c r="F180" s="21" t="s">
        <v>6733</v>
      </c>
      <c r="G180" s="21" t="s">
        <v>6758</v>
      </c>
      <c r="H180" s="21" t="s">
        <v>2961</v>
      </c>
      <c r="I180" s="21" t="s">
        <v>761</v>
      </c>
    </row>
    <row r="181" customFormat="false" ht="15" hidden="false" customHeight="false" outlineLevel="0" collapsed="false">
      <c r="B181" s="19" t="s">
        <v>6891</v>
      </c>
      <c r="C181" s="20" t="n">
        <f aca="false">ROUND(6.89/FX,2)</f>
        <v>0.96</v>
      </c>
      <c r="D181" s="21" t="s">
        <v>716</v>
      </c>
      <c r="E181" s="21" t="s">
        <v>734</v>
      </c>
      <c r="F181" s="21" t="s">
        <v>6733</v>
      </c>
      <c r="G181" s="21" t="s">
        <v>6758</v>
      </c>
      <c r="H181" s="21" t="s">
        <v>2961</v>
      </c>
      <c r="I181" s="21" t="s">
        <v>761</v>
      </c>
    </row>
    <row r="182" customFormat="false" ht="15" hidden="false" customHeight="false" outlineLevel="0" collapsed="false">
      <c r="B182" s="19" t="s">
        <v>6892</v>
      </c>
      <c r="C182" s="20" t="n">
        <f aca="false">ROUND(7.54/FX,2)</f>
        <v>1.05</v>
      </c>
      <c r="D182" s="21" t="s">
        <v>707</v>
      </c>
      <c r="E182" s="21" t="s">
        <v>734</v>
      </c>
      <c r="F182" s="21" t="s">
        <v>6733</v>
      </c>
      <c r="G182" s="21" t="s">
        <v>6758</v>
      </c>
      <c r="H182" s="21" t="s">
        <v>2961</v>
      </c>
      <c r="I182" s="21" t="s">
        <v>4721</v>
      </c>
    </row>
    <row r="183" customFormat="false" ht="15" hidden="false" customHeight="false" outlineLevel="0" collapsed="false">
      <c r="B183" s="19" t="s">
        <v>6893</v>
      </c>
      <c r="C183" s="20" t="n">
        <f aca="false">ROUND(8.84/FX,2)</f>
        <v>1.23</v>
      </c>
      <c r="D183" s="21" t="s">
        <v>714</v>
      </c>
      <c r="E183" s="21" t="s">
        <v>734</v>
      </c>
      <c r="F183" s="21" t="s">
        <v>6733</v>
      </c>
      <c r="G183" s="21" t="s">
        <v>6758</v>
      </c>
      <c r="H183" s="21" t="s">
        <v>2961</v>
      </c>
      <c r="I183" s="21" t="s">
        <v>4721</v>
      </c>
    </row>
    <row r="184" customFormat="false" ht="15" hidden="false" customHeight="false" outlineLevel="0" collapsed="false">
      <c r="B184" s="19" t="s">
        <v>6894</v>
      </c>
      <c r="C184" s="20" t="n">
        <f aca="false">ROUND(7.24/FX,2)</f>
        <v>1.01</v>
      </c>
      <c r="D184" s="21" t="s">
        <v>716</v>
      </c>
      <c r="E184" s="21" t="s">
        <v>734</v>
      </c>
      <c r="F184" s="21" t="s">
        <v>6698</v>
      </c>
      <c r="G184" s="21" t="s">
        <v>6758</v>
      </c>
      <c r="H184" s="21" t="s">
        <v>2961</v>
      </c>
      <c r="I184" s="21" t="s">
        <v>4721</v>
      </c>
    </row>
    <row r="185" customFormat="false" ht="15" hidden="false" customHeight="false" outlineLevel="0" collapsed="false">
      <c r="B185" s="19" t="s">
        <v>6895</v>
      </c>
      <c r="C185" s="20" t="n">
        <f aca="false">ROUND(7.24/FX,2)</f>
        <v>1.01</v>
      </c>
      <c r="D185" s="21" t="s">
        <v>707</v>
      </c>
      <c r="E185" s="21" t="s">
        <v>734</v>
      </c>
      <c r="F185" s="21" t="s">
        <v>6712</v>
      </c>
      <c r="G185" s="21" t="s">
        <v>6758</v>
      </c>
      <c r="H185" s="21" t="s">
        <v>2961</v>
      </c>
      <c r="I185" s="21" t="s">
        <v>714</v>
      </c>
    </row>
    <row r="186" customFormat="false" ht="15" hidden="false" customHeight="false" outlineLevel="0" collapsed="false">
      <c r="B186" s="19" t="s">
        <v>6896</v>
      </c>
      <c r="C186" s="20" t="n">
        <f aca="false">ROUND(8.84/FX,2)</f>
        <v>1.23</v>
      </c>
      <c r="D186" s="21" t="s">
        <v>714</v>
      </c>
      <c r="E186" s="21" t="s">
        <v>734</v>
      </c>
      <c r="F186" s="21" t="s">
        <v>6733</v>
      </c>
      <c r="G186" s="21" t="s">
        <v>6758</v>
      </c>
      <c r="H186" s="21" t="s">
        <v>2961</v>
      </c>
      <c r="I186" s="21" t="s">
        <v>714</v>
      </c>
    </row>
    <row r="187" customFormat="false" ht="15" hidden="false" customHeight="false" outlineLevel="0" collapsed="false">
      <c r="B187" s="19" t="s">
        <v>6897</v>
      </c>
      <c r="C187" s="20" t="n">
        <f aca="false">ROUND(6.89/FX,2)</f>
        <v>0.96</v>
      </c>
      <c r="D187" s="21" t="s">
        <v>716</v>
      </c>
      <c r="E187" s="21" t="s">
        <v>734</v>
      </c>
      <c r="F187" s="21" t="s">
        <v>6698</v>
      </c>
      <c r="G187" s="21" t="s">
        <v>6758</v>
      </c>
      <c r="H187" s="21" t="s">
        <v>2961</v>
      </c>
      <c r="I187" s="21" t="s">
        <v>714</v>
      </c>
    </row>
    <row r="188" customFormat="false" ht="15" hidden="false" customHeight="false" outlineLevel="0" collapsed="false">
      <c r="B188" s="19" t="s">
        <v>6898</v>
      </c>
      <c r="C188" s="20" t="n">
        <f aca="false">ROUND(7.54/FX,2)</f>
        <v>1.05</v>
      </c>
      <c r="D188" s="21" t="s">
        <v>707</v>
      </c>
      <c r="E188" s="21" t="s">
        <v>734</v>
      </c>
      <c r="F188" s="21" t="s">
        <v>6733</v>
      </c>
      <c r="G188" s="21" t="s">
        <v>6758</v>
      </c>
      <c r="H188" s="21" t="s">
        <v>2961</v>
      </c>
      <c r="I188" s="21" t="s">
        <v>789</v>
      </c>
    </row>
    <row r="189" customFormat="false" ht="15" hidden="false" customHeight="false" outlineLevel="0" collapsed="false">
      <c r="B189" s="19" t="s">
        <v>6899</v>
      </c>
      <c r="C189" s="20" t="n">
        <f aca="false">ROUND(8.84/FX,2)</f>
        <v>1.23</v>
      </c>
      <c r="D189" s="21" t="s">
        <v>714</v>
      </c>
      <c r="E189" s="21" t="s">
        <v>734</v>
      </c>
      <c r="F189" s="21" t="s">
        <v>6712</v>
      </c>
      <c r="G189" s="21" t="s">
        <v>6758</v>
      </c>
      <c r="H189" s="21" t="s">
        <v>2961</v>
      </c>
      <c r="I189" s="21" t="s">
        <v>789</v>
      </c>
    </row>
    <row r="190" customFormat="false" ht="15" hidden="false" customHeight="false" outlineLevel="0" collapsed="false">
      <c r="B190" s="19" t="s">
        <v>6900</v>
      </c>
      <c r="C190" s="20" t="n">
        <f aca="false">ROUND(6.24/FX,2)</f>
        <v>0.87</v>
      </c>
      <c r="D190" s="21" t="s">
        <v>716</v>
      </c>
      <c r="E190" s="21" t="s">
        <v>734</v>
      </c>
      <c r="F190" s="21" t="s">
        <v>6706</v>
      </c>
      <c r="G190" s="21" t="s">
        <v>6758</v>
      </c>
      <c r="H190" s="21" t="s">
        <v>2961</v>
      </c>
      <c r="I190" s="21" t="s">
        <v>789</v>
      </c>
    </row>
    <row r="191" customFormat="false" ht="15" hidden="false" customHeight="false" outlineLevel="0" collapsed="false">
      <c r="B191" s="19" t="s">
        <v>6901</v>
      </c>
      <c r="C191" s="20" t="n">
        <f aca="false">ROUND(6.89/FX,2)</f>
        <v>0.96</v>
      </c>
      <c r="D191" s="21" t="s">
        <v>716</v>
      </c>
      <c r="E191" s="21" t="s">
        <v>734</v>
      </c>
      <c r="F191" s="21" t="s">
        <v>6698</v>
      </c>
      <c r="G191" s="21" t="s">
        <v>6758</v>
      </c>
      <c r="H191" s="21" t="s">
        <v>2961</v>
      </c>
      <c r="I191" s="21" t="s">
        <v>789</v>
      </c>
    </row>
    <row r="192" customFormat="false" ht="15" hidden="false" customHeight="false" outlineLevel="0" collapsed="false">
      <c r="B192" s="19" t="s">
        <v>6902</v>
      </c>
      <c r="C192" s="20" t="n">
        <f aca="false">ROUND(6.89/FX,2)</f>
        <v>0.96</v>
      </c>
      <c r="D192" s="21" t="s">
        <v>719</v>
      </c>
      <c r="E192" s="21" t="s">
        <v>734</v>
      </c>
      <c r="F192" s="21" t="s">
        <v>6706</v>
      </c>
      <c r="G192" s="21" t="s">
        <v>6758</v>
      </c>
      <c r="H192" s="21" t="s">
        <v>2961</v>
      </c>
      <c r="I192" s="21" t="s">
        <v>789</v>
      </c>
    </row>
    <row r="193" customFormat="false" ht="15" hidden="false" customHeight="false" outlineLevel="0" collapsed="false">
      <c r="B193" s="19" t="s">
        <v>6903</v>
      </c>
      <c r="C193" s="20" t="n">
        <f aca="false">ROUND(7.54/FX,2)</f>
        <v>1.05</v>
      </c>
      <c r="D193" s="21" t="s">
        <v>707</v>
      </c>
      <c r="E193" s="21" t="s">
        <v>734</v>
      </c>
      <c r="F193" s="21" t="s">
        <v>6733</v>
      </c>
      <c r="G193" s="21" t="s">
        <v>6758</v>
      </c>
      <c r="H193" s="21" t="s">
        <v>2961</v>
      </c>
      <c r="I193" s="21" t="s">
        <v>716</v>
      </c>
    </row>
    <row r="194" customFormat="false" ht="15" hidden="false" customHeight="false" outlineLevel="0" collapsed="false">
      <c r="B194" s="19" t="s">
        <v>6904</v>
      </c>
      <c r="C194" s="20" t="n">
        <f aca="false">ROUND(7.54/FX,2)</f>
        <v>1.05</v>
      </c>
      <c r="D194" s="21" t="s">
        <v>714</v>
      </c>
      <c r="E194" s="21" t="s">
        <v>734</v>
      </c>
      <c r="F194" s="21" t="s">
        <v>6712</v>
      </c>
      <c r="G194" s="21" t="s">
        <v>6758</v>
      </c>
      <c r="H194" s="21" t="s">
        <v>2961</v>
      </c>
      <c r="I194" s="21" t="s">
        <v>716</v>
      </c>
    </row>
    <row r="195" customFormat="false" ht="15" hidden="false" customHeight="false" outlineLevel="0" collapsed="false">
      <c r="B195" s="19" t="s">
        <v>6905</v>
      </c>
      <c r="C195" s="20" t="n">
        <f aca="false">ROUND(7.54/FX,2)</f>
        <v>1.05</v>
      </c>
      <c r="D195" s="21" t="s">
        <v>716</v>
      </c>
      <c r="E195" s="21" t="s">
        <v>734</v>
      </c>
      <c r="F195" s="21" t="s">
        <v>6712</v>
      </c>
      <c r="G195" s="21" t="s">
        <v>6758</v>
      </c>
      <c r="H195" s="21" t="s">
        <v>2961</v>
      </c>
      <c r="I195" s="21" t="s">
        <v>716</v>
      </c>
    </row>
    <row r="196" customFormat="false" ht="15" hidden="false" customHeight="false" outlineLevel="0" collapsed="false">
      <c r="B196" s="19" t="s">
        <v>6906</v>
      </c>
      <c r="C196" s="20" t="n">
        <f aca="false">ROUND(6.5/FX,2)</f>
        <v>0.9</v>
      </c>
      <c r="D196" s="21" t="s">
        <v>719</v>
      </c>
      <c r="E196" s="21" t="s">
        <v>734</v>
      </c>
      <c r="F196" s="21" t="s">
        <v>6733</v>
      </c>
      <c r="G196" s="21" t="s">
        <v>6758</v>
      </c>
      <c r="H196" s="21" t="s">
        <v>2961</v>
      </c>
      <c r="I196" s="21" t="s">
        <v>716</v>
      </c>
    </row>
    <row r="197" customFormat="false" ht="15" hidden="false" customHeight="false" outlineLevel="0" collapsed="false">
      <c r="B197" s="19" t="s">
        <v>6907</v>
      </c>
      <c r="C197" s="20" t="n">
        <f aca="false">ROUND(6.89/FX,2)</f>
        <v>0.96</v>
      </c>
      <c r="D197" s="21" t="s">
        <v>707</v>
      </c>
      <c r="E197" s="21" t="s">
        <v>734</v>
      </c>
      <c r="F197" s="21" t="s">
        <v>6733</v>
      </c>
      <c r="G197" s="21" t="s">
        <v>6758</v>
      </c>
      <c r="H197" s="21" t="s">
        <v>2961</v>
      </c>
      <c r="I197" s="21" t="s">
        <v>6740</v>
      </c>
    </row>
    <row r="198" customFormat="false" ht="15" hidden="false" customHeight="false" outlineLevel="0" collapsed="false">
      <c r="B198" s="19" t="s">
        <v>6908</v>
      </c>
      <c r="C198" s="20" t="n">
        <f aca="false">ROUND(8.84/FX,2)</f>
        <v>1.23</v>
      </c>
      <c r="D198" s="21" t="s">
        <v>714</v>
      </c>
      <c r="E198" s="21" t="s">
        <v>734</v>
      </c>
      <c r="F198" s="21" t="s">
        <v>6712</v>
      </c>
      <c r="G198" s="21" t="s">
        <v>6758</v>
      </c>
      <c r="H198" s="21" t="s">
        <v>2961</v>
      </c>
      <c r="I198" s="21" t="s">
        <v>6740</v>
      </c>
    </row>
    <row r="199" customFormat="false" ht="15" hidden="false" customHeight="false" outlineLevel="0" collapsed="false">
      <c r="B199" s="19" t="s">
        <v>6909</v>
      </c>
      <c r="C199" s="20" t="n">
        <f aca="false">ROUND(7.54/FX,2)</f>
        <v>1.05</v>
      </c>
      <c r="D199" s="21" t="s">
        <v>716</v>
      </c>
      <c r="E199" s="21" t="s">
        <v>734</v>
      </c>
      <c r="F199" s="21" t="s">
        <v>6733</v>
      </c>
      <c r="G199" s="21" t="s">
        <v>6758</v>
      </c>
      <c r="H199" s="21" t="s">
        <v>2961</v>
      </c>
      <c r="I199" s="21" t="s">
        <v>6740</v>
      </c>
    </row>
    <row r="200" customFormat="false" ht="15" hidden="false" customHeight="false" outlineLevel="0" collapsed="false">
      <c r="B200" s="19" t="s">
        <v>6910</v>
      </c>
      <c r="C200" s="20" t="n">
        <f aca="false">ROUND(6.89/FX,2)</f>
        <v>0.96</v>
      </c>
      <c r="D200" s="21" t="s">
        <v>707</v>
      </c>
      <c r="E200" s="21" t="s">
        <v>734</v>
      </c>
      <c r="F200" s="21" t="s">
        <v>6712</v>
      </c>
      <c r="G200" s="21" t="s">
        <v>6758</v>
      </c>
      <c r="H200" s="21" t="s">
        <v>2961</v>
      </c>
      <c r="I200" s="21" t="s">
        <v>847</v>
      </c>
    </row>
    <row r="201" customFormat="false" ht="15" hidden="false" customHeight="false" outlineLevel="0" collapsed="false">
      <c r="B201" s="19" t="s">
        <v>6911</v>
      </c>
      <c r="C201" s="20" t="n">
        <f aca="false">ROUND(8.84/FX,2)</f>
        <v>1.23</v>
      </c>
      <c r="D201" s="21" t="s">
        <v>714</v>
      </c>
      <c r="E201" s="21" t="s">
        <v>734</v>
      </c>
      <c r="F201" s="21" t="s">
        <v>6733</v>
      </c>
      <c r="G201" s="21" t="s">
        <v>6758</v>
      </c>
      <c r="H201" s="21" t="s">
        <v>2961</v>
      </c>
      <c r="I201" s="21" t="s">
        <v>847</v>
      </c>
    </row>
    <row r="202" customFormat="false" ht="15" hidden="false" customHeight="false" outlineLevel="0" collapsed="false">
      <c r="B202" s="19" t="s">
        <v>6912</v>
      </c>
      <c r="C202" s="20" t="n">
        <f aca="false">ROUND(6.76/FX,2)</f>
        <v>0.94</v>
      </c>
      <c r="D202" s="21" t="s">
        <v>716</v>
      </c>
      <c r="E202" s="21" t="s">
        <v>734</v>
      </c>
      <c r="F202" s="21" t="s">
        <v>6706</v>
      </c>
      <c r="G202" s="21" t="s">
        <v>6758</v>
      </c>
      <c r="H202" s="21" t="s">
        <v>2961</v>
      </c>
      <c r="I202" s="21" t="s">
        <v>847</v>
      </c>
    </row>
    <row r="203" customFormat="false" ht="15" hidden="false" customHeight="false" outlineLevel="0" collapsed="false">
      <c r="B203" s="19" t="s">
        <v>6913</v>
      </c>
      <c r="C203" s="20" t="n">
        <f aca="false">ROUND(6.89/FX,2)</f>
        <v>0.96</v>
      </c>
      <c r="D203" s="21" t="s">
        <v>716</v>
      </c>
      <c r="E203" s="21" t="s">
        <v>734</v>
      </c>
      <c r="F203" s="21" t="s">
        <v>6698</v>
      </c>
      <c r="G203" s="21" t="s">
        <v>6758</v>
      </c>
      <c r="H203" s="21" t="s">
        <v>2961</v>
      </c>
      <c r="I203" s="21" t="s">
        <v>847</v>
      </c>
    </row>
    <row r="204" customFormat="false" ht="15" hidden="false" customHeight="false" outlineLevel="0" collapsed="false">
      <c r="B204" s="19" t="s">
        <v>6914</v>
      </c>
      <c r="C204" s="20" t="n">
        <f aca="false">ROUND(7.15/FX,2)</f>
        <v>0.99</v>
      </c>
      <c r="D204" s="21" t="s">
        <v>719</v>
      </c>
      <c r="E204" s="21" t="s">
        <v>734</v>
      </c>
      <c r="F204" s="21" t="s">
        <v>6733</v>
      </c>
      <c r="G204" s="21" t="s">
        <v>6758</v>
      </c>
      <c r="H204" s="21" t="s">
        <v>2961</v>
      </c>
      <c r="I204" s="21" t="s">
        <v>847</v>
      </c>
    </row>
    <row r="205" customFormat="false" ht="15" hidden="false" customHeight="false" outlineLevel="0" collapsed="false">
      <c r="B205" s="19" t="s">
        <v>6915</v>
      </c>
      <c r="C205" s="20" t="n">
        <f aca="false">ROUND(13.91/FX,2)</f>
        <v>1.93</v>
      </c>
      <c r="D205" s="21" t="s">
        <v>707</v>
      </c>
      <c r="E205" s="21" t="s">
        <v>734</v>
      </c>
      <c r="F205" s="21" t="s">
        <v>6712</v>
      </c>
      <c r="G205" s="21" t="s">
        <v>6758</v>
      </c>
      <c r="H205" s="21" t="s">
        <v>3061</v>
      </c>
      <c r="I205" s="21" t="s">
        <v>707</v>
      </c>
    </row>
    <row r="206" customFormat="false" ht="15" hidden="false" customHeight="false" outlineLevel="0" collapsed="false">
      <c r="B206" s="19" t="s">
        <v>6916</v>
      </c>
      <c r="C206" s="20" t="n">
        <f aca="false">ROUND(15.6/FX,2)</f>
        <v>2.17</v>
      </c>
      <c r="D206" s="21" t="s">
        <v>714</v>
      </c>
      <c r="E206" s="21" t="s">
        <v>734</v>
      </c>
      <c r="F206" s="21" t="s">
        <v>6712</v>
      </c>
      <c r="G206" s="21" t="s">
        <v>6758</v>
      </c>
      <c r="H206" s="21" t="s">
        <v>3061</v>
      </c>
      <c r="I206" s="21" t="s">
        <v>707</v>
      </c>
    </row>
    <row r="207" customFormat="false" ht="15" hidden="false" customHeight="false" outlineLevel="0" collapsed="false">
      <c r="B207" s="19" t="s">
        <v>6917</v>
      </c>
      <c r="C207" s="20" t="n">
        <f aca="false">ROUND(10.4/FX,2)</f>
        <v>1.44</v>
      </c>
      <c r="D207" s="21" t="s">
        <v>716</v>
      </c>
      <c r="E207" s="21" t="s">
        <v>734</v>
      </c>
      <c r="F207" s="21" t="s">
        <v>6706</v>
      </c>
      <c r="G207" s="21" t="s">
        <v>6758</v>
      </c>
      <c r="H207" s="21" t="s">
        <v>3061</v>
      </c>
      <c r="I207" s="21" t="s">
        <v>707</v>
      </c>
    </row>
    <row r="208" customFormat="false" ht="15" hidden="false" customHeight="false" outlineLevel="0" collapsed="false">
      <c r="B208" s="19" t="s">
        <v>6918</v>
      </c>
      <c r="C208" s="20" t="n">
        <f aca="false">ROUND(12.35/FX,2)</f>
        <v>1.72</v>
      </c>
      <c r="D208" s="21" t="s">
        <v>716</v>
      </c>
      <c r="E208" s="21" t="s">
        <v>734</v>
      </c>
      <c r="F208" s="21" t="s">
        <v>6733</v>
      </c>
      <c r="G208" s="21" t="s">
        <v>6758</v>
      </c>
      <c r="H208" s="21" t="s">
        <v>3061</v>
      </c>
      <c r="I208" s="21" t="s">
        <v>707</v>
      </c>
    </row>
    <row r="209" customFormat="false" ht="15" hidden="false" customHeight="false" outlineLevel="0" collapsed="false">
      <c r="B209" s="19" t="s">
        <v>6919</v>
      </c>
      <c r="C209" s="20" t="n">
        <f aca="false">ROUND(13.91/FX,2)</f>
        <v>1.93</v>
      </c>
      <c r="D209" s="21" t="s">
        <v>707</v>
      </c>
      <c r="E209" s="21" t="s">
        <v>734</v>
      </c>
      <c r="F209" s="21" t="s">
        <v>6712</v>
      </c>
      <c r="G209" s="21" t="s">
        <v>6758</v>
      </c>
      <c r="H209" s="21" t="s">
        <v>3061</v>
      </c>
      <c r="I209" s="21" t="s">
        <v>761</v>
      </c>
    </row>
    <row r="210" customFormat="false" ht="15" hidden="false" customHeight="false" outlineLevel="0" collapsed="false">
      <c r="B210" s="19" t="s">
        <v>6920</v>
      </c>
      <c r="C210" s="20" t="n">
        <f aca="false">ROUND(15.6/FX,2)</f>
        <v>2.17</v>
      </c>
      <c r="D210" s="21" t="s">
        <v>714</v>
      </c>
      <c r="E210" s="21" t="s">
        <v>734</v>
      </c>
      <c r="F210" s="21" t="s">
        <v>6712</v>
      </c>
      <c r="G210" s="21" t="s">
        <v>6758</v>
      </c>
      <c r="H210" s="21" t="s">
        <v>3061</v>
      </c>
      <c r="I210" s="21" t="s">
        <v>761</v>
      </c>
    </row>
    <row r="211" customFormat="false" ht="15" hidden="false" customHeight="false" outlineLevel="0" collapsed="false">
      <c r="B211" s="19" t="s">
        <v>6921</v>
      </c>
      <c r="C211" s="20" t="n">
        <f aca="false">ROUND(10.4/FX,2)</f>
        <v>1.44</v>
      </c>
      <c r="D211" s="21" t="s">
        <v>716</v>
      </c>
      <c r="E211" s="21" t="s">
        <v>734</v>
      </c>
      <c r="F211" s="21" t="s">
        <v>6706</v>
      </c>
      <c r="G211" s="21" t="s">
        <v>6758</v>
      </c>
      <c r="H211" s="21" t="s">
        <v>3061</v>
      </c>
      <c r="I211" s="21" t="s">
        <v>761</v>
      </c>
    </row>
    <row r="212" customFormat="false" ht="15" hidden="false" customHeight="false" outlineLevel="0" collapsed="false">
      <c r="B212" s="19" t="s">
        <v>6922</v>
      </c>
      <c r="C212" s="20" t="n">
        <f aca="false">ROUND(12.35/FX,2)</f>
        <v>1.72</v>
      </c>
      <c r="D212" s="21" t="s">
        <v>716</v>
      </c>
      <c r="E212" s="21" t="s">
        <v>734</v>
      </c>
      <c r="F212" s="21" t="s">
        <v>6733</v>
      </c>
      <c r="G212" s="21" t="s">
        <v>6758</v>
      </c>
      <c r="H212" s="21" t="s">
        <v>3061</v>
      </c>
      <c r="I212" s="21" t="s">
        <v>761</v>
      </c>
    </row>
    <row r="213" customFormat="false" ht="15" hidden="false" customHeight="false" outlineLevel="0" collapsed="false">
      <c r="B213" s="19" t="s">
        <v>6923</v>
      </c>
      <c r="C213" s="20" t="n">
        <f aca="false">ROUND(13.91/FX,2)</f>
        <v>1.93</v>
      </c>
      <c r="D213" s="21" t="s">
        <v>707</v>
      </c>
      <c r="E213" s="21" t="s">
        <v>734</v>
      </c>
      <c r="F213" s="21" t="s">
        <v>6698</v>
      </c>
      <c r="G213" s="21" t="s">
        <v>6758</v>
      </c>
      <c r="H213" s="21" t="s">
        <v>3061</v>
      </c>
      <c r="I213" s="21" t="s">
        <v>6815</v>
      </c>
    </row>
    <row r="214" customFormat="false" ht="15" hidden="false" customHeight="false" outlineLevel="0" collapsed="false">
      <c r="B214" s="19" t="s">
        <v>6924</v>
      </c>
      <c r="C214" s="20" t="n">
        <f aca="false">ROUND(12.35/FX,2)</f>
        <v>1.72</v>
      </c>
      <c r="D214" s="21" t="s">
        <v>716</v>
      </c>
      <c r="E214" s="21" t="s">
        <v>734</v>
      </c>
      <c r="F214" s="21" t="s">
        <v>6733</v>
      </c>
      <c r="G214" s="21" t="s">
        <v>6758</v>
      </c>
      <c r="H214" s="21" t="s">
        <v>3061</v>
      </c>
      <c r="I214" s="21" t="s">
        <v>6815</v>
      </c>
    </row>
    <row r="215" customFormat="false" ht="15" hidden="false" customHeight="false" outlineLevel="0" collapsed="false">
      <c r="B215" s="19" t="s">
        <v>6925</v>
      </c>
      <c r="C215" s="20" t="n">
        <f aca="false">ROUND(13.91/FX,2)</f>
        <v>1.93</v>
      </c>
      <c r="D215" s="21" t="s">
        <v>707</v>
      </c>
      <c r="E215" s="21" t="s">
        <v>734</v>
      </c>
      <c r="F215" s="21" t="s">
        <v>6733</v>
      </c>
      <c r="G215" s="21" t="s">
        <v>6758</v>
      </c>
      <c r="H215" s="21" t="s">
        <v>3061</v>
      </c>
      <c r="I215" s="21" t="s">
        <v>4721</v>
      </c>
    </row>
    <row r="216" customFormat="false" ht="15" hidden="false" customHeight="false" outlineLevel="0" collapsed="false">
      <c r="B216" s="19" t="s">
        <v>6926</v>
      </c>
      <c r="C216" s="20" t="n">
        <f aca="false">ROUND(13.65/FX,2)</f>
        <v>1.9</v>
      </c>
      <c r="D216" s="21" t="s">
        <v>707</v>
      </c>
      <c r="E216" s="21" t="s">
        <v>734</v>
      </c>
      <c r="F216" s="21" t="s">
        <v>6862</v>
      </c>
      <c r="G216" s="21" t="s">
        <v>6758</v>
      </c>
      <c r="H216" s="21" t="s">
        <v>3061</v>
      </c>
      <c r="I216" s="21" t="s">
        <v>4721</v>
      </c>
    </row>
    <row r="217" customFormat="false" ht="15" hidden="false" customHeight="false" outlineLevel="0" collapsed="false">
      <c r="B217" s="19" t="s">
        <v>6927</v>
      </c>
      <c r="C217" s="20" t="n">
        <f aca="false">ROUND(12.35/FX,2)</f>
        <v>1.72</v>
      </c>
      <c r="D217" s="21" t="s">
        <v>716</v>
      </c>
      <c r="E217" s="21" t="s">
        <v>734</v>
      </c>
      <c r="F217" s="21" t="s">
        <v>6698</v>
      </c>
      <c r="G217" s="21" t="s">
        <v>6758</v>
      </c>
      <c r="H217" s="21" t="s">
        <v>3061</v>
      </c>
      <c r="I217" s="21" t="s">
        <v>4721</v>
      </c>
    </row>
    <row r="218" customFormat="false" ht="15" hidden="false" customHeight="false" outlineLevel="0" collapsed="false">
      <c r="B218" s="19" t="s">
        <v>6928</v>
      </c>
      <c r="C218" s="20" t="n">
        <f aca="false">ROUND(13.91/FX,2)</f>
        <v>1.93</v>
      </c>
      <c r="D218" s="21" t="s">
        <v>707</v>
      </c>
      <c r="E218" s="21" t="s">
        <v>734</v>
      </c>
      <c r="F218" s="21" t="s">
        <v>6698</v>
      </c>
      <c r="G218" s="21" t="s">
        <v>6758</v>
      </c>
      <c r="H218" s="21" t="s">
        <v>3061</v>
      </c>
      <c r="I218" s="21" t="s">
        <v>714</v>
      </c>
    </row>
    <row r="219" customFormat="false" ht="15" hidden="false" customHeight="false" outlineLevel="0" collapsed="false">
      <c r="B219" s="19" t="s">
        <v>6929</v>
      </c>
      <c r="C219" s="20" t="n">
        <f aca="false">ROUND(16.25/FX,2)</f>
        <v>2.26</v>
      </c>
      <c r="D219" s="21" t="s">
        <v>714</v>
      </c>
      <c r="E219" s="21" t="s">
        <v>734</v>
      </c>
      <c r="F219" s="21" t="s">
        <v>6698</v>
      </c>
      <c r="G219" s="21" t="s">
        <v>6758</v>
      </c>
      <c r="H219" s="21" t="s">
        <v>3061</v>
      </c>
      <c r="I219" s="21" t="s">
        <v>714</v>
      </c>
    </row>
    <row r="220" customFormat="false" ht="15" hidden="false" customHeight="false" outlineLevel="0" collapsed="false">
      <c r="B220" s="19" t="s">
        <v>6930</v>
      </c>
      <c r="C220" s="20" t="n">
        <f aca="false">ROUND(12.35/FX,2)</f>
        <v>1.72</v>
      </c>
      <c r="D220" s="21" t="s">
        <v>716</v>
      </c>
      <c r="E220" s="21" t="s">
        <v>734</v>
      </c>
      <c r="F220" s="21" t="s">
        <v>6698</v>
      </c>
      <c r="G220" s="21" t="s">
        <v>6758</v>
      </c>
      <c r="H220" s="21" t="s">
        <v>3061</v>
      </c>
      <c r="I220" s="21" t="s">
        <v>714</v>
      </c>
    </row>
    <row r="221" customFormat="false" ht="15" hidden="false" customHeight="false" outlineLevel="0" collapsed="false">
      <c r="B221" s="19" t="s">
        <v>6931</v>
      </c>
      <c r="C221" s="20" t="n">
        <f aca="false">ROUND(13.91/FX,2)</f>
        <v>1.93</v>
      </c>
      <c r="D221" s="21" t="s">
        <v>707</v>
      </c>
      <c r="E221" s="21" t="s">
        <v>734</v>
      </c>
      <c r="F221" s="21" t="s">
        <v>6712</v>
      </c>
      <c r="G221" s="21" t="s">
        <v>6758</v>
      </c>
      <c r="H221" s="21" t="s">
        <v>3061</v>
      </c>
      <c r="I221" s="21" t="s">
        <v>3833</v>
      </c>
    </row>
    <row r="222" customFormat="false" ht="15" hidden="false" customHeight="false" outlineLevel="0" collapsed="false">
      <c r="B222" s="19" t="s">
        <v>6932</v>
      </c>
      <c r="C222" s="20" t="n">
        <f aca="false">ROUND(16.25/FX,2)</f>
        <v>2.26</v>
      </c>
      <c r="D222" s="21" t="s">
        <v>714</v>
      </c>
      <c r="E222" s="21" t="s">
        <v>734</v>
      </c>
      <c r="F222" s="21" t="s">
        <v>6698</v>
      </c>
      <c r="G222" s="21" t="s">
        <v>6758</v>
      </c>
      <c r="H222" s="21" t="s">
        <v>3061</v>
      </c>
      <c r="I222" s="21" t="s">
        <v>3833</v>
      </c>
    </row>
    <row r="223" customFormat="false" ht="15" hidden="false" customHeight="false" outlineLevel="0" collapsed="false">
      <c r="B223" s="19" t="s">
        <v>6933</v>
      </c>
      <c r="C223" s="20" t="n">
        <f aca="false">ROUND(12.35/FX,2)</f>
        <v>1.72</v>
      </c>
      <c r="D223" s="21" t="s">
        <v>716</v>
      </c>
      <c r="E223" s="21" t="s">
        <v>734</v>
      </c>
      <c r="F223" s="21" t="s">
        <v>6733</v>
      </c>
      <c r="G223" s="21" t="s">
        <v>6758</v>
      </c>
      <c r="H223" s="21" t="s">
        <v>3061</v>
      </c>
      <c r="I223" s="21" t="s">
        <v>3833</v>
      </c>
    </row>
    <row r="224" customFormat="false" ht="15" hidden="false" customHeight="false" outlineLevel="0" collapsed="false">
      <c r="B224" s="19" t="s">
        <v>6934</v>
      </c>
      <c r="C224" s="20" t="n">
        <f aca="false">ROUND(13.91/FX,2)</f>
        <v>1.93</v>
      </c>
      <c r="D224" s="21" t="s">
        <v>707</v>
      </c>
      <c r="E224" s="21" t="s">
        <v>734</v>
      </c>
      <c r="F224" s="21" t="s">
        <v>6698</v>
      </c>
      <c r="G224" s="21" t="s">
        <v>6758</v>
      </c>
      <c r="H224" s="21" t="s">
        <v>3061</v>
      </c>
      <c r="I224" s="21" t="s">
        <v>5492</v>
      </c>
    </row>
    <row r="225" customFormat="false" ht="15" hidden="false" customHeight="false" outlineLevel="0" collapsed="false">
      <c r="B225" s="19" t="s">
        <v>6935</v>
      </c>
      <c r="C225" s="20" t="n">
        <f aca="false">ROUND(12.35/FX,2)</f>
        <v>1.72</v>
      </c>
      <c r="D225" s="21" t="s">
        <v>716</v>
      </c>
      <c r="E225" s="21" t="s">
        <v>734</v>
      </c>
      <c r="F225" s="21" t="s">
        <v>6698</v>
      </c>
      <c r="G225" s="21" t="s">
        <v>6758</v>
      </c>
      <c r="H225" s="21" t="s">
        <v>3061</v>
      </c>
      <c r="I225" s="21" t="s">
        <v>5492</v>
      </c>
    </row>
    <row r="226" customFormat="false" ht="15" hidden="false" customHeight="false" outlineLevel="0" collapsed="false">
      <c r="B226" s="19" t="s">
        <v>6936</v>
      </c>
      <c r="C226" s="20" t="n">
        <f aca="false">ROUND(13.91/FX,2)</f>
        <v>1.93</v>
      </c>
      <c r="D226" s="21" t="s">
        <v>707</v>
      </c>
      <c r="E226" s="21" t="s">
        <v>734</v>
      </c>
      <c r="F226" s="21" t="s">
        <v>6698</v>
      </c>
      <c r="G226" s="21" t="s">
        <v>6758</v>
      </c>
      <c r="H226" s="21" t="s">
        <v>3061</v>
      </c>
      <c r="I226" s="21" t="s">
        <v>4000</v>
      </c>
    </row>
    <row r="227" customFormat="false" ht="15" hidden="false" customHeight="false" outlineLevel="0" collapsed="false">
      <c r="B227" s="19" t="s">
        <v>6937</v>
      </c>
      <c r="C227" s="20" t="n">
        <f aca="false">ROUND(16.25/FX,2)</f>
        <v>2.26</v>
      </c>
      <c r="D227" s="21" t="s">
        <v>714</v>
      </c>
      <c r="E227" s="21" t="s">
        <v>734</v>
      </c>
      <c r="F227" s="21" t="s">
        <v>6698</v>
      </c>
      <c r="G227" s="21" t="s">
        <v>6758</v>
      </c>
      <c r="H227" s="21" t="s">
        <v>3061</v>
      </c>
      <c r="I227" s="21" t="s">
        <v>4000</v>
      </c>
    </row>
    <row r="228" customFormat="false" ht="15" hidden="false" customHeight="false" outlineLevel="0" collapsed="false">
      <c r="B228" s="19" t="s">
        <v>6938</v>
      </c>
      <c r="C228" s="20" t="n">
        <f aca="false">ROUND(12.35/FX,2)</f>
        <v>1.72</v>
      </c>
      <c r="D228" s="21" t="s">
        <v>716</v>
      </c>
      <c r="E228" s="21" t="s">
        <v>734</v>
      </c>
      <c r="F228" s="21" t="s">
        <v>6698</v>
      </c>
      <c r="G228" s="21" t="s">
        <v>6758</v>
      </c>
      <c r="H228" s="21" t="s">
        <v>3061</v>
      </c>
      <c r="I228" s="21" t="s">
        <v>4000</v>
      </c>
    </row>
    <row r="229" customFormat="false" ht="15" hidden="false" customHeight="false" outlineLevel="0" collapsed="false">
      <c r="B229" s="19" t="s">
        <v>6939</v>
      </c>
      <c r="C229" s="20" t="n">
        <f aca="false">ROUND(13.91/FX,2)</f>
        <v>1.93</v>
      </c>
      <c r="D229" s="21" t="s">
        <v>707</v>
      </c>
      <c r="E229" s="21" t="s">
        <v>734</v>
      </c>
      <c r="F229" s="21" t="s">
        <v>6698</v>
      </c>
      <c r="G229" s="21" t="s">
        <v>6758</v>
      </c>
      <c r="H229" s="21" t="s">
        <v>3061</v>
      </c>
      <c r="I229" s="21" t="s">
        <v>6940</v>
      </c>
    </row>
    <row r="230" customFormat="false" ht="15" hidden="false" customHeight="false" outlineLevel="0" collapsed="false">
      <c r="B230" s="19" t="s">
        <v>6941</v>
      </c>
      <c r="C230" s="20" t="n">
        <f aca="false">ROUND(16.25/FX,2)</f>
        <v>2.26</v>
      </c>
      <c r="D230" s="21" t="s">
        <v>714</v>
      </c>
      <c r="E230" s="21" t="s">
        <v>734</v>
      </c>
      <c r="F230" s="21" t="s">
        <v>6698</v>
      </c>
      <c r="G230" s="21" t="s">
        <v>6758</v>
      </c>
      <c r="H230" s="21" t="s">
        <v>3061</v>
      </c>
      <c r="I230" s="21" t="s">
        <v>6940</v>
      </c>
    </row>
    <row r="231" customFormat="false" ht="15" hidden="false" customHeight="false" outlineLevel="0" collapsed="false">
      <c r="B231" s="19" t="s">
        <v>6942</v>
      </c>
      <c r="C231" s="20" t="n">
        <f aca="false">ROUND(12.35/FX,2)</f>
        <v>1.72</v>
      </c>
      <c r="D231" s="21" t="s">
        <v>716</v>
      </c>
      <c r="E231" s="21" t="s">
        <v>734</v>
      </c>
      <c r="F231" s="21" t="s">
        <v>6698</v>
      </c>
      <c r="G231" s="21" t="s">
        <v>6758</v>
      </c>
      <c r="H231" s="21" t="s">
        <v>3061</v>
      </c>
      <c r="I231" s="21" t="s">
        <v>6940</v>
      </c>
    </row>
    <row r="232" customFormat="false" ht="15" hidden="false" customHeight="false" outlineLevel="0" collapsed="false">
      <c r="B232" s="19" t="s">
        <v>6943</v>
      </c>
      <c r="C232" s="20" t="n">
        <f aca="false">ROUND(13.91/FX,2)</f>
        <v>1.93</v>
      </c>
      <c r="D232" s="21" t="s">
        <v>707</v>
      </c>
      <c r="E232" s="21" t="s">
        <v>734</v>
      </c>
      <c r="F232" s="21" t="s">
        <v>6698</v>
      </c>
      <c r="G232" s="21" t="s">
        <v>6758</v>
      </c>
      <c r="H232" s="21" t="s">
        <v>3061</v>
      </c>
      <c r="I232" s="21" t="s">
        <v>3247</v>
      </c>
    </row>
    <row r="233" customFormat="false" ht="15" hidden="false" customHeight="false" outlineLevel="0" collapsed="false">
      <c r="B233" s="19" t="s">
        <v>6944</v>
      </c>
      <c r="C233" s="20" t="n">
        <f aca="false">ROUND(16.25/FX,2)</f>
        <v>2.26</v>
      </c>
      <c r="D233" s="21" t="s">
        <v>714</v>
      </c>
      <c r="E233" s="21" t="s">
        <v>734</v>
      </c>
      <c r="F233" s="21" t="s">
        <v>6698</v>
      </c>
      <c r="G233" s="21" t="s">
        <v>6758</v>
      </c>
      <c r="H233" s="21" t="s">
        <v>3061</v>
      </c>
      <c r="I233" s="21" t="s">
        <v>3247</v>
      </c>
    </row>
    <row r="234" customFormat="false" ht="15" hidden="false" customHeight="false" outlineLevel="0" collapsed="false">
      <c r="B234" s="19" t="s">
        <v>6945</v>
      </c>
      <c r="C234" s="20" t="n">
        <f aca="false">ROUND(12.35/FX,2)</f>
        <v>1.72</v>
      </c>
      <c r="D234" s="21" t="s">
        <v>716</v>
      </c>
      <c r="E234" s="21" t="s">
        <v>734</v>
      </c>
      <c r="F234" s="21" t="s">
        <v>6698</v>
      </c>
      <c r="G234" s="21" t="s">
        <v>6758</v>
      </c>
      <c r="H234" s="21" t="s">
        <v>3061</v>
      </c>
      <c r="I234" s="21" t="s">
        <v>3247</v>
      </c>
    </row>
    <row r="235" customFormat="false" ht="15" hidden="false" customHeight="false" outlineLevel="0" collapsed="false">
      <c r="B235" s="19" t="s">
        <v>6946</v>
      </c>
      <c r="C235" s="20" t="n">
        <f aca="false">ROUND(12.35/FX,2)</f>
        <v>1.72</v>
      </c>
      <c r="D235" s="21" t="s">
        <v>716</v>
      </c>
      <c r="E235" s="21" t="s">
        <v>734</v>
      </c>
      <c r="F235" s="21" t="s">
        <v>6733</v>
      </c>
      <c r="G235" s="21" t="s">
        <v>6758</v>
      </c>
      <c r="H235" s="21" t="s">
        <v>3061</v>
      </c>
      <c r="I235" s="21" t="s">
        <v>3317</v>
      </c>
    </row>
    <row r="236" customFormat="false" ht="15" hidden="false" customHeight="false" outlineLevel="0" collapsed="false">
      <c r="B236" s="19" t="s">
        <v>6947</v>
      </c>
      <c r="C236" s="20" t="n">
        <f aca="false">ROUND(13.91/FX,2)</f>
        <v>1.93</v>
      </c>
      <c r="D236" s="21" t="s">
        <v>707</v>
      </c>
      <c r="E236" s="21" t="s">
        <v>734</v>
      </c>
      <c r="F236" s="21" t="s">
        <v>6733</v>
      </c>
      <c r="G236" s="21" t="s">
        <v>6758</v>
      </c>
      <c r="H236" s="21" t="s">
        <v>3061</v>
      </c>
      <c r="I236" s="21" t="s">
        <v>789</v>
      </c>
    </row>
    <row r="237" customFormat="false" ht="15" hidden="false" customHeight="false" outlineLevel="0" collapsed="false">
      <c r="B237" s="19" t="s">
        <v>6948</v>
      </c>
      <c r="C237" s="20" t="n">
        <f aca="false">ROUND(14.95/FX,2)</f>
        <v>2.08</v>
      </c>
      <c r="D237" s="21" t="s">
        <v>707</v>
      </c>
      <c r="E237" s="21" t="s">
        <v>734</v>
      </c>
      <c r="F237" s="21" t="s">
        <v>6862</v>
      </c>
      <c r="G237" s="21" t="s">
        <v>6758</v>
      </c>
      <c r="H237" s="21" t="s">
        <v>3061</v>
      </c>
      <c r="I237" s="21" t="s">
        <v>789</v>
      </c>
    </row>
    <row r="238" customFormat="false" ht="15" hidden="false" customHeight="false" outlineLevel="0" collapsed="false">
      <c r="B238" s="19" t="s">
        <v>6949</v>
      </c>
      <c r="C238" s="20" t="n">
        <f aca="false">ROUND(11.05/FX,2)</f>
        <v>1.53</v>
      </c>
      <c r="D238" s="21" t="s">
        <v>716</v>
      </c>
      <c r="E238" s="21" t="s">
        <v>734</v>
      </c>
      <c r="F238" s="21" t="s">
        <v>724</v>
      </c>
      <c r="G238" s="21" t="s">
        <v>6758</v>
      </c>
      <c r="H238" s="21" t="s">
        <v>3061</v>
      </c>
      <c r="I238" s="21" t="s">
        <v>789</v>
      </c>
    </row>
    <row r="239" customFormat="false" ht="15" hidden="false" customHeight="false" outlineLevel="0" collapsed="false">
      <c r="B239" s="19" t="s">
        <v>6950</v>
      </c>
      <c r="C239" s="20" t="n">
        <f aca="false">ROUND(11.05/FX,2)</f>
        <v>1.53</v>
      </c>
      <c r="D239" s="21" t="s">
        <v>716</v>
      </c>
      <c r="E239" s="21" t="s">
        <v>734</v>
      </c>
      <c r="F239" s="21" t="s">
        <v>6706</v>
      </c>
      <c r="G239" s="21" t="s">
        <v>6758</v>
      </c>
      <c r="H239" s="21" t="s">
        <v>3061</v>
      </c>
      <c r="I239" s="21" t="s">
        <v>789</v>
      </c>
    </row>
    <row r="240" customFormat="false" ht="15" hidden="false" customHeight="false" outlineLevel="0" collapsed="false">
      <c r="B240" s="19" t="s">
        <v>6951</v>
      </c>
      <c r="C240" s="20" t="n">
        <f aca="false">ROUND(12.61/FX,2)</f>
        <v>1.75</v>
      </c>
      <c r="D240" s="21" t="s">
        <v>716</v>
      </c>
      <c r="E240" s="21" t="s">
        <v>734</v>
      </c>
      <c r="F240" s="21" t="s">
        <v>6698</v>
      </c>
      <c r="G240" s="21" t="s">
        <v>6758</v>
      </c>
      <c r="H240" s="21" t="s">
        <v>3061</v>
      </c>
      <c r="I240" s="21" t="s">
        <v>789</v>
      </c>
    </row>
    <row r="241" customFormat="false" ht="15" hidden="false" customHeight="false" outlineLevel="0" collapsed="false">
      <c r="B241" s="19" t="s">
        <v>6952</v>
      </c>
      <c r="C241" s="20" t="n">
        <f aca="false">ROUND(12.61/FX,2)</f>
        <v>1.75</v>
      </c>
      <c r="D241" s="21" t="s">
        <v>716</v>
      </c>
      <c r="E241" s="21" t="s">
        <v>734</v>
      </c>
      <c r="F241" s="21" t="s">
        <v>6862</v>
      </c>
      <c r="G241" s="21" t="s">
        <v>6758</v>
      </c>
      <c r="H241" s="21" t="s">
        <v>3061</v>
      </c>
      <c r="I241" s="21" t="s">
        <v>789</v>
      </c>
    </row>
    <row r="242" customFormat="false" ht="15" hidden="false" customHeight="false" outlineLevel="0" collapsed="false">
      <c r="B242" s="19" t="s">
        <v>6953</v>
      </c>
      <c r="C242" s="20" t="n">
        <f aca="false">ROUND(13.91/FX,2)</f>
        <v>1.93</v>
      </c>
      <c r="D242" s="21" t="s">
        <v>707</v>
      </c>
      <c r="E242" s="21" t="s">
        <v>734</v>
      </c>
      <c r="F242" s="21" t="s">
        <v>6733</v>
      </c>
      <c r="G242" s="21" t="s">
        <v>6758</v>
      </c>
      <c r="H242" s="21" t="s">
        <v>3061</v>
      </c>
      <c r="I242" s="21" t="s">
        <v>716</v>
      </c>
    </row>
    <row r="243" customFormat="false" ht="15" hidden="false" customHeight="false" outlineLevel="0" collapsed="false">
      <c r="B243" s="19" t="s">
        <v>6954</v>
      </c>
      <c r="C243" s="20" t="n">
        <f aca="false">ROUND(12.35/FX,2)</f>
        <v>1.72</v>
      </c>
      <c r="D243" s="21" t="s">
        <v>716</v>
      </c>
      <c r="E243" s="21" t="s">
        <v>734</v>
      </c>
      <c r="F243" s="21" t="s">
        <v>6733</v>
      </c>
      <c r="G243" s="21" t="s">
        <v>6758</v>
      </c>
      <c r="H243" s="21" t="s">
        <v>3061</v>
      </c>
      <c r="I243" s="21" t="s">
        <v>716</v>
      </c>
    </row>
    <row r="244" customFormat="false" ht="15" hidden="false" customHeight="false" outlineLevel="0" collapsed="false">
      <c r="B244" s="19" t="s">
        <v>6955</v>
      </c>
      <c r="C244" s="20" t="n">
        <f aca="false">ROUND(13.91/FX,2)</f>
        <v>1.93</v>
      </c>
      <c r="D244" s="21" t="s">
        <v>707</v>
      </c>
      <c r="E244" s="21" t="s">
        <v>734</v>
      </c>
      <c r="F244" s="21" t="s">
        <v>6712</v>
      </c>
      <c r="G244" s="21" t="s">
        <v>6758</v>
      </c>
      <c r="H244" s="21" t="s">
        <v>3061</v>
      </c>
      <c r="I244" s="21" t="s">
        <v>6740</v>
      </c>
    </row>
    <row r="245" customFormat="false" ht="15" hidden="false" customHeight="false" outlineLevel="0" collapsed="false">
      <c r="B245" s="19" t="s">
        <v>6956</v>
      </c>
      <c r="C245" s="20" t="n">
        <f aca="false">ROUND(12.35/FX,2)</f>
        <v>1.72</v>
      </c>
      <c r="D245" s="21" t="s">
        <v>716</v>
      </c>
      <c r="E245" s="21" t="s">
        <v>734</v>
      </c>
      <c r="F245" s="21" t="s">
        <v>6733</v>
      </c>
      <c r="G245" s="21" t="s">
        <v>6758</v>
      </c>
      <c r="H245" s="21" t="s">
        <v>3061</v>
      </c>
      <c r="I245" s="21" t="s">
        <v>6740</v>
      </c>
    </row>
    <row r="246" customFormat="false" ht="15" hidden="false" customHeight="false" outlineLevel="0" collapsed="false">
      <c r="B246" s="19" t="s">
        <v>6957</v>
      </c>
      <c r="C246" s="20" t="n">
        <f aca="false">ROUND(12.35/FX,2)</f>
        <v>1.72</v>
      </c>
      <c r="D246" s="21" t="s">
        <v>716</v>
      </c>
      <c r="E246" s="21" t="s">
        <v>734</v>
      </c>
      <c r="F246" s="21" t="s">
        <v>6698</v>
      </c>
      <c r="G246" s="21" t="s">
        <v>6758</v>
      </c>
      <c r="H246" s="21" t="s">
        <v>3061</v>
      </c>
      <c r="I246" s="21" t="s">
        <v>845</v>
      </c>
    </row>
    <row r="247" customFormat="false" ht="15" hidden="false" customHeight="false" outlineLevel="0" collapsed="false">
      <c r="B247" s="19" t="s">
        <v>6958</v>
      </c>
      <c r="C247" s="20" t="n">
        <f aca="false">ROUND(13.91/FX,2)</f>
        <v>1.93</v>
      </c>
      <c r="D247" s="21" t="s">
        <v>707</v>
      </c>
      <c r="E247" s="21" t="s">
        <v>734</v>
      </c>
      <c r="F247" s="21" t="s">
        <v>6698</v>
      </c>
      <c r="G247" s="21" t="s">
        <v>6758</v>
      </c>
      <c r="H247" s="21" t="s">
        <v>3061</v>
      </c>
      <c r="I247" s="21" t="s">
        <v>847</v>
      </c>
    </row>
    <row r="248" customFormat="false" ht="15" hidden="false" customHeight="false" outlineLevel="0" collapsed="false">
      <c r="B248" s="19" t="s">
        <v>6959</v>
      </c>
      <c r="C248" s="20" t="n">
        <f aca="false">ROUND(14.95/FX,2)</f>
        <v>2.08</v>
      </c>
      <c r="D248" s="21" t="s">
        <v>707</v>
      </c>
      <c r="E248" s="21" t="s">
        <v>734</v>
      </c>
      <c r="F248" s="21" t="s">
        <v>6862</v>
      </c>
      <c r="G248" s="21" t="s">
        <v>6758</v>
      </c>
      <c r="H248" s="21" t="s">
        <v>3061</v>
      </c>
      <c r="I248" s="21" t="s">
        <v>847</v>
      </c>
    </row>
    <row r="249" customFormat="false" ht="15" hidden="false" customHeight="false" outlineLevel="0" collapsed="false">
      <c r="B249" s="19" t="s">
        <v>6960</v>
      </c>
      <c r="C249" s="20" t="n">
        <f aca="false">ROUND(15.6/FX,2)</f>
        <v>2.17</v>
      </c>
      <c r="D249" s="21" t="s">
        <v>714</v>
      </c>
      <c r="E249" s="21" t="s">
        <v>734</v>
      </c>
      <c r="F249" s="21" t="s">
        <v>6712</v>
      </c>
      <c r="G249" s="21" t="s">
        <v>6758</v>
      </c>
      <c r="H249" s="21" t="s">
        <v>3061</v>
      </c>
      <c r="I249" s="21" t="s">
        <v>847</v>
      </c>
    </row>
    <row r="250" customFormat="false" ht="15" hidden="false" customHeight="false" outlineLevel="0" collapsed="false">
      <c r="B250" s="19" t="s">
        <v>6961</v>
      </c>
      <c r="C250" s="20" t="n">
        <f aca="false">ROUND(11.05/FX,2)</f>
        <v>1.53</v>
      </c>
      <c r="D250" s="21" t="s">
        <v>716</v>
      </c>
      <c r="E250" s="21" t="s">
        <v>734</v>
      </c>
      <c r="F250" s="21" t="s">
        <v>724</v>
      </c>
      <c r="G250" s="21" t="s">
        <v>6758</v>
      </c>
      <c r="H250" s="21" t="s">
        <v>3061</v>
      </c>
      <c r="I250" s="21" t="s">
        <v>847</v>
      </c>
    </row>
    <row r="251" customFormat="false" ht="15" hidden="false" customHeight="false" outlineLevel="0" collapsed="false">
      <c r="B251" s="19" t="s">
        <v>6962</v>
      </c>
      <c r="C251" s="20" t="n">
        <f aca="false">ROUND(11.05/FX,2)</f>
        <v>1.53</v>
      </c>
      <c r="D251" s="21" t="s">
        <v>716</v>
      </c>
      <c r="E251" s="21" t="s">
        <v>734</v>
      </c>
      <c r="F251" s="21" t="s">
        <v>6706</v>
      </c>
      <c r="G251" s="21" t="s">
        <v>6758</v>
      </c>
      <c r="H251" s="21" t="s">
        <v>3061</v>
      </c>
      <c r="I251" s="21" t="s">
        <v>847</v>
      </c>
    </row>
    <row r="252" customFormat="false" ht="15" hidden="false" customHeight="false" outlineLevel="0" collapsed="false">
      <c r="B252" s="19" t="s">
        <v>6963</v>
      </c>
      <c r="C252" s="20" t="n">
        <f aca="false">ROUND(12.35/FX,2)</f>
        <v>1.72</v>
      </c>
      <c r="D252" s="21" t="s">
        <v>716</v>
      </c>
      <c r="E252" s="21" t="s">
        <v>734</v>
      </c>
      <c r="F252" s="21" t="s">
        <v>6698</v>
      </c>
      <c r="G252" s="21" t="s">
        <v>6758</v>
      </c>
      <c r="H252" s="21" t="s">
        <v>3061</v>
      </c>
      <c r="I252" s="21" t="s">
        <v>847</v>
      </c>
    </row>
    <row r="253" customFormat="false" ht="15" hidden="false" customHeight="false" outlineLevel="0" collapsed="false">
      <c r="B253" s="19" t="s">
        <v>6964</v>
      </c>
      <c r="C253" s="20" t="n">
        <f aca="false">ROUND(12.61/FX,2)</f>
        <v>1.75</v>
      </c>
      <c r="D253" s="21" t="s">
        <v>716</v>
      </c>
      <c r="E253" s="21" t="s">
        <v>734</v>
      </c>
      <c r="F253" s="21" t="s">
        <v>6862</v>
      </c>
      <c r="G253" s="21" t="s">
        <v>6758</v>
      </c>
      <c r="H253" s="21" t="s">
        <v>3061</v>
      </c>
      <c r="I253" s="21" t="s">
        <v>847</v>
      </c>
    </row>
    <row r="254" customFormat="false" ht="15" hidden="false" customHeight="false" outlineLevel="0" collapsed="false">
      <c r="B254" s="19" t="s">
        <v>6965</v>
      </c>
      <c r="C254" s="20" t="n">
        <f aca="false">ROUND(11.05/FX,2)</f>
        <v>1.53</v>
      </c>
      <c r="D254" s="21" t="s">
        <v>716</v>
      </c>
      <c r="E254" s="21" t="s">
        <v>734</v>
      </c>
      <c r="F254" s="21" t="s">
        <v>6362</v>
      </c>
      <c r="G254" s="21" t="s">
        <v>6758</v>
      </c>
      <c r="H254" s="21" t="s">
        <v>3061</v>
      </c>
      <c r="I254" s="21" t="s">
        <v>847</v>
      </c>
    </row>
    <row r="255" customFormat="false" ht="15" hidden="false" customHeight="false" outlineLevel="0" collapsed="false">
      <c r="B255" s="19" t="s">
        <v>6966</v>
      </c>
      <c r="C255" s="20" t="n">
        <f aca="false">ROUND(3.25/FX,2)</f>
        <v>0.45</v>
      </c>
      <c r="D255" s="21" t="s">
        <v>716</v>
      </c>
      <c r="E255" s="21" t="s">
        <v>734</v>
      </c>
      <c r="F255" s="21" t="s">
        <v>6712</v>
      </c>
      <c r="G255" s="21" t="s">
        <v>6967</v>
      </c>
      <c r="H255" s="21" t="s">
        <v>3317</v>
      </c>
      <c r="I255" s="21" t="s">
        <v>707</v>
      </c>
    </row>
    <row r="256" customFormat="false" ht="15" hidden="false" customHeight="false" outlineLevel="0" collapsed="false">
      <c r="B256" s="19" t="s">
        <v>6968</v>
      </c>
      <c r="C256" s="20" t="n">
        <f aca="false">ROUND(3.25/FX,2)</f>
        <v>0.45</v>
      </c>
      <c r="D256" s="21" t="s">
        <v>716</v>
      </c>
      <c r="E256" s="21" t="s">
        <v>734</v>
      </c>
      <c r="F256" s="21" t="s">
        <v>6712</v>
      </c>
      <c r="G256" s="21" t="s">
        <v>6967</v>
      </c>
      <c r="H256" s="21" t="s">
        <v>3317</v>
      </c>
      <c r="I256" s="21" t="s">
        <v>841</v>
      </c>
    </row>
    <row r="257" customFormat="false" ht="15" hidden="false" customHeight="false" outlineLevel="0" collapsed="false">
      <c r="B257" s="19" t="s">
        <v>6969</v>
      </c>
      <c r="C257" s="20" t="n">
        <f aca="false">ROUND(3.25/FX,2)</f>
        <v>0.45</v>
      </c>
      <c r="D257" s="21" t="s">
        <v>707</v>
      </c>
      <c r="E257" s="21" t="s">
        <v>734</v>
      </c>
      <c r="F257" s="21" t="s">
        <v>6698</v>
      </c>
      <c r="G257" s="21" t="s">
        <v>6967</v>
      </c>
      <c r="H257" s="21" t="s">
        <v>3317</v>
      </c>
      <c r="I257" s="21" t="s">
        <v>789</v>
      </c>
    </row>
    <row r="258" customFormat="false" ht="15" hidden="false" customHeight="false" outlineLevel="0" collapsed="false">
      <c r="B258" s="19" t="s">
        <v>6970</v>
      </c>
      <c r="C258" s="20" t="n">
        <f aca="false">ROUND(3.38/FX,2)</f>
        <v>0.47</v>
      </c>
      <c r="D258" s="21" t="s">
        <v>716</v>
      </c>
      <c r="E258" s="21" t="s">
        <v>734</v>
      </c>
      <c r="F258" s="21" t="s">
        <v>6698</v>
      </c>
      <c r="G258" s="21" t="s">
        <v>6967</v>
      </c>
      <c r="H258" s="21" t="s">
        <v>3317</v>
      </c>
      <c r="I258" s="21" t="s">
        <v>789</v>
      </c>
    </row>
    <row r="259" customFormat="false" ht="15" hidden="false" customHeight="false" outlineLevel="0" collapsed="false">
      <c r="B259" s="19" t="s">
        <v>6971</v>
      </c>
      <c r="C259" s="20" t="n">
        <f aca="false">ROUND(3.38/FX,2)</f>
        <v>0.47</v>
      </c>
      <c r="D259" s="21" t="s">
        <v>716</v>
      </c>
      <c r="E259" s="21" t="s">
        <v>734</v>
      </c>
      <c r="F259" s="21" t="s">
        <v>6712</v>
      </c>
      <c r="G259" s="21" t="s">
        <v>6967</v>
      </c>
      <c r="H259" s="21" t="s">
        <v>3317</v>
      </c>
      <c r="I259" s="21" t="s">
        <v>716</v>
      </c>
    </row>
    <row r="260" customFormat="false" ht="15" hidden="false" customHeight="false" outlineLevel="0" collapsed="false">
      <c r="B260" s="19" t="s">
        <v>6972</v>
      </c>
      <c r="C260" s="20" t="n">
        <f aca="false">ROUND(3.25/FX,2)</f>
        <v>0.45</v>
      </c>
      <c r="D260" s="21" t="s">
        <v>716</v>
      </c>
      <c r="E260" s="21" t="s">
        <v>734</v>
      </c>
      <c r="F260" s="21" t="s">
        <v>6712</v>
      </c>
      <c r="G260" s="21" t="s">
        <v>6967</v>
      </c>
      <c r="H260" s="21" t="s">
        <v>3317</v>
      </c>
      <c r="I260" s="21" t="s">
        <v>6740</v>
      </c>
    </row>
    <row r="261" customFormat="false" ht="15" hidden="false" customHeight="false" outlineLevel="0" collapsed="false">
      <c r="B261" s="19" t="s">
        <v>6973</v>
      </c>
      <c r="C261" s="20" t="n">
        <f aca="false">ROUND(3.25/FX,2)</f>
        <v>0.45</v>
      </c>
      <c r="D261" s="21" t="s">
        <v>707</v>
      </c>
      <c r="E261" s="21" t="s">
        <v>734</v>
      </c>
      <c r="F261" s="21" t="s">
        <v>6698</v>
      </c>
      <c r="G261" s="21" t="s">
        <v>6967</v>
      </c>
      <c r="H261" s="21" t="s">
        <v>3317</v>
      </c>
      <c r="I261" s="21" t="s">
        <v>847</v>
      </c>
    </row>
    <row r="262" customFormat="false" ht="15" hidden="false" customHeight="false" outlineLevel="0" collapsed="false">
      <c r="B262" s="19" t="s">
        <v>6974</v>
      </c>
      <c r="C262" s="20" t="n">
        <f aca="false">ROUND(3.38/FX,2)</f>
        <v>0.47</v>
      </c>
      <c r="D262" s="21" t="s">
        <v>716</v>
      </c>
      <c r="E262" s="21" t="s">
        <v>734</v>
      </c>
      <c r="F262" s="21" t="s">
        <v>6712</v>
      </c>
      <c r="G262" s="21" t="s">
        <v>6967</v>
      </c>
      <c r="H262" s="21" t="s">
        <v>3317</v>
      </c>
      <c r="I262" s="21" t="s">
        <v>847</v>
      </c>
    </row>
    <row r="263" customFormat="false" ht="15" hidden="false" customHeight="false" outlineLevel="0" collapsed="false">
      <c r="B263" s="19" t="s">
        <v>6975</v>
      </c>
      <c r="C263" s="20" t="n">
        <f aca="false">ROUND(4.68/FX,2)</f>
        <v>0.65</v>
      </c>
      <c r="D263" s="21" t="s">
        <v>847</v>
      </c>
      <c r="E263" s="21" t="s">
        <v>734</v>
      </c>
      <c r="F263" s="21" t="s">
        <v>6712</v>
      </c>
      <c r="G263" s="21" t="s">
        <v>6976</v>
      </c>
      <c r="H263" s="21" t="s">
        <v>3247</v>
      </c>
      <c r="I263" s="21" t="s">
        <v>789</v>
      </c>
    </row>
    <row r="264" customFormat="false" ht="15" hidden="false" customHeight="false" outlineLevel="0" collapsed="false">
      <c r="B264" s="19" t="s">
        <v>6977</v>
      </c>
      <c r="C264" s="20" t="n">
        <f aca="false">ROUND(4.68/FX,2)</f>
        <v>0.65</v>
      </c>
      <c r="D264" s="21" t="s">
        <v>847</v>
      </c>
      <c r="E264" s="21" t="s">
        <v>734</v>
      </c>
      <c r="F264" s="21" t="s">
        <v>6712</v>
      </c>
      <c r="G264" s="21" t="s">
        <v>6976</v>
      </c>
      <c r="H264" s="21" t="s">
        <v>3247</v>
      </c>
      <c r="I264" s="21" t="s">
        <v>716</v>
      </c>
    </row>
    <row r="265" customFormat="false" ht="15" hidden="false" customHeight="false" outlineLevel="0" collapsed="false">
      <c r="B265" s="19" t="s">
        <v>6978</v>
      </c>
      <c r="C265" s="20" t="n">
        <f aca="false">ROUND(4.68/FX,2)</f>
        <v>0.65</v>
      </c>
      <c r="D265" s="21" t="s">
        <v>847</v>
      </c>
      <c r="E265" s="21" t="s">
        <v>734</v>
      </c>
      <c r="F265" s="21" t="s">
        <v>6712</v>
      </c>
      <c r="G265" s="21" t="s">
        <v>6976</v>
      </c>
      <c r="H265" s="21" t="s">
        <v>3247</v>
      </c>
      <c r="I265" s="21" t="s">
        <v>6740</v>
      </c>
    </row>
    <row r="266" customFormat="false" ht="15" hidden="false" customHeight="false" outlineLevel="0" collapsed="false">
      <c r="B266" s="19" t="s">
        <v>6979</v>
      </c>
      <c r="C266" s="20" t="n">
        <f aca="false">ROUND(4.68/FX,2)</f>
        <v>0.65</v>
      </c>
      <c r="D266" s="21" t="s">
        <v>847</v>
      </c>
      <c r="E266" s="21" t="s">
        <v>734</v>
      </c>
      <c r="F266" s="21" t="s">
        <v>6712</v>
      </c>
      <c r="G266" s="21" t="s">
        <v>6976</v>
      </c>
      <c r="H266" s="21" t="s">
        <v>3247</v>
      </c>
      <c r="I266" s="21" t="s">
        <v>847</v>
      </c>
    </row>
    <row r="267" customFormat="false" ht="15" hidden="false" customHeight="false" outlineLevel="0" collapsed="false">
      <c r="B267" s="19" t="s">
        <v>6980</v>
      </c>
      <c r="C267" s="20" t="n">
        <f aca="false">ROUND(7.8/FX,2)</f>
        <v>1.08</v>
      </c>
      <c r="D267" s="21" t="s">
        <v>707</v>
      </c>
      <c r="E267" s="21" t="s">
        <v>734</v>
      </c>
      <c r="F267" s="21" t="s">
        <v>6698</v>
      </c>
      <c r="G267" s="21" t="s">
        <v>6976</v>
      </c>
      <c r="H267" s="21" t="s">
        <v>6244</v>
      </c>
      <c r="I267" s="21" t="s">
        <v>707</v>
      </c>
    </row>
    <row r="268" customFormat="false" ht="15" hidden="false" customHeight="false" outlineLevel="0" collapsed="false">
      <c r="B268" s="19" t="s">
        <v>6981</v>
      </c>
      <c r="C268" s="20" t="n">
        <f aca="false">ROUND(4.5/FX,2)</f>
        <v>0.63</v>
      </c>
      <c r="D268" s="21" t="s">
        <v>716</v>
      </c>
      <c r="E268" s="21" t="s">
        <v>734</v>
      </c>
      <c r="F268" s="21" t="s">
        <v>724</v>
      </c>
      <c r="G268" s="21" t="s">
        <v>6982</v>
      </c>
      <c r="H268" s="21" t="s">
        <v>3833</v>
      </c>
      <c r="I268" s="21" t="s">
        <v>839</v>
      </c>
    </row>
    <row r="269" customFormat="false" ht="15" hidden="false" customHeight="false" outlineLevel="0" collapsed="false">
      <c r="B269" s="19" t="s">
        <v>6983</v>
      </c>
      <c r="C269" s="20" t="n">
        <f aca="false">ROUND(2.8/FX,2)</f>
        <v>0.39</v>
      </c>
      <c r="D269" s="21" t="s">
        <v>716</v>
      </c>
      <c r="E269" s="21" t="s">
        <v>6984</v>
      </c>
      <c r="F269" s="21" t="s">
        <v>724</v>
      </c>
      <c r="G269" s="21" t="s">
        <v>6982</v>
      </c>
      <c r="H269" s="21" t="s">
        <v>3833</v>
      </c>
      <c r="I269" s="21" t="s">
        <v>839</v>
      </c>
    </row>
    <row r="270" customFormat="false" ht="15" hidden="false" customHeight="false" outlineLevel="0" collapsed="false">
      <c r="B270" s="19" t="s">
        <v>6985</v>
      </c>
      <c r="C270" s="20" t="n">
        <f aca="false">ROUND(2.34/FX,2)</f>
        <v>0.33</v>
      </c>
      <c r="D270" s="21" t="s">
        <v>716</v>
      </c>
      <c r="E270" s="21" t="s">
        <v>6984</v>
      </c>
      <c r="F270" s="21" t="s">
        <v>6712</v>
      </c>
      <c r="G270" s="21" t="s">
        <v>6982</v>
      </c>
      <c r="H270" s="21" t="s">
        <v>3833</v>
      </c>
      <c r="I270" s="21" t="s">
        <v>839</v>
      </c>
    </row>
    <row r="271" customFormat="false" ht="15" hidden="false" customHeight="false" outlineLevel="0" collapsed="false">
      <c r="B271" s="19" t="s">
        <v>6986</v>
      </c>
      <c r="C271" s="20" t="n">
        <f aca="false">ROUND(2.99/FX,2)</f>
        <v>0.42</v>
      </c>
      <c r="D271" s="21" t="s">
        <v>716</v>
      </c>
      <c r="E271" s="21" t="s">
        <v>6984</v>
      </c>
      <c r="F271" s="21" t="s">
        <v>724</v>
      </c>
      <c r="G271" s="21" t="s">
        <v>6982</v>
      </c>
      <c r="H271" s="21" t="s">
        <v>3833</v>
      </c>
      <c r="I271" s="21" t="s">
        <v>841</v>
      </c>
    </row>
    <row r="272" customFormat="false" ht="15" hidden="false" customHeight="false" outlineLevel="0" collapsed="false">
      <c r="B272" s="19" t="s">
        <v>6987</v>
      </c>
      <c r="C272" s="20" t="n">
        <f aca="false">ROUND(2.34/FX,2)</f>
        <v>0.33</v>
      </c>
      <c r="D272" s="21" t="s">
        <v>716</v>
      </c>
      <c r="E272" s="21" t="s">
        <v>6984</v>
      </c>
      <c r="F272" s="21" t="s">
        <v>6712</v>
      </c>
      <c r="G272" s="21" t="s">
        <v>6982</v>
      </c>
      <c r="H272" s="21" t="s">
        <v>3833</v>
      </c>
      <c r="I272" s="21" t="s">
        <v>841</v>
      </c>
    </row>
    <row r="273" customFormat="false" ht="15" hidden="false" customHeight="false" outlineLevel="0" collapsed="false">
      <c r="B273" s="19" t="s">
        <v>6988</v>
      </c>
      <c r="C273" s="20" t="n">
        <f aca="false">ROUND(3/FX,2)</f>
        <v>0.42</v>
      </c>
      <c r="D273" s="21" t="s">
        <v>707</v>
      </c>
      <c r="E273" s="21" t="s">
        <v>6989</v>
      </c>
      <c r="F273" s="21" t="s">
        <v>724</v>
      </c>
      <c r="G273" s="21" t="s">
        <v>6982</v>
      </c>
      <c r="H273" s="21" t="s">
        <v>3247</v>
      </c>
      <c r="I273" s="21" t="s">
        <v>839</v>
      </c>
    </row>
    <row r="274" customFormat="false" ht="15" hidden="false" customHeight="false" outlineLevel="0" collapsed="false">
      <c r="B274" s="19" t="s">
        <v>6990</v>
      </c>
      <c r="C274" s="20" t="n">
        <f aca="false">ROUND(4.5/FX,2)</f>
        <v>0.63</v>
      </c>
      <c r="D274" s="21" t="s">
        <v>707</v>
      </c>
      <c r="E274" s="21" t="s">
        <v>734</v>
      </c>
      <c r="F274" s="21" t="s">
        <v>6712</v>
      </c>
      <c r="G274" s="21" t="s">
        <v>6982</v>
      </c>
      <c r="H274" s="21" t="s">
        <v>3247</v>
      </c>
      <c r="I274" s="21" t="s">
        <v>839</v>
      </c>
    </row>
    <row r="275" customFormat="false" ht="15" hidden="false" customHeight="false" outlineLevel="0" collapsed="false">
      <c r="B275" s="19" t="s">
        <v>6991</v>
      </c>
      <c r="C275" s="20" t="n">
        <f aca="false">ROUND(2.34/FX,2)</f>
        <v>0.33</v>
      </c>
      <c r="D275" s="21" t="s">
        <v>707</v>
      </c>
      <c r="E275" s="21" t="s">
        <v>6989</v>
      </c>
      <c r="F275" s="21" t="s">
        <v>6712</v>
      </c>
      <c r="G275" s="21" t="s">
        <v>6982</v>
      </c>
      <c r="H275" s="21" t="s">
        <v>3247</v>
      </c>
      <c r="I275" s="21" t="s">
        <v>839</v>
      </c>
    </row>
    <row r="276" customFormat="false" ht="15" hidden="false" customHeight="false" outlineLevel="0" collapsed="false">
      <c r="B276" s="19" t="s">
        <v>6992</v>
      </c>
      <c r="C276" s="20" t="n">
        <f aca="false">ROUND(2.6/FX,2)</f>
        <v>0.36</v>
      </c>
      <c r="D276" s="21" t="s">
        <v>716</v>
      </c>
      <c r="E276" s="21" t="s">
        <v>6989</v>
      </c>
      <c r="F276" s="21" t="s">
        <v>724</v>
      </c>
      <c r="G276" s="21" t="s">
        <v>6982</v>
      </c>
      <c r="H276" s="21" t="s">
        <v>3247</v>
      </c>
      <c r="I276" s="21" t="s">
        <v>839</v>
      </c>
    </row>
    <row r="277" customFormat="false" ht="15" hidden="false" customHeight="false" outlineLevel="0" collapsed="false">
      <c r="B277" s="19" t="s">
        <v>6993</v>
      </c>
      <c r="C277" s="20" t="n">
        <f aca="false">ROUND(4.63/FX,2)</f>
        <v>0.64</v>
      </c>
      <c r="D277" s="21" t="s">
        <v>716</v>
      </c>
      <c r="E277" s="21" t="s">
        <v>734</v>
      </c>
      <c r="F277" s="21" t="s">
        <v>6712</v>
      </c>
      <c r="G277" s="21" t="s">
        <v>6982</v>
      </c>
      <c r="H277" s="21" t="s">
        <v>3247</v>
      </c>
      <c r="I277" s="21" t="s">
        <v>839</v>
      </c>
    </row>
    <row r="278" customFormat="false" ht="15" hidden="false" customHeight="false" outlineLevel="0" collapsed="false">
      <c r="B278" s="19" t="s">
        <v>6994</v>
      </c>
      <c r="C278" s="20" t="n">
        <f aca="false">ROUND(2.47/FX,2)</f>
        <v>0.34</v>
      </c>
      <c r="D278" s="21" t="s">
        <v>716</v>
      </c>
      <c r="E278" s="21" t="s">
        <v>6989</v>
      </c>
      <c r="F278" s="21" t="s">
        <v>6712</v>
      </c>
      <c r="G278" s="21" t="s">
        <v>6982</v>
      </c>
      <c r="H278" s="21" t="s">
        <v>3247</v>
      </c>
      <c r="I278" s="21" t="s">
        <v>839</v>
      </c>
    </row>
    <row r="279" customFormat="false" ht="15" hidden="false" customHeight="false" outlineLevel="0" collapsed="false">
      <c r="B279" s="19" t="s">
        <v>6995</v>
      </c>
      <c r="C279" s="20" t="n">
        <f aca="false">ROUND(4.5/FX,2)</f>
        <v>0.63</v>
      </c>
      <c r="D279" s="21" t="s">
        <v>707</v>
      </c>
      <c r="E279" s="21" t="s">
        <v>734</v>
      </c>
      <c r="F279" s="21" t="s">
        <v>6712</v>
      </c>
      <c r="G279" s="21" t="s">
        <v>6982</v>
      </c>
      <c r="H279" s="21" t="s">
        <v>3247</v>
      </c>
      <c r="I279" s="21" t="s">
        <v>841</v>
      </c>
    </row>
    <row r="280" customFormat="false" ht="15" hidden="false" customHeight="false" outlineLevel="0" collapsed="false">
      <c r="B280" s="19" t="s">
        <v>6996</v>
      </c>
      <c r="C280" s="20" t="n">
        <f aca="false">ROUND(4.68/FX,2)</f>
        <v>0.65</v>
      </c>
      <c r="D280" s="21" t="s">
        <v>707</v>
      </c>
      <c r="E280" s="21" t="s">
        <v>6989</v>
      </c>
      <c r="F280" s="21" t="s">
        <v>6712</v>
      </c>
      <c r="G280" s="21" t="s">
        <v>6982</v>
      </c>
      <c r="H280" s="21" t="s">
        <v>3247</v>
      </c>
      <c r="I280" s="21" t="s">
        <v>841</v>
      </c>
    </row>
    <row r="281" customFormat="false" ht="15" hidden="false" customHeight="false" outlineLevel="0" collapsed="false">
      <c r="B281" s="19" t="s">
        <v>6997</v>
      </c>
      <c r="C281" s="20" t="n">
        <f aca="false">ROUND(3.38/FX,2)</f>
        <v>0.47</v>
      </c>
      <c r="D281" s="21" t="s">
        <v>716</v>
      </c>
      <c r="E281" s="21" t="s">
        <v>6989</v>
      </c>
      <c r="F281" s="21" t="s">
        <v>724</v>
      </c>
      <c r="G281" s="21" t="s">
        <v>6982</v>
      </c>
      <c r="H281" s="21" t="s">
        <v>3247</v>
      </c>
      <c r="I281" s="21" t="s">
        <v>841</v>
      </c>
    </row>
    <row r="282" customFormat="false" ht="15" hidden="false" customHeight="false" outlineLevel="0" collapsed="false">
      <c r="B282" s="19" t="s">
        <v>6998</v>
      </c>
      <c r="C282" s="20" t="n">
        <f aca="false">ROUND(2.34/FX,2)</f>
        <v>0.33</v>
      </c>
      <c r="D282" s="21" t="s">
        <v>716</v>
      </c>
      <c r="E282" s="21" t="s">
        <v>6989</v>
      </c>
      <c r="F282" s="21" t="s">
        <v>6712</v>
      </c>
      <c r="G282" s="21" t="s">
        <v>6982</v>
      </c>
      <c r="H282" s="21" t="s">
        <v>3247</v>
      </c>
      <c r="I282" s="21" t="s">
        <v>841</v>
      </c>
    </row>
    <row r="283" customFormat="false" ht="15" hidden="false" customHeight="false" outlineLevel="0" collapsed="false">
      <c r="B283" s="19" t="s">
        <v>6999</v>
      </c>
      <c r="C283" s="20" t="n">
        <f aca="false">ROUND(2.99/FX,2)</f>
        <v>0.42</v>
      </c>
      <c r="D283" s="21" t="s">
        <v>707</v>
      </c>
      <c r="E283" s="21" t="s">
        <v>6989</v>
      </c>
      <c r="F283" s="21" t="s">
        <v>724</v>
      </c>
      <c r="G283" s="21" t="s">
        <v>6982</v>
      </c>
      <c r="H283" s="21" t="s">
        <v>3247</v>
      </c>
      <c r="I283" s="21" t="s">
        <v>789</v>
      </c>
    </row>
    <row r="284" customFormat="false" ht="15" hidden="false" customHeight="false" outlineLevel="0" collapsed="false">
      <c r="B284" s="19" t="s">
        <v>7000</v>
      </c>
      <c r="C284" s="20" t="n">
        <f aca="false">ROUND(4.52/FX,2)</f>
        <v>0.63</v>
      </c>
      <c r="D284" s="21" t="s">
        <v>707</v>
      </c>
      <c r="E284" s="21" t="s">
        <v>734</v>
      </c>
      <c r="F284" s="21" t="s">
        <v>6712</v>
      </c>
      <c r="G284" s="21" t="s">
        <v>6982</v>
      </c>
      <c r="H284" s="21" t="s">
        <v>3247</v>
      </c>
      <c r="I284" s="21" t="s">
        <v>789</v>
      </c>
    </row>
    <row r="285" customFormat="false" ht="15" hidden="false" customHeight="false" outlineLevel="0" collapsed="false">
      <c r="B285" s="19" t="s">
        <v>7001</v>
      </c>
      <c r="C285" s="20" t="n">
        <f aca="false">ROUND(2.34/FX,2)</f>
        <v>0.33</v>
      </c>
      <c r="D285" s="21" t="s">
        <v>707</v>
      </c>
      <c r="E285" s="21" t="s">
        <v>6989</v>
      </c>
      <c r="F285" s="21" t="s">
        <v>6712</v>
      </c>
      <c r="G285" s="21" t="s">
        <v>6982</v>
      </c>
      <c r="H285" s="21" t="s">
        <v>3247</v>
      </c>
      <c r="I285" s="21" t="s">
        <v>789</v>
      </c>
    </row>
    <row r="286" customFormat="false" ht="15" hidden="false" customHeight="false" outlineLevel="0" collapsed="false">
      <c r="B286" s="19" t="s">
        <v>7002</v>
      </c>
      <c r="C286" s="20" t="n">
        <f aca="false">ROUND(4.42/FX,2)</f>
        <v>0.61</v>
      </c>
      <c r="D286" s="21" t="s">
        <v>761</v>
      </c>
      <c r="E286" s="21" t="s">
        <v>734</v>
      </c>
      <c r="F286" s="21" t="s">
        <v>6712</v>
      </c>
      <c r="G286" s="21" t="s">
        <v>6982</v>
      </c>
      <c r="H286" s="21" t="s">
        <v>3247</v>
      </c>
      <c r="I286" s="21" t="s">
        <v>789</v>
      </c>
    </row>
    <row r="287" customFormat="false" ht="15" hidden="false" customHeight="false" outlineLevel="0" collapsed="false">
      <c r="B287" s="19" t="s">
        <v>7003</v>
      </c>
      <c r="C287" s="20" t="n">
        <f aca="false">ROUND(3.64/FX,2)</f>
        <v>0.51</v>
      </c>
      <c r="D287" s="21" t="s">
        <v>761</v>
      </c>
      <c r="E287" s="21" t="s">
        <v>6989</v>
      </c>
      <c r="F287" s="21" t="s">
        <v>6712</v>
      </c>
      <c r="G287" s="21" t="s">
        <v>6982</v>
      </c>
      <c r="H287" s="21" t="s">
        <v>3247</v>
      </c>
      <c r="I287" s="21" t="s">
        <v>789</v>
      </c>
    </row>
    <row r="288" customFormat="false" ht="15" hidden="false" customHeight="false" outlineLevel="0" collapsed="false">
      <c r="B288" s="19" t="s">
        <v>7004</v>
      </c>
      <c r="C288" s="20" t="n">
        <f aca="false">ROUND(4.03/FX,2)</f>
        <v>0.56</v>
      </c>
      <c r="D288" s="21" t="s">
        <v>714</v>
      </c>
      <c r="E288" s="21" t="s">
        <v>734</v>
      </c>
      <c r="F288" s="21" t="s">
        <v>6712</v>
      </c>
      <c r="G288" s="21" t="s">
        <v>6982</v>
      </c>
      <c r="H288" s="21" t="s">
        <v>3247</v>
      </c>
      <c r="I288" s="21" t="s">
        <v>789</v>
      </c>
    </row>
    <row r="289" customFormat="false" ht="15" hidden="false" customHeight="false" outlineLevel="0" collapsed="false">
      <c r="B289" s="19" t="s">
        <v>7005</v>
      </c>
      <c r="C289" s="20" t="n">
        <f aca="false">ROUND(2.47/FX,2)</f>
        <v>0.34</v>
      </c>
      <c r="D289" s="21" t="s">
        <v>714</v>
      </c>
      <c r="E289" s="21" t="s">
        <v>6989</v>
      </c>
      <c r="F289" s="21" t="s">
        <v>6712</v>
      </c>
      <c r="G289" s="21" t="s">
        <v>6982</v>
      </c>
      <c r="H289" s="21" t="s">
        <v>3247</v>
      </c>
      <c r="I289" s="21" t="s">
        <v>789</v>
      </c>
    </row>
    <row r="290" customFormat="false" ht="15" hidden="false" customHeight="false" outlineLevel="0" collapsed="false">
      <c r="B290" s="19" t="s">
        <v>7006</v>
      </c>
      <c r="C290" s="20" t="n">
        <f aca="false">ROUND(2.73/FX,2)</f>
        <v>0.38</v>
      </c>
      <c r="D290" s="21" t="s">
        <v>716</v>
      </c>
      <c r="E290" s="21" t="s">
        <v>6989</v>
      </c>
      <c r="F290" s="21" t="s">
        <v>724</v>
      </c>
      <c r="G290" s="21" t="s">
        <v>6982</v>
      </c>
      <c r="H290" s="21" t="s">
        <v>3247</v>
      </c>
      <c r="I290" s="21" t="s">
        <v>789</v>
      </c>
    </row>
    <row r="291" customFormat="false" ht="15" hidden="false" customHeight="false" outlineLevel="0" collapsed="false">
      <c r="B291" s="19" t="s">
        <v>7007</v>
      </c>
      <c r="C291" s="20" t="n">
        <f aca="false">ROUND(4.02/FX,2)</f>
        <v>0.56</v>
      </c>
      <c r="D291" s="21" t="s">
        <v>716</v>
      </c>
      <c r="E291" s="21" t="s">
        <v>734</v>
      </c>
      <c r="F291" s="21" t="s">
        <v>6698</v>
      </c>
      <c r="G291" s="21" t="s">
        <v>6982</v>
      </c>
      <c r="H291" s="21" t="s">
        <v>3247</v>
      </c>
      <c r="I291" s="21" t="s">
        <v>789</v>
      </c>
    </row>
    <row r="292" customFormat="false" ht="15" hidden="false" customHeight="false" outlineLevel="0" collapsed="false">
      <c r="B292" s="19" t="s">
        <v>7008</v>
      </c>
      <c r="C292" s="20" t="n">
        <f aca="false">ROUND(2.34/FX,2)</f>
        <v>0.33</v>
      </c>
      <c r="D292" s="21" t="s">
        <v>716</v>
      </c>
      <c r="E292" s="21" t="s">
        <v>7009</v>
      </c>
      <c r="F292" s="21" t="s">
        <v>6712</v>
      </c>
      <c r="G292" s="21" t="s">
        <v>6982</v>
      </c>
      <c r="H292" s="21" t="s">
        <v>3247</v>
      </c>
      <c r="I292" s="21" t="s">
        <v>789</v>
      </c>
    </row>
    <row r="293" customFormat="false" ht="15" hidden="false" customHeight="false" outlineLevel="0" collapsed="false">
      <c r="B293" s="19" t="s">
        <v>7010</v>
      </c>
      <c r="C293" s="20" t="n">
        <f aca="false">ROUND(2.34/FX,2)</f>
        <v>0.33</v>
      </c>
      <c r="D293" s="21" t="s">
        <v>716</v>
      </c>
      <c r="E293" s="21" t="s">
        <v>7011</v>
      </c>
      <c r="F293" s="21" t="s">
        <v>6712</v>
      </c>
      <c r="G293" s="21" t="s">
        <v>6982</v>
      </c>
      <c r="H293" s="21" t="s">
        <v>3247</v>
      </c>
      <c r="I293" s="21" t="s">
        <v>789</v>
      </c>
    </row>
    <row r="294" customFormat="false" ht="15" hidden="false" customHeight="false" outlineLevel="0" collapsed="false">
      <c r="B294" s="19" t="s">
        <v>7012</v>
      </c>
      <c r="C294" s="20" t="n">
        <f aca="false">ROUND(2.34/FX,2)</f>
        <v>0.33</v>
      </c>
      <c r="D294" s="21" t="s">
        <v>716</v>
      </c>
      <c r="E294" s="21" t="s">
        <v>6989</v>
      </c>
      <c r="F294" s="21" t="s">
        <v>6712</v>
      </c>
      <c r="G294" s="21" t="s">
        <v>6982</v>
      </c>
      <c r="H294" s="21" t="s">
        <v>3247</v>
      </c>
      <c r="I294" s="21" t="s">
        <v>789</v>
      </c>
    </row>
    <row r="295" customFormat="false" ht="15" hidden="false" customHeight="false" outlineLevel="0" collapsed="false">
      <c r="B295" s="19" t="s">
        <v>7013</v>
      </c>
      <c r="C295" s="20" t="n">
        <f aca="false">ROUND(3.64/FX,2)</f>
        <v>0.51</v>
      </c>
      <c r="D295" s="21" t="s">
        <v>719</v>
      </c>
      <c r="E295" s="21" t="s">
        <v>6989</v>
      </c>
      <c r="F295" s="21" t="s">
        <v>724</v>
      </c>
      <c r="G295" s="21" t="s">
        <v>6982</v>
      </c>
      <c r="H295" s="21" t="s">
        <v>3247</v>
      </c>
      <c r="I295" s="21" t="s">
        <v>789</v>
      </c>
    </row>
    <row r="296" customFormat="false" ht="15" hidden="false" customHeight="false" outlineLevel="0" collapsed="false">
      <c r="B296" s="19" t="s">
        <v>7014</v>
      </c>
      <c r="C296" s="20" t="n">
        <f aca="false">ROUND(2.47/FX,2)</f>
        <v>0.34</v>
      </c>
      <c r="D296" s="21" t="s">
        <v>719</v>
      </c>
      <c r="E296" s="21" t="s">
        <v>6989</v>
      </c>
      <c r="F296" s="21" t="s">
        <v>6712</v>
      </c>
      <c r="G296" s="21" t="s">
        <v>6982</v>
      </c>
      <c r="H296" s="21" t="s">
        <v>3247</v>
      </c>
      <c r="I296" s="21" t="s">
        <v>789</v>
      </c>
    </row>
    <row r="297" customFormat="false" ht="15" hidden="false" customHeight="false" outlineLevel="0" collapsed="false">
      <c r="B297" s="19" t="s">
        <v>7015</v>
      </c>
      <c r="C297" s="20" t="n">
        <f aca="false">ROUND(3.64/FX,2)</f>
        <v>0.51</v>
      </c>
      <c r="D297" s="21" t="s">
        <v>707</v>
      </c>
      <c r="E297" s="21" t="s">
        <v>6989</v>
      </c>
      <c r="F297" s="21" t="s">
        <v>724</v>
      </c>
      <c r="G297" s="21" t="s">
        <v>6982</v>
      </c>
      <c r="H297" s="21" t="s">
        <v>3247</v>
      </c>
      <c r="I297" s="21" t="s">
        <v>716</v>
      </c>
    </row>
    <row r="298" customFormat="false" ht="15" hidden="false" customHeight="false" outlineLevel="0" collapsed="false">
      <c r="B298" s="19" t="s">
        <v>7016</v>
      </c>
      <c r="C298" s="20" t="n">
        <f aca="false">ROUND(2.6/FX,2)</f>
        <v>0.36</v>
      </c>
      <c r="D298" s="21" t="s">
        <v>707</v>
      </c>
      <c r="E298" s="21" t="s">
        <v>6989</v>
      </c>
      <c r="F298" s="21" t="s">
        <v>6712</v>
      </c>
      <c r="G298" s="21" t="s">
        <v>6982</v>
      </c>
      <c r="H298" s="21" t="s">
        <v>3247</v>
      </c>
      <c r="I298" s="21" t="s">
        <v>716</v>
      </c>
    </row>
    <row r="299" customFormat="false" ht="15" hidden="false" customHeight="false" outlineLevel="0" collapsed="false">
      <c r="B299" s="19" t="s">
        <v>7017</v>
      </c>
      <c r="C299" s="20" t="n">
        <f aca="false">ROUND(2.73/FX,2)</f>
        <v>0.38</v>
      </c>
      <c r="D299" s="21" t="s">
        <v>714</v>
      </c>
      <c r="E299" s="21" t="s">
        <v>6989</v>
      </c>
      <c r="F299" s="21" t="s">
        <v>6712</v>
      </c>
      <c r="G299" s="21" t="s">
        <v>6982</v>
      </c>
      <c r="H299" s="21" t="s">
        <v>3247</v>
      </c>
      <c r="I299" s="21" t="s">
        <v>716</v>
      </c>
    </row>
    <row r="300" customFormat="false" ht="15" hidden="false" customHeight="false" outlineLevel="0" collapsed="false">
      <c r="B300" s="19" t="s">
        <v>7018</v>
      </c>
      <c r="C300" s="20" t="n">
        <f aca="false">ROUND(2.47/FX,2)</f>
        <v>0.34</v>
      </c>
      <c r="D300" s="21" t="s">
        <v>716</v>
      </c>
      <c r="E300" s="21" t="s">
        <v>6989</v>
      </c>
      <c r="F300" s="21" t="s">
        <v>6712</v>
      </c>
      <c r="G300" s="21" t="s">
        <v>6982</v>
      </c>
      <c r="H300" s="21" t="s">
        <v>3247</v>
      </c>
      <c r="I300" s="21" t="s">
        <v>716</v>
      </c>
    </row>
    <row r="301" customFormat="false" ht="15" hidden="false" customHeight="false" outlineLevel="0" collapsed="false">
      <c r="B301" s="19" t="s">
        <v>7019</v>
      </c>
      <c r="C301" s="20" t="n">
        <f aca="false">ROUND(4.37/FX,2)</f>
        <v>0.61</v>
      </c>
      <c r="D301" s="21" t="s">
        <v>707</v>
      </c>
      <c r="E301" s="21" t="s">
        <v>734</v>
      </c>
      <c r="F301" s="21" t="s">
        <v>724</v>
      </c>
      <c r="G301" s="21" t="s">
        <v>6982</v>
      </c>
      <c r="H301" s="21" t="s">
        <v>7020</v>
      </c>
      <c r="I301" s="21" t="s">
        <v>847</v>
      </c>
    </row>
    <row r="302" customFormat="false" ht="15" hidden="false" customHeight="false" outlineLevel="0" collapsed="false">
      <c r="B302" s="19" t="s">
        <v>7021</v>
      </c>
      <c r="C302" s="20" t="n">
        <f aca="false">ROUND(4.24/FX,2)</f>
        <v>0.59</v>
      </c>
      <c r="D302" s="21" t="s">
        <v>707</v>
      </c>
      <c r="E302" s="21" t="s">
        <v>734</v>
      </c>
      <c r="F302" s="21" t="s">
        <v>6712</v>
      </c>
      <c r="G302" s="21" t="s">
        <v>6982</v>
      </c>
      <c r="H302" s="21" t="s">
        <v>7020</v>
      </c>
      <c r="I302" s="21" t="s">
        <v>847</v>
      </c>
    </row>
    <row r="303" customFormat="false" ht="15" hidden="false" customHeight="false" outlineLevel="0" collapsed="false">
      <c r="B303" s="19" t="s">
        <v>7022</v>
      </c>
      <c r="C303" s="20" t="n">
        <f aca="false">ROUND(4.71/FX,2)</f>
        <v>0.65</v>
      </c>
      <c r="D303" s="21" t="s">
        <v>714</v>
      </c>
      <c r="E303" s="21" t="s">
        <v>734</v>
      </c>
      <c r="F303" s="21" t="s">
        <v>6712</v>
      </c>
      <c r="G303" s="21" t="s">
        <v>6982</v>
      </c>
      <c r="H303" s="21" t="s">
        <v>7020</v>
      </c>
      <c r="I303" s="21" t="s">
        <v>847</v>
      </c>
    </row>
    <row r="304" customFormat="false" ht="15" hidden="false" customHeight="false" outlineLevel="0" collapsed="false">
      <c r="B304" s="19" t="s">
        <v>7023</v>
      </c>
      <c r="C304" s="20" t="n">
        <f aca="false">ROUND(4.37/FX,2)</f>
        <v>0.61</v>
      </c>
      <c r="D304" s="21" t="s">
        <v>716</v>
      </c>
      <c r="E304" s="21" t="s">
        <v>734</v>
      </c>
      <c r="F304" s="21" t="s">
        <v>6712</v>
      </c>
      <c r="G304" s="21" t="s">
        <v>6982</v>
      </c>
      <c r="H304" s="21" t="s">
        <v>7020</v>
      </c>
      <c r="I304" s="21" t="s">
        <v>847</v>
      </c>
    </row>
    <row r="305" customFormat="false" ht="15" hidden="false" customHeight="false" outlineLevel="0" collapsed="false">
      <c r="B305" s="19" t="s">
        <v>7024</v>
      </c>
      <c r="C305" s="20" t="n">
        <f aca="false">ROUND(5.85/FX,2)</f>
        <v>0.81</v>
      </c>
      <c r="D305" s="21" t="s">
        <v>716</v>
      </c>
      <c r="E305" s="21" t="s">
        <v>734</v>
      </c>
      <c r="F305" s="21" t="s">
        <v>6712</v>
      </c>
      <c r="G305" s="21" t="s">
        <v>6982</v>
      </c>
      <c r="H305" s="21" t="s">
        <v>3317</v>
      </c>
      <c r="I305" s="21" t="s">
        <v>789</v>
      </c>
    </row>
    <row r="306" customFormat="false" ht="15" hidden="false" customHeight="false" outlineLevel="0" collapsed="false">
      <c r="B306" s="19" t="s">
        <v>7025</v>
      </c>
      <c r="C306" s="20" t="n">
        <f aca="false">ROUND(9.33/FX,2)</f>
        <v>1.3</v>
      </c>
      <c r="D306" s="21" t="s">
        <v>784</v>
      </c>
      <c r="E306" s="21" t="s">
        <v>734</v>
      </c>
      <c r="F306" s="21" t="s">
        <v>6698</v>
      </c>
      <c r="G306" s="21" t="s">
        <v>6982</v>
      </c>
      <c r="H306" s="21" t="s">
        <v>784</v>
      </c>
      <c r="I306" s="21" t="s">
        <v>707</v>
      </c>
    </row>
    <row r="307" customFormat="false" ht="15" hidden="false" customHeight="false" outlineLevel="0" collapsed="false">
      <c r="B307" s="19" t="s">
        <v>7026</v>
      </c>
      <c r="C307" s="20" t="n">
        <f aca="false">ROUND(5.02/FX,2)</f>
        <v>0.7</v>
      </c>
      <c r="D307" s="21" t="s">
        <v>716</v>
      </c>
      <c r="E307" s="21" t="s">
        <v>734</v>
      </c>
      <c r="F307" s="21" t="s">
        <v>6712</v>
      </c>
      <c r="G307" s="21" t="s">
        <v>6982</v>
      </c>
      <c r="H307" s="21" t="s">
        <v>784</v>
      </c>
      <c r="I307" s="21" t="s">
        <v>789</v>
      </c>
    </row>
    <row r="308" customFormat="false" ht="15" hidden="false" customHeight="false" outlineLevel="0" collapsed="false">
      <c r="B308" s="19" t="s">
        <v>7027</v>
      </c>
      <c r="C308" s="20" t="n">
        <f aca="false">ROUND(5.32/FX,2)</f>
        <v>0.74</v>
      </c>
      <c r="D308" s="21" t="s">
        <v>716</v>
      </c>
      <c r="E308" s="21" t="s">
        <v>734</v>
      </c>
      <c r="F308" s="21" t="s">
        <v>6698</v>
      </c>
      <c r="G308" s="21" t="s">
        <v>6982</v>
      </c>
      <c r="H308" s="21" t="s">
        <v>784</v>
      </c>
      <c r="I308" s="21" t="s">
        <v>847</v>
      </c>
    </row>
    <row r="309" customFormat="false" ht="15" hidden="false" customHeight="false" outlineLevel="0" collapsed="false">
      <c r="B309" s="19" t="s">
        <v>7028</v>
      </c>
      <c r="C309" s="20" t="n">
        <f aca="false">ROUND(6.63/FX,2)</f>
        <v>0.92</v>
      </c>
      <c r="D309" s="21" t="s">
        <v>716</v>
      </c>
      <c r="E309" s="21" t="s">
        <v>734</v>
      </c>
      <c r="F309" s="21" t="s">
        <v>6712</v>
      </c>
      <c r="G309" s="21" t="s">
        <v>6982</v>
      </c>
      <c r="H309" s="21" t="s">
        <v>6730</v>
      </c>
      <c r="I309" s="21" t="s">
        <v>789</v>
      </c>
    </row>
    <row r="310" customFormat="false" ht="15" hidden="false" customHeight="false" outlineLevel="0" collapsed="false">
      <c r="B310" s="19" t="s">
        <v>7029</v>
      </c>
      <c r="C310" s="20" t="n">
        <f aca="false">ROUND(3.25/FX,2)</f>
        <v>0.45</v>
      </c>
      <c r="D310" s="21" t="s">
        <v>716</v>
      </c>
      <c r="E310" s="21" t="s">
        <v>6984</v>
      </c>
      <c r="F310" s="21" t="s">
        <v>724</v>
      </c>
      <c r="G310" s="21" t="s">
        <v>7030</v>
      </c>
      <c r="H310" s="21" t="s">
        <v>3833</v>
      </c>
      <c r="I310" s="21" t="s">
        <v>839</v>
      </c>
    </row>
    <row r="311" customFormat="false" ht="15" hidden="false" customHeight="false" outlineLevel="0" collapsed="false">
      <c r="B311" s="19" t="s">
        <v>7031</v>
      </c>
      <c r="C311" s="20" t="n">
        <f aca="false">ROUND(2.47/FX,2)</f>
        <v>0.34</v>
      </c>
      <c r="D311" s="21" t="s">
        <v>716</v>
      </c>
      <c r="E311" s="21" t="s">
        <v>6984</v>
      </c>
      <c r="F311" s="21" t="s">
        <v>6712</v>
      </c>
      <c r="G311" s="21" t="s">
        <v>7030</v>
      </c>
      <c r="H311" s="21" t="s">
        <v>3833</v>
      </c>
      <c r="I311" s="21" t="s">
        <v>839</v>
      </c>
    </row>
    <row r="312" customFormat="false" ht="15" hidden="false" customHeight="false" outlineLevel="0" collapsed="false">
      <c r="B312" s="19" t="s">
        <v>7032</v>
      </c>
      <c r="C312" s="20" t="n">
        <f aca="false">ROUND(3/FX,2)</f>
        <v>0.42</v>
      </c>
      <c r="D312" s="21" t="s">
        <v>707</v>
      </c>
      <c r="E312" s="21" t="s">
        <v>6989</v>
      </c>
      <c r="F312" s="21" t="s">
        <v>724</v>
      </c>
      <c r="G312" s="21" t="s">
        <v>7030</v>
      </c>
      <c r="H312" s="21" t="s">
        <v>3247</v>
      </c>
      <c r="I312" s="21" t="s">
        <v>839</v>
      </c>
    </row>
    <row r="313" customFormat="false" ht="15" hidden="false" customHeight="false" outlineLevel="0" collapsed="false">
      <c r="B313" s="19" t="s">
        <v>7033</v>
      </c>
      <c r="C313" s="20" t="n">
        <f aca="false">ROUND(4.45/FX,2)</f>
        <v>0.62</v>
      </c>
      <c r="D313" s="21" t="s">
        <v>707</v>
      </c>
      <c r="E313" s="21" t="s">
        <v>734</v>
      </c>
      <c r="F313" s="21" t="s">
        <v>6712</v>
      </c>
      <c r="G313" s="21" t="s">
        <v>7030</v>
      </c>
      <c r="H313" s="21" t="s">
        <v>3247</v>
      </c>
      <c r="I313" s="21" t="s">
        <v>839</v>
      </c>
    </row>
    <row r="314" customFormat="false" ht="15" hidden="false" customHeight="false" outlineLevel="0" collapsed="false">
      <c r="B314" s="19" t="s">
        <v>7034</v>
      </c>
      <c r="C314" s="20" t="n">
        <f aca="false">ROUND(2.34/FX,2)</f>
        <v>0.33</v>
      </c>
      <c r="D314" s="21" t="s">
        <v>707</v>
      </c>
      <c r="E314" s="21" t="s">
        <v>6989</v>
      </c>
      <c r="F314" s="21" t="s">
        <v>6712</v>
      </c>
      <c r="G314" s="21" t="s">
        <v>7030</v>
      </c>
      <c r="H314" s="21" t="s">
        <v>3247</v>
      </c>
      <c r="I314" s="21" t="s">
        <v>839</v>
      </c>
    </row>
    <row r="315" customFormat="false" ht="15" hidden="false" customHeight="false" outlineLevel="0" collapsed="false">
      <c r="B315" s="19" t="s">
        <v>7035</v>
      </c>
      <c r="C315" s="20" t="n">
        <f aca="false">ROUND(3/FX,2)</f>
        <v>0.42</v>
      </c>
      <c r="D315" s="21" t="s">
        <v>716</v>
      </c>
      <c r="E315" s="21" t="s">
        <v>6989</v>
      </c>
      <c r="F315" s="21" t="s">
        <v>724</v>
      </c>
      <c r="G315" s="21" t="s">
        <v>7030</v>
      </c>
      <c r="H315" s="21" t="s">
        <v>3247</v>
      </c>
      <c r="I315" s="21" t="s">
        <v>839</v>
      </c>
    </row>
    <row r="316" customFormat="false" ht="15" hidden="false" customHeight="false" outlineLevel="0" collapsed="false">
      <c r="B316" s="19" t="s">
        <v>7036</v>
      </c>
      <c r="C316" s="20" t="n">
        <f aca="false">ROUND(4.5/FX,2)</f>
        <v>0.63</v>
      </c>
      <c r="D316" s="21" t="s">
        <v>716</v>
      </c>
      <c r="E316" s="21" t="s">
        <v>734</v>
      </c>
      <c r="F316" s="21" t="s">
        <v>6712</v>
      </c>
      <c r="G316" s="21" t="s">
        <v>7030</v>
      </c>
      <c r="H316" s="21" t="s">
        <v>3247</v>
      </c>
      <c r="I316" s="21" t="s">
        <v>839</v>
      </c>
    </row>
    <row r="317" customFormat="false" ht="15" hidden="false" customHeight="false" outlineLevel="0" collapsed="false">
      <c r="B317" s="19" t="s">
        <v>7037</v>
      </c>
      <c r="C317" s="20" t="n">
        <f aca="false">ROUND(2.47/FX,2)</f>
        <v>0.34</v>
      </c>
      <c r="D317" s="21" t="s">
        <v>716</v>
      </c>
      <c r="E317" s="21" t="s">
        <v>6989</v>
      </c>
      <c r="F317" s="21" t="s">
        <v>6712</v>
      </c>
      <c r="G317" s="21" t="s">
        <v>7030</v>
      </c>
      <c r="H317" s="21" t="s">
        <v>3247</v>
      </c>
      <c r="I317" s="21" t="s">
        <v>839</v>
      </c>
    </row>
    <row r="318" customFormat="false" ht="15" hidden="false" customHeight="false" outlineLevel="0" collapsed="false">
      <c r="B318" s="19" t="s">
        <v>7038</v>
      </c>
      <c r="C318" s="20" t="n">
        <f aca="false">ROUND(4.5/FX,2)</f>
        <v>0.63</v>
      </c>
      <c r="D318" s="21" t="s">
        <v>719</v>
      </c>
      <c r="E318" s="21" t="s">
        <v>734</v>
      </c>
      <c r="F318" s="21" t="s">
        <v>6712</v>
      </c>
      <c r="G318" s="21" t="s">
        <v>7030</v>
      </c>
      <c r="H318" s="21" t="s">
        <v>3247</v>
      </c>
      <c r="I318" s="21" t="s">
        <v>839</v>
      </c>
    </row>
    <row r="319" customFormat="false" ht="15" hidden="false" customHeight="false" outlineLevel="0" collapsed="false">
      <c r="B319" s="19" t="s">
        <v>7039</v>
      </c>
      <c r="C319" s="20" t="n">
        <f aca="false">ROUND(4.63/FX,2)</f>
        <v>0.64</v>
      </c>
      <c r="D319" s="21" t="s">
        <v>707</v>
      </c>
      <c r="E319" s="21" t="s">
        <v>734</v>
      </c>
      <c r="F319" s="21" t="s">
        <v>6712</v>
      </c>
      <c r="G319" s="21" t="s">
        <v>7030</v>
      </c>
      <c r="H319" s="21" t="s">
        <v>3247</v>
      </c>
      <c r="I319" s="21" t="s">
        <v>841</v>
      </c>
    </row>
    <row r="320" customFormat="false" ht="15" hidden="false" customHeight="false" outlineLevel="0" collapsed="false">
      <c r="B320" s="19" t="s">
        <v>7040</v>
      </c>
      <c r="C320" s="20" t="n">
        <f aca="false">ROUND(2.47/FX,2)</f>
        <v>0.34</v>
      </c>
      <c r="D320" s="21" t="s">
        <v>707</v>
      </c>
      <c r="E320" s="21" t="s">
        <v>6989</v>
      </c>
      <c r="F320" s="21" t="s">
        <v>6712</v>
      </c>
      <c r="G320" s="21" t="s">
        <v>7030</v>
      </c>
      <c r="H320" s="21" t="s">
        <v>3247</v>
      </c>
      <c r="I320" s="21" t="s">
        <v>841</v>
      </c>
    </row>
    <row r="321" customFormat="false" ht="15" hidden="false" customHeight="false" outlineLevel="0" collapsed="false">
      <c r="B321" s="19" t="s">
        <v>7041</v>
      </c>
      <c r="C321" s="20" t="n">
        <f aca="false">ROUND(3/FX,2)</f>
        <v>0.42</v>
      </c>
      <c r="D321" s="21" t="s">
        <v>716</v>
      </c>
      <c r="E321" s="21" t="s">
        <v>6989</v>
      </c>
      <c r="F321" s="21" t="s">
        <v>724</v>
      </c>
      <c r="G321" s="21" t="s">
        <v>7030</v>
      </c>
      <c r="H321" s="21" t="s">
        <v>3247</v>
      </c>
      <c r="I321" s="21" t="s">
        <v>841</v>
      </c>
    </row>
    <row r="322" customFormat="false" ht="15" hidden="false" customHeight="false" outlineLevel="0" collapsed="false">
      <c r="B322" s="19" t="s">
        <v>7042</v>
      </c>
      <c r="C322" s="20" t="n">
        <f aca="false">ROUND(4.5/FX,2)</f>
        <v>0.63</v>
      </c>
      <c r="D322" s="21" t="s">
        <v>716</v>
      </c>
      <c r="E322" s="21" t="s">
        <v>734</v>
      </c>
      <c r="F322" s="21" t="s">
        <v>6712</v>
      </c>
      <c r="G322" s="21" t="s">
        <v>7030</v>
      </c>
      <c r="H322" s="21" t="s">
        <v>3247</v>
      </c>
      <c r="I322" s="21" t="s">
        <v>841</v>
      </c>
    </row>
    <row r="323" customFormat="false" ht="15" hidden="false" customHeight="false" outlineLevel="0" collapsed="false">
      <c r="B323" s="19" t="s">
        <v>7043</v>
      </c>
      <c r="C323" s="20" t="n">
        <f aca="false">ROUND(2.86/FX,2)</f>
        <v>0.4</v>
      </c>
      <c r="D323" s="21" t="s">
        <v>716</v>
      </c>
      <c r="E323" s="21" t="s">
        <v>6989</v>
      </c>
      <c r="F323" s="21" t="s">
        <v>6712</v>
      </c>
      <c r="G323" s="21" t="s">
        <v>7030</v>
      </c>
      <c r="H323" s="21" t="s">
        <v>3247</v>
      </c>
      <c r="I323" s="21" t="s">
        <v>841</v>
      </c>
    </row>
    <row r="324" customFormat="false" ht="15" hidden="false" customHeight="false" outlineLevel="0" collapsed="false">
      <c r="B324" s="19" t="s">
        <v>7044</v>
      </c>
      <c r="C324" s="20" t="n">
        <f aca="false">ROUND(3/FX,2)</f>
        <v>0.42</v>
      </c>
      <c r="D324" s="21" t="s">
        <v>707</v>
      </c>
      <c r="E324" s="21" t="s">
        <v>6989</v>
      </c>
      <c r="F324" s="21" t="s">
        <v>724</v>
      </c>
      <c r="G324" s="21" t="s">
        <v>7030</v>
      </c>
      <c r="H324" s="21" t="s">
        <v>3247</v>
      </c>
      <c r="I324" s="21" t="s">
        <v>789</v>
      </c>
    </row>
    <row r="325" customFormat="false" ht="15" hidden="false" customHeight="false" outlineLevel="0" collapsed="false">
      <c r="B325" s="19" t="s">
        <v>7045</v>
      </c>
      <c r="C325" s="20" t="n">
        <f aca="false">ROUND(4.29/FX,2)</f>
        <v>0.6</v>
      </c>
      <c r="D325" s="21" t="s">
        <v>707</v>
      </c>
      <c r="E325" s="21" t="s">
        <v>734</v>
      </c>
      <c r="F325" s="21" t="s">
        <v>6712</v>
      </c>
      <c r="G325" s="21" t="s">
        <v>7030</v>
      </c>
      <c r="H325" s="21" t="s">
        <v>3247</v>
      </c>
      <c r="I325" s="21" t="s">
        <v>789</v>
      </c>
    </row>
    <row r="326" customFormat="false" ht="15" hidden="false" customHeight="false" outlineLevel="0" collapsed="false">
      <c r="B326" s="19" t="s">
        <v>7046</v>
      </c>
      <c r="C326" s="20" t="n">
        <f aca="false">ROUND(2.47/FX,2)</f>
        <v>0.34</v>
      </c>
      <c r="D326" s="21" t="s">
        <v>707</v>
      </c>
      <c r="E326" s="21" t="s">
        <v>6989</v>
      </c>
      <c r="F326" s="21" t="s">
        <v>6712</v>
      </c>
      <c r="G326" s="21" t="s">
        <v>7030</v>
      </c>
      <c r="H326" s="21" t="s">
        <v>3247</v>
      </c>
      <c r="I326" s="21" t="s">
        <v>789</v>
      </c>
    </row>
    <row r="327" customFormat="false" ht="15" hidden="false" customHeight="false" outlineLevel="0" collapsed="false">
      <c r="B327" s="19" t="s">
        <v>7047</v>
      </c>
      <c r="C327" s="20" t="n">
        <f aca="false">ROUND(2.6/FX,2)</f>
        <v>0.36</v>
      </c>
      <c r="D327" s="21" t="s">
        <v>5091</v>
      </c>
      <c r="E327" s="21" t="s">
        <v>6989</v>
      </c>
      <c r="F327" s="21" t="s">
        <v>6712</v>
      </c>
      <c r="G327" s="21" t="s">
        <v>7030</v>
      </c>
      <c r="H327" s="21" t="s">
        <v>3247</v>
      </c>
      <c r="I327" s="21" t="s">
        <v>789</v>
      </c>
    </row>
    <row r="328" customFormat="false" ht="15" hidden="false" customHeight="false" outlineLevel="0" collapsed="false">
      <c r="B328" s="19" t="s">
        <v>7048</v>
      </c>
      <c r="C328" s="20" t="n">
        <f aca="false">ROUND(4.68/FX,2)</f>
        <v>0.65</v>
      </c>
      <c r="D328" s="21" t="s">
        <v>761</v>
      </c>
      <c r="E328" s="21" t="s">
        <v>734</v>
      </c>
      <c r="F328" s="21" t="s">
        <v>6712</v>
      </c>
      <c r="G328" s="21" t="s">
        <v>7030</v>
      </c>
      <c r="H328" s="21" t="s">
        <v>3247</v>
      </c>
      <c r="I328" s="21" t="s">
        <v>789</v>
      </c>
    </row>
    <row r="329" customFormat="false" ht="15" hidden="false" customHeight="false" outlineLevel="0" collapsed="false">
      <c r="B329" s="19" t="s">
        <v>7049</v>
      </c>
      <c r="C329" s="20" t="n">
        <f aca="false">ROUND(4.42/FX,2)</f>
        <v>0.61</v>
      </c>
      <c r="D329" s="21" t="s">
        <v>714</v>
      </c>
      <c r="E329" s="21" t="s">
        <v>734</v>
      </c>
      <c r="F329" s="21" t="s">
        <v>6712</v>
      </c>
      <c r="G329" s="21" t="s">
        <v>7030</v>
      </c>
      <c r="H329" s="21" t="s">
        <v>3247</v>
      </c>
      <c r="I329" s="21" t="s">
        <v>789</v>
      </c>
    </row>
    <row r="330" customFormat="false" ht="15" hidden="false" customHeight="false" outlineLevel="0" collapsed="false">
      <c r="B330" s="19" t="s">
        <v>7050</v>
      </c>
      <c r="C330" s="20" t="n">
        <f aca="false">ROUND(2.86/FX,2)</f>
        <v>0.4</v>
      </c>
      <c r="D330" s="21" t="s">
        <v>714</v>
      </c>
      <c r="E330" s="21" t="s">
        <v>6989</v>
      </c>
      <c r="F330" s="21" t="s">
        <v>6712</v>
      </c>
      <c r="G330" s="21" t="s">
        <v>7030</v>
      </c>
      <c r="H330" s="21" t="s">
        <v>3247</v>
      </c>
      <c r="I330" s="21" t="s">
        <v>789</v>
      </c>
    </row>
    <row r="331" customFormat="false" ht="15" hidden="false" customHeight="false" outlineLevel="0" collapsed="false">
      <c r="B331" s="19" t="s">
        <v>7051</v>
      </c>
      <c r="C331" s="20" t="n">
        <f aca="false">ROUND(2.99/FX,2)</f>
        <v>0.42</v>
      </c>
      <c r="D331" s="21" t="s">
        <v>716</v>
      </c>
      <c r="E331" s="21" t="s">
        <v>6989</v>
      </c>
      <c r="F331" s="21" t="s">
        <v>724</v>
      </c>
      <c r="G331" s="21" t="s">
        <v>7030</v>
      </c>
      <c r="H331" s="21" t="s">
        <v>3247</v>
      </c>
      <c r="I331" s="21" t="s">
        <v>789</v>
      </c>
    </row>
    <row r="332" customFormat="false" ht="15" hidden="false" customHeight="false" outlineLevel="0" collapsed="false">
      <c r="B332" s="19" t="s">
        <v>7052</v>
      </c>
      <c r="C332" s="20" t="n">
        <f aca="false">ROUND(4.02/FX,2)</f>
        <v>0.56</v>
      </c>
      <c r="D332" s="21" t="s">
        <v>716</v>
      </c>
      <c r="E332" s="21" t="s">
        <v>734</v>
      </c>
      <c r="F332" s="21" t="s">
        <v>6712</v>
      </c>
      <c r="G332" s="21" t="s">
        <v>7030</v>
      </c>
      <c r="H332" s="21" t="s">
        <v>3247</v>
      </c>
      <c r="I332" s="21" t="s">
        <v>789</v>
      </c>
    </row>
    <row r="333" customFormat="false" ht="15" hidden="false" customHeight="false" outlineLevel="0" collapsed="false">
      <c r="B333" s="19" t="s">
        <v>7053</v>
      </c>
      <c r="C333" s="20" t="n">
        <f aca="false">ROUND(2.47/FX,2)</f>
        <v>0.34</v>
      </c>
      <c r="D333" s="21" t="s">
        <v>716</v>
      </c>
      <c r="E333" s="21" t="s">
        <v>6989</v>
      </c>
      <c r="F333" s="21" t="s">
        <v>6712</v>
      </c>
      <c r="G333" s="21" t="s">
        <v>7030</v>
      </c>
      <c r="H333" s="21" t="s">
        <v>3247</v>
      </c>
      <c r="I333" s="21" t="s">
        <v>789</v>
      </c>
    </row>
    <row r="334" customFormat="false" ht="15" hidden="false" customHeight="false" outlineLevel="0" collapsed="false">
      <c r="B334" s="19" t="s">
        <v>7054</v>
      </c>
      <c r="C334" s="20" t="n">
        <f aca="false">ROUND(4.52/FX,2)</f>
        <v>0.63</v>
      </c>
      <c r="D334" s="21" t="s">
        <v>719</v>
      </c>
      <c r="E334" s="21" t="s">
        <v>734</v>
      </c>
      <c r="F334" s="21" t="s">
        <v>724</v>
      </c>
      <c r="G334" s="21" t="s">
        <v>7030</v>
      </c>
      <c r="H334" s="21" t="s">
        <v>3247</v>
      </c>
      <c r="I334" s="21" t="s">
        <v>789</v>
      </c>
    </row>
    <row r="335" customFormat="false" ht="15" hidden="false" customHeight="false" outlineLevel="0" collapsed="false">
      <c r="B335" s="19" t="s">
        <v>7055</v>
      </c>
      <c r="C335" s="20" t="n">
        <f aca="false">ROUND(3.38/FX,2)</f>
        <v>0.47</v>
      </c>
      <c r="D335" s="21" t="s">
        <v>719</v>
      </c>
      <c r="E335" s="21" t="s">
        <v>6989</v>
      </c>
      <c r="F335" s="21" t="s">
        <v>724</v>
      </c>
      <c r="G335" s="21" t="s">
        <v>7030</v>
      </c>
      <c r="H335" s="21" t="s">
        <v>3247</v>
      </c>
      <c r="I335" s="21" t="s">
        <v>789</v>
      </c>
    </row>
    <row r="336" customFormat="false" ht="15" hidden="false" customHeight="false" outlineLevel="0" collapsed="false">
      <c r="B336" s="19" t="s">
        <v>7056</v>
      </c>
      <c r="C336" s="20" t="n">
        <f aca="false">ROUND(3.77/FX,2)</f>
        <v>0.52</v>
      </c>
      <c r="D336" s="21" t="s">
        <v>719</v>
      </c>
      <c r="E336" s="21" t="s">
        <v>6989</v>
      </c>
      <c r="F336" s="21" t="s">
        <v>6712</v>
      </c>
      <c r="G336" s="21" t="s">
        <v>7030</v>
      </c>
      <c r="H336" s="21" t="s">
        <v>3247</v>
      </c>
      <c r="I336" s="21" t="s">
        <v>789</v>
      </c>
    </row>
    <row r="337" customFormat="false" ht="15" hidden="false" customHeight="false" outlineLevel="0" collapsed="false">
      <c r="B337" s="19" t="s">
        <v>7057</v>
      </c>
      <c r="C337" s="20" t="n">
        <f aca="false">ROUND(3.77/FX,2)</f>
        <v>0.52</v>
      </c>
      <c r="D337" s="21" t="s">
        <v>707</v>
      </c>
      <c r="E337" s="21" t="s">
        <v>6989</v>
      </c>
      <c r="F337" s="21" t="s">
        <v>6712</v>
      </c>
      <c r="G337" s="21" t="s">
        <v>7030</v>
      </c>
      <c r="H337" s="21" t="s">
        <v>3247</v>
      </c>
      <c r="I337" s="21" t="s">
        <v>716</v>
      </c>
    </row>
    <row r="338" customFormat="false" ht="15" hidden="false" customHeight="false" outlineLevel="0" collapsed="false">
      <c r="B338" s="19" t="s">
        <v>7058</v>
      </c>
      <c r="C338" s="20" t="n">
        <f aca="false">ROUND(3.77/FX,2)</f>
        <v>0.52</v>
      </c>
      <c r="D338" s="21" t="s">
        <v>716</v>
      </c>
      <c r="E338" s="21" t="s">
        <v>6989</v>
      </c>
      <c r="F338" s="21" t="s">
        <v>6712</v>
      </c>
      <c r="G338" s="21" t="s">
        <v>7030</v>
      </c>
      <c r="H338" s="21" t="s">
        <v>3247</v>
      </c>
      <c r="I338" s="21" t="s">
        <v>716</v>
      </c>
    </row>
    <row r="339" customFormat="false" ht="15" hidden="false" customHeight="false" outlineLevel="0" collapsed="false">
      <c r="B339" s="19" t="s">
        <v>7059</v>
      </c>
      <c r="C339" s="20" t="n">
        <f aca="false">ROUND(4.63/FX,2)</f>
        <v>0.64</v>
      </c>
      <c r="D339" s="21" t="s">
        <v>716</v>
      </c>
      <c r="E339" s="21" t="s">
        <v>734</v>
      </c>
      <c r="F339" s="21" t="s">
        <v>6712</v>
      </c>
      <c r="G339" s="21" t="s">
        <v>7030</v>
      </c>
      <c r="H339" s="21" t="s">
        <v>3317</v>
      </c>
      <c r="I339" s="21" t="s">
        <v>789</v>
      </c>
    </row>
    <row r="340" customFormat="false" ht="15" hidden="false" customHeight="false" outlineLevel="0" collapsed="false">
      <c r="B340" s="19" t="s">
        <v>7060</v>
      </c>
      <c r="C340" s="20" t="n">
        <f aca="false">ROUND(4.81/FX,2)</f>
        <v>0.67</v>
      </c>
      <c r="D340" s="21" t="s">
        <v>707</v>
      </c>
      <c r="E340" s="21" t="s">
        <v>734</v>
      </c>
      <c r="F340" s="21" t="s">
        <v>6712</v>
      </c>
      <c r="G340" s="21" t="s">
        <v>7030</v>
      </c>
      <c r="H340" s="21" t="s">
        <v>7061</v>
      </c>
      <c r="I340" s="21" t="s">
        <v>847</v>
      </c>
    </row>
    <row r="341" customFormat="false" ht="15" hidden="false" customHeight="false" outlineLevel="0" collapsed="false">
      <c r="B341" s="19" t="s">
        <v>7062</v>
      </c>
      <c r="C341" s="20" t="n">
        <f aca="false">ROUND(4.71/FX,2)</f>
        <v>0.65</v>
      </c>
      <c r="D341" s="21" t="s">
        <v>714</v>
      </c>
      <c r="E341" s="21" t="s">
        <v>734</v>
      </c>
      <c r="F341" s="21" t="s">
        <v>6712</v>
      </c>
      <c r="G341" s="21" t="s">
        <v>7030</v>
      </c>
      <c r="H341" s="21" t="s">
        <v>7061</v>
      </c>
      <c r="I341" s="21" t="s">
        <v>847</v>
      </c>
    </row>
    <row r="342" customFormat="false" ht="15" hidden="false" customHeight="false" outlineLevel="0" collapsed="false">
      <c r="B342" s="19" t="s">
        <v>7063</v>
      </c>
      <c r="C342" s="20" t="n">
        <f aca="false">ROUND(4.37/FX,2)</f>
        <v>0.61</v>
      </c>
      <c r="D342" s="21" t="s">
        <v>716</v>
      </c>
      <c r="E342" s="21" t="s">
        <v>734</v>
      </c>
      <c r="F342" s="21" t="s">
        <v>6698</v>
      </c>
      <c r="G342" s="21" t="s">
        <v>7030</v>
      </c>
      <c r="H342" s="21" t="s">
        <v>7061</v>
      </c>
      <c r="I342" s="21" t="s">
        <v>847</v>
      </c>
    </row>
    <row r="343" customFormat="false" ht="15" hidden="false" customHeight="false" outlineLevel="0" collapsed="false">
      <c r="B343" s="19" t="s">
        <v>7064</v>
      </c>
      <c r="C343" s="20" t="n">
        <f aca="false">ROUND(5.07/FX,2)</f>
        <v>0.7</v>
      </c>
      <c r="D343" s="21" t="s">
        <v>716</v>
      </c>
      <c r="E343" s="21" t="s">
        <v>734</v>
      </c>
      <c r="F343" s="21" t="s">
        <v>6712</v>
      </c>
      <c r="G343" s="21" t="s">
        <v>7030</v>
      </c>
      <c r="H343" s="21" t="s">
        <v>784</v>
      </c>
      <c r="I343" s="21" t="s">
        <v>789</v>
      </c>
    </row>
    <row r="344" customFormat="false" ht="15" hidden="false" customHeight="false" outlineLevel="0" collapsed="false">
      <c r="B344" s="19" t="s">
        <v>7065</v>
      </c>
      <c r="C344" s="20" t="n">
        <f aca="false">ROUND(7.28/FX,2)</f>
        <v>1.01</v>
      </c>
      <c r="D344" s="21" t="s">
        <v>716</v>
      </c>
      <c r="E344" s="21" t="s">
        <v>734</v>
      </c>
      <c r="F344" s="21" t="s">
        <v>6712</v>
      </c>
      <c r="G344" s="21" t="s">
        <v>7030</v>
      </c>
      <c r="H344" s="21" t="s">
        <v>6730</v>
      </c>
      <c r="I344" s="21" t="s">
        <v>789</v>
      </c>
    </row>
    <row r="345" customFormat="false" ht="15" hidden="false" customHeight="false" outlineLevel="0" collapsed="false">
      <c r="B345" s="19" t="s">
        <v>7066</v>
      </c>
      <c r="C345" s="20" t="n">
        <f aca="false">ROUND(2.73/FX,2)</f>
        <v>0.38</v>
      </c>
      <c r="D345" s="21" t="s">
        <v>716</v>
      </c>
      <c r="E345" s="21" t="s">
        <v>734</v>
      </c>
      <c r="F345" s="21" t="s">
        <v>6698</v>
      </c>
      <c r="G345" s="21" t="s">
        <v>7067</v>
      </c>
      <c r="H345" s="21" t="s">
        <v>761</v>
      </c>
      <c r="I345" s="21" t="s">
        <v>839</v>
      </c>
    </row>
    <row r="346" customFormat="false" ht="15" hidden="false" customHeight="false" outlineLevel="0" collapsed="false">
      <c r="B346" s="19" t="s">
        <v>7068</v>
      </c>
      <c r="C346" s="20" t="n">
        <f aca="false">ROUND(2.73/FX,2)</f>
        <v>0.38</v>
      </c>
      <c r="D346" s="21" t="s">
        <v>716</v>
      </c>
      <c r="E346" s="21" t="s">
        <v>734</v>
      </c>
      <c r="F346" s="21" t="s">
        <v>6698</v>
      </c>
      <c r="G346" s="21" t="s">
        <v>7067</v>
      </c>
      <c r="H346" s="21" t="s">
        <v>761</v>
      </c>
      <c r="I346" s="21" t="s">
        <v>6709</v>
      </c>
    </row>
    <row r="347" customFormat="false" ht="15" hidden="false" customHeight="false" outlineLevel="0" collapsed="false">
      <c r="B347" s="19" t="s">
        <v>7069</v>
      </c>
      <c r="C347" s="20" t="n">
        <f aca="false">ROUND(2.73/FX,2)</f>
        <v>0.38</v>
      </c>
      <c r="D347" s="21" t="s">
        <v>707</v>
      </c>
      <c r="E347" s="21" t="s">
        <v>734</v>
      </c>
      <c r="F347" s="21" t="s">
        <v>6698</v>
      </c>
      <c r="G347" s="21" t="s">
        <v>7067</v>
      </c>
      <c r="H347" s="21" t="s">
        <v>761</v>
      </c>
      <c r="I347" s="21" t="s">
        <v>841</v>
      </c>
    </row>
    <row r="348" customFormat="false" ht="15" hidden="false" customHeight="false" outlineLevel="0" collapsed="false">
      <c r="B348" s="19" t="s">
        <v>7070</v>
      </c>
      <c r="C348" s="20" t="n">
        <f aca="false">ROUND(2.73/FX,2)</f>
        <v>0.38</v>
      </c>
      <c r="D348" s="21" t="s">
        <v>716</v>
      </c>
      <c r="E348" s="21" t="s">
        <v>734</v>
      </c>
      <c r="F348" s="21" t="s">
        <v>6733</v>
      </c>
      <c r="G348" s="21" t="s">
        <v>7067</v>
      </c>
      <c r="H348" s="21" t="s">
        <v>761</v>
      </c>
      <c r="I348" s="21" t="s">
        <v>841</v>
      </c>
    </row>
    <row r="349" customFormat="false" ht="15" hidden="false" customHeight="false" outlineLevel="0" collapsed="false">
      <c r="B349" s="19" t="s">
        <v>7071</v>
      </c>
      <c r="C349" s="20" t="n">
        <f aca="false">ROUND(2.73/FX,2)</f>
        <v>0.38</v>
      </c>
      <c r="D349" s="21" t="s">
        <v>707</v>
      </c>
      <c r="E349" s="21" t="s">
        <v>734</v>
      </c>
      <c r="F349" s="21" t="s">
        <v>6698</v>
      </c>
      <c r="G349" s="21" t="s">
        <v>7067</v>
      </c>
      <c r="H349" s="21" t="s">
        <v>761</v>
      </c>
      <c r="I349" s="21" t="s">
        <v>789</v>
      </c>
    </row>
    <row r="350" customFormat="false" ht="15" hidden="false" customHeight="false" outlineLevel="0" collapsed="false">
      <c r="B350" s="19" t="s">
        <v>7072</v>
      </c>
      <c r="C350" s="20" t="n">
        <f aca="false">ROUND(3.12/FX,2)</f>
        <v>0.43</v>
      </c>
      <c r="D350" s="21" t="s">
        <v>714</v>
      </c>
      <c r="E350" s="21" t="s">
        <v>734</v>
      </c>
      <c r="F350" s="21" t="s">
        <v>6733</v>
      </c>
      <c r="G350" s="21" t="s">
        <v>7067</v>
      </c>
      <c r="H350" s="21" t="s">
        <v>761</v>
      </c>
      <c r="I350" s="21" t="s">
        <v>789</v>
      </c>
    </row>
    <row r="351" customFormat="false" ht="15" hidden="false" customHeight="false" outlineLevel="0" collapsed="false">
      <c r="B351" s="19" t="s">
        <v>7073</v>
      </c>
      <c r="C351" s="20" t="n">
        <f aca="false">ROUND(2.73/FX,2)</f>
        <v>0.38</v>
      </c>
      <c r="D351" s="21" t="s">
        <v>716</v>
      </c>
      <c r="E351" s="21" t="s">
        <v>734</v>
      </c>
      <c r="F351" s="21" t="s">
        <v>7074</v>
      </c>
      <c r="G351" s="21" t="s">
        <v>7067</v>
      </c>
      <c r="H351" s="21" t="s">
        <v>761</v>
      </c>
      <c r="I351" s="21" t="s">
        <v>789</v>
      </c>
    </row>
    <row r="352" customFormat="false" ht="15" hidden="false" customHeight="false" outlineLevel="0" collapsed="false">
      <c r="B352" s="19" t="s">
        <v>7075</v>
      </c>
      <c r="C352" s="20" t="n">
        <f aca="false">ROUND(2.73/FX,2)</f>
        <v>0.38</v>
      </c>
      <c r="D352" s="21" t="s">
        <v>716</v>
      </c>
      <c r="E352" s="21" t="s">
        <v>734</v>
      </c>
      <c r="F352" s="21" t="s">
        <v>6698</v>
      </c>
      <c r="G352" s="21" t="s">
        <v>7067</v>
      </c>
      <c r="H352" s="21" t="s">
        <v>761</v>
      </c>
      <c r="I352" s="21" t="s">
        <v>789</v>
      </c>
    </row>
    <row r="353" customFormat="false" ht="15" hidden="false" customHeight="false" outlineLevel="0" collapsed="false">
      <c r="B353" s="19" t="s">
        <v>7076</v>
      </c>
      <c r="C353" s="20" t="n">
        <f aca="false">ROUND(1.95/FX,2)</f>
        <v>0.27</v>
      </c>
      <c r="D353" s="21" t="s">
        <v>716</v>
      </c>
      <c r="E353" s="21" t="s">
        <v>734</v>
      </c>
      <c r="F353" s="21" t="s">
        <v>6733</v>
      </c>
      <c r="G353" s="21" t="s">
        <v>7067</v>
      </c>
      <c r="H353" s="21" t="s">
        <v>761</v>
      </c>
      <c r="I353" s="21" t="s">
        <v>789</v>
      </c>
    </row>
    <row r="354" customFormat="false" ht="15" hidden="false" customHeight="false" outlineLevel="0" collapsed="false">
      <c r="B354" s="19" t="s">
        <v>7077</v>
      </c>
      <c r="C354" s="20" t="n">
        <f aca="false">ROUND(1.95/FX,2)</f>
        <v>0.27</v>
      </c>
      <c r="D354" s="21" t="s">
        <v>707</v>
      </c>
      <c r="E354" s="21" t="s">
        <v>734</v>
      </c>
      <c r="F354" s="21" t="s">
        <v>6733</v>
      </c>
      <c r="G354" s="21" t="s">
        <v>7067</v>
      </c>
      <c r="H354" s="21" t="s">
        <v>4721</v>
      </c>
      <c r="I354" s="21" t="s">
        <v>789</v>
      </c>
    </row>
    <row r="355" customFormat="false" ht="15" hidden="false" customHeight="false" outlineLevel="0" collapsed="false">
      <c r="B355" s="19" t="s">
        <v>7078</v>
      </c>
      <c r="C355" s="20" t="n">
        <f aca="false">ROUND(2.73/FX,2)</f>
        <v>0.38</v>
      </c>
      <c r="D355" s="21" t="s">
        <v>716</v>
      </c>
      <c r="E355" s="21" t="s">
        <v>734</v>
      </c>
      <c r="F355" s="21" t="s">
        <v>6733</v>
      </c>
      <c r="G355" s="21" t="s">
        <v>7067</v>
      </c>
      <c r="H355" s="21" t="s">
        <v>4721</v>
      </c>
      <c r="I355" s="21" t="s">
        <v>789</v>
      </c>
    </row>
    <row r="356" customFormat="false" ht="15" hidden="false" customHeight="false" outlineLevel="0" collapsed="false">
      <c r="B356" s="19" t="s">
        <v>7079</v>
      </c>
      <c r="C356" s="20" t="n">
        <f aca="false">ROUND(2.73/FX,2)</f>
        <v>0.38</v>
      </c>
      <c r="D356" s="21" t="s">
        <v>716</v>
      </c>
      <c r="E356" s="21" t="s">
        <v>734</v>
      </c>
      <c r="F356" s="21" t="s">
        <v>6698</v>
      </c>
      <c r="G356" s="21" t="s">
        <v>7067</v>
      </c>
      <c r="H356" s="21" t="s">
        <v>4721</v>
      </c>
      <c r="I356" s="21" t="s">
        <v>716</v>
      </c>
    </row>
    <row r="357" customFormat="false" ht="15" hidden="false" customHeight="false" outlineLevel="0" collapsed="false">
      <c r="B357" s="19" t="s">
        <v>7080</v>
      </c>
      <c r="C357" s="20" t="n">
        <f aca="false">ROUND(2.73/FX,2)</f>
        <v>0.38</v>
      </c>
      <c r="D357" s="21" t="s">
        <v>719</v>
      </c>
      <c r="E357" s="21" t="s">
        <v>734</v>
      </c>
      <c r="F357" s="21" t="s">
        <v>724</v>
      </c>
      <c r="G357" s="21" t="s">
        <v>7067</v>
      </c>
      <c r="H357" s="21" t="s">
        <v>714</v>
      </c>
      <c r="I357" s="21" t="s">
        <v>841</v>
      </c>
    </row>
    <row r="358" customFormat="false" ht="15" hidden="false" customHeight="false" outlineLevel="0" collapsed="false">
      <c r="B358" s="19" t="s">
        <v>7081</v>
      </c>
      <c r="C358" s="20" t="n">
        <f aca="false">ROUND(2.73/FX,2)</f>
        <v>0.38</v>
      </c>
      <c r="D358" s="21" t="s">
        <v>707</v>
      </c>
      <c r="E358" s="21" t="s">
        <v>734</v>
      </c>
      <c r="F358" s="21" t="s">
        <v>6698</v>
      </c>
      <c r="G358" s="21" t="s">
        <v>7067</v>
      </c>
      <c r="H358" s="21" t="s">
        <v>714</v>
      </c>
      <c r="I358" s="21" t="s">
        <v>789</v>
      </c>
    </row>
    <row r="359" customFormat="false" ht="15" hidden="false" customHeight="false" outlineLevel="0" collapsed="false">
      <c r="B359" s="19" t="s">
        <v>7082</v>
      </c>
      <c r="C359" s="20" t="n">
        <f aca="false">ROUND(2.73/FX,2)</f>
        <v>0.38</v>
      </c>
      <c r="D359" s="21" t="s">
        <v>716</v>
      </c>
      <c r="E359" s="21" t="s">
        <v>734</v>
      </c>
      <c r="F359" s="21" t="s">
        <v>6733</v>
      </c>
      <c r="G359" s="21" t="s">
        <v>7067</v>
      </c>
      <c r="H359" s="21" t="s">
        <v>714</v>
      </c>
      <c r="I359" s="21" t="s">
        <v>789</v>
      </c>
    </row>
    <row r="360" customFormat="false" ht="15" hidden="false" customHeight="false" outlineLevel="0" collapsed="false">
      <c r="B360" s="19" t="s">
        <v>7083</v>
      </c>
      <c r="C360" s="20" t="n">
        <f aca="false">ROUND(2.41/FX,2)</f>
        <v>0.33</v>
      </c>
      <c r="D360" s="21" t="s">
        <v>707</v>
      </c>
      <c r="E360" s="21" t="s">
        <v>734</v>
      </c>
      <c r="F360" s="21" t="s">
        <v>6706</v>
      </c>
      <c r="G360" s="21" t="s">
        <v>7067</v>
      </c>
      <c r="H360" s="21" t="s">
        <v>3833</v>
      </c>
      <c r="I360" s="21" t="s">
        <v>839</v>
      </c>
    </row>
    <row r="361" customFormat="false" ht="15" hidden="false" customHeight="false" outlineLevel="0" collapsed="false">
      <c r="B361" s="19" t="s">
        <v>7084</v>
      </c>
      <c r="C361" s="20" t="n">
        <f aca="false">ROUND(1.63/FX,2)</f>
        <v>0.23</v>
      </c>
      <c r="D361" s="21" t="s">
        <v>716</v>
      </c>
      <c r="E361" s="21" t="s">
        <v>734</v>
      </c>
      <c r="F361" s="21" t="s">
        <v>6706</v>
      </c>
      <c r="G361" s="21" t="s">
        <v>7067</v>
      </c>
      <c r="H361" s="21" t="s">
        <v>3833</v>
      </c>
      <c r="I361" s="21" t="s">
        <v>839</v>
      </c>
    </row>
    <row r="362" customFormat="false" ht="15" hidden="false" customHeight="false" outlineLevel="0" collapsed="false">
      <c r="B362" s="19" t="s">
        <v>7085</v>
      </c>
      <c r="C362" s="20" t="n">
        <f aca="false">ROUND(2.73/FX,2)</f>
        <v>0.38</v>
      </c>
      <c r="D362" s="21" t="s">
        <v>716</v>
      </c>
      <c r="E362" s="21" t="s">
        <v>734</v>
      </c>
      <c r="F362" s="21" t="s">
        <v>6712</v>
      </c>
      <c r="G362" s="21" t="s">
        <v>7067</v>
      </c>
      <c r="H362" s="21" t="s">
        <v>3833</v>
      </c>
      <c r="I362" s="21" t="s">
        <v>839</v>
      </c>
    </row>
    <row r="363" customFormat="false" ht="15" hidden="false" customHeight="false" outlineLevel="0" collapsed="false">
      <c r="B363" s="19" t="s">
        <v>7086</v>
      </c>
      <c r="C363" s="20" t="n">
        <f aca="false">ROUND(2.41/FX,2)</f>
        <v>0.33</v>
      </c>
      <c r="D363" s="21" t="s">
        <v>707</v>
      </c>
      <c r="E363" s="21" t="s">
        <v>734</v>
      </c>
      <c r="F363" s="21" t="s">
        <v>6706</v>
      </c>
      <c r="G363" s="21" t="s">
        <v>7067</v>
      </c>
      <c r="H363" s="21" t="s">
        <v>3833</v>
      </c>
      <c r="I363" s="21" t="s">
        <v>6709</v>
      </c>
    </row>
    <row r="364" customFormat="false" ht="15" hidden="false" customHeight="false" outlineLevel="0" collapsed="false">
      <c r="B364" s="19" t="s">
        <v>7087</v>
      </c>
      <c r="C364" s="20" t="n">
        <f aca="false">ROUND(1.63/FX,2)</f>
        <v>0.23</v>
      </c>
      <c r="D364" s="21" t="s">
        <v>716</v>
      </c>
      <c r="E364" s="21" t="s">
        <v>734</v>
      </c>
      <c r="F364" s="21" t="s">
        <v>6706</v>
      </c>
      <c r="G364" s="21" t="s">
        <v>7067</v>
      </c>
      <c r="H364" s="21" t="s">
        <v>3833</v>
      </c>
      <c r="I364" s="21" t="s">
        <v>6709</v>
      </c>
    </row>
    <row r="365" customFormat="false" ht="15" hidden="false" customHeight="false" outlineLevel="0" collapsed="false">
      <c r="B365" s="19" t="s">
        <v>7088</v>
      </c>
      <c r="C365" s="20" t="n">
        <f aca="false">ROUND(2.73/FX,2)</f>
        <v>0.38</v>
      </c>
      <c r="D365" s="21" t="s">
        <v>716</v>
      </c>
      <c r="E365" s="21" t="s">
        <v>734</v>
      </c>
      <c r="F365" s="21" t="s">
        <v>6712</v>
      </c>
      <c r="G365" s="21" t="s">
        <v>7067</v>
      </c>
      <c r="H365" s="21" t="s">
        <v>3833</v>
      </c>
      <c r="I365" s="21" t="s">
        <v>6709</v>
      </c>
    </row>
    <row r="366" customFormat="false" ht="15" hidden="false" customHeight="false" outlineLevel="0" collapsed="false">
      <c r="B366" s="19" t="s">
        <v>7089</v>
      </c>
      <c r="C366" s="20" t="n">
        <f aca="false">ROUND(2.73/FX,2)</f>
        <v>0.38</v>
      </c>
      <c r="D366" s="21" t="s">
        <v>707</v>
      </c>
      <c r="E366" s="21" t="s">
        <v>734</v>
      </c>
      <c r="F366" s="21" t="s">
        <v>6698</v>
      </c>
      <c r="G366" s="21" t="s">
        <v>7067</v>
      </c>
      <c r="H366" s="21" t="s">
        <v>3833</v>
      </c>
      <c r="I366" s="21" t="s">
        <v>841</v>
      </c>
    </row>
    <row r="367" customFormat="false" ht="15" hidden="false" customHeight="false" outlineLevel="0" collapsed="false">
      <c r="B367" s="19" t="s">
        <v>7090</v>
      </c>
      <c r="C367" s="20" t="n">
        <f aca="false">ROUND(1.24/FX,2)</f>
        <v>0.17</v>
      </c>
      <c r="D367" s="21" t="s">
        <v>716</v>
      </c>
      <c r="E367" s="21" t="s">
        <v>734</v>
      </c>
      <c r="F367" s="21" t="s">
        <v>6706</v>
      </c>
      <c r="G367" s="21" t="s">
        <v>7067</v>
      </c>
      <c r="H367" s="21" t="s">
        <v>3833</v>
      </c>
      <c r="I367" s="21" t="s">
        <v>841</v>
      </c>
    </row>
    <row r="368" customFormat="false" ht="15" hidden="false" customHeight="false" outlineLevel="0" collapsed="false">
      <c r="B368" s="19" t="s">
        <v>7091</v>
      </c>
      <c r="C368" s="20" t="n">
        <f aca="false">ROUND(2.73/FX,2)</f>
        <v>0.38</v>
      </c>
      <c r="D368" s="21" t="s">
        <v>716</v>
      </c>
      <c r="E368" s="21" t="s">
        <v>734</v>
      </c>
      <c r="F368" s="21" t="s">
        <v>6733</v>
      </c>
      <c r="G368" s="21" t="s">
        <v>7067</v>
      </c>
      <c r="H368" s="21" t="s">
        <v>3833</v>
      </c>
      <c r="I368" s="21" t="s">
        <v>841</v>
      </c>
    </row>
    <row r="369" customFormat="false" ht="15" hidden="false" customHeight="false" outlineLevel="0" collapsed="false">
      <c r="B369" s="19" t="s">
        <v>7092</v>
      </c>
      <c r="C369" s="20" t="n">
        <f aca="false">ROUND(2.73/FX,2)</f>
        <v>0.38</v>
      </c>
      <c r="D369" s="21" t="s">
        <v>707</v>
      </c>
      <c r="E369" s="21" t="s">
        <v>734</v>
      </c>
      <c r="F369" s="21" t="s">
        <v>6712</v>
      </c>
      <c r="G369" s="21" t="s">
        <v>7067</v>
      </c>
      <c r="H369" s="21" t="s">
        <v>3833</v>
      </c>
      <c r="I369" s="21" t="s">
        <v>789</v>
      </c>
    </row>
    <row r="370" customFormat="false" ht="15" hidden="false" customHeight="false" outlineLevel="0" collapsed="false">
      <c r="B370" s="19" t="s">
        <v>7093</v>
      </c>
      <c r="C370" s="20" t="n">
        <f aca="false">ROUND(3.12/FX,2)</f>
        <v>0.43</v>
      </c>
      <c r="D370" s="21" t="s">
        <v>714</v>
      </c>
      <c r="E370" s="21" t="s">
        <v>734</v>
      </c>
      <c r="F370" s="21" t="s">
        <v>6733</v>
      </c>
      <c r="G370" s="21" t="s">
        <v>7067</v>
      </c>
      <c r="H370" s="21" t="s">
        <v>3833</v>
      </c>
      <c r="I370" s="21" t="s">
        <v>789</v>
      </c>
    </row>
    <row r="371" customFormat="false" ht="15" hidden="false" customHeight="false" outlineLevel="0" collapsed="false">
      <c r="B371" s="19" t="s">
        <v>7094</v>
      </c>
      <c r="C371" s="20" t="n">
        <f aca="false">ROUND(3.12/FX,2)</f>
        <v>0.43</v>
      </c>
      <c r="D371" s="21" t="s">
        <v>789</v>
      </c>
      <c r="E371" s="21" t="s">
        <v>734</v>
      </c>
      <c r="F371" s="21" t="s">
        <v>6862</v>
      </c>
      <c r="G371" s="21" t="s">
        <v>7067</v>
      </c>
      <c r="H371" s="21" t="s">
        <v>3833</v>
      </c>
      <c r="I371" s="21" t="s">
        <v>789</v>
      </c>
    </row>
    <row r="372" customFormat="false" ht="15" hidden="false" customHeight="false" outlineLevel="0" collapsed="false">
      <c r="B372" s="19" t="s">
        <v>7095</v>
      </c>
      <c r="C372" s="20" t="n">
        <f aca="false">ROUND(1.11/FX,2)</f>
        <v>0.15</v>
      </c>
      <c r="D372" s="21" t="s">
        <v>716</v>
      </c>
      <c r="E372" s="21" t="s">
        <v>734</v>
      </c>
      <c r="F372" s="21" t="s">
        <v>6706</v>
      </c>
      <c r="G372" s="21" t="s">
        <v>7067</v>
      </c>
      <c r="H372" s="21" t="s">
        <v>3833</v>
      </c>
      <c r="I372" s="21" t="s">
        <v>789</v>
      </c>
    </row>
    <row r="373" customFormat="false" ht="15" hidden="false" customHeight="false" outlineLevel="0" collapsed="false">
      <c r="B373" s="19" t="s">
        <v>7096</v>
      </c>
      <c r="C373" s="20" t="n">
        <f aca="false">ROUND(2.73/FX,2)</f>
        <v>0.38</v>
      </c>
      <c r="D373" s="21" t="s">
        <v>716</v>
      </c>
      <c r="E373" s="21" t="s">
        <v>734</v>
      </c>
      <c r="F373" s="21" t="s">
        <v>6862</v>
      </c>
      <c r="G373" s="21" t="s">
        <v>7067</v>
      </c>
      <c r="H373" s="21" t="s">
        <v>3833</v>
      </c>
      <c r="I373" s="21" t="s">
        <v>789</v>
      </c>
    </row>
    <row r="374" customFormat="false" ht="15" hidden="false" customHeight="false" outlineLevel="0" collapsed="false">
      <c r="B374" s="19" t="s">
        <v>7097</v>
      </c>
      <c r="C374" s="20" t="n">
        <f aca="false">ROUND(2.73/FX,2)</f>
        <v>0.38</v>
      </c>
      <c r="D374" s="21" t="s">
        <v>716</v>
      </c>
      <c r="E374" s="21" t="s">
        <v>734</v>
      </c>
      <c r="F374" s="21" t="s">
        <v>6712</v>
      </c>
      <c r="G374" s="21" t="s">
        <v>7067</v>
      </c>
      <c r="H374" s="21" t="s">
        <v>3833</v>
      </c>
      <c r="I374" s="21" t="s">
        <v>789</v>
      </c>
    </row>
    <row r="375" customFormat="false" ht="15" hidden="false" customHeight="false" outlineLevel="0" collapsed="false">
      <c r="B375" s="19" t="s">
        <v>7098</v>
      </c>
      <c r="C375" s="20" t="n">
        <f aca="false">ROUND(2.21/FX,2)</f>
        <v>0.31</v>
      </c>
      <c r="D375" s="21" t="s">
        <v>845</v>
      </c>
      <c r="E375" s="21" t="s">
        <v>734</v>
      </c>
      <c r="F375" s="21" t="s">
        <v>6733</v>
      </c>
      <c r="G375" s="21" t="s">
        <v>7067</v>
      </c>
      <c r="H375" s="21" t="s">
        <v>3833</v>
      </c>
      <c r="I375" s="21" t="s">
        <v>789</v>
      </c>
    </row>
    <row r="376" customFormat="false" ht="15" hidden="false" customHeight="false" outlineLevel="0" collapsed="false">
      <c r="B376" s="19" t="s">
        <v>7099</v>
      </c>
      <c r="C376" s="20" t="n">
        <f aca="false">ROUND(2.73/FX,2)</f>
        <v>0.38</v>
      </c>
      <c r="D376" s="21" t="s">
        <v>719</v>
      </c>
      <c r="E376" s="21" t="s">
        <v>734</v>
      </c>
      <c r="F376" s="21" t="s">
        <v>6733</v>
      </c>
      <c r="G376" s="21" t="s">
        <v>7067</v>
      </c>
      <c r="H376" s="21" t="s">
        <v>3833</v>
      </c>
      <c r="I376" s="21" t="s">
        <v>789</v>
      </c>
    </row>
    <row r="377" customFormat="false" ht="15" hidden="false" customHeight="false" outlineLevel="0" collapsed="false">
      <c r="B377" s="19" t="s">
        <v>7100</v>
      </c>
      <c r="C377" s="20" t="n">
        <f aca="false">ROUND(3.12/FX,2)</f>
        <v>0.43</v>
      </c>
      <c r="D377" s="21" t="s">
        <v>714</v>
      </c>
      <c r="E377" s="21" t="s">
        <v>734</v>
      </c>
      <c r="F377" s="21" t="s">
        <v>6712</v>
      </c>
      <c r="G377" s="21" t="s">
        <v>7067</v>
      </c>
      <c r="H377" s="21" t="s">
        <v>3833</v>
      </c>
      <c r="I377" s="21" t="s">
        <v>6418</v>
      </c>
    </row>
    <row r="378" customFormat="false" ht="15" hidden="false" customHeight="false" outlineLevel="0" collapsed="false">
      <c r="B378" s="19" t="s">
        <v>7101</v>
      </c>
      <c r="C378" s="20" t="n">
        <f aca="false">ROUND(2.6/FX,2)</f>
        <v>0.36</v>
      </c>
      <c r="D378" s="21" t="s">
        <v>707</v>
      </c>
      <c r="E378" s="21" t="s">
        <v>734</v>
      </c>
      <c r="F378" s="21" t="s">
        <v>6733</v>
      </c>
      <c r="G378" s="21" t="s">
        <v>7067</v>
      </c>
      <c r="H378" s="21" t="s">
        <v>3833</v>
      </c>
      <c r="I378" s="21" t="s">
        <v>716</v>
      </c>
    </row>
    <row r="379" customFormat="false" ht="15" hidden="false" customHeight="false" outlineLevel="0" collapsed="false">
      <c r="B379" s="19" t="s">
        <v>7102</v>
      </c>
      <c r="C379" s="20" t="n">
        <f aca="false">ROUND(2.73/FX,2)</f>
        <v>0.38</v>
      </c>
      <c r="D379" s="21" t="s">
        <v>716</v>
      </c>
      <c r="E379" s="21" t="s">
        <v>734</v>
      </c>
      <c r="F379" s="21" t="s">
        <v>6733</v>
      </c>
      <c r="G379" s="21" t="s">
        <v>7067</v>
      </c>
      <c r="H379" s="21" t="s">
        <v>3833</v>
      </c>
      <c r="I379" s="21" t="s">
        <v>716</v>
      </c>
    </row>
    <row r="380" customFormat="false" ht="15" hidden="false" customHeight="false" outlineLevel="0" collapsed="false">
      <c r="B380" s="19" t="s">
        <v>7103</v>
      </c>
      <c r="C380" s="20" t="n">
        <f aca="false">ROUND(2.47/FX,2)</f>
        <v>0.34</v>
      </c>
      <c r="D380" s="21" t="s">
        <v>719</v>
      </c>
      <c r="E380" s="21" t="s">
        <v>734</v>
      </c>
      <c r="F380" s="21" t="s">
        <v>6733</v>
      </c>
      <c r="G380" s="21" t="s">
        <v>7067</v>
      </c>
      <c r="H380" s="21" t="s">
        <v>3833</v>
      </c>
      <c r="I380" s="21" t="s">
        <v>716</v>
      </c>
    </row>
    <row r="381" customFormat="false" ht="15" hidden="false" customHeight="false" outlineLevel="0" collapsed="false">
      <c r="B381" s="19" t="s">
        <v>7104</v>
      </c>
      <c r="C381" s="20" t="n">
        <f aca="false">ROUND(1.95/FX,2)</f>
        <v>0.27</v>
      </c>
      <c r="D381" s="21" t="s">
        <v>707</v>
      </c>
      <c r="E381" s="21" t="s">
        <v>734</v>
      </c>
      <c r="F381" s="21" t="s">
        <v>6733</v>
      </c>
      <c r="G381" s="21" t="s">
        <v>7067</v>
      </c>
      <c r="H381" s="21" t="s">
        <v>3833</v>
      </c>
      <c r="I381" s="21" t="s">
        <v>6740</v>
      </c>
    </row>
    <row r="382" customFormat="false" ht="15" hidden="false" customHeight="false" outlineLevel="0" collapsed="false">
      <c r="B382" s="19" t="s">
        <v>7105</v>
      </c>
      <c r="C382" s="20" t="n">
        <f aca="false">ROUND(3.12/FX,2)</f>
        <v>0.43</v>
      </c>
      <c r="D382" s="21" t="s">
        <v>714</v>
      </c>
      <c r="E382" s="21" t="s">
        <v>734</v>
      </c>
      <c r="F382" s="21" t="s">
        <v>6712</v>
      </c>
      <c r="G382" s="21" t="s">
        <v>7067</v>
      </c>
      <c r="H382" s="21" t="s">
        <v>3833</v>
      </c>
      <c r="I382" s="21" t="s">
        <v>6740</v>
      </c>
    </row>
    <row r="383" customFormat="false" ht="15" hidden="false" customHeight="false" outlineLevel="0" collapsed="false">
      <c r="B383" s="19" t="s">
        <v>7106</v>
      </c>
      <c r="C383" s="20" t="n">
        <f aca="false">ROUND(1.95/FX,2)</f>
        <v>0.27</v>
      </c>
      <c r="D383" s="21" t="s">
        <v>716</v>
      </c>
      <c r="E383" s="21" t="s">
        <v>734</v>
      </c>
      <c r="F383" s="21" t="s">
        <v>6733</v>
      </c>
      <c r="G383" s="21" t="s">
        <v>7067</v>
      </c>
      <c r="H383" s="21" t="s">
        <v>3833</v>
      </c>
      <c r="I383" s="21" t="s">
        <v>6740</v>
      </c>
    </row>
    <row r="384" customFormat="false" ht="15" hidden="false" customHeight="false" outlineLevel="0" collapsed="false">
      <c r="B384" s="19" t="s">
        <v>7107</v>
      </c>
      <c r="C384" s="20" t="n">
        <f aca="false">ROUND(1.95/FX,2)</f>
        <v>0.27</v>
      </c>
      <c r="D384" s="21" t="s">
        <v>716</v>
      </c>
      <c r="E384" s="21" t="s">
        <v>734</v>
      </c>
      <c r="F384" s="21" t="s">
        <v>6712</v>
      </c>
      <c r="G384" s="21" t="s">
        <v>7067</v>
      </c>
      <c r="H384" s="21" t="s">
        <v>5492</v>
      </c>
      <c r="I384" s="21" t="s">
        <v>789</v>
      </c>
    </row>
    <row r="385" customFormat="false" ht="15" hidden="false" customHeight="false" outlineLevel="0" collapsed="false">
      <c r="B385" s="19" t="s">
        <v>7108</v>
      </c>
      <c r="C385" s="20" t="n">
        <f aca="false">ROUND(2.73/FX,2)</f>
        <v>0.38</v>
      </c>
      <c r="D385" s="21" t="s">
        <v>707</v>
      </c>
      <c r="E385" s="21" t="s">
        <v>734</v>
      </c>
      <c r="F385" s="21" t="s">
        <v>6712</v>
      </c>
      <c r="G385" s="21" t="s">
        <v>7067</v>
      </c>
      <c r="H385" s="21" t="s">
        <v>4000</v>
      </c>
      <c r="I385" s="21" t="s">
        <v>6709</v>
      </c>
    </row>
    <row r="386" customFormat="false" ht="15" hidden="false" customHeight="false" outlineLevel="0" collapsed="false">
      <c r="B386" s="19" t="s">
        <v>7109</v>
      </c>
      <c r="C386" s="20" t="n">
        <f aca="false">ROUND(2.73/FX,2)</f>
        <v>0.38</v>
      </c>
      <c r="D386" s="21" t="s">
        <v>716</v>
      </c>
      <c r="E386" s="21" t="s">
        <v>734</v>
      </c>
      <c r="F386" s="21" t="s">
        <v>6712</v>
      </c>
      <c r="G386" s="21" t="s">
        <v>7067</v>
      </c>
      <c r="H386" s="21" t="s">
        <v>4000</v>
      </c>
      <c r="I386" s="21" t="s">
        <v>789</v>
      </c>
    </row>
    <row r="387" customFormat="false" ht="15" hidden="false" customHeight="false" outlineLevel="0" collapsed="false">
      <c r="B387" s="19" t="s">
        <v>7110</v>
      </c>
      <c r="C387" s="20" t="n">
        <f aca="false">ROUND(1.95/FX,2)</f>
        <v>0.27</v>
      </c>
      <c r="D387" s="21" t="s">
        <v>716</v>
      </c>
      <c r="E387" s="21" t="s">
        <v>734</v>
      </c>
      <c r="F387" s="21" t="s">
        <v>6712</v>
      </c>
      <c r="G387" s="21" t="s">
        <v>7067</v>
      </c>
      <c r="H387" s="21" t="s">
        <v>4000</v>
      </c>
      <c r="I387" s="21" t="s">
        <v>6740</v>
      </c>
    </row>
    <row r="388" customFormat="false" ht="15" hidden="false" customHeight="false" outlineLevel="0" collapsed="false">
      <c r="B388" s="19" t="s">
        <v>7111</v>
      </c>
      <c r="C388" s="20" t="n">
        <f aca="false">ROUND(3.25/FX,2)</f>
        <v>0.45</v>
      </c>
      <c r="D388" s="21" t="s">
        <v>716</v>
      </c>
      <c r="E388" s="21" t="s">
        <v>734</v>
      </c>
      <c r="F388" s="21" t="s">
        <v>6712</v>
      </c>
      <c r="G388" s="21" t="s">
        <v>7067</v>
      </c>
      <c r="H388" s="21" t="s">
        <v>6940</v>
      </c>
      <c r="I388" s="21" t="s">
        <v>789</v>
      </c>
    </row>
    <row r="389" customFormat="false" ht="15" hidden="false" customHeight="false" outlineLevel="0" collapsed="false">
      <c r="B389" s="19" t="s">
        <v>7112</v>
      </c>
      <c r="C389" s="20" t="n">
        <f aca="false">ROUND(2.73/FX,2)</f>
        <v>0.38</v>
      </c>
      <c r="D389" s="21" t="s">
        <v>716</v>
      </c>
      <c r="E389" s="21" t="s">
        <v>734</v>
      </c>
      <c r="F389" s="21" t="s">
        <v>6712</v>
      </c>
      <c r="G389" s="21" t="s">
        <v>7067</v>
      </c>
      <c r="H389" s="21" t="s">
        <v>6940</v>
      </c>
      <c r="I389" s="21" t="s">
        <v>716</v>
      </c>
    </row>
    <row r="390" customFormat="false" ht="15" hidden="false" customHeight="false" outlineLevel="0" collapsed="false">
      <c r="B390" s="19" t="s">
        <v>7113</v>
      </c>
      <c r="C390" s="20" t="n">
        <f aca="false">ROUND(2.6/FX,2)</f>
        <v>0.36</v>
      </c>
      <c r="D390" s="21" t="s">
        <v>707</v>
      </c>
      <c r="E390" s="21" t="s">
        <v>734</v>
      </c>
      <c r="F390" s="21" t="s">
        <v>6706</v>
      </c>
      <c r="G390" s="21" t="s">
        <v>7067</v>
      </c>
      <c r="H390" s="21" t="s">
        <v>3247</v>
      </c>
      <c r="I390" s="21" t="s">
        <v>839</v>
      </c>
    </row>
    <row r="391" customFormat="false" ht="15" hidden="false" customHeight="false" outlineLevel="0" collapsed="false">
      <c r="B391" s="19" t="s">
        <v>7114</v>
      </c>
      <c r="C391" s="20" t="n">
        <f aca="false">ROUND(1.43/FX,2)</f>
        <v>0.2</v>
      </c>
      <c r="D391" s="21" t="s">
        <v>716</v>
      </c>
      <c r="E391" s="21" t="s">
        <v>734</v>
      </c>
      <c r="F391" s="21" t="s">
        <v>6706</v>
      </c>
      <c r="G391" s="21" t="s">
        <v>7067</v>
      </c>
      <c r="H391" s="21" t="s">
        <v>3247</v>
      </c>
      <c r="I391" s="21" t="s">
        <v>839</v>
      </c>
    </row>
    <row r="392" customFormat="false" ht="15" hidden="false" customHeight="false" outlineLevel="0" collapsed="false">
      <c r="B392" s="19" t="s">
        <v>7115</v>
      </c>
      <c r="C392" s="20" t="n">
        <f aca="false">ROUND(2.73/FX,2)</f>
        <v>0.38</v>
      </c>
      <c r="D392" s="21" t="s">
        <v>716</v>
      </c>
      <c r="E392" s="21" t="s">
        <v>734</v>
      </c>
      <c r="F392" s="21" t="s">
        <v>6698</v>
      </c>
      <c r="G392" s="21" t="s">
        <v>7067</v>
      </c>
      <c r="H392" s="21" t="s">
        <v>3247</v>
      </c>
      <c r="I392" s="21" t="s">
        <v>839</v>
      </c>
    </row>
    <row r="393" customFormat="false" ht="15" hidden="false" customHeight="false" outlineLevel="0" collapsed="false">
      <c r="B393" s="19" t="s">
        <v>7116</v>
      </c>
      <c r="C393" s="20" t="n">
        <f aca="false">ROUND(1.69/FX,2)</f>
        <v>0.23</v>
      </c>
      <c r="D393" s="21" t="s">
        <v>716</v>
      </c>
      <c r="E393" s="21" t="s">
        <v>734</v>
      </c>
      <c r="F393" s="21" t="s">
        <v>6862</v>
      </c>
      <c r="G393" s="21" t="s">
        <v>7067</v>
      </c>
      <c r="H393" s="21" t="s">
        <v>3247</v>
      </c>
      <c r="I393" s="21" t="s">
        <v>839</v>
      </c>
    </row>
    <row r="394" customFormat="false" ht="15" hidden="false" customHeight="false" outlineLevel="0" collapsed="false">
      <c r="B394" s="19" t="s">
        <v>7117</v>
      </c>
      <c r="C394" s="20" t="n">
        <f aca="false">ROUND(2.6/FX,2)</f>
        <v>0.36</v>
      </c>
      <c r="D394" s="21" t="s">
        <v>707</v>
      </c>
      <c r="E394" s="21" t="s">
        <v>734</v>
      </c>
      <c r="F394" s="21" t="s">
        <v>6733</v>
      </c>
      <c r="G394" s="21" t="s">
        <v>7067</v>
      </c>
      <c r="H394" s="21" t="s">
        <v>3247</v>
      </c>
      <c r="I394" s="21" t="s">
        <v>6709</v>
      </c>
    </row>
    <row r="395" customFormat="false" ht="15" hidden="false" customHeight="false" outlineLevel="0" collapsed="false">
      <c r="B395" s="19" t="s">
        <v>7118</v>
      </c>
      <c r="C395" s="20" t="n">
        <f aca="false">ROUND(2.73/FX,2)</f>
        <v>0.38</v>
      </c>
      <c r="D395" s="21" t="s">
        <v>716</v>
      </c>
      <c r="E395" s="21" t="s">
        <v>734</v>
      </c>
      <c r="F395" s="21" t="s">
        <v>6733</v>
      </c>
      <c r="G395" s="21" t="s">
        <v>7067</v>
      </c>
      <c r="H395" s="21" t="s">
        <v>3247</v>
      </c>
      <c r="I395" s="21" t="s">
        <v>6709</v>
      </c>
    </row>
    <row r="396" customFormat="false" ht="15" hidden="false" customHeight="false" outlineLevel="0" collapsed="false">
      <c r="B396" s="19" t="s">
        <v>7119</v>
      </c>
      <c r="C396" s="20" t="n">
        <f aca="false">ROUND(1.69/FX,2)</f>
        <v>0.23</v>
      </c>
      <c r="D396" s="21" t="s">
        <v>716</v>
      </c>
      <c r="E396" s="21" t="s">
        <v>734</v>
      </c>
      <c r="F396" s="21" t="s">
        <v>6862</v>
      </c>
      <c r="G396" s="21" t="s">
        <v>7067</v>
      </c>
      <c r="H396" s="21" t="s">
        <v>3247</v>
      </c>
      <c r="I396" s="21" t="s">
        <v>6709</v>
      </c>
    </row>
    <row r="397" customFormat="false" ht="15" hidden="false" customHeight="false" outlineLevel="0" collapsed="false">
      <c r="B397" s="19" t="s">
        <v>7120</v>
      </c>
      <c r="C397" s="20" t="n">
        <f aca="false">ROUND(2.73/FX,2)</f>
        <v>0.38</v>
      </c>
      <c r="D397" s="21" t="s">
        <v>707</v>
      </c>
      <c r="E397" s="21" t="s">
        <v>734</v>
      </c>
      <c r="F397" s="21" t="s">
        <v>6733</v>
      </c>
      <c r="G397" s="21" t="s">
        <v>7067</v>
      </c>
      <c r="H397" s="21" t="s">
        <v>3247</v>
      </c>
      <c r="I397" s="21" t="s">
        <v>841</v>
      </c>
    </row>
    <row r="398" customFormat="false" ht="15" hidden="false" customHeight="false" outlineLevel="0" collapsed="false">
      <c r="B398" s="19" t="s">
        <v>7121</v>
      </c>
      <c r="C398" s="20" t="n">
        <f aca="false">ROUND(2.73/FX,2)</f>
        <v>0.38</v>
      </c>
      <c r="D398" s="21" t="s">
        <v>716</v>
      </c>
      <c r="E398" s="21" t="s">
        <v>734</v>
      </c>
      <c r="F398" s="21" t="s">
        <v>6733</v>
      </c>
      <c r="G398" s="21" t="s">
        <v>7067</v>
      </c>
      <c r="H398" s="21" t="s">
        <v>3247</v>
      </c>
      <c r="I398" s="21" t="s">
        <v>841</v>
      </c>
    </row>
    <row r="399" customFormat="false" ht="15" hidden="false" customHeight="false" outlineLevel="0" collapsed="false">
      <c r="B399" s="19" t="s">
        <v>7122</v>
      </c>
      <c r="C399" s="20" t="n">
        <f aca="false">ROUND(2.73/FX,2)</f>
        <v>0.38</v>
      </c>
      <c r="D399" s="21" t="s">
        <v>716</v>
      </c>
      <c r="E399" s="21" t="s">
        <v>734</v>
      </c>
      <c r="F399" s="21" t="s">
        <v>6862</v>
      </c>
      <c r="G399" s="21" t="s">
        <v>7067</v>
      </c>
      <c r="H399" s="21" t="s">
        <v>3247</v>
      </c>
      <c r="I399" s="21" t="s">
        <v>841</v>
      </c>
    </row>
    <row r="400" customFormat="false" ht="15" hidden="false" customHeight="false" outlineLevel="0" collapsed="false">
      <c r="B400" s="19" t="s">
        <v>7123</v>
      </c>
      <c r="C400" s="20" t="n">
        <f aca="false">ROUND(1.95/FX,2)</f>
        <v>0.27</v>
      </c>
      <c r="D400" s="21" t="s">
        <v>719</v>
      </c>
      <c r="E400" s="21" t="s">
        <v>734</v>
      </c>
      <c r="F400" s="21" t="s">
        <v>6733</v>
      </c>
      <c r="G400" s="21" t="s">
        <v>7067</v>
      </c>
      <c r="H400" s="21" t="s">
        <v>3247</v>
      </c>
      <c r="I400" s="21" t="s">
        <v>841</v>
      </c>
    </row>
    <row r="401" customFormat="false" ht="15" hidden="false" customHeight="false" outlineLevel="0" collapsed="false">
      <c r="B401" s="19" t="s">
        <v>7124</v>
      </c>
      <c r="C401" s="20" t="n">
        <f aca="false">ROUND(1.95/FX,2)</f>
        <v>0.27</v>
      </c>
      <c r="D401" s="21" t="s">
        <v>707</v>
      </c>
      <c r="E401" s="21" t="s">
        <v>734</v>
      </c>
      <c r="F401" s="21" t="s">
        <v>6706</v>
      </c>
      <c r="G401" s="21" t="s">
        <v>7067</v>
      </c>
      <c r="H401" s="21" t="s">
        <v>3247</v>
      </c>
      <c r="I401" s="21" t="s">
        <v>789</v>
      </c>
    </row>
    <row r="402" customFormat="false" ht="15" hidden="false" customHeight="false" outlineLevel="0" collapsed="false">
      <c r="B402" s="19" t="s">
        <v>7125</v>
      </c>
      <c r="C402" s="20" t="n">
        <f aca="false">ROUND(2.73/FX,2)</f>
        <v>0.38</v>
      </c>
      <c r="D402" s="21" t="s">
        <v>707</v>
      </c>
      <c r="E402" s="21" t="s">
        <v>734</v>
      </c>
      <c r="F402" s="21" t="s">
        <v>6698</v>
      </c>
      <c r="G402" s="21" t="s">
        <v>7067</v>
      </c>
      <c r="H402" s="21" t="s">
        <v>3247</v>
      </c>
      <c r="I402" s="21" t="s">
        <v>789</v>
      </c>
    </row>
    <row r="403" customFormat="false" ht="15" hidden="false" customHeight="false" outlineLevel="0" collapsed="false">
      <c r="B403" s="19" t="s">
        <v>7126</v>
      </c>
      <c r="C403" s="20" t="n">
        <f aca="false">ROUND(3.25/FX,2)</f>
        <v>0.45</v>
      </c>
      <c r="D403" s="21" t="s">
        <v>707</v>
      </c>
      <c r="E403" s="21" t="s">
        <v>734</v>
      </c>
      <c r="F403" s="21" t="s">
        <v>6862</v>
      </c>
      <c r="G403" s="21" t="s">
        <v>7067</v>
      </c>
      <c r="H403" s="21" t="s">
        <v>3247</v>
      </c>
      <c r="I403" s="21" t="s">
        <v>789</v>
      </c>
    </row>
    <row r="404" customFormat="false" ht="15" hidden="false" customHeight="false" outlineLevel="0" collapsed="false">
      <c r="B404" s="19" t="s">
        <v>7127</v>
      </c>
      <c r="C404" s="20" t="n">
        <f aca="false">ROUND(3.12/FX,2)</f>
        <v>0.43</v>
      </c>
      <c r="D404" s="21" t="s">
        <v>714</v>
      </c>
      <c r="E404" s="21" t="s">
        <v>734</v>
      </c>
      <c r="F404" s="21" t="s">
        <v>6733</v>
      </c>
      <c r="G404" s="21" t="s">
        <v>7067</v>
      </c>
      <c r="H404" s="21" t="s">
        <v>3247</v>
      </c>
      <c r="I404" s="21" t="s">
        <v>789</v>
      </c>
    </row>
    <row r="405" customFormat="false" ht="15" hidden="false" customHeight="false" outlineLevel="0" collapsed="false">
      <c r="B405" s="19" t="s">
        <v>7128</v>
      </c>
      <c r="C405" s="20" t="n">
        <f aca="false">ROUND(1.17/FX,2)</f>
        <v>0.16</v>
      </c>
      <c r="D405" s="21" t="s">
        <v>716</v>
      </c>
      <c r="E405" s="21" t="s">
        <v>734</v>
      </c>
      <c r="F405" s="21" t="s">
        <v>6706</v>
      </c>
      <c r="G405" s="21" t="s">
        <v>7067</v>
      </c>
      <c r="H405" s="21" t="s">
        <v>3247</v>
      </c>
      <c r="I405" s="21" t="s">
        <v>789</v>
      </c>
    </row>
    <row r="406" customFormat="false" ht="15" hidden="false" customHeight="false" outlineLevel="0" collapsed="false">
      <c r="B406" s="19" t="s">
        <v>7129</v>
      </c>
      <c r="C406" s="20" t="n">
        <f aca="false">ROUND(2.73/FX,2)</f>
        <v>0.38</v>
      </c>
      <c r="D406" s="21" t="s">
        <v>716</v>
      </c>
      <c r="E406" s="21" t="s">
        <v>734</v>
      </c>
      <c r="F406" s="21" t="s">
        <v>6698</v>
      </c>
      <c r="G406" s="21" t="s">
        <v>7067</v>
      </c>
      <c r="H406" s="21" t="s">
        <v>3247</v>
      </c>
      <c r="I406" s="21" t="s">
        <v>789</v>
      </c>
    </row>
    <row r="407" customFormat="false" ht="15" hidden="false" customHeight="false" outlineLevel="0" collapsed="false">
      <c r="B407" s="19" t="s">
        <v>7130</v>
      </c>
      <c r="C407" s="20" t="n">
        <f aca="false">ROUND(2.73/FX,2)</f>
        <v>0.38</v>
      </c>
      <c r="D407" s="21" t="s">
        <v>716</v>
      </c>
      <c r="E407" s="21" t="s">
        <v>734</v>
      </c>
      <c r="F407" s="21" t="s">
        <v>6862</v>
      </c>
      <c r="G407" s="21" t="s">
        <v>7067</v>
      </c>
      <c r="H407" s="21" t="s">
        <v>3247</v>
      </c>
      <c r="I407" s="21" t="s">
        <v>789</v>
      </c>
    </row>
    <row r="408" customFormat="false" ht="15" hidden="false" customHeight="false" outlineLevel="0" collapsed="false">
      <c r="B408" s="19" t="s">
        <v>7131</v>
      </c>
      <c r="C408" s="20" t="n">
        <f aca="false">ROUND(2.73/FX,2)</f>
        <v>0.38</v>
      </c>
      <c r="D408" s="21" t="s">
        <v>719</v>
      </c>
      <c r="E408" s="21" t="s">
        <v>734</v>
      </c>
      <c r="F408" s="21" t="s">
        <v>6733</v>
      </c>
      <c r="G408" s="21" t="s">
        <v>7067</v>
      </c>
      <c r="H408" s="21" t="s">
        <v>3247</v>
      </c>
      <c r="I408" s="21" t="s">
        <v>789</v>
      </c>
    </row>
    <row r="409" customFormat="false" ht="15" hidden="false" customHeight="false" outlineLevel="0" collapsed="false">
      <c r="B409" s="19" t="s">
        <v>7132</v>
      </c>
      <c r="C409" s="20" t="n">
        <f aca="false">ROUND(2.73/FX,2)</f>
        <v>0.38</v>
      </c>
      <c r="D409" s="21" t="s">
        <v>719</v>
      </c>
      <c r="E409" s="21" t="s">
        <v>734</v>
      </c>
      <c r="F409" s="21" t="s">
        <v>6862</v>
      </c>
      <c r="G409" s="21" t="s">
        <v>7067</v>
      </c>
      <c r="H409" s="21" t="s">
        <v>3247</v>
      </c>
      <c r="I409" s="21" t="s">
        <v>789</v>
      </c>
    </row>
    <row r="410" customFormat="false" ht="15" hidden="false" customHeight="false" outlineLevel="0" collapsed="false">
      <c r="B410" s="19" t="s">
        <v>7133</v>
      </c>
      <c r="C410" s="20" t="n">
        <f aca="false">ROUND(2.73/FX,2)</f>
        <v>0.38</v>
      </c>
      <c r="D410" s="21" t="s">
        <v>707</v>
      </c>
      <c r="E410" s="21" t="s">
        <v>734</v>
      </c>
      <c r="F410" s="21" t="s">
        <v>6698</v>
      </c>
      <c r="G410" s="21" t="s">
        <v>7067</v>
      </c>
      <c r="H410" s="21" t="s">
        <v>3247</v>
      </c>
      <c r="I410" s="21" t="s">
        <v>716</v>
      </c>
    </row>
    <row r="411" customFormat="false" ht="15" hidden="false" customHeight="false" outlineLevel="0" collapsed="false">
      <c r="B411" s="19" t="s">
        <v>7134</v>
      </c>
      <c r="C411" s="20" t="n">
        <f aca="false">ROUND(2.99/FX,2)</f>
        <v>0.42</v>
      </c>
      <c r="D411" s="21" t="s">
        <v>714</v>
      </c>
      <c r="E411" s="21" t="s">
        <v>734</v>
      </c>
      <c r="F411" s="21" t="s">
        <v>6733</v>
      </c>
      <c r="G411" s="21" t="s">
        <v>7067</v>
      </c>
      <c r="H411" s="21" t="s">
        <v>3247</v>
      </c>
      <c r="I411" s="21" t="s">
        <v>716</v>
      </c>
    </row>
    <row r="412" customFormat="false" ht="15" hidden="false" customHeight="false" outlineLevel="0" collapsed="false">
      <c r="B412" s="19" t="s">
        <v>7135</v>
      </c>
      <c r="C412" s="20" t="n">
        <f aca="false">ROUND(1.43/FX,2)</f>
        <v>0.2</v>
      </c>
      <c r="D412" s="21" t="s">
        <v>716</v>
      </c>
      <c r="E412" s="21" t="s">
        <v>734</v>
      </c>
      <c r="F412" s="21" t="s">
        <v>6706</v>
      </c>
      <c r="G412" s="21" t="s">
        <v>7067</v>
      </c>
      <c r="H412" s="21" t="s">
        <v>3247</v>
      </c>
      <c r="I412" s="21" t="s">
        <v>716</v>
      </c>
    </row>
    <row r="413" customFormat="false" ht="15" hidden="false" customHeight="false" outlineLevel="0" collapsed="false">
      <c r="B413" s="19" t="s">
        <v>7136</v>
      </c>
      <c r="C413" s="20" t="n">
        <f aca="false">ROUND(2.73/FX,2)</f>
        <v>0.38</v>
      </c>
      <c r="D413" s="21" t="s">
        <v>716</v>
      </c>
      <c r="E413" s="21" t="s">
        <v>734</v>
      </c>
      <c r="F413" s="21" t="s">
        <v>6698</v>
      </c>
      <c r="G413" s="21" t="s">
        <v>7067</v>
      </c>
      <c r="H413" s="21" t="s">
        <v>3247</v>
      </c>
      <c r="I413" s="21" t="s">
        <v>716</v>
      </c>
    </row>
    <row r="414" customFormat="false" ht="15" hidden="false" customHeight="false" outlineLevel="0" collapsed="false">
      <c r="B414" s="19" t="s">
        <v>7137</v>
      </c>
      <c r="C414" s="20" t="n">
        <f aca="false">ROUND(3.12/FX,2)</f>
        <v>0.43</v>
      </c>
      <c r="D414" s="21" t="s">
        <v>716</v>
      </c>
      <c r="E414" s="21" t="s">
        <v>734</v>
      </c>
      <c r="F414" s="21" t="s">
        <v>6862</v>
      </c>
      <c r="G414" s="21" t="s">
        <v>7067</v>
      </c>
      <c r="H414" s="21" t="s">
        <v>3247</v>
      </c>
      <c r="I414" s="21" t="s">
        <v>716</v>
      </c>
    </row>
    <row r="415" customFormat="false" ht="15" hidden="false" customHeight="false" outlineLevel="0" collapsed="false">
      <c r="B415" s="19" t="s">
        <v>7138</v>
      </c>
      <c r="C415" s="20" t="n">
        <f aca="false">ROUND(1.95/FX,2)</f>
        <v>0.27</v>
      </c>
      <c r="D415" s="21" t="s">
        <v>719</v>
      </c>
      <c r="E415" s="21" t="s">
        <v>734</v>
      </c>
      <c r="F415" s="21" t="s">
        <v>6733</v>
      </c>
      <c r="G415" s="21" t="s">
        <v>7067</v>
      </c>
      <c r="H415" s="21" t="s">
        <v>3247</v>
      </c>
      <c r="I415" s="21" t="s">
        <v>716</v>
      </c>
    </row>
    <row r="416" customFormat="false" ht="15" hidden="false" customHeight="false" outlineLevel="0" collapsed="false">
      <c r="B416" s="19" t="s">
        <v>7139</v>
      </c>
      <c r="C416" s="20" t="n">
        <f aca="false">ROUND(2.73/FX,2)</f>
        <v>0.38</v>
      </c>
      <c r="D416" s="21" t="s">
        <v>707</v>
      </c>
      <c r="E416" s="21" t="s">
        <v>734</v>
      </c>
      <c r="F416" s="21" t="s">
        <v>6733</v>
      </c>
      <c r="G416" s="21" t="s">
        <v>7067</v>
      </c>
      <c r="H416" s="21" t="s">
        <v>3247</v>
      </c>
      <c r="I416" s="21" t="s">
        <v>6740</v>
      </c>
    </row>
    <row r="417" customFormat="false" ht="15" hidden="false" customHeight="false" outlineLevel="0" collapsed="false">
      <c r="B417" s="19" t="s">
        <v>7140</v>
      </c>
      <c r="C417" s="20" t="n">
        <f aca="false">ROUND(3.12/FX,2)</f>
        <v>0.43</v>
      </c>
      <c r="D417" s="21" t="s">
        <v>714</v>
      </c>
      <c r="E417" s="21" t="s">
        <v>734</v>
      </c>
      <c r="F417" s="21" t="s">
        <v>6733</v>
      </c>
      <c r="G417" s="21" t="s">
        <v>7067</v>
      </c>
      <c r="H417" s="21" t="s">
        <v>3247</v>
      </c>
      <c r="I417" s="21" t="s">
        <v>6740</v>
      </c>
    </row>
    <row r="418" customFormat="false" ht="15" hidden="false" customHeight="false" outlineLevel="0" collapsed="false">
      <c r="B418" s="19" t="s">
        <v>7141</v>
      </c>
      <c r="C418" s="20" t="n">
        <f aca="false">ROUND(1.04/FX,2)</f>
        <v>0.14</v>
      </c>
      <c r="D418" s="21" t="s">
        <v>716</v>
      </c>
      <c r="E418" s="21" t="s">
        <v>734</v>
      </c>
      <c r="F418" s="21" t="s">
        <v>6706</v>
      </c>
      <c r="G418" s="21" t="s">
        <v>7067</v>
      </c>
      <c r="H418" s="21" t="s">
        <v>3247</v>
      </c>
      <c r="I418" s="21" t="s">
        <v>6740</v>
      </c>
    </row>
    <row r="419" customFormat="false" ht="15" hidden="false" customHeight="false" outlineLevel="0" collapsed="false">
      <c r="B419" s="19" t="s">
        <v>7142</v>
      </c>
      <c r="C419" s="20" t="n">
        <f aca="false">ROUND(2.73/FX,2)</f>
        <v>0.38</v>
      </c>
      <c r="D419" s="21" t="s">
        <v>716</v>
      </c>
      <c r="E419" s="21" t="s">
        <v>734</v>
      </c>
      <c r="F419" s="21" t="s">
        <v>6698</v>
      </c>
      <c r="G419" s="21" t="s">
        <v>7067</v>
      </c>
      <c r="H419" s="21" t="s">
        <v>3247</v>
      </c>
      <c r="I419" s="21" t="s">
        <v>6740</v>
      </c>
    </row>
    <row r="420" customFormat="false" ht="15" hidden="false" customHeight="false" outlineLevel="0" collapsed="false">
      <c r="B420" s="19" t="s">
        <v>7143</v>
      </c>
      <c r="C420" s="20" t="n">
        <f aca="false">ROUND(3.12/FX,2)</f>
        <v>0.43</v>
      </c>
      <c r="D420" s="21" t="s">
        <v>716</v>
      </c>
      <c r="E420" s="21" t="s">
        <v>734</v>
      </c>
      <c r="F420" s="21" t="s">
        <v>6862</v>
      </c>
      <c r="G420" s="21" t="s">
        <v>7067</v>
      </c>
      <c r="H420" s="21" t="s">
        <v>3247</v>
      </c>
      <c r="I420" s="21" t="s">
        <v>6740</v>
      </c>
    </row>
    <row r="421" customFormat="false" ht="15" hidden="false" customHeight="false" outlineLevel="0" collapsed="false">
      <c r="B421" s="19" t="s">
        <v>7144</v>
      </c>
      <c r="C421" s="20" t="n">
        <f aca="false">ROUND(1.95/FX,2)</f>
        <v>0.27</v>
      </c>
      <c r="D421" s="21" t="s">
        <v>719</v>
      </c>
      <c r="E421" s="21" t="s">
        <v>734</v>
      </c>
      <c r="F421" s="21" t="s">
        <v>6733</v>
      </c>
      <c r="G421" s="21" t="s">
        <v>7067</v>
      </c>
      <c r="H421" s="21" t="s">
        <v>3247</v>
      </c>
      <c r="I421" s="21" t="s">
        <v>6740</v>
      </c>
    </row>
    <row r="422" customFormat="false" ht="15" hidden="false" customHeight="false" outlineLevel="0" collapsed="false">
      <c r="B422" s="19" t="s">
        <v>7145</v>
      </c>
      <c r="C422" s="20" t="n">
        <f aca="false">ROUND(2.73/FX,2)</f>
        <v>0.38</v>
      </c>
      <c r="D422" s="21" t="s">
        <v>707</v>
      </c>
      <c r="E422" s="21" t="s">
        <v>734</v>
      </c>
      <c r="F422" s="21" t="s">
        <v>6698</v>
      </c>
      <c r="G422" s="21" t="s">
        <v>7067</v>
      </c>
      <c r="H422" s="21" t="s">
        <v>3247</v>
      </c>
      <c r="I422" s="21" t="s">
        <v>845</v>
      </c>
    </row>
    <row r="423" customFormat="false" ht="15" hidden="false" customHeight="false" outlineLevel="0" collapsed="false">
      <c r="B423" s="19" t="s">
        <v>7146</v>
      </c>
      <c r="C423" s="20" t="n">
        <f aca="false">ROUND(2.73/FX,2)</f>
        <v>0.38</v>
      </c>
      <c r="D423" s="21" t="s">
        <v>716</v>
      </c>
      <c r="E423" s="21" t="s">
        <v>734</v>
      </c>
      <c r="F423" s="21" t="s">
        <v>6698</v>
      </c>
      <c r="G423" s="21" t="s">
        <v>7067</v>
      </c>
      <c r="H423" s="21" t="s">
        <v>3247</v>
      </c>
      <c r="I423" s="21" t="s">
        <v>845</v>
      </c>
    </row>
    <row r="424" customFormat="false" ht="15" hidden="false" customHeight="false" outlineLevel="0" collapsed="false">
      <c r="B424" s="19" t="s">
        <v>7147</v>
      </c>
      <c r="C424" s="20" t="n">
        <f aca="false">ROUND(1.95/FX,2)</f>
        <v>0.27</v>
      </c>
      <c r="D424" s="21" t="s">
        <v>707</v>
      </c>
      <c r="E424" s="21" t="s">
        <v>734</v>
      </c>
      <c r="F424" s="21" t="s">
        <v>6706</v>
      </c>
      <c r="G424" s="21" t="s">
        <v>7067</v>
      </c>
      <c r="H424" s="21" t="s">
        <v>3247</v>
      </c>
      <c r="I424" s="21" t="s">
        <v>847</v>
      </c>
    </row>
    <row r="425" customFormat="false" ht="15" hidden="false" customHeight="false" outlineLevel="0" collapsed="false">
      <c r="B425" s="19" t="s">
        <v>7148</v>
      </c>
      <c r="C425" s="20" t="n">
        <f aca="false">ROUND(2.73/FX,2)</f>
        <v>0.38</v>
      </c>
      <c r="D425" s="21" t="s">
        <v>707</v>
      </c>
      <c r="E425" s="21" t="s">
        <v>734</v>
      </c>
      <c r="F425" s="21" t="s">
        <v>6698</v>
      </c>
      <c r="G425" s="21" t="s">
        <v>7067</v>
      </c>
      <c r="H425" s="21" t="s">
        <v>3247</v>
      </c>
      <c r="I425" s="21" t="s">
        <v>847</v>
      </c>
    </row>
    <row r="426" customFormat="false" ht="15" hidden="false" customHeight="false" outlineLevel="0" collapsed="false">
      <c r="B426" s="19" t="s">
        <v>7149</v>
      </c>
      <c r="C426" s="20" t="n">
        <f aca="false">ROUND(2.99/FX,2)</f>
        <v>0.42</v>
      </c>
      <c r="D426" s="21" t="s">
        <v>714</v>
      </c>
      <c r="E426" s="21" t="s">
        <v>734</v>
      </c>
      <c r="F426" s="21" t="s">
        <v>6698</v>
      </c>
      <c r="G426" s="21" t="s">
        <v>7067</v>
      </c>
      <c r="H426" s="21" t="s">
        <v>3247</v>
      </c>
      <c r="I426" s="21" t="s">
        <v>847</v>
      </c>
    </row>
    <row r="427" customFormat="false" ht="15" hidden="false" customHeight="false" outlineLevel="0" collapsed="false">
      <c r="B427" s="19" t="s">
        <v>7150</v>
      </c>
      <c r="C427" s="20" t="n">
        <f aca="false">ROUND(1.04/FX,2)</f>
        <v>0.14</v>
      </c>
      <c r="D427" s="21" t="s">
        <v>716</v>
      </c>
      <c r="E427" s="21" t="s">
        <v>734</v>
      </c>
      <c r="F427" s="21" t="s">
        <v>6706</v>
      </c>
      <c r="G427" s="21" t="s">
        <v>7067</v>
      </c>
      <c r="H427" s="21" t="s">
        <v>3247</v>
      </c>
      <c r="I427" s="21" t="s">
        <v>847</v>
      </c>
    </row>
    <row r="428" customFormat="false" ht="15" hidden="false" customHeight="false" outlineLevel="0" collapsed="false">
      <c r="B428" s="19" t="s">
        <v>7151</v>
      </c>
      <c r="C428" s="20" t="n">
        <f aca="false">ROUND(2.73/FX,2)</f>
        <v>0.38</v>
      </c>
      <c r="D428" s="21" t="s">
        <v>716</v>
      </c>
      <c r="E428" s="21" t="s">
        <v>734</v>
      </c>
      <c r="F428" s="21" t="s">
        <v>6698</v>
      </c>
      <c r="G428" s="21" t="s">
        <v>7067</v>
      </c>
      <c r="H428" s="21" t="s">
        <v>3247</v>
      </c>
      <c r="I428" s="21" t="s">
        <v>847</v>
      </c>
    </row>
    <row r="429" customFormat="false" ht="15" hidden="false" customHeight="false" outlineLevel="0" collapsed="false">
      <c r="B429" s="19" t="s">
        <v>7152</v>
      </c>
      <c r="C429" s="20" t="n">
        <f aca="false">ROUND(2.73/FX,2)</f>
        <v>0.38</v>
      </c>
      <c r="D429" s="21" t="s">
        <v>716</v>
      </c>
      <c r="E429" s="21" t="s">
        <v>734</v>
      </c>
      <c r="F429" s="21" t="s">
        <v>6862</v>
      </c>
      <c r="G429" s="21" t="s">
        <v>7067</v>
      </c>
      <c r="H429" s="21" t="s">
        <v>3247</v>
      </c>
      <c r="I429" s="21" t="s">
        <v>847</v>
      </c>
    </row>
    <row r="430" customFormat="false" ht="15" hidden="false" customHeight="false" outlineLevel="0" collapsed="false">
      <c r="B430" s="19" t="s">
        <v>7153</v>
      </c>
      <c r="C430" s="20" t="n">
        <f aca="false">ROUND(1.95/FX,2)</f>
        <v>0.27</v>
      </c>
      <c r="D430" s="21" t="s">
        <v>719</v>
      </c>
      <c r="E430" s="21" t="s">
        <v>734</v>
      </c>
      <c r="F430" s="21" t="s">
        <v>6733</v>
      </c>
      <c r="G430" s="21" t="s">
        <v>7067</v>
      </c>
      <c r="H430" s="21" t="s">
        <v>3247</v>
      </c>
      <c r="I430" s="21" t="s">
        <v>847</v>
      </c>
    </row>
    <row r="431" customFormat="false" ht="15" hidden="false" customHeight="false" outlineLevel="0" collapsed="false">
      <c r="B431" s="19" t="s">
        <v>7154</v>
      </c>
      <c r="C431" s="20" t="n">
        <f aca="false">ROUND(2.73/FX,2)</f>
        <v>0.38</v>
      </c>
      <c r="D431" s="21" t="s">
        <v>707</v>
      </c>
      <c r="E431" s="21" t="s">
        <v>734</v>
      </c>
      <c r="F431" s="21" t="s">
        <v>6733</v>
      </c>
      <c r="G431" s="21" t="s">
        <v>7067</v>
      </c>
      <c r="H431" s="21" t="s">
        <v>5097</v>
      </c>
      <c r="I431" s="21" t="s">
        <v>789</v>
      </c>
    </row>
    <row r="432" customFormat="false" ht="15" hidden="false" customHeight="false" outlineLevel="0" collapsed="false">
      <c r="B432" s="19" t="s">
        <v>7155</v>
      </c>
      <c r="C432" s="20" t="n">
        <f aca="false">ROUND(2.73/FX,2)</f>
        <v>0.38</v>
      </c>
      <c r="D432" s="21" t="s">
        <v>707</v>
      </c>
      <c r="E432" s="21" t="s">
        <v>734</v>
      </c>
      <c r="F432" s="21" t="s">
        <v>6733</v>
      </c>
      <c r="G432" s="21" t="s">
        <v>7067</v>
      </c>
      <c r="H432" s="21" t="s">
        <v>5097</v>
      </c>
      <c r="I432" s="21" t="s">
        <v>6740</v>
      </c>
    </row>
    <row r="433" customFormat="false" ht="15" hidden="false" customHeight="false" outlineLevel="0" collapsed="false">
      <c r="B433" s="19" t="s">
        <v>7156</v>
      </c>
      <c r="C433" s="20" t="n">
        <f aca="false">ROUND(3.38/FX,2)</f>
        <v>0.47</v>
      </c>
      <c r="D433" s="21" t="s">
        <v>707</v>
      </c>
      <c r="E433" s="21" t="s">
        <v>734</v>
      </c>
      <c r="F433" s="21" t="s">
        <v>6712</v>
      </c>
      <c r="G433" s="21" t="s">
        <v>7067</v>
      </c>
      <c r="H433" s="21" t="s">
        <v>6723</v>
      </c>
      <c r="I433" s="21" t="s">
        <v>789</v>
      </c>
    </row>
    <row r="434" customFormat="false" ht="15" hidden="false" customHeight="false" outlineLevel="0" collapsed="false">
      <c r="B434" s="19" t="s">
        <v>7157</v>
      </c>
      <c r="C434" s="20" t="n">
        <f aca="false">ROUND(3.25/FX,2)</f>
        <v>0.45</v>
      </c>
      <c r="D434" s="21" t="s">
        <v>716</v>
      </c>
      <c r="E434" s="21" t="s">
        <v>734</v>
      </c>
      <c r="F434" s="21" t="s">
        <v>6698</v>
      </c>
      <c r="G434" s="21" t="s">
        <v>7067</v>
      </c>
      <c r="H434" s="21" t="s">
        <v>6723</v>
      </c>
      <c r="I434" s="21" t="s">
        <v>789</v>
      </c>
    </row>
    <row r="435" customFormat="false" ht="15" hidden="false" customHeight="false" outlineLevel="0" collapsed="false">
      <c r="B435" s="19" t="s">
        <v>7158</v>
      </c>
      <c r="C435" s="20" t="n">
        <f aca="false">ROUND(3.38/FX,2)</f>
        <v>0.47</v>
      </c>
      <c r="D435" s="21" t="s">
        <v>707</v>
      </c>
      <c r="E435" s="21" t="s">
        <v>734</v>
      </c>
      <c r="F435" s="21" t="s">
        <v>6712</v>
      </c>
      <c r="G435" s="21" t="s">
        <v>7067</v>
      </c>
      <c r="H435" s="21" t="s">
        <v>6723</v>
      </c>
      <c r="I435" s="21" t="s">
        <v>716</v>
      </c>
    </row>
    <row r="436" customFormat="false" ht="15" hidden="false" customHeight="false" outlineLevel="0" collapsed="false">
      <c r="B436" s="19" t="s">
        <v>7159</v>
      </c>
      <c r="C436" s="20" t="n">
        <f aca="false">ROUND(3.38/FX,2)</f>
        <v>0.47</v>
      </c>
      <c r="D436" s="21" t="s">
        <v>716</v>
      </c>
      <c r="E436" s="21" t="s">
        <v>734</v>
      </c>
      <c r="F436" s="21" t="s">
        <v>6712</v>
      </c>
      <c r="G436" s="21" t="s">
        <v>7067</v>
      </c>
      <c r="H436" s="21" t="s">
        <v>6723</v>
      </c>
      <c r="I436" s="21" t="s">
        <v>716</v>
      </c>
    </row>
    <row r="437" customFormat="false" ht="15" hidden="false" customHeight="false" outlineLevel="0" collapsed="false">
      <c r="B437" s="19" t="s">
        <v>7160</v>
      </c>
      <c r="C437" s="20" t="n">
        <f aca="false">ROUND(3.38/FX,2)</f>
        <v>0.47</v>
      </c>
      <c r="D437" s="21" t="s">
        <v>707</v>
      </c>
      <c r="E437" s="21" t="s">
        <v>734</v>
      </c>
      <c r="F437" s="21" t="s">
        <v>6712</v>
      </c>
      <c r="G437" s="21" t="s">
        <v>7067</v>
      </c>
      <c r="H437" s="21" t="s">
        <v>6723</v>
      </c>
      <c r="I437" s="21" t="s">
        <v>6740</v>
      </c>
    </row>
    <row r="438" customFormat="false" ht="15" hidden="false" customHeight="false" outlineLevel="0" collapsed="false">
      <c r="B438" s="19" t="s">
        <v>7161</v>
      </c>
      <c r="C438" s="20" t="n">
        <f aca="false">ROUND(3.25/FX,2)</f>
        <v>0.45</v>
      </c>
      <c r="D438" s="21" t="s">
        <v>716</v>
      </c>
      <c r="E438" s="21" t="s">
        <v>734</v>
      </c>
      <c r="F438" s="21" t="s">
        <v>6712</v>
      </c>
      <c r="G438" s="21" t="s">
        <v>7067</v>
      </c>
      <c r="H438" s="21" t="s">
        <v>6723</v>
      </c>
      <c r="I438" s="21" t="s">
        <v>6740</v>
      </c>
    </row>
    <row r="439" customFormat="false" ht="15" hidden="false" customHeight="false" outlineLevel="0" collapsed="false">
      <c r="B439" s="19" t="s">
        <v>7162</v>
      </c>
      <c r="C439" s="20" t="n">
        <f aca="false">ROUND(3.38/FX,2)</f>
        <v>0.47</v>
      </c>
      <c r="D439" s="21" t="s">
        <v>707</v>
      </c>
      <c r="E439" s="21" t="s">
        <v>734</v>
      </c>
      <c r="F439" s="21" t="s">
        <v>6712</v>
      </c>
      <c r="G439" s="21" t="s">
        <v>7067</v>
      </c>
      <c r="H439" s="21" t="s">
        <v>6723</v>
      </c>
      <c r="I439" s="21" t="s">
        <v>847</v>
      </c>
    </row>
    <row r="440" customFormat="false" ht="15" hidden="false" customHeight="false" outlineLevel="0" collapsed="false">
      <c r="B440" s="19" t="s">
        <v>7163</v>
      </c>
      <c r="C440" s="20" t="n">
        <f aca="false">ROUND(3.25/FX,2)</f>
        <v>0.45</v>
      </c>
      <c r="D440" s="21" t="s">
        <v>716</v>
      </c>
      <c r="E440" s="21" t="s">
        <v>734</v>
      </c>
      <c r="F440" s="21" t="s">
        <v>6712</v>
      </c>
      <c r="G440" s="21" t="s">
        <v>7067</v>
      </c>
      <c r="H440" s="21" t="s">
        <v>6723</v>
      </c>
      <c r="I440" s="21" t="s">
        <v>847</v>
      </c>
    </row>
    <row r="443" customFormat="false" ht="61.5" hidden="false" customHeight="true" outlineLevel="0" collapsed="false">
      <c r="A443" s="9"/>
      <c r="B443" s="10" t="s">
        <v>7164</v>
      </c>
      <c r="C443" s="10"/>
      <c r="D443" s="10"/>
      <c r="E443" s="10"/>
      <c r="F443" s="10"/>
      <c r="G443" s="10"/>
      <c r="H443" s="10"/>
    </row>
    <row r="444" customFormat="false" ht="15" hidden="false" customHeight="false" outlineLevel="0" collapsed="false">
      <c r="A444" s="12" t="s">
        <v>700</v>
      </c>
      <c r="B444" s="13" t="s">
        <v>701</v>
      </c>
      <c r="C444" s="13" t="s">
        <v>702</v>
      </c>
      <c r="D444" s="13" t="s">
        <v>703</v>
      </c>
      <c r="E444" s="13" t="s">
        <v>6354</v>
      </c>
      <c r="F444" s="13" t="s">
        <v>6328</v>
      </c>
      <c r="G444" s="13" t="s">
        <v>6695</v>
      </c>
      <c r="H444" s="13" t="s">
        <v>6696</v>
      </c>
    </row>
    <row r="445" customFormat="false" ht="30" hidden="false" customHeight="true" outlineLevel="0" collapsed="false">
      <c r="A445" s="14" t="s">
        <v>706</v>
      </c>
      <c r="B445" s="15" t="str">
        <f aca="false">IF(COUNTIFS($D$448:$D$483,IF(D445="","*",D445),$E$448:$E$483,IF(E445="","*",E445),$F$448:$F$483,IF(F445="","*",F445),$G$448:$G$483,IF(G445="","*",G445),$H$448:$H$483,IF(H445="","*",H445))=1,INDEX($B:$B,SUMPRODUCT(((D445="")+($D$448:$D$483=D445)&gt;0)*((E445="")+($E$448:$E$483=E445)&gt;0)*((F445="")+($F$448:$F$483=F445)&gt;0)*((G445="")+($G$448:$G$483=G445)&gt;0)*((H445="")+($H$448:$H$483=H445)&gt;0)*ROW($B$448:$B$483))),IF(COUNTIFS($D$448:$D$483,IF(D445="","*",D445),$E$448:$E$483,IF(E445="","*",E445),$F$448:$F$483,IF(F445="","*",F445),$G$448:$G$483,IF(G445="","*",G445),$H$448:$H$483,IF(H445="","*",H445))=0,"Not available",COUNTIFS($D$448:$D$483,IF(D445="","*",D445),$E$448:$E$483,IF(E445="","*",E445),$F$448:$F$483,IF(F445="","*",F445),$G$448:$G$483,IF(G445="","*",G445),$H$448:$H$483,IF(H445="","*",H445))&amp;" match, keep choosing"))</f>
        <v>3GT-AF32-8-9-OS</v>
      </c>
      <c r="C445" s="16" t="n">
        <f aca="false">IF(COUNTIFS($D$448:$D$483,IF(D445="","*",D445),$E$448:$E$483,IF(E445="","*",E445),$F$448:$F$483,IF(F445="","*",F445),$G$448:$G$483,IF(G445="","*",G445),$H$448:$H$483,IF(H445="","*",H445))=1,INDEX($C:$C,SUMPRODUCT(((D445="")+($D$448:$D$483=D445)&gt;0)*((E445="")+($E$448:$E$483=E445)&gt;0)*((F445="")+($F$448:$F$483=F445)&gt;0)*((G445="")+($G$448:$G$483=G445)&gt;0)*((H445="")+($H$448:$H$483=H445)&gt;0)*ROW($B$448:$B$483))),"")</f>
        <v>0.65</v>
      </c>
      <c r="D445" s="17" t="s">
        <v>719</v>
      </c>
      <c r="E445" s="17" t="s">
        <v>6712</v>
      </c>
      <c r="F445" s="17" t="s">
        <v>6699</v>
      </c>
      <c r="G445" s="17" t="s">
        <v>6244</v>
      </c>
      <c r="H445" s="17" t="s">
        <v>847</v>
      </c>
    </row>
    <row r="447" customFormat="false" ht="15" hidden="false" customHeight="false" outlineLevel="0" collapsed="false">
      <c r="B447" s="18" t="s">
        <v>701</v>
      </c>
      <c r="C447" s="18" t="s">
        <v>702</v>
      </c>
      <c r="D447" s="18" t="s">
        <v>703</v>
      </c>
      <c r="E447" s="18" t="s">
        <v>6354</v>
      </c>
      <c r="F447" s="18" t="s">
        <v>6328</v>
      </c>
      <c r="G447" s="18" t="s">
        <v>6695</v>
      </c>
      <c r="H447" s="18" t="s">
        <v>6696</v>
      </c>
    </row>
    <row r="448" customFormat="false" ht="15" hidden="false" customHeight="false" outlineLevel="0" collapsed="false">
      <c r="B448" s="19" t="s">
        <v>7165</v>
      </c>
      <c r="C448" s="20" t="n">
        <f aca="false">ROUND(4.68/FX,2)</f>
        <v>0.65</v>
      </c>
      <c r="D448" s="21" t="s">
        <v>719</v>
      </c>
      <c r="E448" s="21" t="s">
        <v>6712</v>
      </c>
      <c r="F448" s="21" t="s">
        <v>6699</v>
      </c>
      <c r="G448" s="21" t="s">
        <v>6244</v>
      </c>
      <c r="H448" s="21" t="s">
        <v>847</v>
      </c>
    </row>
    <row r="449" customFormat="false" ht="15" hidden="false" customHeight="false" outlineLevel="0" collapsed="false">
      <c r="B449" s="19" t="s">
        <v>7166</v>
      </c>
      <c r="C449" s="20" t="n">
        <f aca="false">ROUND(3.9/FX,2)</f>
        <v>0.54</v>
      </c>
      <c r="D449" s="21" t="s">
        <v>707</v>
      </c>
      <c r="E449" s="21" t="s">
        <v>6698</v>
      </c>
      <c r="F449" s="21" t="s">
        <v>6758</v>
      </c>
      <c r="G449" s="21" t="s">
        <v>3247</v>
      </c>
      <c r="H449" s="21" t="s">
        <v>789</v>
      </c>
    </row>
    <row r="450" customFormat="false" ht="15" hidden="false" customHeight="false" outlineLevel="0" collapsed="false">
      <c r="B450" s="19" t="s">
        <v>7167</v>
      </c>
      <c r="C450" s="20" t="n">
        <f aca="false">ROUND(3.9/FX,2)</f>
        <v>0.54</v>
      </c>
      <c r="D450" s="21" t="s">
        <v>716</v>
      </c>
      <c r="E450" s="21" t="s">
        <v>6712</v>
      </c>
      <c r="F450" s="21" t="s">
        <v>6758</v>
      </c>
      <c r="G450" s="21" t="s">
        <v>3247</v>
      </c>
      <c r="H450" s="21" t="s">
        <v>789</v>
      </c>
    </row>
    <row r="451" customFormat="false" ht="15" hidden="false" customHeight="false" outlineLevel="0" collapsed="false">
      <c r="B451" s="19" t="s">
        <v>7168</v>
      </c>
      <c r="C451" s="20" t="n">
        <f aca="false">ROUND(3.77/FX,2)</f>
        <v>0.52</v>
      </c>
      <c r="D451" s="21" t="s">
        <v>707</v>
      </c>
      <c r="E451" s="21" t="s">
        <v>6712</v>
      </c>
      <c r="F451" s="21" t="s">
        <v>6758</v>
      </c>
      <c r="G451" s="21" t="s">
        <v>3247</v>
      </c>
      <c r="H451" s="21" t="s">
        <v>716</v>
      </c>
    </row>
    <row r="452" customFormat="false" ht="15" hidden="false" customHeight="false" outlineLevel="0" collapsed="false">
      <c r="B452" s="19" t="s">
        <v>7169</v>
      </c>
      <c r="C452" s="20" t="n">
        <f aca="false">ROUND(3.77/FX,2)</f>
        <v>0.52</v>
      </c>
      <c r="D452" s="21" t="s">
        <v>707</v>
      </c>
      <c r="E452" s="21" t="s">
        <v>6712</v>
      </c>
      <c r="F452" s="21" t="s">
        <v>6758</v>
      </c>
      <c r="G452" s="21" t="s">
        <v>3247</v>
      </c>
      <c r="H452" s="21" t="s">
        <v>6740</v>
      </c>
    </row>
    <row r="453" customFormat="false" ht="15" hidden="false" customHeight="false" outlineLevel="0" collapsed="false">
      <c r="B453" s="19" t="s">
        <v>7170</v>
      </c>
      <c r="C453" s="20" t="n">
        <f aca="false">ROUND(3.9/FX,2)</f>
        <v>0.54</v>
      </c>
      <c r="D453" s="21" t="s">
        <v>716</v>
      </c>
      <c r="E453" s="21" t="s">
        <v>6712</v>
      </c>
      <c r="F453" s="21" t="s">
        <v>6758</v>
      </c>
      <c r="G453" s="21" t="s">
        <v>3247</v>
      </c>
      <c r="H453" s="21" t="s">
        <v>6740</v>
      </c>
    </row>
    <row r="454" customFormat="false" ht="15" hidden="false" customHeight="false" outlineLevel="0" collapsed="false">
      <c r="B454" s="19" t="s">
        <v>7171</v>
      </c>
      <c r="C454" s="20" t="n">
        <f aca="false">ROUND(3.64/FX,2)</f>
        <v>0.51</v>
      </c>
      <c r="D454" s="21" t="s">
        <v>707</v>
      </c>
      <c r="E454" s="21" t="s">
        <v>6712</v>
      </c>
      <c r="F454" s="21" t="s">
        <v>6758</v>
      </c>
      <c r="G454" s="21" t="s">
        <v>3247</v>
      </c>
      <c r="H454" s="21" t="s">
        <v>847</v>
      </c>
    </row>
    <row r="455" customFormat="false" ht="15" hidden="false" customHeight="false" outlineLevel="0" collapsed="false">
      <c r="B455" s="19" t="s">
        <v>7172</v>
      </c>
      <c r="C455" s="20" t="n">
        <f aca="false">ROUND(3.12/FX,2)</f>
        <v>0.43</v>
      </c>
      <c r="D455" s="21" t="s">
        <v>716</v>
      </c>
      <c r="E455" s="21" t="s">
        <v>6712</v>
      </c>
      <c r="F455" s="21" t="s">
        <v>6758</v>
      </c>
      <c r="G455" s="21" t="s">
        <v>3247</v>
      </c>
      <c r="H455" s="21" t="s">
        <v>847</v>
      </c>
    </row>
    <row r="456" customFormat="false" ht="15" hidden="false" customHeight="false" outlineLevel="0" collapsed="false">
      <c r="B456" s="19" t="s">
        <v>7173</v>
      </c>
      <c r="C456" s="20" t="n">
        <f aca="false">ROUND(4.42/FX,2)</f>
        <v>0.61</v>
      </c>
      <c r="D456" s="21" t="s">
        <v>716</v>
      </c>
      <c r="E456" s="21" t="s">
        <v>6698</v>
      </c>
      <c r="F456" s="21" t="s">
        <v>6758</v>
      </c>
      <c r="G456" s="21" t="s">
        <v>6723</v>
      </c>
      <c r="H456" s="21" t="s">
        <v>847</v>
      </c>
    </row>
    <row r="457" customFormat="false" ht="15" hidden="false" customHeight="false" outlineLevel="0" collapsed="false">
      <c r="B457" s="19" t="s">
        <v>7174</v>
      </c>
      <c r="C457" s="20" t="n">
        <f aca="false">ROUND(5.85/FX,2)</f>
        <v>0.81</v>
      </c>
      <c r="D457" s="21" t="s">
        <v>719</v>
      </c>
      <c r="E457" s="21" t="s">
        <v>6698</v>
      </c>
      <c r="F457" s="21" t="s">
        <v>6758</v>
      </c>
      <c r="G457" s="21" t="s">
        <v>784</v>
      </c>
      <c r="H457" s="21" t="s">
        <v>6740</v>
      </c>
    </row>
    <row r="458" customFormat="false" ht="15" hidden="false" customHeight="false" outlineLevel="0" collapsed="false">
      <c r="B458" s="19" t="s">
        <v>7175</v>
      </c>
      <c r="C458" s="20" t="n">
        <f aca="false">ROUND(5.85/FX,2)</f>
        <v>0.81</v>
      </c>
      <c r="D458" s="21" t="s">
        <v>707</v>
      </c>
      <c r="E458" s="21" t="s">
        <v>6698</v>
      </c>
      <c r="F458" s="21" t="s">
        <v>6758</v>
      </c>
      <c r="G458" s="21" t="s">
        <v>784</v>
      </c>
      <c r="H458" s="21" t="s">
        <v>847</v>
      </c>
    </row>
    <row r="459" customFormat="false" ht="15" hidden="false" customHeight="false" outlineLevel="0" collapsed="false">
      <c r="B459" s="19" t="s">
        <v>7176</v>
      </c>
      <c r="C459" s="20" t="n">
        <f aca="false">ROUND(5.59/FX,2)</f>
        <v>0.78</v>
      </c>
      <c r="D459" s="21" t="s">
        <v>719</v>
      </c>
      <c r="E459" s="21" t="s">
        <v>6733</v>
      </c>
      <c r="F459" s="21" t="s">
        <v>6758</v>
      </c>
      <c r="G459" s="21" t="s">
        <v>6244</v>
      </c>
      <c r="H459" s="21" t="s">
        <v>789</v>
      </c>
    </row>
    <row r="460" customFormat="false" ht="15" hidden="false" customHeight="false" outlineLevel="0" collapsed="false">
      <c r="B460" s="19" t="s">
        <v>7177</v>
      </c>
      <c r="C460" s="20" t="n">
        <f aca="false">ROUND(6.24/FX,2)</f>
        <v>0.87</v>
      </c>
      <c r="D460" s="21" t="s">
        <v>719</v>
      </c>
      <c r="E460" s="21" t="s">
        <v>6733</v>
      </c>
      <c r="F460" s="21" t="s">
        <v>6758</v>
      </c>
      <c r="G460" s="21" t="s">
        <v>6244</v>
      </c>
      <c r="H460" s="21" t="s">
        <v>716</v>
      </c>
    </row>
    <row r="461" customFormat="false" ht="15" hidden="false" customHeight="false" outlineLevel="0" collapsed="false">
      <c r="B461" s="19" t="s">
        <v>7178</v>
      </c>
      <c r="C461" s="20" t="n">
        <f aca="false">ROUND(6.24/FX,2)</f>
        <v>0.87</v>
      </c>
      <c r="D461" s="21" t="s">
        <v>719</v>
      </c>
      <c r="E461" s="21" t="s">
        <v>6733</v>
      </c>
      <c r="F461" s="21" t="s">
        <v>6758</v>
      </c>
      <c r="G461" s="21" t="s">
        <v>6244</v>
      </c>
      <c r="H461" s="21" t="s">
        <v>6740</v>
      </c>
    </row>
    <row r="462" customFormat="false" ht="15" hidden="false" customHeight="false" outlineLevel="0" collapsed="false">
      <c r="B462" s="19" t="s">
        <v>7179</v>
      </c>
      <c r="C462" s="20" t="n">
        <f aca="false">ROUND(5.85/FX,2)</f>
        <v>0.81</v>
      </c>
      <c r="D462" s="21" t="s">
        <v>707</v>
      </c>
      <c r="E462" s="21" t="s">
        <v>6712</v>
      </c>
      <c r="F462" s="21" t="s">
        <v>6758</v>
      </c>
      <c r="G462" s="21" t="s">
        <v>6244</v>
      </c>
      <c r="H462" s="21" t="s">
        <v>847</v>
      </c>
    </row>
    <row r="463" customFormat="false" ht="15" hidden="false" customHeight="false" outlineLevel="0" collapsed="false">
      <c r="B463" s="19" t="s">
        <v>7180</v>
      </c>
      <c r="C463" s="20" t="n">
        <f aca="false">ROUND(5.59/FX,2)</f>
        <v>0.78</v>
      </c>
      <c r="D463" s="21" t="s">
        <v>719</v>
      </c>
      <c r="E463" s="21" t="s">
        <v>6733</v>
      </c>
      <c r="F463" s="21" t="s">
        <v>6758</v>
      </c>
      <c r="G463" s="21" t="s">
        <v>6244</v>
      </c>
      <c r="H463" s="21" t="s">
        <v>847</v>
      </c>
    </row>
    <row r="464" customFormat="false" ht="15" hidden="false" customHeight="false" outlineLevel="0" collapsed="false">
      <c r="B464" s="19" t="s">
        <v>7181</v>
      </c>
      <c r="C464" s="20" t="n">
        <f aca="false">ROUND(7.15/FX,2)</f>
        <v>0.99</v>
      </c>
      <c r="D464" s="21" t="s">
        <v>716</v>
      </c>
      <c r="E464" s="21" t="s">
        <v>6712</v>
      </c>
      <c r="F464" s="21" t="s">
        <v>6758</v>
      </c>
      <c r="G464" s="21" t="s">
        <v>6730</v>
      </c>
      <c r="H464" s="21" t="s">
        <v>6740</v>
      </c>
    </row>
    <row r="465" customFormat="false" ht="15" hidden="false" customHeight="false" outlineLevel="0" collapsed="false">
      <c r="B465" s="19" t="s">
        <v>7182</v>
      </c>
      <c r="C465" s="20" t="n">
        <f aca="false">ROUND(20.15/FX,2)</f>
        <v>2.8</v>
      </c>
      <c r="D465" s="21" t="s">
        <v>707</v>
      </c>
      <c r="E465" s="21" t="s">
        <v>6698</v>
      </c>
      <c r="F465" s="21" t="s">
        <v>6758</v>
      </c>
      <c r="G465" s="21" t="s">
        <v>2961</v>
      </c>
      <c r="H465" s="21" t="s">
        <v>847</v>
      </c>
    </row>
    <row r="466" customFormat="false" ht="15" hidden="false" customHeight="false" outlineLevel="0" collapsed="false">
      <c r="B466" s="19" t="s">
        <v>7183</v>
      </c>
      <c r="C466" s="20" t="n">
        <f aca="false">ROUND(3.12/FX,2)</f>
        <v>0.43</v>
      </c>
      <c r="D466" s="21" t="s">
        <v>716</v>
      </c>
      <c r="E466" s="21" t="s">
        <v>6733</v>
      </c>
      <c r="F466" s="21" t="s">
        <v>7067</v>
      </c>
      <c r="G466" s="21" t="s">
        <v>3247</v>
      </c>
      <c r="H466" s="21" t="s">
        <v>841</v>
      </c>
    </row>
    <row r="467" customFormat="false" ht="15" hidden="false" customHeight="false" outlineLevel="0" collapsed="false">
      <c r="B467" s="19" t="s">
        <v>7184</v>
      </c>
      <c r="C467" s="20" t="n">
        <f aca="false">ROUND(3.77/FX,2)</f>
        <v>0.52</v>
      </c>
      <c r="D467" s="21" t="s">
        <v>707</v>
      </c>
      <c r="E467" s="21" t="s">
        <v>6712</v>
      </c>
      <c r="F467" s="21" t="s">
        <v>7067</v>
      </c>
      <c r="G467" s="21" t="s">
        <v>3247</v>
      </c>
      <c r="H467" s="21" t="s">
        <v>789</v>
      </c>
    </row>
    <row r="468" customFormat="false" ht="15" hidden="false" customHeight="false" outlineLevel="0" collapsed="false">
      <c r="B468" s="19" t="s">
        <v>7185</v>
      </c>
      <c r="C468" s="20" t="n">
        <f aca="false">ROUND(3.77/FX,2)</f>
        <v>0.52</v>
      </c>
      <c r="D468" s="21" t="s">
        <v>716</v>
      </c>
      <c r="E468" s="21" t="s">
        <v>6733</v>
      </c>
      <c r="F468" s="21" t="s">
        <v>7067</v>
      </c>
      <c r="G468" s="21" t="s">
        <v>3247</v>
      </c>
      <c r="H468" s="21" t="s">
        <v>789</v>
      </c>
    </row>
    <row r="469" customFormat="false" ht="15" hidden="false" customHeight="false" outlineLevel="0" collapsed="false">
      <c r="B469" s="19" t="s">
        <v>7186</v>
      </c>
      <c r="C469" s="20" t="n">
        <f aca="false">ROUND(3.77/FX,2)</f>
        <v>0.52</v>
      </c>
      <c r="D469" s="21" t="s">
        <v>716</v>
      </c>
      <c r="E469" s="21" t="s">
        <v>6733</v>
      </c>
      <c r="F469" s="21" t="s">
        <v>7067</v>
      </c>
      <c r="G469" s="21" t="s">
        <v>3247</v>
      </c>
      <c r="H469" s="21" t="s">
        <v>716</v>
      </c>
    </row>
    <row r="470" customFormat="false" ht="15" hidden="false" customHeight="false" outlineLevel="0" collapsed="false">
      <c r="B470" s="19" t="s">
        <v>7187</v>
      </c>
      <c r="C470" s="20" t="n">
        <f aca="false">ROUND(3.9/FX,2)</f>
        <v>0.54</v>
      </c>
      <c r="D470" s="21" t="s">
        <v>707</v>
      </c>
      <c r="E470" s="21" t="s">
        <v>6733</v>
      </c>
      <c r="F470" s="21" t="s">
        <v>7067</v>
      </c>
      <c r="G470" s="21" t="s">
        <v>3247</v>
      </c>
      <c r="H470" s="21" t="s">
        <v>6740</v>
      </c>
    </row>
    <row r="471" customFormat="false" ht="15" hidden="false" customHeight="false" outlineLevel="0" collapsed="false">
      <c r="B471" s="19" t="s">
        <v>7188</v>
      </c>
      <c r="C471" s="20" t="n">
        <f aca="false">ROUND(4.55/FX,2)</f>
        <v>0.63</v>
      </c>
      <c r="D471" s="21" t="s">
        <v>716</v>
      </c>
      <c r="E471" s="21" t="s">
        <v>6733</v>
      </c>
      <c r="F471" s="21" t="s">
        <v>7067</v>
      </c>
      <c r="G471" s="21" t="s">
        <v>3247</v>
      </c>
      <c r="H471" s="21" t="s">
        <v>6740</v>
      </c>
    </row>
    <row r="472" customFormat="false" ht="15" hidden="false" customHeight="false" outlineLevel="0" collapsed="false">
      <c r="B472" s="19" t="s">
        <v>7189</v>
      </c>
      <c r="C472" s="20" t="n">
        <f aca="false">ROUND(3.9/FX,2)</f>
        <v>0.54</v>
      </c>
      <c r="D472" s="21" t="s">
        <v>707</v>
      </c>
      <c r="E472" s="21" t="s">
        <v>6712</v>
      </c>
      <c r="F472" s="21" t="s">
        <v>7067</v>
      </c>
      <c r="G472" s="21" t="s">
        <v>3247</v>
      </c>
      <c r="H472" s="21" t="s">
        <v>847</v>
      </c>
    </row>
    <row r="473" customFormat="false" ht="15" hidden="false" customHeight="false" outlineLevel="0" collapsed="false">
      <c r="B473" s="19" t="s">
        <v>7190</v>
      </c>
      <c r="C473" s="20" t="n">
        <f aca="false">ROUND(3.12/FX,2)</f>
        <v>0.43</v>
      </c>
      <c r="D473" s="21" t="s">
        <v>716</v>
      </c>
      <c r="E473" s="21" t="s">
        <v>6733</v>
      </c>
      <c r="F473" s="21" t="s">
        <v>7067</v>
      </c>
      <c r="G473" s="21" t="s">
        <v>3247</v>
      </c>
      <c r="H473" s="21" t="s">
        <v>847</v>
      </c>
    </row>
    <row r="474" customFormat="false" ht="15" hidden="false" customHeight="false" outlineLevel="0" collapsed="false">
      <c r="B474" s="19" t="s">
        <v>7191</v>
      </c>
      <c r="C474" s="20" t="n">
        <f aca="false">ROUND(4.42/FX,2)</f>
        <v>0.61</v>
      </c>
      <c r="D474" s="21" t="s">
        <v>707</v>
      </c>
      <c r="E474" s="21" t="s">
        <v>6698</v>
      </c>
      <c r="F474" s="21" t="s">
        <v>7067</v>
      </c>
      <c r="G474" s="21" t="s">
        <v>6723</v>
      </c>
      <c r="H474" s="21" t="s">
        <v>4721</v>
      </c>
    </row>
    <row r="475" customFormat="false" ht="15" hidden="false" customHeight="false" outlineLevel="0" collapsed="false">
      <c r="B475" s="19" t="s">
        <v>7192</v>
      </c>
      <c r="C475" s="20" t="n">
        <f aca="false">ROUND(3.77/FX,2)</f>
        <v>0.52</v>
      </c>
      <c r="D475" s="21" t="s">
        <v>707</v>
      </c>
      <c r="E475" s="21" t="s">
        <v>6698</v>
      </c>
      <c r="F475" s="21" t="s">
        <v>7067</v>
      </c>
      <c r="G475" s="21" t="s">
        <v>784</v>
      </c>
      <c r="H475" s="21" t="s">
        <v>707</v>
      </c>
    </row>
    <row r="476" customFormat="false" ht="15" hidden="false" customHeight="false" outlineLevel="0" collapsed="false">
      <c r="B476" s="19" t="s">
        <v>7193</v>
      </c>
      <c r="C476" s="20" t="n">
        <f aca="false">ROUND(4.42/FX,2)</f>
        <v>0.61</v>
      </c>
      <c r="D476" s="21" t="s">
        <v>714</v>
      </c>
      <c r="E476" s="21" t="s">
        <v>6698</v>
      </c>
      <c r="F476" s="21" t="s">
        <v>7067</v>
      </c>
      <c r="G476" s="21" t="s">
        <v>784</v>
      </c>
      <c r="H476" s="21" t="s">
        <v>707</v>
      </c>
    </row>
    <row r="477" customFormat="false" ht="15" hidden="false" customHeight="false" outlineLevel="0" collapsed="false">
      <c r="B477" s="19" t="s">
        <v>7194</v>
      </c>
      <c r="C477" s="20" t="n">
        <f aca="false">ROUND(3.12/FX,2)</f>
        <v>0.43</v>
      </c>
      <c r="D477" s="21" t="s">
        <v>716</v>
      </c>
      <c r="E477" s="21" t="s">
        <v>6733</v>
      </c>
      <c r="F477" s="21" t="s">
        <v>7067</v>
      </c>
      <c r="G477" s="21" t="s">
        <v>784</v>
      </c>
      <c r="H477" s="21" t="s">
        <v>707</v>
      </c>
    </row>
    <row r="478" customFormat="false" ht="15" hidden="false" customHeight="false" outlineLevel="0" collapsed="false">
      <c r="B478" s="19" t="s">
        <v>7195</v>
      </c>
      <c r="C478" s="20" t="n">
        <f aca="false">ROUND(3.12/FX,2)</f>
        <v>0.43</v>
      </c>
      <c r="D478" s="21" t="s">
        <v>707</v>
      </c>
      <c r="E478" s="21" t="s">
        <v>6733</v>
      </c>
      <c r="F478" s="21" t="s">
        <v>7067</v>
      </c>
      <c r="G478" s="21" t="s">
        <v>784</v>
      </c>
      <c r="H478" s="21" t="s">
        <v>761</v>
      </c>
    </row>
    <row r="479" customFormat="false" ht="15" hidden="false" customHeight="false" outlineLevel="0" collapsed="false">
      <c r="B479" s="19" t="s">
        <v>7196</v>
      </c>
      <c r="C479" s="20" t="n">
        <f aca="false">ROUND(4.42/FX,2)</f>
        <v>0.61</v>
      </c>
      <c r="D479" s="21" t="s">
        <v>714</v>
      </c>
      <c r="E479" s="21" t="s">
        <v>6698</v>
      </c>
      <c r="F479" s="21" t="s">
        <v>7067</v>
      </c>
      <c r="G479" s="21" t="s">
        <v>784</v>
      </c>
      <c r="H479" s="21" t="s">
        <v>761</v>
      </c>
    </row>
    <row r="480" customFormat="false" ht="15" hidden="false" customHeight="false" outlineLevel="0" collapsed="false">
      <c r="B480" s="19" t="s">
        <v>7197</v>
      </c>
      <c r="C480" s="20" t="n">
        <f aca="false">ROUND(3.77/FX,2)</f>
        <v>0.52</v>
      </c>
      <c r="D480" s="21" t="s">
        <v>716</v>
      </c>
      <c r="E480" s="21" t="s">
        <v>6712</v>
      </c>
      <c r="F480" s="21" t="s">
        <v>7067</v>
      </c>
      <c r="G480" s="21" t="s">
        <v>784</v>
      </c>
      <c r="H480" s="21" t="s">
        <v>761</v>
      </c>
    </row>
    <row r="481" customFormat="false" ht="15" hidden="false" customHeight="false" outlineLevel="0" collapsed="false">
      <c r="B481" s="19" t="s">
        <v>7198</v>
      </c>
      <c r="C481" s="20" t="n">
        <f aca="false">ROUND(3.77/FX,2)</f>
        <v>0.52</v>
      </c>
      <c r="D481" s="21" t="s">
        <v>707</v>
      </c>
      <c r="E481" s="21" t="s">
        <v>6698</v>
      </c>
      <c r="F481" s="21" t="s">
        <v>7067</v>
      </c>
      <c r="G481" s="21" t="s">
        <v>784</v>
      </c>
      <c r="H481" s="21" t="s">
        <v>847</v>
      </c>
    </row>
    <row r="482" customFormat="false" ht="15" hidden="false" customHeight="false" outlineLevel="0" collapsed="false">
      <c r="B482" s="19" t="s">
        <v>7199</v>
      </c>
      <c r="C482" s="20" t="n">
        <f aca="false">ROUND(4.42/FX,2)</f>
        <v>0.61</v>
      </c>
      <c r="D482" s="21" t="s">
        <v>714</v>
      </c>
      <c r="E482" s="21" t="s">
        <v>6698</v>
      </c>
      <c r="F482" s="21" t="s">
        <v>7067</v>
      </c>
      <c r="G482" s="21" t="s">
        <v>784</v>
      </c>
      <c r="H482" s="21" t="s">
        <v>847</v>
      </c>
    </row>
    <row r="483" customFormat="false" ht="15" hidden="false" customHeight="false" outlineLevel="0" collapsed="false">
      <c r="B483" s="19" t="s">
        <v>7200</v>
      </c>
      <c r="C483" s="20" t="n">
        <f aca="false">ROUND(3.77/FX,2)</f>
        <v>0.52</v>
      </c>
      <c r="D483" s="21" t="s">
        <v>716</v>
      </c>
      <c r="E483" s="21" t="s">
        <v>6698</v>
      </c>
      <c r="F483" s="21" t="s">
        <v>7067</v>
      </c>
      <c r="G483" s="21" t="s">
        <v>784</v>
      </c>
      <c r="H483" s="21" t="s">
        <v>847</v>
      </c>
    </row>
    <row r="486" customFormat="false" ht="61.5" hidden="false" customHeight="true" outlineLevel="0" collapsed="false">
      <c r="A486" s="9"/>
      <c r="B486" s="10" t="s">
        <v>7201</v>
      </c>
      <c r="C486" s="10"/>
      <c r="D486" s="10"/>
      <c r="E486" s="10"/>
      <c r="F486" s="10"/>
      <c r="G486" s="10"/>
      <c r="H486" s="10"/>
      <c r="I486" s="10"/>
    </row>
    <row r="487" customFormat="false" ht="15" hidden="false" customHeight="false" outlineLevel="0" collapsed="false">
      <c r="A487" s="12" t="s">
        <v>700</v>
      </c>
      <c r="B487" s="13" t="s">
        <v>701</v>
      </c>
      <c r="C487" s="13" t="s">
        <v>702</v>
      </c>
      <c r="D487" s="13" t="s">
        <v>703</v>
      </c>
      <c r="E487" s="13" t="s">
        <v>723</v>
      </c>
      <c r="F487" s="13" t="s">
        <v>6354</v>
      </c>
      <c r="G487" s="13" t="s">
        <v>6328</v>
      </c>
      <c r="H487" s="13" t="s">
        <v>6695</v>
      </c>
      <c r="I487" s="13" t="s">
        <v>6696</v>
      </c>
    </row>
    <row r="488" customFormat="false" ht="30" hidden="false" customHeight="true" outlineLevel="0" collapsed="false">
      <c r="A488" s="14" t="s">
        <v>706</v>
      </c>
      <c r="B488" s="15" t="str">
        <f aca="false">IF(COUNTIFS($D$491:$D$798,IF(D488="","*",D488),$E$491:$E$798,IF(E488="","*",E488),$F$491:$F$798,IF(F488="","*",F488),$G$491:$G$798,IF(G488="","*",G488),$H$491:$H$798,IF(H488="","*",H488),$I$491:$I$798,IF(I488="","*",I488))=1,INDEX($B:$B,SUMPRODUCT(((D488="")+($D$491:$D$798=D488)&gt;0)*((E488="")+($E$491:$E$798=E488)&gt;0)*((F488="")+($F$491:$F$798=F488)&gt;0)*((G488="")+($G$491:$G$798=G488)&gt;0)*((H488="")+($H$491:$H$798=H488)&gt;0)*((I488="")+($I$491:$I$798=I488)&gt;0)*ROW($B$491:$B$798))),IF(COUNTIFS($D$491:$D$798,IF(D488="","*",D488),$E$491:$E$798,IF(E488="","*",E488),$F$491:$F$798,IF(F488="","*",F488),$G$491:$G$798,IF(G488="","*",G488),$H$491:$H$798,IF(H488="","*",H488),$I$491:$I$798,IF(I488="","*",I488))=0,"Not available",COUNTIFS($D$491:$D$798,IF(D488="","*",D488),$E$491:$E$798,IF(E488="","*",E488),$F$491:$F$798,IF(F488="","*",F488),$G$491:$G$798,IF(G488="","*",G488),$H$491:$H$798,IF(H488="","*",H488),$I$491:$I$798,IF(I488="","*",I488))&amp;" match, keep choosing"))</f>
        <v>3M-AF120-25-15-MS</v>
      </c>
      <c r="C488" s="16" t="n">
        <f aca="false">IF(COUNTIFS($D$491:$D$798,IF(D488="","*",D488),$E$491:$E$798,IF(E488="","*",E488),$F$491:$F$798,IF(F488="","*",F488),$G$491:$G$798,IF(G488="","*",G488),$H$491:$H$798,IF(H488="","*",H488),$I$491:$I$798,IF(I488="","*",I488))=1,INDEX($C:$C,SUMPRODUCT(((D488="")+($D$491:$D$798=D488)&gt;0)*((E488="")+($E$491:$E$798=E488)&gt;0)*((F488="")+($F$491:$F$798=F488)&gt;0)*((G488="")+($G$491:$G$798=G488)&gt;0)*((H488="")+($H$491:$H$798=H488)&gt;0)*((I488="")+($I$491:$I$798=I488)&gt;0)*ROW($B$491:$B$798))),"")</f>
        <v>8.13</v>
      </c>
      <c r="D488" s="17" t="s">
        <v>714</v>
      </c>
      <c r="E488" s="17" t="s">
        <v>734</v>
      </c>
      <c r="F488" s="17" t="s">
        <v>6698</v>
      </c>
      <c r="G488" s="17" t="s">
        <v>6699</v>
      </c>
      <c r="H488" s="17" t="s">
        <v>2701</v>
      </c>
      <c r="I488" s="17" t="s">
        <v>3317</v>
      </c>
    </row>
    <row r="490" customFormat="false" ht="15" hidden="false" customHeight="false" outlineLevel="0" collapsed="false">
      <c r="B490" s="18" t="s">
        <v>701</v>
      </c>
      <c r="C490" s="18" t="s">
        <v>702</v>
      </c>
      <c r="D490" s="18" t="s">
        <v>703</v>
      </c>
      <c r="E490" s="18" t="s">
        <v>723</v>
      </c>
      <c r="F490" s="18" t="s">
        <v>6354</v>
      </c>
      <c r="G490" s="18" t="s">
        <v>6328</v>
      </c>
      <c r="H490" s="18" t="s">
        <v>6695</v>
      </c>
      <c r="I490" s="18" t="s">
        <v>6696</v>
      </c>
    </row>
    <row r="491" customFormat="false" ht="15" hidden="false" customHeight="false" outlineLevel="0" collapsed="false">
      <c r="B491" s="19" t="s">
        <v>7202</v>
      </c>
      <c r="C491" s="20" t="n">
        <f aca="false">ROUND(58.5/FX,2)</f>
        <v>8.13</v>
      </c>
      <c r="D491" s="21" t="s">
        <v>714</v>
      </c>
      <c r="E491" s="21" t="s">
        <v>734</v>
      </c>
      <c r="F491" s="21" t="s">
        <v>6698</v>
      </c>
      <c r="G491" s="21" t="s">
        <v>6699</v>
      </c>
      <c r="H491" s="21" t="s">
        <v>2701</v>
      </c>
      <c r="I491" s="21" t="s">
        <v>3317</v>
      </c>
    </row>
    <row r="492" customFormat="false" ht="15" hidden="false" customHeight="false" outlineLevel="0" collapsed="false">
      <c r="B492" s="19" t="s">
        <v>7203</v>
      </c>
      <c r="C492" s="20" t="n">
        <f aca="false">ROUND(3.25/FX,2)</f>
        <v>0.45</v>
      </c>
      <c r="D492" s="21" t="s">
        <v>714</v>
      </c>
      <c r="E492" s="21" t="s">
        <v>734</v>
      </c>
      <c r="F492" s="21" t="s">
        <v>6712</v>
      </c>
      <c r="G492" s="21" t="s">
        <v>6699</v>
      </c>
      <c r="H492" s="21" t="s">
        <v>4000</v>
      </c>
      <c r="I492" s="21" t="s">
        <v>707</v>
      </c>
    </row>
    <row r="493" customFormat="false" ht="15" hidden="false" customHeight="false" outlineLevel="0" collapsed="false">
      <c r="B493" s="19" t="s">
        <v>7204</v>
      </c>
      <c r="C493" s="20" t="n">
        <f aca="false">ROUND(3.9/FX,2)</f>
        <v>0.54</v>
      </c>
      <c r="D493" s="21" t="s">
        <v>714</v>
      </c>
      <c r="E493" s="21" t="s">
        <v>734</v>
      </c>
      <c r="F493" s="21" t="s">
        <v>6712</v>
      </c>
      <c r="G493" s="21" t="s">
        <v>6699</v>
      </c>
      <c r="H493" s="21" t="s">
        <v>4000</v>
      </c>
      <c r="I493" s="21" t="s">
        <v>6740</v>
      </c>
    </row>
    <row r="494" customFormat="false" ht="15" hidden="false" customHeight="false" outlineLevel="0" collapsed="false">
      <c r="B494" s="19" t="s">
        <v>7205</v>
      </c>
      <c r="C494" s="20" t="n">
        <f aca="false">ROUND(3.9/FX,2)</f>
        <v>0.54</v>
      </c>
      <c r="D494" s="21" t="s">
        <v>714</v>
      </c>
      <c r="E494" s="21" t="s">
        <v>734</v>
      </c>
      <c r="F494" s="21" t="s">
        <v>6712</v>
      </c>
      <c r="G494" s="21" t="s">
        <v>6699</v>
      </c>
      <c r="H494" s="21" t="s">
        <v>4000</v>
      </c>
      <c r="I494" s="21" t="s">
        <v>845</v>
      </c>
    </row>
    <row r="495" customFormat="false" ht="15" hidden="false" customHeight="false" outlineLevel="0" collapsed="false">
      <c r="B495" s="19" t="s">
        <v>7206</v>
      </c>
      <c r="C495" s="20" t="n">
        <f aca="false">ROUND(3.25/FX,2)</f>
        <v>0.45</v>
      </c>
      <c r="D495" s="21" t="s">
        <v>707</v>
      </c>
      <c r="E495" s="21" t="s">
        <v>734</v>
      </c>
      <c r="F495" s="21" t="s">
        <v>6712</v>
      </c>
      <c r="G495" s="21" t="s">
        <v>6699</v>
      </c>
      <c r="H495" s="21" t="s">
        <v>4000</v>
      </c>
      <c r="I495" s="21" t="s">
        <v>847</v>
      </c>
    </row>
    <row r="496" customFormat="false" ht="15" hidden="false" customHeight="false" outlineLevel="0" collapsed="false">
      <c r="B496" s="19" t="s">
        <v>7207</v>
      </c>
      <c r="C496" s="20" t="n">
        <f aca="false">ROUND(3.9/FX,2)</f>
        <v>0.54</v>
      </c>
      <c r="D496" s="21" t="s">
        <v>714</v>
      </c>
      <c r="E496" s="21" t="s">
        <v>734</v>
      </c>
      <c r="F496" s="21" t="s">
        <v>6712</v>
      </c>
      <c r="G496" s="21" t="s">
        <v>6699</v>
      </c>
      <c r="H496" s="21" t="s">
        <v>4000</v>
      </c>
      <c r="I496" s="21" t="s">
        <v>847</v>
      </c>
    </row>
    <row r="497" customFormat="false" ht="15" hidden="false" customHeight="false" outlineLevel="0" collapsed="false">
      <c r="B497" s="19" t="s">
        <v>7208</v>
      </c>
      <c r="C497" s="20" t="n">
        <f aca="false">ROUND(3.9/FX,2)</f>
        <v>0.54</v>
      </c>
      <c r="D497" s="21" t="s">
        <v>714</v>
      </c>
      <c r="E497" s="21" t="s">
        <v>734</v>
      </c>
      <c r="F497" s="21" t="s">
        <v>6733</v>
      </c>
      <c r="G497" s="21" t="s">
        <v>6699</v>
      </c>
      <c r="H497" s="21" t="s">
        <v>3247</v>
      </c>
      <c r="I497" s="21" t="s">
        <v>707</v>
      </c>
    </row>
    <row r="498" customFormat="false" ht="15" hidden="false" customHeight="false" outlineLevel="0" collapsed="false">
      <c r="B498" s="19" t="s">
        <v>7209</v>
      </c>
      <c r="C498" s="20" t="n">
        <f aca="false">ROUND(4.42/FX,2)</f>
        <v>0.61</v>
      </c>
      <c r="D498" s="21" t="s">
        <v>3247</v>
      </c>
      <c r="E498" s="21" t="s">
        <v>734</v>
      </c>
      <c r="F498" s="21" t="s">
        <v>6698</v>
      </c>
      <c r="G498" s="21" t="s">
        <v>6699</v>
      </c>
      <c r="H498" s="21" t="s">
        <v>3247</v>
      </c>
      <c r="I498" s="21" t="s">
        <v>707</v>
      </c>
    </row>
    <row r="499" customFormat="false" ht="15" hidden="false" customHeight="false" outlineLevel="0" collapsed="false">
      <c r="B499" s="19" t="s">
        <v>7210</v>
      </c>
      <c r="C499" s="20" t="n">
        <f aca="false">ROUND(3.77/FX,2)</f>
        <v>0.52</v>
      </c>
      <c r="D499" s="21" t="s">
        <v>716</v>
      </c>
      <c r="E499" s="21" t="s">
        <v>734</v>
      </c>
      <c r="F499" s="21" t="s">
        <v>6698</v>
      </c>
      <c r="G499" s="21" t="s">
        <v>6699</v>
      </c>
      <c r="H499" s="21" t="s">
        <v>3247</v>
      </c>
      <c r="I499" s="21" t="s">
        <v>841</v>
      </c>
    </row>
    <row r="500" customFormat="false" ht="15" hidden="false" customHeight="false" outlineLevel="0" collapsed="false">
      <c r="B500" s="19" t="s">
        <v>7211</v>
      </c>
      <c r="C500" s="20" t="n">
        <f aca="false">ROUND(3.77/FX,2)</f>
        <v>0.52</v>
      </c>
      <c r="D500" s="21" t="s">
        <v>707</v>
      </c>
      <c r="E500" s="21" t="s">
        <v>734</v>
      </c>
      <c r="F500" s="21" t="s">
        <v>6698</v>
      </c>
      <c r="G500" s="21" t="s">
        <v>6699</v>
      </c>
      <c r="H500" s="21" t="s">
        <v>3247</v>
      </c>
      <c r="I500" s="21" t="s">
        <v>789</v>
      </c>
    </row>
    <row r="501" customFormat="false" ht="15" hidden="false" customHeight="false" outlineLevel="0" collapsed="false">
      <c r="B501" s="19" t="s">
        <v>7212</v>
      </c>
      <c r="C501" s="20" t="n">
        <f aca="false">ROUND(3.9/FX,2)</f>
        <v>0.54</v>
      </c>
      <c r="D501" s="21" t="s">
        <v>714</v>
      </c>
      <c r="E501" s="21" t="s">
        <v>734</v>
      </c>
      <c r="F501" s="21" t="s">
        <v>6698</v>
      </c>
      <c r="G501" s="21" t="s">
        <v>6699</v>
      </c>
      <c r="H501" s="21" t="s">
        <v>3247</v>
      </c>
      <c r="I501" s="21" t="s">
        <v>789</v>
      </c>
    </row>
    <row r="502" customFormat="false" ht="15" hidden="false" customHeight="false" outlineLevel="0" collapsed="false">
      <c r="B502" s="19" t="s">
        <v>7213</v>
      </c>
      <c r="C502" s="20" t="n">
        <f aca="false">ROUND(3.77/FX,2)</f>
        <v>0.52</v>
      </c>
      <c r="D502" s="21" t="s">
        <v>707</v>
      </c>
      <c r="E502" s="21" t="s">
        <v>734</v>
      </c>
      <c r="F502" s="21" t="s">
        <v>6712</v>
      </c>
      <c r="G502" s="21" t="s">
        <v>6699</v>
      </c>
      <c r="H502" s="21" t="s">
        <v>3247</v>
      </c>
      <c r="I502" s="21" t="s">
        <v>716</v>
      </c>
    </row>
    <row r="503" customFormat="false" ht="15" hidden="false" customHeight="false" outlineLevel="0" collapsed="false">
      <c r="B503" s="19" t="s">
        <v>7214</v>
      </c>
      <c r="C503" s="20" t="n">
        <f aca="false">ROUND(3.9/FX,2)</f>
        <v>0.54</v>
      </c>
      <c r="D503" s="21" t="s">
        <v>714</v>
      </c>
      <c r="E503" s="21" t="s">
        <v>734</v>
      </c>
      <c r="F503" s="21" t="s">
        <v>6712</v>
      </c>
      <c r="G503" s="21" t="s">
        <v>6699</v>
      </c>
      <c r="H503" s="21" t="s">
        <v>3247</v>
      </c>
      <c r="I503" s="21" t="s">
        <v>716</v>
      </c>
    </row>
    <row r="504" customFormat="false" ht="15" hidden="false" customHeight="false" outlineLevel="0" collapsed="false">
      <c r="B504" s="19" t="s">
        <v>7215</v>
      </c>
      <c r="C504" s="20" t="n">
        <f aca="false">ROUND(3.77/FX,2)</f>
        <v>0.52</v>
      </c>
      <c r="D504" s="21" t="s">
        <v>707</v>
      </c>
      <c r="E504" s="21" t="s">
        <v>734</v>
      </c>
      <c r="F504" s="21" t="s">
        <v>6733</v>
      </c>
      <c r="G504" s="21" t="s">
        <v>6699</v>
      </c>
      <c r="H504" s="21" t="s">
        <v>3247</v>
      </c>
      <c r="I504" s="21" t="s">
        <v>6740</v>
      </c>
    </row>
    <row r="505" customFormat="false" ht="15" hidden="false" customHeight="false" outlineLevel="0" collapsed="false">
      <c r="B505" s="19" t="s">
        <v>7216</v>
      </c>
      <c r="C505" s="20" t="n">
        <f aca="false">ROUND(3.77/FX,2)</f>
        <v>0.52</v>
      </c>
      <c r="D505" s="21" t="s">
        <v>847</v>
      </c>
      <c r="E505" s="21" t="s">
        <v>734</v>
      </c>
      <c r="F505" s="21" t="s">
        <v>6698</v>
      </c>
      <c r="G505" s="21" t="s">
        <v>6699</v>
      </c>
      <c r="H505" s="21" t="s">
        <v>3247</v>
      </c>
      <c r="I505" s="21" t="s">
        <v>6740</v>
      </c>
    </row>
    <row r="506" customFormat="false" ht="15" hidden="false" customHeight="false" outlineLevel="0" collapsed="false">
      <c r="B506" s="19" t="s">
        <v>7217</v>
      </c>
      <c r="C506" s="20" t="n">
        <f aca="false">ROUND(3.77/FX,2)</f>
        <v>0.52</v>
      </c>
      <c r="D506" s="21" t="s">
        <v>847</v>
      </c>
      <c r="E506" s="21" t="s">
        <v>734</v>
      </c>
      <c r="F506" s="21" t="s">
        <v>6698</v>
      </c>
      <c r="G506" s="21" t="s">
        <v>6699</v>
      </c>
      <c r="H506" s="21" t="s">
        <v>3247</v>
      </c>
      <c r="I506" s="21" t="s">
        <v>7218</v>
      </c>
    </row>
    <row r="507" customFormat="false" ht="15" hidden="false" customHeight="false" outlineLevel="0" collapsed="false">
      <c r="B507" s="19" t="s">
        <v>7219</v>
      </c>
      <c r="C507" s="20" t="n">
        <f aca="false">ROUND(3.77/FX,2)</f>
        <v>0.52</v>
      </c>
      <c r="D507" s="21" t="s">
        <v>707</v>
      </c>
      <c r="E507" s="21" t="s">
        <v>734</v>
      </c>
      <c r="F507" s="21" t="s">
        <v>6698</v>
      </c>
      <c r="G507" s="21" t="s">
        <v>6699</v>
      </c>
      <c r="H507" s="21" t="s">
        <v>3247</v>
      </c>
      <c r="I507" s="21" t="s">
        <v>845</v>
      </c>
    </row>
    <row r="508" customFormat="false" ht="15" hidden="false" customHeight="false" outlineLevel="0" collapsed="false">
      <c r="B508" s="19" t="s">
        <v>7220</v>
      </c>
      <c r="C508" s="20" t="n">
        <f aca="false">ROUND(3.9/FX,2)</f>
        <v>0.54</v>
      </c>
      <c r="D508" s="21" t="s">
        <v>714</v>
      </c>
      <c r="E508" s="21" t="s">
        <v>734</v>
      </c>
      <c r="F508" s="21" t="s">
        <v>6712</v>
      </c>
      <c r="G508" s="21" t="s">
        <v>6699</v>
      </c>
      <c r="H508" s="21" t="s">
        <v>3247</v>
      </c>
      <c r="I508" s="21" t="s">
        <v>845</v>
      </c>
    </row>
    <row r="509" customFormat="false" ht="15" hidden="false" customHeight="false" outlineLevel="0" collapsed="false">
      <c r="B509" s="19" t="s">
        <v>7221</v>
      </c>
      <c r="C509" s="20" t="n">
        <f aca="false">ROUND(3.9/FX,2)</f>
        <v>0.54</v>
      </c>
      <c r="D509" s="21" t="s">
        <v>707</v>
      </c>
      <c r="E509" s="21" t="s">
        <v>734</v>
      </c>
      <c r="F509" s="21" t="s">
        <v>6712</v>
      </c>
      <c r="G509" s="21" t="s">
        <v>6699</v>
      </c>
      <c r="H509" s="21" t="s">
        <v>3247</v>
      </c>
      <c r="I509" s="21" t="s">
        <v>847</v>
      </c>
    </row>
    <row r="510" customFormat="false" ht="15" hidden="false" customHeight="false" outlineLevel="0" collapsed="false">
      <c r="B510" s="19" t="s">
        <v>7222</v>
      </c>
      <c r="C510" s="20" t="n">
        <f aca="false">ROUND(3.77/FX,2)</f>
        <v>0.52</v>
      </c>
      <c r="D510" s="21" t="s">
        <v>714</v>
      </c>
      <c r="E510" s="21" t="s">
        <v>734</v>
      </c>
      <c r="F510" s="21" t="s">
        <v>6733</v>
      </c>
      <c r="G510" s="21" t="s">
        <v>6699</v>
      </c>
      <c r="H510" s="21" t="s">
        <v>3247</v>
      </c>
      <c r="I510" s="21" t="s">
        <v>847</v>
      </c>
    </row>
    <row r="511" customFormat="false" ht="15" hidden="false" customHeight="false" outlineLevel="0" collapsed="false">
      <c r="B511" s="19" t="s">
        <v>7223</v>
      </c>
      <c r="C511" s="20" t="n">
        <f aca="false">ROUND(4.42/FX,2)</f>
        <v>0.61</v>
      </c>
      <c r="D511" s="21" t="s">
        <v>3247</v>
      </c>
      <c r="E511" s="21" t="s">
        <v>734</v>
      </c>
      <c r="F511" s="21" t="s">
        <v>6698</v>
      </c>
      <c r="G511" s="21" t="s">
        <v>6699</v>
      </c>
      <c r="H511" s="21" t="s">
        <v>3247</v>
      </c>
      <c r="I511" s="21" t="s">
        <v>847</v>
      </c>
    </row>
    <row r="512" customFormat="false" ht="15" hidden="false" customHeight="false" outlineLevel="0" collapsed="false">
      <c r="B512" s="19" t="s">
        <v>7224</v>
      </c>
      <c r="C512" s="20" t="n">
        <f aca="false">ROUND(3.77/FX,2)</f>
        <v>0.52</v>
      </c>
      <c r="D512" s="21" t="s">
        <v>707</v>
      </c>
      <c r="E512" s="21" t="s">
        <v>734</v>
      </c>
      <c r="F512" s="21" t="s">
        <v>6712</v>
      </c>
      <c r="G512" s="21" t="s">
        <v>6699</v>
      </c>
      <c r="H512" s="21" t="s">
        <v>5097</v>
      </c>
      <c r="I512" s="21" t="s">
        <v>707</v>
      </c>
    </row>
    <row r="513" customFormat="false" ht="15" hidden="false" customHeight="false" outlineLevel="0" collapsed="false">
      <c r="B513" s="19" t="s">
        <v>7225</v>
      </c>
      <c r="C513" s="20" t="n">
        <f aca="false">ROUND(3.77/FX,2)</f>
        <v>0.52</v>
      </c>
      <c r="D513" s="21" t="s">
        <v>707</v>
      </c>
      <c r="E513" s="21" t="s">
        <v>734</v>
      </c>
      <c r="F513" s="21" t="s">
        <v>6712</v>
      </c>
      <c r="G513" s="21" t="s">
        <v>6699</v>
      </c>
      <c r="H513" s="21" t="s">
        <v>5097</v>
      </c>
      <c r="I513" s="21" t="s">
        <v>847</v>
      </c>
    </row>
    <row r="514" customFormat="false" ht="15" hidden="false" customHeight="false" outlineLevel="0" collapsed="false">
      <c r="B514" s="19" t="s">
        <v>7226</v>
      </c>
      <c r="C514" s="20" t="n">
        <f aca="false">ROUND(4.42/FX,2)</f>
        <v>0.61</v>
      </c>
      <c r="D514" s="21" t="s">
        <v>707</v>
      </c>
      <c r="E514" s="21" t="s">
        <v>734</v>
      </c>
      <c r="F514" s="21" t="s">
        <v>6712</v>
      </c>
      <c r="G514" s="21" t="s">
        <v>6699</v>
      </c>
      <c r="H514" s="21" t="s">
        <v>6723</v>
      </c>
      <c r="I514" s="21" t="s">
        <v>707</v>
      </c>
    </row>
    <row r="515" customFormat="false" ht="15" hidden="false" customHeight="false" outlineLevel="0" collapsed="false">
      <c r="B515" s="19" t="s">
        <v>7227</v>
      </c>
      <c r="C515" s="20" t="n">
        <f aca="false">ROUND(4.68/FX,2)</f>
        <v>0.65</v>
      </c>
      <c r="D515" s="21" t="s">
        <v>714</v>
      </c>
      <c r="E515" s="21" t="s">
        <v>734</v>
      </c>
      <c r="F515" s="21" t="s">
        <v>6712</v>
      </c>
      <c r="G515" s="21" t="s">
        <v>6699</v>
      </c>
      <c r="H515" s="21" t="s">
        <v>6723</v>
      </c>
      <c r="I515" s="21" t="s">
        <v>707</v>
      </c>
    </row>
    <row r="516" customFormat="false" ht="15" hidden="false" customHeight="false" outlineLevel="0" collapsed="false">
      <c r="B516" s="19" t="s">
        <v>7228</v>
      </c>
      <c r="C516" s="20" t="n">
        <f aca="false">ROUND(3.9/FX,2)</f>
        <v>0.54</v>
      </c>
      <c r="D516" s="21" t="s">
        <v>3833</v>
      </c>
      <c r="E516" s="21" t="s">
        <v>734</v>
      </c>
      <c r="F516" s="21" t="s">
        <v>6712</v>
      </c>
      <c r="G516" s="21" t="s">
        <v>6699</v>
      </c>
      <c r="H516" s="21" t="s">
        <v>6723</v>
      </c>
      <c r="I516" s="21" t="s">
        <v>707</v>
      </c>
    </row>
    <row r="517" customFormat="false" ht="15" hidden="false" customHeight="false" outlineLevel="0" collapsed="false">
      <c r="B517" s="19" t="s">
        <v>7229</v>
      </c>
      <c r="C517" s="20" t="n">
        <f aca="false">ROUND(5.33/FX,2)</f>
        <v>0.74</v>
      </c>
      <c r="D517" s="21" t="s">
        <v>3247</v>
      </c>
      <c r="E517" s="21" t="s">
        <v>734</v>
      </c>
      <c r="F517" s="21" t="s">
        <v>6712</v>
      </c>
      <c r="G517" s="21" t="s">
        <v>6699</v>
      </c>
      <c r="H517" s="21" t="s">
        <v>6723</v>
      </c>
      <c r="I517" s="21" t="s">
        <v>707</v>
      </c>
    </row>
    <row r="518" customFormat="false" ht="15" hidden="false" customHeight="false" outlineLevel="0" collapsed="false">
      <c r="B518" s="19" t="s">
        <v>7230</v>
      </c>
      <c r="C518" s="20" t="n">
        <f aca="false">ROUND(5.85/FX,2)</f>
        <v>0.81</v>
      </c>
      <c r="D518" s="21" t="s">
        <v>3317</v>
      </c>
      <c r="E518" s="21" t="s">
        <v>734</v>
      </c>
      <c r="F518" s="21" t="s">
        <v>6712</v>
      </c>
      <c r="G518" s="21" t="s">
        <v>6699</v>
      </c>
      <c r="H518" s="21" t="s">
        <v>6723</v>
      </c>
      <c r="I518" s="21" t="s">
        <v>707</v>
      </c>
    </row>
    <row r="519" customFormat="false" ht="15" hidden="false" customHeight="false" outlineLevel="0" collapsed="false">
      <c r="B519" s="19" t="s">
        <v>7231</v>
      </c>
      <c r="C519" s="20" t="n">
        <f aca="false">ROUND(3.9/FX,2)</f>
        <v>0.54</v>
      </c>
      <c r="D519" s="21" t="s">
        <v>707</v>
      </c>
      <c r="E519" s="21" t="s">
        <v>734</v>
      </c>
      <c r="F519" s="21" t="s">
        <v>6712</v>
      </c>
      <c r="G519" s="21" t="s">
        <v>6699</v>
      </c>
      <c r="H519" s="21" t="s">
        <v>6723</v>
      </c>
      <c r="I519" s="21" t="s">
        <v>761</v>
      </c>
    </row>
    <row r="520" customFormat="false" ht="15" hidden="false" customHeight="false" outlineLevel="0" collapsed="false">
      <c r="B520" s="19" t="s">
        <v>7232</v>
      </c>
      <c r="C520" s="20" t="n">
        <f aca="false">ROUND(4.64/FX,2)</f>
        <v>0.64</v>
      </c>
      <c r="D520" s="21" t="s">
        <v>714</v>
      </c>
      <c r="E520" s="21" t="s">
        <v>734</v>
      </c>
      <c r="F520" s="21" t="s">
        <v>6712</v>
      </c>
      <c r="G520" s="21" t="s">
        <v>6699</v>
      </c>
      <c r="H520" s="21" t="s">
        <v>6723</v>
      </c>
      <c r="I520" s="21" t="s">
        <v>761</v>
      </c>
    </row>
    <row r="521" customFormat="false" ht="15" hidden="false" customHeight="false" outlineLevel="0" collapsed="false">
      <c r="B521" s="19" t="s">
        <v>7233</v>
      </c>
      <c r="C521" s="20" t="n">
        <f aca="false">ROUND(4.68/FX,2)</f>
        <v>0.65</v>
      </c>
      <c r="D521" s="21" t="s">
        <v>3833</v>
      </c>
      <c r="E521" s="21" t="s">
        <v>734</v>
      </c>
      <c r="F521" s="21" t="s">
        <v>6712</v>
      </c>
      <c r="G521" s="21" t="s">
        <v>6699</v>
      </c>
      <c r="H521" s="21" t="s">
        <v>6723</v>
      </c>
      <c r="I521" s="21" t="s">
        <v>761</v>
      </c>
    </row>
    <row r="522" customFormat="false" ht="15" hidden="false" customHeight="false" outlineLevel="0" collapsed="false">
      <c r="B522" s="19" t="s">
        <v>7234</v>
      </c>
      <c r="C522" s="20" t="n">
        <f aca="false">ROUND(5.33/FX,2)</f>
        <v>0.74</v>
      </c>
      <c r="D522" s="21" t="s">
        <v>3247</v>
      </c>
      <c r="E522" s="21" t="s">
        <v>734</v>
      </c>
      <c r="F522" s="21" t="s">
        <v>6712</v>
      </c>
      <c r="G522" s="21" t="s">
        <v>6699</v>
      </c>
      <c r="H522" s="21" t="s">
        <v>6723</v>
      </c>
      <c r="I522" s="21" t="s">
        <v>761</v>
      </c>
    </row>
    <row r="523" customFormat="false" ht="15" hidden="false" customHeight="false" outlineLevel="0" collapsed="false">
      <c r="B523" s="19" t="s">
        <v>7235</v>
      </c>
      <c r="C523" s="20" t="n">
        <f aca="false">ROUND(5.2/FX,2)</f>
        <v>0.72</v>
      </c>
      <c r="D523" s="21" t="s">
        <v>3317</v>
      </c>
      <c r="E523" s="21" t="s">
        <v>734</v>
      </c>
      <c r="F523" s="21" t="s">
        <v>6712</v>
      </c>
      <c r="G523" s="21" t="s">
        <v>6699</v>
      </c>
      <c r="H523" s="21" t="s">
        <v>6723</v>
      </c>
      <c r="I523" s="21" t="s">
        <v>761</v>
      </c>
    </row>
    <row r="524" customFormat="false" ht="15" hidden="false" customHeight="false" outlineLevel="0" collapsed="false">
      <c r="B524" s="19" t="s">
        <v>7236</v>
      </c>
      <c r="C524" s="20" t="n">
        <f aca="false">ROUND(4.55/FX,2)</f>
        <v>0.63</v>
      </c>
      <c r="D524" s="21" t="s">
        <v>784</v>
      </c>
      <c r="E524" s="21" t="s">
        <v>734</v>
      </c>
      <c r="F524" s="21" t="s">
        <v>6712</v>
      </c>
      <c r="G524" s="21" t="s">
        <v>6699</v>
      </c>
      <c r="H524" s="21" t="s">
        <v>6723</v>
      </c>
      <c r="I524" s="21" t="s">
        <v>761</v>
      </c>
    </row>
    <row r="525" customFormat="false" ht="15" hidden="false" customHeight="false" outlineLevel="0" collapsed="false">
      <c r="B525" s="19" t="s">
        <v>7237</v>
      </c>
      <c r="C525" s="20" t="n">
        <f aca="false">ROUND(4.42/FX,2)</f>
        <v>0.61</v>
      </c>
      <c r="D525" s="21" t="s">
        <v>707</v>
      </c>
      <c r="E525" s="21" t="s">
        <v>734</v>
      </c>
      <c r="F525" s="21" t="s">
        <v>6698</v>
      </c>
      <c r="G525" s="21" t="s">
        <v>6699</v>
      </c>
      <c r="H525" s="21" t="s">
        <v>6723</v>
      </c>
      <c r="I525" s="21" t="s">
        <v>4721</v>
      </c>
    </row>
    <row r="526" customFormat="false" ht="15" hidden="false" customHeight="false" outlineLevel="0" collapsed="false">
      <c r="B526" s="19" t="s">
        <v>7238</v>
      </c>
      <c r="C526" s="20" t="n">
        <f aca="false">ROUND(4.42/FX,2)</f>
        <v>0.61</v>
      </c>
      <c r="D526" s="21" t="s">
        <v>714</v>
      </c>
      <c r="E526" s="21" t="s">
        <v>734</v>
      </c>
      <c r="F526" s="21" t="s">
        <v>6712</v>
      </c>
      <c r="G526" s="21" t="s">
        <v>6699</v>
      </c>
      <c r="H526" s="21" t="s">
        <v>6723</v>
      </c>
      <c r="I526" s="21" t="s">
        <v>4721</v>
      </c>
    </row>
    <row r="527" customFormat="false" ht="15" hidden="false" customHeight="false" outlineLevel="0" collapsed="false">
      <c r="B527" s="19" t="s">
        <v>7239</v>
      </c>
      <c r="C527" s="20" t="n">
        <f aca="false">ROUND(4.68/FX,2)</f>
        <v>0.65</v>
      </c>
      <c r="D527" s="21" t="s">
        <v>707</v>
      </c>
      <c r="E527" s="21" t="s">
        <v>734</v>
      </c>
      <c r="F527" s="21" t="s">
        <v>6698</v>
      </c>
      <c r="G527" s="21" t="s">
        <v>6699</v>
      </c>
      <c r="H527" s="21" t="s">
        <v>6723</v>
      </c>
      <c r="I527" s="21" t="s">
        <v>716</v>
      </c>
    </row>
    <row r="528" customFormat="false" ht="15" hidden="false" customHeight="false" outlineLevel="0" collapsed="false">
      <c r="B528" s="19" t="s">
        <v>7240</v>
      </c>
      <c r="C528" s="20" t="n">
        <f aca="false">ROUND(4.68/FX,2)</f>
        <v>0.65</v>
      </c>
      <c r="D528" s="21" t="s">
        <v>714</v>
      </c>
      <c r="E528" s="21" t="s">
        <v>734</v>
      </c>
      <c r="F528" s="21" t="s">
        <v>6712</v>
      </c>
      <c r="G528" s="21" t="s">
        <v>6699</v>
      </c>
      <c r="H528" s="21" t="s">
        <v>6723</v>
      </c>
      <c r="I528" s="21" t="s">
        <v>716</v>
      </c>
    </row>
    <row r="529" customFormat="false" ht="15" hidden="false" customHeight="false" outlineLevel="0" collapsed="false">
      <c r="B529" s="19" t="s">
        <v>7241</v>
      </c>
      <c r="C529" s="20" t="n">
        <f aca="false">ROUND(4.42/FX,2)</f>
        <v>0.61</v>
      </c>
      <c r="D529" s="21" t="s">
        <v>707</v>
      </c>
      <c r="E529" s="21" t="s">
        <v>734</v>
      </c>
      <c r="F529" s="21" t="s">
        <v>6698</v>
      </c>
      <c r="G529" s="21" t="s">
        <v>6699</v>
      </c>
      <c r="H529" s="21" t="s">
        <v>6723</v>
      </c>
      <c r="I529" s="21" t="s">
        <v>847</v>
      </c>
    </row>
    <row r="530" customFormat="false" ht="15" hidden="false" customHeight="false" outlineLevel="0" collapsed="false">
      <c r="B530" s="19" t="s">
        <v>7242</v>
      </c>
      <c r="C530" s="20" t="n">
        <f aca="false">ROUND(4.68/FX,2)</f>
        <v>0.65</v>
      </c>
      <c r="D530" s="21" t="s">
        <v>714</v>
      </c>
      <c r="E530" s="21" t="s">
        <v>734</v>
      </c>
      <c r="F530" s="21" t="s">
        <v>6712</v>
      </c>
      <c r="G530" s="21" t="s">
        <v>6699</v>
      </c>
      <c r="H530" s="21" t="s">
        <v>6723</v>
      </c>
      <c r="I530" s="21" t="s">
        <v>847</v>
      </c>
    </row>
    <row r="531" customFormat="false" ht="15" hidden="false" customHeight="false" outlineLevel="0" collapsed="false">
      <c r="B531" s="19" t="s">
        <v>7243</v>
      </c>
      <c r="C531" s="20" t="n">
        <f aca="false">ROUND(4.68/FX,2)</f>
        <v>0.65</v>
      </c>
      <c r="D531" s="21" t="s">
        <v>3833</v>
      </c>
      <c r="E531" s="21" t="s">
        <v>734</v>
      </c>
      <c r="F531" s="21" t="s">
        <v>6712</v>
      </c>
      <c r="G531" s="21" t="s">
        <v>6699</v>
      </c>
      <c r="H531" s="21" t="s">
        <v>6723</v>
      </c>
      <c r="I531" s="21" t="s">
        <v>847</v>
      </c>
    </row>
    <row r="532" customFormat="false" ht="15" hidden="false" customHeight="false" outlineLevel="0" collapsed="false">
      <c r="B532" s="19" t="s">
        <v>7244</v>
      </c>
      <c r="C532" s="20" t="n">
        <f aca="false">ROUND(5.2/FX,2)</f>
        <v>0.72</v>
      </c>
      <c r="D532" s="21" t="s">
        <v>3317</v>
      </c>
      <c r="E532" s="21" t="s">
        <v>734</v>
      </c>
      <c r="F532" s="21" t="s">
        <v>6712</v>
      </c>
      <c r="G532" s="21" t="s">
        <v>6699</v>
      </c>
      <c r="H532" s="21" t="s">
        <v>6723</v>
      </c>
      <c r="I532" s="21" t="s">
        <v>847</v>
      </c>
    </row>
    <row r="533" customFormat="false" ht="15" hidden="false" customHeight="false" outlineLevel="0" collapsed="false">
      <c r="B533" s="19" t="s">
        <v>7245</v>
      </c>
      <c r="C533" s="20" t="n">
        <f aca="false">ROUND(4.68/FX,2)</f>
        <v>0.65</v>
      </c>
      <c r="D533" s="21" t="s">
        <v>707</v>
      </c>
      <c r="E533" s="21" t="s">
        <v>734</v>
      </c>
      <c r="F533" s="21" t="s">
        <v>6712</v>
      </c>
      <c r="G533" s="21" t="s">
        <v>6699</v>
      </c>
      <c r="H533" s="21" t="s">
        <v>3317</v>
      </c>
      <c r="I533" s="21" t="s">
        <v>707</v>
      </c>
    </row>
    <row r="534" customFormat="false" ht="15" hidden="false" customHeight="false" outlineLevel="0" collapsed="false">
      <c r="B534" s="19" t="s">
        <v>7246</v>
      </c>
      <c r="C534" s="20" t="n">
        <f aca="false">ROUND(4.68/FX,2)</f>
        <v>0.65</v>
      </c>
      <c r="D534" s="21" t="s">
        <v>707</v>
      </c>
      <c r="E534" s="21" t="s">
        <v>734</v>
      </c>
      <c r="F534" s="21" t="s">
        <v>6712</v>
      </c>
      <c r="G534" s="21" t="s">
        <v>6699</v>
      </c>
      <c r="H534" s="21" t="s">
        <v>3317</v>
      </c>
      <c r="I534" s="21" t="s">
        <v>845</v>
      </c>
    </row>
    <row r="535" customFormat="false" ht="15" hidden="false" customHeight="false" outlineLevel="0" collapsed="false">
      <c r="B535" s="19" t="s">
        <v>7247</v>
      </c>
      <c r="C535" s="20" t="n">
        <f aca="false">ROUND(4.68/FX,2)</f>
        <v>0.65</v>
      </c>
      <c r="D535" s="21" t="s">
        <v>707</v>
      </c>
      <c r="E535" s="21" t="s">
        <v>734</v>
      </c>
      <c r="F535" s="21" t="s">
        <v>6712</v>
      </c>
      <c r="G535" s="21" t="s">
        <v>6699</v>
      </c>
      <c r="H535" s="21" t="s">
        <v>3317</v>
      </c>
      <c r="I535" s="21" t="s">
        <v>847</v>
      </c>
    </row>
    <row r="536" customFormat="false" ht="15" hidden="false" customHeight="false" outlineLevel="0" collapsed="false">
      <c r="B536" s="19" t="s">
        <v>7248</v>
      </c>
      <c r="C536" s="20" t="n">
        <f aca="false">ROUND(5.2/FX,2)</f>
        <v>0.72</v>
      </c>
      <c r="D536" s="21" t="s">
        <v>707</v>
      </c>
      <c r="E536" s="21" t="s">
        <v>734</v>
      </c>
      <c r="F536" s="21" t="s">
        <v>6698</v>
      </c>
      <c r="G536" s="21" t="s">
        <v>6699</v>
      </c>
      <c r="H536" s="21" t="s">
        <v>6768</v>
      </c>
      <c r="I536" s="21" t="s">
        <v>847</v>
      </c>
    </row>
    <row r="537" customFormat="false" ht="15" hidden="false" customHeight="false" outlineLevel="0" collapsed="false">
      <c r="B537" s="19" t="s">
        <v>7249</v>
      </c>
      <c r="C537" s="20" t="n">
        <f aca="false">ROUND(6.24/FX,2)</f>
        <v>0.87</v>
      </c>
      <c r="D537" s="21" t="s">
        <v>714</v>
      </c>
      <c r="E537" s="21" t="s">
        <v>734</v>
      </c>
      <c r="F537" s="21" t="s">
        <v>6698</v>
      </c>
      <c r="G537" s="21" t="s">
        <v>6699</v>
      </c>
      <c r="H537" s="21" t="s">
        <v>784</v>
      </c>
      <c r="I537" s="21" t="s">
        <v>707</v>
      </c>
    </row>
    <row r="538" customFormat="false" ht="15" hidden="false" customHeight="false" outlineLevel="0" collapsed="false">
      <c r="B538" s="19" t="s">
        <v>7250</v>
      </c>
      <c r="C538" s="20" t="n">
        <f aca="false">ROUND(5.98/FX,2)</f>
        <v>0.83</v>
      </c>
      <c r="D538" s="21" t="s">
        <v>714</v>
      </c>
      <c r="E538" s="21" t="s">
        <v>734</v>
      </c>
      <c r="F538" s="21" t="s">
        <v>6698</v>
      </c>
      <c r="G538" s="21" t="s">
        <v>6699</v>
      </c>
      <c r="H538" s="21" t="s">
        <v>784</v>
      </c>
      <c r="I538" s="21" t="s">
        <v>761</v>
      </c>
    </row>
    <row r="539" customFormat="false" ht="15" hidden="false" customHeight="false" outlineLevel="0" collapsed="false">
      <c r="B539" s="19" t="s">
        <v>7251</v>
      </c>
      <c r="C539" s="20" t="n">
        <f aca="false">ROUND(5.85/FX,2)</f>
        <v>0.81</v>
      </c>
      <c r="D539" s="21" t="s">
        <v>707</v>
      </c>
      <c r="E539" s="21" t="s">
        <v>734</v>
      </c>
      <c r="F539" s="21" t="s">
        <v>6698</v>
      </c>
      <c r="G539" s="21" t="s">
        <v>6699</v>
      </c>
      <c r="H539" s="21" t="s">
        <v>784</v>
      </c>
      <c r="I539" s="21" t="s">
        <v>4721</v>
      </c>
    </row>
    <row r="540" customFormat="false" ht="15" hidden="false" customHeight="false" outlineLevel="0" collapsed="false">
      <c r="B540" s="19" t="s">
        <v>7252</v>
      </c>
      <c r="C540" s="20" t="n">
        <f aca="false">ROUND(5.85/FX,2)</f>
        <v>0.81</v>
      </c>
      <c r="D540" s="21" t="s">
        <v>714</v>
      </c>
      <c r="E540" s="21" t="s">
        <v>734</v>
      </c>
      <c r="F540" s="21" t="s">
        <v>6698</v>
      </c>
      <c r="G540" s="21" t="s">
        <v>6699</v>
      </c>
      <c r="H540" s="21" t="s">
        <v>784</v>
      </c>
      <c r="I540" s="21" t="s">
        <v>4721</v>
      </c>
    </row>
    <row r="541" customFormat="false" ht="15" hidden="false" customHeight="false" outlineLevel="0" collapsed="false">
      <c r="B541" s="19" t="s">
        <v>7253</v>
      </c>
      <c r="C541" s="20" t="n">
        <f aca="false">ROUND(6.24/FX,2)</f>
        <v>0.87</v>
      </c>
      <c r="D541" s="21" t="s">
        <v>707</v>
      </c>
      <c r="E541" s="21" t="s">
        <v>734</v>
      </c>
      <c r="F541" s="21" t="s">
        <v>6698</v>
      </c>
      <c r="G541" s="21" t="s">
        <v>6699</v>
      </c>
      <c r="H541" s="21" t="s">
        <v>784</v>
      </c>
      <c r="I541" s="21" t="s">
        <v>845</v>
      </c>
    </row>
    <row r="542" customFormat="false" ht="15" hidden="false" customHeight="false" outlineLevel="0" collapsed="false">
      <c r="B542" s="19" t="s">
        <v>7254</v>
      </c>
      <c r="C542" s="20" t="n">
        <f aca="false">ROUND(6.24/FX,2)</f>
        <v>0.87</v>
      </c>
      <c r="D542" s="21" t="s">
        <v>707</v>
      </c>
      <c r="E542" s="21" t="s">
        <v>734</v>
      </c>
      <c r="F542" s="21" t="s">
        <v>6698</v>
      </c>
      <c r="G542" s="21" t="s">
        <v>6699</v>
      </c>
      <c r="H542" s="21" t="s">
        <v>784</v>
      </c>
      <c r="I542" s="21" t="s">
        <v>847</v>
      </c>
    </row>
    <row r="543" customFormat="false" ht="15" hidden="false" customHeight="false" outlineLevel="0" collapsed="false">
      <c r="B543" s="19" t="s">
        <v>7255</v>
      </c>
      <c r="C543" s="20" t="n">
        <f aca="false">ROUND(5.85/FX,2)</f>
        <v>0.81</v>
      </c>
      <c r="D543" s="21" t="s">
        <v>714</v>
      </c>
      <c r="E543" s="21" t="s">
        <v>734</v>
      </c>
      <c r="F543" s="21" t="s">
        <v>6698</v>
      </c>
      <c r="G543" s="21" t="s">
        <v>6699</v>
      </c>
      <c r="H543" s="21" t="s">
        <v>784</v>
      </c>
      <c r="I543" s="21" t="s">
        <v>847</v>
      </c>
    </row>
    <row r="544" customFormat="false" ht="15" hidden="false" customHeight="false" outlineLevel="0" collapsed="false">
      <c r="B544" s="19" t="s">
        <v>7256</v>
      </c>
      <c r="C544" s="20" t="n">
        <f aca="false">ROUND(5.98/FX,2)</f>
        <v>0.83</v>
      </c>
      <c r="D544" s="21" t="s">
        <v>716</v>
      </c>
      <c r="E544" s="21" t="s">
        <v>734</v>
      </c>
      <c r="F544" s="21" t="s">
        <v>6698</v>
      </c>
      <c r="G544" s="21" t="s">
        <v>6699</v>
      </c>
      <c r="H544" s="21" t="s">
        <v>784</v>
      </c>
      <c r="I544" s="21" t="s">
        <v>847</v>
      </c>
    </row>
    <row r="545" customFormat="false" ht="15" hidden="false" customHeight="false" outlineLevel="0" collapsed="false">
      <c r="B545" s="19" t="s">
        <v>7257</v>
      </c>
      <c r="C545" s="20" t="n">
        <f aca="false">ROUND(4.55/FX,2)</f>
        <v>0.63</v>
      </c>
      <c r="D545" s="21" t="s">
        <v>707</v>
      </c>
      <c r="E545" s="21" t="s">
        <v>734</v>
      </c>
      <c r="F545" s="21" t="s">
        <v>6712</v>
      </c>
      <c r="G545" s="21" t="s">
        <v>6699</v>
      </c>
      <c r="H545" s="21" t="s">
        <v>6244</v>
      </c>
      <c r="I545" s="21" t="s">
        <v>707</v>
      </c>
    </row>
    <row r="546" customFormat="false" ht="15" hidden="false" customHeight="false" outlineLevel="0" collapsed="false">
      <c r="B546" s="19" t="s">
        <v>7258</v>
      </c>
      <c r="C546" s="20" t="n">
        <f aca="false">ROUND(4.55/FX,2)</f>
        <v>0.63</v>
      </c>
      <c r="D546" s="21" t="s">
        <v>707</v>
      </c>
      <c r="E546" s="21" t="s">
        <v>734</v>
      </c>
      <c r="F546" s="21" t="s">
        <v>6712</v>
      </c>
      <c r="G546" s="21" t="s">
        <v>6699</v>
      </c>
      <c r="H546" s="21" t="s">
        <v>6244</v>
      </c>
      <c r="I546" s="21" t="s">
        <v>761</v>
      </c>
    </row>
    <row r="547" customFormat="false" ht="15" hidden="false" customHeight="false" outlineLevel="0" collapsed="false">
      <c r="B547" s="19" t="s">
        <v>7259</v>
      </c>
      <c r="C547" s="20" t="n">
        <f aca="false">ROUND(6.24/FX,2)</f>
        <v>0.87</v>
      </c>
      <c r="D547" s="21" t="s">
        <v>707</v>
      </c>
      <c r="E547" s="21" t="s">
        <v>734</v>
      </c>
      <c r="F547" s="21" t="s">
        <v>6712</v>
      </c>
      <c r="G547" s="21" t="s">
        <v>6699</v>
      </c>
      <c r="H547" s="21" t="s">
        <v>6244</v>
      </c>
      <c r="I547" s="21" t="s">
        <v>847</v>
      </c>
    </row>
    <row r="548" customFormat="false" ht="15" hidden="false" customHeight="false" outlineLevel="0" collapsed="false">
      <c r="B548" s="19" t="s">
        <v>7260</v>
      </c>
      <c r="C548" s="20" t="n">
        <f aca="false">ROUND(4.55/FX,2)</f>
        <v>0.63</v>
      </c>
      <c r="D548" s="21" t="s">
        <v>719</v>
      </c>
      <c r="E548" s="21" t="s">
        <v>734</v>
      </c>
      <c r="F548" s="21" t="s">
        <v>6712</v>
      </c>
      <c r="G548" s="21" t="s">
        <v>6699</v>
      </c>
      <c r="H548" s="21" t="s">
        <v>6244</v>
      </c>
      <c r="I548" s="21" t="s">
        <v>847</v>
      </c>
    </row>
    <row r="549" customFormat="false" ht="15" hidden="false" customHeight="false" outlineLevel="0" collapsed="false">
      <c r="B549" s="19" t="s">
        <v>7261</v>
      </c>
      <c r="C549" s="20" t="n">
        <f aca="false">ROUND(7.02/FX,2)</f>
        <v>0.98</v>
      </c>
      <c r="D549" s="21" t="s">
        <v>707</v>
      </c>
      <c r="E549" s="21" t="s">
        <v>7262</v>
      </c>
      <c r="F549" s="21" t="s">
        <v>6698</v>
      </c>
      <c r="G549" s="21" t="s">
        <v>6699</v>
      </c>
      <c r="H549" s="21" t="s">
        <v>6730</v>
      </c>
      <c r="I549" s="21" t="s">
        <v>707</v>
      </c>
    </row>
    <row r="550" customFormat="false" ht="15" hidden="false" customHeight="false" outlineLevel="0" collapsed="false">
      <c r="B550" s="19" t="s">
        <v>7263</v>
      </c>
      <c r="C550" s="20" t="n">
        <f aca="false">ROUND(6.5/FX,2)</f>
        <v>0.9</v>
      </c>
      <c r="D550" s="21" t="s">
        <v>714</v>
      </c>
      <c r="E550" s="21" t="s">
        <v>734</v>
      </c>
      <c r="F550" s="21" t="s">
        <v>6712</v>
      </c>
      <c r="G550" s="21" t="s">
        <v>6699</v>
      </c>
      <c r="H550" s="21" t="s">
        <v>6730</v>
      </c>
      <c r="I550" s="21" t="s">
        <v>707</v>
      </c>
    </row>
    <row r="551" customFormat="false" ht="15" hidden="false" customHeight="false" outlineLevel="0" collapsed="false">
      <c r="B551" s="19" t="s">
        <v>7264</v>
      </c>
      <c r="C551" s="20" t="n">
        <f aca="false">ROUND(7.8/FX,2)</f>
        <v>1.08</v>
      </c>
      <c r="D551" s="21" t="s">
        <v>3833</v>
      </c>
      <c r="E551" s="21" t="s">
        <v>734</v>
      </c>
      <c r="F551" s="21" t="s">
        <v>6712</v>
      </c>
      <c r="G551" s="21" t="s">
        <v>6699</v>
      </c>
      <c r="H551" s="21" t="s">
        <v>6730</v>
      </c>
      <c r="I551" s="21" t="s">
        <v>707</v>
      </c>
    </row>
    <row r="552" customFormat="false" ht="15" hidden="false" customHeight="false" outlineLevel="0" collapsed="false">
      <c r="B552" s="19" t="s">
        <v>7265</v>
      </c>
      <c r="C552" s="20" t="n">
        <f aca="false">ROUND(6.5/FX,2)</f>
        <v>0.9</v>
      </c>
      <c r="D552" s="21" t="s">
        <v>707</v>
      </c>
      <c r="E552" s="21" t="s">
        <v>734</v>
      </c>
      <c r="F552" s="21" t="s">
        <v>6698</v>
      </c>
      <c r="G552" s="21" t="s">
        <v>6699</v>
      </c>
      <c r="H552" s="21" t="s">
        <v>6730</v>
      </c>
      <c r="I552" s="21" t="s">
        <v>761</v>
      </c>
    </row>
    <row r="553" customFormat="false" ht="15" hidden="false" customHeight="false" outlineLevel="0" collapsed="false">
      <c r="B553" s="19" t="s">
        <v>7266</v>
      </c>
      <c r="C553" s="20" t="n">
        <f aca="false">ROUND(6.5/FX,2)</f>
        <v>0.9</v>
      </c>
      <c r="D553" s="21" t="s">
        <v>3833</v>
      </c>
      <c r="E553" s="21" t="s">
        <v>734</v>
      </c>
      <c r="F553" s="21" t="s">
        <v>6712</v>
      </c>
      <c r="G553" s="21" t="s">
        <v>6699</v>
      </c>
      <c r="H553" s="21" t="s">
        <v>6730</v>
      </c>
      <c r="I553" s="21" t="s">
        <v>761</v>
      </c>
    </row>
    <row r="554" customFormat="false" ht="15" hidden="false" customHeight="false" outlineLevel="0" collapsed="false">
      <c r="B554" s="19" t="s">
        <v>7267</v>
      </c>
      <c r="C554" s="20" t="n">
        <f aca="false">ROUND(6.5/FX,2)</f>
        <v>0.9</v>
      </c>
      <c r="D554" s="21" t="s">
        <v>714</v>
      </c>
      <c r="E554" s="21" t="s">
        <v>734</v>
      </c>
      <c r="F554" s="21" t="s">
        <v>6698</v>
      </c>
      <c r="G554" s="21" t="s">
        <v>6699</v>
      </c>
      <c r="H554" s="21" t="s">
        <v>6730</v>
      </c>
      <c r="I554" s="21" t="s">
        <v>847</v>
      </c>
    </row>
    <row r="555" customFormat="false" ht="15" hidden="false" customHeight="false" outlineLevel="0" collapsed="false">
      <c r="B555" s="19" t="s">
        <v>7268</v>
      </c>
      <c r="C555" s="20" t="n">
        <f aca="false">ROUND(10.4/FX,2)</f>
        <v>1.44</v>
      </c>
      <c r="D555" s="21" t="s">
        <v>714</v>
      </c>
      <c r="E555" s="21" t="s">
        <v>734</v>
      </c>
      <c r="F555" s="21" t="s">
        <v>6712</v>
      </c>
      <c r="G555" s="21" t="s">
        <v>6699</v>
      </c>
      <c r="H555" s="21" t="s">
        <v>6246</v>
      </c>
      <c r="I555" s="21" t="s">
        <v>761</v>
      </c>
    </row>
    <row r="556" customFormat="false" ht="15" hidden="false" customHeight="false" outlineLevel="0" collapsed="false">
      <c r="B556" s="19" t="s">
        <v>7269</v>
      </c>
      <c r="C556" s="20" t="n">
        <f aca="false">ROUND(10.4/FX,2)</f>
        <v>1.44</v>
      </c>
      <c r="D556" s="21" t="s">
        <v>3833</v>
      </c>
      <c r="E556" s="21" t="s">
        <v>734</v>
      </c>
      <c r="F556" s="21" t="s">
        <v>6712</v>
      </c>
      <c r="G556" s="21" t="s">
        <v>6699</v>
      </c>
      <c r="H556" s="21" t="s">
        <v>6246</v>
      </c>
      <c r="I556" s="21" t="s">
        <v>761</v>
      </c>
    </row>
    <row r="557" customFormat="false" ht="15" hidden="false" customHeight="false" outlineLevel="0" collapsed="false">
      <c r="B557" s="19" t="s">
        <v>7270</v>
      </c>
      <c r="C557" s="20" t="n">
        <f aca="false">ROUND(7.8/FX,2)</f>
        <v>1.08</v>
      </c>
      <c r="D557" s="21" t="s">
        <v>707</v>
      </c>
      <c r="E557" s="21" t="s">
        <v>734</v>
      </c>
      <c r="F557" s="21" t="s">
        <v>6712</v>
      </c>
      <c r="G557" s="21" t="s">
        <v>6699</v>
      </c>
      <c r="H557" s="21" t="s">
        <v>6246</v>
      </c>
      <c r="I557" s="21" t="s">
        <v>4721</v>
      </c>
    </row>
    <row r="558" customFormat="false" ht="15" hidden="false" customHeight="false" outlineLevel="0" collapsed="false">
      <c r="B558" s="19" t="s">
        <v>7271</v>
      </c>
      <c r="C558" s="20" t="n">
        <f aca="false">ROUND(7.8/FX,2)</f>
        <v>1.08</v>
      </c>
      <c r="D558" s="21" t="s">
        <v>707</v>
      </c>
      <c r="E558" s="21" t="s">
        <v>734</v>
      </c>
      <c r="F558" s="21" t="s">
        <v>6698</v>
      </c>
      <c r="G558" s="21" t="s">
        <v>6699</v>
      </c>
      <c r="H558" s="21" t="s">
        <v>6246</v>
      </c>
      <c r="I558" s="21" t="s">
        <v>847</v>
      </c>
    </row>
    <row r="559" customFormat="false" ht="15" hidden="false" customHeight="false" outlineLevel="0" collapsed="false">
      <c r="B559" s="19" t="s">
        <v>7272</v>
      </c>
      <c r="C559" s="20" t="n">
        <f aca="false">ROUND(9.75/FX,2)</f>
        <v>1.35</v>
      </c>
      <c r="D559" s="21" t="s">
        <v>707</v>
      </c>
      <c r="E559" s="21" t="s">
        <v>734</v>
      </c>
      <c r="F559" s="21" t="s">
        <v>6698</v>
      </c>
      <c r="G559" s="21" t="s">
        <v>6699</v>
      </c>
      <c r="H559" s="21" t="s">
        <v>6742</v>
      </c>
      <c r="I559" s="21" t="s">
        <v>761</v>
      </c>
    </row>
    <row r="560" customFormat="false" ht="15" hidden="false" customHeight="false" outlineLevel="0" collapsed="false">
      <c r="B560" s="19" t="s">
        <v>7273</v>
      </c>
      <c r="C560" s="20" t="n">
        <f aca="false">ROUND(11.7/FX,2)</f>
        <v>1.63</v>
      </c>
      <c r="D560" s="21" t="s">
        <v>707</v>
      </c>
      <c r="E560" s="21" t="s">
        <v>734</v>
      </c>
      <c r="F560" s="21" t="s">
        <v>6698</v>
      </c>
      <c r="G560" s="21" t="s">
        <v>6699</v>
      </c>
      <c r="H560" s="21" t="s">
        <v>2931</v>
      </c>
      <c r="I560" s="21" t="s">
        <v>761</v>
      </c>
    </row>
    <row r="561" customFormat="false" ht="15" hidden="false" customHeight="false" outlineLevel="0" collapsed="false">
      <c r="B561" s="19" t="s">
        <v>7274</v>
      </c>
      <c r="C561" s="20" t="n">
        <f aca="false">ROUND(14.56/FX,2)</f>
        <v>2.02</v>
      </c>
      <c r="D561" s="21" t="s">
        <v>714</v>
      </c>
      <c r="E561" s="21" t="s">
        <v>734</v>
      </c>
      <c r="F561" s="21" t="s">
        <v>6712</v>
      </c>
      <c r="G561" s="21" t="s">
        <v>6699</v>
      </c>
      <c r="H561" s="21" t="s">
        <v>7275</v>
      </c>
      <c r="I561" s="21" t="s">
        <v>761</v>
      </c>
    </row>
    <row r="562" customFormat="false" ht="15" hidden="false" customHeight="false" outlineLevel="0" collapsed="false">
      <c r="B562" s="19" t="s">
        <v>7276</v>
      </c>
      <c r="C562" s="20" t="n">
        <f aca="false">ROUND(13/FX,2)</f>
        <v>1.81</v>
      </c>
      <c r="D562" s="21" t="s">
        <v>3833</v>
      </c>
      <c r="E562" s="21" t="s">
        <v>734</v>
      </c>
      <c r="F562" s="21" t="s">
        <v>6712</v>
      </c>
      <c r="G562" s="21" t="s">
        <v>6699</v>
      </c>
      <c r="H562" s="21" t="s">
        <v>7275</v>
      </c>
      <c r="I562" s="21" t="s">
        <v>761</v>
      </c>
    </row>
    <row r="563" customFormat="false" ht="15" hidden="false" customHeight="false" outlineLevel="0" collapsed="false">
      <c r="B563" s="19" t="s">
        <v>7277</v>
      </c>
      <c r="C563" s="20" t="n">
        <f aca="false">ROUND(11.7/FX,2)</f>
        <v>1.63</v>
      </c>
      <c r="D563" s="21" t="s">
        <v>714</v>
      </c>
      <c r="E563" s="21" t="s">
        <v>734</v>
      </c>
      <c r="F563" s="21" t="s">
        <v>6698</v>
      </c>
      <c r="G563" s="21" t="s">
        <v>6699</v>
      </c>
      <c r="H563" s="21" t="s">
        <v>7275</v>
      </c>
      <c r="I563" s="21" t="s">
        <v>6940</v>
      </c>
    </row>
    <row r="564" customFormat="false" ht="15" hidden="false" customHeight="false" outlineLevel="0" collapsed="false">
      <c r="B564" s="19" t="s">
        <v>7278</v>
      </c>
      <c r="C564" s="20" t="n">
        <f aca="false">ROUND(13/FX,2)</f>
        <v>1.81</v>
      </c>
      <c r="D564" s="21" t="s">
        <v>714</v>
      </c>
      <c r="E564" s="21" t="s">
        <v>734</v>
      </c>
      <c r="F564" s="21" t="s">
        <v>6712</v>
      </c>
      <c r="G564" s="21" t="s">
        <v>6699</v>
      </c>
      <c r="H564" s="21" t="s">
        <v>7275</v>
      </c>
      <c r="I564" s="21" t="s">
        <v>847</v>
      </c>
    </row>
    <row r="565" customFormat="false" ht="15" hidden="false" customHeight="false" outlineLevel="0" collapsed="false">
      <c r="B565" s="19" t="s">
        <v>7279</v>
      </c>
      <c r="C565" s="20" t="n">
        <f aca="false">ROUND(13/FX,2)</f>
        <v>1.81</v>
      </c>
      <c r="D565" s="21" t="s">
        <v>3833</v>
      </c>
      <c r="E565" s="21" t="s">
        <v>734</v>
      </c>
      <c r="F565" s="21" t="s">
        <v>6712</v>
      </c>
      <c r="G565" s="21" t="s">
        <v>6699</v>
      </c>
      <c r="H565" s="21" t="s">
        <v>7275</v>
      </c>
      <c r="I565" s="21" t="s">
        <v>847</v>
      </c>
    </row>
    <row r="566" customFormat="false" ht="15" hidden="false" customHeight="false" outlineLevel="0" collapsed="false">
      <c r="B566" s="19" t="s">
        <v>7280</v>
      </c>
      <c r="C566" s="20" t="n">
        <f aca="false">ROUND(78/FX,2)</f>
        <v>10.83</v>
      </c>
      <c r="D566" s="21" t="s">
        <v>707</v>
      </c>
      <c r="E566" s="21" t="s">
        <v>734</v>
      </c>
      <c r="F566" s="21" t="s">
        <v>6712</v>
      </c>
      <c r="G566" s="21" t="s">
        <v>6758</v>
      </c>
      <c r="H566" s="21" t="s">
        <v>2701</v>
      </c>
      <c r="I566" s="21" t="s">
        <v>707</v>
      </c>
    </row>
    <row r="567" customFormat="false" ht="15" hidden="false" customHeight="false" outlineLevel="0" collapsed="false">
      <c r="B567" s="19" t="s">
        <v>7281</v>
      </c>
      <c r="C567" s="20" t="n">
        <f aca="false">ROUND(81.25/FX,2)</f>
        <v>11.28</v>
      </c>
      <c r="D567" s="21" t="s">
        <v>719</v>
      </c>
      <c r="E567" s="21" t="s">
        <v>734</v>
      </c>
      <c r="F567" s="21" t="s">
        <v>6698</v>
      </c>
      <c r="G567" s="21" t="s">
        <v>6758</v>
      </c>
      <c r="H567" s="21" t="s">
        <v>2701</v>
      </c>
      <c r="I567" s="21" t="s">
        <v>707</v>
      </c>
    </row>
    <row r="568" customFormat="false" ht="15" hidden="false" customHeight="false" outlineLevel="0" collapsed="false">
      <c r="B568" s="19" t="s">
        <v>7282</v>
      </c>
      <c r="C568" s="20" t="n">
        <f aca="false">ROUND(85.8/FX,2)</f>
        <v>11.92</v>
      </c>
      <c r="D568" s="21" t="s">
        <v>707</v>
      </c>
      <c r="E568" s="21" t="s">
        <v>734</v>
      </c>
      <c r="F568" s="21" t="s">
        <v>6698</v>
      </c>
      <c r="G568" s="21" t="s">
        <v>6758</v>
      </c>
      <c r="H568" s="21" t="s">
        <v>2701</v>
      </c>
      <c r="I568" s="21" t="s">
        <v>761</v>
      </c>
    </row>
    <row r="569" customFormat="false" ht="15" hidden="false" customHeight="false" outlineLevel="0" collapsed="false">
      <c r="B569" s="19" t="s">
        <v>7283</v>
      </c>
      <c r="C569" s="20" t="n">
        <f aca="false">ROUND(78/FX,2)</f>
        <v>10.83</v>
      </c>
      <c r="D569" s="21" t="s">
        <v>707</v>
      </c>
      <c r="E569" s="21" t="s">
        <v>734</v>
      </c>
      <c r="F569" s="21" t="s">
        <v>6712</v>
      </c>
      <c r="G569" s="21" t="s">
        <v>6758</v>
      </c>
      <c r="H569" s="21" t="s">
        <v>2701</v>
      </c>
      <c r="I569" s="21" t="s">
        <v>847</v>
      </c>
    </row>
    <row r="570" customFormat="false" ht="15" hidden="false" customHeight="false" outlineLevel="0" collapsed="false">
      <c r="B570" s="19" t="s">
        <v>7284</v>
      </c>
      <c r="C570" s="20" t="n">
        <f aca="false">ROUND(83.2/FX,2)</f>
        <v>11.56</v>
      </c>
      <c r="D570" s="21" t="s">
        <v>714</v>
      </c>
      <c r="E570" s="21" t="s">
        <v>734</v>
      </c>
      <c r="F570" s="21" t="s">
        <v>6698</v>
      </c>
      <c r="G570" s="21" t="s">
        <v>6758</v>
      </c>
      <c r="H570" s="21" t="s">
        <v>2701</v>
      </c>
      <c r="I570" s="21" t="s">
        <v>847</v>
      </c>
    </row>
    <row r="571" customFormat="false" ht="15" hidden="false" customHeight="false" outlineLevel="0" collapsed="false">
      <c r="B571" s="19" t="s">
        <v>7285</v>
      </c>
      <c r="C571" s="20" t="n">
        <f aca="false">ROUND(5.85/FX,2)</f>
        <v>0.81</v>
      </c>
      <c r="D571" s="21" t="s">
        <v>3317</v>
      </c>
      <c r="E571" s="21" t="s">
        <v>734</v>
      </c>
      <c r="F571" s="21" t="s">
        <v>6698</v>
      </c>
      <c r="G571" s="21" t="s">
        <v>6758</v>
      </c>
      <c r="H571" s="21" t="s">
        <v>3247</v>
      </c>
      <c r="I571" s="21" t="s">
        <v>707</v>
      </c>
    </row>
    <row r="572" customFormat="false" ht="15" hidden="false" customHeight="false" outlineLevel="0" collapsed="false">
      <c r="B572" s="19" t="s">
        <v>7286</v>
      </c>
      <c r="C572" s="20" t="n">
        <f aca="false">ROUND(3.9/FX,2)</f>
        <v>0.54</v>
      </c>
      <c r="D572" s="21" t="s">
        <v>707</v>
      </c>
      <c r="E572" s="21" t="s">
        <v>734</v>
      </c>
      <c r="F572" s="21" t="s">
        <v>6733</v>
      </c>
      <c r="G572" s="21" t="s">
        <v>6758</v>
      </c>
      <c r="H572" s="21" t="s">
        <v>3247</v>
      </c>
      <c r="I572" s="21" t="s">
        <v>789</v>
      </c>
    </row>
    <row r="573" customFormat="false" ht="15" hidden="false" customHeight="false" outlineLevel="0" collapsed="false">
      <c r="B573" s="19" t="s">
        <v>7287</v>
      </c>
      <c r="C573" s="20" t="n">
        <f aca="false">ROUND(3.77/FX,2)</f>
        <v>0.52</v>
      </c>
      <c r="D573" s="21" t="s">
        <v>714</v>
      </c>
      <c r="E573" s="21" t="s">
        <v>734</v>
      </c>
      <c r="F573" s="21" t="s">
        <v>6733</v>
      </c>
      <c r="G573" s="21" t="s">
        <v>6758</v>
      </c>
      <c r="H573" s="21" t="s">
        <v>3247</v>
      </c>
      <c r="I573" s="21" t="s">
        <v>789</v>
      </c>
    </row>
    <row r="574" customFormat="false" ht="15" hidden="false" customHeight="false" outlineLevel="0" collapsed="false">
      <c r="B574" s="19" t="s">
        <v>7288</v>
      </c>
      <c r="C574" s="20" t="n">
        <f aca="false">ROUND(3.9/FX,2)</f>
        <v>0.54</v>
      </c>
      <c r="D574" s="21" t="s">
        <v>707</v>
      </c>
      <c r="E574" s="21" t="s">
        <v>734</v>
      </c>
      <c r="F574" s="21" t="s">
        <v>6698</v>
      </c>
      <c r="G574" s="21" t="s">
        <v>6758</v>
      </c>
      <c r="H574" s="21" t="s">
        <v>3247</v>
      </c>
      <c r="I574" s="21" t="s">
        <v>716</v>
      </c>
    </row>
    <row r="575" customFormat="false" ht="15" hidden="false" customHeight="false" outlineLevel="0" collapsed="false">
      <c r="B575" s="19" t="s">
        <v>7289</v>
      </c>
      <c r="C575" s="20" t="n">
        <f aca="false">ROUND(3.9/FX,2)</f>
        <v>0.54</v>
      </c>
      <c r="D575" s="21" t="s">
        <v>714</v>
      </c>
      <c r="E575" s="21" t="s">
        <v>734</v>
      </c>
      <c r="F575" s="21" t="s">
        <v>6733</v>
      </c>
      <c r="G575" s="21" t="s">
        <v>6758</v>
      </c>
      <c r="H575" s="21" t="s">
        <v>3247</v>
      </c>
      <c r="I575" s="21" t="s">
        <v>716</v>
      </c>
    </row>
    <row r="576" customFormat="false" ht="15" hidden="false" customHeight="false" outlineLevel="0" collapsed="false">
      <c r="B576" s="19" t="s">
        <v>7290</v>
      </c>
      <c r="C576" s="20" t="n">
        <f aca="false">ROUND(3.77/FX,2)</f>
        <v>0.52</v>
      </c>
      <c r="D576" s="21" t="s">
        <v>719</v>
      </c>
      <c r="E576" s="21" t="s">
        <v>734</v>
      </c>
      <c r="F576" s="21" t="s">
        <v>6712</v>
      </c>
      <c r="G576" s="21" t="s">
        <v>6758</v>
      </c>
      <c r="H576" s="21" t="s">
        <v>3247</v>
      </c>
      <c r="I576" s="21" t="s">
        <v>716</v>
      </c>
    </row>
    <row r="577" customFormat="false" ht="15" hidden="false" customHeight="false" outlineLevel="0" collapsed="false">
      <c r="B577" s="19" t="s">
        <v>7291</v>
      </c>
      <c r="C577" s="20" t="n">
        <f aca="false">ROUND(3.9/FX,2)</f>
        <v>0.54</v>
      </c>
      <c r="D577" s="21" t="s">
        <v>707</v>
      </c>
      <c r="E577" s="21" t="s">
        <v>734</v>
      </c>
      <c r="F577" s="21" t="s">
        <v>6698</v>
      </c>
      <c r="G577" s="21" t="s">
        <v>6758</v>
      </c>
      <c r="H577" s="21" t="s">
        <v>3247</v>
      </c>
      <c r="I577" s="21" t="s">
        <v>6740</v>
      </c>
    </row>
    <row r="578" customFormat="false" ht="15" hidden="false" customHeight="false" outlineLevel="0" collapsed="false">
      <c r="B578" s="19" t="s">
        <v>7292</v>
      </c>
      <c r="C578" s="20" t="n">
        <f aca="false">ROUND(3.9/FX,2)</f>
        <v>0.54</v>
      </c>
      <c r="D578" s="21" t="s">
        <v>714</v>
      </c>
      <c r="E578" s="21" t="s">
        <v>734</v>
      </c>
      <c r="F578" s="21" t="s">
        <v>6733</v>
      </c>
      <c r="G578" s="21" t="s">
        <v>6758</v>
      </c>
      <c r="H578" s="21" t="s">
        <v>3247</v>
      </c>
      <c r="I578" s="21" t="s">
        <v>6740</v>
      </c>
    </row>
    <row r="579" customFormat="false" ht="15" hidden="false" customHeight="false" outlineLevel="0" collapsed="false">
      <c r="B579" s="19" t="s">
        <v>7293</v>
      </c>
      <c r="C579" s="20" t="n">
        <f aca="false">ROUND(3.9/FX,2)</f>
        <v>0.54</v>
      </c>
      <c r="D579" s="21" t="s">
        <v>707</v>
      </c>
      <c r="E579" s="21" t="s">
        <v>734</v>
      </c>
      <c r="F579" s="21" t="s">
        <v>6733</v>
      </c>
      <c r="G579" s="21" t="s">
        <v>6758</v>
      </c>
      <c r="H579" s="21" t="s">
        <v>3247</v>
      </c>
      <c r="I579" s="21" t="s">
        <v>847</v>
      </c>
    </row>
    <row r="580" customFormat="false" ht="15" hidden="false" customHeight="false" outlineLevel="0" collapsed="false">
      <c r="B580" s="19" t="s">
        <v>7294</v>
      </c>
      <c r="C580" s="20" t="n">
        <f aca="false">ROUND(5.2/FX,2)</f>
        <v>0.72</v>
      </c>
      <c r="D580" s="21" t="s">
        <v>707</v>
      </c>
      <c r="E580" s="21" t="s">
        <v>734</v>
      </c>
      <c r="F580" s="21" t="s">
        <v>7295</v>
      </c>
      <c r="G580" s="21" t="s">
        <v>6758</v>
      </c>
      <c r="H580" s="21" t="s">
        <v>3247</v>
      </c>
      <c r="I580" s="21" t="s">
        <v>847</v>
      </c>
    </row>
    <row r="581" customFormat="false" ht="15" hidden="false" customHeight="false" outlineLevel="0" collapsed="false">
      <c r="B581" s="19" t="s">
        <v>7296</v>
      </c>
      <c r="C581" s="20" t="n">
        <f aca="false">ROUND(3.77/FX,2)</f>
        <v>0.52</v>
      </c>
      <c r="D581" s="21" t="s">
        <v>714</v>
      </c>
      <c r="E581" s="21" t="s">
        <v>734</v>
      </c>
      <c r="F581" s="21" t="s">
        <v>6733</v>
      </c>
      <c r="G581" s="21" t="s">
        <v>6758</v>
      </c>
      <c r="H581" s="21" t="s">
        <v>3247</v>
      </c>
      <c r="I581" s="21" t="s">
        <v>847</v>
      </c>
    </row>
    <row r="582" customFormat="false" ht="15" hidden="false" customHeight="false" outlineLevel="0" collapsed="false">
      <c r="B582" s="19" t="s">
        <v>7297</v>
      </c>
      <c r="C582" s="20" t="n">
        <f aca="false">ROUND(5.85/FX,2)</f>
        <v>0.81</v>
      </c>
      <c r="D582" s="21" t="s">
        <v>3317</v>
      </c>
      <c r="E582" s="21" t="s">
        <v>734</v>
      </c>
      <c r="F582" s="21" t="s">
        <v>6698</v>
      </c>
      <c r="G582" s="21" t="s">
        <v>6758</v>
      </c>
      <c r="H582" s="21" t="s">
        <v>3247</v>
      </c>
      <c r="I582" s="21" t="s">
        <v>847</v>
      </c>
    </row>
    <row r="583" customFormat="false" ht="15" hidden="false" customHeight="false" outlineLevel="0" collapsed="false">
      <c r="B583" s="19" t="s">
        <v>7298</v>
      </c>
      <c r="C583" s="20" t="n">
        <f aca="false">ROUND(3.9/FX,2)</f>
        <v>0.54</v>
      </c>
      <c r="D583" s="21" t="s">
        <v>719</v>
      </c>
      <c r="E583" s="21" t="s">
        <v>734</v>
      </c>
      <c r="F583" s="21" t="s">
        <v>6733</v>
      </c>
      <c r="G583" s="21" t="s">
        <v>6758</v>
      </c>
      <c r="H583" s="21" t="s">
        <v>3247</v>
      </c>
      <c r="I583" s="21" t="s">
        <v>847</v>
      </c>
    </row>
    <row r="584" customFormat="false" ht="15" hidden="false" customHeight="false" outlineLevel="0" collapsed="false">
      <c r="B584" s="19" t="s">
        <v>7299</v>
      </c>
      <c r="C584" s="20" t="n">
        <f aca="false">ROUND(3.9/FX,2)</f>
        <v>0.54</v>
      </c>
      <c r="D584" s="21" t="s">
        <v>714</v>
      </c>
      <c r="E584" s="21" t="s">
        <v>734</v>
      </c>
      <c r="F584" s="21" t="s">
        <v>6698</v>
      </c>
      <c r="G584" s="21" t="s">
        <v>6758</v>
      </c>
      <c r="H584" s="21" t="s">
        <v>6723</v>
      </c>
      <c r="I584" s="21" t="s">
        <v>707</v>
      </c>
    </row>
    <row r="585" customFormat="false" ht="15" hidden="false" customHeight="false" outlineLevel="0" collapsed="false">
      <c r="B585" s="19" t="s">
        <v>7300</v>
      </c>
      <c r="C585" s="20" t="n">
        <f aca="false">ROUND(4.68/FX,2)</f>
        <v>0.65</v>
      </c>
      <c r="D585" s="21" t="s">
        <v>714</v>
      </c>
      <c r="E585" s="21" t="s">
        <v>734</v>
      </c>
      <c r="F585" s="21" t="s">
        <v>6698</v>
      </c>
      <c r="G585" s="21" t="s">
        <v>6758</v>
      </c>
      <c r="H585" s="21" t="s">
        <v>6723</v>
      </c>
      <c r="I585" s="21" t="s">
        <v>789</v>
      </c>
    </row>
    <row r="586" customFormat="false" ht="15" hidden="false" customHeight="false" outlineLevel="0" collapsed="false">
      <c r="B586" s="19" t="s">
        <v>7301</v>
      </c>
      <c r="C586" s="20" t="n">
        <f aca="false">ROUND(4.55/FX,2)</f>
        <v>0.63</v>
      </c>
      <c r="D586" s="21" t="s">
        <v>714</v>
      </c>
      <c r="E586" s="21" t="s">
        <v>734</v>
      </c>
      <c r="F586" s="21" t="s">
        <v>6698</v>
      </c>
      <c r="G586" s="21" t="s">
        <v>6758</v>
      </c>
      <c r="H586" s="21" t="s">
        <v>6723</v>
      </c>
      <c r="I586" s="21" t="s">
        <v>716</v>
      </c>
    </row>
    <row r="587" customFormat="false" ht="15" hidden="false" customHeight="false" outlineLevel="0" collapsed="false">
      <c r="B587" s="19" t="s">
        <v>7302</v>
      </c>
      <c r="C587" s="20" t="n">
        <f aca="false">ROUND(4.68/FX,2)</f>
        <v>0.65</v>
      </c>
      <c r="D587" s="21" t="s">
        <v>714</v>
      </c>
      <c r="E587" s="21" t="s">
        <v>734</v>
      </c>
      <c r="F587" s="21" t="s">
        <v>6698</v>
      </c>
      <c r="G587" s="21" t="s">
        <v>6758</v>
      </c>
      <c r="H587" s="21" t="s">
        <v>6723</v>
      </c>
      <c r="I587" s="21" t="s">
        <v>6740</v>
      </c>
    </row>
    <row r="588" customFormat="false" ht="15" hidden="false" customHeight="false" outlineLevel="0" collapsed="false">
      <c r="B588" s="19" t="s">
        <v>7303</v>
      </c>
      <c r="C588" s="20" t="n">
        <f aca="false">ROUND(4.42/FX,2)</f>
        <v>0.61</v>
      </c>
      <c r="D588" s="21" t="s">
        <v>707</v>
      </c>
      <c r="E588" s="21" t="s">
        <v>734</v>
      </c>
      <c r="F588" s="21" t="s">
        <v>6698</v>
      </c>
      <c r="G588" s="21" t="s">
        <v>6758</v>
      </c>
      <c r="H588" s="21" t="s">
        <v>6723</v>
      </c>
      <c r="I588" s="21" t="s">
        <v>847</v>
      </c>
    </row>
    <row r="589" customFormat="false" ht="15" hidden="false" customHeight="false" outlineLevel="0" collapsed="false">
      <c r="B589" s="19" t="s">
        <v>7304</v>
      </c>
      <c r="C589" s="20" t="n">
        <f aca="false">ROUND(4.68/FX,2)</f>
        <v>0.65</v>
      </c>
      <c r="D589" s="21" t="s">
        <v>714</v>
      </c>
      <c r="E589" s="21" t="s">
        <v>734</v>
      </c>
      <c r="F589" s="21" t="s">
        <v>6698</v>
      </c>
      <c r="G589" s="21" t="s">
        <v>6758</v>
      </c>
      <c r="H589" s="21" t="s">
        <v>6723</v>
      </c>
      <c r="I589" s="21" t="s">
        <v>847</v>
      </c>
    </row>
    <row r="590" customFormat="false" ht="15" hidden="false" customHeight="false" outlineLevel="0" collapsed="false">
      <c r="B590" s="19" t="s">
        <v>7305</v>
      </c>
      <c r="C590" s="20" t="n">
        <f aca="false">ROUND(3.9/FX,2)</f>
        <v>0.54</v>
      </c>
      <c r="D590" s="21" t="s">
        <v>707</v>
      </c>
      <c r="E590" s="21" t="s">
        <v>734</v>
      </c>
      <c r="F590" s="21" t="s">
        <v>6712</v>
      </c>
      <c r="G590" s="21" t="s">
        <v>6758</v>
      </c>
      <c r="H590" s="21" t="s">
        <v>3317</v>
      </c>
      <c r="I590" s="21" t="s">
        <v>845</v>
      </c>
    </row>
    <row r="591" customFormat="false" ht="15" hidden="false" customHeight="false" outlineLevel="0" collapsed="false">
      <c r="B591" s="19" t="s">
        <v>7306</v>
      </c>
      <c r="C591" s="20" t="n">
        <f aca="false">ROUND(4.55/FX,2)</f>
        <v>0.63</v>
      </c>
      <c r="D591" s="21" t="s">
        <v>707</v>
      </c>
      <c r="E591" s="21" t="s">
        <v>734</v>
      </c>
      <c r="F591" s="21" t="s">
        <v>6712</v>
      </c>
      <c r="G591" s="21" t="s">
        <v>6758</v>
      </c>
      <c r="H591" s="21" t="s">
        <v>7061</v>
      </c>
      <c r="I591" s="21" t="s">
        <v>761</v>
      </c>
    </row>
    <row r="592" customFormat="false" ht="15" hidden="false" customHeight="false" outlineLevel="0" collapsed="false">
      <c r="B592" s="19" t="s">
        <v>7307</v>
      </c>
      <c r="C592" s="20" t="n">
        <f aca="false">ROUND(5.33/FX,2)</f>
        <v>0.74</v>
      </c>
      <c r="D592" s="21" t="s">
        <v>707</v>
      </c>
      <c r="E592" s="21" t="s">
        <v>734</v>
      </c>
      <c r="F592" s="21" t="s">
        <v>6712</v>
      </c>
      <c r="G592" s="21" t="s">
        <v>6758</v>
      </c>
      <c r="H592" s="21" t="s">
        <v>7061</v>
      </c>
      <c r="I592" s="21" t="s">
        <v>847</v>
      </c>
    </row>
    <row r="593" customFormat="false" ht="15" hidden="false" customHeight="false" outlineLevel="0" collapsed="false">
      <c r="B593" s="19" t="s">
        <v>7308</v>
      </c>
      <c r="C593" s="20" t="n">
        <f aca="false">ROUND(5.2/FX,2)</f>
        <v>0.72</v>
      </c>
      <c r="D593" s="21" t="s">
        <v>707</v>
      </c>
      <c r="E593" s="21" t="s">
        <v>734</v>
      </c>
      <c r="F593" s="21" t="s">
        <v>6712</v>
      </c>
      <c r="G593" s="21" t="s">
        <v>6758</v>
      </c>
      <c r="H593" s="21" t="s">
        <v>6768</v>
      </c>
      <c r="I593" s="21" t="s">
        <v>707</v>
      </c>
    </row>
    <row r="594" customFormat="false" ht="15" hidden="false" customHeight="false" outlineLevel="0" collapsed="false">
      <c r="B594" s="19" t="s">
        <v>7309</v>
      </c>
      <c r="C594" s="20" t="n">
        <f aca="false">ROUND(4.55/FX,2)</f>
        <v>0.63</v>
      </c>
      <c r="D594" s="21" t="s">
        <v>714</v>
      </c>
      <c r="E594" s="21" t="s">
        <v>734</v>
      </c>
      <c r="F594" s="21" t="s">
        <v>6712</v>
      </c>
      <c r="G594" s="21" t="s">
        <v>6758</v>
      </c>
      <c r="H594" s="21" t="s">
        <v>6768</v>
      </c>
      <c r="I594" s="21" t="s">
        <v>707</v>
      </c>
    </row>
    <row r="595" customFormat="false" ht="15" hidden="false" customHeight="false" outlineLevel="0" collapsed="false">
      <c r="B595" s="19" t="s">
        <v>7310</v>
      </c>
      <c r="C595" s="20" t="n">
        <f aca="false">ROUND(5.2/FX,2)</f>
        <v>0.72</v>
      </c>
      <c r="D595" s="21" t="s">
        <v>707</v>
      </c>
      <c r="E595" s="21" t="s">
        <v>734</v>
      </c>
      <c r="F595" s="21" t="s">
        <v>6712</v>
      </c>
      <c r="G595" s="21" t="s">
        <v>6758</v>
      </c>
      <c r="H595" s="21" t="s">
        <v>6768</v>
      </c>
      <c r="I595" s="21" t="s">
        <v>761</v>
      </c>
    </row>
    <row r="596" customFormat="false" ht="15" hidden="false" customHeight="false" outlineLevel="0" collapsed="false">
      <c r="B596" s="19" t="s">
        <v>7311</v>
      </c>
      <c r="C596" s="20" t="n">
        <f aca="false">ROUND(5.33/FX,2)</f>
        <v>0.74</v>
      </c>
      <c r="D596" s="21" t="s">
        <v>714</v>
      </c>
      <c r="E596" s="21" t="s">
        <v>734</v>
      </c>
      <c r="F596" s="21" t="s">
        <v>6712</v>
      </c>
      <c r="G596" s="21" t="s">
        <v>6758</v>
      </c>
      <c r="H596" s="21" t="s">
        <v>6768</v>
      </c>
      <c r="I596" s="21" t="s">
        <v>761</v>
      </c>
    </row>
    <row r="597" customFormat="false" ht="15" hidden="false" customHeight="false" outlineLevel="0" collapsed="false">
      <c r="B597" s="19" t="s">
        <v>7312</v>
      </c>
      <c r="C597" s="20" t="n">
        <f aca="false">ROUND(5.33/FX,2)</f>
        <v>0.74</v>
      </c>
      <c r="D597" s="21" t="s">
        <v>707</v>
      </c>
      <c r="E597" s="21" t="s">
        <v>734</v>
      </c>
      <c r="F597" s="21" t="s">
        <v>6712</v>
      </c>
      <c r="G597" s="21" t="s">
        <v>6758</v>
      </c>
      <c r="H597" s="21" t="s">
        <v>6768</v>
      </c>
      <c r="I597" s="21" t="s">
        <v>6815</v>
      </c>
    </row>
    <row r="598" customFormat="false" ht="15" hidden="false" customHeight="false" outlineLevel="0" collapsed="false">
      <c r="B598" s="19" t="s">
        <v>7313</v>
      </c>
      <c r="C598" s="20" t="n">
        <f aca="false">ROUND(5.33/FX,2)</f>
        <v>0.74</v>
      </c>
      <c r="D598" s="21" t="s">
        <v>707</v>
      </c>
      <c r="E598" s="21" t="s">
        <v>734</v>
      </c>
      <c r="F598" s="21" t="s">
        <v>6712</v>
      </c>
      <c r="G598" s="21" t="s">
        <v>6758</v>
      </c>
      <c r="H598" s="21" t="s">
        <v>6768</v>
      </c>
      <c r="I598" s="21" t="s">
        <v>4721</v>
      </c>
    </row>
    <row r="599" customFormat="false" ht="15" hidden="false" customHeight="false" outlineLevel="0" collapsed="false">
      <c r="B599" s="19" t="s">
        <v>7314</v>
      </c>
      <c r="C599" s="20" t="n">
        <f aca="false">ROUND(5.33/FX,2)</f>
        <v>0.74</v>
      </c>
      <c r="D599" s="21" t="s">
        <v>714</v>
      </c>
      <c r="E599" s="21" t="s">
        <v>734</v>
      </c>
      <c r="F599" s="21" t="s">
        <v>6712</v>
      </c>
      <c r="G599" s="21" t="s">
        <v>6758</v>
      </c>
      <c r="H599" s="21" t="s">
        <v>6768</v>
      </c>
      <c r="I599" s="21" t="s">
        <v>4721</v>
      </c>
    </row>
    <row r="600" customFormat="false" ht="15" hidden="false" customHeight="false" outlineLevel="0" collapsed="false">
      <c r="B600" s="19" t="s">
        <v>7315</v>
      </c>
      <c r="C600" s="20" t="n">
        <f aca="false">ROUND(5.33/FX,2)</f>
        <v>0.74</v>
      </c>
      <c r="D600" s="21" t="s">
        <v>707</v>
      </c>
      <c r="E600" s="21" t="s">
        <v>734</v>
      </c>
      <c r="F600" s="21" t="s">
        <v>6712</v>
      </c>
      <c r="G600" s="21" t="s">
        <v>6758</v>
      </c>
      <c r="H600" s="21" t="s">
        <v>6768</v>
      </c>
      <c r="I600" s="21" t="s">
        <v>789</v>
      </c>
    </row>
    <row r="601" customFormat="false" ht="15" hidden="false" customHeight="false" outlineLevel="0" collapsed="false">
      <c r="B601" s="19" t="s">
        <v>7316</v>
      </c>
      <c r="C601" s="20" t="n">
        <f aca="false">ROUND(5.2/FX,2)</f>
        <v>0.72</v>
      </c>
      <c r="D601" s="21" t="s">
        <v>707</v>
      </c>
      <c r="E601" s="21" t="s">
        <v>734</v>
      </c>
      <c r="F601" s="21" t="s">
        <v>6712</v>
      </c>
      <c r="G601" s="21" t="s">
        <v>6758</v>
      </c>
      <c r="H601" s="21" t="s">
        <v>6768</v>
      </c>
      <c r="I601" s="21" t="s">
        <v>716</v>
      </c>
    </row>
    <row r="602" customFormat="false" ht="15" hidden="false" customHeight="false" outlineLevel="0" collapsed="false">
      <c r="B602" s="19" t="s">
        <v>7317</v>
      </c>
      <c r="C602" s="20" t="n">
        <f aca="false">ROUND(5.33/FX,2)</f>
        <v>0.74</v>
      </c>
      <c r="D602" s="21" t="s">
        <v>714</v>
      </c>
      <c r="E602" s="21" t="s">
        <v>734</v>
      </c>
      <c r="F602" s="21" t="s">
        <v>6712</v>
      </c>
      <c r="G602" s="21" t="s">
        <v>6758</v>
      </c>
      <c r="H602" s="21" t="s">
        <v>6768</v>
      </c>
      <c r="I602" s="21" t="s">
        <v>716</v>
      </c>
    </row>
    <row r="603" customFormat="false" ht="15" hidden="false" customHeight="false" outlineLevel="0" collapsed="false">
      <c r="B603" s="19" t="s">
        <v>7318</v>
      </c>
      <c r="C603" s="20" t="n">
        <f aca="false">ROUND(5.33/FX,2)</f>
        <v>0.74</v>
      </c>
      <c r="D603" s="21" t="s">
        <v>707</v>
      </c>
      <c r="E603" s="21" t="s">
        <v>734</v>
      </c>
      <c r="F603" s="21" t="s">
        <v>6712</v>
      </c>
      <c r="G603" s="21" t="s">
        <v>6758</v>
      </c>
      <c r="H603" s="21" t="s">
        <v>6768</v>
      </c>
      <c r="I603" s="21" t="s">
        <v>6740</v>
      </c>
    </row>
    <row r="604" customFormat="false" ht="15" hidden="false" customHeight="false" outlineLevel="0" collapsed="false">
      <c r="B604" s="19" t="s">
        <v>7319</v>
      </c>
      <c r="C604" s="20" t="n">
        <f aca="false">ROUND(5.33/FX,2)</f>
        <v>0.74</v>
      </c>
      <c r="D604" s="21" t="s">
        <v>714</v>
      </c>
      <c r="E604" s="21" t="s">
        <v>734</v>
      </c>
      <c r="F604" s="21" t="s">
        <v>6712</v>
      </c>
      <c r="G604" s="21" t="s">
        <v>6758</v>
      </c>
      <c r="H604" s="21" t="s">
        <v>6768</v>
      </c>
      <c r="I604" s="21" t="s">
        <v>6740</v>
      </c>
    </row>
    <row r="605" customFormat="false" ht="15" hidden="false" customHeight="false" outlineLevel="0" collapsed="false">
      <c r="B605" s="19" t="s">
        <v>7320</v>
      </c>
      <c r="C605" s="20" t="n">
        <f aca="false">ROUND(5.33/FX,2)</f>
        <v>0.74</v>
      </c>
      <c r="D605" s="21" t="s">
        <v>707</v>
      </c>
      <c r="E605" s="21" t="s">
        <v>734</v>
      </c>
      <c r="F605" s="21" t="s">
        <v>6698</v>
      </c>
      <c r="G605" s="21" t="s">
        <v>6758</v>
      </c>
      <c r="H605" s="21" t="s">
        <v>6768</v>
      </c>
      <c r="I605" s="21" t="s">
        <v>847</v>
      </c>
    </row>
    <row r="606" customFormat="false" ht="15" hidden="false" customHeight="false" outlineLevel="0" collapsed="false">
      <c r="B606" s="19" t="s">
        <v>7321</v>
      </c>
      <c r="C606" s="20" t="n">
        <f aca="false">ROUND(5.33/FX,2)</f>
        <v>0.74</v>
      </c>
      <c r="D606" s="21" t="s">
        <v>714</v>
      </c>
      <c r="E606" s="21" t="s">
        <v>734</v>
      </c>
      <c r="F606" s="21" t="s">
        <v>6712</v>
      </c>
      <c r="G606" s="21" t="s">
        <v>6758</v>
      </c>
      <c r="H606" s="21" t="s">
        <v>6768</v>
      </c>
      <c r="I606" s="21" t="s">
        <v>847</v>
      </c>
    </row>
    <row r="607" customFormat="false" ht="15" hidden="false" customHeight="false" outlineLevel="0" collapsed="false">
      <c r="B607" s="19" t="s">
        <v>7322</v>
      </c>
      <c r="C607" s="20" t="n">
        <f aca="false">ROUND(5.85/FX,2)</f>
        <v>0.81</v>
      </c>
      <c r="D607" s="21" t="s">
        <v>707</v>
      </c>
      <c r="E607" s="21" t="s">
        <v>734</v>
      </c>
      <c r="F607" s="21" t="s">
        <v>6733</v>
      </c>
      <c r="G607" s="21" t="s">
        <v>6758</v>
      </c>
      <c r="H607" s="21" t="s">
        <v>784</v>
      </c>
      <c r="I607" s="21" t="s">
        <v>707</v>
      </c>
    </row>
    <row r="608" customFormat="false" ht="15" hidden="false" customHeight="false" outlineLevel="0" collapsed="false">
      <c r="B608" s="19" t="s">
        <v>7323</v>
      </c>
      <c r="C608" s="20" t="n">
        <f aca="false">ROUND(6.24/FX,2)</f>
        <v>0.87</v>
      </c>
      <c r="D608" s="21" t="s">
        <v>714</v>
      </c>
      <c r="E608" s="21" t="s">
        <v>734</v>
      </c>
      <c r="F608" s="21" t="s">
        <v>6698</v>
      </c>
      <c r="G608" s="21" t="s">
        <v>6758</v>
      </c>
      <c r="H608" s="21" t="s">
        <v>784</v>
      </c>
      <c r="I608" s="21" t="s">
        <v>707</v>
      </c>
    </row>
    <row r="609" customFormat="false" ht="15" hidden="false" customHeight="false" outlineLevel="0" collapsed="false">
      <c r="B609" s="19" t="s">
        <v>7324</v>
      </c>
      <c r="C609" s="20" t="n">
        <f aca="false">ROUND(5.98/FX,2)</f>
        <v>0.83</v>
      </c>
      <c r="D609" s="21" t="s">
        <v>714</v>
      </c>
      <c r="E609" s="21" t="s">
        <v>734</v>
      </c>
      <c r="F609" s="21" t="s">
        <v>6733</v>
      </c>
      <c r="G609" s="21" t="s">
        <v>6758</v>
      </c>
      <c r="H609" s="21" t="s">
        <v>784</v>
      </c>
      <c r="I609" s="21" t="s">
        <v>761</v>
      </c>
    </row>
    <row r="610" customFormat="false" ht="15" hidden="false" customHeight="false" outlineLevel="0" collapsed="false">
      <c r="B610" s="19" t="s">
        <v>7325</v>
      </c>
      <c r="C610" s="20" t="n">
        <f aca="false">ROUND(5.85/FX,2)</f>
        <v>0.81</v>
      </c>
      <c r="D610" s="21" t="s">
        <v>714</v>
      </c>
      <c r="E610" s="21" t="s">
        <v>734</v>
      </c>
      <c r="F610" s="21" t="s">
        <v>6698</v>
      </c>
      <c r="G610" s="21" t="s">
        <v>6758</v>
      </c>
      <c r="H610" s="21" t="s">
        <v>784</v>
      </c>
      <c r="I610" s="21" t="s">
        <v>4721</v>
      </c>
    </row>
    <row r="611" customFormat="false" ht="15" hidden="false" customHeight="false" outlineLevel="0" collapsed="false">
      <c r="B611" s="19" t="s">
        <v>7326</v>
      </c>
      <c r="C611" s="20" t="n">
        <f aca="false">ROUND(6.24/FX,2)</f>
        <v>0.87</v>
      </c>
      <c r="D611" s="21" t="s">
        <v>707</v>
      </c>
      <c r="E611" s="21" t="s">
        <v>734</v>
      </c>
      <c r="F611" s="21" t="s">
        <v>6698</v>
      </c>
      <c r="G611" s="21" t="s">
        <v>6758</v>
      </c>
      <c r="H611" s="21" t="s">
        <v>784</v>
      </c>
      <c r="I611" s="21" t="s">
        <v>789</v>
      </c>
    </row>
    <row r="612" customFormat="false" ht="15" hidden="false" customHeight="false" outlineLevel="0" collapsed="false">
      <c r="B612" s="19" t="s">
        <v>7327</v>
      </c>
      <c r="C612" s="20" t="n">
        <f aca="false">ROUND(5.85/FX,2)</f>
        <v>0.81</v>
      </c>
      <c r="D612" s="21" t="s">
        <v>714</v>
      </c>
      <c r="E612" s="21" t="s">
        <v>734</v>
      </c>
      <c r="F612" s="21" t="s">
        <v>6733</v>
      </c>
      <c r="G612" s="21" t="s">
        <v>6758</v>
      </c>
      <c r="H612" s="21" t="s">
        <v>784</v>
      </c>
      <c r="I612" s="21" t="s">
        <v>789</v>
      </c>
    </row>
    <row r="613" customFormat="false" ht="15" hidden="false" customHeight="false" outlineLevel="0" collapsed="false">
      <c r="B613" s="19" t="s">
        <v>7328</v>
      </c>
      <c r="C613" s="20" t="n">
        <f aca="false">ROUND(5.85/FX,2)</f>
        <v>0.81</v>
      </c>
      <c r="D613" s="21" t="s">
        <v>714</v>
      </c>
      <c r="E613" s="21" t="s">
        <v>734</v>
      </c>
      <c r="F613" s="21" t="s">
        <v>6733</v>
      </c>
      <c r="G613" s="21" t="s">
        <v>6758</v>
      </c>
      <c r="H613" s="21" t="s">
        <v>784</v>
      </c>
      <c r="I613" s="21" t="s">
        <v>716</v>
      </c>
    </row>
    <row r="614" customFormat="false" ht="15" hidden="false" customHeight="false" outlineLevel="0" collapsed="false">
      <c r="B614" s="19" t="s">
        <v>7329</v>
      </c>
      <c r="C614" s="20" t="n">
        <f aca="false">ROUND(5.2/FX,2)</f>
        <v>0.72</v>
      </c>
      <c r="D614" s="21" t="s">
        <v>707</v>
      </c>
      <c r="E614" s="21" t="s">
        <v>734</v>
      </c>
      <c r="F614" s="21" t="s">
        <v>6733</v>
      </c>
      <c r="G614" s="21" t="s">
        <v>6758</v>
      </c>
      <c r="H614" s="21" t="s">
        <v>784</v>
      </c>
      <c r="I614" s="21" t="s">
        <v>6740</v>
      </c>
    </row>
    <row r="615" customFormat="false" ht="15" hidden="false" customHeight="false" outlineLevel="0" collapsed="false">
      <c r="B615" s="19" t="s">
        <v>7330</v>
      </c>
      <c r="C615" s="20" t="n">
        <f aca="false">ROUND(5.59/FX,2)</f>
        <v>0.78</v>
      </c>
      <c r="D615" s="21" t="s">
        <v>714</v>
      </c>
      <c r="E615" s="21" t="s">
        <v>734</v>
      </c>
      <c r="F615" s="21" t="s">
        <v>6733</v>
      </c>
      <c r="G615" s="21" t="s">
        <v>6758</v>
      </c>
      <c r="H615" s="21" t="s">
        <v>784</v>
      </c>
      <c r="I615" s="21" t="s">
        <v>6740</v>
      </c>
    </row>
    <row r="616" customFormat="false" ht="15" hidden="false" customHeight="false" outlineLevel="0" collapsed="false">
      <c r="B616" s="19" t="s">
        <v>7331</v>
      </c>
      <c r="C616" s="20" t="n">
        <f aca="false">ROUND(5.85/FX,2)</f>
        <v>0.81</v>
      </c>
      <c r="D616" s="21" t="s">
        <v>707</v>
      </c>
      <c r="E616" s="21" t="s">
        <v>734</v>
      </c>
      <c r="F616" s="21" t="s">
        <v>6733</v>
      </c>
      <c r="G616" s="21" t="s">
        <v>6758</v>
      </c>
      <c r="H616" s="21" t="s">
        <v>784</v>
      </c>
      <c r="I616" s="21" t="s">
        <v>847</v>
      </c>
    </row>
    <row r="617" customFormat="false" ht="15" hidden="false" customHeight="false" outlineLevel="0" collapsed="false">
      <c r="B617" s="19" t="s">
        <v>7332</v>
      </c>
      <c r="C617" s="20" t="n">
        <f aca="false">ROUND(5.98/FX,2)</f>
        <v>0.83</v>
      </c>
      <c r="D617" s="21" t="s">
        <v>714</v>
      </c>
      <c r="E617" s="21" t="s">
        <v>734</v>
      </c>
      <c r="F617" s="21" t="s">
        <v>6698</v>
      </c>
      <c r="G617" s="21" t="s">
        <v>6758</v>
      </c>
      <c r="H617" s="21" t="s">
        <v>784</v>
      </c>
      <c r="I617" s="21" t="s">
        <v>847</v>
      </c>
    </row>
    <row r="618" customFormat="false" ht="15" hidden="false" customHeight="false" outlineLevel="0" collapsed="false">
      <c r="B618" s="19" t="s">
        <v>7333</v>
      </c>
      <c r="C618" s="20" t="n">
        <f aca="false">ROUND(6.37/FX,2)</f>
        <v>0.88</v>
      </c>
      <c r="D618" s="21" t="s">
        <v>714</v>
      </c>
      <c r="E618" s="21" t="s">
        <v>734</v>
      </c>
      <c r="F618" s="21" t="s">
        <v>6698</v>
      </c>
      <c r="G618" s="21" t="s">
        <v>6758</v>
      </c>
      <c r="H618" s="21" t="s">
        <v>6244</v>
      </c>
      <c r="I618" s="21" t="s">
        <v>4721</v>
      </c>
    </row>
    <row r="619" customFormat="false" ht="15" hidden="false" customHeight="false" outlineLevel="0" collapsed="false">
      <c r="B619" s="19" t="s">
        <v>7334</v>
      </c>
      <c r="C619" s="20" t="n">
        <f aca="false">ROUND(8.11/FX,2)</f>
        <v>1.13</v>
      </c>
      <c r="D619" s="21" t="s">
        <v>719</v>
      </c>
      <c r="E619" s="21" t="s">
        <v>734</v>
      </c>
      <c r="F619" s="21" t="s">
        <v>6712</v>
      </c>
      <c r="G619" s="21" t="s">
        <v>6758</v>
      </c>
      <c r="H619" s="21" t="s">
        <v>6244</v>
      </c>
      <c r="I619" s="21" t="s">
        <v>6740</v>
      </c>
    </row>
    <row r="620" customFormat="false" ht="15" hidden="false" customHeight="false" outlineLevel="0" collapsed="false">
      <c r="B620" s="19" t="s">
        <v>7335</v>
      </c>
      <c r="C620" s="20" t="n">
        <f aca="false">ROUND(5.85/FX,2)</f>
        <v>0.81</v>
      </c>
      <c r="D620" s="21" t="s">
        <v>707</v>
      </c>
      <c r="E620" s="21" t="s">
        <v>734</v>
      </c>
      <c r="F620" s="21" t="s">
        <v>6698</v>
      </c>
      <c r="G620" s="21" t="s">
        <v>6758</v>
      </c>
      <c r="H620" s="21" t="s">
        <v>6244</v>
      </c>
      <c r="I620" s="21" t="s">
        <v>847</v>
      </c>
    </row>
    <row r="621" customFormat="false" ht="15" hidden="false" customHeight="false" outlineLevel="0" collapsed="false">
      <c r="B621" s="19" t="s">
        <v>7336</v>
      </c>
      <c r="C621" s="20" t="n">
        <f aca="false">ROUND(5.85/FX,2)</f>
        <v>0.81</v>
      </c>
      <c r="D621" s="21" t="s">
        <v>714</v>
      </c>
      <c r="E621" s="21" t="s">
        <v>734</v>
      </c>
      <c r="F621" s="21" t="s">
        <v>6698</v>
      </c>
      <c r="G621" s="21" t="s">
        <v>6758</v>
      </c>
      <c r="H621" s="21" t="s">
        <v>6244</v>
      </c>
      <c r="I621" s="21" t="s">
        <v>847</v>
      </c>
    </row>
    <row r="622" customFormat="false" ht="15" hidden="false" customHeight="false" outlineLevel="0" collapsed="false">
      <c r="B622" s="19" t="s">
        <v>7337</v>
      </c>
      <c r="C622" s="20" t="n">
        <f aca="false">ROUND(5.85/FX,2)</f>
        <v>0.81</v>
      </c>
      <c r="D622" s="21" t="s">
        <v>719</v>
      </c>
      <c r="E622" s="21" t="s">
        <v>734</v>
      </c>
      <c r="F622" s="21" t="s">
        <v>6712</v>
      </c>
      <c r="G622" s="21" t="s">
        <v>6758</v>
      </c>
      <c r="H622" s="21" t="s">
        <v>6244</v>
      </c>
      <c r="I622" s="21" t="s">
        <v>847</v>
      </c>
    </row>
    <row r="623" customFormat="false" ht="15" hidden="false" customHeight="false" outlineLevel="0" collapsed="false">
      <c r="B623" s="19" t="s">
        <v>7338</v>
      </c>
      <c r="C623" s="20" t="n">
        <f aca="false">ROUND(7.15/FX,2)</f>
        <v>0.99</v>
      </c>
      <c r="D623" s="21" t="s">
        <v>714</v>
      </c>
      <c r="E623" s="21" t="s">
        <v>734</v>
      </c>
      <c r="F623" s="21" t="s">
        <v>6712</v>
      </c>
      <c r="G623" s="21" t="s">
        <v>6758</v>
      </c>
      <c r="H623" s="21" t="s">
        <v>6730</v>
      </c>
      <c r="I623" s="21" t="s">
        <v>707</v>
      </c>
    </row>
    <row r="624" customFormat="false" ht="15" hidden="false" customHeight="false" outlineLevel="0" collapsed="false">
      <c r="B624" s="19" t="s">
        <v>7339</v>
      </c>
      <c r="C624" s="20" t="n">
        <f aca="false">ROUND(6.83/FX,2)</f>
        <v>0.95</v>
      </c>
      <c r="D624" s="21" t="s">
        <v>707</v>
      </c>
      <c r="E624" s="21" t="s">
        <v>734</v>
      </c>
      <c r="F624" s="21" t="s">
        <v>6698</v>
      </c>
      <c r="G624" s="21" t="s">
        <v>6758</v>
      </c>
      <c r="H624" s="21" t="s">
        <v>6730</v>
      </c>
      <c r="I624" s="21" t="s">
        <v>6740</v>
      </c>
    </row>
    <row r="625" customFormat="false" ht="15" hidden="false" customHeight="false" outlineLevel="0" collapsed="false">
      <c r="B625" s="19" t="s">
        <v>7340</v>
      </c>
      <c r="C625" s="20" t="n">
        <f aca="false">ROUND(7.8/FX,2)</f>
        <v>1.08</v>
      </c>
      <c r="D625" s="21" t="s">
        <v>714</v>
      </c>
      <c r="E625" s="21" t="s">
        <v>734</v>
      </c>
      <c r="F625" s="21" t="s">
        <v>6712</v>
      </c>
      <c r="G625" s="21" t="s">
        <v>6758</v>
      </c>
      <c r="H625" s="21" t="s">
        <v>6730</v>
      </c>
      <c r="I625" s="21" t="s">
        <v>847</v>
      </c>
    </row>
    <row r="626" customFormat="false" ht="15" hidden="false" customHeight="false" outlineLevel="0" collapsed="false">
      <c r="B626" s="19" t="s">
        <v>7341</v>
      </c>
      <c r="C626" s="20" t="n">
        <f aca="false">ROUND(8.19/FX,2)</f>
        <v>1.14</v>
      </c>
      <c r="D626" s="21" t="s">
        <v>707</v>
      </c>
      <c r="E626" s="21" t="s">
        <v>734</v>
      </c>
      <c r="F626" s="21" t="s">
        <v>6698</v>
      </c>
      <c r="G626" s="21" t="s">
        <v>6758</v>
      </c>
      <c r="H626" s="21" t="s">
        <v>6246</v>
      </c>
      <c r="I626" s="21" t="s">
        <v>707</v>
      </c>
    </row>
    <row r="627" customFormat="false" ht="15" hidden="false" customHeight="false" outlineLevel="0" collapsed="false">
      <c r="B627" s="19" t="s">
        <v>7342</v>
      </c>
      <c r="C627" s="20" t="n">
        <f aca="false">ROUND(8.45/FX,2)</f>
        <v>1.17</v>
      </c>
      <c r="D627" s="21" t="s">
        <v>714</v>
      </c>
      <c r="E627" s="21" t="s">
        <v>734</v>
      </c>
      <c r="F627" s="21" t="s">
        <v>6712</v>
      </c>
      <c r="G627" s="21" t="s">
        <v>6758</v>
      </c>
      <c r="H627" s="21" t="s">
        <v>6246</v>
      </c>
      <c r="I627" s="21" t="s">
        <v>707</v>
      </c>
    </row>
    <row r="628" customFormat="false" ht="15" hidden="false" customHeight="false" outlineLevel="0" collapsed="false">
      <c r="B628" s="19" t="s">
        <v>7343</v>
      </c>
      <c r="C628" s="20" t="n">
        <f aca="false">ROUND(7.8/FX,2)</f>
        <v>1.08</v>
      </c>
      <c r="D628" s="21" t="s">
        <v>707</v>
      </c>
      <c r="E628" s="21" t="s">
        <v>734</v>
      </c>
      <c r="F628" s="21" t="s">
        <v>6712</v>
      </c>
      <c r="G628" s="21" t="s">
        <v>6758</v>
      </c>
      <c r="H628" s="21" t="s">
        <v>6246</v>
      </c>
      <c r="I628" s="21" t="s">
        <v>761</v>
      </c>
    </row>
    <row r="629" customFormat="false" ht="15" hidden="false" customHeight="false" outlineLevel="0" collapsed="false">
      <c r="B629" s="19" t="s">
        <v>7344</v>
      </c>
      <c r="C629" s="20" t="n">
        <f aca="false">ROUND(8.45/FX,2)</f>
        <v>1.17</v>
      </c>
      <c r="D629" s="21" t="s">
        <v>714</v>
      </c>
      <c r="E629" s="21" t="s">
        <v>734</v>
      </c>
      <c r="F629" s="21" t="s">
        <v>6712</v>
      </c>
      <c r="G629" s="21" t="s">
        <v>6758</v>
      </c>
      <c r="H629" s="21" t="s">
        <v>6246</v>
      </c>
      <c r="I629" s="21" t="s">
        <v>761</v>
      </c>
    </row>
    <row r="630" customFormat="false" ht="15" hidden="false" customHeight="false" outlineLevel="0" collapsed="false">
      <c r="B630" s="19" t="s">
        <v>7345</v>
      </c>
      <c r="C630" s="20" t="n">
        <f aca="false">ROUND(9.1/FX,2)</f>
        <v>1.26</v>
      </c>
      <c r="D630" s="21" t="s">
        <v>707</v>
      </c>
      <c r="E630" s="21" t="s">
        <v>734</v>
      </c>
      <c r="F630" s="21" t="s">
        <v>6712</v>
      </c>
      <c r="G630" s="21" t="s">
        <v>6758</v>
      </c>
      <c r="H630" s="21" t="s">
        <v>6246</v>
      </c>
      <c r="I630" s="21" t="s">
        <v>6815</v>
      </c>
    </row>
    <row r="631" customFormat="false" ht="15" hidden="false" customHeight="false" outlineLevel="0" collapsed="false">
      <c r="B631" s="19" t="s">
        <v>7346</v>
      </c>
      <c r="C631" s="20" t="n">
        <f aca="false">ROUND(8.45/FX,2)</f>
        <v>1.17</v>
      </c>
      <c r="D631" s="21" t="s">
        <v>714</v>
      </c>
      <c r="E631" s="21" t="s">
        <v>734</v>
      </c>
      <c r="F631" s="21" t="s">
        <v>6712</v>
      </c>
      <c r="G631" s="21" t="s">
        <v>6758</v>
      </c>
      <c r="H631" s="21" t="s">
        <v>6246</v>
      </c>
      <c r="I631" s="21" t="s">
        <v>4721</v>
      </c>
    </row>
    <row r="632" customFormat="false" ht="15" hidden="false" customHeight="false" outlineLevel="0" collapsed="false">
      <c r="B632" s="19" t="s">
        <v>7347</v>
      </c>
      <c r="C632" s="20" t="n">
        <f aca="false">ROUND(8.45/FX,2)</f>
        <v>1.17</v>
      </c>
      <c r="D632" s="21" t="s">
        <v>714</v>
      </c>
      <c r="E632" s="21" t="s">
        <v>734</v>
      </c>
      <c r="F632" s="21" t="s">
        <v>6698</v>
      </c>
      <c r="G632" s="21" t="s">
        <v>6758</v>
      </c>
      <c r="H632" s="21" t="s">
        <v>6246</v>
      </c>
      <c r="I632" s="21" t="s">
        <v>3833</v>
      </c>
    </row>
    <row r="633" customFormat="false" ht="15" hidden="false" customHeight="false" outlineLevel="0" collapsed="false">
      <c r="B633" s="19" t="s">
        <v>7348</v>
      </c>
      <c r="C633" s="20" t="n">
        <f aca="false">ROUND(8.45/FX,2)</f>
        <v>1.17</v>
      </c>
      <c r="D633" s="21" t="s">
        <v>714</v>
      </c>
      <c r="E633" s="21" t="s">
        <v>7349</v>
      </c>
      <c r="F633" s="21" t="s">
        <v>6698</v>
      </c>
      <c r="G633" s="21" t="s">
        <v>6758</v>
      </c>
      <c r="H633" s="21" t="s">
        <v>6246</v>
      </c>
      <c r="I633" s="21" t="s">
        <v>5097</v>
      </c>
    </row>
    <row r="634" customFormat="false" ht="15" hidden="false" customHeight="false" outlineLevel="0" collapsed="false">
      <c r="B634" s="19" t="s">
        <v>7350</v>
      </c>
      <c r="C634" s="20" t="n">
        <f aca="false">ROUND(7.8/FX,2)</f>
        <v>1.08</v>
      </c>
      <c r="D634" s="21" t="s">
        <v>707</v>
      </c>
      <c r="E634" s="21" t="s">
        <v>734</v>
      </c>
      <c r="F634" s="21" t="s">
        <v>6698</v>
      </c>
      <c r="G634" s="21" t="s">
        <v>6758</v>
      </c>
      <c r="H634" s="21" t="s">
        <v>6246</v>
      </c>
      <c r="I634" s="21" t="s">
        <v>789</v>
      </c>
    </row>
    <row r="635" customFormat="false" ht="15" hidden="false" customHeight="false" outlineLevel="0" collapsed="false">
      <c r="B635" s="19" t="s">
        <v>7351</v>
      </c>
      <c r="C635" s="20" t="n">
        <f aca="false">ROUND(7.8/FX,2)</f>
        <v>1.08</v>
      </c>
      <c r="D635" s="21" t="s">
        <v>714</v>
      </c>
      <c r="E635" s="21" t="s">
        <v>734</v>
      </c>
      <c r="F635" s="21" t="s">
        <v>6712</v>
      </c>
      <c r="G635" s="21" t="s">
        <v>6758</v>
      </c>
      <c r="H635" s="21" t="s">
        <v>6246</v>
      </c>
      <c r="I635" s="21" t="s">
        <v>789</v>
      </c>
    </row>
    <row r="636" customFormat="false" ht="15" hidden="false" customHeight="false" outlineLevel="0" collapsed="false">
      <c r="B636" s="19" t="s">
        <v>7352</v>
      </c>
      <c r="C636" s="20" t="n">
        <f aca="false">ROUND(7.8/FX,2)</f>
        <v>1.08</v>
      </c>
      <c r="D636" s="21" t="s">
        <v>714</v>
      </c>
      <c r="E636" s="21" t="s">
        <v>734</v>
      </c>
      <c r="F636" s="21" t="s">
        <v>6712</v>
      </c>
      <c r="G636" s="21" t="s">
        <v>6758</v>
      </c>
      <c r="H636" s="21" t="s">
        <v>6246</v>
      </c>
      <c r="I636" s="21" t="s">
        <v>716</v>
      </c>
    </row>
    <row r="637" customFormat="false" ht="15" hidden="false" customHeight="false" outlineLevel="0" collapsed="false">
      <c r="B637" s="19" t="s">
        <v>7353</v>
      </c>
      <c r="C637" s="20" t="n">
        <f aca="false">ROUND(7.8/FX,2)</f>
        <v>1.08</v>
      </c>
      <c r="D637" s="21" t="s">
        <v>707</v>
      </c>
      <c r="E637" s="21" t="s">
        <v>734</v>
      </c>
      <c r="F637" s="21" t="s">
        <v>6712</v>
      </c>
      <c r="G637" s="21" t="s">
        <v>6758</v>
      </c>
      <c r="H637" s="21" t="s">
        <v>6246</v>
      </c>
      <c r="I637" s="21" t="s">
        <v>6740</v>
      </c>
    </row>
    <row r="638" customFormat="false" ht="15" hidden="false" customHeight="false" outlineLevel="0" collapsed="false">
      <c r="B638" s="19" t="s">
        <v>7354</v>
      </c>
      <c r="C638" s="20" t="n">
        <f aca="false">ROUND(8.45/FX,2)</f>
        <v>1.17</v>
      </c>
      <c r="D638" s="21" t="s">
        <v>714</v>
      </c>
      <c r="E638" s="21" t="s">
        <v>734</v>
      </c>
      <c r="F638" s="21" t="s">
        <v>6698</v>
      </c>
      <c r="G638" s="21" t="s">
        <v>6758</v>
      </c>
      <c r="H638" s="21" t="s">
        <v>6246</v>
      </c>
      <c r="I638" s="21" t="s">
        <v>6740</v>
      </c>
    </row>
    <row r="639" customFormat="false" ht="15" hidden="false" customHeight="false" outlineLevel="0" collapsed="false">
      <c r="B639" s="19" t="s">
        <v>7355</v>
      </c>
      <c r="C639" s="20" t="n">
        <f aca="false">ROUND(8.45/FX,2)</f>
        <v>1.17</v>
      </c>
      <c r="D639" s="21" t="s">
        <v>707</v>
      </c>
      <c r="E639" s="21" t="s">
        <v>734</v>
      </c>
      <c r="F639" s="21" t="s">
        <v>6712</v>
      </c>
      <c r="G639" s="21" t="s">
        <v>6758</v>
      </c>
      <c r="H639" s="21" t="s">
        <v>6246</v>
      </c>
      <c r="I639" s="21" t="s">
        <v>847</v>
      </c>
    </row>
    <row r="640" customFormat="false" ht="15" hidden="false" customHeight="false" outlineLevel="0" collapsed="false">
      <c r="B640" s="19" t="s">
        <v>7356</v>
      </c>
      <c r="C640" s="20" t="n">
        <f aca="false">ROUND(7.8/FX,2)</f>
        <v>1.08</v>
      </c>
      <c r="D640" s="21" t="s">
        <v>714</v>
      </c>
      <c r="E640" s="21" t="s">
        <v>734</v>
      </c>
      <c r="F640" s="21" t="s">
        <v>6698</v>
      </c>
      <c r="G640" s="21" t="s">
        <v>6758</v>
      </c>
      <c r="H640" s="21" t="s">
        <v>6246</v>
      </c>
      <c r="I640" s="21" t="s">
        <v>847</v>
      </c>
    </row>
    <row r="641" customFormat="false" ht="15" hidden="false" customHeight="false" outlineLevel="0" collapsed="false">
      <c r="B641" s="19" t="s">
        <v>7357</v>
      </c>
      <c r="C641" s="20" t="n">
        <f aca="false">ROUND(11.7/FX,2)</f>
        <v>1.63</v>
      </c>
      <c r="D641" s="21" t="s">
        <v>707</v>
      </c>
      <c r="E641" s="21" t="s">
        <v>734</v>
      </c>
      <c r="F641" s="21" t="s">
        <v>6712</v>
      </c>
      <c r="G641" s="21" t="s">
        <v>6758</v>
      </c>
      <c r="H641" s="21" t="s">
        <v>7358</v>
      </c>
      <c r="I641" s="21" t="s">
        <v>847</v>
      </c>
    </row>
    <row r="642" customFormat="false" ht="15" hidden="false" customHeight="false" outlineLevel="0" collapsed="false">
      <c r="B642" s="19" t="s">
        <v>7359</v>
      </c>
      <c r="C642" s="20" t="n">
        <f aca="false">ROUND(10.24/FX,2)</f>
        <v>1.42</v>
      </c>
      <c r="D642" s="21" t="s">
        <v>707</v>
      </c>
      <c r="E642" s="21" t="s">
        <v>734</v>
      </c>
      <c r="F642" s="21" t="s">
        <v>6698</v>
      </c>
      <c r="G642" s="21" t="s">
        <v>6758</v>
      </c>
      <c r="H642" s="21" t="s">
        <v>6742</v>
      </c>
      <c r="I642" s="21" t="s">
        <v>707</v>
      </c>
    </row>
    <row r="643" customFormat="false" ht="15" hidden="false" customHeight="false" outlineLevel="0" collapsed="false">
      <c r="B643" s="19" t="s">
        <v>7360</v>
      </c>
      <c r="C643" s="20" t="n">
        <f aca="false">ROUND(11.7/FX,2)</f>
        <v>1.63</v>
      </c>
      <c r="D643" s="21" t="s">
        <v>714</v>
      </c>
      <c r="E643" s="21" t="s">
        <v>734</v>
      </c>
      <c r="F643" s="21" t="s">
        <v>6733</v>
      </c>
      <c r="G643" s="21" t="s">
        <v>6758</v>
      </c>
      <c r="H643" s="21" t="s">
        <v>6742</v>
      </c>
      <c r="I643" s="21" t="s">
        <v>707</v>
      </c>
    </row>
    <row r="644" customFormat="false" ht="15" hidden="false" customHeight="false" outlineLevel="0" collapsed="false">
      <c r="B644" s="19" t="s">
        <v>7361</v>
      </c>
      <c r="C644" s="20" t="n">
        <f aca="false">ROUND(11.7/FX,2)</f>
        <v>1.63</v>
      </c>
      <c r="D644" s="21" t="s">
        <v>714</v>
      </c>
      <c r="E644" s="21" t="s">
        <v>734</v>
      </c>
      <c r="F644" s="21" t="s">
        <v>6733</v>
      </c>
      <c r="G644" s="21" t="s">
        <v>6758</v>
      </c>
      <c r="H644" s="21" t="s">
        <v>6742</v>
      </c>
      <c r="I644" s="21" t="s">
        <v>761</v>
      </c>
    </row>
    <row r="645" customFormat="false" ht="15" hidden="false" customHeight="false" outlineLevel="0" collapsed="false">
      <c r="B645" s="19" t="s">
        <v>7362</v>
      </c>
      <c r="C645" s="20" t="n">
        <f aca="false">ROUND(11.7/FX,2)</f>
        <v>1.63</v>
      </c>
      <c r="D645" s="21" t="s">
        <v>714</v>
      </c>
      <c r="E645" s="21" t="s">
        <v>734</v>
      </c>
      <c r="F645" s="21" t="s">
        <v>6733</v>
      </c>
      <c r="G645" s="21" t="s">
        <v>6758</v>
      </c>
      <c r="H645" s="21" t="s">
        <v>6742</v>
      </c>
      <c r="I645" s="21" t="s">
        <v>4721</v>
      </c>
    </row>
    <row r="646" customFormat="false" ht="15" hidden="false" customHeight="false" outlineLevel="0" collapsed="false">
      <c r="B646" s="19" t="s">
        <v>7363</v>
      </c>
      <c r="C646" s="20" t="n">
        <f aca="false">ROUND(13.65/FX,2)</f>
        <v>1.9</v>
      </c>
      <c r="D646" s="21" t="s">
        <v>714</v>
      </c>
      <c r="E646" s="21" t="s">
        <v>734</v>
      </c>
      <c r="F646" s="21" t="s">
        <v>6712</v>
      </c>
      <c r="G646" s="21" t="s">
        <v>6758</v>
      </c>
      <c r="H646" s="21" t="s">
        <v>6742</v>
      </c>
      <c r="I646" s="21" t="s">
        <v>789</v>
      </c>
    </row>
    <row r="647" customFormat="false" ht="15" hidden="false" customHeight="false" outlineLevel="0" collapsed="false">
      <c r="B647" s="19" t="s">
        <v>7364</v>
      </c>
      <c r="C647" s="20" t="n">
        <f aca="false">ROUND(11.7/FX,2)</f>
        <v>1.63</v>
      </c>
      <c r="D647" s="21" t="s">
        <v>714</v>
      </c>
      <c r="E647" s="21" t="s">
        <v>734</v>
      </c>
      <c r="F647" s="21" t="s">
        <v>6733</v>
      </c>
      <c r="G647" s="21" t="s">
        <v>6758</v>
      </c>
      <c r="H647" s="21" t="s">
        <v>6742</v>
      </c>
      <c r="I647" s="21" t="s">
        <v>716</v>
      </c>
    </row>
    <row r="648" customFormat="false" ht="15" hidden="false" customHeight="false" outlineLevel="0" collapsed="false">
      <c r="B648" s="19" t="s">
        <v>7365</v>
      </c>
      <c r="C648" s="20" t="n">
        <f aca="false">ROUND(11.7/FX,2)</f>
        <v>1.63</v>
      </c>
      <c r="D648" s="21" t="s">
        <v>714</v>
      </c>
      <c r="E648" s="21" t="s">
        <v>734</v>
      </c>
      <c r="F648" s="21" t="s">
        <v>6733</v>
      </c>
      <c r="G648" s="21" t="s">
        <v>6758</v>
      </c>
      <c r="H648" s="21" t="s">
        <v>6742</v>
      </c>
      <c r="I648" s="21" t="s">
        <v>6740</v>
      </c>
    </row>
    <row r="649" customFormat="false" ht="15" hidden="false" customHeight="false" outlineLevel="0" collapsed="false">
      <c r="B649" s="19" t="s">
        <v>7366</v>
      </c>
      <c r="C649" s="20" t="n">
        <f aca="false">ROUND(13/FX,2)</f>
        <v>1.81</v>
      </c>
      <c r="D649" s="21" t="s">
        <v>707</v>
      </c>
      <c r="E649" s="21" t="s">
        <v>734</v>
      </c>
      <c r="F649" s="21" t="s">
        <v>6698</v>
      </c>
      <c r="G649" s="21" t="s">
        <v>6758</v>
      </c>
      <c r="H649" s="21" t="s">
        <v>6742</v>
      </c>
      <c r="I649" s="21" t="s">
        <v>847</v>
      </c>
    </row>
    <row r="650" customFormat="false" ht="15" hidden="false" customHeight="false" outlineLevel="0" collapsed="false">
      <c r="B650" s="19" t="s">
        <v>7367</v>
      </c>
      <c r="C650" s="20" t="n">
        <f aca="false">ROUND(13.65/FX,2)</f>
        <v>1.9</v>
      </c>
      <c r="D650" s="21" t="s">
        <v>714</v>
      </c>
      <c r="E650" s="21" t="s">
        <v>734</v>
      </c>
      <c r="F650" s="21" t="s">
        <v>6733</v>
      </c>
      <c r="G650" s="21" t="s">
        <v>6758</v>
      </c>
      <c r="H650" s="21" t="s">
        <v>6742</v>
      </c>
      <c r="I650" s="21" t="s">
        <v>847</v>
      </c>
    </row>
    <row r="651" customFormat="false" ht="15" hidden="false" customHeight="false" outlineLevel="0" collapsed="false">
      <c r="B651" s="19" t="s">
        <v>7368</v>
      </c>
      <c r="C651" s="20" t="n">
        <f aca="false">ROUND(18.2/FX,2)</f>
        <v>2.53</v>
      </c>
      <c r="D651" s="21" t="s">
        <v>707</v>
      </c>
      <c r="E651" s="21" t="s">
        <v>734</v>
      </c>
      <c r="F651" s="21" t="s">
        <v>6712</v>
      </c>
      <c r="G651" s="21" t="s">
        <v>6758</v>
      </c>
      <c r="H651" s="21" t="s">
        <v>2931</v>
      </c>
      <c r="I651" s="21" t="s">
        <v>847</v>
      </c>
    </row>
    <row r="652" customFormat="false" ht="15" hidden="false" customHeight="false" outlineLevel="0" collapsed="false">
      <c r="B652" s="19" t="s">
        <v>7369</v>
      </c>
      <c r="C652" s="20" t="n">
        <f aca="false">ROUND(20.15/FX,2)</f>
        <v>2.8</v>
      </c>
      <c r="D652" s="21" t="s">
        <v>707</v>
      </c>
      <c r="E652" s="21" t="s">
        <v>734</v>
      </c>
      <c r="F652" s="21" t="s">
        <v>6712</v>
      </c>
      <c r="G652" s="21" t="s">
        <v>6758</v>
      </c>
      <c r="H652" s="21" t="s">
        <v>2961</v>
      </c>
      <c r="I652" s="21" t="s">
        <v>707</v>
      </c>
    </row>
    <row r="653" customFormat="false" ht="15" hidden="false" customHeight="false" outlineLevel="0" collapsed="false">
      <c r="B653" s="19" t="s">
        <v>7370</v>
      </c>
      <c r="C653" s="20" t="n">
        <f aca="false">ROUND(20.15/FX,2)</f>
        <v>2.8</v>
      </c>
      <c r="D653" s="21" t="s">
        <v>714</v>
      </c>
      <c r="E653" s="21" t="s">
        <v>734</v>
      </c>
      <c r="F653" s="21" t="s">
        <v>6712</v>
      </c>
      <c r="G653" s="21" t="s">
        <v>6758</v>
      </c>
      <c r="H653" s="21" t="s">
        <v>2961</v>
      </c>
      <c r="I653" s="21" t="s">
        <v>707</v>
      </c>
    </row>
    <row r="654" customFormat="false" ht="15" hidden="false" customHeight="false" outlineLevel="0" collapsed="false">
      <c r="B654" s="19" t="s">
        <v>7371</v>
      </c>
      <c r="C654" s="20" t="n">
        <f aca="false">ROUND(20.15/FX,2)</f>
        <v>2.8</v>
      </c>
      <c r="D654" s="21" t="s">
        <v>707</v>
      </c>
      <c r="E654" s="21" t="s">
        <v>734</v>
      </c>
      <c r="F654" s="21" t="s">
        <v>6712</v>
      </c>
      <c r="G654" s="21" t="s">
        <v>6758</v>
      </c>
      <c r="H654" s="21" t="s">
        <v>2961</v>
      </c>
      <c r="I654" s="21" t="s">
        <v>761</v>
      </c>
    </row>
    <row r="655" customFormat="false" ht="15" hidden="false" customHeight="false" outlineLevel="0" collapsed="false">
      <c r="B655" s="19" t="s">
        <v>7372</v>
      </c>
      <c r="C655" s="20" t="n">
        <f aca="false">ROUND(20.15/FX,2)</f>
        <v>2.8</v>
      </c>
      <c r="D655" s="21" t="s">
        <v>714</v>
      </c>
      <c r="E655" s="21" t="s">
        <v>734</v>
      </c>
      <c r="F655" s="21" t="s">
        <v>6712</v>
      </c>
      <c r="G655" s="21" t="s">
        <v>6758</v>
      </c>
      <c r="H655" s="21" t="s">
        <v>2961</v>
      </c>
      <c r="I655" s="21" t="s">
        <v>761</v>
      </c>
    </row>
    <row r="656" customFormat="false" ht="15" hidden="false" customHeight="false" outlineLevel="0" collapsed="false">
      <c r="B656" s="19" t="s">
        <v>7373</v>
      </c>
      <c r="C656" s="20" t="n">
        <f aca="false">ROUND(20.15/FX,2)</f>
        <v>2.8</v>
      </c>
      <c r="D656" s="21" t="s">
        <v>714</v>
      </c>
      <c r="E656" s="21" t="s">
        <v>734</v>
      </c>
      <c r="F656" s="21" t="s">
        <v>6698</v>
      </c>
      <c r="G656" s="21" t="s">
        <v>6758</v>
      </c>
      <c r="H656" s="21" t="s">
        <v>2961</v>
      </c>
      <c r="I656" s="21" t="s">
        <v>6815</v>
      </c>
    </row>
    <row r="657" customFormat="false" ht="15" hidden="false" customHeight="false" outlineLevel="0" collapsed="false">
      <c r="B657" s="19" t="s">
        <v>7374</v>
      </c>
      <c r="C657" s="20" t="n">
        <f aca="false">ROUND(20.15/FX,2)</f>
        <v>2.8</v>
      </c>
      <c r="D657" s="21" t="s">
        <v>714</v>
      </c>
      <c r="E657" s="21" t="s">
        <v>734</v>
      </c>
      <c r="F657" s="21" t="s">
        <v>6712</v>
      </c>
      <c r="G657" s="21" t="s">
        <v>6758</v>
      </c>
      <c r="H657" s="21" t="s">
        <v>2961</v>
      </c>
      <c r="I657" s="21" t="s">
        <v>4721</v>
      </c>
    </row>
    <row r="658" customFormat="false" ht="15" hidden="false" customHeight="false" outlineLevel="0" collapsed="false">
      <c r="B658" s="19" t="s">
        <v>7375</v>
      </c>
      <c r="C658" s="20" t="n">
        <f aca="false">ROUND(20.8/FX,2)</f>
        <v>2.89</v>
      </c>
      <c r="D658" s="21" t="s">
        <v>714</v>
      </c>
      <c r="E658" s="21" t="s">
        <v>7349</v>
      </c>
      <c r="F658" s="21" t="s">
        <v>6698</v>
      </c>
      <c r="G658" s="21" t="s">
        <v>6758</v>
      </c>
      <c r="H658" s="21" t="s">
        <v>2961</v>
      </c>
      <c r="I658" s="21" t="s">
        <v>5097</v>
      </c>
    </row>
    <row r="659" customFormat="false" ht="15" hidden="false" customHeight="false" outlineLevel="0" collapsed="false">
      <c r="B659" s="19" t="s">
        <v>7376</v>
      </c>
      <c r="C659" s="20" t="n">
        <f aca="false">ROUND(20.8/FX,2)</f>
        <v>2.89</v>
      </c>
      <c r="D659" s="21" t="s">
        <v>714</v>
      </c>
      <c r="E659" s="21" t="s">
        <v>7349</v>
      </c>
      <c r="F659" s="21" t="s">
        <v>6698</v>
      </c>
      <c r="G659" s="21" t="s">
        <v>6758</v>
      </c>
      <c r="H659" s="21" t="s">
        <v>2961</v>
      </c>
      <c r="I659" s="21" t="s">
        <v>6768</v>
      </c>
    </row>
    <row r="660" customFormat="false" ht="15" hidden="false" customHeight="false" outlineLevel="0" collapsed="false">
      <c r="B660" s="19" t="s">
        <v>7377</v>
      </c>
      <c r="C660" s="20" t="n">
        <f aca="false">ROUND(20.8/FX,2)</f>
        <v>2.89</v>
      </c>
      <c r="D660" s="21" t="s">
        <v>714</v>
      </c>
      <c r="E660" s="21" t="s">
        <v>734</v>
      </c>
      <c r="F660" s="21" t="s">
        <v>6712</v>
      </c>
      <c r="G660" s="21" t="s">
        <v>6758</v>
      </c>
      <c r="H660" s="21" t="s">
        <v>2961</v>
      </c>
      <c r="I660" s="21" t="s">
        <v>789</v>
      </c>
    </row>
    <row r="661" customFormat="false" ht="15" hidden="false" customHeight="false" outlineLevel="0" collapsed="false">
      <c r="B661" s="19" t="s">
        <v>7378</v>
      </c>
      <c r="C661" s="20" t="n">
        <f aca="false">ROUND(20.8/FX,2)</f>
        <v>2.89</v>
      </c>
      <c r="D661" s="21" t="s">
        <v>714</v>
      </c>
      <c r="E661" s="21" t="s">
        <v>734</v>
      </c>
      <c r="F661" s="21" t="s">
        <v>6712</v>
      </c>
      <c r="G661" s="21" t="s">
        <v>6758</v>
      </c>
      <c r="H661" s="21" t="s">
        <v>2961</v>
      </c>
      <c r="I661" s="21" t="s">
        <v>716</v>
      </c>
    </row>
    <row r="662" customFormat="false" ht="15" hidden="false" customHeight="false" outlineLevel="0" collapsed="false">
      <c r="B662" s="19" t="s">
        <v>7379</v>
      </c>
      <c r="C662" s="20" t="n">
        <f aca="false">ROUND(18.2/FX,2)</f>
        <v>2.53</v>
      </c>
      <c r="D662" s="21" t="s">
        <v>707</v>
      </c>
      <c r="E662" s="21" t="s">
        <v>734</v>
      </c>
      <c r="F662" s="21" t="s">
        <v>6712</v>
      </c>
      <c r="G662" s="21" t="s">
        <v>6758</v>
      </c>
      <c r="H662" s="21" t="s">
        <v>2961</v>
      </c>
      <c r="I662" s="21" t="s">
        <v>6740</v>
      </c>
    </row>
    <row r="663" customFormat="false" ht="15" hidden="false" customHeight="false" outlineLevel="0" collapsed="false">
      <c r="B663" s="19" t="s">
        <v>7380</v>
      </c>
      <c r="C663" s="20" t="n">
        <f aca="false">ROUND(23.4/FX,2)</f>
        <v>3.25</v>
      </c>
      <c r="D663" s="21" t="s">
        <v>714</v>
      </c>
      <c r="E663" s="21" t="s">
        <v>734</v>
      </c>
      <c r="F663" s="21" t="s">
        <v>6712</v>
      </c>
      <c r="G663" s="21" t="s">
        <v>6758</v>
      </c>
      <c r="H663" s="21" t="s">
        <v>2961</v>
      </c>
      <c r="I663" s="21" t="s">
        <v>6740</v>
      </c>
    </row>
    <row r="664" customFormat="false" ht="15" hidden="false" customHeight="false" outlineLevel="0" collapsed="false">
      <c r="B664" s="19" t="s">
        <v>7381</v>
      </c>
      <c r="C664" s="20" t="n">
        <f aca="false">ROUND(20.15/FX,2)</f>
        <v>2.8</v>
      </c>
      <c r="D664" s="21" t="s">
        <v>707</v>
      </c>
      <c r="E664" s="21" t="s">
        <v>734</v>
      </c>
      <c r="F664" s="21" t="s">
        <v>6712</v>
      </c>
      <c r="G664" s="21" t="s">
        <v>6758</v>
      </c>
      <c r="H664" s="21" t="s">
        <v>2961</v>
      </c>
      <c r="I664" s="21" t="s">
        <v>847</v>
      </c>
    </row>
    <row r="665" customFormat="false" ht="15" hidden="false" customHeight="false" outlineLevel="0" collapsed="false">
      <c r="B665" s="19" t="s">
        <v>7382</v>
      </c>
      <c r="C665" s="20" t="n">
        <f aca="false">ROUND(20.15/FX,2)</f>
        <v>2.8</v>
      </c>
      <c r="D665" s="21" t="s">
        <v>714</v>
      </c>
      <c r="E665" s="21" t="s">
        <v>734</v>
      </c>
      <c r="F665" s="21" t="s">
        <v>6698</v>
      </c>
      <c r="G665" s="21" t="s">
        <v>6758</v>
      </c>
      <c r="H665" s="21" t="s">
        <v>2961</v>
      </c>
      <c r="I665" s="21" t="s">
        <v>847</v>
      </c>
    </row>
    <row r="666" customFormat="false" ht="15" hidden="false" customHeight="false" outlineLevel="0" collapsed="false">
      <c r="B666" s="19" t="s">
        <v>7383</v>
      </c>
      <c r="C666" s="20" t="n">
        <f aca="false">ROUND(20.8/FX,2)</f>
        <v>2.89</v>
      </c>
      <c r="D666" s="21" t="s">
        <v>714</v>
      </c>
      <c r="E666" s="21" t="s">
        <v>734</v>
      </c>
      <c r="F666" s="21" t="s">
        <v>6698</v>
      </c>
      <c r="G666" s="21" t="s">
        <v>6758</v>
      </c>
      <c r="H666" s="21" t="s">
        <v>2981</v>
      </c>
      <c r="I666" s="21" t="s">
        <v>847</v>
      </c>
    </row>
    <row r="667" customFormat="false" ht="15" hidden="false" customHeight="false" outlineLevel="0" collapsed="false">
      <c r="B667" s="19" t="s">
        <v>7384</v>
      </c>
      <c r="C667" s="20" t="n">
        <f aca="false">ROUND(23.4/FX,2)</f>
        <v>3.25</v>
      </c>
      <c r="D667" s="21" t="s">
        <v>707</v>
      </c>
      <c r="E667" s="21" t="s">
        <v>734</v>
      </c>
      <c r="F667" s="21" t="s">
        <v>6733</v>
      </c>
      <c r="G667" s="21" t="s">
        <v>6758</v>
      </c>
      <c r="H667" s="21" t="s">
        <v>3021</v>
      </c>
      <c r="I667" s="21" t="s">
        <v>707</v>
      </c>
    </row>
    <row r="668" customFormat="false" ht="15" hidden="false" customHeight="false" outlineLevel="0" collapsed="false">
      <c r="B668" s="19" t="s">
        <v>7385</v>
      </c>
      <c r="C668" s="20" t="n">
        <f aca="false">ROUND(29.25/FX,2)</f>
        <v>4.06</v>
      </c>
      <c r="D668" s="21" t="s">
        <v>714</v>
      </c>
      <c r="E668" s="21" t="s">
        <v>734</v>
      </c>
      <c r="F668" s="21" t="s">
        <v>6733</v>
      </c>
      <c r="G668" s="21" t="s">
        <v>6758</v>
      </c>
      <c r="H668" s="21" t="s">
        <v>3021</v>
      </c>
      <c r="I668" s="21" t="s">
        <v>707</v>
      </c>
    </row>
    <row r="669" customFormat="false" ht="15" hidden="false" customHeight="false" outlineLevel="0" collapsed="false">
      <c r="B669" s="19" t="s">
        <v>7386</v>
      </c>
      <c r="C669" s="20" t="n">
        <f aca="false">ROUND(23.4/FX,2)</f>
        <v>3.25</v>
      </c>
      <c r="D669" s="21" t="s">
        <v>707</v>
      </c>
      <c r="E669" s="21" t="s">
        <v>734</v>
      </c>
      <c r="F669" s="21" t="s">
        <v>6733</v>
      </c>
      <c r="G669" s="21" t="s">
        <v>6758</v>
      </c>
      <c r="H669" s="21" t="s">
        <v>3021</v>
      </c>
      <c r="I669" s="21" t="s">
        <v>761</v>
      </c>
    </row>
    <row r="670" customFormat="false" ht="15" hidden="false" customHeight="false" outlineLevel="0" collapsed="false">
      <c r="B670" s="19" t="s">
        <v>7387</v>
      </c>
      <c r="C670" s="20" t="n">
        <f aca="false">ROUND(26/FX,2)</f>
        <v>3.61</v>
      </c>
      <c r="D670" s="21" t="s">
        <v>714</v>
      </c>
      <c r="E670" s="21" t="s">
        <v>734</v>
      </c>
      <c r="F670" s="21" t="s">
        <v>6733</v>
      </c>
      <c r="G670" s="21" t="s">
        <v>6758</v>
      </c>
      <c r="H670" s="21" t="s">
        <v>3021</v>
      </c>
      <c r="I670" s="21" t="s">
        <v>761</v>
      </c>
    </row>
    <row r="671" customFormat="false" ht="15" hidden="false" customHeight="false" outlineLevel="0" collapsed="false">
      <c r="B671" s="19" t="s">
        <v>7388</v>
      </c>
      <c r="C671" s="20" t="n">
        <f aca="false">ROUND(29.25/FX,2)</f>
        <v>4.06</v>
      </c>
      <c r="D671" s="21" t="s">
        <v>714</v>
      </c>
      <c r="E671" s="21" t="s">
        <v>734</v>
      </c>
      <c r="F671" s="21" t="s">
        <v>6733</v>
      </c>
      <c r="G671" s="21" t="s">
        <v>6758</v>
      </c>
      <c r="H671" s="21" t="s">
        <v>3021</v>
      </c>
      <c r="I671" s="21" t="s">
        <v>4721</v>
      </c>
    </row>
    <row r="672" customFormat="false" ht="15" hidden="false" customHeight="false" outlineLevel="0" collapsed="false">
      <c r="B672" s="19" t="s">
        <v>7389</v>
      </c>
      <c r="C672" s="20" t="n">
        <f aca="false">ROUND(30.55/FX,2)</f>
        <v>4.24</v>
      </c>
      <c r="D672" s="21" t="s">
        <v>714</v>
      </c>
      <c r="E672" s="21" t="s">
        <v>7390</v>
      </c>
      <c r="F672" s="21" t="s">
        <v>6712</v>
      </c>
      <c r="G672" s="21" t="s">
        <v>6758</v>
      </c>
      <c r="H672" s="21" t="s">
        <v>3021</v>
      </c>
      <c r="I672" s="21" t="s">
        <v>3247</v>
      </c>
    </row>
    <row r="673" customFormat="false" ht="15" hidden="false" customHeight="false" outlineLevel="0" collapsed="false">
      <c r="B673" s="19" t="s">
        <v>7391</v>
      </c>
      <c r="C673" s="20" t="n">
        <f aca="false">ROUND(26/FX,2)</f>
        <v>3.61</v>
      </c>
      <c r="D673" s="21" t="s">
        <v>714</v>
      </c>
      <c r="E673" s="21" t="s">
        <v>734</v>
      </c>
      <c r="F673" s="21" t="s">
        <v>6733</v>
      </c>
      <c r="G673" s="21" t="s">
        <v>6758</v>
      </c>
      <c r="H673" s="21" t="s">
        <v>3021</v>
      </c>
      <c r="I673" s="21" t="s">
        <v>716</v>
      </c>
    </row>
    <row r="674" customFormat="false" ht="15" hidden="false" customHeight="false" outlineLevel="0" collapsed="false">
      <c r="B674" s="19" t="s">
        <v>7392</v>
      </c>
      <c r="C674" s="20" t="n">
        <f aca="false">ROUND(26/FX,2)</f>
        <v>3.61</v>
      </c>
      <c r="D674" s="21" t="s">
        <v>714</v>
      </c>
      <c r="E674" s="21" t="s">
        <v>734</v>
      </c>
      <c r="F674" s="21" t="s">
        <v>6733</v>
      </c>
      <c r="G674" s="21" t="s">
        <v>6758</v>
      </c>
      <c r="H674" s="21" t="s">
        <v>3021</v>
      </c>
      <c r="I674" s="21" t="s">
        <v>6740</v>
      </c>
    </row>
    <row r="675" customFormat="false" ht="15" hidden="false" customHeight="false" outlineLevel="0" collapsed="false">
      <c r="B675" s="19" t="s">
        <v>7393</v>
      </c>
      <c r="C675" s="20" t="n">
        <f aca="false">ROUND(23.4/FX,2)</f>
        <v>3.25</v>
      </c>
      <c r="D675" s="21" t="s">
        <v>707</v>
      </c>
      <c r="E675" s="21" t="s">
        <v>734</v>
      </c>
      <c r="F675" s="21" t="s">
        <v>6733</v>
      </c>
      <c r="G675" s="21" t="s">
        <v>6758</v>
      </c>
      <c r="H675" s="21" t="s">
        <v>3021</v>
      </c>
      <c r="I675" s="21" t="s">
        <v>847</v>
      </c>
    </row>
    <row r="676" customFormat="false" ht="15" hidden="false" customHeight="false" outlineLevel="0" collapsed="false">
      <c r="B676" s="19" t="s">
        <v>7394</v>
      </c>
      <c r="C676" s="20" t="n">
        <f aca="false">ROUND(30.55/FX,2)</f>
        <v>4.24</v>
      </c>
      <c r="D676" s="21" t="s">
        <v>714</v>
      </c>
      <c r="E676" s="21" t="s">
        <v>734</v>
      </c>
      <c r="F676" s="21" t="s">
        <v>6712</v>
      </c>
      <c r="G676" s="21" t="s">
        <v>6758</v>
      </c>
      <c r="H676" s="21" t="s">
        <v>3021</v>
      </c>
      <c r="I676" s="21" t="s">
        <v>847</v>
      </c>
    </row>
    <row r="677" customFormat="false" ht="15" hidden="false" customHeight="false" outlineLevel="0" collapsed="false">
      <c r="B677" s="19" t="s">
        <v>7395</v>
      </c>
      <c r="C677" s="20" t="n">
        <f aca="false">ROUND(23.4/FX,2)</f>
        <v>3.25</v>
      </c>
      <c r="D677" s="21" t="s">
        <v>707</v>
      </c>
      <c r="E677" s="21" t="s">
        <v>734</v>
      </c>
      <c r="F677" s="21" t="s">
        <v>6712</v>
      </c>
      <c r="G677" s="21" t="s">
        <v>6758</v>
      </c>
      <c r="H677" s="21" t="s">
        <v>7396</v>
      </c>
      <c r="I677" s="21" t="s">
        <v>707</v>
      </c>
    </row>
    <row r="678" customFormat="false" ht="15" hidden="false" customHeight="false" outlineLevel="0" collapsed="false">
      <c r="B678" s="19" t="s">
        <v>7397</v>
      </c>
      <c r="C678" s="20" t="n">
        <f aca="false">ROUND(23.4/FX,2)</f>
        <v>3.25</v>
      </c>
      <c r="D678" s="21" t="s">
        <v>707</v>
      </c>
      <c r="E678" s="21" t="s">
        <v>734</v>
      </c>
      <c r="F678" s="21" t="s">
        <v>6712</v>
      </c>
      <c r="G678" s="21" t="s">
        <v>6758</v>
      </c>
      <c r="H678" s="21" t="s">
        <v>7396</v>
      </c>
      <c r="I678" s="21" t="s">
        <v>847</v>
      </c>
    </row>
    <row r="679" customFormat="false" ht="15" hidden="false" customHeight="false" outlineLevel="0" collapsed="false">
      <c r="B679" s="19" t="s">
        <v>7398</v>
      </c>
      <c r="C679" s="20" t="n">
        <f aca="false">ROUND(35.63/FX,2)</f>
        <v>4.95</v>
      </c>
      <c r="D679" s="21" t="s">
        <v>707</v>
      </c>
      <c r="E679" s="21" t="s">
        <v>734</v>
      </c>
      <c r="F679" s="21" t="s">
        <v>6712</v>
      </c>
      <c r="G679" s="21" t="s">
        <v>6758</v>
      </c>
      <c r="H679" s="21" t="s">
        <v>3061</v>
      </c>
      <c r="I679" s="21" t="s">
        <v>707</v>
      </c>
    </row>
    <row r="680" customFormat="false" ht="15" hidden="false" customHeight="false" outlineLevel="0" collapsed="false">
      <c r="B680" s="19" t="s">
        <v>7399</v>
      </c>
      <c r="C680" s="20" t="n">
        <f aca="false">ROUND(42.51/FX,2)</f>
        <v>5.9</v>
      </c>
      <c r="D680" s="21" t="s">
        <v>714</v>
      </c>
      <c r="E680" s="21" t="s">
        <v>7349</v>
      </c>
      <c r="F680" s="21" t="s">
        <v>6698</v>
      </c>
      <c r="G680" s="21" t="s">
        <v>6758</v>
      </c>
      <c r="H680" s="21" t="s">
        <v>3061</v>
      </c>
      <c r="I680" s="21" t="s">
        <v>6768</v>
      </c>
    </row>
    <row r="681" customFormat="false" ht="15" hidden="false" customHeight="false" outlineLevel="0" collapsed="false">
      <c r="B681" s="19" t="s">
        <v>7400</v>
      </c>
      <c r="C681" s="20" t="n">
        <f aca="false">ROUND(35.1/FX,2)</f>
        <v>4.88</v>
      </c>
      <c r="D681" s="21" t="s">
        <v>707</v>
      </c>
      <c r="E681" s="21" t="s">
        <v>734</v>
      </c>
      <c r="F681" s="21" t="s">
        <v>6698</v>
      </c>
      <c r="G681" s="21" t="s">
        <v>6758</v>
      </c>
      <c r="H681" s="21" t="s">
        <v>3061</v>
      </c>
      <c r="I681" s="21" t="s">
        <v>847</v>
      </c>
    </row>
    <row r="682" customFormat="false" ht="15" hidden="false" customHeight="false" outlineLevel="0" collapsed="false">
      <c r="B682" s="19" t="s">
        <v>7401</v>
      </c>
      <c r="C682" s="20" t="n">
        <f aca="false">ROUND(41.86/FX,2)</f>
        <v>5.81</v>
      </c>
      <c r="D682" s="21" t="s">
        <v>714</v>
      </c>
      <c r="E682" s="21" t="s">
        <v>734</v>
      </c>
      <c r="F682" s="21" t="s">
        <v>6698</v>
      </c>
      <c r="G682" s="21" t="s">
        <v>6758</v>
      </c>
      <c r="H682" s="21" t="s">
        <v>3061</v>
      </c>
      <c r="I682" s="21" t="s">
        <v>847</v>
      </c>
    </row>
    <row r="683" customFormat="false" ht="15" hidden="false" customHeight="false" outlineLevel="0" collapsed="false">
      <c r="B683" s="19" t="s">
        <v>7402</v>
      </c>
      <c r="C683" s="20" t="n">
        <f aca="false">ROUND(7.8/FX,2)</f>
        <v>1.08</v>
      </c>
      <c r="D683" s="21" t="s">
        <v>5492</v>
      </c>
      <c r="E683" s="21" t="s">
        <v>734</v>
      </c>
      <c r="F683" s="21" t="s">
        <v>6712</v>
      </c>
      <c r="G683" s="21" t="s">
        <v>7403</v>
      </c>
      <c r="H683" s="21" t="s">
        <v>784</v>
      </c>
      <c r="I683" s="21" t="s">
        <v>707</v>
      </c>
    </row>
    <row r="684" customFormat="false" ht="15" hidden="false" customHeight="false" outlineLevel="0" collapsed="false">
      <c r="B684" s="19" t="s">
        <v>7404</v>
      </c>
      <c r="C684" s="20" t="n">
        <f aca="false">ROUND(20.15/FX,2)</f>
        <v>2.8</v>
      </c>
      <c r="D684" s="21" t="s">
        <v>707</v>
      </c>
      <c r="E684" s="21" t="s">
        <v>734</v>
      </c>
      <c r="F684" s="21" t="s">
        <v>6712</v>
      </c>
      <c r="G684" s="21" t="s">
        <v>7403</v>
      </c>
      <c r="H684" s="21" t="s">
        <v>3021</v>
      </c>
      <c r="I684" s="21" t="s">
        <v>707</v>
      </c>
    </row>
    <row r="685" customFormat="false" ht="15" hidden="false" customHeight="false" outlineLevel="0" collapsed="false">
      <c r="B685" s="19" t="s">
        <v>7405</v>
      </c>
      <c r="C685" s="20" t="n">
        <f aca="false">ROUND(15.67/FX,2)</f>
        <v>2.18</v>
      </c>
      <c r="D685" s="21" t="s">
        <v>714</v>
      </c>
      <c r="E685" s="21" t="s">
        <v>734</v>
      </c>
      <c r="F685" s="21" t="s">
        <v>6698</v>
      </c>
      <c r="G685" s="21" t="s">
        <v>7406</v>
      </c>
      <c r="H685" s="21" t="s">
        <v>3317</v>
      </c>
      <c r="I685" s="21" t="s">
        <v>847</v>
      </c>
    </row>
    <row r="686" customFormat="false" ht="15" hidden="false" customHeight="false" outlineLevel="0" collapsed="false">
      <c r="B686" s="19" t="s">
        <v>7407</v>
      </c>
      <c r="C686" s="20" t="n">
        <f aca="false">ROUND(5.07/FX,2)</f>
        <v>0.7</v>
      </c>
      <c r="D686" s="21" t="s">
        <v>707</v>
      </c>
      <c r="E686" s="21" t="s">
        <v>734</v>
      </c>
      <c r="F686" s="21" t="s">
        <v>6712</v>
      </c>
      <c r="G686" s="21" t="s">
        <v>6982</v>
      </c>
      <c r="H686" s="21" t="s">
        <v>4000</v>
      </c>
      <c r="I686" s="21" t="s">
        <v>789</v>
      </c>
    </row>
    <row r="687" customFormat="false" ht="15" hidden="false" customHeight="false" outlineLevel="0" collapsed="false">
      <c r="B687" s="19" t="s">
        <v>7408</v>
      </c>
      <c r="C687" s="20" t="n">
        <f aca="false">ROUND(4.89/FX,2)</f>
        <v>0.68</v>
      </c>
      <c r="D687" s="21" t="s">
        <v>714</v>
      </c>
      <c r="E687" s="21" t="s">
        <v>734</v>
      </c>
      <c r="F687" s="21" t="s">
        <v>6712</v>
      </c>
      <c r="G687" s="21" t="s">
        <v>6982</v>
      </c>
      <c r="H687" s="21" t="s">
        <v>4000</v>
      </c>
      <c r="I687" s="21" t="s">
        <v>789</v>
      </c>
    </row>
    <row r="688" customFormat="false" ht="15" hidden="false" customHeight="false" outlineLevel="0" collapsed="false">
      <c r="B688" s="19" t="s">
        <v>7409</v>
      </c>
      <c r="C688" s="20" t="n">
        <f aca="false">ROUND(5.07/FX,2)</f>
        <v>0.7</v>
      </c>
      <c r="D688" s="21" t="s">
        <v>707</v>
      </c>
      <c r="E688" s="21" t="s">
        <v>734</v>
      </c>
      <c r="F688" s="21" t="s">
        <v>6712</v>
      </c>
      <c r="G688" s="21" t="s">
        <v>6982</v>
      </c>
      <c r="H688" s="21" t="s">
        <v>3247</v>
      </c>
      <c r="I688" s="21" t="s">
        <v>789</v>
      </c>
    </row>
    <row r="689" customFormat="false" ht="15" hidden="false" customHeight="false" outlineLevel="0" collapsed="false">
      <c r="B689" s="19" t="s">
        <v>7410</v>
      </c>
      <c r="C689" s="20" t="n">
        <f aca="false">ROUND(5.44/FX,2)</f>
        <v>0.76</v>
      </c>
      <c r="D689" s="21" t="s">
        <v>707</v>
      </c>
      <c r="E689" s="21" t="s">
        <v>734</v>
      </c>
      <c r="F689" s="21" t="s">
        <v>6712</v>
      </c>
      <c r="G689" s="21" t="s">
        <v>6982</v>
      </c>
      <c r="H689" s="21" t="s">
        <v>3247</v>
      </c>
      <c r="I689" s="21" t="s">
        <v>847</v>
      </c>
    </row>
    <row r="690" customFormat="false" ht="15" hidden="false" customHeight="false" outlineLevel="0" collapsed="false">
      <c r="B690" s="19" t="s">
        <v>7411</v>
      </c>
      <c r="C690" s="20" t="n">
        <f aca="false">ROUND(5.07/FX,2)</f>
        <v>0.7</v>
      </c>
      <c r="D690" s="21" t="s">
        <v>714</v>
      </c>
      <c r="E690" s="21" t="s">
        <v>734</v>
      </c>
      <c r="F690" s="21" t="s">
        <v>6698</v>
      </c>
      <c r="G690" s="21" t="s">
        <v>6982</v>
      </c>
      <c r="H690" s="21" t="s">
        <v>3247</v>
      </c>
      <c r="I690" s="21" t="s">
        <v>847</v>
      </c>
    </row>
    <row r="691" customFormat="false" ht="15" hidden="false" customHeight="false" outlineLevel="0" collapsed="false">
      <c r="B691" s="19" t="s">
        <v>7412</v>
      </c>
      <c r="C691" s="20" t="n">
        <f aca="false">ROUND(6.92/FX,2)</f>
        <v>0.96</v>
      </c>
      <c r="D691" s="21" t="s">
        <v>3833</v>
      </c>
      <c r="E691" s="21" t="s">
        <v>734</v>
      </c>
      <c r="F691" s="21" t="s">
        <v>6712</v>
      </c>
      <c r="G691" s="21" t="s">
        <v>6982</v>
      </c>
      <c r="H691" s="21" t="s">
        <v>6723</v>
      </c>
      <c r="I691" s="21" t="s">
        <v>761</v>
      </c>
    </row>
    <row r="692" customFormat="false" ht="15" hidden="false" customHeight="false" outlineLevel="0" collapsed="false">
      <c r="B692" s="19" t="s">
        <v>7413</v>
      </c>
      <c r="C692" s="20" t="n">
        <f aca="false">ROUND(5.54/FX,2)</f>
        <v>0.77</v>
      </c>
      <c r="D692" s="21" t="s">
        <v>707</v>
      </c>
      <c r="E692" s="21" t="s">
        <v>734</v>
      </c>
      <c r="F692" s="21" t="s">
        <v>6712</v>
      </c>
      <c r="G692" s="21" t="s">
        <v>6982</v>
      </c>
      <c r="H692" s="21" t="s">
        <v>6723</v>
      </c>
      <c r="I692" s="21" t="s">
        <v>789</v>
      </c>
    </row>
    <row r="693" customFormat="false" ht="15" hidden="false" customHeight="false" outlineLevel="0" collapsed="false">
      <c r="B693" s="19" t="s">
        <v>7414</v>
      </c>
      <c r="C693" s="20" t="n">
        <f aca="false">ROUND(5.8/FX,2)</f>
        <v>0.81</v>
      </c>
      <c r="D693" s="21" t="s">
        <v>714</v>
      </c>
      <c r="E693" s="21" t="s">
        <v>734</v>
      </c>
      <c r="F693" s="21" t="s">
        <v>6712</v>
      </c>
      <c r="G693" s="21" t="s">
        <v>6982</v>
      </c>
      <c r="H693" s="21" t="s">
        <v>6723</v>
      </c>
      <c r="I693" s="21" t="s">
        <v>789</v>
      </c>
    </row>
    <row r="694" customFormat="false" ht="15" hidden="false" customHeight="false" outlineLevel="0" collapsed="false">
      <c r="B694" s="19" t="s">
        <v>7415</v>
      </c>
      <c r="C694" s="20" t="n">
        <f aca="false">ROUND(5.51/FX,2)</f>
        <v>0.77</v>
      </c>
      <c r="D694" s="21" t="s">
        <v>707</v>
      </c>
      <c r="E694" s="21" t="s">
        <v>734</v>
      </c>
      <c r="F694" s="21" t="s">
        <v>6712</v>
      </c>
      <c r="G694" s="21" t="s">
        <v>6982</v>
      </c>
      <c r="H694" s="21" t="s">
        <v>6723</v>
      </c>
      <c r="I694" s="21" t="s">
        <v>716</v>
      </c>
    </row>
    <row r="695" customFormat="false" ht="15" hidden="false" customHeight="false" outlineLevel="0" collapsed="false">
      <c r="B695" s="19" t="s">
        <v>7416</v>
      </c>
      <c r="C695" s="20" t="n">
        <f aca="false">ROUND(6.19/FX,2)</f>
        <v>0.86</v>
      </c>
      <c r="D695" s="21" t="s">
        <v>714</v>
      </c>
      <c r="E695" s="21" t="s">
        <v>734</v>
      </c>
      <c r="F695" s="21" t="s">
        <v>6712</v>
      </c>
      <c r="G695" s="21" t="s">
        <v>6982</v>
      </c>
      <c r="H695" s="21" t="s">
        <v>6723</v>
      </c>
      <c r="I695" s="21" t="s">
        <v>847</v>
      </c>
    </row>
    <row r="696" customFormat="false" ht="15" hidden="false" customHeight="false" outlineLevel="0" collapsed="false">
      <c r="B696" s="19" t="s">
        <v>7417</v>
      </c>
      <c r="C696" s="20" t="n">
        <f aca="false">ROUND(6.63/FX,2)</f>
        <v>0.92</v>
      </c>
      <c r="D696" s="21" t="s">
        <v>714</v>
      </c>
      <c r="E696" s="21" t="s">
        <v>734</v>
      </c>
      <c r="F696" s="21" t="s">
        <v>6712</v>
      </c>
      <c r="G696" s="21" t="s">
        <v>6982</v>
      </c>
      <c r="H696" s="21" t="s">
        <v>3317</v>
      </c>
      <c r="I696" s="21" t="s">
        <v>707</v>
      </c>
    </row>
    <row r="697" customFormat="false" ht="15" hidden="false" customHeight="false" outlineLevel="0" collapsed="false">
      <c r="B697" s="19" t="s">
        <v>7418</v>
      </c>
      <c r="C697" s="20" t="n">
        <f aca="false">ROUND(5.75/FX,2)</f>
        <v>0.8</v>
      </c>
      <c r="D697" s="21" t="s">
        <v>707</v>
      </c>
      <c r="E697" s="21" t="s">
        <v>734</v>
      </c>
      <c r="F697" s="21" t="s">
        <v>6698</v>
      </c>
      <c r="G697" s="21" t="s">
        <v>6982</v>
      </c>
      <c r="H697" s="21" t="s">
        <v>3317</v>
      </c>
      <c r="I697" s="21" t="s">
        <v>789</v>
      </c>
    </row>
    <row r="698" customFormat="false" ht="15" hidden="false" customHeight="false" outlineLevel="0" collapsed="false">
      <c r="B698" s="19" t="s">
        <v>7419</v>
      </c>
      <c r="C698" s="20" t="n">
        <f aca="false">ROUND(5.75/FX,2)</f>
        <v>0.8</v>
      </c>
      <c r="D698" s="21" t="s">
        <v>714</v>
      </c>
      <c r="E698" s="21" t="s">
        <v>734</v>
      </c>
      <c r="F698" s="21" t="s">
        <v>6698</v>
      </c>
      <c r="G698" s="21" t="s">
        <v>6982</v>
      </c>
      <c r="H698" s="21" t="s">
        <v>3317</v>
      </c>
      <c r="I698" s="21" t="s">
        <v>789</v>
      </c>
    </row>
    <row r="699" customFormat="false" ht="15" hidden="false" customHeight="false" outlineLevel="0" collapsed="false">
      <c r="B699" s="19" t="s">
        <v>7420</v>
      </c>
      <c r="C699" s="20" t="n">
        <f aca="false">ROUND(5.57/FX,2)</f>
        <v>0.77</v>
      </c>
      <c r="D699" s="21" t="s">
        <v>714</v>
      </c>
      <c r="E699" s="21" t="s">
        <v>734</v>
      </c>
      <c r="F699" s="21" t="s">
        <v>6712</v>
      </c>
      <c r="G699" s="21" t="s">
        <v>6982</v>
      </c>
      <c r="H699" s="21" t="s">
        <v>3317</v>
      </c>
      <c r="I699" s="21" t="s">
        <v>716</v>
      </c>
    </row>
    <row r="700" customFormat="false" ht="15" hidden="false" customHeight="false" outlineLevel="0" collapsed="false">
      <c r="B700" s="19" t="s">
        <v>7421</v>
      </c>
      <c r="C700" s="20" t="n">
        <f aca="false">ROUND(6.19/FX,2)</f>
        <v>0.86</v>
      </c>
      <c r="D700" s="21" t="s">
        <v>714</v>
      </c>
      <c r="E700" s="21" t="s">
        <v>734</v>
      </c>
      <c r="F700" s="21" t="s">
        <v>6712</v>
      </c>
      <c r="G700" s="21" t="s">
        <v>6982</v>
      </c>
      <c r="H700" s="21" t="s">
        <v>3317</v>
      </c>
      <c r="I700" s="21" t="s">
        <v>847</v>
      </c>
    </row>
    <row r="701" customFormat="false" ht="15" hidden="false" customHeight="false" outlineLevel="0" collapsed="false">
      <c r="B701" s="19" t="s">
        <v>7422</v>
      </c>
      <c r="C701" s="20" t="n">
        <f aca="false">ROUND(7.62/FX,2)</f>
        <v>1.06</v>
      </c>
      <c r="D701" s="21" t="s">
        <v>3317</v>
      </c>
      <c r="E701" s="21" t="s">
        <v>734</v>
      </c>
      <c r="F701" s="21" t="s">
        <v>6698</v>
      </c>
      <c r="G701" s="21" t="s">
        <v>6982</v>
      </c>
      <c r="H701" s="21" t="s">
        <v>3317</v>
      </c>
      <c r="I701" s="21" t="s">
        <v>847</v>
      </c>
    </row>
    <row r="702" customFormat="false" ht="15" hidden="false" customHeight="false" outlineLevel="0" collapsed="false">
      <c r="B702" s="19" t="s">
        <v>7423</v>
      </c>
      <c r="C702" s="20" t="n">
        <f aca="false">ROUND(7.18/FX,2)</f>
        <v>1</v>
      </c>
      <c r="D702" s="21" t="s">
        <v>707</v>
      </c>
      <c r="E702" s="21" t="s">
        <v>734</v>
      </c>
      <c r="F702" s="21" t="s">
        <v>6712</v>
      </c>
      <c r="G702" s="21" t="s">
        <v>6982</v>
      </c>
      <c r="H702" s="21" t="s">
        <v>784</v>
      </c>
      <c r="I702" s="21" t="s">
        <v>761</v>
      </c>
    </row>
    <row r="703" customFormat="false" ht="15" hidden="false" customHeight="false" outlineLevel="0" collapsed="false">
      <c r="B703" s="19" t="s">
        <v>7424</v>
      </c>
      <c r="C703" s="20" t="n">
        <f aca="false">ROUND(7.18/FX,2)</f>
        <v>1</v>
      </c>
      <c r="D703" s="21" t="s">
        <v>714</v>
      </c>
      <c r="E703" s="21" t="s">
        <v>734</v>
      </c>
      <c r="F703" s="21" t="s">
        <v>6712</v>
      </c>
      <c r="G703" s="21" t="s">
        <v>6982</v>
      </c>
      <c r="H703" s="21" t="s">
        <v>784</v>
      </c>
      <c r="I703" s="21" t="s">
        <v>761</v>
      </c>
    </row>
    <row r="704" customFormat="false" ht="15" hidden="false" customHeight="false" outlineLevel="0" collapsed="false">
      <c r="B704" s="19" t="s">
        <v>7425</v>
      </c>
      <c r="C704" s="20" t="n">
        <f aca="false">ROUND(7.41/FX,2)</f>
        <v>1.03</v>
      </c>
      <c r="D704" s="21" t="s">
        <v>707</v>
      </c>
      <c r="E704" s="21" t="s">
        <v>734</v>
      </c>
      <c r="F704" s="21" t="s">
        <v>6712</v>
      </c>
      <c r="G704" s="21" t="s">
        <v>6982</v>
      </c>
      <c r="H704" s="21" t="s">
        <v>784</v>
      </c>
      <c r="I704" s="21" t="s">
        <v>847</v>
      </c>
    </row>
    <row r="705" customFormat="false" ht="15" hidden="false" customHeight="false" outlineLevel="0" collapsed="false">
      <c r="B705" s="19" t="s">
        <v>7426</v>
      </c>
      <c r="C705" s="20" t="n">
        <f aca="false">ROUND(8.97/FX,2)</f>
        <v>1.25</v>
      </c>
      <c r="D705" s="21" t="s">
        <v>707</v>
      </c>
      <c r="E705" s="21" t="s">
        <v>734</v>
      </c>
      <c r="F705" s="21" t="s">
        <v>6712</v>
      </c>
      <c r="G705" s="21" t="s">
        <v>6982</v>
      </c>
      <c r="H705" s="21" t="s">
        <v>6246</v>
      </c>
      <c r="I705" s="21" t="s">
        <v>847</v>
      </c>
    </row>
    <row r="706" customFormat="false" ht="15" hidden="false" customHeight="false" outlineLevel="0" collapsed="false">
      <c r="B706" s="19" t="s">
        <v>7427</v>
      </c>
      <c r="C706" s="20" t="n">
        <f aca="false">ROUND(9.1/FX,2)</f>
        <v>1.26</v>
      </c>
      <c r="D706" s="21" t="s">
        <v>714</v>
      </c>
      <c r="E706" s="21" t="s">
        <v>734</v>
      </c>
      <c r="F706" s="21" t="s">
        <v>6712</v>
      </c>
      <c r="G706" s="21" t="s">
        <v>6982</v>
      </c>
      <c r="H706" s="21" t="s">
        <v>6246</v>
      </c>
      <c r="I706" s="21" t="s">
        <v>847</v>
      </c>
    </row>
    <row r="707" customFormat="false" ht="15" hidden="false" customHeight="false" outlineLevel="0" collapsed="false">
      <c r="B707" s="19" t="s">
        <v>7428</v>
      </c>
      <c r="C707" s="20" t="n">
        <f aca="false">ROUND(5.17/FX,2)</f>
        <v>0.72</v>
      </c>
      <c r="D707" s="21" t="s">
        <v>707</v>
      </c>
      <c r="E707" s="21" t="s">
        <v>734</v>
      </c>
      <c r="F707" s="21" t="s">
        <v>6712</v>
      </c>
      <c r="G707" s="21" t="s">
        <v>7030</v>
      </c>
      <c r="H707" s="21" t="s">
        <v>4000</v>
      </c>
      <c r="I707" s="21" t="s">
        <v>789</v>
      </c>
    </row>
    <row r="708" customFormat="false" ht="15" hidden="false" customHeight="false" outlineLevel="0" collapsed="false">
      <c r="B708" s="19" t="s">
        <v>7429</v>
      </c>
      <c r="C708" s="20" t="n">
        <f aca="false">ROUND(5.02/FX,2)</f>
        <v>0.7</v>
      </c>
      <c r="D708" s="21" t="s">
        <v>714</v>
      </c>
      <c r="E708" s="21" t="s">
        <v>734</v>
      </c>
      <c r="F708" s="21" t="s">
        <v>6712</v>
      </c>
      <c r="G708" s="21" t="s">
        <v>7030</v>
      </c>
      <c r="H708" s="21" t="s">
        <v>4000</v>
      </c>
      <c r="I708" s="21" t="s">
        <v>789</v>
      </c>
    </row>
    <row r="709" customFormat="false" ht="15" hidden="false" customHeight="false" outlineLevel="0" collapsed="false">
      <c r="B709" s="19" t="s">
        <v>7430</v>
      </c>
      <c r="C709" s="20" t="n">
        <f aca="false">ROUND(4.85/FX,2)</f>
        <v>0.67</v>
      </c>
      <c r="D709" s="21" t="s">
        <v>707</v>
      </c>
      <c r="E709" s="21" t="s">
        <v>734</v>
      </c>
      <c r="F709" s="21" t="s">
        <v>6712</v>
      </c>
      <c r="G709" s="21" t="s">
        <v>7030</v>
      </c>
      <c r="H709" s="21" t="s">
        <v>3247</v>
      </c>
      <c r="I709" s="21" t="s">
        <v>789</v>
      </c>
    </row>
    <row r="710" customFormat="false" ht="15" hidden="false" customHeight="false" outlineLevel="0" collapsed="false">
      <c r="B710" s="19" t="s">
        <v>7431</v>
      </c>
      <c r="C710" s="20" t="n">
        <f aca="false">ROUND(4.84/FX,2)</f>
        <v>0.67</v>
      </c>
      <c r="D710" s="21" t="s">
        <v>714</v>
      </c>
      <c r="E710" s="21" t="s">
        <v>734</v>
      </c>
      <c r="F710" s="21" t="s">
        <v>6698</v>
      </c>
      <c r="G710" s="21" t="s">
        <v>7030</v>
      </c>
      <c r="H710" s="21" t="s">
        <v>3247</v>
      </c>
      <c r="I710" s="21" t="s">
        <v>789</v>
      </c>
    </row>
    <row r="711" customFormat="false" ht="15" hidden="false" customHeight="false" outlineLevel="0" collapsed="false">
      <c r="B711" s="19" t="s">
        <v>7432</v>
      </c>
      <c r="C711" s="20" t="n">
        <f aca="false">ROUND(5.43/FX,2)</f>
        <v>0.75</v>
      </c>
      <c r="D711" s="21" t="s">
        <v>707</v>
      </c>
      <c r="E711" s="21" t="s">
        <v>734</v>
      </c>
      <c r="F711" s="21" t="s">
        <v>6712</v>
      </c>
      <c r="G711" s="21" t="s">
        <v>7030</v>
      </c>
      <c r="H711" s="21" t="s">
        <v>3247</v>
      </c>
      <c r="I711" s="21" t="s">
        <v>847</v>
      </c>
    </row>
    <row r="712" customFormat="false" ht="15" hidden="false" customHeight="false" outlineLevel="0" collapsed="false">
      <c r="B712" s="19" t="s">
        <v>7433</v>
      </c>
      <c r="C712" s="20" t="n">
        <f aca="false">ROUND(5.23/FX,2)</f>
        <v>0.73</v>
      </c>
      <c r="D712" s="21" t="s">
        <v>714</v>
      </c>
      <c r="E712" s="21" t="s">
        <v>734</v>
      </c>
      <c r="F712" s="21" t="s">
        <v>6712</v>
      </c>
      <c r="G712" s="21" t="s">
        <v>7030</v>
      </c>
      <c r="H712" s="21" t="s">
        <v>3247</v>
      </c>
      <c r="I712" s="21" t="s">
        <v>847</v>
      </c>
    </row>
    <row r="713" customFormat="false" ht="15" hidden="false" customHeight="false" outlineLevel="0" collapsed="false">
      <c r="B713" s="19" t="s">
        <v>7434</v>
      </c>
      <c r="C713" s="20" t="n">
        <f aca="false">ROUND(6.5/FX,2)</f>
        <v>0.9</v>
      </c>
      <c r="D713" s="21" t="s">
        <v>707</v>
      </c>
      <c r="E713" s="21" t="s">
        <v>734</v>
      </c>
      <c r="F713" s="21" t="s">
        <v>6712</v>
      </c>
      <c r="G713" s="21" t="s">
        <v>7030</v>
      </c>
      <c r="H713" s="21" t="s">
        <v>6723</v>
      </c>
      <c r="I713" s="21" t="s">
        <v>789</v>
      </c>
    </row>
    <row r="714" customFormat="false" ht="15" hidden="false" customHeight="false" outlineLevel="0" collapsed="false">
      <c r="B714" s="19" t="s">
        <v>7435</v>
      </c>
      <c r="C714" s="20" t="n">
        <f aca="false">ROUND(6.5/FX,2)</f>
        <v>0.9</v>
      </c>
      <c r="D714" s="21" t="s">
        <v>714</v>
      </c>
      <c r="E714" s="21" t="s">
        <v>734</v>
      </c>
      <c r="F714" s="21" t="s">
        <v>6712</v>
      </c>
      <c r="G714" s="21" t="s">
        <v>7030</v>
      </c>
      <c r="H714" s="21" t="s">
        <v>6723</v>
      </c>
      <c r="I714" s="21" t="s">
        <v>789</v>
      </c>
    </row>
    <row r="715" customFormat="false" ht="15" hidden="false" customHeight="false" outlineLevel="0" collapsed="false">
      <c r="B715" s="19" t="s">
        <v>7436</v>
      </c>
      <c r="C715" s="20" t="n">
        <f aca="false">ROUND(5.51/FX,2)</f>
        <v>0.77</v>
      </c>
      <c r="D715" s="21" t="s">
        <v>707</v>
      </c>
      <c r="E715" s="21" t="s">
        <v>734</v>
      </c>
      <c r="F715" s="21" t="s">
        <v>6712</v>
      </c>
      <c r="G715" s="21" t="s">
        <v>7030</v>
      </c>
      <c r="H715" s="21" t="s">
        <v>6723</v>
      </c>
      <c r="I715" s="21" t="s">
        <v>716</v>
      </c>
    </row>
    <row r="716" customFormat="false" ht="15" hidden="false" customHeight="false" outlineLevel="0" collapsed="false">
      <c r="B716" s="19" t="s">
        <v>7437</v>
      </c>
      <c r="C716" s="20" t="n">
        <f aca="false">ROUND(5.7/FX,2)</f>
        <v>0.79</v>
      </c>
      <c r="D716" s="21" t="s">
        <v>707</v>
      </c>
      <c r="E716" s="21" t="s">
        <v>734</v>
      </c>
      <c r="F716" s="21" t="s">
        <v>6712</v>
      </c>
      <c r="G716" s="21" t="s">
        <v>7030</v>
      </c>
      <c r="H716" s="21" t="s">
        <v>6723</v>
      </c>
      <c r="I716" s="21" t="s">
        <v>847</v>
      </c>
    </row>
    <row r="717" customFormat="false" ht="15" hidden="false" customHeight="false" outlineLevel="0" collapsed="false">
      <c r="B717" s="19" t="s">
        <v>7438</v>
      </c>
      <c r="C717" s="20" t="n">
        <f aca="false">ROUND(5.83/FX,2)</f>
        <v>0.81</v>
      </c>
      <c r="D717" s="21" t="s">
        <v>714</v>
      </c>
      <c r="E717" s="21" t="s">
        <v>734</v>
      </c>
      <c r="F717" s="21" t="s">
        <v>6712</v>
      </c>
      <c r="G717" s="21" t="s">
        <v>7030</v>
      </c>
      <c r="H717" s="21" t="s">
        <v>6723</v>
      </c>
      <c r="I717" s="21" t="s">
        <v>847</v>
      </c>
    </row>
    <row r="718" customFormat="false" ht="15" hidden="false" customHeight="false" outlineLevel="0" collapsed="false">
      <c r="B718" s="19" t="s">
        <v>7439</v>
      </c>
      <c r="C718" s="20" t="n">
        <f aca="false">ROUND(7.8/FX,2)</f>
        <v>1.08</v>
      </c>
      <c r="D718" s="21" t="s">
        <v>714</v>
      </c>
      <c r="E718" s="21" t="s">
        <v>734</v>
      </c>
      <c r="F718" s="21" t="s">
        <v>6712</v>
      </c>
      <c r="G718" s="21" t="s">
        <v>7030</v>
      </c>
      <c r="H718" s="21" t="s">
        <v>3317</v>
      </c>
      <c r="I718" s="21" t="s">
        <v>716</v>
      </c>
    </row>
    <row r="719" customFormat="false" ht="15" hidden="false" customHeight="false" outlineLevel="0" collapsed="false">
      <c r="B719" s="19" t="s">
        <v>7440</v>
      </c>
      <c r="C719" s="20" t="n">
        <f aca="false">ROUND(6.76/FX,2)</f>
        <v>0.94</v>
      </c>
      <c r="D719" s="21" t="s">
        <v>714</v>
      </c>
      <c r="E719" s="21" t="s">
        <v>734</v>
      </c>
      <c r="F719" s="21" t="s">
        <v>6712</v>
      </c>
      <c r="G719" s="21" t="s">
        <v>7030</v>
      </c>
      <c r="H719" s="21" t="s">
        <v>3317</v>
      </c>
      <c r="I719" s="21" t="s">
        <v>847</v>
      </c>
    </row>
    <row r="720" customFormat="false" ht="15" hidden="false" customHeight="false" outlineLevel="0" collapsed="false">
      <c r="B720" s="19" t="s">
        <v>7441</v>
      </c>
      <c r="C720" s="20" t="n">
        <f aca="false">ROUND(6.37/FX,2)</f>
        <v>0.88</v>
      </c>
      <c r="D720" s="21" t="s">
        <v>3833</v>
      </c>
      <c r="E720" s="21" t="s">
        <v>734</v>
      </c>
      <c r="F720" s="21" t="s">
        <v>6698</v>
      </c>
      <c r="G720" s="21" t="s">
        <v>7030</v>
      </c>
      <c r="H720" s="21" t="s">
        <v>6768</v>
      </c>
      <c r="I720" s="21" t="s">
        <v>707</v>
      </c>
    </row>
    <row r="721" customFormat="false" ht="15" hidden="false" customHeight="false" outlineLevel="0" collapsed="false">
      <c r="B721" s="19" t="s">
        <v>7442</v>
      </c>
      <c r="C721" s="20" t="n">
        <f aca="false">ROUND(7.33/FX,2)</f>
        <v>1.02</v>
      </c>
      <c r="D721" s="21" t="s">
        <v>714</v>
      </c>
      <c r="E721" s="21" t="s">
        <v>734</v>
      </c>
      <c r="F721" s="21" t="s">
        <v>6712</v>
      </c>
      <c r="G721" s="21" t="s">
        <v>7030</v>
      </c>
      <c r="H721" s="21" t="s">
        <v>784</v>
      </c>
      <c r="I721" s="21" t="s">
        <v>761</v>
      </c>
    </row>
    <row r="722" customFormat="false" ht="15" hidden="false" customHeight="false" outlineLevel="0" collapsed="false">
      <c r="B722" s="19" t="s">
        <v>7443</v>
      </c>
      <c r="C722" s="20" t="n">
        <f aca="false">ROUND(7.41/FX,2)</f>
        <v>1.03</v>
      </c>
      <c r="D722" s="21" t="s">
        <v>707</v>
      </c>
      <c r="E722" s="21" t="s">
        <v>734</v>
      </c>
      <c r="F722" s="21" t="s">
        <v>6712</v>
      </c>
      <c r="G722" s="21" t="s">
        <v>7030</v>
      </c>
      <c r="H722" s="21" t="s">
        <v>784</v>
      </c>
      <c r="I722" s="21" t="s">
        <v>847</v>
      </c>
    </row>
    <row r="723" customFormat="false" ht="15" hidden="false" customHeight="false" outlineLevel="0" collapsed="false">
      <c r="B723" s="19" t="s">
        <v>7444</v>
      </c>
      <c r="C723" s="20" t="n">
        <f aca="false">ROUND(8.84/FX,2)</f>
        <v>1.23</v>
      </c>
      <c r="D723" s="21" t="s">
        <v>707</v>
      </c>
      <c r="E723" s="21" t="s">
        <v>734</v>
      </c>
      <c r="F723" s="21" t="s">
        <v>6698</v>
      </c>
      <c r="G723" s="21" t="s">
        <v>7030</v>
      </c>
      <c r="H723" s="21" t="s">
        <v>6246</v>
      </c>
      <c r="I723" s="21" t="s">
        <v>847</v>
      </c>
    </row>
    <row r="724" customFormat="false" ht="15" hidden="false" customHeight="false" outlineLevel="0" collapsed="false">
      <c r="B724" s="19" t="s">
        <v>7445</v>
      </c>
      <c r="C724" s="20" t="n">
        <f aca="false">ROUND(10.22/FX,2)</f>
        <v>1.42</v>
      </c>
      <c r="D724" s="21" t="s">
        <v>714</v>
      </c>
      <c r="E724" s="21" t="s">
        <v>734</v>
      </c>
      <c r="F724" s="21" t="s">
        <v>6712</v>
      </c>
      <c r="G724" s="21" t="s">
        <v>7030</v>
      </c>
      <c r="H724" s="21" t="s">
        <v>6246</v>
      </c>
      <c r="I724" s="21" t="s">
        <v>847</v>
      </c>
    </row>
    <row r="725" customFormat="false" ht="15" hidden="false" customHeight="false" outlineLevel="0" collapsed="false">
      <c r="B725" s="19" t="s">
        <v>7446</v>
      </c>
      <c r="C725" s="20" t="n">
        <f aca="false">ROUND(2.47/FX,2)</f>
        <v>0.34</v>
      </c>
      <c r="D725" s="21" t="s">
        <v>707</v>
      </c>
      <c r="E725" s="21" t="s">
        <v>734</v>
      </c>
      <c r="F725" s="21" t="s">
        <v>6733</v>
      </c>
      <c r="G725" s="21" t="s">
        <v>7067</v>
      </c>
      <c r="H725" s="21" t="s">
        <v>761</v>
      </c>
      <c r="I725" s="21" t="s">
        <v>841</v>
      </c>
    </row>
    <row r="726" customFormat="false" ht="15" hidden="false" customHeight="false" outlineLevel="0" collapsed="false">
      <c r="B726" s="19" t="s">
        <v>7447</v>
      </c>
      <c r="C726" s="20" t="n">
        <f aca="false">ROUND(3.3/FX,2)</f>
        <v>0.46</v>
      </c>
      <c r="D726" s="21" t="s">
        <v>707</v>
      </c>
      <c r="E726" s="21" t="s">
        <v>734</v>
      </c>
      <c r="F726" s="21" t="s">
        <v>7295</v>
      </c>
      <c r="G726" s="21" t="s">
        <v>7067</v>
      </c>
      <c r="H726" s="21" t="s">
        <v>761</v>
      </c>
      <c r="I726" s="21" t="s">
        <v>841</v>
      </c>
    </row>
    <row r="727" customFormat="false" ht="15" hidden="false" customHeight="false" outlineLevel="0" collapsed="false">
      <c r="B727" s="19" t="s">
        <v>7448</v>
      </c>
      <c r="C727" s="20" t="n">
        <f aca="false">ROUND(2.73/FX,2)</f>
        <v>0.38</v>
      </c>
      <c r="D727" s="21" t="s">
        <v>707</v>
      </c>
      <c r="E727" s="21" t="s">
        <v>734</v>
      </c>
      <c r="F727" s="21" t="s">
        <v>6733</v>
      </c>
      <c r="G727" s="21" t="s">
        <v>7067</v>
      </c>
      <c r="H727" s="21" t="s">
        <v>761</v>
      </c>
      <c r="I727" s="21" t="s">
        <v>789</v>
      </c>
    </row>
    <row r="728" customFormat="false" ht="15" hidden="false" customHeight="false" outlineLevel="0" collapsed="false">
      <c r="B728" s="19" t="s">
        <v>7449</v>
      </c>
      <c r="C728" s="20" t="n">
        <f aca="false">ROUND(5.2/FX,2)</f>
        <v>0.72</v>
      </c>
      <c r="D728" s="21" t="s">
        <v>707</v>
      </c>
      <c r="E728" s="21" t="s">
        <v>734</v>
      </c>
      <c r="F728" s="21" t="s">
        <v>7295</v>
      </c>
      <c r="G728" s="21" t="s">
        <v>7067</v>
      </c>
      <c r="H728" s="21" t="s">
        <v>761</v>
      </c>
      <c r="I728" s="21" t="s">
        <v>789</v>
      </c>
    </row>
    <row r="729" customFormat="false" ht="15" hidden="false" customHeight="false" outlineLevel="0" collapsed="false">
      <c r="B729" s="19" t="s">
        <v>7450</v>
      </c>
      <c r="C729" s="20" t="n">
        <f aca="false">ROUND(3.12/FX,2)</f>
        <v>0.43</v>
      </c>
      <c r="D729" s="21" t="s">
        <v>714</v>
      </c>
      <c r="E729" s="21" t="s">
        <v>734</v>
      </c>
      <c r="F729" s="21" t="s">
        <v>6733</v>
      </c>
      <c r="G729" s="21" t="s">
        <v>7067</v>
      </c>
      <c r="H729" s="21" t="s">
        <v>761</v>
      </c>
      <c r="I729" s="21" t="s">
        <v>789</v>
      </c>
    </row>
    <row r="730" customFormat="false" ht="15" hidden="false" customHeight="false" outlineLevel="0" collapsed="false">
      <c r="B730" s="19" t="s">
        <v>7451</v>
      </c>
      <c r="C730" s="20" t="n">
        <f aca="false">ROUND(2.73/FX,2)</f>
        <v>0.38</v>
      </c>
      <c r="D730" s="21" t="s">
        <v>707</v>
      </c>
      <c r="E730" s="21" t="s">
        <v>734</v>
      </c>
      <c r="F730" s="21" t="s">
        <v>6733</v>
      </c>
      <c r="G730" s="21" t="s">
        <v>7067</v>
      </c>
      <c r="H730" s="21" t="s">
        <v>761</v>
      </c>
      <c r="I730" s="21" t="s">
        <v>716</v>
      </c>
    </row>
    <row r="731" customFormat="false" ht="15" hidden="false" customHeight="false" outlineLevel="0" collapsed="false">
      <c r="B731" s="19" t="s">
        <v>7452</v>
      </c>
      <c r="C731" s="20" t="n">
        <f aca="false">ROUND(3.3/FX,2)</f>
        <v>0.46</v>
      </c>
      <c r="D731" s="21" t="s">
        <v>707</v>
      </c>
      <c r="E731" s="21" t="s">
        <v>734</v>
      </c>
      <c r="F731" s="21" t="s">
        <v>7295</v>
      </c>
      <c r="G731" s="21" t="s">
        <v>7067</v>
      </c>
      <c r="H731" s="21" t="s">
        <v>761</v>
      </c>
      <c r="I731" s="21" t="s">
        <v>716</v>
      </c>
    </row>
    <row r="732" customFormat="false" ht="15" hidden="false" customHeight="false" outlineLevel="0" collapsed="false">
      <c r="B732" s="19" t="s">
        <v>7453</v>
      </c>
      <c r="C732" s="20" t="n">
        <f aca="false">ROUND(2.73/FX,2)</f>
        <v>0.38</v>
      </c>
      <c r="D732" s="21" t="s">
        <v>716</v>
      </c>
      <c r="E732" s="21" t="s">
        <v>734</v>
      </c>
      <c r="F732" s="21" t="s">
        <v>6712</v>
      </c>
      <c r="G732" s="21" t="s">
        <v>7067</v>
      </c>
      <c r="H732" s="21" t="s">
        <v>761</v>
      </c>
      <c r="I732" s="21" t="s">
        <v>716</v>
      </c>
    </row>
    <row r="733" customFormat="false" ht="15" hidden="false" customHeight="false" outlineLevel="0" collapsed="false">
      <c r="B733" s="19" t="s">
        <v>7454</v>
      </c>
      <c r="C733" s="20" t="n">
        <f aca="false">ROUND(2.08/FX,2)</f>
        <v>0.29</v>
      </c>
      <c r="D733" s="21" t="s">
        <v>707</v>
      </c>
      <c r="E733" s="21" t="s">
        <v>734</v>
      </c>
      <c r="F733" s="21" t="s">
        <v>6733</v>
      </c>
      <c r="G733" s="21" t="s">
        <v>7067</v>
      </c>
      <c r="H733" s="21" t="s">
        <v>761</v>
      </c>
      <c r="I733" s="21" t="s">
        <v>6740</v>
      </c>
    </row>
    <row r="734" customFormat="false" ht="15" hidden="false" customHeight="false" outlineLevel="0" collapsed="false">
      <c r="B734" s="19" t="s">
        <v>7455</v>
      </c>
      <c r="C734" s="20" t="n">
        <f aca="false">ROUND(2.34/FX,2)</f>
        <v>0.33</v>
      </c>
      <c r="D734" s="21" t="s">
        <v>714</v>
      </c>
      <c r="E734" s="21" t="s">
        <v>734</v>
      </c>
      <c r="F734" s="21" t="s">
        <v>6733</v>
      </c>
      <c r="G734" s="21" t="s">
        <v>7067</v>
      </c>
      <c r="H734" s="21" t="s">
        <v>761</v>
      </c>
      <c r="I734" s="21" t="s">
        <v>6740</v>
      </c>
    </row>
    <row r="735" customFormat="false" ht="15" hidden="false" customHeight="false" outlineLevel="0" collapsed="false">
      <c r="B735" s="19" t="s">
        <v>7456</v>
      </c>
      <c r="C735" s="20" t="n">
        <f aca="false">ROUND(2.73/FX,2)</f>
        <v>0.38</v>
      </c>
      <c r="D735" s="21" t="s">
        <v>761</v>
      </c>
      <c r="E735" s="21" t="s">
        <v>734</v>
      </c>
      <c r="F735" s="21" t="s">
        <v>6712</v>
      </c>
      <c r="G735" s="21" t="s">
        <v>7067</v>
      </c>
      <c r="H735" s="21" t="s">
        <v>4761</v>
      </c>
      <c r="I735" s="21" t="s">
        <v>847</v>
      </c>
    </row>
    <row r="736" customFormat="false" ht="15" hidden="false" customHeight="false" outlineLevel="0" collapsed="false">
      <c r="B736" s="19" t="s">
        <v>7457</v>
      </c>
      <c r="C736" s="20" t="n">
        <f aca="false">ROUND(3.25/FX,2)</f>
        <v>0.45</v>
      </c>
      <c r="D736" s="21" t="s">
        <v>707</v>
      </c>
      <c r="E736" s="21" t="s">
        <v>734</v>
      </c>
      <c r="F736" s="21" t="s">
        <v>7295</v>
      </c>
      <c r="G736" s="21" t="s">
        <v>7067</v>
      </c>
      <c r="H736" s="21" t="s">
        <v>4721</v>
      </c>
      <c r="I736" s="21" t="s">
        <v>841</v>
      </c>
    </row>
    <row r="737" customFormat="false" ht="15" hidden="false" customHeight="false" outlineLevel="0" collapsed="false">
      <c r="B737" s="19" t="s">
        <v>7458</v>
      </c>
      <c r="C737" s="20" t="n">
        <f aca="false">ROUND(3.38/FX,2)</f>
        <v>0.47</v>
      </c>
      <c r="D737" s="21" t="s">
        <v>707</v>
      </c>
      <c r="E737" s="21" t="s">
        <v>734</v>
      </c>
      <c r="F737" s="21" t="s">
        <v>6698</v>
      </c>
      <c r="G737" s="21" t="s">
        <v>7067</v>
      </c>
      <c r="H737" s="21" t="s">
        <v>4721</v>
      </c>
      <c r="I737" s="21" t="s">
        <v>847</v>
      </c>
    </row>
    <row r="738" customFormat="false" ht="15" hidden="false" customHeight="false" outlineLevel="0" collapsed="false">
      <c r="B738" s="19" t="s">
        <v>7459</v>
      </c>
      <c r="C738" s="20" t="n">
        <f aca="false">ROUND(3.64/FX,2)</f>
        <v>0.51</v>
      </c>
      <c r="D738" s="21" t="s">
        <v>714</v>
      </c>
      <c r="E738" s="21" t="s">
        <v>734</v>
      </c>
      <c r="F738" s="21" t="s">
        <v>6698</v>
      </c>
      <c r="G738" s="21" t="s">
        <v>7067</v>
      </c>
      <c r="H738" s="21" t="s">
        <v>4721</v>
      </c>
      <c r="I738" s="21" t="s">
        <v>847</v>
      </c>
    </row>
    <row r="739" customFormat="false" ht="15" hidden="false" customHeight="false" outlineLevel="0" collapsed="false">
      <c r="B739" s="19" t="s">
        <v>7460</v>
      </c>
      <c r="C739" s="20" t="n">
        <f aca="false">ROUND(2.6/FX,2)</f>
        <v>0.36</v>
      </c>
      <c r="D739" s="21" t="s">
        <v>707</v>
      </c>
      <c r="E739" s="21" t="s">
        <v>734</v>
      </c>
      <c r="F739" s="21" t="s">
        <v>6733</v>
      </c>
      <c r="G739" s="21" t="s">
        <v>7067</v>
      </c>
      <c r="H739" s="21" t="s">
        <v>714</v>
      </c>
      <c r="I739" s="21" t="s">
        <v>841</v>
      </c>
    </row>
    <row r="740" customFormat="false" ht="15" hidden="false" customHeight="false" outlineLevel="0" collapsed="false">
      <c r="B740" s="19" t="s">
        <v>7461</v>
      </c>
      <c r="C740" s="20" t="n">
        <f aca="false">ROUND(6.5/FX,2)</f>
        <v>0.9</v>
      </c>
      <c r="D740" s="21" t="s">
        <v>707</v>
      </c>
      <c r="E740" s="21" t="s">
        <v>734</v>
      </c>
      <c r="F740" s="21" t="s">
        <v>7295</v>
      </c>
      <c r="G740" s="21" t="s">
        <v>7067</v>
      </c>
      <c r="H740" s="21" t="s">
        <v>714</v>
      </c>
      <c r="I740" s="21" t="s">
        <v>841</v>
      </c>
    </row>
    <row r="741" customFormat="false" ht="15" hidden="false" customHeight="false" outlineLevel="0" collapsed="false">
      <c r="B741" s="19" t="s">
        <v>7462</v>
      </c>
      <c r="C741" s="20" t="n">
        <f aca="false">ROUND(3.25/FX,2)</f>
        <v>0.45</v>
      </c>
      <c r="D741" s="21" t="s">
        <v>714</v>
      </c>
      <c r="E741" s="21" t="s">
        <v>734</v>
      </c>
      <c r="F741" s="21" t="s">
        <v>6733</v>
      </c>
      <c r="G741" s="21" t="s">
        <v>7067</v>
      </c>
      <c r="H741" s="21" t="s">
        <v>714</v>
      </c>
      <c r="I741" s="21" t="s">
        <v>841</v>
      </c>
    </row>
    <row r="742" customFormat="false" ht="15" hidden="false" customHeight="false" outlineLevel="0" collapsed="false">
      <c r="B742" s="19" t="s">
        <v>7463</v>
      </c>
      <c r="C742" s="20" t="n">
        <f aca="false">ROUND(3.25/FX,2)</f>
        <v>0.45</v>
      </c>
      <c r="D742" s="21" t="s">
        <v>707</v>
      </c>
      <c r="E742" s="21" t="s">
        <v>734</v>
      </c>
      <c r="F742" s="21" t="s">
        <v>6733</v>
      </c>
      <c r="G742" s="21" t="s">
        <v>7067</v>
      </c>
      <c r="H742" s="21" t="s">
        <v>714</v>
      </c>
      <c r="I742" s="21" t="s">
        <v>789</v>
      </c>
    </row>
    <row r="743" customFormat="false" ht="15" hidden="false" customHeight="false" outlineLevel="0" collapsed="false">
      <c r="B743" s="19" t="s">
        <v>7464</v>
      </c>
      <c r="C743" s="20" t="n">
        <f aca="false">ROUND(3.64/FX,2)</f>
        <v>0.51</v>
      </c>
      <c r="D743" s="21" t="s">
        <v>4721</v>
      </c>
      <c r="E743" s="21" t="s">
        <v>734</v>
      </c>
      <c r="F743" s="21" t="s">
        <v>6698</v>
      </c>
      <c r="G743" s="21" t="s">
        <v>7067</v>
      </c>
      <c r="H743" s="21" t="s">
        <v>714</v>
      </c>
      <c r="I743" s="21" t="s">
        <v>789</v>
      </c>
    </row>
    <row r="744" customFormat="false" ht="15" hidden="false" customHeight="false" outlineLevel="0" collapsed="false">
      <c r="B744" s="19" t="s">
        <v>7465</v>
      </c>
      <c r="C744" s="20" t="n">
        <f aca="false">ROUND(3.77/FX,2)</f>
        <v>0.52</v>
      </c>
      <c r="D744" s="21" t="s">
        <v>714</v>
      </c>
      <c r="E744" s="21" t="s">
        <v>734</v>
      </c>
      <c r="F744" s="21" t="s">
        <v>6698</v>
      </c>
      <c r="G744" s="21" t="s">
        <v>7067</v>
      </c>
      <c r="H744" s="21" t="s">
        <v>714</v>
      </c>
      <c r="I744" s="21" t="s">
        <v>789</v>
      </c>
    </row>
    <row r="745" customFormat="false" ht="15" hidden="false" customHeight="false" outlineLevel="0" collapsed="false">
      <c r="B745" s="19" t="s">
        <v>7466</v>
      </c>
      <c r="C745" s="20" t="n">
        <f aca="false">ROUND(3.38/FX,2)</f>
        <v>0.47</v>
      </c>
      <c r="D745" s="21" t="s">
        <v>707</v>
      </c>
      <c r="E745" s="21" t="s">
        <v>734</v>
      </c>
      <c r="F745" s="21" t="s">
        <v>6712</v>
      </c>
      <c r="G745" s="21" t="s">
        <v>7067</v>
      </c>
      <c r="H745" s="21" t="s">
        <v>714</v>
      </c>
      <c r="I745" s="21" t="s">
        <v>716</v>
      </c>
    </row>
    <row r="746" customFormat="false" ht="15" hidden="false" customHeight="false" outlineLevel="0" collapsed="false">
      <c r="B746" s="19" t="s">
        <v>7467</v>
      </c>
      <c r="C746" s="20" t="n">
        <f aca="false">ROUND(2.99/FX,2)</f>
        <v>0.42</v>
      </c>
      <c r="D746" s="21" t="s">
        <v>714</v>
      </c>
      <c r="E746" s="21" t="s">
        <v>734</v>
      </c>
      <c r="F746" s="21" t="s">
        <v>6733</v>
      </c>
      <c r="G746" s="21" t="s">
        <v>7067</v>
      </c>
      <c r="H746" s="21" t="s">
        <v>714</v>
      </c>
      <c r="I746" s="21" t="s">
        <v>716</v>
      </c>
    </row>
    <row r="747" customFormat="false" ht="15" hidden="false" customHeight="false" outlineLevel="0" collapsed="false">
      <c r="B747" s="19" t="s">
        <v>7468</v>
      </c>
      <c r="C747" s="20" t="n">
        <f aca="false">ROUND(3.38/FX,2)</f>
        <v>0.47</v>
      </c>
      <c r="D747" s="21" t="s">
        <v>707</v>
      </c>
      <c r="E747" s="21" t="s">
        <v>734</v>
      </c>
      <c r="F747" s="21" t="s">
        <v>6733</v>
      </c>
      <c r="G747" s="21" t="s">
        <v>7067</v>
      </c>
      <c r="H747" s="21" t="s">
        <v>714</v>
      </c>
      <c r="I747" s="21" t="s">
        <v>6740</v>
      </c>
    </row>
    <row r="748" customFormat="false" ht="15" hidden="false" customHeight="false" outlineLevel="0" collapsed="false">
      <c r="B748" s="19" t="s">
        <v>7469</v>
      </c>
      <c r="C748" s="20" t="n">
        <f aca="false">ROUND(3.64/FX,2)</f>
        <v>0.51</v>
      </c>
      <c r="D748" s="21" t="s">
        <v>714</v>
      </c>
      <c r="E748" s="21" t="s">
        <v>734</v>
      </c>
      <c r="F748" s="21" t="s">
        <v>6698</v>
      </c>
      <c r="G748" s="21" t="s">
        <v>7067</v>
      </c>
      <c r="H748" s="21" t="s">
        <v>714</v>
      </c>
      <c r="I748" s="21" t="s">
        <v>6740</v>
      </c>
    </row>
    <row r="749" customFormat="false" ht="15" hidden="false" customHeight="false" outlineLevel="0" collapsed="false">
      <c r="B749" s="19" t="s">
        <v>7470</v>
      </c>
      <c r="C749" s="20" t="n">
        <f aca="false">ROUND(3.38/FX,2)</f>
        <v>0.47</v>
      </c>
      <c r="D749" s="21" t="s">
        <v>707</v>
      </c>
      <c r="E749" s="21" t="s">
        <v>734</v>
      </c>
      <c r="F749" s="21" t="s">
        <v>6733</v>
      </c>
      <c r="G749" s="21" t="s">
        <v>7067</v>
      </c>
      <c r="H749" s="21" t="s">
        <v>714</v>
      </c>
      <c r="I749" s="21" t="s">
        <v>847</v>
      </c>
    </row>
    <row r="750" customFormat="false" ht="15" hidden="false" customHeight="false" outlineLevel="0" collapsed="false">
      <c r="B750" s="19" t="s">
        <v>7471</v>
      </c>
      <c r="C750" s="20" t="n">
        <f aca="false">ROUND(3.77/FX,2)</f>
        <v>0.52</v>
      </c>
      <c r="D750" s="21" t="s">
        <v>714</v>
      </c>
      <c r="E750" s="21" t="s">
        <v>734</v>
      </c>
      <c r="F750" s="21" t="s">
        <v>6698</v>
      </c>
      <c r="G750" s="21" t="s">
        <v>7067</v>
      </c>
      <c r="H750" s="21" t="s">
        <v>714</v>
      </c>
      <c r="I750" s="21" t="s">
        <v>847</v>
      </c>
    </row>
    <row r="751" customFormat="false" ht="15" hidden="false" customHeight="false" outlineLevel="0" collapsed="false">
      <c r="B751" s="19" t="s">
        <v>7472</v>
      </c>
      <c r="C751" s="20" t="n">
        <f aca="false">ROUND(4.42/FX,2)</f>
        <v>0.61</v>
      </c>
      <c r="D751" s="21" t="s">
        <v>3247</v>
      </c>
      <c r="E751" s="21" t="s">
        <v>734</v>
      </c>
      <c r="F751" s="21" t="s">
        <v>6698</v>
      </c>
      <c r="G751" s="21" t="s">
        <v>7067</v>
      </c>
      <c r="H751" s="21" t="s">
        <v>714</v>
      </c>
      <c r="I751" s="21" t="s">
        <v>847</v>
      </c>
    </row>
    <row r="752" customFormat="false" ht="15" hidden="false" customHeight="false" outlineLevel="0" collapsed="false">
      <c r="B752" s="19" t="s">
        <v>7473</v>
      </c>
      <c r="C752" s="20" t="n">
        <f aca="false">ROUND(3.38/FX,2)</f>
        <v>0.47</v>
      </c>
      <c r="D752" s="21" t="s">
        <v>719</v>
      </c>
      <c r="E752" s="21" t="s">
        <v>734</v>
      </c>
      <c r="F752" s="21" t="s">
        <v>6698</v>
      </c>
      <c r="G752" s="21" t="s">
        <v>7067</v>
      </c>
      <c r="H752" s="21" t="s">
        <v>714</v>
      </c>
      <c r="I752" s="21" t="s">
        <v>847</v>
      </c>
    </row>
    <row r="753" customFormat="false" ht="15" hidden="false" customHeight="false" outlineLevel="0" collapsed="false">
      <c r="B753" s="19" t="s">
        <v>7474</v>
      </c>
      <c r="C753" s="20" t="n">
        <f aca="false">ROUND(3.38/FX,2)</f>
        <v>0.47</v>
      </c>
      <c r="D753" s="21" t="s">
        <v>707</v>
      </c>
      <c r="E753" s="21" t="s">
        <v>734</v>
      </c>
      <c r="F753" s="21" t="s">
        <v>6712</v>
      </c>
      <c r="G753" s="21" t="s">
        <v>7067</v>
      </c>
      <c r="H753" s="21" t="s">
        <v>3833</v>
      </c>
      <c r="I753" s="21" t="s">
        <v>707</v>
      </c>
    </row>
    <row r="754" customFormat="false" ht="15" hidden="false" customHeight="false" outlineLevel="0" collapsed="false">
      <c r="B754" s="19" t="s">
        <v>7475</v>
      </c>
      <c r="C754" s="20" t="n">
        <f aca="false">ROUND(3.9/FX,2)</f>
        <v>0.54</v>
      </c>
      <c r="D754" s="21" t="s">
        <v>714</v>
      </c>
      <c r="E754" s="21" t="s">
        <v>734</v>
      </c>
      <c r="F754" s="21" t="s">
        <v>6733</v>
      </c>
      <c r="G754" s="21" t="s">
        <v>7067</v>
      </c>
      <c r="H754" s="21" t="s">
        <v>3833</v>
      </c>
      <c r="I754" s="21" t="s">
        <v>707</v>
      </c>
    </row>
    <row r="755" customFormat="false" ht="15" hidden="false" customHeight="false" outlineLevel="0" collapsed="false">
      <c r="B755" s="19" t="s">
        <v>7476</v>
      </c>
      <c r="C755" s="20" t="n">
        <f aca="false">ROUND(3.25/FX,2)</f>
        <v>0.45</v>
      </c>
      <c r="D755" s="21" t="s">
        <v>707</v>
      </c>
      <c r="E755" s="21" t="s">
        <v>734</v>
      </c>
      <c r="F755" s="21" t="s">
        <v>7295</v>
      </c>
      <c r="G755" s="21" t="s">
        <v>7067</v>
      </c>
      <c r="H755" s="21" t="s">
        <v>3833</v>
      </c>
      <c r="I755" s="21" t="s">
        <v>841</v>
      </c>
    </row>
    <row r="756" customFormat="false" ht="15" hidden="false" customHeight="false" outlineLevel="0" collapsed="false">
      <c r="B756" s="19" t="s">
        <v>7477</v>
      </c>
      <c r="C756" s="20" t="n">
        <f aca="false">ROUND(3.25/FX,2)</f>
        <v>0.45</v>
      </c>
      <c r="D756" s="21" t="s">
        <v>707</v>
      </c>
      <c r="E756" s="21" t="s">
        <v>734</v>
      </c>
      <c r="F756" s="21" t="s">
        <v>6712</v>
      </c>
      <c r="G756" s="21" t="s">
        <v>7067</v>
      </c>
      <c r="H756" s="21" t="s">
        <v>3833</v>
      </c>
      <c r="I756" s="21" t="s">
        <v>789</v>
      </c>
    </row>
    <row r="757" customFormat="false" ht="15" hidden="false" customHeight="false" outlineLevel="0" collapsed="false">
      <c r="B757" s="19" t="s">
        <v>7478</v>
      </c>
      <c r="C757" s="20" t="n">
        <f aca="false">ROUND(5.2/FX,2)</f>
        <v>0.72</v>
      </c>
      <c r="D757" s="21" t="s">
        <v>707</v>
      </c>
      <c r="E757" s="21" t="s">
        <v>734</v>
      </c>
      <c r="F757" s="21" t="s">
        <v>7295</v>
      </c>
      <c r="G757" s="21" t="s">
        <v>7067</v>
      </c>
      <c r="H757" s="21" t="s">
        <v>3833</v>
      </c>
      <c r="I757" s="21" t="s">
        <v>789</v>
      </c>
    </row>
    <row r="758" customFormat="false" ht="15" hidden="false" customHeight="false" outlineLevel="0" collapsed="false">
      <c r="B758" s="19" t="s">
        <v>7479</v>
      </c>
      <c r="C758" s="20" t="n">
        <f aca="false">ROUND(3.77/FX,2)</f>
        <v>0.52</v>
      </c>
      <c r="D758" s="21" t="s">
        <v>714</v>
      </c>
      <c r="E758" s="21" t="s">
        <v>734</v>
      </c>
      <c r="F758" s="21" t="s">
        <v>6712</v>
      </c>
      <c r="G758" s="21" t="s">
        <v>7067</v>
      </c>
      <c r="H758" s="21" t="s">
        <v>3833</v>
      </c>
      <c r="I758" s="21" t="s">
        <v>789</v>
      </c>
    </row>
    <row r="759" customFormat="false" ht="15" hidden="false" customHeight="false" outlineLevel="0" collapsed="false">
      <c r="B759" s="19" t="s">
        <v>7480</v>
      </c>
      <c r="C759" s="20" t="n">
        <f aca="false">ROUND(3.38/FX,2)</f>
        <v>0.47</v>
      </c>
      <c r="D759" s="21" t="s">
        <v>707</v>
      </c>
      <c r="E759" s="21" t="s">
        <v>734</v>
      </c>
      <c r="F759" s="21" t="s">
        <v>6733</v>
      </c>
      <c r="G759" s="21" t="s">
        <v>7067</v>
      </c>
      <c r="H759" s="21" t="s">
        <v>3833</v>
      </c>
      <c r="I759" s="21" t="s">
        <v>716</v>
      </c>
    </row>
    <row r="760" customFormat="false" ht="15" hidden="false" customHeight="false" outlineLevel="0" collapsed="false">
      <c r="B760" s="19" t="s">
        <v>7481</v>
      </c>
      <c r="C760" s="20" t="n">
        <f aca="false">ROUND(3.38/FX,2)</f>
        <v>0.47</v>
      </c>
      <c r="D760" s="21" t="s">
        <v>707</v>
      </c>
      <c r="E760" s="21" t="s">
        <v>734</v>
      </c>
      <c r="F760" s="21" t="s">
        <v>6733</v>
      </c>
      <c r="G760" s="21" t="s">
        <v>7067</v>
      </c>
      <c r="H760" s="21" t="s">
        <v>3833</v>
      </c>
      <c r="I760" s="21" t="s">
        <v>6740</v>
      </c>
    </row>
    <row r="761" customFormat="false" ht="15" hidden="false" customHeight="false" outlineLevel="0" collapsed="false">
      <c r="B761" s="19" t="s">
        <v>7482</v>
      </c>
      <c r="C761" s="20" t="n">
        <f aca="false">ROUND(2.99/FX,2)</f>
        <v>0.42</v>
      </c>
      <c r="D761" s="21" t="s">
        <v>714</v>
      </c>
      <c r="E761" s="21" t="s">
        <v>734</v>
      </c>
      <c r="F761" s="21" t="s">
        <v>6733</v>
      </c>
      <c r="G761" s="21" t="s">
        <v>7067</v>
      </c>
      <c r="H761" s="21" t="s">
        <v>3833</v>
      </c>
      <c r="I761" s="21" t="s">
        <v>6740</v>
      </c>
    </row>
    <row r="762" customFormat="false" ht="15" hidden="false" customHeight="false" outlineLevel="0" collapsed="false">
      <c r="B762" s="19" t="s">
        <v>7483</v>
      </c>
      <c r="C762" s="20" t="n">
        <f aca="false">ROUND(3.38/FX,2)</f>
        <v>0.47</v>
      </c>
      <c r="D762" s="21" t="s">
        <v>707</v>
      </c>
      <c r="E762" s="21" t="s">
        <v>734</v>
      </c>
      <c r="F762" s="21" t="s">
        <v>6712</v>
      </c>
      <c r="G762" s="21" t="s">
        <v>7067</v>
      </c>
      <c r="H762" s="21" t="s">
        <v>3833</v>
      </c>
      <c r="I762" s="21" t="s">
        <v>847</v>
      </c>
    </row>
    <row r="763" customFormat="false" ht="15" hidden="false" customHeight="false" outlineLevel="0" collapsed="false">
      <c r="B763" s="19" t="s">
        <v>7484</v>
      </c>
      <c r="C763" s="20" t="n">
        <f aca="false">ROUND(2.99/FX,2)</f>
        <v>0.42</v>
      </c>
      <c r="D763" s="21" t="s">
        <v>714</v>
      </c>
      <c r="E763" s="21" t="s">
        <v>734</v>
      </c>
      <c r="F763" s="21" t="s">
        <v>6733</v>
      </c>
      <c r="G763" s="21" t="s">
        <v>7067</v>
      </c>
      <c r="H763" s="21" t="s">
        <v>3833</v>
      </c>
      <c r="I763" s="21" t="s">
        <v>847</v>
      </c>
    </row>
    <row r="764" customFormat="false" ht="15" hidden="false" customHeight="false" outlineLevel="0" collapsed="false">
      <c r="B764" s="19" t="s">
        <v>7485</v>
      </c>
      <c r="C764" s="20" t="n">
        <f aca="false">ROUND(3.82/FX,2)</f>
        <v>0.53</v>
      </c>
      <c r="D764" s="21" t="s">
        <v>714</v>
      </c>
      <c r="E764" s="21" t="s">
        <v>734</v>
      </c>
      <c r="F764" s="21" t="s">
        <v>6712</v>
      </c>
      <c r="G764" s="21" t="s">
        <v>7067</v>
      </c>
      <c r="H764" s="21" t="s">
        <v>3833</v>
      </c>
      <c r="I764" s="21" t="s">
        <v>847</v>
      </c>
    </row>
    <row r="765" customFormat="false" ht="15" hidden="false" customHeight="false" outlineLevel="0" collapsed="false">
      <c r="B765" s="19" t="s">
        <v>7486</v>
      </c>
      <c r="C765" s="20" t="n">
        <f aca="false">ROUND(3.25/FX,2)</f>
        <v>0.45</v>
      </c>
      <c r="D765" s="21" t="s">
        <v>707</v>
      </c>
      <c r="E765" s="21" t="s">
        <v>734</v>
      </c>
      <c r="F765" s="21" t="s">
        <v>7295</v>
      </c>
      <c r="G765" s="21" t="s">
        <v>7067</v>
      </c>
      <c r="H765" s="21" t="s">
        <v>5492</v>
      </c>
      <c r="I765" s="21" t="s">
        <v>841</v>
      </c>
    </row>
    <row r="766" customFormat="false" ht="15" hidden="false" customHeight="false" outlineLevel="0" collapsed="false">
      <c r="B766" s="19" t="s">
        <v>7487</v>
      </c>
      <c r="C766" s="20" t="n">
        <f aca="false">ROUND(5.2/FX,2)</f>
        <v>0.72</v>
      </c>
      <c r="D766" s="21" t="s">
        <v>707</v>
      </c>
      <c r="E766" s="21" t="s">
        <v>734</v>
      </c>
      <c r="F766" s="21" t="s">
        <v>7295</v>
      </c>
      <c r="G766" s="21" t="s">
        <v>7067</v>
      </c>
      <c r="H766" s="21" t="s">
        <v>4000</v>
      </c>
      <c r="I766" s="21" t="s">
        <v>841</v>
      </c>
    </row>
    <row r="767" customFormat="false" ht="15" hidden="false" customHeight="false" outlineLevel="0" collapsed="false">
      <c r="B767" s="19" t="s">
        <v>7488</v>
      </c>
      <c r="C767" s="20" t="n">
        <f aca="false">ROUND(4.03/FX,2)</f>
        <v>0.56</v>
      </c>
      <c r="D767" s="21" t="s">
        <v>707</v>
      </c>
      <c r="E767" s="21" t="s">
        <v>734</v>
      </c>
      <c r="F767" s="21" t="s">
        <v>6712</v>
      </c>
      <c r="G767" s="21" t="s">
        <v>7067</v>
      </c>
      <c r="H767" s="21" t="s">
        <v>4000</v>
      </c>
      <c r="I767" s="21" t="s">
        <v>789</v>
      </c>
    </row>
    <row r="768" customFormat="false" ht="15" hidden="false" customHeight="false" outlineLevel="0" collapsed="false">
      <c r="B768" s="19" t="s">
        <v>7489</v>
      </c>
      <c r="C768" s="20" t="n">
        <f aca="false">ROUND(3.25/FX,2)</f>
        <v>0.45</v>
      </c>
      <c r="D768" s="21" t="s">
        <v>714</v>
      </c>
      <c r="E768" s="21" t="s">
        <v>734</v>
      </c>
      <c r="F768" s="21" t="s">
        <v>6712</v>
      </c>
      <c r="G768" s="21" t="s">
        <v>7067</v>
      </c>
      <c r="H768" s="21" t="s">
        <v>4000</v>
      </c>
      <c r="I768" s="21" t="s">
        <v>716</v>
      </c>
    </row>
    <row r="769" customFormat="false" ht="15" hidden="false" customHeight="false" outlineLevel="0" collapsed="false">
      <c r="B769" s="19" t="s">
        <v>7490</v>
      </c>
      <c r="C769" s="20" t="n">
        <f aca="false">ROUND(4.03/FX,2)</f>
        <v>0.56</v>
      </c>
      <c r="D769" s="21" t="s">
        <v>707</v>
      </c>
      <c r="E769" s="21" t="s">
        <v>734</v>
      </c>
      <c r="F769" s="21" t="s">
        <v>6712</v>
      </c>
      <c r="G769" s="21" t="s">
        <v>7067</v>
      </c>
      <c r="H769" s="21" t="s">
        <v>4000</v>
      </c>
      <c r="I769" s="21" t="s">
        <v>6740</v>
      </c>
    </row>
    <row r="770" customFormat="false" ht="15" hidden="false" customHeight="false" outlineLevel="0" collapsed="false">
      <c r="B770" s="19" t="s">
        <v>7491</v>
      </c>
      <c r="C770" s="20" t="n">
        <f aca="false">ROUND(4.03/FX,2)</f>
        <v>0.56</v>
      </c>
      <c r="D770" s="21" t="s">
        <v>714</v>
      </c>
      <c r="E770" s="21" t="s">
        <v>734</v>
      </c>
      <c r="F770" s="21" t="s">
        <v>6712</v>
      </c>
      <c r="G770" s="21" t="s">
        <v>7067</v>
      </c>
      <c r="H770" s="21" t="s">
        <v>4000</v>
      </c>
      <c r="I770" s="21" t="s">
        <v>6740</v>
      </c>
    </row>
    <row r="771" customFormat="false" ht="15" hidden="false" customHeight="false" outlineLevel="0" collapsed="false">
      <c r="B771" s="19" t="s">
        <v>7492</v>
      </c>
      <c r="C771" s="20" t="n">
        <f aca="false">ROUND(3.9/FX,2)</f>
        <v>0.54</v>
      </c>
      <c r="D771" s="21" t="s">
        <v>707</v>
      </c>
      <c r="E771" s="21" t="s">
        <v>734</v>
      </c>
      <c r="F771" s="21" t="s">
        <v>6712</v>
      </c>
      <c r="G771" s="21" t="s">
        <v>7067</v>
      </c>
      <c r="H771" s="21" t="s">
        <v>4000</v>
      </c>
      <c r="I771" s="21" t="s">
        <v>847</v>
      </c>
    </row>
    <row r="772" customFormat="false" ht="15" hidden="false" customHeight="false" outlineLevel="0" collapsed="false">
      <c r="B772" s="19" t="s">
        <v>7493</v>
      </c>
      <c r="C772" s="20" t="n">
        <f aca="false">ROUND(3.77/FX,2)</f>
        <v>0.52</v>
      </c>
      <c r="D772" s="21" t="s">
        <v>714</v>
      </c>
      <c r="E772" s="21" t="s">
        <v>734</v>
      </c>
      <c r="F772" s="21" t="s">
        <v>6712</v>
      </c>
      <c r="G772" s="21" t="s">
        <v>7067</v>
      </c>
      <c r="H772" s="21" t="s">
        <v>4000</v>
      </c>
      <c r="I772" s="21" t="s">
        <v>847</v>
      </c>
    </row>
    <row r="773" customFormat="false" ht="15" hidden="false" customHeight="false" outlineLevel="0" collapsed="false">
      <c r="B773" s="19" t="s">
        <v>7494</v>
      </c>
      <c r="C773" s="20" t="n">
        <f aca="false">ROUND(3.9/FX,2)</f>
        <v>0.54</v>
      </c>
      <c r="D773" s="21" t="s">
        <v>707</v>
      </c>
      <c r="E773" s="21" t="s">
        <v>734</v>
      </c>
      <c r="F773" s="21" t="s">
        <v>6698</v>
      </c>
      <c r="G773" s="21" t="s">
        <v>7067</v>
      </c>
      <c r="H773" s="21" t="s">
        <v>3247</v>
      </c>
      <c r="I773" s="21" t="s">
        <v>707</v>
      </c>
    </row>
    <row r="774" customFormat="false" ht="15" hidden="false" customHeight="false" outlineLevel="0" collapsed="false">
      <c r="B774" s="19" t="s">
        <v>7495</v>
      </c>
      <c r="C774" s="20" t="n">
        <f aca="false">ROUND(3.77/FX,2)</f>
        <v>0.52</v>
      </c>
      <c r="D774" s="21" t="s">
        <v>714</v>
      </c>
      <c r="E774" s="21" t="s">
        <v>734</v>
      </c>
      <c r="F774" s="21" t="s">
        <v>6733</v>
      </c>
      <c r="G774" s="21" t="s">
        <v>7067</v>
      </c>
      <c r="H774" s="21" t="s">
        <v>3247</v>
      </c>
      <c r="I774" s="21" t="s">
        <v>707</v>
      </c>
    </row>
    <row r="775" customFormat="false" ht="15" hidden="false" customHeight="false" outlineLevel="0" collapsed="false">
      <c r="B775" s="19" t="s">
        <v>7496</v>
      </c>
      <c r="C775" s="20" t="n">
        <f aca="false">ROUND(3.77/FX,2)</f>
        <v>0.52</v>
      </c>
      <c r="D775" s="21" t="s">
        <v>714</v>
      </c>
      <c r="E775" s="21" t="s">
        <v>734</v>
      </c>
      <c r="F775" s="21" t="s">
        <v>6698</v>
      </c>
      <c r="G775" s="21" t="s">
        <v>7067</v>
      </c>
      <c r="H775" s="21" t="s">
        <v>3247</v>
      </c>
      <c r="I775" s="21" t="s">
        <v>761</v>
      </c>
    </row>
    <row r="776" customFormat="false" ht="15" hidden="false" customHeight="false" outlineLevel="0" collapsed="false">
      <c r="B776" s="19" t="s">
        <v>7497</v>
      </c>
      <c r="C776" s="20" t="n">
        <f aca="false">ROUND(5.85/FX,2)</f>
        <v>0.81</v>
      </c>
      <c r="D776" s="21" t="s">
        <v>3317</v>
      </c>
      <c r="E776" s="21" t="s">
        <v>734</v>
      </c>
      <c r="F776" s="21" t="s">
        <v>6698</v>
      </c>
      <c r="G776" s="21" t="s">
        <v>7067</v>
      </c>
      <c r="H776" s="21" t="s">
        <v>3247</v>
      </c>
      <c r="I776" s="21" t="s">
        <v>761</v>
      </c>
    </row>
    <row r="777" customFormat="false" ht="15" hidden="false" customHeight="false" outlineLevel="0" collapsed="false">
      <c r="B777" s="19" t="s">
        <v>7498</v>
      </c>
      <c r="C777" s="20" t="n">
        <f aca="false">ROUND(3.77/FX,2)</f>
        <v>0.52</v>
      </c>
      <c r="D777" s="21" t="s">
        <v>707</v>
      </c>
      <c r="E777" s="21" t="s">
        <v>734</v>
      </c>
      <c r="F777" s="21" t="s">
        <v>6712</v>
      </c>
      <c r="G777" s="21" t="s">
        <v>7067</v>
      </c>
      <c r="H777" s="21" t="s">
        <v>3247</v>
      </c>
      <c r="I777" s="21" t="s">
        <v>789</v>
      </c>
    </row>
    <row r="778" customFormat="false" ht="15" hidden="false" customHeight="false" outlineLevel="0" collapsed="false">
      <c r="B778" s="19" t="s">
        <v>7499</v>
      </c>
      <c r="C778" s="20" t="n">
        <f aca="false">ROUND(4.42/FX,2)</f>
        <v>0.61</v>
      </c>
      <c r="D778" s="21" t="s">
        <v>714</v>
      </c>
      <c r="E778" s="21" t="s">
        <v>734</v>
      </c>
      <c r="F778" s="21" t="s">
        <v>6733</v>
      </c>
      <c r="G778" s="21" t="s">
        <v>7067</v>
      </c>
      <c r="H778" s="21" t="s">
        <v>3247</v>
      </c>
      <c r="I778" s="21" t="s">
        <v>789</v>
      </c>
    </row>
    <row r="779" customFormat="false" ht="15" hidden="false" customHeight="false" outlineLevel="0" collapsed="false">
      <c r="B779" s="19" t="s">
        <v>7500</v>
      </c>
      <c r="C779" s="20" t="n">
        <f aca="false">ROUND(3.82/FX,2)</f>
        <v>0.53</v>
      </c>
      <c r="D779" s="21" t="s">
        <v>707</v>
      </c>
      <c r="E779" s="21" t="s">
        <v>734</v>
      </c>
      <c r="F779" s="21" t="s">
        <v>6698</v>
      </c>
      <c r="G779" s="21" t="s">
        <v>7067</v>
      </c>
      <c r="H779" s="21" t="s">
        <v>3247</v>
      </c>
      <c r="I779" s="21" t="s">
        <v>716</v>
      </c>
    </row>
    <row r="780" customFormat="false" ht="15" hidden="false" customHeight="false" outlineLevel="0" collapsed="false">
      <c r="B780" s="19" t="s">
        <v>7501</v>
      </c>
      <c r="C780" s="20" t="n">
        <f aca="false">ROUND(3.77/FX,2)</f>
        <v>0.52</v>
      </c>
      <c r="D780" s="21" t="s">
        <v>707</v>
      </c>
      <c r="E780" s="21" t="s">
        <v>734</v>
      </c>
      <c r="F780" s="21" t="s">
        <v>6733</v>
      </c>
      <c r="G780" s="21" t="s">
        <v>7067</v>
      </c>
      <c r="H780" s="21" t="s">
        <v>3247</v>
      </c>
      <c r="I780" s="21" t="s">
        <v>6740</v>
      </c>
    </row>
    <row r="781" customFormat="false" ht="15" hidden="false" customHeight="false" outlineLevel="0" collapsed="false">
      <c r="B781" s="19" t="s">
        <v>7502</v>
      </c>
      <c r="C781" s="20" t="n">
        <f aca="false">ROUND(3.9/FX,2)</f>
        <v>0.54</v>
      </c>
      <c r="D781" s="21" t="s">
        <v>714</v>
      </c>
      <c r="E781" s="21" t="s">
        <v>734</v>
      </c>
      <c r="F781" s="21" t="s">
        <v>6733</v>
      </c>
      <c r="G781" s="21" t="s">
        <v>7067</v>
      </c>
      <c r="H781" s="21" t="s">
        <v>3247</v>
      </c>
      <c r="I781" s="21" t="s">
        <v>6740</v>
      </c>
    </row>
    <row r="782" customFormat="false" ht="15" hidden="false" customHeight="false" outlineLevel="0" collapsed="false">
      <c r="B782" s="19" t="s">
        <v>7503</v>
      </c>
      <c r="C782" s="20" t="n">
        <f aca="false">ROUND(3.9/FX,2)</f>
        <v>0.54</v>
      </c>
      <c r="D782" s="21" t="s">
        <v>707</v>
      </c>
      <c r="E782" s="21" t="s">
        <v>734</v>
      </c>
      <c r="F782" s="21" t="s">
        <v>6712</v>
      </c>
      <c r="G782" s="21" t="s">
        <v>7067</v>
      </c>
      <c r="H782" s="21" t="s">
        <v>3247</v>
      </c>
      <c r="I782" s="21" t="s">
        <v>845</v>
      </c>
    </row>
    <row r="783" customFormat="false" ht="15" hidden="false" customHeight="false" outlineLevel="0" collapsed="false">
      <c r="B783" s="19" t="s">
        <v>7504</v>
      </c>
      <c r="C783" s="20" t="n">
        <f aca="false">ROUND(3.9/FX,2)</f>
        <v>0.54</v>
      </c>
      <c r="D783" s="21" t="s">
        <v>707</v>
      </c>
      <c r="E783" s="21" t="s">
        <v>734</v>
      </c>
      <c r="F783" s="21" t="s">
        <v>6698</v>
      </c>
      <c r="G783" s="21" t="s">
        <v>7067</v>
      </c>
      <c r="H783" s="21" t="s">
        <v>3247</v>
      </c>
      <c r="I783" s="21" t="s">
        <v>847</v>
      </c>
    </row>
    <row r="784" customFormat="false" ht="15" hidden="false" customHeight="false" outlineLevel="0" collapsed="false">
      <c r="B784" s="19" t="s">
        <v>7505</v>
      </c>
      <c r="C784" s="20" t="n">
        <f aca="false">ROUND(3.77/FX,2)</f>
        <v>0.52</v>
      </c>
      <c r="D784" s="21" t="s">
        <v>714</v>
      </c>
      <c r="E784" s="21" t="s">
        <v>734</v>
      </c>
      <c r="F784" s="21" t="s">
        <v>6698</v>
      </c>
      <c r="G784" s="21" t="s">
        <v>7067</v>
      </c>
      <c r="H784" s="21" t="s">
        <v>3247</v>
      </c>
      <c r="I784" s="21" t="s">
        <v>847</v>
      </c>
    </row>
    <row r="785" customFormat="false" ht="15" hidden="false" customHeight="false" outlineLevel="0" collapsed="false">
      <c r="B785" s="19" t="s">
        <v>7506</v>
      </c>
      <c r="C785" s="20" t="n">
        <f aca="false">ROUND(3.9/FX,2)</f>
        <v>0.54</v>
      </c>
      <c r="D785" s="21" t="s">
        <v>716</v>
      </c>
      <c r="E785" s="21" t="s">
        <v>734</v>
      </c>
      <c r="F785" s="21" t="s">
        <v>6698</v>
      </c>
      <c r="G785" s="21" t="s">
        <v>7067</v>
      </c>
      <c r="H785" s="21" t="s">
        <v>3247</v>
      </c>
      <c r="I785" s="21" t="s">
        <v>847</v>
      </c>
    </row>
    <row r="786" customFormat="false" ht="15" hidden="false" customHeight="false" outlineLevel="0" collapsed="false">
      <c r="B786" s="19" t="s">
        <v>7507</v>
      </c>
      <c r="C786" s="20" t="n">
        <f aca="false">ROUND(4.68/FX,2)</f>
        <v>0.65</v>
      </c>
      <c r="D786" s="21" t="s">
        <v>714</v>
      </c>
      <c r="E786" s="21" t="s">
        <v>734</v>
      </c>
      <c r="F786" s="21" t="s">
        <v>6712</v>
      </c>
      <c r="G786" s="21" t="s">
        <v>7067</v>
      </c>
      <c r="H786" s="21" t="s">
        <v>6723</v>
      </c>
      <c r="I786" s="21" t="s">
        <v>707</v>
      </c>
    </row>
    <row r="787" customFormat="false" ht="15" hidden="false" customHeight="false" outlineLevel="0" collapsed="false">
      <c r="B787" s="19" t="s">
        <v>7508</v>
      </c>
      <c r="C787" s="20" t="n">
        <f aca="false">ROUND(4.68/FX,2)</f>
        <v>0.65</v>
      </c>
      <c r="D787" s="21" t="s">
        <v>714</v>
      </c>
      <c r="E787" s="21" t="s">
        <v>734</v>
      </c>
      <c r="F787" s="21" t="s">
        <v>6712</v>
      </c>
      <c r="G787" s="21" t="s">
        <v>7067</v>
      </c>
      <c r="H787" s="21" t="s">
        <v>6723</v>
      </c>
      <c r="I787" s="21" t="s">
        <v>761</v>
      </c>
    </row>
    <row r="788" customFormat="false" ht="15" hidden="false" customHeight="false" outlineLevel="0" collapsed="false">
      <c r="B788" s="19" t="s">
        <v>7509</v>
      </c>
      <c r="C788" s="20" t="n">
        <f aca="false">ROUND(4.55/FX,2)</f>
        <v>0.63</v>
      </c>
      <c r="D788" s="21" t="s">
        <v>3317</v>
      </c>
      <c r="E788" s="21" t="s">
        <v>734</v>
      </c>
      <c r="F788" s="21" t="s">
        <v>6712</v>
      </c>
      <c r="G788" s="21" t="s">
        <v>7067</v>
      </c>
      <c r="H788" s="21" t="s">
        <v>6723</v>
      </c>
      <c r="I788" s="21" t="s">
        <v>761</v>
      </c>
    </row>
    <row r="789" customFormat="false" ht="15" hidden="false" customHeight="false" outlineLevel="0" collapsed="false">
      <c r="B789" s="19" t="s">
        <v>7510</v>
      </c>
      <c r="C789" s="20" t="n">
        <f aca="false">ROUND(4.42/FX,2)</f>
        <v>0.61</v>
      </c>
      <c r="D789" s="21" t="s">
        <v>714</v>
      </c>
      <c r="E789" s="21" t="s">
        <v>734</v>
      </c>
      <c r="F789" s="21" t="s">
        <v>6698</v>
      </c>
      <c r="G789" s="21" t="s">
        <v>7067</v>
      </c>
      <c r="H789" s="21" t="s">
        <v>6723</v>
      </c>
      <c r="I789" s="21" t="s">
        <v>4721</v>
      </c>
    </row>
    <row r="790" customFormat="false" ht="15" hidden="false" customHeight="false" outlineLevel="0" collapsed="false">
      <c r="B790" s="19" t="s">
        <v>7511</v>
      </c>
      <c r="C790" s="20" t="n">
        <f aca="false">ROUND(4.42/FX,2)</f>
        <v>0.61</v>
      </c>
      <c r="D790" s="21" t="s">
        <v>714</v>
      </c>
      <c r="E790" s="21" t="s">
        <v>734</v>
      </c>
      <c r="F790" s="21" t="s">
        <v>6698</v>
      </c>
      <c r="G790" s="21" t="s">
        <v>7067</v>
      </c>
      <c r="H790" s="21" t="s">
        <v>6723</v>
      </c>
      <c r="I790" s="21" t="s">
        <v>714</v>
      </c>
    </row>
    <row r="791" customFormat="false" ht="15" hidden="false" customHeight="false" outlineLevel="0" collapsed="false">
      <c r="B791" s="19" t="s">
        <v>7512</v>
      </c>
      <c r="C791" s="20" t="n">
        <f aca="false">ROUND(3.9/FX,2)</f>
        <v>0.54</v>
      </c>
      <c r="D791" s="21" t="s">
        <v>714</v>
      </c>
      <c r="E791" s="21" t="s">
        <v>734</v>
      </c>
      <c r="F791" s="21" t="s">
        <v>6712</v>
      </c>
      <c r="G791" s="21" t="s">
        <v>7067</v>
      </c>
      <c r="H791" s="21" t="s">
        <v>6723</v>
      </c>
      <c r="I791" s="21" t="s">
        <v>789</v>
      </c>
    </row>
    <row r="792" customFormat="false" ht="15" hidden="false" customHeight="false" outlineLevel="0" collapsed="false">
      <c r="B792" s="19" t="s">
        <v>7513</v>
      </c>
      <c r="C792" s="20" t="n">
        <f aca="false">ROUND(3.9/FX,2)</f>
        <v>0.54</v>
      </c>
      <c r="D792" s="21" t="s">
        <v>714</v>
      </c>
      <c r="E792" s="21" t="s">
        <v>734</v>
      </c>
      <c r="F792" s="21" t="s">
        <v>6712</v>
      </c>
      <c r="G792" s="21" t="s">
        <v>7067</v>
      </c>
      <c r="H792" s="21" t="s">
        <v>6723</v>
      </c>
      <c r="I792" s="21" t="s">
        <v>716</v>
      </c>
    </row>
    <row r="793" customFormat="false" ht="15" hidden="false" customHeight="false" outlineLevel="0" collapsed="false">
      <c r="B793" s="19" t="s">
        <v>7514</v>
      </c>
      <c r="C793" s="20" t="n">
        <f aca="false">ROUND(4.42/FX,2)</f>
        <v>0.61</v>
      </c>
      <c r="D793" s="21" t="s">
        <v>714</v>
      </c>
      <c r="E793" s="21" t="s">
        <v>734</v>
      </c>
      <c r="F793" s="21" t="s">
        <v>6712</v>
      </c>
      <c r="G793" s="21" t="s">
        <v>7067</v>
      </c>
      <c r="H793" s="21" t="s">
        <v>6723</v>
      </c>
      <c r="I793" s="21" t="s">
        <v>6740</v>
      </c>
    </row>
    <row r="794" customFormat="false" ht="15" hidden="false" customHeight="false" outlineLevel="0" collapsed="false">
      <c r="B794" s="19" t="s">
        <v>7515</v>
      </c>
      <c r="C794" s="20" t="n">
        <f aca="false">ROUND(4.68/FX,2)</f>
        <v>0.65</v>
      </c>
      <c r="D794" s="21" t="s">
        <v>707</v>
      </c>
      <c r="E794" s="21" t="s">
        <v>734</v>
      </c>
      <c r="F794" s="21" t="s">
        <v>6712</v>
      </c>
      <c r="G794" s="21" t="s">
        <v>7067</v>
      </c>
      <c r="H794" s="21" t="s">
        <v>6723</v>
      </c>
      <c r="I794" s="21" t="s">
        <v>847</v>
      </c>
    </row>
    <row r="795" customFormat="false" ht="15" hidden="false" customHeight="false" outlineLevel="0" collapsed="false">
      <c r="B795" s="19" t="s">
        <v>7516</v>
      </c>
      <c r="C795" s="20" t="n">
        <f aca="false">ROUND(4.64/FX,2)</f>
        <v>0.64</v>
      </c>
      <c r="D795" s="21" t="s">
        <v>714</v>
      </c>
      <c r="E795" s="21" t="s">
        <v>734</v>
      </c>
      <c r="F795" s="21" t="s">
        <v>6712</v>
      </c>
      <c r="G795" s="21" t="s">
        <v>7067</v>
      </c>
      <c r="H795" s="21" t="s">
        <v>6723</v>
      </c>
      <c r="I795" s="21" t="s">
        <v>847</v>
      </c>
    </row>
    <row r="796" customFormat="false" ht="15" hidden="false" customHeight="false" outlineLevel="0" collapsed="false">
      <c r="B796" s="19" t="s">
        <v>7517</v>
      </c>
      <c r="C796" s="20" t="n">
        <f aca="false">ROUND(5.59/FX,2)</f>
        <v>0.78</v>
      </c>
      <c r="D796" s="21" t="s">
        <v>3317</v>
      </c>
      <c r="E796" s="21" t="s">
        <v>734</v>
      </c>
      <c r="F796" s="21" t="s">
        <v>6712</v>
      </c>
      <c r="G796" s="21" t="s">
        <v>7067</v>
      </c>
      <c r="H796" s="21" t="s">
        <v>6723</v>
      </c>
      <c r="I796" s="21" t="s">
        <v>847</v>
      </c>
    </row>
    <row r="797" customFormat="false" ht="15" hidden="false" customHeight="false" outlineLevel="0" collapsed="false">
      <c r="B797" s="19" t="s">
        <v>7518</v>
      </c>
      <c r="C797" s="20" t="n">
        <f aca="false">ROUND(4.42/FX,2)</f>
        <v>0.61</v>
      </c>
      <c r="D797" s="21" t="s">
        <v>716</v>
      </c>
      <c r="E797" s="21" t="s">
        <v>734</v>
      </c>
      <c r="F797" s="21" t="s">
        <v>6698</v>
      </c>
      <c r="G797" s="21" t="s">
        <v>7067</v>
      </c>
      <c r="H797" s="21" t="s">
        <v>6723</v>
      </c>
      <c r="I797" s="21" t="s">
        <v>847</v>
      </c>
    </row>
    <row r="798" customFormat="false" ht="15" hidden="false" customHeight="false" outlineLevel="0" collapsed="false">
      <c r="B798" s="19" t="s">
        <v>7519</v>
      </c>
      <c r="C798" s="20" t="n">
        <f aca="false">ROUND(5.07/FX,2)</f>
        <v>0.7</v>
      </c>
      <c r="D798" s="21" t="s">
        <v>3247</v>
      </c>
      <c r="E798" s="21" t="s">
        <v>734</v>
      </c>
      <c r="F798" s="21" t="s">
        <v>6712</v>
      </c>
      <c r="G798" s="21" t="s">
        <v>7067</v>
      </c>
      <c r="H798" s="21" t="s">
        <v>3317</v>
      </c>
      <c r="I798" s="21" t="s">
        <v>4721</v>
      </c>
    </row>
    <row r="801" customFormat="false" ht="61.5" hidden="false" customHeight="true" outlineLevel="0" collapsed="false">
      <c r="A801" s="9"/>
      <c r="B801" s="10" t="s">
        <v>7520</v>
      </c>
      <c r="C801" s="10"/>
      <c r="D801" s="10"/>
      <c r="E801" s="10"/>
      <c r="F801" s="10"/>
      <c r="G801" s="10"/>
      <c r="H801" s="10"/>
      <c r="I801" s="10"/>
    </row>
    <row r="802" customFormat="false" ht="15" hidden="false" customHeight="false" outlineLevel="0" collapsed="false">
      <c r="A802" s="12" t="s">
        <v>700</v>
      </c>
      <c r="B802" s="13" t="s">
        <v>701</v>
      </c>
      <c r="C802" s="13" t="s">
        <v>702</v>
      </c>
      <c r="D802" s="13" t="s">
        <v>703</v>
      </c>
      <c r="E802" s="13" t="s">
        <v>723</v>
      </c>
      <c r="F802" s="13" t="s">
        <v>6354</v>
      </c>
      <c r="G802" s="13" t="s">
        <v>6328</v>
      </c>
      <c r="H802" s="13" t="s">
        <v>6695</v>
      </c>
      <c r="I802" s="13" t="s">
        <v>6696</v>
      </c>
    </row>
    <row r="803" customFormat="false" ht="30" hidden="false" customHeight="true" outlineLevel="0" collapsed="false">
      <c r="A803" s="14" t="s">
        <v>706</v>
      </c>
      <c r="B803" s="15" t="str">
        <f aca="false">IF(COUNTIFS($D$806:$D$919,IF(D803="","*",D803),$E$806:$E$919,IF(E803="","*",E803),$F$806:$F$919,IF(F803="","*",F803),$G$806:$G$919,IF(G803="","*",G803),$H$806:$H$919,IF(H803="","*",H803),$I$806:$I$919,IF(I803="","*",I803))=1,INDEX($B:$B,SUMPRODUCT(((D803="")+($D$806:$D$919=D803)&gt;0)*((E803="")+($E$806:$E$919=E803)&gt;0)*((F803="")+($F$806:$F$919=F803)&gt;0)*((G803="")+($G$806:$G$919=G803)&gt;0)*((H803="")+($H$806:$H$919=H803)&gt;0)*((I803="")+($I$806:$I$919=I803)&gt;0)*ROW($B$806:$B$919))),IF(COUNTIFS($D$806:$D$919,IF(D803="","*",D803),$E$806:$E$919,IF(E803="","*",E803),$F$806:$F$919,IF(F803="","*",F803),$G$806:$G$919,IF(G803="","*",G803),$H$806:$H$919,IF(H803="","*",H803),$I$806:$I$919,IF(I803="","*",I803))=0,"Not available",COUNTIFS($D$806:$D$919,IF(D803="","*",D803),$E$806:$E$919,IF(E803="","*",E803),$F$806:$F$919,IF(F803="","*",F803),$G$806:$G$919,IF(G803="","*",G803),$H$806:$H$919,IF(H803="","*",H803),$I$806:$I$919,IF(I803="","*",I803))&amp;" match, keep choosing"))</f>
        <v>5M-AF12-8-20-MS</v>
      </c>
      <c r="C803" s="16" t="n">
        <f aca="false">IF(COUNTIFS($D$806:$D$919,IF(D803="","*",D803),$E$806:$E$919,IF(E803="","*",E803),$F$806:$F$919,IF(F803="","*",F803),$G$806:$G$919,IF(G803="","*",G803),$H$806:$H$919,IF(H803="","*",H803),$I$806:$I$919,IF(I803="","*",I803))=1,INDEX($C:$C,SUMPRODUCT(((D803="")+($D$806:$D$919=D803)&gt;0)*((E803="")+($E$806:$E$919=E803)&gt;0)*((F803="")+($F$806:$F$919=F803)&gt;0)*((G803="")+($G$806:$G$919=G803)&gt;0)*((H803="")+($H$806:$H$919=H803)&gt;0)*((I803="")+($I$806:$I$919=I803)&gt;0)*ROW($B$806:$B$919))),"")</f>
        <v>0.61</v>
      </c>
      <c r="D803" s="17" t="s">
        <v>3247</v>
      </c>
      <c r="E803" s="17" t="s">
        <v>734</v>
      </c>
      <c r="F803" s="17" t="s">
        <v>6698</v>
      </c>
      <c r="G803" s="17" t="s">
        <v>6699</v>
      </c>
      <c r="H803" s="17" t="s">
        <v>761</v>
      </c>
      <c r="I803" s="17" t="s">
        <v>847</v>
      </c>
    </row>
    <row r="805" customFormat="false" ht="15" hidden="false" customHeight="false" outlineLevel="0" collapsed="false">
      <c r="B805" s="18" t="s">
        <v>701</v>
      </c>
      <c r="C805" s="18" t="s">
        <v>702</v>
      </c>
      <c r="D805" s="18" t="s">
        <v>703</v>
      </c>
      <c r="E805" s="18" t="s">
        <v>723</v>
      </c>
      <c r="F805" s="18" t="s">
        <v>6354</v>
      </c>
      <c r="G805" s="18" t="s">
        <v>6328</v>
      </c>
      <c r="H805" s="18" t="s">
        <v>6695</v>
      </c>
      <c r="I805" s="18" t="s">
        <v>6696</v>
      </c>
    </row>
    <row r="806" customFormat="false" ht="15" hidden="false" customHeight="false" outlineLevel="0" collapsed="false">
      <c r="B806" s="19" t="s">
        <v>7521</v>
      </c>
      <c r="C806" s="20" t="n">
        <f aca="false">ROUND(4.42/FX,2)</f>
        <v>0.61</v>
      </c>
      <c r="D806" s="21" t="s">
        <v>3247</v>
      </c>
      <c r="E806" s="21" t="s">
        <v>734</v>
      </c>
      <c r="F806" s="21" t="s">
        <v>6698</v>
      </c>
      <c r="G806" s="21" t="s">
        <v>6699</v>
      </c>
      <c r="H806" s="21" t="s">
        <v>761</v>
      </c>
      <c r="I806" s="21" t="s">
        <v>847</v>
      </c>
    </row>
    <row r="807" customFormat="false" ht="15" hidden="false" customHeight="false" outlineLevel="0" collapsed="false">
      <c r="B807" s="19" t="s">
        <v>7522</v>
      </c>
      <c r="C807" s="20" t="n">
        <f aca="false">ROUND(5.2/FX,2)</f>
        <v>0.72</v>
      </c>
      <c r="D807" s="21" t="s">
        <v>716</v>
      </c>
      <c r="E807" s="21" t="s">
        <v>734</v>
      </c>
      <c r="F807" s="21" t="s">
        <v>6712</v>
      </c>
      <c r="G807" s="21" t="s">
        <v>6699</v>
      </c>
      <c r="H807" s="21" t="s">
        <v>714</v>
      </c>
      <c r="I807" s="21" t="s">
        <v>707</v>
      </c>
    </row>
    <row r="808" customFormat="false" ht="15" hidden="false" customHeight="false" outlineLevel="0" collapsed="false">
      <c r="B808" s="19" t="s">
        <v>7523</v>
      </c>
      <c r="C808" s="20" t="n">
        <f aca="false">ROUND(5.2/FX,2)</f>
        <v>0.72</v>
      </c>
      <c r="D808" s="21" t="s">
        <v>716</v>
      </c>
      <c r="E808" s="21" t="s">
        <v>734</v>
      </c>
      <c r="F808" s="21" t="s">
        <v>6712</v>
      </c>
      <c r="G808" s="21" t="s">
        <v>6699</v>
      </c>
      <c r="H808" s="21" t="s">
        <v>714</v>
      </c>
      <c r="I808" s="21" t="s">
        <v>716</v>
      </c>
    </row>
    <row r="809" customFormat="false" ht="15" hidden="false" customHeight="false" outlineLevel="0" collapsed="false">
      <c r="B809" s="19" t="s">
        <v>7524</v>
      </c>
      <c r="C809" s="20" t="n">
        <f aca="false">ROUND(4.55/FX,2)</f>
        <v>0.63</v>
      </c>
      <c r="D809" s="21" t="s">
        <v>714</v>
      </c>
      <c r="E809" s="21" t="s">
        <v>734</v>
      </c>
      <c r="F809" s="21" t="s">
        <v>6712</v>
      </c>
      <c r="G809" s="21" t="s">
        <v>6699</v>
      </c>
      <c r="H809" s="21" t="s">
        <v>714</v>
      </c>
      <c r="I809" s="21" t="s">
        <v>847</v>
      </c>
    </row>
    <row r="810" customFormat="false" ht="15" hidden="false" customHeight="false" outlineLevel="0" collapsed="false">
      <c r="B810" s="19" t="s">
        <v>7525</v>
      </c>
      <c r="C810" s="20" t="n">
        <f aca="false">ROUND(5.59/FX,2)</f>
        <v>0.78</v>
      </c>
      <c r="D810" s="21" t="s">
        <v>3833</v>
      </c>
      <c r="E810" s="21" t="s">
        <v>734</v>
      </c>
      <c r="F810" s="21" t="s">
        <v>6712</v>
      </c>
      <c r="G810" s="21" t="s">
        <v>6699</v>
      </c>
      <c r="H810" s="21" t="s">
        <v>714</v>
      </c>
      <c r="I810" s="21" t="s">
        <v>847</v>
      </c>
    </row>
    <row r="811" customFormat="false" ht="15" hidden="false" customHeight="false" outlineLevel="0" collapsed="false">
      <c r="B811" s="19" t="s">
        <v>7526</v>
      </c>
      <c r="C811" s="20" t="n">
        <f aca="false">ROUND(7.61/FX,2)</f>
        <v>1.06</v>
      </c>
      <c r="D811" s="21" t="s">
        <v>714</v>
      </c>
      <c r="E811" s="21" t="s">
        <v>734</v>
      </c>
      <c r="F811" s="21" t="s">
        <v>6712</v>
      </c>
      <c r="G811" s="21" t="s">
        <v>6699</v>
      </c>
      <c r="H811" s="21" t="s">
        <v>4000</v>
      </c>
      <c r="I811" s="21" t="s">
        <v>4000</v>
      </c>
    </row>
    <row r="812" customFormat="false" ht="15" hidden="false" customHeight="false" outlineLevel="0" collapsed="false">
      <c r="B812" s="19" t="s">
        <v>7527</v>
      </c>
      <c r="C812" s="20" t="n">
        <f aca="false">ROUND(5.85/FX,2)</f>
        <v>0.81</v>
      </c>
      <c r="D812" s="21" t="s">
        <v>714</v>
      </c>
      <c r="E812" s="21" t="s">
        <v>734</v>
      </c>
      <c r="F812" s="21" t="s">
        <v>6698</v>
      </c>
      <c r="G812" s="21" t="s">
        <v>6699</v>
      </c>
      <c r="H812" s="21" t="s">
        <v>3247</v>
      </c>
      <c r="I812" s="21" t="s">
        <v>707</v>
      </c>
    </row>
    <row r="813" customFormat="false" ht="15" hidden="false" customHeight="false" outlineLevel="0" collapsed="false">
      <c r="B813" s="19" t="s">
        <v>7528</v>
      </c>
      <c r="C813" s="20" t="n">
        <f aca="false">ROUND(5.2/FX,2)</f>
        <v>0.72</v>
      </c>
      <c r="D813" s="21" t="s">
        <v>714</v>
      </c>
      <c r="E813" s="21" t="s">
        <v>734</v>
      </c>
      <c r="F813" s="21" t="s">
        <v>6712</v>
      </c>
      <c r="G813" s="21" t="s">
        <v>6699</v>
      </c>
      <c r="H813" s="21" t="s">
        <v>3247</v>
      </c>
      <c r="I813" s="21" t="s">
        <v>4721</v>
      </c>
    </row>
    <row r="814" customFormat="false" ht="15" hidden="false" customHeight="false" outlineLevel="0" collapsed="false">
      <c r="B814" s="19" t="s">
        <v>7529</v>
      </c>
      <c r="C814" s="20" t="n">
        <f aca="false">ROUND(6.11/FX,2)</f>
        <v>0.85</v>
      </c>
      <c r="D814" s="21" t="s">
        <v>3247</v>
      </c>
      <c r="E814" s="21" t="s">
        <v>734</v>
      </c>
      <c r="F814" s="21" t="s">
        <v>6712</v>
      </c>
      <c r="G814" s="21" t="s">
        <v>6699</v>
      </c>
      <c r="H814" s="21" t="s">
        <v>3247</v>
      </c>
      <c r="I814" s="21" t="s">
        <v>4721</v>
      </c>
    </row>
    <row r="815" customFormat="false" ht="15" hidden="false" customHeight="false" outlineLevel="0" collapsed="false">
      <c r="B815" s="19" t="s">
        <v>7530</v>
      </c>
      <c r="C815" s="20" t="n">
        <f aca="false">ROUND(5.85/FX,2)</f>
        <v>0.81</v>
      </c>
      <c r="D815" s="21" t="s">
        <v>714</v>
      </c>
      <c r="E815" s="21" t="s">
        <v>734</v>
      </c>
      <c r="F815" s="21" t="s">
        <v>6698</v>
      </c>
      <c r="G815" s="21" t="s">
        <v>6699</v>
      </c>
      <c r="H815" s="21" t="s">
        <v>3247</v>
      </c>
      <c r="I815" s="21" t="s">
        <v>714</v>
      </c>
    </row>
    <row r="816" customFormat="false" ht="15" hidden="false" customHeight="false" outlineLevel="0" collapsed="false">
      <c r="B816" s="19" t="s">
        <v>7531</v>
      </c>
      <c r="C816" s="20" t="n">
        <f aca="false">ROUND(5.85/FX,2)</f>
        <v>0.81</v>
      </c>
      <c r="D816" s="21" t="s">
        <v>3247</v>
      </c>
      <c r="E816" s="21" t="s">
        <v>734</v>
      </c>
      <c r="F816" s="21" t="s">
        <v>6698</v>
      </c>
      <c r="G816" s="21" t="s">
        <v>6699</v>
      </c>
      <c r="H816" s="21" t="s">
        <v>3247</v>
      </c>
      <c r="I816" s="21" t="s">
        <v>789</v>
      </c>
    </row>
    <row r="817" customFormat="false" ht="15" hidden="false" customHeight="false" outlineLevel="0" collapsed="false">
      <c r="B817" s="19" t="s">
        <v>7532</v>
      </c>
      <c r="C817" s="20" t="n">
        <f aca="false">ROUND(5.2/FX,2)</f>
        <v>0.72</v>
      </c>
      <c r="D817" s="21" t="s">
        <v>4761</v>
      </c>
      <c r="E817" s="21" t="s">
        <v>734</v>
      </c>
      <c r="F817" s="21" t="s">
        <v>6712</v>
      </c>
      <c r="G817" s="21" t="s">
        <v>6699</v>
      </c>
      <c r="H817" s="21" t="s">
        <v>3247</v>
      </c>
      <c r="I817" s="21" t="s">
        <v>716</v>
      </c>
    </row>
    <row r="818" customFormat="false" ht="15" hidden="false" customHeight="false" outlineLevel="0" collapsed="false">
      <c r="B818" s="19" t="s">
        <v>7533</v>
      </c>
      <c r="C818" s="20" t="n">
        <f aca="false">ROUND(5.2/FX,2)</f>
        <v>0.72</v>
      </c>
      <c r="D818" s="21" t="s">
        <v>707</v>
      </c>
      <c r="E818" s="21" t="s">
        <v>734</v>
      </c>
      <c r="F818" s="21" t="s">
        <v>6712</v>
      </c>
      <c r="G818" s="21" t="s">
        <v>6699</v>
      </c>
      <c r="H818" s="21" t="s">
        <v>3247</v>
      </c>
      <c r="I818" s="21" t="s">
        <v>847</v>
      </c>
    </row>
    <row r="819" customFormat="false" ht="15" hidden="false" customHeight="false" outlineLevel="0" collapsed="false">
      <c r="B819" s="19" t="s">
        <v>7534</v>
      </c>
      <c r="C819" s="20" t="n">
        <f aca="false">ROUND(5.85/FX,2)</f>
        <v>0.81</v>
      </c>
      <c r="D819" s="21" t="s">
        <v>714</v>
      </c>
      <c r="E819" s="21" t="s">
        <v>734</v>
      </c>
      <c r="F819" s="21" t="s">
        <v>6712</v>
      </c>
      <c r="G819" s="21" t="s">
        <v>6699</v>
      </c>
      <c r="H819" s="21" t="s">
        <v>3247</v>
      </c>
      <c r="I819" s="21" t="s">
        <v>847</v>
      </c>
    </row>
    <row r="820" customFormat="false" ht="15" hidden="false" customHeight="false" outlineLevel="0" collapsed="false">
      <c r="B820" s="19" t="s">
        <v>7535</v>
      </c>
      <c r="C820" s="20" t="n">
        <f aca="false">ROUND(5.2/FX,2)</f>
        <v>0.72</v>
      </c>
      <c r="D820" s="21" t="s">
        <v>3833</v>
      </c>
      <c r="E820" s="21" t="s">
        <v>734</v>
      </c>
      <c r="F820" s="21" t="s">
        <v>6712</v>
      </c>
      <c r="G820" s="21" t="s">
        <v>6699</v>
      </c>
      <c r="H820" s="21" t="s">
        <v>3247</v>
      </c>
      <c r="I820" s="21" t="s">
        <v>847</v>
      </c>
    </row>
    <row r="821" customFormat="false" ht="15" hidden="false" customHeight="false" outlineLevel="0" collapsed="false">
      <c r="B821" s="19" t="s">
        <v>7536</v>
      </c>
      <c r="C821" s="20" t="n">
        <f aca="false">ROUND(6.11/FX,2)</f>
        <v>0.85</v>
      </c>
      <c r="D821" s="21" t="s">
        <v>3247</v>
      </c>
      <c r="E821" s="21" t="s">
        <v>734</v>
      </c>
      <c r="F821" s="21" t="s">
        <v>6712</v>
      </c>
      <c r="G821" s="21" t="s">
        <v>6699</v>
      </c>
      <c r="H821" s="21" t="s">
        <v>3247</v>
      </c>
      <c r="I821" s="21" t="s">
        <v>847</v>
      </c>
    </row>
    <row r="822" customFormat="false" ht="15" hidden="false" customHeight="false" outlineLevel="0" collapsed="false">
      <c r="B822" s="19" t="s">
        <v>7537</v>
      </c>
      <c r="C822" s="20" t="n">
        <f aca="false">ROUND(11.7/FX,2)</f>
        <v>1.63</v>
      </c>
      <c r="D822" s="21" t="s">
        <v>6940</v>
      </c>
      <c r="E822" s="21" t="s">
        <v>734</v>
      </c>
      <c r="F822" s="21" t="s">
        <v>6712</v>
      </c>
      <c r="G822" s="21" t="s">
        <v>6699</v>
      </c>
      <c r="H822" s="21" t="s">
        <v>3317</v>
      </c>
      <c r="I822" s="21" t="s">
        <v>4721</v>
      </c>
    </row>
    <row r="823" customFormat="false" ht="15" hidden="false" customHeight="false" outlineLevel="0" collapsed="false">
      <c r="B823" s="19" t="s">
        <v>7538</v>
      </c>
      <c r="C823" s="20" t="n">
        <f aca="false">ROUND(28.6/FX,2)</f>
        <v>3.97</v>
      </c>
      <c r="D823" s="21" t="s">
        <v>784</v>
      </c>
      <c r="E823" s="21" t="s">
        <v>734</v>
      </c>
      <c r="F823" s="21" t="s">
        <v>6698</v>
      </c>
      <c r="G823" s="21" t="s">
        <v>6699</v>
      </c>
      <c r="H823" s="21" t="s">
        <v>5496</v>
      </c>
      <c r="I823" s="21" t="s">
        <v>714</v>
      </c>
    </row>
    <row r="824" customFormat="false" ht="15" hidden="false" customHeight="false" outlineLevel="0" collapsed="false">
      <c r="B824" s="19" t="s">
        <v>7539</v>
      </c>
      <c r="C824" s="20" t="n">
        <f aca="false">ROUND(31.2/FX,2)</f>
        <v>4.33</v>
      </c>
      <c r="D824" s="21" t="s">
        <v>3328</v>
      </c>
      <c r="E824" s="21" t="s">
        <v>734</v>
      </c>
      <c r="F824" s="21" t="s">
        <v>6698</v>
      </c>
      <c r="G824" s="21" t="s">
        <v>6699</v>
      </c>
      <c r="H824" s="21" t="s">
        <v>5496</v>
      </c>
      <c r="I824" s="21" t="s">
        <v>3247</v>
      </c>
    </row>
    <row r="825" customFormat="false" ht="15" hidden="false" customHeight="false" outlineLevel="0" collapsed="false">
      <c r="B825" s="19" t="s">
        <v>7540</v>
      </c>
      <c r="C825" s="20" t="n">
        <f aca="false">ROUND(97.5/FX,2)</f>
        <v>13.54</v>
      </c>
      <c r="D825" s="21" t="s">
        <v>714</v>
      </c>
      <c r="E825" s="21" t="s">
        <v>734</v>
      </c>
      <c r="F825" s="21" t="s">
        <v>6698</v>
      </c>
      <c r="G825" s="21" t="s">
        <v>6758</v>
      </c>
      <c r="H825" s="21" t="s">
        <v>2600</v>
      </c>
      <c r="I825" s="21" t="s">
        <v>847</v>
      </c>
    </row>
    <row r="826" customFormat="false" ht="15" hidden="false" customHeight="false" outlineLevel="0" collapsed="false">
      <c r="B826" s="19" t="s">
        <v>7541</v>
      </c>
      <c r="C826" s="20" t="n">
        <f aca="false">ROUND(4.55/FX,2)</f>
        <v>0.63</v>
      </c>
      <c r="D826" s="21" t="s">
        <v>714</v>
      </c>
      <c r="E826" s="21" t="s">
        <v>734</v>
      </c>
      <c r="F826" s="21" t="s">
        <v>6733</v>
      </c>
      <c r="G826" s="21" t="s">
        <v>6758</v>
      </c>
      <c r="H826" s="21" t="s">
        <v>714</v>
      </c>
      <c r="I826" s="21" t="s">
        <v>707</v>
      </c>
    </row>
    <row r="827" customFormat="false" ht="15" hidden="false" customHeight="false" outlineLevel="0" collapsed="false">
      <c r="B827" s="19" t="s">
        <v>7542</v>
      </c>
      <c r="C827" s="20" t="n">
        <f aca="false">ROUND(5.33/FX,2)</f>
        <v>0.74</v>
      </c>
      <c r="D827" s="21" t="s">
        <v>714</v>
      </c>
      <c r="E827" s="21" t="s">
        <v>734</v>
      </c>
      <c r="F827" s="21" t="s">
        <v>6712</v>
      </c>
      <c r="G827" s="21" t="s">
        <v>6758</v>
      </c>
      <c r="H827" s="21" t="s">
        <v>714</v>
      </c>
      <c r="I827" s="21" t="s">
        <v>761</v>
      </c>
    </row>
    <row r="828" customFormat="false" ht="15" hidden="false" customHeight="false" outlineLevel="0" collapsed="false">
      <c r="B828" s="19" t="s">
        <v>7543</v>
      </c>
      <c r="C828" s="20" t="n">
        <f aca="false">ROUND(4.55/FX,2)</f>
        <v>0.63</v>
      </c>
      <c r="D828" s="21" t="s">
        <v>714</v>
      </c>
      <c r="E828" s="21" t="s">
        <v>734</v>
      </c>
      <c r="F828" s="21" t="s">
        <v>6733</v>
      </c>
      <c r="G828" s="21" t="s">
        <v>6758</v>
      </c>
      <c r="H828" s="21" t="s">
        <v>714</v>
      </c>
      <c r="I828" s="21" t="s">
        <v>4721</v>
      </c>
    </row>
    <row r="829" customFormat="false" ht="15" hidden="false" customHeight="false" outlineLevel="0" collapsed="false">
      <c r="B829" s="19" t="s">
        <v>7544</v>
      </c>
      <c r="C829" s="20" t="n">
        <f aca="false">ROUND(7.61/FX,2)</f>
        <v>1.06</v>
      </c>
      <c r="D829" s="21" t="s">
        <v>707</v>
      </c>
      <c r="E829" s="21" t="s">
        <v>734</v>
      </c>
      <c r="F829" s="21" t="s">
        <v>6733</v>
      </c>
      <c r="G829" s="21" t="s">
        <v>6758</v>
      </c>
      <c r="H829" s="21" t="s">
        <v>714</v>
      </c>
      <c r="I829" s="21" t="s">
        <v>6740</v>
      </c>
    </row>
    <row r="830" customFormat="false" ht="15" hidden="false" customHeight="false" outlineLevel="0" collapsed="false">
      <c r="B830" s="19" t="s">
        <v>7545</v>
      </c>
      <c r="C830" s="20" t="n">
        <f aca="false">ROUND(5.2/FX,2)</f>
        <v>0.72</v>
      </c>
      <c r="D830" s="21" t="s">
        <v>714</v>
      </c>
      <c r="E830" s="21" t="s">
        <v>734</v>
      </c>
      <c r="F830" s="21" t="s">
        <v>6698</v>
      </c>
      <c r="G830" s="21" t="s">
        <v>6758</v>
      </c>
      <c r="H830" s="21" t="s">
        <v>714</v>
      </c>
      <c r="I830" s="21" t="s">
        <v>6740</v>
      </c>
    </row>
    <row r="831" customFormat="false" ht="15" hidden="false" customHeight="false" outlineLevel="0" collapsed="false">
      <c r="B831" s="19" t="s">
        <v>7546</v>
      </c>
      <c r="C831" s="20" t="n">
        <f aca="false">ROUND(4.55/FX,2)</f>
        <v>0.63</v>
      </c>
      <c r="D831" s="21" t="s">
        <v>714</v>
      </c>
      <c r="E831" s="21" t="s">
        <v>734</v>
      </c>
      <c r="F831" s="21" t="s">
        <v>6733</v>
      </c>
      <c r="G831" s="21" t="s">
        <v>6758</v>
      </c>
      <c r="H831" s="21" t="s">
        <v>714</v>
      </c>
      <c r="I831" s="21" t="s">
        <v>847</v>
      </c>
    </row>
    <row r="832" customFormat="false" ht="15" hidden="false" customHeight="false" outlineLevel="0" collapsed="false">
      <c r="B832" s="19" t="s">
        <v>7547</v>
      </c>
      <c r="C832" s="20" t="n">
        <f aca="false">ROUND(5.98/FX,2)</f>
        <v>0.83</v>
      </c>
      <c r="D832" s="21" t="s">
        <v>714</v>
      </c>
      <c r="E832" s="21" t="s">
        <v>734</v>
      </c>
      <c r="F832" s="21" t="s">
        <v>6733</v>
      </c>
      <c r="G832" s="21" t="s">
        <v>6758</v>
      </c>
      <c r="H832" s="21" t="s">
        <v>4000</v>
      </c>
      <c r="I832" s="21" t="s">
        <v>707</v>
      </c>
    </row>
    <row r="833" customFormat="false" ht="15" hidden="false" customHeight="false" outlineLevel="0" collapsed="false">
      <c r="B833" s="19" t="s">
        <v>7548</v>
      </c>
      <c r="C833" s="20" t="n">
        <f aca="false">ROUND(5.2/FX,2)</f>
        <v>0.72</v>
      </c>
      <c r="D833" s="21" t="s">
        <v>714</v>
      </c>
      <c r="E833" s="21" t="s">
        <v>734</v>
      </c>
      <c r="F833" s="21" t="s">
        <v>6733</v>
      </c>
      <c r="G833" s="21" t="s">
        <v>6758</v>
      </c>
      <c r="H833" s="21" t="s">
        <v>4000</v>
      </c>
      <c r="I833" s="21" t="s">
        <v>761</v>
      </c>
    </row>
    <row r="834" customFormat="false" ht="15" hidden="false" customHeight="false" outlineLevel="0" collapsed="false">
      <c r="B834" s="19" t="s">
        <v>7549</v>
      </c>
      <c r="C834" s="20" t="n">
        <f aca="false">ROUND(7.8/FX,2)</f>
        <v>1.08</v>
      </c>
      <c r="D834" s="21" t="s">
        <v>4761</v>
      </c>
      <c r="E834" s="21" t="s">
        <v>734</v>
      </c>
      <c r="F834" s="21" t="s">
        <v>7550</v>
      </c>
      <c r="G834" s="21" t="s">
        <v>6758</v>
      </c>
      <c r="H834" s="21" t="s">
        <v>4000</v>
      </c>
      <c r="I834" s="21" t="s">
        <v>6815</v>
      </c>
    </row>
    <row r="835" customFormat="false" ht="15" hidden="false" customHeight="false" outlineLevel="0" collapsed="false">
      <c r="B835" s="19" t="s">
        <v>7551</v>
      </c>
      <c r="C835" s="20" t="n">
        <f aca="false">ROUND(6.37/FX,2)</f>
        <v>0.88</v>
      </c>
      <c r="D835" s="21" t="s">
        <v>714</v>
      </c>
      <c r="E835" s="21" t="s">
        <v>7390</v>
      </c>
      <c r="F835" s="21" t="s">
        <v>6698</v>
      </c>
      <c r="G835" s="21" t="s">
        <v>6758</v>
      </c>
      <c r="H835" s="21" t="s">
        <v>4000</v>
      </c>
      <c r="I835" s="21" t="s">
        <v>6815</v>
      </c>
    </row>
    <row r="836" customFormat="false" ht="15" hidden="false" customHeight="false" outlineLevel="0" collapsed="false">
      <c r="B836" s="19" t="s">
        <v>7552</v>
      </c>
      <c r="C836" s="20" t="n">
        <f aca="false">ROUND(7.8/FX,2)</f>
        <v>1.08</v>
      </c>
      <c r="D836" s="21" t="s">
        <v>4761</v>
      </c>
      <c r="E836" s="21" t="s">
        <v>734</v>
      </c>
      <c r="F836" s="21" t="s">
        <v>7550</v>
      </c>
      <c r="G836" s="21" t="s">
        <v>6758</v>
      </c>
      <c r="H836" s="21" t="s">
        <v>4000</v>
      </c>
      <c r="I836" s="21" t="s">
        <v>4721</v>
      </c>
    </row>
    <row r="837" customFormat="false" ht="15" hidden="false" customHeight="false" outlineLevel="0" collapsed="false">
      <c r="B837" s="19" t="s">
        <v>7553</v>
      </c>
      <c r="C837" s="20" t="n">
        <f aca="false">ROUND(6.37/FX,2)</f>
        <v>0.88</v>
      </c>
      <c r="D837" s="21" t="s">
        <v>714</v>
      </c>
      <c r="E837" s="21" t="s">
        <v>7390</v>
      </c>
      <c r="F837" s="21" t="s">
        <v>6698</v>
      </c>
      <c r="G837" s="21" t="s">
        <v>6758</v>
      </c>
      <c r="H837" s="21" t="s">
        <v>4000</v>
      </c>
      <c r="I837" s="21" t="s">
        <v>4721</v>
      </c>
    </row>
    <row r="838" customFormat="false" ht="15" hidden="false" customHeight="false" outlineLevel="0" collapsed="false">
      <c r="B838" s="19" t="s">
        <v>7554</v>
      </c>
      <c r="C838" s="20" t="n">
        <f aca="false">ROUND(5.85/FX,2)</f>
        <v>0.81</v>
      </c>
      <c r="D838" s="21" t="s">
        <v>714</v>
      </c>
      <c r="E838" s="21" t="s">
        <v>734</v>
      </c>
      <c r="F838" s="21" t="s">
        <v>6733</v>
      </c>
      <c r="G838" s="21" t="s">
        <v>6758</v>
      </c>
      <c r="H838" s="21" t="s">
        <v>4000</v>
      </c>
      <c r="I838" s="21" t="s">
        <v>4721</v>
      </c>
    </row>
    <row r="839" customFormat="false" ht="15" hidden="false" customHeight="false" outlineLevel="0" collapsed="false">
      <c r="B839" s="19" t="s">
        <v>7555</v>
      </c>
      <c r="C839" s="20" t="n">
        <f aca="false">ROUND(5.2/FX,2)</f>
        <v>0.72</v>
      </c>
      <c r="D839" s="21" t="s">
        <v>714</v>
      </c>
      <c r="E839" s="21" t="s">
        <v>734</v>
      </c>
      <c r="F839" s="21" t="s">
        <v>6733</v>
      </c>
      <c r="G839" s="21" t="s">
        <v>6758</v>
      </c>
      <c r="H839" s="21" t="s">
        <v>4000</v>
      </c>
      <c r="I839" s="21" t="s">
        <v>716</v>
      </c>
    </row>
    <row r="840" customFormat="false" ht="15" hidden="false" customHeight="false" outlineLevel="0" collapsed="false">
      <c r="B840" s="19" t="s">
        <v>7556</v>
      </c>
      <c r="C840" s="20" t="n">
        <f aca="false">ROUND(5.2/FX,2)</f>
        <v>0.72</v>
      </c>
      <c r="D840" s="21" t="s">
        <v>714</v>
      </c>
      <c r="E840" s="21" t="s">
        <v>734</v>
      </c>
      <c r="F840" s="21" t="s">
        <v>6733</v>
      </c>
      <c r="G840" s="21" t="s">
        <v>6758</v>
      </c>
      <c r="H840" s="21" t="s">
        <v>4000</v>
      </c>
      <c r="I840" s="21" t="s">
        <v>6740</v>
      </c>
    </row>
    <row r="841" customFormat="false" ht="15" hidden="false" customHeight="false" outlineLevel="0" collapsed="false">
      <c r="B841" s="19" t="s">
        <v>7557</v>
      </c>
      <c r="C841" s="20" t="n">
        <f aca="false">ROUND(5.98/FX,2)</f>
        <v>0.83</v>
      </c>
      <c r="D841" s="21" t="s">
        <v>714</v>
      </c>
      <c r="E841" s="21" t="s">
        <v>734</v>
      </c>
      <c r="F841" s="21" t="s">
        <v>6712</v>
      </c>
      <c r="G841" s="21" t="s">
        <v>6758</v>
      </c>
      <c r="H841" s="21" t="s">
        <v>4000</v>
      </c>
      <c r="I841" s="21" t="s">
        <v>847</v>
      </c>
    </row>
    <row r="842" customFormat="false" ht="15" hidden="false" customHeight="false" outlineLevel="0" collapsed="false">
      <c r="B842" s="19" t="s">
        <v>7558</v>
      </c>
      <c r="C842" s="20" t="n">
        <f aca="false">ROUND(5.85/FX,2)</f>
        <v>0.81</v>
      </c>
      <c r="D842" s="21" t="s">
        <v>714</v>
      </c>
      <c r="E842" s="21" t="s">
        <v>734</v>
      </c>
      <c r="F842" s="21" t="s">
        <v>6712</v>
      </c>
      <c r="G842" s="21" t="s">
        <v>6758</v>
      </c>
      <c r="H842" s="21" t="s">
        <v>3247</v>
      </c>
      <c r="I842" s="21" t="s">
        <v>707</v>
      </c>
    </row>
    <row r="843" customFormat="false" ht="15" hidden="false" customHeight="false" outlineLevel="0" collapsed="false">
      <c r="B843" s="19" t="s">
        <v>7559</v>
      </c>
      <c r="C843" s="20" t="n">
        <f aca="false">ROUND(6.89/FX,2)</f>
        <v>0.96</v>
      </c>
      <c r="D843" s="21" t="s">
        <v>3247</v>
      </c>
      <c r="E843" s="21" t="s">
        <v>734</v>
      </c>
      <c r="F843" s="21" t="s">
        <v>6712</v>
      </c>
      <c r="G843" s="21" t="s">
        <v>6758</v>
      </c>
      <c r="H843" s="21" t="s">
        <v>3247</v>
      </c>
      <c r="I843" s="21" t="s">
        <v>707</v>
      </c>
    </row>
    <row r="844" customFormat="false" ht="15" hidden="false" customHeight="false" outlineLevel="0" collapsed="false">
      <c r="B844" s="19" t="s">
        <v>7560</v>
      </c>
      <c r="C844" s="20" t="n">
        <f aca="false">ROUND(9.23/FX,2)</f>
        <v>1.28</v>
      </c>
      <c r="D844" s="21" t="s">
        <v>3317</v>
      </c>
      <c r="E844" s="21" t="s">
        <v>734</v>
      </c>
      <c r="F844" s="21" t="s">
        <v>6698</v>
      </c>
      <c r="G844" s="21" t="s">
        <v>6758</v>
      </c>
      <c r="H844" s="21" t="s">
        <v>3247</v>
      </c>
      <c r="I844" s="21" t="s">
        <v>707</v>
      </c>
    </row>
    <row r="845" customFormat="false" ht="15" hidden="false" customHeight="false" outlineLevel="0" collapsed="false">
      <c r="B845" s="19" t="s">
        <v>7561</v>
      </c>
      <c r="C845" s="20" t="n">
        <f aca="false">ROUND(7.8/FX,2)</f>
        <v>1.08</v>
      </c>
      <c r="D845" s="21" t="s">
        <v>714</v>
      </c>
      <c r="E845" s="21" t="s">
        <v>734</v>
      </c>
      <c r="F845" s="21" t="s">
        <v>7550</v>
      </c>
      <c r="G845" s="21" t="s">
        <v>6758</v>
      </c>
      <c r="H845" s="21" t="s">
        <v>3247</v>
      </c>
      <c r="I845" s="21" t="s">
        <v>761</v>
      </c>
    </row>
    <row r="846" customFormat="false" ht="15" hidden="false" customHeight="false" outlineLevel="0" collapsed="false">
      <c r="B846" s="19" t="s">
        <v>7562</v>
      </c>
      <c r="C846" s="20" t="n">
        <f aca="false">ROUND(5.2/FX,2)</f>
        <v>0.72</v>
      </c>
      <c r="D846" s="21" t="s">
        <v>714</v>
      </c>
      <c r="E846" s="21" t="s">
        <v>734</v>
      </c>
      <c r="F846" s="21" t="s">
        <v>6712</v>
      </c>
      <c r="G846" s="21" t="s">
        <v>6758</v>
      </c>
      <c r="H846" s="21" t="s">
        <v>3247</v>
      </c>
      <c r="I846" s="21" t="s">
        <v>761</v>
      </c>
    </row>
    <row r="847" customFormat="false" ht="15" hidden="false" customHeight="false" outlineLevel="0" collapsed="false">
      <c r="B847" s="19" t="s">
        <v>7563</v>
      </c>
      <c r="C847" s="20" t="n">
        <f aca="false">ROUND(9.1/FX,2)</f>
        <v>1.26</v>
      </c>
      <c r="D847" s="21" t="s">
        <v>714</v>
      </c>
      <c r="E847" s="21" t="s">
        <v>734</v>
      </c>
      <c r="F847" s="21" t="s">
        <v>7550</v>
      </c>
      <c r="G847" s="21" t="s">
        <v>6758</v>
      </c>
      <c r="H847" s="21" t="s">
        <v>3247</v>
      </c>
      <c r="I847" s="21" t="s">
        <v>6815</v>
      </c>
    </row>
    <row r="848" customFormat="false" ht="15" hidden="false" customHeight="false" outlineLevel="0" collapsed="false">
      <c r="B848" s="19" t="s">
        <v>7564</v>
      </c>
      <c r="C848" s="20" t="n">
        <f aca="false">ROUND(6.37/FX,2)</f>
        <v>0.88</v>
      </c>
      <c r="D848" s="21" t="s">
        <v>714</v>
      </c>
      <c r="E848" s="21" t="s">
        <v>7390</v>
      </c>
      <c r="F848" s="21" t="s">
        <v>6698</v>
      </c>
      <c r="G848" s="21" t="s">
        <v>6758</v>
      </c>
      <c r="H848" s="21" t="s">
        <v>3247</v>
      </c>
      <c r="I848" s="21" t="s">
        <v>6815</v>
      </c>
    </row>
    <row r="849" customFormat="false" ht="15" hidden="false" customHeight="false" outlineLevel="0" collapsed="false">
      <c r="B849" s="19" t="s">
        <v>7565</v>
      </c>
      <c r="C849" s="20" t="n">
        <f aca="false">ROUND(5.85/FX,2)</f>
        <v>0.81</v>
      </c>
      <c r="D849" s="21" t="s">
        <v>4761</v>
      </c>
      <c r="E849" s="21" t="s">
        <v>7566</v>
      </c>
      <c r="F849" s="21" t="s">
        <v>6712</v>
      </c>
      <c r="G849" s="21" t="s">
        <v>6758</v>
      </c>
      <c r="H849" s="21" t="s">
        <v>3247</v>
      </c>
      <c r="I849" s="21" t="s">
        <v>4721</v>
      </c>
    </row>
    <row r="850" customFormat="false" ht="15" hidden="false" customHeight="false" outlineLevel="0" collapsed="false">
      <c r="B850" s="19" t="s">
        <v>7567</v>
      </c>
      <c r="C850" s="20" t="n">
        <f aca="false">ROUND(10.4/FX,2)</f>
        <v>1.44</v>
      </c>
      <c r="D850" s="21" t="s">
        <v>714</v>
      </c>
      <c r="E850" s="21" t="s">
        <v>734</v>
      </c>
      <c r="F850" s="21" t="s">
        <v>7550</v>
      </c>
      <c r="G850" s="21" t="s">
        <v>6758</v>
      </c>
      <c r="H850" s="21" t="s">
        <v>3247</v>
      </c>
      <c r="I850" s="21" t="s">
        <v>4721</v>
      </c>
    </row>
    <row r="851" customFormat="false" ht="15" hidden="false" customHeight="false" outlineLevel="0" collapsed="false">
      <c r="B851" s="19" t="s">
        <v>7568</v>
      </c>
      <c r="C851" s="20" t="n">
        <f aca="false">ROUND(5.98/FX,2)</f>
        <v>0.83</v>
      </c>
      <c r="D851" s="21" t="s">
        <v>714</v>
      </c>
      <c r="E851" s="21" t="s">
        <v>734</v>
      </c>
      <c r="F851" s="21" t="s">
        <v>6712</v>
      </c>
      <c r="G851" s="21" t="s">
        <v>6758</v>
      </c>
      <c r="H851" s="21" t="s">
        <v>3247</v>
      </c>
      <c r="I851" s="21" t="s">
        <v>4721</v>
      </c>
    </row>
    <row r="852" customFormat="false" ht="15" hidden="false" customHeight="false" outlineLevel="0" collapsed="false">
      <c r="B852" s="19" t="s">
        <v>7569</v>
      </c>
      <c r="C852" s="20" t="n">
        <f aca="false">ROUND(6.63/FX,2)</f>
        <v>0.92</v>
      </c>
      <c r="D852" s="21" t="s">
        <v>714</v>
      </c>
      <c r="E852" s="21" t="s">
        <v>7390</v>
      </c>
      <c r="F852" s="21" t="s">
        <v>6712</v>
      </c>
      <c r="G852" s="21" t="s">
        <v>6758</v>
      </c>
      <c r="H852" s="21" t="s">
        <v>3247</v>
      </c>
      <c r="I852" s="21" t="s">
        <v>4721</v>
      </c>
    </row>
    <row r="853" customFormat="false" ht="15" hidden="false" customHeight="false" outlineLevel="0" collapsed="false">
      <c r="B853" s="19" t="s">
        <v>7570</v>
      </c>
      <c r="C853" s="20" t="n">
        <f aca="false">ROUND(9.23/FX,2)</f>
        <v>1.28</v>
      </c>
      <c r="D853" s="21" t="s">
        <v>3317</v>
      </c>
      <c r="E853" s="21" t="s">
        <v>734</v>
      </c>
      <c r="F853" s="21" t="s">
        <v>6698</v>
      </c>
      <c r="G853" s="21" t="s">
        <v>6758</v>
      </c>
      <c r="H853" s="21" t="s">
        <v>3247</v>
      </c>
      <c r="I853" s="21" t="s">
        <v>4721</v>
      </c>
    </row>
    <row r="854" customFormat="false" ht="15" hidden="false" customHeight="false" outlineLevel="0" collapsed="false">
      <c r="B854" s="19" t="s">
        <v>7571</v>
      </c>
      <c r="C854" s="20" t="n">
        <f aca="false">ROUND(9.23/FX,2)</f>
        <v>1.28</v>
      </c>
      <c r="D854" s="21" t="s">
        <v>7061</v>
      </c>
      <c r="E854" s="21" t="s">
        <v>734</v>
      </c>
      <c r="F854" s="21" t="s">
        <v>6698</v>
      </c>
      <c r="G854" s="21" t="s">
        <v>6758</v>
      </c>
      <c r="H854" s="21" t="s">
        <v>3247</v>
      </c>
      <c r="I854" s="21" t="s">
        <v>4721</v>
      </c>
    </row>
    <row r="855" customFormat="false" ht="15" hidden="false" customHeight="false" outlineLevel="0" collapsed="false">
      <c r="B855" s="19" t="s">
        <v>7572</v>
      </c>
      <c r="C855" s="20" t="n">
        <f aca="false">ROUND(10.4/FX,2)</f>
        <v>1.44</v>
      </c>
      <c r="D855" s="21" t="s">
        <v>7573</v>
      </c>
      <c r="E855" s="21" t="s">
        <v>734</v>
      </c>
      <c r="F855" s="21" t="s">
        <v>7550</v>
      </c>
      <c r="G855" s="21" t="s">
        <v>6758</v>
      </c>
      <c r="H855" s="21" t="s">
        <v>3247</v>
      </c>
      <c r="I855" s="21" t="s">
        <v>714</v>
      </c>
    </row>
    <row r="856" customFormat="false" ht="15" hidden="false" customHeight="false" outlineLevel="0" collapsed="false">
      <c r="B856" s="19" t="s">
        <v>7574</v>
      </c>
      <c r="C856" s="20" t="n">
        <f aca="false">ROUND(5.2/FX,2)</f>
        <v>0.72</v>
      </c>
      <c r="D856" s="21" t="s">
        <v>714</v>
      </c>
      <c r="E856" s="21" t="s">
        <v>734</v>
      </c>
      <c r="F856" s="21" t="s">
        <v>6712</v>
      </c>
      <c r="G856" s="21" t="s">
        <v>6758</v>
      </c>
      <c r="H856" s="21" t="s">
        <v>3247</v>
      </c>
      <c r="I856" s="21" t="s">
        <v>789</v>
      </c>
    </row>
    <row r="857" customFormat="false" ht="15" hidden="false" customHeight="false" outlineLevel="0" collapsed="false">
      <c r="B857" s="19" t="s">
        <v>7575</v>
      </c>
      <c r="C857" s="20" t="n">
        <f aca="false">ROUND(5.2/FX,2)</f>
        <v>0.72</v>
      </c>
      <c r="D857" s="21" t="s">
        <v>707</v>
      </c>
      <c r="E857" s="21" t="s">
        <v>734</v>
      </c>
      <c r="F857" s="21" t="s">
        <v>6712</v>
      </c>
      <c r="G857" s="21" t="s">
        <v>6758</v>
      </c>
      <c r="H857" s="21" t="s">
        <v>3247</v>
      </c>
      <c r="I857" s="21" t="s">
        <v>6740</v>
      </c>
    </row>
    <row r="858" customFormat="false" ht="15" hidden="false" customHeight="false" outlineLevel="0" collapsed="false">
      <c r="B858" s="19" t="s">
        <v>7576</v>
      </c>
      <c r="C858" s="20" t="n">
        <f aca="false">ROUND(5.2/FX,2)</f>
        <v>0.72</v>
      </c>
      <c r="D858" s="21" t="s">
        <v>714</v>
      </c>
      <c r="E858" s="21" t="s">
        <v>734</v>
      </c>
      <c r="F858" s="21" t="s">
        <v>6712</v>
      </c>
      <c r="G858" s="21" t="s">
        <v>6758</v>
      </c>
      <c r="H858" s="21" t="s">
        <v>3247</v>
      </c>
      <c r="I858" s="21" t="s">
        <v>6740</v>
      </c>
    </row>
    <row r="859" customFormat="false" ht="15" hidden="false" customHeight="false" outlineLevel="0" collapsed="false">
      <c r="B859" s="19" t="s">
        <v>7577</v>
      </c>
      <c r="C859" s="20" t="n">
        <f aca="false">ROUND(5.85/FX,2)</f>
        <v>0.81</v>
      </c>
      <c r="D859" s="21" t="s">
        <v>714</v>
      </c>
      <c r="E859" s="21" t="s">
        <v>734</v>
      </c>
      <c r="F859" s="21" t="s">
        <v>6698</v>
      </c>
      <c r="G859" s="21" t="s">
        <v>6758</v>
      </c>
      <c r="H859" s="21" t="s">
        <v>3247</v>
      </c>
      <c r="I859" s="21" t="s">
        <v>847</v>
      </c>
    </row>
    <row r="860" customFormat="false" ht="15" hidden="false" customHeight="false" outlineLevel="0" collapsed="false">
      <c r="B860" s="19" t="s">
        <v>7578</v>
      </c>
      <c r="C860" s="20" t="n">
        <f aca="false">ROUND(9.23/FX,2)</f>
        <v>1.28</v>
      </c>
      <c r="D860" s="21" t="s">
        <v>3317</v>
      </c>
      <c r="E860" s="21" t="s">
        <v>734</v>
      </c>
      <c r="F860" s="21" t="s">
        <v>6698</v>
      </c>
      <c r="G860" s="21" t="s">
        <v>6758</v>
      </c>
      <c r="H860" s="21" t="s">
        <v>3247</v>
      </c>
      <c r="I860" s="21" t="s">
        <v>847</v>
      </c>
    </row>
    <row r="861" customFormat="false" ht="15" hidden="false" customHeight="false" outlineLevel="0" collapsed="false">
      <c r="B861" s="19" t="s">
        <v>7579</v>
      </c>
      <c r="C861" s="20" t="n">
        <f aca="false">ROUND(9.23/FX,2)</f>
        <v>1.28</v>
      </c>
      <c r="D861" s="21" t="s">
        <v>7061</v>
      </c>
      <c r="E861" s="21" t="s">
        <v>734</v>
      </c>
      <c r="F861" s="21" t="s">
        <v>6698</v>
      </c>
      <c r="G861" s="21" t="s">
        <v>6758</v>
      </c>
      <c r="H861" s="21" t="s">
        <v>3247</v>
      </c>
      <c r="I861" s="21" t="s">
        <v>847</v>
      </c>
    </row>
    <row r="862" customFormat="false" ht="15" hidden="false" customHeight="false" outlineLevel="0" collapsed="false">
      <c r="B862" s="19" t="s">
        <v>7580</v>
      </c>
      <c r="C862" s="20" t="n">
        <f aca="false">ROUND(6.5/FX,2)</f>
        <v>0.9</v>
      </c>
      <c r="D862" s="21" t="s">
        <v>714</v>
      </c>
      <c r="E862" s="21" t="s">
        <v>734</v>
      </c>
      <c r="F862" s="21" t="s">
        <v>6712</v>
      </c>
      <c r="G862" s="21" t="s">
        <v>6758</v>
      </c>
      <c r="H862" s="21" t="s">
        <v>5097</v>
      </c>
      <c r="I862" s="21" t="s">
        <v>847</v>
      </c>
    </row>
    <row r="863" customFormat="false" ht="15" hidden="false" customHeight="false" outlineLevel="0" collapsed="false">
      <c r="B863" s="19" t="s">
        <v>7581</v>
      </c>
      <c r="C863" s="20" t="n">
        <f aca="false">ROUND(5.2/FX,2)</f>
        <v>0.72</v>
      </c>
      <c r="D863" s="21" t="s">
        <v>3833</v>
      </c>
      <c r="E863" s="21" t="s">
        <v>734</v>
      </c>
      <c r="F863" s="21" t="s">
        <v>6712</v>
      </c>
      <c r="G863" s="21" t="s">
        <v>6758</v>
      </c>
      <c r="H863" s="21" t="s">
        <v>5097</v>
      </c>
      <c r="I863" s="21" t="s">
        <v>847</v>
      </c>
    </row>
    <row r="864" customFormat="false" ht="15" hidden="false" customHeight="false" outlineLevel="0" collapsed="false">
      <c r="B864" s="19" t="s">
        <v>7582</v>
      </c>
      <c r="C864" s="20" t="n">
        <f aca="false">ROUND(7.8/FX,2)</f>
        <v>1.08</v>
      </c>
      <c r="D864" s="21" t="s">
        <v>7573</v>
      </c>
      <c r="E864" s="21" t="s">
        <v>734</v>
      </c>
      <c r="F864" s="21" t="s">
        <v>7550</v>
      </c>
      <c r="G864" s="21" t="s">
        <v>6758</v>
      </c>
      <c r="H864" s="21" t="s">
        <v>3317</v>
      </c>
      <c r="I864" s="21" t="s">
        <v>4721</v>
      </c>
    </row>
    <row r="865" customFormat="false" ht="15" hidden="false" customHeight="false" outlineLevel="0" collapsed="false">
      <c r="B865" s="19" t="s">
        <v>7583</v>
      </c>
      <c r="C865" s="20" t="n">
        <f aca="false">ROUND(18/FX,2)</f>
        <v>2.5</v>
      </c>
      <c r="D865" s="21" t="s">
        <v>7573</v>
      </c>
      <c r="E865" s="21" t="s">
        <v>734</v>
      </c>
      <c r="F865" s="21" t="s">
        <v>7550</v>
      </c>
      <c r="G865" s="21" t="s">
        <v>6758</v>
      </c>
      <c r="H865" s="21" t="s">
        <v>3317</v>
      </c>
      <c r="I865" s="21" t="s">
        <v>6940</v>
      </c>
    </row>
    <row r="866" customFormat="false" ht="15" hidden="false" customHeight="false" outlineLevel="0" collapsed="false">
      <c r="B866" s="19" t="s">
        <v>7584</v>
      </c>
      <c r="C866" s="20" t="n">
        <f aca="false">ROUND(15.6/FX,2)</f>
        <v>2.17</v>
      </c>
      <c r="D866" s="21" t="s">
        <v>714</v>
      </c>
      <c r="E866" s="21" t="s">
        <v>734</v>
      </c>
      <c r="F866" s="21" t="s">
        <v>6733</v>
      </c>
      <c r="G866" s="21" t="s">
        <v>6758</v>
      </c>
      <c r="H866" s="21" t="s">
        <v>784</v>
      </c>
      <c r="I866" s="21" t="s">
        <v>707</v>
      </c>
    </row>
    <row r="867" customFormat="false" ht="15" hidden="false" customHeight="false" outlineLevel="0" collapsed="false">
      <c r="B867" s="19" t="s">
        <v>7585</v>
      </c>
      <c r="C867" s="20" t="n">
        <f aca="false">ROUND(14.3/FX,2)</f>
        <v>1.99</v>
      </c>
      <c r="D867" s="21" t="s">
        <v>714</v>
      </c>
      <c r="E867" s="21" t="s">
        <v>734</v>
      </c>
      <c r="F867" s="21" t="s">
        <v>6733</v>
      </c>
      <c r="G867" s="21" t="s">
        <v>6758</v>
      </c>
      <c r="H867" s="21" t="s">
        <v>784</v>
      </c>
      <c r="I867" s="21" t="s">
        <v>761</v>
      </c>
    </row>
    <row r="868" customFormat="false" ht="15" hidden="false" customHeight="false" outlineLevel="0" collapsed="false">
      <c r="B868" s="19" t="s">
        <v>7586</v>
      </c>
      <c r="C868" s="20" t="n">
        <f aca="false">ROUND(14.95/FX,2)</f>
        <v>2.08</v>
      </c>
      <c r="D868" s="21" t="s">
        <v>714</v>
      </c>
      <c r="E868" s="21" t="s">
        <v>734</v>
      </c>
      <c r="F868" s="21" t="s">
        <v>6712</v>
      </c>
      <c r="G868" s="21" t="s">
        <v>6758</v>
      </c>
      <c r="H868" s="21" t="s">
        <v>784</v>
      </c>
      <c r="I868" s="21" t="s">
        <v>4721</v>
      </c>
    </row>
    <row r="869" customFormat="false" ht="15" hidden="false" customHeight="false" outlineLevel="0" collapsed="false">
      <c r="B869" s="19" t="s">
        <v>7587</v>
      </c>
      <c r="C869" s="20" t="n">
        <f aca="false">ROUND(19.5/FX,2)</f>
        <v>2.71</v>
      </c>
      <c r="D869" s="21" t="s">
        <v>4000</v>
      </c>
      <c r="E869" s="21" t="s">
        <v>734</v>
      </c>
      <c r="F869" s="21" t="s">
        <v>7550</v>
      </c>
      <c r="G869" s="21" t="s">
        <v>6758</v>
      </c>
      <c r="H869" s="21" t="s">
        <v>784</v>
      </c>
      <c r="I869" s="21" t="s">
        <v>4721</v>
      </c>
    </row>
    <row r="870" customFormat="false" ht="15" hidden="false" customHeight="false" outlineLevel="0" collapsed="false">
      <c r="B870" s="19" t="s">
        <v>7588</v>
      </c>
      <c r="C870" s="20" t="n">
        <f aca="false">ROUND(19.5/FX,2)</f>
        <v>2.71</v>
      </c>
      <c r="D870" s="21" t="s">
        <v>4000</v>
      </c>
      <c r="E870" s="21" t="s">
        <v>734</v>
      </c>
      <c r="F870" s="21" t="s">
        <v>7550</v>
      </c>
      <c r="G870" s="21" t="s">
        <v>6758</v>
      </c>
      <c r="H870" s="21" t="s">
        <v>784</v>
      </c>
      <c r="I870" s="21" t="s">
        <v>6940</v>
      </c>
    </row>
    <row r="871" customFormat="false" ht="15" hidden="false" customHeight="false" outlineLevel="0" collapsed="false">
      <c r="B871" s="19" t="s">
        <v>7589</v>
      </c>
      <c r="C871" s="20" t="n">
        <f aca="false">ROUND(14.3/FX,2)</f>
        <v>1.99</v>
      </c>
      <c r="D871" s="21" t="s">
        <v>714</v>
      </c>
      <c r="E871" s="21" t="s">
        <v>734</v>
      </c>
      <c r="F871" s="21" t="s">
        <v>6733</v>
      </c>
      <c r="G871" s="21" t="s">
        <v>6758</v>
      </c>
      <c r="H871" s="21" t="s">
        <v>784</v>
      </c>
      <c r="I871" s="21" t="s">
        <v>6740</v>
      </c>
    </row>
    <row r="872" customFormat="false" ht="15" hidden="false" customHeight="false" outlineLevel="0" collapsed="false">
      <c r="B872" s="19" t="s">
        <v>7590</v>
      </c>
      <c r="C872" s="20" t="n">
        <f aca="false">ROUND(16.9/FX,2)</f>
        <v>2.35</v>
      </c>
      <c r="D872" s="21" t="s">
        <v>714</v>
      </c>
      <c r="E872" s="21" t="s">
        <v>734</v>
      </c>
      <c r="F872" s="21" t="s">
        <v>6712</v>
      </c>
      <c r="G872" s="21" t="s">
        <v>6758</v>
      </c>
      <c r="H872" s="21" t="s">
        <v>784</v>
      </c>
      <c r="I872" s="21" t="s">
        <v>847</v>
      </c>
    </row>
    <row r="873" customFormat="false" ht="15" hidden="false" customHeight="false" outlineLevel="0" collapsed="false">
      <c r="B873" s="19" t="s">
        <v>7591</v>
      </c>
      <c r="C873" s="20" t="n">
        <f aca="false">ROUND(14.95/FX,2)</f>
        <v>2.08</v>
      </c>
      <c r="D873" s="21" t="s">
        <v>3317</v>
      </c>
      <c r="E873" s="21" t="s">
        <v>734</v>
      </c>
      <c r="F873" s="21" t="s">
        <v>6712</v>
      </c>
      <c r="G873" s="21" t="s">
        <v>6758</v>
      </c>
      <c r="H873" s="21" t="s">
        <v>784</v>
      </c>
      <c r="I873" s="21" t="s">
        <v>847</v>
      </c>
    </row>
    <row r="874" customFormat="false" ht="15" hidden="false" customHeight="false" outlineLevel="0" collapsed="false">
      <c r="B874" s="19" t="s">
        <v>7592</v>
      </c>
      <c r="C874" s="20" t="n">
        <f aca="false">ROUND(23.4/FX,2)</f>
        <v>3.25</v>
      </c>
      <c r="D874" s="21" t="s">
        <v>714</v>
      </c>
      <c r="E874" s="21" t="s">
        <v>734</v>
      </c>
      <c r="F874" s="21" t="s">
        <v>6698</v>
      </c>
      <c r="G874" s="21" t="s">
        <v>6758</v>
      </c>
      <c r="H874" s="21" t="s">
        <v>6730</v>
      </c>
      <c r="I874" s="21" t="s">
        <v>707</v>
      </c>
    </row>
    <row r="875" customFormat="false" ht="15" hidden="false" customHeight="false" outlineLevel="0" collapsed="false">
      <c r="B875" s="19" t="s">
        <v>7593</v>
      </c>
      <c r="C875" s="20" t="n">
        <f aca="false">ROUND(16.9/FX,2)</f>
        <v>2.35</v>
      </c>
      <c r="D875" s="21" t="s">
        <v>714</v>
      </c>
      <c r="E875" s="21" t="s">
        <v>7262</v>
      </c>
      <c r="F875" s="21" t="s">
        <v>6698</v>
      </c>
      <c r="G875" s="21" t="s">
        <v>6758</v>
      </c>
      <c r="H875" s="21" t="s">
        <v>6730</v>
      </c>
      <c r="I875" s="21" t="s">
        <v>707</v>
      </c>
    </row>
    <row r="876" customFormat="false" ht="15" hidden="false" customHeight="false" outlineLevel="0" collapsed="false">
      <c r="B876" s="19" t="s">
        <v>7594</v>
      </c>
      <c r="C876" s="20" t="n">
        <f aca="false">ROUND(20.8/FX,2)</f>
        <v>2.89</v>
      </c>
      <c r="D876" s="21" t="s">
        <v>3833</v>
      </c>
      <c r="E876" s="21" t="s">
        <v>734</v>
      </c>
      <c r="F876" s="21" t="s">
        <v>6712</v>
      </c>
      <c r="G876" s="21" t="s">
        <v>6758</v>
      </c>
      <c r="H876" s="21" t="s">
        <v>6730</v>
      </c>
      <c r="I876" s="21" t="s">
        <v>707</v>
      </c>
    </row>
    <row r="877" customFormat="false" ht="15" hidden="false" customHeight="false" outlineLevel="0" collapsed="false">
      <c r="B877" s="19" t="s">
        <v>7595</v>
      </c>
      <c r="C877" s="20" t="n">
        <f aca="false">ROUND(20.8/FX,2)</f>
        <v>2.89</v>
      </c>
      <c r="D877" s="21" t="s">
        <v>714</v>
      </c>
      <c r="E877" s="21" t="s">
        <v>734</v>
      </c>
      <c r="F877" s="21" t="s">
        <v>6712</v>
      </c>
      <c r="G877" s="21" t="s">
        <v>6758</v>
      </c>
      <c r="H877" s="21" t="s">
        <v>6730</v>
      </c>
      <c r="I877" s="21" t="s">
        <v>761</v>
      </c>
    </row>
    <row r="878" customFormat="false" ht="15" hidden="false" customHeight="false" outlineLevel="0" collapsed="false">
      <c r="B878" s="19" t="s">
        <v>7596</v>
      </c>
      <c r="C878" s="20" t="n">
        <f aca="false">ROUND(20.8/FX,2)</f>
        <v>2.89</v>
      </c>
      <c r="D878" s="21" t="s">
        <v>714</v>
      </c>
      <c r="E878" s="21" t="s">
        <v>734</v>
      </c>
      <c r="F878" s="21" t="s">
        <v>6712</v>
      </c>
      <c r="G878" s="21" t="s">
        <v>6758</v>
      </c>
      <c r="H878" s="21" t="s">
        <v>6730</v>
      </c>
      <c r="I878" s="21" t="s">
        <v>4721</v>
      </c>
    </row>
    <row r="879" customFormat="false" ht="15" hidden="false" customHeight="false" outlineLevel="0" collapsed="false">
      <c r="B879" s="19" t="s">
        <v>7597</v>
      </c>
      <c r="C879" s="20" t="n">
        <f aca="false">ROUND(20.8/FX,2)</f>
        <v>2.89</v>
      </c>
      <c r="D879" s="21" t="s">
        <v>714</v>
      </c>
      <c r="E879" s="21" t="s">
        <v>734</v>
      </c>
      <c r="F879" s="21" t="s">
        <v>6712</v>
      </c>
      <c r="G879" s="21" t="s">
        <v>6758</v>
      </c>
      <c r="H879" s="21" t="s">
        <v>6730</v>
      </c>
      <c r="I879" s="21" t="s">
        <v>847</v>
      </c>
    </row>
    <row r="880" customFormat="false" ht="15" hidden="false" customHeight="false" outlineLevel="0" collapsed="false">
      <c r="B880" s="19" t="s">
        <v>7598</v>
      </c>
      <c r="C880" s="20" t="n">
        <f aca="false">ROUND(24.7/FX,2)</f>
        <v>3.43</v>
      </c>
      <c r="D880" s="21" t="s">
        <v>714</v>
      </c>
      <c r="E880" s="21" t="s">
        <v>734</v>
      </c>
      <c r="F880" s="21" t="s">
        <v>6733</v>
      </c>
      <c r="G880" s="21" t="s">
        <v>6758</v>
      </c>
      <c r="H880" s="21" t="s">
        <v>6246</v>
      </c>
      <c r="I880" s="21" t="s">
        <v>707</v>
      </c>
    </row>
    <row r="881" customFormat="false" ht="15" hidden="false" customHeight="false" outlineLevel="0" collapsed="false">
      <c r="B881" s="19" t="s">
        <v>7599</v>
      </c>
      <c r="C881" s="20" t="n">
        <f aca="false">ROUND(22.75/FX,2)</f>
        <v>3.16</v>
      </c>
      <c r="D881" s="21" t="s">
        <v>714</v>
      </c>
      <c r="E881" s="21" t="s">
        <v>734</v>
      </c>
      <c r="F881" s="21" t="s">
        <v>6862</v>
      </c>
      <c r="G881" s="21" t="s">
        <v>6758</v>
      </c>
      <c r="H881" s="21" t="s">
        <v>6246</v>
      </c>
      <c r="I881" s="21" t="s">
        <v>707</v>
      </c>
    </row>
    <row r="882" customFormat="false" ht="15" hidden="false" customHeight="false" outlineLevel="0" collapsed="false">
      <c r="B882" s="19" t="s">
        <v>7600</v>
      </c>
      <c r="C882" s="20" t="n">
        <f aca="false">ROUND(24.05/FX,2)</f>
        <v>3.34</v>
      </c>
      <c r="D882" s="21" t="s">
        <v>714</v>
      </c>
      <c r="E882" s="21" t="s">
        <v>734</v>
      </c>
      <c r="F882" s="21" t="s">
        <v>6712</v>
      </c>
      <c r="G882" s="21" t="s">
        <v>6758</v>
      </c>
      <c r="H882" s="21" t="s">
        <v>6246</v>
      </c>
      <c r="I882" s="21" t="s">
        <v>761</v>
      </c>
    </row>
    <row r="883" customFormat="false" ht="15" hidden="false" customHeight="false" outlineLevel="0" collapsed="false">
      <c r="B883" s="19" t="s">
        <v>7601</v>
      </c>
      <c r="C883" s="20" t="n">
        <f aca="false">ROUND(24.05/FX,2)</f>
        <v>3.34</v>
      </c>
      <c r="D883" s="21" t="s">
        <v>714</v>
      </c>
      <c r="E883" s="21" t="s">
        <v>734</v>
      </c>
      <c r="F883" s="21" t="s">
        <v>6733</v>
      </c>
      <c r="G883" s="21" t="s">
        <v>6758</v>
      </c>
      <c r="H883" s="21" t="s">
        <v>6246</v>
      </c>
      <c r="I883" s="21" t="s">
        <v>4721</v>
      </c>
    </row>
    <row r="884" customFormat="false" ht="15" hidden="false" customHeight="false" outlineLevel="0" collapsed="false">
      <c r="B884" s="19" t="s">
        <v>7602</v>
      </c>
      <c r="C884" s="20" t="n">
        <f aca="false">ROUND(24.05/FX,2)</f>
        <v>3.34</v>
      </c>
      <c r="D884" s="21" t="s">
        <v>714</v>
      </c>
      <c r="E884" s="21" t="s">
        <v>734</v>
      </c>
      <c r="F884" s="21" t="s">
        <v>6733</v>
      </c>
      <c r="G884" s="21" t="s">
        <v>6758</v>
      </c>
      <c r="H884" s="21" t="s">
        <v>6246</v>
      </c>
      <c r="I884" s="21" t="s">
        <v>6740</v>
      </c>
    </row>
    <row r="885" customFormat="false" ht="15" hidden="false" customHeight="false" outlineLevel="0" collapsed="false">
      <c r="B885" s="19" t="s">
        <v>7603</v>
      </c>
      <c r="C885" s="20" t="n">
        <f aca="false">ROUND(23.4/FX,2)</f>
        <v>3.25</v>
      </c>
      <c r="D885" s="21" t="s">
        <v>714</v>
      </c>
      <c r="E885" s="21" t="s">
        <v>734</v>
      </c>
      <c r="F885" s="21" t="s">
        <v>6733</v>
      </c>
      <c r="G885" s="21" t="s">
        <v>6758</v>
      </c>
      <c r="H885" s="21" t="s">
        <v>6246</v>
      </c>
      <c r="I885" s="21" t="s">
        <v>847</v>
      </c>
    </row>
    <row r="886" customFormat="false" ht="15" hidden="false" customHeight="false" outlineLevel="0" collapsed="false">
      <c r="B886" s="19" t="s">
        <v>7604</v>
      </c>
      <c r="C886" s="20" t="n">
        <f aca="false">ROUND(24.05/FX,2)</f>
        <v>3.34</v>
      </c>
      <c r="D886" s="21" t="s">
        <v>3317</v>
      </c>
      <c r="E886" s="21" t="s">
        <v>734</v>
      </c>
      <c r="F886" s="21" t="s">
        <v>6712</v>
      </c>
      <c r="G886" s="21" t="s">
        <v>6758</v>
      </c>
      <c r="H886" s="21" t="s">
        <v>6246</v>
      </c>
      <c r="I886" s="21" t="s">
        <v>847</v>
      </c>
    </row>
    <row r="887" customFormat="false" ht="15" hidden="false" customHeight="false" outlineLevel="0" collapsed="false">
      <c r="B887" s="19" t="s">
        <v>7605</v>
      </c>
      <c r="C887" s="20" t="n">
        <f aca="false">ROUND(46.8/FX,2)</f>
        <v>6.5</v>
      </c>
      <c r="D887" s="21" t="s">
        <v>714</v>
      </c>
      <c r="E887" s="21" t="s">
        <v>734</v>
      </c>
      <c r="F887" s="21" t="s">
        <v>6733</v>
      </c>
      <c r="G887" s="21" t="s">
        <v>6758</v>
      </c>
      <c r="H887" s="21" t="s">
        <v>2961</v>
      </c>
      <c r="I887" s="21" t="s">
        <v>707</v>
      </c>
    </row>
    <row r="888" customFormat="false" ht="15" hidden="false" customHeight="false" outlineLevel="0" collapsed="false">
      <c r="B888" s="19" t="s">
        <v>7606</v>
      </c>
      <c r="C888" s="20" t="n">
        <f aca="false">ROUND(49.4/FX,2)</f>
        <v>6.86</v>
      </c>
      <c r="D888" s="21" t="s">
        <v>714</v>
      </c>
      <c r="E888" s="21" t="s">
        <v>734</v>
      </c>
      <c r="F888" s="21" t="s">
        <v>6712</v>
      </c>
      <c r="G888" s="21" t="s">
        <v>6758</v>
      </c>
      <c r="H888" s="21" t="s">
        <v>2961</v>
      </c>
      <c r="I888" s="21" t="s">
        <v>761</v>
      </c>
    </row>
    <row r="889" customFormat="false" ht="15" hidden="false" customHeight="false" outlineLevel="0" collapsed="false">
      <c r="B889" s="19" t="s">
        <v>7607</v>
      </c>
      <c r="C889" s="20" t="n">
        <f aca="false">ROUND(46.8/FX,2)</f>
        <v>6.5</v>
      </c>
      <c r="D889" s="21" t="s">
        <v>714</v>
      </c>
      <c r="E889" s="21" t="s">
        <v>734</v>
      </c>
      <c r="F889" s="21" t="s">
        <v>6733</v>
      </c>
      <c r="G889" s="21" t="s">
        <v>6758</v>
      </c>
      <c r="H889" s="21" t="s">
        <v>2961</v>
      </c>
      <c r="I889" s="21" t="s">
        <v>4721</v>
      </c>
    </row>
    <row r="890" customFormat="false" ht="15" hidden="false" customHeight="false" outlineLevel="0" collapsed="false">
      <c r="B890" s="19" t="s">
        <v>7608</v>
      </c>
      <c r="C890" s="20" t="n">
        <f aca="false">ROUND(49.4/FX,2)</f>
        <v>6.86</v>
      </c>
      <c r="D890" s="21" t="s">
        <v>714</v>
      </c>
      <c r="E890" s="21" t="s">
        <v>734</v>
      </c>
      <c r="F890" s="21" t="s">
        <v>6733</v>
      </c>
      <c r="G890" s="21" t="s">
        <v>6758</v>
      </c>
      <c r="H890" s="21" t="s">
        <v>2961</v>
      </c>
      <c r="I890" s="21" t="s">
        <v>6740</v>
      </c>
    </row>
    <row r="891" customFormat="false" ht="15" hidden="false" customHeight="false" outlineLevel="0" collapsed="false">
      <c r="B891" s="19" t="s">
        <v>7609</v>
      </c>
      <c r="C891" s="20" t="n">
        <f aca="false">ROUND(46.15/FX,2)</f>
        <v>6.41</v>
      </c>
      <c r="D891" s="21" t="s">
        <v>714</v>
      </c>
      <c r="E891" s="21" t="s">
        <v>734</v>
      </c>
      <c r="F891" s="21" t="s">
        <v>6698</v>
      </c>
      <c r="G891" s="21" t="s">
        <v>6758</v>
      </c>
      <c r="H891" s="21" t="s">
        <v>2961</v>
      </c>
      <c r="I891" s="21" t="s">
        <v>847</v>
      </c>
    </row>
    <row r="892" customFormat="false" ht="15" hidden="false" customHeight="false" outlineLevel="0" collapsed="false">
      <c r="B892" s="19" t="s">
        <v>7610</v>
      </c>
      <c r="C892" s="20" t="n">
        <f aca="false">ROUND(63.7/FX,2)</f>
        <v>8.85</v>
      </c>
      <c r="D892" s="21" t="s">
        <v>3317</v>
      </c>
      <c r="E892" s="21" t="s">
        <v>734</v>
      </c>
      <c r="F892" s="21" t="s">
        <v>6698</v>
      </c>
      <c r="G892" s="21" t="s">
        <v>6758</v>
      </c>
      <c r="H892" s="21" t="s">
        <v>2961</v>
      </c>
      <c r="I892" s="21" t="s">
        <v>847</v>
      </c>
    </row>
    <row r="893" customFormat="false" ht="15" hidden="false" customHeight="false" outlineLevel="0" collapsed="false">
      <c r="B893" s="19" t="s">
        <v>7611</v>
      </c>
      <c r="C893" s="20" t="n">
        <f aca="false">ROUND(101.4/FX,2)</f>
        <v>14.08</v>
      </c>
      <c r="D893" s="21" t="s">
        <v>714</v>
      </c>
      <c r="E893" s="21" t="s">
        <v>734</v>
      </c>
      <c r="F893" s="21" t="s">
        <v>6698</v>
      </c>
      <c r="G893" s="21" t="s">
        <v>6758</v>
      </c>
      <c r="H893" s="21" t="s">
        <v>3061</v>
      </c>
      <c r="I893" s="21" t="s">
        <v>707</v>
      </c>
    </row>
    <row r="894" customFormat="false" ht="15" hidden="false" customHeight="false" outlineLevel="0" collapsed="false">
      <c r="B894" s="19" t="s">
        <v>7612</v>
      </c>
      <c r="C894" s="20" t="n">
        <f aca="false">ROUND(102.7/FX,2)</f>
        <v>14.26</v>
      </c>
      <c r="D894" s="21" t="s">
        <v>714</v>
      </c>
      <c r="E894" s="21" t="s">
        <v>734</v>
      </c>
      <c r="F894" s="21" t="s">
        <v>6698</v>
      </c>
      <c r="G894" s="21" t="s">
        <v>6758</v>
      </c>
      <c r="H894" s="21" t="s">
        <v>3061</v>
      </c>
      <c r="I894" s="21" t="s">
        <v>847</v>
      </c>
    </row>
    <row r="895" customFormat="false" ht="15" hidden="false" customHeight="false" outlineLevel="0" collapsed="false">
      <c r="B895" s="19" t="s">
        <v>7613</v>
      </c>
      <c r="C895" s="20" t="n">
        <f aca="false">ROUND(45/FX,2)</f>
        <v>6.25</v>
      </c>
      <c r="D895" s="21" t="s">
        <v>5091</v>
      </c>
      <c r="E895" s="21" t="s">
        <v>7614</v>
      </c>
      <c r="F895" s="21" t="s">
        <v>7550</v>
      </c>
      <c r="G895" s="21" t="s">
        <v>6758</v>
      </c>
      <c r="H895" s="21" t="s">
        <v>3111</v>
      </c>
      <c r="I895" s="21" t="s">
        <v>4721</v>
      </c>
    </row>
    <row r="896" customFormat="false" ht="15" hidden="false" customHeight="false" outlineLevel="0" collapsed="false">
      <c r="B896" s="19" t="s">
        <v>7615</v>
      </c>
      <c r="C896" s="20" t="n">
        <f aca="false">ROUND(45/FX,2)</f>
        <v>6.25</v>
      </c>
      <c r="D896" s="21" t="s">
        <v>4761</v>
      </c>
      <c r="E896" s="21" t="s">
        <v>736</v>
      </c>
      <c r="F896" s="21" t="s">
        <v>7550</v>
      </c>
      <c r="G896" s="21" t="s">
        <v>6758</v>
      </c>
      <c r="H896" s="21" t="s">
        <v>3111</v>
      </c>
      <c r="I896" s="21" t="s">
        <v>4721</v>
      </c>
    </row>
    <row r="897" customFormat="false" ht="15" hidden="false" customHeight="false" outlineLevel="0" collapsed="false">
      <c r="B897" s="19" t="s">
        <v>7616</v>
      </c>
      <c r="C897" s="20" t="n">
        <f aca="false">ROUND(45/FX,2)</f>
        <v>6.25</v>
      </c>
      <c r="D897" s="21" t="s">
        <v>4761</v>
      </c>
      <c r="E897" s="21" t="s">
        <v>734</v>
      </c>
      <c r="F897" s="21" t="s">
        <v>7550</v>
      </c>
      <c r="G897" s="21" t="s">
        <v>6758</v>
      </c>
      <c r="H897" s="21" t="s">
        <v>3111</v>
      </c>
      <c r="I897" s="21" t="s">
        <v>6940</v>
      </c>
    </row>
    <row r="898" customFormat="false" ht="15" hidden="false" customHeight="false" outlineLevel="0" collapsed="false">
      <c r="B898" s="19" t="s">
        <v>7617</v>
      </c>
      <c r="C898" s="20" t="n">
        <f aca="false">ROUND(6.84/FX,2)</f>
        <v>0.95</v>
      </c>
      <c r="D898" s="21" t="s">
        <v>714</v>
      </c>
      <c r="E898" s="21" t="s">
        <v>734</v>
      </c>
      <c r="F898" s="21" t="s">
        <v>6712</v>
      </c>
      <c r="G898" s="21" t="s">
        <v>6982</v>
      </c>
      <c r="H898" s="21" t="s">
        <v>714</v>
      </c>
      <c r="I898" s="21" t="s">
        <v>847</v>
      </c>
    </row>
    <row r="899" customFormat="false" ht="15" hidden="false" customHeight="false" outlineLevel="0" collapsed="false">
      <c r="B899" s="19" t="s">
        <v>7618</v>
      </c>
      <c r="C899" s="20" t="n">
        <f aca="false">ROUND(6.84/FX,2)</f>
        <v>0.95</v>
      </c>
      <c r="D899" s="21" t="s">
        <v>3833</v>
      </c>
      <c r="E899" s="21" t="s">
        <v>734</v>
      </c>
      <c r="F899" s="21" t="s">
        <v>6698</v>
      </c>
      <c r="G899" s="21" t="s">
        <v>6982</v>
      </c>
      <c r="H899" s="21" t="s">
        <v>714</v>
      </c>
      <c r="I899" s="21" t="s">
        <v>847</v>
      </c>
    </row>
    <row r="900" customFormat="false" ht="15" hidden="false" customHeight="false" outlineLevel="0" collapsed="false">
      <c r="B900" s="19" t="s">
        <v>7619</v>
      </c>
      <c r="C900" s="20" t="n">
        <f aca="false">ROUND(7.28/FX,2)</f>
        <v>1.01</v>
      </c>
      <c r="D900" s="21" t="s">
        <v>714</v>
      </c>
      <c r="E900" s="21" t="s">
        <v>734</v>
      </c>
      <c r="F900" s="21" t="s">
        <v>6712</v>
      </c>
      <c r="G900" s="21" t="s">
        <v>6982</v>
      </c>
      <c r="H900" s="21" t="s">
        <v>4000</v>
      </c>
      <c r="I900" s="21" t="s">
        <v>847</v>
      </c>
    </row>
    <row r="901" customFormat="false" ht="15" hidden="false" customHeight="false" outlineLevel="0" collapsed="false">
      <c r="B901" s="19" t="s">
        <v>7620</v>
      </c>
      <c r="C901" s="20" t="n">
        <f aca="false">ROUND(7.75/FX,2)</f>
        <v>1.08</v>
      </c>
      <c r="D901" s="21" t="s">
        <v>714</v>
      </c>
      <c r="E901" s="21" t="s">
        <v>734</v>
      </c>
      <c r="F901" s="21" t="s">
        <v>6712</v>
      </c>
      <c r="G901" s="21" t="s">
        <v>6982</v>
      </c>
      <c r="H901" s="21" t="s">
        <v>3247</v>
      </c>
      <c r="I901" s="21" t="s">
        <v>707</v>
      </c>
    </row>
    <row r="902" customFormat="false" ht="15" hidden="false" customHeight="false" outlineLevel="0" collapsed="false">
      <c r="B902" s="19" t="s">
        <v>7621</v>
      </c>
      <c r="C902" s="20" t="n">
        <f aca="false">ROUND(6.97/FX,2)</f>
        <v>0.97</v>
      </c>
      <c r="D902" s="21" t="s">
        <v>714</v>
      </c>
      <c r="E902" s="21" t="s">
        <v>734</v>
      </c>
      <c r="F902" s="21" t="s">
        <v>6698</v>
      </c>
      <c r="G902" s="21" t="s">
        <v>6982</v>
      </c>
      <c r="H902" s="21" t="s">
        <v>3247</v>
      </c>
      <c r="I902" s="21" t="s">
        <v>847</v>
      </c>
    </row>
    <row r="903" customFormat="false" ht="15" hidden="false" customHeight="false" outlineLevel="0" collapsed="false">
      <c r="B903" s="19" t="s">
        <v>7622</v>
      </c>
      <c r="C903" s="20" t="n">
        <f aca="false">ROUND(7.54/FX,2)</f>
        <v>1.05</v>
      </c>
      <c r="D903" s="21" t="s">
        <v>3833</v>
      </c>
      <c r="E903" s="21" t="s">
        <v>734</v>
      </c>
      <c r="F903" s="21" t="s">
        <v>6712</v>
      </c>
      <c r="G903" s="21" t="s">
        <v>6982</v>
      </c>
      <c r="H903" s="21" t="s">
        <v>3247</v>
      </c>
      <c r="I903" s="21" t="s">
        <v>847</v>
      </c>
    </row>
    <row r="904" customFormat="false" ht="15" hidden="false" customHeight="false" outlineLevel="0" collapsed="false">
      <c r="B904" s="19" t="s">
        <v>7623</v>
      </c>
      <c r="C904" s="20" t="n">
        <f aca="false">ROUND(6.32/FX,2)</f>
        <v>0.88</v>
      </c>
      <c r="D904" s="21" t="s">
        <v>714</v>
      </c>
      <c r="E904" s="21" t="s">
        <v>734</v>
      </c>
      <c r="F904" s="21" t="s">
        <v>6698</v>
      </c>
      <c r="G904" s="21" t="s">
        <v>7030</v>
      </c>
      <c r="H904" s="21" t="s">
        <v>714</v>
      </c>
      <c r="I904" s="21" t="s">
        <v>789</v>
      </c>
    </row>
    <row r="905" customFormat="false" ht="15" hidden="false" customHeight="false" outlineLevel="0" collapsed="false">
      <c r="B905" s="19" t="s">
        <v>7624</v>
      </c>
      <c r="C905" s="20" t="n">
        <f aca="false">ROUND(6.38/FX,2)</f>
        <v>0.89</v>
      </c>
      <c r="D905" s="21" t="s">
        <v>714</v>
      </c>
      <c r="E905" s="21" t="s">
        <v>734</v>
      </c>
      <c r="F905" s="21" t="s">
        <v>6698</v>
      </c>
      <c r="G905" s="21" t="s">
        <v>7030</v>
      </c>
      <c r="H905" s="21" t="s">
        <v>714</v>
      </c>
      <c r="I905" s="21" t="s">
        <v>847</v>
      </c>
    </row>
    <row r="906" customFormat="false" ht="15" hidden="false" customHeight="false" outlineLevel="0" collapsed="false">
      <c r="B906" s="19" t="s">
        <v>7625</v>
      </c>
      <c r="C906" s="20" t="n">
        <f aca="false">ROUND(7.51/FX,2)</f>
        <v>1.04</v>
      </c>
      <c r="D906" s="21" t="s">
        <v>714</v>
      </c>
      <c r="E906" s="21" t="s">
        <v>734</v>
      </c>
      <c r="F906" s="21" t="s">
        <v>6712</v>
      </c>
      <c r="G906" s="21" t="s">
        <v>7030</v>
      </c>
      <c r="H906" s="21" t="s">
        <v>3247</v>
      </c>
      <c r="I906" s="21" t="s">
        <v>707</v>
      </c>
    </row>
    <row r="907" customFormat="false" ht="15" hidden="false" customHeight="false" outlineLevel="0" collapsed="false">
      <c r="B907" s="19" t="s">
        <v>7626</v>
      </c>
      <c r="C907" s="20" t="n">
        <f aca="false">ROUND(7.8/FX,2)</f>
        <v>1.08</v>
      </c>
      <c r="D907" s="21" t="s">
        <v>4761</v>
      </c>
      <c r="E907" s="21" t="s">
        <v>734</v>
      </c>
      <c r="F907" s="21" t="s">
        <v>6733</v>
      </c>
      <c r="G907" s="21" t="s">
        <v>7030</v>
      </c>
      <c r="H907" s="21" t="s">
        <v>3247</v>
      </c>
      <c r="I907" s="21" t="s">
        <v>716</v>
      </c>
    </row>
    <row r="908" customFormat="false" ht="15" hidden="false" customHeight="false" outlineLevel="0" collapsed="false">
      <c r="B908" s="19" t="s">
        <v>7627</v>
      </c>
      <c r="C908" s="20" t="n">
        <f aca="false">ROUND(7.75/FX,2)</f>
        <v>1.08</v>
      </c>
      <c r="D908" s="21" t="s">
        <v>714</v>
      </c>
      <c r="E908" s="21" t="s">
        <v>734</v>
      </c>
      <c r="F908" s="21" t="s">
        <v>6712</v>
      </c>
      <c r="G908" s="21" t="s">
        <v>7030</v>
      </c>
      <c r="H908" s="21" t="s">
        <v>3247</v>
      </c>
      <c r="I908" s="21" t="s">
        <v>847</v>
      </c>
    </row>
    <row r="909" customFormat="false" ht="15" hidden="false" customHeight="false" outlineLevel="0" collapsed="false">
      <c r="B909" s="19" t="s">
        <v>7628</v>
      </c>
      <c r="C909" s="20" t="n">
        <f aca="false">ROUND(12.35/FX,2)</f>
        <v>1.72</v>
      </c>
      <c r="D909" s="21" t="s">
        <v>3247</v>
      </c>
      <c r="E909" s="21" t="s">
        <v>734</v>
      </c>
      <c r="F909" s="21" t="s">
        <v>6712</v>
      </c>
      <c r="G909" s="21" t="s">
        <v>7030</v>
      </c>
      <c r="H909" s="21" t="s">
        <v>6723</v>
      </c>
      <c r="I909" s="21" t="s">
        <v>847</v>
      </c>
    </row>
    <row r="910" customFormat="false" ht="15" hidden="false" customHeight="false" outlineLevel="0" collapsed="false">
      <c r="B910" s="19" t="s">
        <v>7629</v>
      </c>
      <c r="C910" s="20" t="n">
        <f aca="false">ROUND(3.25/FX,2)</f>
        <v>0.45</v>
      </c>
      <c r="D910" s="21" t="s">
        <v>707</v>
      </c>
      <c r="E910" s="21" t="s">
        <v>734</v>
      </c>
      <c r="F910" s="21" t="s">
        <v>6712</v>
      </c>
      <c r="G910" s="21" t="s">
        <v>7067</v>
      </c>
      <c r="H910" s="21" t="s">
        <v>707</v>
      </c>
      <c r="I910" s="21" t="s">
        <v>6740</v>
      </c>
    </row>
    <row r="911" customFormat="false" ht="15" hidden="false" customHeight="false" outlineLevel="0" collapsed="false">
      <c r="B911" s="19" t="s">
        <v>7630</v>
      </c>
      <c r="C911" s="20" t="n">
        <f aca="false">ROUND(3.25/FX,2)</f>
        <v>0.45</v>
      </c>
      <c r="D911" s="21" t="s">
        <v>714</v>
      </c>
      <c r="E911" s="21" t="s">
        <v>734</v>
      </c>
      <c r="F911" s="21" t="s">
        <v>6712</v>
      </c>
      <c r="G911" s="21" t="s">
        <v>7067</v>
      </c>
      <c r="H911" s="21" t="s">
        <v>707</v>
      </c>
      <c r="I911" s="21" t="s">
        <v>847</v>
      </c>
    </row>
    <row r="912" customFormat="false" ht="15" hidden="false" customHeight="false" outlineLevel="0" collapsed="false">
      <c r="B912" s="19" t="s">
        <v>7631</v>
      </c>
      <c r="C912" s="20" t="n">
        <f aca="false">ROUND(4.42/FX,2)</f>
        <v>0.61</v>
      </c>
      <c r="D912" s="21" t="s">
        <v>3247</v>
      </c>
      <c r="E912" s="21" t="s">
        <v>734</v>
      </c>
      <c r="F912" s="21" t="s">
        <v>6698</v>
      </c>
      <c r="G912" s="21" t="s">
        <v>7067</v>
      </c>
      <c r="H912" s="21" t="s">
        <v>761</v>
      </c>
      <c r="I912" s="21" t="s">
        <v>707</v>
      </c>
    </row>
    <row r="913" customFormat="false" ht="15" hidden="false" customHeight="false" outlineLevel="0" collapsed="false">
      <c r="B913" s="19" t="s">
        <v>7632</v>
      </c>
      <c r="C913" s="20" t="n">
        <f aca="false">ROUND(3.12/FX,2)</f>
        <v>0.43</v>
      </c>
      <c r="D913" s="21" t="s">
        <v>714</v>
      </c>
      <c r="E913" s="21" t="s">
        <v>734</v>
      </c>
      <c r="F913" s="21" t="s">
        <v>6733</v>
      </c>
      <c r="G913" s="21" t="s">
        <v>7067</v>
      </c>
      <c r="H913" s="21" t="s">
        <v>761</v>
      </c>
      <c r="I913" s="21" t="s">
        <v>6740</v>
      </c>
    </row>
    <row r="914" customFormat="false" ht="15" hidden="false" customHeight="false" outlineLevel="0" collapsed="false">
      <c r="B914" s="19" t="s">
        <v>7633</v>
      </c>
      <c r="C914" s="20" t="n">
        <f aca="false">ROUND(3.9/FX,2)</f>
        <v>0.54</v>
      </c>
      <c r="D914" s="21" t="s">
        <v>714</v>
      </c>
      <c r="E914" s="21" t="s">
        <v>734</v>
      </c>
      <c r="F914" s="21" t="s">
        <v>6712</v>
      </c>
      <c r="G914" s="21" t="s">
        <v>7067</v>
      </c>
      <c r="H914" s="21" t="s">
        <v>761</v>
      </c>
      <c r="I914" s="21" t="s">
        <v>847</v>
      </c>
    </row>
    <row r="915" customFormat="false" ht="15" hidden="false" customHeight="false" outlineLevel="0" collapsed="false">
      <c r="B915" s="19" t="s">
        <v>7634</v>
      </c>
      <c r="C915" s="20" t="n">
        <f aca="false">ROUND(4.42/FX,2)</f>
        <v>0.61</v>
      </c>
      <c r="D915" s="21" t="s">
        <v>3247</v>
      </c>
      <c r="E915" s="21" t="s">
        <v>734</v>
      </c>
      <c r="F915" s="21" t="s">
        <v>6698</v>
      </c>
      <c r="G915" s="21" t="s">
        <v>7067</v>
      </c>
      <c r="H915" s="21" t="s">
        <v>761</v>
      </c>
      <c r="I915" s="21" t="s">
        <v>847</v>
      </c>
    </row>
    <row r="916" customFormat="false" ht="15" hidden="false" customHeight="false" outlineLevel="0" collapsed="false">
      <c r="B916" s="19" t="s">
        <v>7635</v>
      </c>
      <c r="C916" s="20" t="n">
        <f aca="false">ROUND(5.33/FX,2)</f>
        <v>0.74</v>
      </c>
      <c r="D916" s="21" t="s">
        <v>714</v>
      </c>
      <c r="E916" s="21" t="s">
        <v>734</v>
      </c>
      <c r="F916" s="21" t="s">
        <v>6712</v>
      </c>
      <c r="G916" s="21" t="s">
        <v>7067</v>
      </c>
      <c r="H916" s="21" t="s">
        <v>714</v>
      </c>
      <c r="I916" s="21" t="s">
        <v>761</v>
      </c>
    </row>
    <row r="917" customFormat="false" ht="15" hidden="false" customHeight="false" outlineLevel="0" collapsed="false">
      <c r="B917" s="19" t="s">
        <v>7636</v>
      </c>
      <c r="C917" s="20" t="n">
        <f aca="false">ROUND(4.55/FX,2)</f>
        <v>0.63</v>
      </c>
      <c r="D917" s="21" t="s">
        <v>714</v>
      </c>
      <c r="E917" s="21" t="s">
        <v>734</v>
      </c>
      <c r="F917" s="21" t="s">
        <v>6733</v>
      </c>
      <c r="G917" s="21" t="s">
        <v>7067</v>
      </c>
      <c r="H917" s="21" t="s">
        <v>714</v>
      </c>
      <c r="I917" s="21" t="s">
        <v>4721</v>
      </c>
    </row>
    <row r="918" customFormat="false" ht="15" hidden="false" customHeight="false" outlineLevel="0" collapsed="false">
      <c r="B918" s="19" t="s">
        <v>7637</v>
      </c>
      <c r="C918" s="20" t="n">
        <f aca="false">ROUND(5.33/FX,2)</f>
        <v>0.74</v>
      </c>
      <c r="D918" s="21" t="s">
        <v>714</v>
      </c>
      <c r="E918" s="21" t="s">
        <v>734</v>
      </c>
      <c r="F918" s="21" t="s">
        <v>6712</v>
      </c>
      <c r="G918" s="21" t="s">
        <v>7067</v>
      </c>
      <c r="H918" s="21" t="s">
        <v>714</v>
      </c>
      <c r="I918" s="21" t="s">
        <v>6740</v>
      </c>
    </row>
    <row r="919" customFormat="false" ht="15" hidden="false" customHeight="false" outlineLevel="0" collapsed="false">
      <c r="B919" s="19" t="s">
        <v>7638</v>
      </c>
      <c r="C919" s="20" t="n">
        <f aca="false">ROUND(5.33/FX,2)</f>
        <v>0.74</v>
      </c>
      <c r="D919" s="21" t="s">
        <v>714</v>
      </c>
      <c r="E919" s="21" t="s">
        <v>734</v>
      </c>
      <c r="F919" s="21" t="s">
        <v>6733</v>
      </c>
      <c r="G919" s="21" t="s">
        <v>7067</v>
      </c>
      <c r="H919" s="21" t="s">
        <v>714</v>
      </c>
      <c r="I919" s="21" t="s">
        <v>847</v>
      </c>
    </row>
    <row r="922" customFormat="false" ht="61.5" hidden="false" customHeight="true" outlineLevel="0" collapsed="false">
      <c r="A922" s="9"/>
      <c r="B922" s="10" t="s">
        <v>7639</v>
      </c>
      <c r="C922" s="10"/>
      <c r="D922" s="10"/>
      <c r="E922" s="10"/>
      <c r="F922" s="10"/>
      <c r="G922" s="10"/>
      <c r="H922" s="10"/>
      <c r="I922" s="10"/>
    </row>
    <row r="923" customFormat="false" ht="15" hidden="false" customHeight="false" outlineLevel="0" collapsed="false">
      <c r="A923" s="12" t="s">
        <v>700</v>
      </c>
      <c r="B923" s="13" t="s">
        <v>701</v>
      </c>
      <c r="C923" s="13" t="s">
        <v>702</v>
      </c>
      <c r="D923" s="13" t="s">
        <v>703</v>
      </c>
      <c r="E923" s="13" t="s">
        <v>723</v>
      </c>
      <c r="F923" s="13" t="s">
        <v>6354</v>
      </c>
      <c r="G923" s="13" t="s">
        <v>6328</v>
      </c>
      <c r="H923" s="13" t="s">
        <v>6695</v>
      </c>
      <c r="I923" s="13" t="s">
        <v>6696</v>
      </c>
    </row>
    <row r="924" customFormat="false" ht="30" hidden="false" customHeight="true" outlineLevel="0" collapsed="false">
      <c r="A924" s="14" t="s">
        <v>706</v>
      </c>
      <c r="B924" s="15" t="str">
        <f aca="false">IF(COUNTIFS($D$927:$D$958,IF(D924="","*",D924),$E$927:$E$958,IF(E924="","*",E924),$F$927:$F$958,IF(F924="","*",F924),$G$927:$G$958,IF(G924="","*",G924),$H$927:$H$958,IF(H924="","*",H924),$I$927:$I$958,IF(I924="","*",I924))=1,INDEX($B:$B,SUMPRODUCT(((D924="")+($D$927:$D$958=D924)&gt;0)*((E924="")+($E$927:$E$958=E924)&gt;0)*((F924="")+($F$927:$F$958=F924)&gt;0)*((G924="")+($G$927:$G$958=G924)&gt;0)*((H924="")+($H$927:$H$958=H924)&gt;0)*((I924="")+($I$927:$I$958=I924)&gt;0)*ROW($B$927:$B$958))),IF(COUNTIFS($D$927:$D$958,IF(D924="","*",D924),$E$927:$E$958,IF(E924="","*",E924),$F$927:$F$958,IF(F924="","*",F924),$G$927:$G$958,IF(G924="","*",G924),$H$927:$H$958,IF(H924="","*",H924),$I$927:$I$958,IF(I924="","*",I924))=0,"Not available",COUNTIFS($D$927:$D$958,IF(D924="","*",D924),$E$927:$E$958,IF(E924="","*",E924),$F$927:$F$958,IF(F924="","*",F924),$G$927:$G$958,IF(G924="","*",G924),$H$927:$H$958,IF(H924="","*",H924),$I$927:$I$958,IF(I924="","*",I924))&amp;" match, keep choosing"))</f>
        <v>MXL-AF16-5-10-MS-NS</v>
      </c>
      <c r="C924" s="16" t="n">
        <f aca="false">IF(COUNTIFS($D$927:$D$958,IF(D924="","*",D924),$E$927:$E$958,IF(E924="","*",E924),$F$927:$F$958,IF(F924="","*",F924),$G$927:$G$958,IF(G924="","*",G924),$H$927:$H$958,IF(H924="","*",H924),$I$927:$I$958,IF(I924="","*",I924))=1,INDEX($C:$C,SUMPRODUCT(((D924="")+($D$927:$D$958=D924)&gt;0)*((E924="")+($E$927:$E$958=E924)&gt;0)*((F924="")+($F$927:$F$958=F924)&gt;0)*((G924="")+($G$927:$G$958=G924)&gt;0)*((H924="")+($H$927:$H$958=H924)&gt;0)*((I924="")+($I$927:$I$958=I924)&gt;0)*ROW($B$927:$B$958))),"")</f>
        <v>0.36</v>
      </c>
      <c r="D924" s="17" t="s">
        <v>707</v>
      </c>
      <c r="E924" s="17" t="s">
        <v>6697</v>
      </c>
      <c r="F924" s="17" t="s">
        <v>6698</v>
      </c>
      <c r="G924" s="17" t="s">
        <v>6699</v>
      </c>
      <c r="H924" s="17" t="s">
        <v>3833</v>
      </c>
      <c r="I924" s="17" t="s">
        <v>789</v>
      </c>
    </row>
    <row r="926" customFormat="false" ht="15" hidden="false" customHeight="false" outlineLevel="0" collapsed="false">
      <c r="B926" s="18" t="s">
        <v>701</v>
      </c>
      <c r="C926" s="18" t="s">
        <v>702</v>
      </c>
      <c r="D926" s="18" t="s">
        <v>703</v>
      </c>
      <c r="E926" s="18" t="s">
        <v>723</v>
      </c>
      <c r="F926" s="18" t="s">
        <v>6354</v>
      </c>
      <c r="G926" s="18" t="s">
        <v>6328</v>
      </c>
      <c r="H926" s="18" t="s">
        <v>6695</v>
      </c>
      <c r="I926" s="18" t="s">
        <v>6696</v>
      </c>
    </row>
    <row r="927" customFormat="false" ht="15" hidden="false" customHeight="false" outlineLevel="0" collapsed="false">
      <c r="B927" s="19" t="s">
        <v>7640</v>
      </c>
      <c r="C927" s="20" t="n">
        <f aca="false">ROUND(2.6/FX,2)</f>
        <v>0.36</v>
      </c>
      <c r="D927" s="21" t="s">
        <v>707</v>
      </c>
      <c r="E927" s="21" t="s">
        <v>6697</v>
      </c>
      <c r="F927" s="21" t="s">
        <v>6698</v>
      </c>
      <c r="G927" s="21" t="s">
        <v>6699</v>
      </c>
      <c r="H927" s="21" t="s">
        <v>3833</v>
      </c>
      <c r="I927" s="21" t="s">
        <v>789</v>
      </c>
    </row>
    <row r="928" customFormat="false" ht="15" hidden="false" customHeight="false" outlineLevel="0" collapsed="false">
      <c r="B928" s="19" t="s">
        <v>7641</v>
      </c>
      <c r="C928" s="20" t="n">
        <f aca="false">ROUND(2.6/FX,2)</f>
        <v>0.36</v>
      </c>
      <c r="D928" s="21" t="s">
        <v>716</v>
      </c>
      <c r="E928" s="21" t="s">
        <v>6697</v>
      </c>
      <c r="F928" s="21" t="s">
        <v>6698</v>
      </c>
      <c r="G928" s="21" t="s">
        <v>6699</v>
      </c>
      <c r="H928" s="21" t="s">
        <v>3833</v>
      </c>
      <c r="I928" s="21" t="s">
        <v>789</v>
      </c>
    </row>
    <row r="929" customFormat="false" ht="15" hidden="false" customHeight="false" outlineLevel="0" collapsed="false">
      <c r="B929" s="19" t="s">
        <v>7642</v>
      </c>
      <c r="C929" s="20" t="n">
        <f aca="false">ROUND(2.73/FX,2)</f>
        <v>0.38</v>
      </c>
      <c r="D929" s="21" t="s">
        <v>707</v>
      </c>
      <c r="E929" s="21" t="s">
        <v>734</v>
      </c>
      <c r="F929" s="21" t="s">
        <v>6698</v>
      </c>
      <c r="G929" s="21" t="s">
        <v>6699</v>
      </c>
      <c r="H929" s="21" t="s">
        <v>3247</v>
      </c>
      <c r="I929" s="21" t="s">
        <v>841</v>
      </c>
    </row>
    <row r="930" customFormat="false" ht="15" hidden="false" customHeight="false" outlineLevel="0" collapsed="false">
      <c r="B930" s="19" t="s">
        <v>7643</v>
      </c>
      <c r="C930" s="20" t="n">
        <f aca="false">ROUND(2.73/FX,2)</f>
        <v>0.38</v>
      </c>
      <c r="D930" s="21" t="s">
        <v>707</v>
      </c>
      <c r="E930" s="21" t="s">
        <v>734</v>
      </c>
      <c r="F930" s="21" t="s">
        <v>6698</v>
      </c>
      <c r="G930" s="21" t="s">
        <v>6699</v>
      </c>
      <c r="H930" s="21" t="s">
        <v>3247</v>
      </c>
      <c r="I930" s="21" t="s">
        <v>789</v>
      </c>
    </row>
    <row r="931" customFormat="false" ht="15" hidden="false" customHeight="false" outlineLevel="0" collapsed="false">
      <c r="B931" s="19" t="s">
        <v>7644</v>
      </c>
      <c r="C931" s="20" t="n">
        <f aca="false">ROUND(2.73/FX,2)</f>
        <v>0.38</v>
      </c>
      <c r="D931" s="21" t="s">
        <v>716</v>
      </c>
      <c r="E931" s="21" t="s">
        <v>734</v>
      </c>
      <c r="F931" s="21" t="s">
        <v>7074</v>
      </c>
      <c r="G931" s="21" t="s">
        <v>6699</v>
      </c>
      <c r="H931" s="21" t="s">
        <v>3247</v>
      </c>
      <c r="I931" s="21" t="s">
        <v>789</v>
      </c>
    </row>
    <row r="932" customFormat="false" ht="15" hidden="false" customHeight="false" outlineLevel="0" collapsed="false">
      <c r="B932" s="19" t="s">
        <v>7645</v>
      </c>
      <c r="C932" s="20" t="n">
        <f aca="false">ROUND(2.73/FX,2)</f>
        <v>0.38</v>
      </c>
      <c r="D932" s="21" t="s">
        <v>716</v>
      </c>
      <c r="E932" s="21" t="s">
        <v>734</v>
      </c>
      <c r="F932" s="21" t="s">
        <v>6698</v>
      </c>
      <c r="G932" s="21" t="s">
        <v>6699</v>
      </c>
      <c r="H932" s="21" t="s">
        <v>3247</v>
      </c>
      <c r="I932" s="21" t="s">
        <v>789</v>
      </c>
    </row>
    <row r="933" customFormat="false" ht="15" hidden="false" customHeight="false" outlineLevel="0" collapsed="false">
      <c r="B933" s="19" t="s">
        <v>7646</v>
      </c>
      <c r="C933" s="20" t="n">
        <f aca="false">ROUND(4.73/FX,2)</f>
        <v>0.66</v>
      </c>
      <c r="D933" s="21" t="s">
        <v>847</v>
      </c>
      <c r="E933" s="21" t="s">
        <v>6697</v>
      </c>
      <c r="F933" s="21" t="s">
        <v>6712</v>
      </c>
      <c r="G933" s="21" t="s">
        <v>6699</v>
      </c>
      <c r="H933" s="21" t="s">
        <v>5097</v>
      </c>
      <c r="I933" s="21" t="s">
        <v>841</v>
      </c>
    </row>
    <row r="934" customFormat="false" ht="15" hidden="false" customHeight="false" outlineLevel="0" collapsed="false">
      <c r="B934" s="19" t="s">
        <v>7647</v>
      </c>
      <c r="C934" s="20" t="n">
        <f aca="false">ROUND(3.77/FX,2)</f>
        <v>0.52</v>
      </c>
      <c r="D934" s="21" t="s">
        <v>707</v>
      </c>
      <c r="E934" s="21" t="s">
        <v>734</v>
      </c>
      <c r="F934" s="21" t="s">
        <v>6698</v>
      </c>
      <c r="G934" s="21" t="s">
        <v>6699</v>
      </c>
      <c r="H934" s="21" t="s">
        <v>6244</v>
      </c>
      <c r="I934" s="21" t="s">
        <v>847</v>
      </c>
    </row>
    <row r="935" customFormat="false" ht="15" hidden="false" customHeight="false" outlineLevel="0" collapsed="false">
      <c r="B935" s="19" t="s">
        <v>7648</v>
      </c>
      <c r="C935" s="20" t="n">
        <f aca="false">ROUND(45.5/FX,2)</f>
        <v>6.32</v>
      </c>
      <c r="D935" s="21" t="s">
        <v>707</v>
      </c>
      <c r="E935" s="21" t="s">
        <v>734</v>
      </c>
      <c r="F935" s="21" t="s">
        <v>6712</v>
      </c>
      <c r="G935" s="21" t="s">
        <v>6758</v>
      </c>
      <c r="H935" s="21" t="s">
        <v>2851</v>
      </c>
      <c r="I935" s="21" t="s">
        <v>761</v>
      </c>
    </row>
    <row r="936" customFormat="false" ht="15" hidden="false" customHeight="false" outlineLevel="0" collapsed="false">
      <c r="B936" s="19" t="s">
        <v>7649</v>
      </c>
      <c r="C936" s="20" t="n">
        <f aca="false">ROUND(4.73/FX,2)</f>
        <v>0.66</v>
      </c>
      <c r="D936" s="21" t="s">
        <v>847</v>
      </c>
      <c r="E936" s="21" t="s">
        <v>734</v>
      </c>
      <c r="F936" s="21" t="s">
        <v>6712</v>
      </c>
      <c r="G936" s="21" t="s">
        <v>6758</v>
      </c>
      <c r="H936" s="21" t="s">
        <v>5097</v>
      </c>
      <c r="I936" s="21" t="s">
        <v>716</v>
      </c>
    </row>
    <row r="937" customFormat="false" ht="15" hidden="false" customHeight="false" outlineLevel="0" collapsed="false">
      <c r="B937" s="19" t="s">
        <v>7650</v>
      </c>
      <c r="C937" s="20" t="n">
        <f aca="false">ROUND(3.77/FX,2)</f>
        <v>0.52</v>
      </c>
      <c r="D937" s="21" t="s">
        <v>716</v>
      </c>
      <c r="E937" s="21" t="s">
        <v>734</v>
      </c>
      <c r="F937" s="21" t="s">
        <v>6712</v>
      </c>
      <c r="G937" s="21" t="s">
        <v>6758</v>
      </c>
      <c r="H937" s="21" t="s">
        <v>6244</v>
      </c>
      <c r="I937" s="21" t="s">
        <v>6740</v>
      </c>
    </row>
    <row r="938" customFormat="false" ht="15" hidden="false" customHeight="false" outlineLevel="0" collapsed="false">
      <c r="B938" s="19" t="s">
        <v>7651</v>
      </c>
      <c r="C938" s="20" t="n">
        <f aca="false">ROUND(4.03/FX,2)</f>
        <v>0.56</v>
      </c>
      <c r="D938" s="21" t="s">
        <v>707</v>
      </c>
      <c r="E938" s="21" t="s">
        <v>734</v>
      </c>
      <c r="F938" s="21" t="s">
        <v>6698</v>
      </c>
      <c r="G938" s="21" t="s">
        <v>6982</v>
      </c>
      <c r="H938" s="21" t="s">
        <v>3247</v>
      </c>
      <c r="I938" s="21" t="s">
        <v>789</v>
      </c>
    </row>
    <row r="939" customFormat="false" ht="15" hidden="false" customHeight="false" outlineLevel="0" collapsed="false">
      <c r="B939" s="19" t="s">
        <v>7652</v>
      </c>
      <c r="C939" s="20" t="n">
        <f aca="false">ROUND(8.71/FX,2)</f>
        <v>1.21</v>
      </c>
      <c r="D939" s="21" t="s">
        <v>714</v>
      </c>
      <c r="E939" s="21" t="s">
        <v>734</v>
      </c>
      <c r="F939" s="21" t="s">
        <v>6712</v>
      </c>
      <c r="G939" s="21" t="s">
        <v>6982</v>
      </c>
      <c r="H939" s="21" t="s">
        <v>2911</v>
      </c>
      <c r="I939" s="21" t="s">
        <v>789</v>
      </c>
    </row>
    <row r="940" customFormat="false" ht="15" hidden="false" customHeight="false" outlineLevel="0" collapsed="false">
      <c r="B940" s="19" t="s">
        <v>7653</v>
      </c>
      <c r="C940" s="20" t="n">
        <f aca="false">ROUND(4.03/FX,2)</f>
        <v>0.56</v>
      </c>
      <c r="D940" s="21" t="s">
        <v>707</v>
      </c>
      <c r="E940" s="21" t="s">
        <v>734</v>
      </c>
      <c r="F940" s="21" t="s">
        <v>6698</v>
      </c>
      <c r="G940" s="21" t="s">
        <v>7030</v>
      </c>
      <c r="H940" s="21" t="s">
        <v>3247</v>
      </c>
      <c r="I940" s="21" t="s">
        <v>789</v>
      </c>
    </row>
    <row r="941" customFormat="false" ht="15" hidden="false" customHeight="false" outlineLevel="0" collapsed="false">
      <c r="B941" s="19" t="s">
        <v>7654</v>
      </c>
      <c r="C941" s="20" t="n">
        <f aca="false">ROUND(1.95/FX,2)</f>
        <v>0.27</v>
      </c>
      <c r="D941" s="21" t="s">
        <v>707</v>
      </c>
      <c r="E941" s="21" t="s">
        <v>734</v>
      </c>
      <c r="F941" s="21" t="s">
        <v>6712</v>
      </c>
      <c r="G941" s="21" t="s">
        <v>7067</v>
      </c>
      <c r="H941" s="21" t="s">
        <v>4721</v>
      </c>
      <c r="I941" s="21" t="s">
        <v>789</v>
      </c>
    </row>
    <row r="942" customFormat="false" ht="15" hidden="false" customHeight="false" outlineLevel="0" collapsed="false">
      <c r="B942" s="19" t="s">
        <v>7655</v>
      </c>
      <c r="C942" s="20" t="n">
        <f aca="false">ROUND(2.73/FX,2)</f>
        <v>0.38</v>
      </c>
      <c r="D942" s="21" t="s">
        <v>847</v>
      </c>
      <c r="E942" s="21" t="s">
        <v>734</v>
      </c>
      <c r="F942" s="21" t="s">
        <v>6712</v>
      </c>
      <c r="G942" s="21" t="s">
        <v>7067</v>
      </c>
      <c r="H942" s="21" t="s">
        <v>4721</v>
      </c>
      <c r="I942" s="21" t="s">
        <v>789</v>
      </c>
    </row>
    <row r="943" customFormat="false" ht="15" hidden="false" customHeight="false" outlineLevel="0" collapsed="false">
      <c r="B943" s="19" t="s">
        <v>7656</v>
      </c>
      <c r="C943" s="20" t="n">
        <f aca="false">ROUND(2.6/FX,2)</f>
        <v>0.36</v>
      </c>
      <c r="D943" s="21" t="s">
        <v>707</v>
      </c>
      <c r="E943" s="21" t="s">
        <v>734</v>
      </c>
      <c r="F943" s="21" t="s">
        <v>6712</v>
      </c>
      <c r="G943" s="21" t="s">
        <v>7067</v>
      </c>
      <c r="H943" s="21" t="s">
        <v>3247</v>
      </c>
      <c r="I943" s="21" t="s">
        <v>841</v>
      </c>
    </row>
    <row r="944" customFormat="false" ht="15" hidden="false" customHeight="false" outlineLevel="0" collapsed="false">
      <c r="B944" s="19" t="s">
        <v>7657</v>
      </c>
      <c r="C944" s="20" t="n">
        <f aca="false">ROUND(2.47/FX,2)</f>
        <v>0.34</v>
      </c>
      <c r="D944" s="21" t="s">
        <v>716</v>
      </c>
      <c r="E944" s="21" t="s">
        <v>734</v>
      </c>
      <c r="F944" s="21" t="s">
        <v>6712</v>
      </c>
      <c r="G944" s="21" t="s">
        <v>7067</v>
      </c>
      <c r="H944" s="21" t="s">
        <v>3247</v>
      </c>
      <c r="I944" s="21" t="s">
        <v>841</v>
      </c>
    </row>
    <row r="945" customFormat="false" ht="15" hidden="false" customHeight="false" outlineLevel="0" collapsed="false">
      <c r="B945" s="19" t="s">
        <v>7658</v>
      </c>
      <c r="C945" s="20" t="n">
        <f aca="false">ROUND(2.6/FX,2)</f>
        <v>0.36</v>
      </c>
      <c r="D945" s="21" t="s">
        <v>707</v>
      </c>
      <c r="E945" s="21" t="s">
        <v>734</v>
      </c>
      <c r="F945" s="21" t="s">
        <v>6712</v>
      </c>
      <c r="G945" s="21" t="s">
        <v>7067</v>
      </c>
      <c r="H945" s="21" t="s">
        <v>3247</v>
      </c>
      <c r="I945" s="21" t="s">
        <v>789</v>
      </c>
    </row>
    <row r="946" customFormat="false" ht="15" hidden="false" customHeight="false" outlineLevel="0" collapsed="false">
      <c r="B946" s="19" t="s">
        <v>7659</v>
      </c>
      <c r="C946" s="20" t="n">
        <f aca="false">ROUND(2.73/FX,2)</f>
        <v>0.38</v>
      </c>
      <c r="D946" s="21" t="s">
        <v>716</v>
      </c>
      <c r="E946" s="21" t="s">
        <v>734</v>
      </c>
      <c r="F946" s="21" t="s">
        <v>6712</v>
      </c>
      <c r="G946" s="21" t="s">
        <v>7067</v>
      </c>
      <c r="H946" s="21" t="s">
        <v>3247</v>
      </c>
      <c r="I946" s="21" t="s">
        <v>789</v>
      </c>
    </row>
    <row r="947" customFormat="false" ht="15" hidden="false" customHeight="false" outlineLevel="0" collapsed="false">
      <c r="B947" s="19" t="s">
        <v>7660</v>
      </c>
      <c r="C947" s="20" t="n">
        <f aca="false">ROUND(2.6/FX,2)</f>
        <v>0.36</v>
      </c>
      <c r="D947" s="21" t="s">
        <v>707</v>
      </c>
      <c r="E947" s="21" t="s">
        <v>734</v>
      </c>
      <c r="F947" s="21" t="s">
        <v>6712</v>
      </c>
      <c r="G947" s="21" t="s">
        <v>7067</v>
      </c>
      <c r="H947" s="21" t="s">
        <v>3247</v>
      </c>
      <c r="I947" s="21" t="s">
        <v>716</v>
      </c>
    </row>
    <row r="948" customFormat="false" ht="15" hidden="false" customHeight="false" outlineLevel="0" collapsed="false">
      <c r="B948" s="19" t="s">
        <v>7661</v>
      </c>
      <c r="C948" s="20" t="n">
        <f aca="false">ROUND(2.73/FX,2)</f>
        <v>0.38</v>
      </c>
      <c r="D948" s="21" t="s">
        <v>716</v>
      </c>
      <c r="E948" s="21" t="s">
        <v>734</v>
      </c>
      <c r="F948" s="21" t="s">
        <v>6712</v>
      </c>
      <c r="G948" s="21" t="s">
        <v>7067</v>
      </c>
      <c r="H948" s="21" t="s">
        <v>3247</v>
      </c>
      <c r="I948" s="21" t="s">
        <v>716</v>
      </c>
    </row>
    <row r="949" customFormat="false" ht="15" hidden="false" customHeight="false" outlineLevel="0" collapsed="false">
      <c r="B949" s="19" t="s">
        <v>7662</v>
      </c>
      <c r="C949" s="20" t="n">
        <f aca="false">ROUND(3.25/FX,2)</f>
        <v>0.45</v>
      </c>
      <c r="D949" s="21" t="s">
        <v>716</v>
      </c>
      <c r="E949" s="21" t="s">
        <v>734</v>
      </c>
      <c r="F949" s="21" t="s">
        <v>7295</v>
      </c>
      <c r="G949" s="21" t="s">
        <v>7067</v>
      </c>
      <c r="H949" s="21" t="s">
        <v>3247</v>
      </c>
      <c r="I949" s="21" t="s">
        <v>716</v>
      </c>
    </row>
    <row r="950" customFormat="false" ht="15" hidden="false" customHeight="false" outlineLevel="0" collapsed="false">
      <c r="B950" s="19" t="s">
        <v>7663</v>
      </c>
      <c r="C950" s="20" t="n">
        <f aca="false">ROUND(2.6/FX,2)</f>
        <v>0.36</v>
      </c>
      <c r="D950" s="21" t="s">
        <v>707</v>
      </c>
      <c r="E950" s="21" t="s">
        <v>734</v>
      </c>
      <c r="F950" s="21" t="s">
        <v>6712</v>
      </c>
      <c r="G950" s="21" t="s">
        <v>7067</v>
      </c>
      <c r="H950" s="21" t="s">
        <v>3247</v>
      </c>
      <c r="I950" s="21" t="s">
        <v>6740</v>
      </c>
    </row>
    <row r="951" customFormat="false" ht="15" hidden="false" customHeight="false" outlineLevel="0" collapsed="false">
      <c r="B951" s="19" t="s">
        <v>7664</v>
      </c>
      <c r="C951" s="20" t="n">
        <f aca="false">ROUND(1.95/FX,2)</f>
        <v>0.27</v>
      </c>
      <c r="D951" s="21" t="s">
        <v>716</v>
      </c>
      <c r="E951" s="21" t="s">
        <v>734</v>
      </c>
      <c r="F951" s="21" t="s">
        <v>6712</v>
      </c>
      <c r="G951" s="21" t="s">
        <v>7067</v>
      </c>
      <c r="H951" s="21" t="s">
        <v>3247</v>
      </c>
      <c r="I951" s="21" t="s">
        <v>6740</v>
      </c>
    </row>
    <row r="952" customFormat="false" ht="15" hidden="false" customHeight="false" outlineLevel="0" collapsed="false">
      <c r="B952" s="19" t="s">
        <v>7665</v>
      </c>
      <c r="C952" s="20" t="n">
        <f aca="false">ROUND(2.73/FX,2)</f>
        <v>0.38</v>
      </c>
      <c r="D952" s="21" t="s">
        <v>707</v>
      </c>
      <c r="E952" s="21" t="s">
        <v>734</v>
      </c>
      <c r="F952" s="21" t="s">
        <v>6712</v>
      </c>
      <c r="G952" s="21" t="s">
        <v>7067</v>
      </c>
      <c r="H952" s="21" t="s">
        <v>3247</v>
      </c>
      <c r="I952" s="21" t="s">
        <v>847</v>
      </c>
    </row>
    <row r="953" customFormat="false" ht="15" hidden="false" customHeight="false" outlineLevel="0" collapsed="false">
      <c r="B953" s="19" t="s">
        <v>7666</v>
      </c>
      <c r="C953" s="20" t="n">
        <f aca="false">ROUND(2.47/FX,2)</f>
        <v>0.34</v>
      </c>
      <c r="D953" s="21" t="s">
        <v>716</v>
      </c>
      <c r="E953" s="21" t="s">
        <v>734</v>
      </c>
      <c r="F953" s="21" t="s">
        <v>6712</v>
      </c>
      <c r="G953" s="21" t="s">
        <v>7067</v>
      </c>
      <c r="H953" s="21" t="s">
        <v>3247</v>
      </c>
      <c r="I953" s="21" t="s">
        <v>847</v>
      </c>
    </row>
    <row r="954" customFormat="false" ht="15" hidden="false" customHeight="false" outlineLevel="0" collapsed="false">
      <c r="B954" s="19" t="s">
        <v>7667</v>
      </c>
      <c r="C954" s="20" t="n">
        <f aca="false">ROUND(3.25/FX,2)</f>
        <v>0.45</v>
      </c>
      <c r="D954" s="21" t="s">
        <v>714</v>
      </c>
      <c r="E954" s="21" t="s">
        <v>734</v>
      </c>
      <c r="F954" s="21" t="s">
        <v>6712</v>
      </c>
      <c r="G954" s="21" t="s">
        <v>7067</v>
      </c>
      <c r="H954" s="21" t="s">
        <v>3317</v>
      </c>
      <c r="I954" s="21" t="s">
        <v>789</v>
      </c>
    </row>
    <row r="955" customFormat="false" ht="15" hidden="false" customHeight="false" outlineLevel="0" collapsed="false">
      <c r="B955" s="19" t="s">
        <v>7668</v>
      </c>
      <c r="C955" s="20" t="n">
        <f aca="false">ROUND(13.52/FX,2)</f>
        <v>1.88</v>
      </c>
      <c r="D955" s="21" t="s">
        <v>714</v>
      </c>
      <c r="E955" s="21" t="s">
        <v>734</v>
      </c>
      <c r="F955" s="21" t="s">
        <v>6712</v>
      </c>
      <c r="G955" s="21" t="s">
        <v>7067</v>
      </c>
      <c r="H955" s="21" t="s">
        <v>3317</v>
      </c>
      <c r="I955" s="21" t="s">
        <v>716</v>
      </c>
    </row>
    <row r="956" customFormat="false" ht="15" hidden="false" customHeight="false" outlineLevel="0" collapsed="false">
      <c r="B956" s="19" t="s">
        <v>7669</v>
      </c>
      <c r="C956" s="20" t="n">
        <f aca="false">ROUND(3.9/FX,2)</f>
        <v>0.54</v>
      </c>
      <c r="D956" s="21" t="s">
        <v>707</v>
      </c>
      <c r="E956" s="21" t="s">
        <v>734</v>
      </c>
      <c r="F956" s="21" t="s">
        <v>6712</v>
      </c>
      <c r="G956" s="21" t="s">
        <v>7067</v>
      </c>
      <c r="H956" s="21" t="s">
        <v>3317</v>
      </c>
      <c r="I956" s="21" t="s">
        <v>6740</v>
      </c>
    </row>
    <row r="957" customFormat="false" ht="15" hidden="false" customHeight="false" outlineLevel="0" collapsed="false">
      <c r="B957" s="19" t="s">
        <v>7670</v>
      </c>
      <c r="C957" s="20" t="n">
        <f aca="false">ROUND(13.52/FX,2)</f>
        <v>1.88</v>
      </c>
      <c r="D957" s="21" t="s">
        <v>714</v>
      </c>
      <c r="E957" s="21" t="s">
        <v>734</v>
      </c>
      <c r="F957" s="21" t="s">
        <v>6712</v>
      </c>
      <c r="G957" s="21" t="s">
        <v>7067</v>
      </c>
      <c r="H957" s="21" t="s">
        <v>3317</v>
      </c>
      <c r="I957" s="21" t="s">
        <v>6740</v>
      </c>
    </row>
    <row r="958" customFormat="false" ht="15" hidden="false" customHeight="false" outlineLevel="0" collapsed="false">
      <c r="B958" s="19" t="s">
        <v>7671</v>
      </c>
      <c r="C958" s="20" t="n">
        <f aca="false">ROUND(4.55/FX,2)</f>
        <v>0.63</v>
      </c>
      <c r="D958" s="21" t="s">
        <v>714</v>
      </c>
      <c r="E958" s="21" t="s">
        <v>734</v>
      </c>
      <c r="F958" s="21" t="s">
        <v>6712</v>
      </c>
      <c r="G958" s="21" t="s">
        <v>7067</v>
      </c>
      <c r="H958" s="21" t="s">
        <v>3317</v>
      </c>
      <c r="I958" s="21" t="s">
        <v>847</v>
      </c>
    </row>
    <row r="961" customFormat="false" ht="61.5" hidden="false" customHeight="true" outlineLevel="0" collapsed="false">
      <c r="A961" s="9"/>
      <c r="B961" s="10" t="s">
        <v>7672</v>
      </c>
      <c r="C961" s="10"/>
      <c r="D961" s="10"/>
      <c r="E961" s="10"/>
      <c r="F961" s="10"/>
      <c r="G961" s="10"/>
      <c r="H961" s="10"/>
      <c r="I961" s="10"/>
    </row>
    <row r="962" customFormat="false" ht="15" hidden="false" customHeight="false" outlineLevel="0" collapsed="false">
      <c r="A962" s="12" t="s">
        <v>700</v>
      </c>
      <c r="B962" s="13" t="s">
        <v>701</v>
      </c>
      <c r="C962" s="13" t="s">
        <v>702</v>
      </c>
      <c r="D962" s="13" t="s">
        <v>703</v>
      </c>
      <c r="E962" s="13" t="s">
        <v>6159</v>
      </c>
      <c r="F962" s="13" t="s">
        <v>6354</v>
      </c>
      <c r="G962" s="13" t="s">
        <v>6328</v>
      </c>
      <c r="H962" s="13" t="s">
        <v>6695</v>
      </c>
      <c r="I962" s="13" t="s">
        <v>6696</v>
      </c>
    </row>
    <row r="963" customFormat="false" ht="30" hidden="false" customHeight="true" outlineLevel="0" collapsed="false">
      <c r="A963" s="14" t="s">
        <v>706</v>
      </c>
      <c r="B963" s="15" t="str">
        <f aca="false">IF(COUNTIFS($D$966:$D$976,IF(D963="","*",D963),$E$966:$E$976,IF(E963="","*",E963),$F$966:$F$976,IF(F963="","*",F963),$G$966:$G$976,IF(G963="","*",G963),$H$966:$H$976,IF(H963="","*",H963),$I$966:$I$976,IF(I963="","*",I963))=1,INDEX($B:$B,SUMPRODUCT(((D963="")+($D$966:$D$976=D963)&gt;0)*((E963="")+($E$966:$E$976=E963)&gt;0)*((F963="")+($F$966:$F$976=F963)&gt;0)*((G963="")+($G$966:$G$976=G963)&gt;0)*((H963="")+($H$966:$H$976=H963)&gt;0)*((I963="")+($I$966:$I$976=I963)&gt;0)*ROW($B$966:$B$976))),IF(COUNTIFS($D$966:$D$976,IF(D963="","*",D963),$E$966:$E$976,IF(E963="","*",E963),$F$966:$F$976,IF(F963="","*",F963),$G$966:$G$976,IF(G963="","*",G963),$H$966:$H$976,IF(H963="","*",H963),$I$966:$I$976,IF(I963="","*",I963))=0,"Not available",COUNTIFS($D$966:$D$976,IF(D963="","*",D963),$E$966:$E$976,IF(E963="","*",E963),$F$966:$F$976,IF(F963="","*",F963),$G$966:$G$976,IF(G963="","*",G963),$H$966:$H$976,IF(H963="","*",H963),$I$966:$I$976,IF(I963="","*",I963))&amp;" match, keep choosing"))</f>
        <v>S1.5M-K19-4-NA-MS</v>
      </c>
      <c r="C963" s="16" t="n">
        <f aca="false">IF(COUNTIFS($D$966:$D$976,IF(D963="","*",D963),$E$966:$E$976,IF(E963="","*",E963),$F$966:$F$976,IF(F963="","*",F963),$G$966:$G$976,IF(G963="","*",G963),$H$966:$H$976,IF(H963="","*",H963),$I$966:$I$976,IF(I963="","*",I963))=1,INDEX($C:$C,SUMPRODUCT(((D963="")+($D$966:$D$976=D963)&gt;0)*((E963="")+($E$966:$E$976=E963)&gt;0)*((F963="")+($F$966:$F$976=F963)&gt;0)*((G963="")+($G$966:$G$976=G963)&gt;0)*((H963="")+($H$966:$H$976=H963)&gt;0)*((I963="")+($I$966:$I$976=I963)&gt;0)*ROW($B$966:$B$976))),"")</f>
        <v>0.54</v>
      </c>
      <c r="D963" s="17" t="s">
        <v>7573</v>
      </c>
      <c r="E963" s="17" t="s">
        <v>7673</v>
      </c>
      <c r="F963" s="17" t="s">
        <v>6698</v>
      </c>
      <c r="G963" s="17" t="s">
        <v>7067</v>
      </c>
      <c r="H963" s="17" t="s">
        <v>6940</v>
      </c>
      <c r="I963" s="17" t="s">
        <v>841</v>
      </c>
    </row>
    <row r="965" customFormat="false" ht="15" hidden="false" customHeight="false" outlineLevel="0" collapsed="false">
      <c r="B965" s="18" t="s">
        <v>701</v>
      </c>
      <c r="C965" s="18" t="s">
        <v>702</v>
      </c>
      <c r="D965" s="18" t="s">
        <v>703</v>
      </c>
      <c r="E965" s="18" t="s">
        <v>6159</v>
      </c>
      <c r="F965" s="18" t="s">
        <v>6354</v>
      </c>
      <c r="G965" s="18" t="s">
        <v>6328</v>
      </c>
      <c r="H965" s="18" t="s">
        <v>6695</v>
      </c>
      <c r="I965" s="18" t="s">
        <v>6696</v>
      </c>
    </row>
    <row r="966" customFormat="false" ht="15" hidden="false" customHeight="false" outlineLevel="0" collapsed="false">
      <c r="B966" s="19" t="s">
        <v>7674</v>
      </c>
      <c r="C966" s="20" t="n">
        <f aca="false">ROUND(3.9/FX,2)</f>
        <v>0.54</v>
      </c>
      <c r="D966" s="21" t="s">
        <v>7573</v>
      </c>
      <c r="E966" s="21" t="s">
        <v>7673</v>
      </c>
      <c r="F966" s="21" t="s">
        <v>6698</v>
      </c>
      <c r="G966" s="21" t="s">
        <v>7067</v>
      </c>
      <c r="H966" s="21" t="s">
        <v>6940</v>
      </c>
      <c r="I966" s="21" t="s">
        <v>841</v>
      </c>
    </row>
    <row r="967" customFormat="false" ht="15" hidden="false" customHeight="false" outlineLevel="0" collapsed="false">
      <c r="B967" s="19" t="s">
        <v>7675</v>
      </c>
      <c r="C967" s="20" t="n">
        <f aca="false">ROUND(4.42/FX,2)</f>
        <v>0.61</v>
      </c>
      <c r="D967" s="21" t="s">
        <v>707</v>
      </c>
      <c r="E967" s="21" t="s">
        <v>6160</v>
      </c>
      <c r="F967" s="21" t="s">
        <v>6712</v>
      </c>
      <c r="G967" s="21" t="s">
        <v>6758</v>
      </c>
      <c r="H967" s="21" t="s">
        <v>3247</v>
      </c>
      <c r="I967" s="21" t="s">
        <v>6740</v>
      </c>
    </row>
    <row r="968" customFormat="false" ht="15" hidden="false" customHeight="false" outlineLevel="0" collapsed="false">
      <c r="B968" s="19" t="s">
        <v>7676</v>
      </c>
      <c r="C968" s="20" t="n">
        <f aca="false">ROUND(4.42/FX,2)</f>
        <v>0.61</v>
      </c>
      <c r="D968" s="21" t="s">
        <v>707</v>
      </c>
      <c r="E968" s="21" t="s">
        <v>6160</v>
      </c>
      <c r="F968" s="21" t="s">
        <v>6712</v>
      </c>
      <c r="G968" s="21" t="s">
        <v>6758</v>
      </c>
      <c r="H968" s="21" t="s">
        <v>3247</v>
      </c>
      <c r="I968" s="21" t="s">
        <v>847</v>
      </c>
    </row>
    <row r="969" customFormat="false" ht="15" hidden="false" customHeight="false" outlineLevel="0" collapsed="false">
      <c r="B969" s="19" t="s">
        <v>7677</v>
      </c>
      <c r="C969" s="20" t="n">
        <f aca="false">ROUND(6.5/FX,2)</f>
        <v>0.9</v>
      </c>
      <c r="D969" s="21" t="s">
        <v>707</v>
      </c>
      <c r="E969" s="21" t="s">
        <v>6160</v>
      </c>
      <c r="F969" s="21" t="s">
        <v>6712</v>
      </c>
      <c r="G969" s="21" t="s">
        <v>6758</v>
      </c>
      <c r="H969" s="21" t="s">
        <v>784</v>
      </c>
      <c r="I969" s="21" t="s">
        <v>6740</v>
      </c>
    </row>
    <row r="970" customFormat="false" ht="15" hidden="false" customHeight="false" outlineLevel="0" collapsed="false">
      <c r="B970" s="19" t="s">
        <v>7678</v>
      </c>
      <c r="C970" s="20" t="n">
        <f aca="false">ROUND(6.5/FX,2)</f>
        <v>0.9</v>
      </c>
      <c r="D970" s="21" t="s">
        <v>707</v>
      </c>
      <c r="E970" s="21" t="s">
        <v>6160</v>
      </c>
      <c r="F970" s="21" t="s">
        <v>6712</v>
      </c>
      <c r="G970" s="21" t="s">
        <v>6758</v>
      </c>
      <c r="H970" s="21" t="s">
        <v>784</v>
      </c>
      <c r="I970" s="21" t="s">
        <v>847</v>
      </c>
    </row>
    <row r="971" customFormat="false" ht="15" hidden="false" customHeight="false" outlineLevel="0" collapsed="false">
      <c r="B971" s="19" t="s">
        <v>7679</v>
      </c>
      <c r="C971" s="20" t="n">
        <f aca="false">ROUND(9.75/FX,2)</f>
        <v>1.35</v>
      </c>
      <c r="D971" s="21" t="s">
        <v>707</v>
      </c>
      <c r="E971" s="21" t="s">
        <v>6160</v>
      </c>
      <c r="F971" s="21" t="s">
        <v>6712</v>
      </c>
      <c r="G971" s="21" t="s">
        <v>6758</v>
      </c>
      <c r="H971" s="21" t="s">
        <v>6246</v>
      </c>
      <c r="I971" s="21" t="s">
        <v>6740</v>
      </c>
    </row>
    <row r="972" customFormat="false" ht="15" hidden="false" customHeight="false" outlineLevel="0" collapsed="false">
      <c r="B972" s="19" t="s">
        <v>7680</v>
      </c>
      <c r="C972" s="20" t="n">
        <f aca="false">ROUND(9.75/FX,2)</f>
        <v>1.35</v>
      </c>
      <c r="D972" s="21" t="s">
        <v>707</v>
      </c>
      <c r="E972" s="21" t="s">
        <v>6160</v>
      </c>
      <c r="F972" s="21" t="s">
        <v>6712</v>
      </c>
      <c r="G972" s="21" t="s">
        <v>6758</v>
      </c>
      <c r="H972" s="21" t="s">
        <v>6246</v>
      </c>
      <c r="I972" s="21" t="s">
        <v>847</v>
      </c>
    </row>
    <row r="973" customFormat="false" ht="15" hidden="false" customHeight="false" outlineLevel="0" collapsed="false">
      <c r="B973" s="19" t="s">
        <v>7681</v>
      </c>
      <c r="C973" s="20" t="n">
        <f aca="false">ROUND(20.8/FX,2)</f>
        <v>2.89</v>
      </c>
      <c r="D973" s="21" t="s">
        <v>707</v>
      </c>
      <c r="E973" s="21" t="s">
        <v>6160</v>
      </c>
      <c r="F973" s="21" t="s">
        <v>6712</v>
      </c>
      <c r="G973" s="21" t="s">
        <v>6758</v>
      </c>
      <c r="H973" s="21" t="s">
        <v>2961</v>
      </c>
      <c r="I973" s="21" t="s">
        <v>6740</v>
      </c>
    </row>
    <row r="974" customFormat="false" ht="15" hidden="false" customHeight="false" outlineLevel="0" collapsed="false">
      <c r="B974" s="19" t="s">
        <v>7682</v>
      </c>
      <c r="C974" s="20" t="n">
        <f aca="false">ROUND(20.8/FX,2)</f>
        <v>2.89</v>
      </c>
      <c r="D974" s="21" t="s">
        <v>707</v>
      </c>
      <c r="E974" s="21" t="s">
        <v>6160</v>
      </c>
      <c r="F974" s="21" t="s">
        <v>6712</v>
      </c>
      <c r="G974" s="21" t="s">
        <v>6758</v>
      </c>
      <c r="H974" s="21" t="s">
        <v>2961</v>
      </c>
      <c r="I974" s="21" t="s">
        <v>847</v>
      </c>
    </row>
    <row r="975" customFormat="false" ht="15" hidden="false" customHeight="false" outlineLevel="0" collapsed="false">
      <c r="B975" s="19" t="s">
        <v>7683</v>
      </c>
      <c r="C975" s="20" t="n">
        <f aca="false">ROUND(3.9/FX,2)</f>
        <v>0.54</v>
      </c>
      <c r="D975" s="21" t="s">
        <v>707</v>
      </c>
      <c r="E975" s="21" t="s">
        <v>6160</v>
      </c>
      <c r="F975" s="21" t="s">
        <v>6712</v>
      </c>
      <c r="G975" s="21" t="s">
        <v>7067</v>
      </c>
      <c r="H975" s="21" t="s">
        <v>4000</v>
      </c>
      <c r="I975" s="21" t="s">
        <v>847</v>
      </c>
    </row>
    <row r="976" customFormat="false" ht="15" hidden="false" customHeight="false" outlineLevel="0" collapsed="false">
      <c r="B976" s="19" t="s">
        <v>7684</v>
      </c>
      <c r="C976" s="20" t="n">
        <f aca="false">ROUND(6.27/FX,2)</f>
        <v>0.87</v>
      </c>
      <c r="D976" s="21" t="s">
        <v>714</v>
      </c>
      <c r="E976" s="21" t="s">
        <v>6163</v>
      </c>
      <c r="F976" s="21" t="s">
        <v>6698</v>
      </c>
      <c r="G976" s="21" t="s">
        <v>7030</v>
      </c>
      <c r="H976" s="21" t="s">
        <v>714</v>
      </c>
      <c r="I976" s="21" t="s">
        <v>847</v>
      </c>
    </row>
    <row r="979" customFormat="false" ht="61.5" hidden="false" customHeight="true" outlineLevel="0" collapsed="false">
      <c r="A979" s="9"/>
      <c r="B979" s="10" t="s">
        <v>7685</v>
      </c>
      <c r="C979" s="10"/>
      <c r="D979" s="10"/>
      <c r="E979" s="10"/>
      <c r="F979" s="10"/>
      <c r="G979" s="10"/>
      <c r="H979" s="10"/>
    </row>
    <row r="980" customFormat="false" ht="15" hidden="false" customHeight="false" outlineLevel="0" collapsed="false">
      <c r="A980" s="12" t="s">
        <v>700</v>
      </c>
      <c r="B980" s="13" t="s">
        <v>701</v>
      </c>
      <c r="C980" s="13" t="s">
        <v>702</v>
      </c>
      <c r="D980" s="13" t="s">
        <v>703</v>
      </c>
      <c r="E980" s="13" t="s">
        <v>6354</v>
      </c>
      <c r="F980" s="13" t="s">
        <v>6328</v>
      </c>
      <c r="G980" s="13" t="s">
        <v>6695</v>
      </c>
      <c r="H980" s="13" t="s">
        <v>6696</v>
      </c>
    </row>
    <row r="981" customFormat="false" ht="30" hidden="false" customHeight="true" outlineLevel="0" collapsed="false">
      <c r="A981" s="14" t="s">
        <v>706</v>
      </c>
      <c r="B981" s="15" t="str">
        <f aca="false">IF(COUNTIFS($D$984:$D$989,IF(D981="","*",D981),$E$984:$E$989,IF(E981="","*",E981),$F$984:$F$989,IF(F981="","*",F981),$G$984:$G$989,IF(G981="","*",G981),$H$984:$H$989,IF(H981="","*",H981))=1,INDEX($B:$B,SUMPRODUCT(((D981="")+($D$984:$D$989=D981)&gt;0)*((E981="")+($E$984:$E$989=E981)&gt;0)*((F981="")+($F$984:$F$989=F981)&gt;0)*((G981="")+($G$984:$G$989=G981)&gt;0)*((H981="")+($H$984:$H$989=H981)&gt;0)*ROW($B$984:$B$989))),IF(COUNTIFS($D$984:$D$989,IF(D981="","*",D981),$E$984:$E$989,IF(E981="","*",E981),$F$984:$F$989,IF(F981="","*",F981),$G$984:$G$989,IF(G981="","*",G981),$H$984:$H$989,IF(H981="","*",H981))=0,"Not available",COUNTIFS($D$984:$D$989,IF(D981="","*",D981),$E$984:$E$989,IF(E981="","*",E981),$F$984:$F$989,IF(F981="","*",F981),$G$984:$G$989,IF(G981="","*",G981),$H$984:$H$989,IF(H981="","*",H981))&amp;" match, keep choosing"))</f>
        <v>T2.5-K15-5-10-OS</v>
      </c>
      <c r="C981" s="16" t="n">
        <f aca="false">IF(COUNTIFS($D$984:$D$989,IF(D981="","*",D981),$E$984:$E$989,IF(E981="","*",E981),$F$984:$F$989,IF(F981="","*",F981),$G$984:$G$989,IF(G981="","*",G981),$H$984:$H$989,IF(H981="","*",H981))=1,INDEX($C:$C,SUMPRODUCT(((D981="")+($D$984:$D$989=D981)&gt;0)*((E981="")+($E$984:$E$989=E981)&gt;0)*((F981="")+($F$984:$F$989=F981)&gt;0)*((G981="")+($G$984:$G$989=G981)&gt;0)*((H981="")+($H$984:$H$989=H981)&gt;0)*ROW($B$984:$B$989))),"")</f>
        <v>0.38</v>
      </c>
      <c r="D981" s="17" t="s">
        <v>707</v>
      </c>
      <c r="E981" s="17" t="s">
        <v>6712</v>
      </c>
      <c r="F981" s="17" t="s">
        <v>7067</v>
      </c>
      <c r="G981" s="17" t="s">
        <v>714</v>
      </c>
      <c r="H981" s="17" t="s">
        <v>789</v>
      </c>
    </row>
    <row r="983" customFormat="false" ht="15" hidden="false" customHeight="false" outlineLevel="0" collapsed="false">
      <c r="B983" s="18" t="s">
        <v>701</v>
      </c>
      <c r="C983" s="18" t="s">
        <v>702</v>
      </c>
      <c r="D983" s="18" t="s">
        <v>703</v>
      </c>
      <c r="E983" s="18" t="s">
        <v>6354</v>
      </c>
      <c r="F983" s="18" t="s">
        <v>6328</v>
      </c>
      <c r="G983" s="18" t="s">
        <v>6695</v>
      </c>
      <c r="H983" s="18" t="s">
        <v>6696</v>
      </c>
    </row>
    <row r="984" customFormat="false" ht="15" hidden="false" customHeight="false" outlineLevel="0" collapsed="false">
      <c r="B984" s="19" t="s">
        <v>7686</v>
      </c>
      <c r="C984" s="20" t="n">
        <f aca="false">ROUND(2.73/FX,2)</f>
        <v>0.38</v>
      </c>
      <c r="D984" s="21" t="s">
        <v>707</v>
      </c>
      <c r="E984" s="21" t="s">
        <v>6712</v>
      </c>
      <c r="F984" s="21" t="s">
        <v>7067</v>
      </c>
      <c r="G984" s="21" t="s">
        <v>714</v>
      </c>
      <c r="H984" s="21" t="s">
        <v>789</v>
      </c>
    </row>
    <row r="985" customFormat="false" ht="15" hidden="false" customHeight="false" outlineLevel="0" collapsed="false">
      <c r="B985" s="19" t="s">
        <v>7687</v>
      </c>
      <c r="C985" s="20" t="n">
        <f aca="false">ROUND(2.73/FX,2)</f>
        <v>0.38</v>
      </c>
      <c r="D985" s="21" t="s">
        <v>716</v>
      </c>
      <c r="E985" s="21" t="s">
        <v>6712</v>
      </c>
      <c r="F985" s="21" t="s">
        <v>7067</v>
      </c>
      <c r="G985" s="21" t="s">
        <v>714</v>
      </c>
      <c r="H985" s="21" t="s">
        <v>789</v>
      </c>
    </row>
    <row r="986" customFormat="false" ht="15" hidden="false" customHeight="false" outlineLevel="0" collapsed="false">
      <c r="B986" s="19" t="s">
        <v>7688</v>
      </c>
      <c r="C986" s="20" t="n">
        <f aca="false">ROUND(2.47/FX,2)</f>
        <v>0.34</v>
      </c>
      <c r="D986" s="21" t="s">
        <v>716</v>
      </c>
      <c r="E986" s="21" t="s">
        <v>6712</v>
      </c>
      <c r="F986" s="21" t="s">
        <v>7067</v>
      </c>
      <c r="G986" s="21" t="s">
        <v>3833</v>
      </c>
      <c r="H986" s="21" t="s">
        <v>789</v>
      </c>
    </row>
    <row r="987" customFormat="false" ht="15" hidden="false" customHeight="false" outlineLevel="0" collapsed="false">
      <c r="B987" s="19" t="s">
        <v>7689</v>
      </c>
      <c r="C987" s="20" t="n">
        <f aca="false">ROUND(2.73/FX,2)</f>
        <v>0.38</v>
      </c>
      <c r="D987" s="21" t="s">
        <v>716</v>
      </c>
      <c r="E987" s="21" t="s">
        <v>6698</v>
      </c>
      <c r="F987" s="21" t="s">
        <v>7067</v>
      </c>
      <c r="G987" s="21" t="s">
        <v>3833</v>
      </c>
      <c r="H987" s="21" t="s">
        <v>716</v>
      </c>
    </row>
    <row r="988" customFormat="false" ht="15" hidden="false" customHeight="false" outlineLevel="0" collapsed="false">
      <c r="B988" s="19" t="s">
        <v>7690</v>
      </c>
      <c r="C988" s="20" t="n">
        <f aca="false">ROUND(3.38/FX,2)</f>
        <v>0.47</v>
      </c>
      <c r="D988" s="21" t="s">
        <v>716</v>
      </c>
      <c r="E988" s="21" t="s">
        <v>6698</v>
      </c>
      <c r="F988" s="21" t="s">
        <v>7067</v>
      </c>
      <c r="G988" s="21" t="s">
        <v>3247</v>
      </c>
      <c r="H988" s="21" t="s">
        <v>789</v>
      </c>
    </row>
    <row r="989" customFormat="false" ht="15" hidden="false" customHeight="false" outlineLevel="0" collapsed="false">
      <c r="B989" s="19" t="s">
        <v>7691</v>
      </c>
      <c r="C989" s="20" t="n">
        <f aca="false">ROUND(2.6/FX,2)</f>
        <v>0.36</v>
      </c>
      <c r="D989" s="21" t="s">
        <v>716</v>
      </c>
      <c r="E989" s="21" t="s">
        <v>6712</v>
      </c>
      <c r="F989" s="21" t="s">
        <v>7067</v>
      </c>
      <c r="G989" s="21" t="s">
        <v>3247</v>
      </c>
      <c r="H989" s="21" t="s">
        <v>6740</v>
      </c>
    </row>
    <row r="992" customFormat="false" ht="61.5" hidden="false" customHeight="true" outlineLevel="0" collapsed="false">
      <c r="A992" s="9"/>
      <c r="B992" s="10" t="s">
        <v>7692</v>
      </c>
      <c r="C992" s="10"/>
      <c r="D992" s="10"/>
      <c r="E992" s="10"/>
      <c r="F992" s="10"/>
      <c r="G992" s="10"/>
    </row>
    <row r="993" customFormat="false" ht="15" hidden="false" customHeight="false" outlineLevel="0" collapsed="false">
      <c r="A993" s="12" t="s">
        <v>700</v>
      </c>
      <c r="B993" s="13" t="s">
        <v>701</v>
      </c>
      <c r="C993" s="13" t="s">
        <v>702</v>
      </c>
      <c r="D993" s="13" t="s">
        <v>703</v>
      </c>
      <c r="E993" s="13" t="s">
        <v>6328</v>
      </c>
      <c r="F993" s="13" t="s">
        <v>6695</v>
      </c>
      <c r="G993" s="13" t="s">
        <v>6696</v>
      </c>
    </row>
    <row r="994" customFormat="false" ht="30" hidden="false" customHeight="true" outlineLevel="0" collapsed="false">
      <c r="A994" s="14" t="s">
        <v>706</v>
      </c>
      <c r="B994" s="15" t="str">
        <f aca="false">IF(COUNTIFS($D$997:$D$1013,IF(D994="","*",D994),$E$997:$E$1013,IF(E994="","*",E994),$F$997:$F$1013,IF(F994="","*",F994),$G$997:$G$1013,IF(G994="","*",G994))=1,INDEX($B:$B,SUMPRODUCT(((D994="")+($D$997:$D$1013=D994)&gt;0)*((E994="")+($E$997:$E$1013=E994)&gt;0)*((F994="")+($F$997:$F$1013=F994)&gt;0)*((G994="")+($G$997:$G$1013=G994)&gt;0)*ROW($B$997:$B$1013))),IF(COUNTIFS($D$997:$D$1013,IF(D994="","*",D994),$E$997:$E$1013,IF(E994="","*",E994),$F$997:$F$1013,IF(F994="","*",F994),$G$997:$G$1013,IF(G994="","*",G994))=0,"Not available",COUNTIFS($D$997:$D$1013,IF(D994="","*",D994),$E$997:$E$1013,IF(E994="","*",E994),$F$997:$F$1013,IF(F994="","*",F994),$G$997:$G$1013,IF(G994="","*",G994))&amp;" match, keep choosing"))</f>
        <v>XL-AF15-10-6-OS</v>
      </c>
      <c r="C994" s="16" t="n">
        <f aca="false">IF(COUNTIFS($D$997:$D$1013,IF(D994="","*",D994),$E$997:$E$1013,IF(E994="","*",E994),$F$997:$F$1013,IF(F994="","*",F994),$G$997:$G$1013,IF(G994="","*",G994))=1,INDEX($C:$C,SUMPRODUCT(((D994="")+($D$997:$D$1013=D994)&gt;0)*((E994="")+($E$997:$E$1013=E994)&gt;0)*((F994="")+($F$997:$F$1013=F994)&gt;0)*((G994="")+($G$997:$G$1013=G994)&gt;0)*ROW($B$997:$B$1013))),"")</f>
        <v>0.72</v>
      </c>
      <c r="D994" s="17" t="s">
        <v>716</v>
      </c>
      <c r="E994" s="17" t="s">
        <v>6699</v>
      </c>
      <c r="F994" s="17" t="s">
        <v>714</v>
      </c>
      <c r="G994" s="17" t="s">
        <v>707</v>
      </c>
    </row>
    <row r="996" customFormat="false" ht="15" hidden="false" customHeight="false" outlineLevel="0" collapsed="false">
      <c r="B996" s="18" t="s">
        <v>701</v>
      </c>
      <c r="C996" s="18" t="s">
        <v>702</v>
      </c>
      <c r="D996" s="18" t="s">
        <v>703</v>
      </c>
      <c r="E996" s="18" t="s">
        <v>6328</v>
      </c>
      <c r="F996" s="18" t="s">
        <v>6695</v>
      </c>
      <c r="G996" s="18" t="s">
        <v>6696</v>
      </c>
    </row>
    <row r="997" customFormat="false" ht="15" hidden="false" customHeight="false" outlineLevel="0" collapsed="false">
      <c r="B997" s="19" t="s">
        <v>7693</v>
      </c>
      <c r="C997" s="20" t="n">
        <f aca="false">ROUND(5.2/FX,2)</f>
        <v>0.72</v>
      </c>
      <c r="D997" s="21" t="s">
        <v>716</v>
      </c>
      <c r="E997" s="21" t="s">
        <v>6699</v>
      </c>
      <c r="F997" s="21" t="s">
        <v>714</v>
      </c>
      <c r="G997" s="21" t="s">
        <v>707</v>
      </c>
    </row>
    <row r="998" customFormat="false" ht="15" hidden="false" customHeight="false" outlineLevel="0" collapsed="false">
      <c r="B998" s="19" t="s">
        <v>7694</v>
      </c>
      <c r="C998" s="20" t="n">
        <f aca="false">ROUND(7.8/FX,2)</f>
        <v>1.08</v>
      </c>
      <c r="D998" s="21" t="s">
        <v>707</v>
      </c>
      <c r="E998" s="21" t="s">
        <v>6699</v>
      </c>
      <c r="F998" s="21" t="s">
        <v>7020</v>
      </c>
      <c r="G998" s="21" t="s">
        <v>847</v>
      </c>
    </row>
    <row r="999" customFormat="false" ht="15" hidden="false" customHeight="false" outlineLevel="0" collapsed="false">
      <c r="B999" s="19" t="s">
        <v>7695</v>
      </c>
      <c r="C999" s="20" t="n">
        <f aca="false">ROUND(9.1/FX,2)</f>
        <v>1.26</v>
      </c>
      <c r="D999" s="21" t="s">
        <v>5492</v>
      </c>
      <c r="E999" s="21" t="s">
        <v>6699</v>
      </c>
      <c r="F999" s="21" t="s">
        <v>3317</v>
      </c>
      <c r="G999" s="21" t="s">
        <v>847</v>
      </c>
    </row>
    <row r="1000" customFormat="false" ht="15" hidden="false" customHeight="false" outlineLevel="0" collapsed="false">
      <c r="B1000" s="19" t="s">
        <v>7696</v>
      </c>
      <c r="C1000" s="20" t="n">
        <f aca="false">ROUND(2.99/FX,2)</f>
        <v>0.42</v>
      </c>
      <c r="D1000" s="21" t="s">
        <v>707</v>
      </c>
      <c r="E1000" s="21" t="s">
        <v>6758</v>
      </c>
      <c r="F1000" s="21" t="s">
        <v>707</v>
      </c>
      <c r="G1000" s="21" t="s">
        <v>789</v>
      </c>
    </row>
    <row r="1001" customFormat="false" ht="15" hidden="false" customHeight="false" outlineLevel="0" collapsed="false">
      <c r="B1001" s="19" t="s">
        <v>7697</v>
      </c>
      <c r="C1001" s="20" t="n">
        <f aca="false">ROUND(2.99/FX,2)</f>
        <v>0.42</v>
      </c>
      <c r="D1001" s="21" t="s">
        <v>707</v>
      </c>
      <c r="E1001" s="21" t="s">
        <v>6758</v>
      </c>
      <c r="F1001" s="21" t="s">
        <v>707</v>
      </c>
      <c r="G1001" s="21" t="s">
        <v>716</v>
      </c>
    </row>
    <row r="1002" customFormat="false" ht="15" hidden="false" customHeight="false" outlineLevel="0" collapsed="false">
      <c r="B1002" s="19" t="s">
        <v>7698</v>
      </c>
      <c r="C1002" s="20" t="n">
        <f aca="false">ROUND(3.38/FX,2)</f>
        <v>0.47</v>
      </c>
      <c r="D1002" s="21" t="s">
        <v>707</v>
      </c>
      <c r="E1002" s="21" t="s">
        <v>6758</v>
      </c>
      <c r="F1002" s="21" t="s">
        <v>707</v>
      </c>
      <c r="G1002" s="21" t="s">
        <v>6740</v>
      </c>
    </row>
    <row r="1003" customFormat="false" ht="15" hidden="false" customHeight="false" outlineLevel="0" collapsed="false">
      <c r="B1003" s="19" t="s">
        <v>7699</v>
      </c>
      <c r="C1003" s="20" t="n">
        <f aca="false">ROUND(5.85/FX,2)</f>
        <v>0.81</v>
      </c>
      <c r="D1003" s="21" t="s">
        <v>707</v>
      </c>
      <c r="E1003" s="21" t="s">
        <v>6758</v>
      </c>
      <c r="F1003" s="21" t="s">
        <v>3247</v>
      </c>
      <c r="G1003" s="21" t="s">
        <v>789</v>
      </c>
    </row>
    <row r="1004" customFormat="false" ht="15" hidden="false" customHeight="false" outlineLevel="0" collapsed="false">
      <c r="B1004" s="19" t="s">
        <v>7700</v>
      </c>
      <c r="C1004" s="20" t="n">
        <f aca="false">ROUND(7.8/FX,2)</f>
        <v>1.08</v>
      </c>
      <c r="D1004" s="21" t="s">
        <v>707</v>
      </c>
      <c r="E1004" s="21" t="s">
        <v>6758</v>
      </c>
      <c r="F1004" s="21" t="s">
        <v>7020</v>
      </c>
      <c r="G1004" s="21" t="s">
        <v>761</v>
      </c>
    </row>
    <row r="1005" customFormat="false" ht="15" hidden="false" customHeight="false" outlineLevel="0" collapsed="false">
      <c r="B1005" s="19" t="s">
        <v>7701</v>
      </c>
      <c r="C1005" s="20" t="n">
        <f aca="false">ROUND(11.7/FX,2)</f>
        <v>1.63</v>
      </c>
      <c r="D1005" s="21" t="s">
        <v>707</v>
      </c>
      <c r="E1005" s="21" t="s">
        <v>6758</v>
      </c>
      <c r="F1005" s="21" t="s">
        <v>784</v>
      </c>
      <c r="G1005" s="21" t="s">
        <v>707</v>
      </c>
    </row>
    <row r="1006" customFormat="false" ht="15" hidden="false" customHeight="false" outlineLevel="0" collapsed="false">
      <c r="B1006" s="19" t="s">
        <v>7702</v>
      </c>
      <c r="C1006" s="20" t="n">
        <f aca="false">ROUND(11.7/FX,2)</f>
        <v>1.63</v>
      </c>
      <c r="D1006" s="21" t="s">
        <v>707</v>
      </c>
      <c r="E1006" s="21" t="s">
        <v>6758</v>
      </c>
      <c r="F1006" s="21" t="s">
        <v>784</v>
      </c>
      <c r="G1006" s="21" t="s">
        <v>761</v>
      </c>
    </row>
    <row r="1007" customFormat="false" ht="15" hidden="false" customHeight="false" outlineLevel="0" collapsed="false">
      <c r="B1007" s="19" t="s">
        <v>7703</v>
      </c>
      <c r="C1007" s="20" t="n">
        <f aca="false">ROUND(11.7/FX,2)</f>
        <v>1.63</v>
      </c>
      <c r="D1007" s="21" t="s">
        <v>707</v>
      </c>
      <c r="E1007" s="21" t="s">
        <v>6758</v>
      </c>
      <c r="F1007" s="21" t="s">
        <v>784</v>
      </c>
      <c r="G1007" s="21" t="s">
        <v>789</v>
      </c>
    </row>
    <row r="1008" customFormat="false" ht="15" hidden="false" customHeight="false" outlineLevel="0" collapsed="false">
      <c r="B1008" s="19" t="s">
        <v>7704</v>
      </c>
      <c r="C1008" s="20" t="n">
        <f aca="false">ROUND(13.65/FX,2)</f>
        <v>1.9</v>
      </c>
      <c r="D1008" s="21" t="s">
        <v>707</v>
      </c>
      <c r="E1008" s="21" t="s">
        <v>6758</v>
      </c>
      <c r="F1008" s="21" t="s">
        <v>784</v>
      </c>
      <c r="G1008" s="21" t="s">
        <v>6740</v>
      </c>
    </row>
    <row r="1009" customFormat="false" ht="15" hidden="false" customHeight="false" outlineLevel="0" collapsed="false">
      <c r="B1009" s="19" t="s">
        <v>7705</v>
      </c>
      <c r="C1009" s="20" t="n">
        <f aca="false">ROUND(11.7/FX,2)</f>
        <v>1.63</v>
      </c>
      <c r="D1009" s="21" t="s">
        <v>707</v>
      </c>
      <c r="E1009" s="21" t="s">
        <v>6758</v>
      </c>
      <c r="F1009" s="21" t="s">
        <v>784</v>
      </c>
      <c r="G1009" s="21" t="s">
        <v>847</v>
      </c>
    </row>
    <row r="1010" customFormat="false" ht="15" hidden="false" customHeight="false" outlineLevel="0" collapsed="false">
      <c r="B1010" s="19" t="s">
        <v>7706</v>
      </c>
      <c r="C1010" s="20" t="n">
        <f aca="false">ROUND(3.38/FX,2)</f>
        <v>0.47</v>
      </c>
      <c r="D1010" s="21" t="s">
        <v>707</v>
      </c>
      <c r="E1010" s="21" t="s">
        <v>7067</v>
      </c>
      <c r="F1010" s="21" t="s">
        <v>707</v>
      </c>
      <c r="G1010" s="21" t="s">
        <v>789</v>
      </c>
    </row>
    <row r="1011" customFormat="false" ht="15" hidden="false" customHeight="false" outlineLevel="0" collapsed="false">
      <c r="B1011" s="19" t="s">
        <v>7707</v>
      </c>
      <c r="C1011" s="20" t="n">
        <f aca="false">ROUND(3.38/FX,2)</f>
        <v>0.47</v>
      </c>
      <c r="D1011" s="21" t="s">
        <v>707</v>
      </c>
      <c r="E1011" s="21" t="s">
        <v>7067</v>
      </c>
      <c r="F1011" s="21" t="s">
        <v>707</v>
      </c>
      <c r="G1011" s="21" t="s">
        <v>716</v>
      </c>
    </row>
    <row r="1012" customFormat="false" ht="15" hidden="false" customHeight="false" outlineLevel="0" collapsed="false">
      <c r="B1012" s="19" t="s">
        <v>7708</v>
      </c>
      <c r="C1012" s="20" t="n">
        <f aca="false">ROUND(3.38/FX,2)</f>
        <v>0.47</v>
      </c>
      <c r="D1012" s="21" t="s">
        <v>707</v>
      </c>
      <c r="E1012" s="21" t="s">
        <v>7067</v>
      </c>
      <c r="F1012" s="21" t="s">
        <v>707</v>
      </c>
      <c r="G1012" s="21" t="s">
        <v>6740</v>
      </c>
    </row>
    <row r="1013" customFormat="false" ht="15" hidden="false" customHeight="false" outlineLevel="0" collapsed="false">
      <c r="B1013" s="19" t="s">
        <v>7709</v>
      </c>
      <c r="C1013" s="20" t="n">
        <f aca="false">ROUND(4.03/FX,2)</f>
        <v>0.56</v>
      </c>
      <c r="D1013" s="21" t="s">
        <v>707</v>
      </c>
      <c r="E1013" s="21" t="s">
        <v>7067</v>
      </c>
      <c r="F1013" s="21" t="s">
        <v>5091</v>
      </c>
      <c r="G1013" s="21" t="s">
        <v>847</v>
      </c>
    </row>
    <row r="1016" customFormat="false" ht="61.5" hidden="false" customHeight="true" outlineLevel="0" collapsed="false">
      <c r="A1016" s="9"/>
      <c r="B1016" s="10" t="s">
        <v>7710</v>
      </c>
      <c r="C1016" s="10"/>
      <c r="D1016" s="10"/>
      <c r="E1016" s="10"/>
    </row>
    <row r="1017" customFormat="false" ht="15" hidden="false" customHeight="false" outlineLevel="0" collapsed="false">
      <c r="A1017" s="12" t="s">
        <v>700</v>
      </c>
      <c r="B1017" s="13" t="s">
        <v>701</v>
      </c>
      <c r="C1017" s="13" t="s">
        <v>702</v>
      </c>
      <c r="D1017" s="13" t="s">
        <v>723</v>
      </c>
      <c r="E1017" s="13" t="s">
        <v>7711</v>
      </c>
    </row>
    <row r="1018" customFormat="false" ht="30" hidden="false" customHeight="true" outlineLevel="0" collapsed="false">
      <c r="A1018" s="14" t="s">
        <v>706</v>
      </c>
      <c r="B1018" s="15" t="str">
        <f aca="false">IF(COUNTIFS($D$1021:$D$1029,IF(D1018="","*",D1018),$E$1021:$E$1029,IF(E1018="","*",E1018))=1,INDEX($B:$B,SUMPRODUCT(((D1018="")+($D$1021:$D$1029=D1018)&gt;0)*((E1018="")+($E$1021:$E$1029=E1018)&gt;0)*ROW($B$1021:$B$1029))),IF(COUNTIFS($D$1021:$D$1029,IF(D1018="","*",D1018),$E$1021:$E$1029,IF(E1018="","*",E1018))=0,"Not available",COUNTIFS($D$1021:$D$1029,IF(D1018="","*",D1018),$E$1021:$E$1029,IF(E1018="","*",E1018))&amp;" match, keep choosing"))</f>
        <v>TP-006-5-AX-DC-WJ20</v>
      </c>
      <c r="C1018" s="16" t="n">
        <f aca="false">IF(COUNTIFS($D$1021:$D$1029,IF(D1018="","*",D1018),$E$1021:$E$1029,IF(E1018="","*",E1018))=1,INDEX($C:$C,SUMPRODUCT(((D1018="")+($D$1021:$D$1029=D1018)&gt;0)*((E1018="")+($E$1021:$E$1029=E1018)&gt;0)*ROW($B$1021:$B$1029))),"")</f>
        <v>0.4</v>
      </c>
      <c r="D1018" s="17" t="s">
        <v>7712</v>
      </c>
      <c r="E1018" s="17" t="s">
        <v>789</v>
      </c>
    </row>
    <row r="1020" customFormat="false" ht="15" hidden="false" customHeight="false" outlineLevel="0" collapsed="false">
      <c r="B1020" s="18" t="s">
        <v>701</v>
      </c>
      <c r="C1020" s="18" t="s">
        <v>702</v>
      </c>
      <c r="D1020" s="18" t="s">
        <v>723</v>
      </c>
      <c r="E1020" s="18" t="s">
        <v>7711</v>
      </c>
    </row>
    <row r="1021" customFormat="false" ht="28.35" hidden="false" customHeight="false" outlineLevel="0" collapsed="false">
      <c r="B1021" s="19" t="s">
        <v>7713</v>
      </c>
      <c r="C1021" s="20" t="n">
        <f aca="false">ROUND(2.86/FX,2)</f>
        <v>0.4</v>
      </c>
      <c r="D1021" s="21" t="s">
        <v>7712</v>
      </c>
      <c r="E1021" s="21" t="s">
        <v>789</v>
      </c>
    </row>
    <row r="1022" customFormat="false" ht="28.35" hidden="false" customHeight="false" outlineLevel="0" collapsed="false">
      <c r="B1022" s="19" t="s">
        <v>7714</v>
      </c>
      <c r="C1022" s="20" t="n">
        <f aca="false">ROUND(5.33/FX,2)</f>
        <v>0.74</v>
      </c>
      <c r="D1022" s="21" t="s">
        <v>7715</v>
      </c>
      <c r="E1022" s="21" t="s">
        <v>789</v>
      </c>
    </row>
    <row r="1023" customFormat="false" ht="28.35" hidden="false" customHeight="false" outlineLevel="0" collapsed="false">
      <c r="B1023" s="19" t="s">
        <v>7716</v>
      </c>
      <c r="C1023" s="20" t="n">
        <f aca="false">ROUND(7.54/FX,2)</f>
        <v>1.05</v>
      </c>
      <c r="D1023" s="21" t="s">
        <v>7717</v>
      </c>
      <c r="E1023" s="21" t="s">
        <v>789</v>
      </c>
    </row>
    <row r="1024" customFormat="false" ht="28.35" hidden="false" customHeight="false" outlineLevel="0" collapsed="false">
      <c r="B1024" s="19" t="s">
        <v>7718</v>
      </c>
      <c r="C1024" s="20" t="n">
        <f aca="false">ROUND(14.3/FX,2)</f>
        <v>1.99</v>
      </c>
      <c r="D1024" s="21" t="s">
        <v>7719</v>
      </c>
      <c r="E1024" s="21" t="s">
        <v>789</v>
      </c>
    </row>
    <row r="1025" customFormat="false" ht="28.35" hidden="false" customHeight="false" outlineLevel="0" collapsed="false">
      <c r="B1025" s="19" t="s">
        <v>7720</v>
      </c>
      <c r="C1025" s="20" t="n">
        <f aca="false">ROUND(19.76/FX,2)</f>
        <v>2.74</v>
      </c>
      <c r="D1025" s="21" t="s">
        <v>7721</v>
      </c>
      <c r="E1025" s="21" t="s">
        <v>789</v>
      </c>
    </row>
    <row r="1026" customFormat="false" ht="28.35" hidden="false" customHeight="false" outlineLevel="0" collapsed="false">
      <c r="B1026" s="19" t="s">
        <v>7722</v>
      </c>
      <c r="C1026" s="20" t="n">
        <f aca="false">ROUND(29.25/FX,2)</f>
        <v>4.06</v>
      </c>
      <c r="D1026" s="21" t="s">
        <v>7723</v>
      </c>
      <c r="E1026" s="21" t="s">
        <v>789</v>
      </c>
    </row>
    <row r="1027" customFormat="false" ht="28.35" hidden="false" customHeight="false" outlineLevel="0" collapsed="false">
      <c r="B1027" s="19" t="s">
        <v>7724</v>
      </c>
      <c r="C1027" s="20" t="n">
        <f aca="false">ROUND(19.76/FX,2)</f>
        <v>2.74</v>
      </c>
      <c r="D1027" s="21" t="s">
        <v>7721</v>
      </c>
      <c r="E1027" s="21" t="s">
        <v>716</v>
      </c>
    </row>
    <row r="1028" customFormat="false" ht="28.35" hidden="false" customHeight="false" outlineLevel="0" collapsed="false">
      <c r="B1028" s="19" t="s">
        <v>7725</v>
      </c>
      <c r="C1028" s="20" t="n">
        <f aca="false">ROUND(2.86/FX,2)</f>
        <v>0.4</v>
      </c>
      <c r="D1028" s="21" t="s">
        <v>7712</v>
      </c>
      <c r="E1028" s="21" t="s">
        <v>847</v>
      </c>
    </row>
    <row r="1029" customFormat="false" ht="28.35" hidden="false" customHeight="false" outlineLevel="0" collapsed="false">
      <c r="B1029" s="19" t="s">
        <v>7726</v>
      </c>
      <c r="C1029" s="20" t="n">
        <f aca="false">ROUND(5.88/FX,2)</f>
        <v>0.82</v>
      </c>
      <c r="D1029" s="21" t="s">
        <v>7727</v>
      </c>
      <c r="E1029" s="21" t="s">
        <v>6336</v>
      </c>
    </row>
    <row r="1032" customFormat="false" ht="61.5" hidden="false" customHeight="true" outlineLevel="0" collapsed="false">
      <c r="A1032" s="9"/>
      <c r="B1032" s="10" t="s">
        <v>7728</v>
      </c>
      <c r="C1032" s="10"/>
      <c r="D1032" s="10"/>
    </row>
    <row r="1033" customFormat="false" ht="15" hidden="false" customHeight="false" outlineLevel="0" collapsed="false">
      <c r="A1033" s="12" t="s">
        <v>700</v>
      </c>
      <c r="B1033" s="13" t="s">
        <v>701</v>
      </c>
      <c r="C1033" s="13" t="s">
        <v>702</v>
      </c>
      <c r="D1033" s="13" t="s">
        <v>5610</v>
      </c>
    </row>
    <row r="1034" customFormat="false" ht="30" hidden="false" customHeight="true" outlineLevel="0" collapsed="false">
      <c r="A1034" s="14" t="s">
        <v>706</v>
      </c>
      <c r="B1034" s="15" t="str">
        <f aca="false">IF(COUNTIFS($D$1037:$D$1041,IF(D1034="","*",D1034))=1,INDEX($B:$B,SUMPRODUCT(((D1034="")+($D$1037:$D$1041=D1034)&gt;0)*ROW($B$1037:$B$1041))),IF(COUNTIFS($D$1037:$D$1041,IF(D1034="","*",D1034))=0,"Not available",COUNTIFS($D$1037:$D$1041,IF(D1034="","*",D1034))&amp;" match, keep choosing"))</f>
        <v>TP-002-1.25MZCLH</v>
      </c>
      <c r="C1034" s="16" t="n">
        <f aca="false">IF(COUNTIFS($D$1037:$D$1041,IF(D1034="","*",D1034))=1,INDEX($C:$C,SUMPRODUCT(((D1034="")+($D$1037:$D$1041=D1034)&gt;0)*ROW($B$1037:$B$1041))),"")</f>
        <v>14.44</v>
      </c>
      <c r="D1034" s="17" t="s">
        <v>7729</v>
      </c>
    </row>
    <row r="1036" customFormat="false" ht="15" hidden="false" customHeight="false" outlineLevel="0" collapsed="false">
      <c r="B1036" s="18" t="s">
        <v>701</v>
      </c>
      <c r="C1036" s="18" t="s">
        <v>702</v>
      </c>
      <c r="D1036" s="18" t="s">
        <v>5610</v>
      </c>
    </row>
    <row r="1037" customFormat="false" ht="15" hidden="false" customHeight="false" outlineLevel="0" collapsed="false">
      <c r="B1037" s="19" t="s">
        <v>7730</v>
      </c>
      <c r="C1037" s="20" t="n">
        <f aca="false">ROUND(104/FX,2)</f>
        <v>14.44</v>
      </c>
      <c r="D1037" s="21" t="s">
        <v>7729</v>
      </c>
    </row>
    <row r="1038" customFormat="false" ht="28.35" hidden="false" customHeight="false" outlineLevel="0" collapsed="false">
      <c r="B1038" s="19" t="s">
        <v>7731</v>
      </c>
      <c r="C1038" s="20" t="n">
        <f aca="false">ROUND(104/FX,2)</f>
        <v>14.44</v>
      </c>
      <c r="D1038" s="21" t="s">
        <v>7732</v>
      </c>
    </row>
    <row r="1039" customFormat="false" ht="41.75" hidden="false" customHeight="false" outlineLevel="0" collapsed="false">
      <c r="B1039" s="19" t="s">
        <v>7733</v>
      </c>
      <c r="C1039" s="20" t="n">
        <f aca="false">ROUND(143/FX,2)</f>
        <v>19.86</v>
      </c>
      <c r="D1039" s="21" t="s">
        <v>7734</v>
      </c>
    </row>
    <row r="1040" customFormat="false" ht="41.75" hidden="false" customHeight="false" outlineLevel="0" collapsed="false">
      <c r="B1040" s="19" t="s">
        <v>7735</v>
      </c>
      <c r="C1040" s="20" t="n">
        <f aca="false">ROUND(143/FX,2)</f>
        <v>19.86</v>
      </c>
      <c r="D1040" s="21" t="s">
        <v>7736</v>
      </c>
    </row>
    <row r="1041" customFormat="false" ht="28.35" hidden="false" customHeight="false" outlineLevel="0" collapsed="false">
      <c r="B1041" s="19" t="s">
        <v>7737</v>
      </c>
      <c r="C1041" s="20" t="n">
        <f aca="false">ROUND(143/FX,2)</f>
        <v>19.86</v>
      </c>
      <c r="D1041" s="21" t="s">
        <v>7738</v>
      </c>
    </row>
    <row r="1044" customFormat="false" ht="61.5" hidden="false" customHeight="true" outlineLevel="0" collapsed="false">
      <c r="A1044" s="9"/>
      <c r="B1044" s="10" t="s">
        <v>7739</v>
      </c>
      <c r="C1044" s="10"/>
      <c r="D1044" s="10"/>
      <c r="E1044" s="10"/>
      <c r="F1044" s="10"/>
    </row>
    <row r="1045" customFormat="false" ht="15" hidden="false" customHeight="false" outlineLevel="0" collapsed="false">
      <c r="A1045" s="12" t="s">
        <v>700</v>
      </c>
      <c r="B1045" s="13" t="s">
        <v>701</v>
      </c>
      <c r="C1045" s="13" t="s">
        <v>702</v>
      </c>
      <c r="D1045" s="13" t="s">
        <v>723</v>
      </c>
      <c r="E1045" s="13" t="s">
        <v>6523</v>
      </c>
      <c r="F1045" s="13" t="s">
        <v>7711</v>
      </c>
    </row>
    <row r="1046" customFormat="false" ht="30" hidden="false" customHeight="true" outlineLevel="0" collapsed="false">
      <c r="A1046" s="14" t="s">
        <v>706</v>
      </c>
      <c r="B1046" s="15" t="str">
        <f aca="false">IF(COUNTIFS($D$1049:$D$1061,IF(D1046="","*",D1046),$E$1049:$E$1061,IF(E1046="","*",E1046),$F$1049:$F$1061,IF(F1046="","*",F1046))=1,INDEX($B:$B,SUMPRODUCT(((D1046="")+($D$1049:$D$1061=D1046)&gt;0)*((E1046="")+($E$1049:$E$1061=E1046)&gt;0)*((F1046="")+($F$1049:$F$1061=F1046)&gt;0)*ROW($B$1049:$B$1061))),IF(COUNTIFS($D$1049:$D$1061,IF(D1046="","*",D1046),$E$1049:$E$1061,IF(E1046="","*",E1046),$F$1049:$F$1061,IF(F1046="","*",F1046))=0,"Not available",COUNTIFS($D$1049:$D$1061,IF(D1046="","*",D1046),$E$1049:$E$1061,IF(E1046="","*",E1046),$F$1049:$F$1061,IF(F1046="","*",F1046))&amp;" match, keep choosing"))</f>
        <v>TP-001-10-1.5M-25C</v>
      </c>
      <c r="C1046" s="16" t="n">
        <f aca="false">IF(COUNTIFS($D$1049:$D$1061,IF(D1046="","*",D1046),$E$1049:$E$1061,IF(E1046="","*",E1046),$F$1049:$F$1061,IF(F1046="","*",F1046))=1,INDEX($C:$C,SUMPRODUCT(((D1046="")+($D$1049:$D$1061=D1046)&gt;0)*((E1046="")+($E$1049:$E$1061=E1046)&gt;0)*((F1046="")+($F$1049:$F$1061=F1046)&gt;0)*ROW($B$1049:$B$1061))),"")</f>
        <v>1.96</v>
      </c>
      <c r="D1046" s="17" t="s">
        <v>7740</v>
      </c>
      <c r="E1046" s="17" t="s">
        <v>6336</v>
      </c>
      <c r="F1046" s="17" t="s">
        <v>707</v>
      </c>
    </row>
    <row r="1048" customFormat="false" ht="15" hidden="false" customHeight="false" outlineLevel="0" collapsed="false">
      <c r="B1048" s="18" t="s">
        <v>701</v>
      </c>
      <c r="C1048" s="18" t="s">
        <v>702</v>
      </c>
      <c r="D1048" s="18" t="s">
        <v>723</v>
      </c>
      <c r="E1048" s="18" t="s">
        <v>6523</v>
      </c>
      <c r="F1048" s="18" t="s">
        <v>7711</v>
      </c>
    </row>
    <row r="1049" customFormat="false" ht="15" hidden="false" customHeight="false" outlineLevel="0" collapsed="false">
      <c r="B1049" s="19" t="s">
        <v>7741</v>
      </c>
      <c r="C1049" s="20" t="n">
        <f aca="false">ROUND(14.12/FX,2)</f>
        <v>1.96</v>
      </c>
      <c r="D1049" s="21" t="s">
        <v>7740</v>
      </c>
      <c r="E1049" s="21" t="s">
        <v>6336</v>
      </c>
      <c r="F1049" s="21" t="s">
        <v>707</v>
      </c>
    </row>
    <row r="1050" customFormat="false" ht="15" hidden="false" customHeight="false" outlineLevel="0" collapsed="false">
      <c r="B1050" s="19" t="s">
        <v>7742</v>
      </c>
      <c r="C1050" s="20" t="n">
        <f aca="false">ROUND(6/FX,2)</f>
        <v>0.83</v>
      </c>
      <c r="D1050" s="21" t="s">
        <v>7743</v>
      </c>
      <c r="E1050" s="21" t="s">
        <v>6336</v>
      </c>
      <c r="F1050" s="21" t="s">
        <v>707</v>
      </c>
    </row>
    <row r="1051" customFormat="false" ht="15" hidden="false" customHeight="false" outlineLevel="0" collapsed="false">
      <c r="B1051" s="19" t="s">
        <v>7744</v>
      </c>
      <c r="C1051" s="20" t="n">
        <f aca="false">ROUND(6.5/FX,2)</f>
        <v>0.9</v>
      </c>
      <c r="D1051" s="21" t="s">
        <v>7745</v>
      </c>
      <c r="E1051" s="21" t="s">
        <v>6336</v>
      </c>
      <c r="F1051" s="21" t="s">
        <v>707</v>
      </c>
    </row>
    <row r="1052" customFormat="false" ht="15" hidden="false" customHeight="false" outlineLevel="0" collapsed="false">
      <c r="B1052" s="19" t="s">
        <v>7746</v>
      </c>
      <c r="C1052" s="20" t="n">
        <f aca="false">ROUND(14.12/FX,2)</f>
        <v>1.96</v>
      </c>
      <c r="D1052" s="21" t="s">
        <v>7740</v>
      </c>
      <c r="E1052" s="21" t="s">
        <v>6336</v>
      </c>
      <c r="F1052" s="21" t="s">
        <v>761</v>
      </c>
    </row>
    <row r="1053" customFormat="false" ht="15" hidden="false" customHeight="false" outlineLevel="0" collapsed="false">
      <c r="B1053" s="19" t="s">
        <v>7747</v>
      </c>
      <c r="C1053" s="20" t="n">
        <f aca="false">ROUND(18.4/FX,2)</f>
        <v>2.56</v>
      </c>
      <c r="D1053" s="21" t="s">
        <v>7748</v>
      </c>
      <c r="E1053" s="21" t="s">
        <v>6336</v>
      </c>
      <c r="F1053" s="21" t="s">
        <v>4721</v>
      </c>
    </row>
    <row r="1054" customFormat="false" ht="15" hidden="false" customHeight="false" outlineLevel="0" collapsed="false">
      <c r="B1054" s="19" t="s">
        <v>7749</v>
      </c>
      <c r="C1054" s="20" t="n">
        <f aca="false">ROUND(14.12/FX,2)</f>
        <v>1.96</v>
      </c>
      <c r="D1054" s="21" t="s">
        <v>7740</v>
      </c>
      <c r="E1054" s="21" t="s">
        <v>6336</v>
      </c>
      <c r="F1054" s="21" t="s">
        <v>714</v>
      </c>
    </row>
    <row r="1055" customFormat="false" ht="15" hidden="false" customHeight="false" outlineLevel="0" collapsed="false">
      <c r="B1055" s="19" t="s">
        <v>7750</v>
      </c>
      <c r="C1055" s="20" t="n">
        <f aca="false">ROUND(33.93/FX,2)</f>
        <v>4.71</v>
      </c>
      <c r="D1055" s="21" t="s">
        <v>7751</v>
      </c>
      <c r="E1055" s="21" t="s">
        <v>7752</v>
      </c>
      <c r="F1055" s="21" t="s">
        <v>714</v>
      </c>
    </row>
    <row r="1056" customFormat="false" ht="15" hidden="false" customHeight="false" outlineLevel="0" collapsed="false">
      <c r="B1056" s="19" t="s">
        <v>7753</v>
      </c>
      <c r="C1056" s="20" t="n">
        <f aca="false">ROUND(14.12/FX,2)</f>
        <v>1.96</v>
      </c>
      <c r="D1056" s="21" t="s">
        <v>7740</v>
      </c>
      <c r="E1056" s="21" t="s">
        <v>6336</v>
      </c>
      <c r="F1056" s="21" t="s">
        <v>716</v>
      </c>
    </row>
    <row r="1057" customFormat="false" ht="15" hidden="false" customHeight="false" outlineLevel="0" collapsed="false">
      <c r="B1057" s="19" t="s">
        <v>7754</v>
      </c>
      <c r="C1057" s="20" t="n">
        <f aca="false">ROUND(14.12/FX,2)</f>
        <v>1.96</v>
      </c>
      <c r="D1057" s="21" t="s">
        <v>7740</v>
      </c>
      <c r="E1057" s="21" t="s">
        <v>6336</v>
      </c>
      <c r="F1057" s="21" t="s">
        <v>6740</v>
      </c>
    </row>
    <row r="1058" customFormat="false" ht="15" hidden="false" customHeight="false" outlineLevel="0" collapsed="false">
      <c r="B1058" s="19" t="s">
        <v>7755</v>
      </c>
      <c r="C1058" s="20" t="n">
        <f aca="false">ROUND(6.4/FX,2)</f>
        <v>0.89</v>
      </c>
      <c r="D1058" s="21" t="s">
        <v>7756</v>
      </c>
      <c r="E1058" s="21" t="s">
        <v>6336</v>
      </c>
      <c r="F1058" s="21" t="s">
        <v>847</v>
      </c>
    </row>
    <row r="1059" customFormat="false" ht="15" hidden="false" customHeight="false" outlineLevel="0" collapsed="false">
      <c r="B1059" s="19" t="s">
        <v>7757</v>
      </c>
      <c r="C1059" s="20" t="n">
        <f aca="false">ROUND(6.5/FX,2)</f>
        <v>0.9</v>
      </c>
      <c r="D1059" s="21" t="s">
        <v>7758</v>
      </c>
      <c r="E1059" s="21" t="s">
        <v>6336</v>
      </c>
      <c r="F1059" s="21" t="s">
        <v>847</v>
      </c>
    </row>
    <row r="1060" customFormat="false" ht="15" hidden="false" customHeight="false" outlineLevel="0" collapsed="false">
      <c r="B1060" s="19" t="s">
        <v>7759</v>
      </c>
      <c r="C1060" s="20" t="n">
        <f aca="false">ROUND(14.12/FX,2)</f>
        <v>1.96</v>
      </c>
      <c r="D1060" s="21" t="s">
        <v>7740</v>
      </c>
      <c r="E1060" s="21" t="s">
        <v>6336</v>
      </c>
      <c r="F1060" s="21" t="s">
        <v>847</v>
      </c>
    </row>
    <row r="1061" customFormat="false" ht="15" hidden="false" customHeight="false" outlineLevel="0" collapsed="false">
      <c r="B1061" s="19" t="s">
        <v>7760</v>
      </c>
      <c r="C1061" s="20" t="n">
        <f aca="false">ROUND(5.23/FX,2)</f>
        <v>0.73</v>
      </c>
      <c r="D1061" s="21" t="s">
        <v>7761</v>
      </c>
      <c r="E1061" s="21" t="s">
        <v>6336</v>
      </c>
      <c r="F1061" s="21" t="s">
        <v>847</v>
      </c>
    </row>
    <row r="1064" customFormat="false" ht="61.5" hidden="false" customHeight="true" outlineLevel="0" collapsed="false">
      <c r="A1064" s="9"/>
      <c r="B1064" s="10" t="s">
        <v>7762</v>
      </c>
      <c r="C1064" s="10"/>
      <c r="D1064" s="10"/>
      <c r="E1064" s="10"/>
      <c r="F1064" s="10"/>
      <c r="G1064" s="10"/>
    </row>
    <row r="1065" customFormat="false" ht="15" hidden="false" customHeight="false" outlineLevel="0" collapsed="false">
      <c r="A1065" s="12" t="s">
        <v>700</v>
      </c>
      <c r="B1065" s="13" t="s">
        <v>701</v>
      </c>
      <c r="C1065" s="13" t="s">
        <v>702</v>
      </c>
      <c r="D1065" s="13" t="s">
        <v>6328</v>
      </c>
      <c r="E1065" s="13" t="s">
        <v>6695</v>
      </c>
      <c r="F1065" s="13" t="s">
        <v>7763</v>
      </c>
      <c r="G1065" s="13" t="s">
        <v>7764</v>
      </c>
    </row>
    <row r="1066" customFormat="false" ht="30" hidden="false" customHeight="true" outlineLevel="0" collapsed="false">
      <c r="A1066" s="14" t="s">
        <v>706</v>
      </c>
      <c r="B1066" s="15" t="str">
        <f aca="false">IF(COUNTIFS($D$1069:$D$1091,IF(D1066="","*",D1066),$E$1069:$E$1091,IF(E1066="","*",E1066),$F$1069:$F$1091,IF(F1066="","*",F1066),$G$1069:$G$1091,IF(G1066="","*",G1066))=1,INDEX($B:$B,SUMPRODUCT(((D1066="")+($D$1069:$D$1091=D1066)&gt;0)*((E1066="")+($E$1069:$E$1091=E1066)&gt;0)*((F1066="")+($F$1069:$F$1091=F1066)&gt;0)*((G1066="")+($G$1069:$G$1091=G1066)&gt;0)*ROW($B$1069:$B$1091))),IF(COUNTIFS($D$1069:$D$1091,IF(D1066="","*",D1066),$E$1069:$E$1091,IF(E1066="","*",E1066),$F$1069:$F$1091,IF(F1066="","*",F1066),$G$1069:$G$1091,IF(G1066="","*",G1066))=0,"Not available",COUNTIFS($D$1069:$D$1091,IF(D1066="","*",D1066),$E$1069:$E$1091,IF(E1066="","*",E1066),$F$1069:$F$1091,IF(F1066="","*",F1066),$G$1069:$G$1091,IF(G1066="","*",G1066))&amp;" match, keep choosing"))</f>
        <v>TP-004-1.25M-20C-NK14-GD32</v>
      </c>
      <c r="C1066" s="16" t="n">
        <f aca="false">IF(COUNTIFS($D$1069:$D$1091,IF(D1066="","*",D1066),$E$1069:$E$1091,IF(E1066="","*",E1066),$F$1069:$F$1091,IF(F1066="","*",F1066),$G$1069:$G$1091,IF(G1066="","*",G1066))=1,INDEX($C:$C,SUMPRODUCT(((D1066="")+($D$1069:$D$1091=D1066)&gt;0)*((E1066="")+($E$1069:$E$1091=E1066)&gt;0)*((F1066="")+($F$1069:$F$1091=F1066)&gt;0)*((G1066="")+($G$1069:$G$1091=G1066)&gt;0)*ROW($B$1069:$B$1091))),"")</f>
        <v>3.25</v>
      </c>
      <c r="D1066" s="17" t="s">
        <v>7765</v>
      </c>
      <c r="E1066" s="17" t="s">
        <v>7766</v>
      </c>
      <c r="F1066" s="17" t="s">
        <v>6244</v>
      </c>
      <c r="G1066" s="17" t="s">
        <v>7767</v>
      </c>
    </row>
    <row r="1068" customFormat="false" ht="15" hidden="false" customHeight="false" outlineLevel="0" collapsed="false">
      <c r="B1068" s="18" t="s">
        <v>701</v>
      </c>
      <c r="C1068" s="18" t="s">
        <v>702</v>
      </c>
      <c r="D1068" s="18" t="s">
        <v>6328</v>
      </c>
      <c r="E1068" s="18" t="s">
        <v>6695</v>
      </c>
      <c r="F1068" s="18" t="s">
        <v>7763</v>
      </c>
      <c r="G1068" s="18" t="s">
        <v>7764</v>
      </c>
    </row>
    <row r="1069" customFormat="false" ht="15" hidden="false" customHeight="false" outlineLevel="0" collapsed="false">
      <c r="B1069" s="19" t="s">
        <v>7768</v>
      </c>
      <c r="C1069" s="20" t="n">
        <f aca="false">ROUND(23.4/FX,2)</f>
        <v>3.25</v>
      </c>
      <c r="D1069" s="21" t="s">
        <v>7765</v>
      </c>
      <c r="E1069" s="21" t="s">
        <v>7766</v>
      </c>
      <c r="F1069" s="21" t="s">
        <v>6244</v>
      </c>
      <c r="G1069" s="21" t="s">
        <v>7767</v>
      </c>
    </row>
    <row r="1070" customFormat="false" ht="15" hidden="false" customHeight="false" outlineLevel="0" collapsed="false">
      <c r="B1070" s="19" t="s">
        <v>7769</v>
      </c>
      <c r="C1070" s="20" t="n">
        <f aca="false">ROUND(26/FX,2)</f>
        <v>3.61</v>
      </c>
      <c r="D1070" s="21" t="s">
        <v>7770</v>
      </c>
      <c r="E1070" s="21" t="s">
        <v>7771</v>
      </c>
      <c r="F1070" s="21" t="s">
        <v>3328</v>
      </c>
      <c r="G1070" s="21" t="s">
        <v>7767</v>
      </c>
    </row>
    <row r="1071" customFormat="false" ht="15" hidden="false" customHeight="false" outlineLevel="0" collapsed="false">
      <c r="B1071" s="19" t="s">
        <v>7772</v>
      </c>
      <c r="C1071" s="20" t="n">
        <f aca="false">ROUND(26/FX,2)</f>
        <v>3.61</v>
      </c>
      <c r="D1071" s="21" t="s">
        <v>7773</v>
      </c>
      <c r="E1071" s="21" t="s">
        <v>7771</v>
      </c>
      <c r="F1071" s="21" t="s">
        <v>3328</v>
      </c>
      <c r="G1071" s="21" t="s">
        <v>7767</v>
      </c>
    </row>
    <row r="1072" customFormat="false" ht="15" hidden="false" customHeight="false" outlineLevel="0" collapsed="false">
      <c r="B1072" s="19" t="s">
        <v>7774</v>
      </c>
      <c r="C1072" s="20" t="n">
        <f aca="false">ROUND(26/FX,2)</f>
        <v>3.61</v>
      </c>
      <c r="D1072" s="21" t="s">
        <v>7775</v>
      </c>
      <c r="E1072" s="21" t="s">
        <v>7771</v>
      </c>
      <c r="F1072" s="21" t="s">
        <v>3328</v>
      </c>
      <c r="G1072" s="21" t="s">
        <v>7767</v>
      </c>
    </row>
    <row r="1073" customFormat="false" ht="15" hidden="false" customHeight="false" outlineLevel="0" collapsed="false">
      <c r="B1073" s="19" t="s">
        <v>7776</v>
      </c>
      <c r="C1073" s="20" t="n">
        <f aca="false">ROUND(26/FX,2)</f>
        <v>3.61</v>
      </c>
      <c r="D1073" s="21" t="s">
        <v>7777</v>
      </c>
      <c r="E1073" s="21" t="s">
        <v>7771</v>
      </c>
      <c r="F1073" s="21" t="s">
        <v>3328</v>
      </c>
      <c r="G1073" s="21" t="s">
        <v>7767</v>
      </c>
    </row>
    <row r="1074" customFormat="false" ht="15" hidden="false" customHeight="false" outlineLevel="0" collapsed="false">
      <c r="B1074" s="19" t="s">
        <v>7778</v>
      </c>
      <c r="C1074" s="20" t="n">
        <f aca="false">ROUND(65/FX,2)</f>
        <v>9.03</v>
      </c>
      <c r="D1074" s="21" t="s">
        <v>7779</v>
      </c>
      <c r="E1074" s="21" t="s">
        <v>7780</v>
      </c>
      <c r="F1074" s="21" t="s">
        <v>2961</v>
      </c>
      <c r="G1074" s="21" t="s">
        <v>7767</v>
      </c>
    </row>
    <row r="1075" customFormat="false" ht="15" hidden="false" customHeight="false" outlineLevel="0" collapsed="false">
      <c r="B1075" s="19" t="s">
        <v>7781</v>
      </c>
      <c r="C1075" s="20" t="n">
        <f aca="false">ROUND(65/FX,2)</f>
        <v>9.03</v>
      </c>
      <c r="D1075" s="21" t="s">
        <v>7779</v>
      </c>
      <c r="E1075" s="21" t="s">
        <v>7782</v>
      </c>
      <c r="F1075" s="21" t="s">
        <v>7358</v>
      </c>
      <c r="G1075" s="21" t="s">
        <v>7767</v>
      </c>
    </row>
    <row r="1076" customFormat="false" ht="15" hidden="false" customHeight="false" outlineLevel="0" collapsed="false">
      <c r="B1076" s="19" t="s">
        <v>7783</v>
      </c>
      <c r="C1076" s="20" t="n">
        <f aca="false">ROUND(65/FX,2)</f>
        <v>9.03</v>
      </c>
      <c r="D1076" s="21" t="s">
        <v>7784</v>
      </c>
      <c r="E1076" s="21" t="s">
        <v>7782</v>
      </c>
      <c r="F1076" s="21" t="s">
        <v>7358</v>
      </c>
      <c r="G1076" s="21" t="s">
        <v>7767</v>
      </c>
    </row>
    <row r="1077" customFormat="false" ht="15" hidden="false" customHeight="false" outlineLevel="0" collapsed="false">
      <c r="B1077" s="19" t="s">
        <v>7785</v>
      </c>
      <c r="C1077" s="20" t="n">
        <f aca="false">ROUND(65/FX,2)</f>
        <v>9.03</v>
      </c>
      <c r="D1077" s="21" t="s">
        <v>7786</v>
      </c>
      <c r="E1077" s="21" t="s">
        <v>7782</v>
      </c>
      <c r="F1077" s="21" t="s">
        <v>2961</v>
      </c>
      <c r="G1077" s="21" t="s">
        <v>7767</v>
      </c>
    </row>
    <row r="1078" customFormat="false" ht="15" hidden="false" customHeight="false" outlineLevel="0" collapsed="false">
      <c r="B1078" s="19" t="s">
        <v>7787</v>
      </c>
      <c r="C1078" s="20" t="n">
        <f aca="false">ROUND(28.6/FX,2)</f>
        <v>3.97</v>
      </c>
      <c r="D1078" s="21" t="s">
        <v>7765</v>
      </c>
      <c r="E1078" s="21" t="s">
        <v>7782</v>
      </c>
      <c r="F1078" s="21" t="s">
        <v>7358</v>
      </c>
      <c r="G1078" s="21" t="s">
        <v>7767</v>
      </c>
    </row>
    <row r="1079" customFormat="false" ht="15" hidden="false" customHeight="false" outlineLevel="0" collapsed="false">
      <c r="B1079" s="19" t="s">
        <v>7788</v>
      </c>
      <c r="C1079" s="20" t="n">
        <f aca="false">ROUND(65/FX,2)</f>
        <v>9.03</v>
      </c>
      <c r="D1079" s="21" t="s">
        <v>7770</v>
      </c>
      <c r="E1079" s="21" t="s">
        <v>7789</v>
      </c>
      <c r="F1079" s="21" t="s">
        <v>7358</v>
      </c>
      <c r="G1079" s="21" t="s">
        <v>7767</v>
      </c>
    </row>
    <row r="1080" customFormat="false" ht="15" hidden="false" customHeight="false" outlineLevel="0" collapsed="false">
      <c r="B1080" s="19" t="s">
        <v>7790</v>
      </c>
      <c r="C1080" s="20" t="n">
        <f aca="false">ROUND(65/FX,2)</f>
        <v>9.03</v>
      </c>
      <c r="D1080" s="21" t="s">
        <v>7775</v>
      </c>
      <c r="E1080" s="21" t="s">
        <v>7789</v>
      </c>
      <c r="F1080" s="21" t="s">
        <v>7358</v>
      </c>
      <c r="G1080" s="21" t="s">
        <v>7767</v>
      </c>
    </row>
    <row r="1081" customFormat="false" ht="15" hidden="false" customHeight="false" outlineLevel="0" collapsed="false">
      <c r="B1081" s="19" t="s">
        <v>7791</v>
      </c>
      <c r="C1081" s="20" t="n">
        <f aca="false">ROUND(65/FX,2)</f>
        <v>9.03</v>
      </c>
      <c r="D1081" s="21" t="s">
        <v>7792</v>
      </c>
      <c r="E1081" s="21" t="s">
        <v>7789</v>
      </c>
      <c r="F1081" s="21" t="s">
        <v>7358</v>
      </c>
      <c r="G1081" s="21" t="s">
        <v>7767</v>
      </c>
    </row>
    <row r="1082" customFormat="false" ht="15" hidden="false" customHeight="false" outlineLevel="0" collapsed="false">
      <c r="B1082" s="19" t="s">
        <v>7793</v>
      </c>
      <c r="C1082" s="20" t="n">
        <f aca="false">ROUND(65/FX,2)</f>
        <v>9.03</v>
      </c>
      <c r="D1082" s="21" t="s">
        <v>7779</v>
      </c>
      <c r="E1082" s="21" t="s">
        <v>7789</v>
      </c>
      <c r="F1082" s="21" t="s">
        <v>7358</v>
      </c>
      <c r="G1082" s="21" t="s">
        <v>7767</v>
      </c>
    </row>
    <row r="1083" customFormat="false" ht="15" hidden="false" customHeight="false" outlineLevel="0" collapsed="false">
      <c r="B1083" s="19" t="s">
        <v>7794</v>
      </c>
      <c r="C1083" s="20" t="n">
        <f aca="false">ROUND(65/FX,2)</f>
        <v>9.03</v>
      </c>
      <c r="D1083" s="21" t="s">
        <v>7784</v>
      </c>
      <c r="E1083" s="21" t="s">
        <v>7789</v>
      </c>
      <c r="F1083" s="21" t="s">
        <v>7358</v>
      </c>
      <c r="G1083" s="21" t="s">
        <v>7767</v>
      </c>
    </row>
    <row r="1084" customFormat="false" ht="15" hidden="false" customHeight="false" outlineLevel="0" collapsed="false">
      <c r="B1084" s="19" t="s">
        <v>7795</v>
      </c>
      <c r="C1084" s="20" t="n">
        <f aca="false">ROUND(78/FX,2)</f>
        <v>10.83</v>
      </c>
      <c r="D1084" s="21" t="s">
        <v>7784</v>
      </c>
      <c r="E1084" s="21" t="s">
        <v>7796</v>
      </c>
      <c r="F1084" s="21" t="s">
        <v>7358</v>
      </c>
      <c r="G1084" s="21" t="s">
        <v>7767</v>
      </c>
    </row>
    <row r="1085" customFormat="false" ht="15" hidden="false" customHeight="false" outlineLevel="0" collapsed="false">
      <c r="B1085" s="19" t="s">
        <v>7797</v>
      </c>
      <c r="C1085" s="20" t="n">
        <f aca="false">ROUND(78/FX,2)</f>
        <v>10.83</v>
      </c>
      <c r="D1085" s="21" t="s">
        <v>7786</v>
      </c>
      <c r="E1085" s="21" t="s">
        <v>7796</v>
      </c>
      <c r="F1085" s="21" t="s">
        <v>7358</v>
      </c>
      <c r="G1085" s="21" t="s">
        <v>7767</v>
      </c>
    </row>
    <row r="1086" customFormat="false" ht="15" hidden="false" customHeight="false" outlineLevel="0" collapsed="false">
      <c r="B1086" s="19" t="s">
        <v>7798</v>
      </c>
      <c r="C1086" s="20" t="n">
        <f aca="false">ROUND(78/FX,2)</f>
        <v>10.83</v>
      </c>
      <c r="D1086" s="21" t="s">
        <v>7799</v>
      </c>
      <c r="E1086" s="21" t="s">
        <v>7796</v>
      </c>
      <c r="F1086" s="21" t="s">
        <v>7358</v>
      </c>
      <c r="G1086" s="21" t="s">
        <v>7767</v>
      </c>
    </row>
    <row r="1087" customFormat="false" ht="15" hidden="false" customHeight="false" outlineLevel="0" collapsed="false">
      <c r="B1087" s="19" t="s">
        <v>7800</v>
      </c>
      <c r="C1087" s="20" t="n">
        <f aca="false">ROUND(104/FX,2)</f>
        <v>14.44</v>
      </c>
      <c r="D1087" s="21" t="s">
        <v>7770</v>
      </c>
      <c r="E1087" s="21" t="s">
        <v>7801</v>
      </c>
      <c r="F1087" s="21" t="s">
        <v>5496</v>
      </c>
      <c r="G1087" s="21" t="s">
        <v>7767</v>
      </c>
    </row>
    <row r="1088" customFormat="false" ht="15" hidden="false" customHeight="false" outlineLevel="0" collapsed="false">
      <c r="B1088" s="19" t="s">
        <v>7802</v>
      </c>
      <c r="C1088" s="20" t="n">
        <f aca="false">ROUND(104/FX,2)</f>
        <v>14.44</v>
      </c>
      <c r="D1088" s="21" t="s">
        <v>7792</v>
      </c>
      <c r="E1088" s="21" t="s">
        <v>7801</v>
      </c>
      <c r="F1088" s="21" t="s">
        <v>5496</v>
      </c>
      <c r="G1088" s="21" t="s">
        <v>7767</v>
      </c>
    </row>
    <row r="1089" customFormat="false" ht="15" hidden="false" customHeight="false" outlineLevel="0" collapsed="false">
      <c r="B1089" s="19" t="s">
        <v>7803</v>
      </c>
      <c r="C1089" s="20" t="n">
        <f aca="false">ROUND(104/FX,2)</f>
        <v>14.44</v>
      </c>
      <c r="D1089" s="21" t="s">
        <v>7786</v>
      </c>
      <c r="E1089" s="21" t="s">
        <v>7801</v>
      </c>
      <c r="F1089" s="21" t="s">
        <v>5496</v>
      </c>
      <c r="G1089" s="21" t="s">
        <v>7767</v>
      </c>
    </row>
    <row r="1090" customFormat="false" ht="15" hidden="false" customHeight="false" outlineLevel="0" collapsed="false">
      <c r="B1090" s="19" t="s">
        <v>7804</v>
      </c>
      <c r="C1090" s="20" t="n">
        <f aca="false">ROUND(32.5/FX,2)</f>
        <v>4.51</v>
      </c>
      <c r="D1090" s="21" t="s">
        <v>7805</v>
      </c>
      <c r="E1090" s="21" t="s">
        <v>7771</v>
      </c>
      <c r="F1090" s="21" t="s">
        <v>2911</v>
      </c>
      <c r="G1090" s="21" t="s">
        <v>7806</v>
      </c>
    </row>
    <row r="1091" customFormat="false" ht="15" hidden="false" customHeight="false" outlineLevel="0" collapsed="false">
      <c r="B1091" s="19" t="s">
        <v>7807</v>
      </c>
      <c r="C1091" s="20" t="n">
        <f aca="false">ROUND(32.5/FX,2)</f>
        <v>4.51</v>
      </c>
      <c r="D1091" s="21" t="s">
        <v>7805</v>
      </c>
      <c r="E1091" s="21" t="s">
        <v>7780</v>
      </c>
      <c r="F1091" s="21" t="s">
        <v>2911</v>
      </c>
      <c r="G1091" s="21" t="s">
        <v>7806</v>
      </c>
    </row>
    <row r="1094" customFormat="false" ht="61.5" hidden="false" customHeight="true" outlineLevel="0" collapsed="false">
      <c r="A1094" s="9"/>
      <c r="B1094" s="10" t="s">
        <v>7808</v>
      </c>
      <c r="C1094" s="10"/>
      <c r="D1094" s="10"/>
    </row>
    <row r="1095" customFormat="false" ht="15" hidden="false" customHeight="false" outlineLevel="0" collapsed="false">
      <c r="A1095" s="12" t="s">
        <v>700</v>
      </c>
      <c r="B1095" s="13" t="s">
        <v>701</v>
      </c>
      <c r="C1095" s="13" t="s">
        <v>702</v>
      </c>
      <c r="D1095" s="13" t="s">
        <v>7711</v>
      </c>
    </row>
    <row r="1096" customFormat="false" ht="30" hidden="false" customHeight="true" outlineLevel="0" collapsed="false">
      <c r="A1096" s="14" t="s">
        <v>706</v>
      </c>
      <c r="B1096" s="15" t="str">
        <f aca="false">IF(COUNTIFS($D$1099:$D$1100,IF(D1096="","*",D1096))=1,INDEX($B:$B,SUMPRODUCT(((D1096="")+($D$1099:$D$1100=D1096)&gt;0)*ROW($B$1099:$B$1100))),IF(COUNTIFS($D$1099:$D$1100,IF(D1096="","*",D1096))=0,"Not available",COUNTIFS($D$1099:$D$1100,IF(D1096="","*",D1096))&amp;" match, keep choosing"))</f>
        <v>TP-005-NJ15</v>
      </c>
      <c r="C1096" s="16" t="n">
        <f aca="false">IF(COUNTIFS($D$1099:$D$1100,IF(D1096="","*",D1096))=1,INDEX($C:$C,SUMPRODUCT(((D1096="")+($D$1099:$D$1100=D1096)&gt;0)*ROW($B$1099:$B$1100))),"")</f>
        <v>3.61</v>
      </c>
      <c r="D1096" s="17" t="s">
        <v>714</v>
      </c>
    </row>
    <row r="1098" customFormat="false" ht="15" hidden="false" customHeight="false" outlineLevel="0" collapsed="false">
      <c r="B1098" s="18" t="s">
        <v>701</v>
      </c>
      <c r="C1098" s="18" t="s">
        <v>702</v>
      </c>
      <c r="D1098" s="18" t="s">
        <v>7711</v>
      </c>
    </row>
    <row r="1099" customFormat="false" ht="15" hidden="false" customHeight="false" outlineLevel="0" collapsed="false">
      <c r="B1099" s="19" t="s">
        <v>7809</v>
      </c>
      <c r="C1099" s="20" t="n">
        <f aca="false">ROUND(26/FX,2)</f>
        <v>3.61</v>
      </c>
      <c r="D1099" s="21" t="s">
        <v>714</v>
      </c>
    </row>
    <row r="1100" customFormat="false" ht="15" hidden="false" customHeight="false" outlineLevel="0" collapsed="false">
      <c r="B1100" s="19" t="s">
        <v>7810</v>
      </c>
      <c r="C1100" s="20" t="n">
        <f aca="false">ROUND(26/FX,2)</f>
        <v>3.61</v>
      </c>
      <c r="D1100" s="21" t="s">
        <v>3833</v>
      </c>
    </row>
    <row r="1103" customFormat="false" ht="61.5" hidden="false" customHeight="true" outlineLevel="0" collapsed="false">
      <c r="A1103" s="9"/>
      <c r="B1103" s="10" t="s">
        <v>7811</v>
      </c>
      <c r="C1103" s="10"/>
      <c r="D1103" s="10"/>
    </row>
    <row r="1104" customFormat="false" ht="15" hidden="false" customHeight="false" outlineLevel="0" collapsed="false">
      <c r="A1104" s="12" t="s">
        <v>700</v>
      </c>
      <c r="B1104" s="13" t="s">
        <v>701</v>
      </c>
      <c r="C1104" s="13" t="s">
        <v>702</v>
      </c>
      <c r="D1104" s="13" t="s">
        <v>723</v>
      </c>
    </row>
    <row r="1105" customFormat="false" ht="30" hidden="false" customHeight="true" outlineLevel="0" collapsed="false">
      <c r="A1105" s="14" t="s">
        <v>706</v>
      </c>
      <c r="B1105" s="15" t="str">
        <f aca="false">IF(COUNTIFS($D$1108:$D$1112,IF(D1105="","*",D1105))=1,INDEX($B:$B,SUMPRODUCT(((D1105="")+($D$1108:$D$1112=D1105)&gt;0)*ROW($B$1108:$B$1112))),IF(COUNTIFS($D$1108:$D$1112,IF(D1105="","*",D1105))=0,"Not available",COUNTIFS($D$1108:$D$1112,IF(D1105="","*",D1105))&amp;" match, keep choosing"))</f>
        <v>TP-003-93ZZC</v>
      </c>
      <c r="C1105" s="16" t="n">
        <f aca="false">IF(COUNTIFS($D$1108:$D$1112,IF(D1105="","*",D1105))=1,INDEX($C:$C,SUMPRODUCT(((D1105="")+($D$1108:$D$1112=D1105)&gt;0)*ROW($B$1108:$B$1112))),"")</f>
        <v>1.99</v>
      </c>
      <c r="D1105" s="17" t="s">
        <v>7812</v>
      </c>
    </row>
    <row r="1107" customFormat="false" ht="15" hidden="false" customHeight="false" outlineLevel="0" collapsed="false">
      <c r="B1107" s="18" t="s">
        <v>701</v>
      </c>
      <c r="C1107" s="18" t="s">
        <v>702</v>
      </c>
      <c r="D1107" s="18" t="s">
        <v>723</v>
      </c>
    </row>
    <row r="1108" customFormat="false" ht="15" hidden="false" customHeight="false" outlineLevel="0" collapsed="false">
      <c r="B1108" s="19" t="s">
        <v>7813</v>
      </c>
      <c r="C1108" s="20" t="n">
        <f aca="false">ROUND(14.3/FX,2)</f>
        <v>1.99</v>
      </c>
      <c r="D1108" s="21" t="s">
        <v>7812</v>
      </c>
    </row>
    <row r="1109" customFormat="false" ht="15" hidden="false" customHeight="false" outlineLevel="0" collapsed="false">
      <c r="B1109" s="19" t="s">
        <v>7814</v>
      </c>
      <c r="C1109" s="20" t="n">
        <f aca="false">ROUND(14.3/FX,2)</f>
        <v>1.99</v>
      </c>
      <c r="D1109" s="21" t="s">
        <v>7815</v>
      </c>
    </row>
    <row r="1110" customFormat="false" ht="15" hidden="false" customHeight="false" outlineLevel="0" collapsed="false">
      <c r="B1110" s="19" t="s">
        <v>7816</v>
      </c>
      <c r="C1110" s="20" t="n">
        <f aca="false">ROUND(14.3/FX,2)</f>
        <v>1.99</v>
      </c>
      <c r="D1110" s="21" t="s">
        <v>7817</v>
      </c>
    </row>
    <row r="1111" customFormat="false" ht="15" hidden="false" customHeight="false" outlineLevel="0" collapsed="false">
      <c r="B1111" s="19" t="s">
        <v>7818</v>
      </c>
      <c r="C1111" s="20" t="n">
        <f aca="false">ROUND(14.3/FX,2)</f>
        <v>1.99</v>
      </c>
      <c r="D1111" s="21" t="s">
        <v>7819</v>
      </c>
    </row>
    <row r="1112" customFormat="false" ht="15" hidden="false" customHeight="false" outlineLevel="0" collapsed="false">
      <c r="B1112" s="19" t="s">
        <v>7820</v>
      </c>
      <c r="C1112" s="20" t="n">
        <f aca="false">ROUND(14.3/FX,2)</f>
        <v>1.99</v>
      </c>
      <c r="D1112" s="21" t="s">
        <v>7821</v>
      </c>
    </row>
  </sheetData>
  <mergeCells count="14">
    <mergeCell ref="B1:I1"/>
    <mergeCell ref="B443:H443"/>
    <mergeCell ref="B486:I486"/>
    <mergeCell ref="B801:I801"/>
    <mergeCell ref="B922:I922"/>
    <mergeCell ref="B961:I961"/>
    <mergeCell ref="B979:H979"/>
    <mergeCell ref="B992:G992"/>
    <mergeCell ref="B1016:E1016"/>
    <mergeCell ref="B1032:D1032"/>
    <mergeCell ref="B1044:F1044"/>
    <mergeCell ref="B1064:G1064"/>
    <mergeCell ref="B1094:D1094"/>
    <mergeCell ref="B1103:D1103"/>
  </mergeCells>
  <dataValidations count="56">
    <dataValidation allowBlank="true" error="Please choose from the list" errorStyle="stop" errorTitle="▶ Quick quote" operator="between" showDropDown="false" showErrorMessage="false" showInputMessage="false" sqref="D3" type="list">
      <formula1>_lists!$DR$1:$DR$11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_lists!$DS$1:$DS$9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_lists!$DT$1:$DT$8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" type="list">
      <formula1>_lists!$DU$1:$DU$7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3" type="list">
      <formula1>_lists!$DV$1:$DV$25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3" type="list">
      <formula1>_lists!$DW$1:$DW$20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5" type="list">
      <formula1>_lists!$DX$1:$DX$4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45" type="list">
      <formula1>_lists!$DY$1:$DY$3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45" type="list">
      <formula1>_lists!$DZ$1:$DZ$3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45" type="list">
      <formula1>_lists!$EA$1:$EA$6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445" type="list">
      <formula1>_lists!$EB$1:$EB$8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88" type="list">
      <formula1>_lists!$EC$1:$EC$12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88" type="list">
      <formula1>_lists!$ED$1:$ED$4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88" type="list">
      <formula1>_lists!$EE$1:$EE$4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88" type="list">
      <formula1>_lists!$EF$1:$EF$7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488" type="list">
      <formula1>_lists!$EG$1:$EG$27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488" type="list">
      <formula1>_lists!$EH$1:$EH$18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03" type="list">
      <formula1>_lists!$EI$1:$EI$14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03" type="list">
      <formula1>_lists!$EJ$1:$EJ$6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03" type="list">
      <formula1>_lists!$EK$1:$EK$5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803" type="list">
      <formula1>_lists!$EL$1:$EL$5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803" type="list">
      <formula1>_lists!$EM$1:$EM$16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803" type="list">
      <formula1>_lists!$EN$1:$EN$12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24" type="list">
      <formula1>_lists!$EO$1:$EO$4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24" type="list">
      <formula1>_lists!$EP$1:$EP$2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24" type="list">
      <formula1>_lists!$EQ$1:$EQ$4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924" type="list">
      <formula1>_lists!$ER$1:$ER$5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924" type="list">
      <formula1>_lists!$ES$1:$ES$8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924" type="list">
      <formula1>_lists!$ET$1:$ET$6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63" type="list">
      <formula1>_lists!$EU$1:$EU$3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63" type="list">
      <formula1>_lists!$EV$1:$EV$3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63" type="list">
      <formula1>_lists!$EW$1:$EW$2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963" type="list">
      <formula1>_lists!$EX$1:$EX$3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963" type="list">
      <formula1>_lists!$EY$1:$EY$7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963" type="list">
      <formula1>_lists!$EZ$1:$EZ$3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81" type="list">
      <formula1>_lists!$FA$1:$FA$2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81" type="list">
      <formula1>_lists!$FB$1:$FB$2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81" type="list">
      <formula1>_lists!$FC$1:$FC$1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981" type="list">
      <formula1>_lists!$FD$1:$FD$3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981" type="list">
      <formula1>_lists!$FE$1:$FE$3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94" type="list">
      <formula1>_lists!$FF$1:$FF$3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94" type="list">
      <formula1>_lists!$FG$1:$FG$3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94" type="list">
      <formula1>_lists!$FH$1:$FH$7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994" type="list">
      <formula1>_lists!$FI$1:$FI$6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18" type="list">
      <formula1>_lists!$FJ$1:$FJ$7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18" type="list">
      <formula1>_lists!$FK$1:$FK$4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34" type="list">
      <formula1>_lists!$FL$1:$FL$5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46" type="list">
      <formula1>_lists!$FM$1:$FM$8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46" type="list">
      <formula1>_lists!$FN$1:$FN$2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46" type="list">
      <formula1>_lists!$FO$1:$FO$7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66" type="list">
      <formula1>_lists!$FP$1:$FP$11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66" type="list">
      <formula1>_lists!$FQ$1:$FQ$7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66" type="list">
      <formula1>_lists!$FR$1:$FR$6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066" type="list">
      <formula1>_lists!$FS$1:$FS$2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96" type="list">
      <formula1>_lists!$FT$1:$FT$2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05" type="list">
      <formula1>_lists!$FU$1:$FU$5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7822</v>
      </c>
      <c r="C1" s="10"/>
      <c r="D1" s="10"/>
      <c r="E1" s="10"/>
      <c r="F1" s="10"/>
      <c r="G1" s="10"/>
    </row>
    <row r="2" customFormat="false" ht="15" hidden="false" customHeight="false" outlineLevel="0" collapsed="false">
      <c r="A2" s="12" t="s">
        <v>700</v>
      </c>
      <c r="B2" s="13" t="s">
        <v>701</v>
      </c>
      <c r="C2" s="13" t="s">
        <v>702</v>
      </c>
      <c r="D2" s="13" t="s">
        <v>722</v>
      </c>
      <c r="E2" s="13" t="s">
        <v>723</v>
      </c>
      <c r="F2" s="13" t="s">
        <v>6523</v>
      </c>
      <c r="G2" s="13" t="s">
        <v>7711</v>
      </c>
    </row>
    <row r="3" customFormat="false" ht="30" hidden="false" customHeight="true" outlineLevel="0" collapsed="false">
      <c r="A3" s="14" t="s">
        <v>706</v>
      </c>
      <c r="B3" s="15" t="str">
        <f aca="false">IF(COUNTIFS($D$6:$D$227,IF(D3="","*",D3),$E$6:$E$227,IF(E3="","*",E3),$F$6:$F$227,IF(F3="","*",F3),$G$6:$G$227,IF(G3="","*",G3))=1,INDEX($B:$B,SUMPRODUCT(((D3="")+($D$6:$D$227=D3)&gt;0)*((E3="")+($E$6:$E$227=E3)&gt;0)*((F3="")+($F$6:$F$227=F3)&gt;0)*((G3="")+($G$6:$G$227=G3)&gt;0)*ROW($B$6:$B$227))),IF(COUNTIFS($D$6:$D$227,IF(D3="","*",D3),$E$6:$E$227,IF(E3="","*",E3),$F$6:$F$227,IF(F3="","*",F3),$G$6:$G$227,IF(G3="","*",G3))=0,"Not available",COUNTIFS($D$6:$D$227,IF(D3="","*",D3),$E$6:$E$227,IF(E3="","*",E3),$F$6:$F$227,IF(F3="","*",F3),$G$6:$G$227,IF(G3="","*",G3))&amp;" match, keep choosing"))</f>
        <v>SB-D15L20-2x2-SV</v>
      </c>
      <c r="C3" s="16" t="n">
        <f aca="false">IF(COUNTIFS($D$6:$D$227,IF(D3="","*",D3),$E$6:$E$227,IF(E3="","*",E3),$F$6:$F$227,IF(F3="","*",F3),$G$6:$G$227,IF(G3="","*",G3))=1,INDEX($C:$C,SUMPRODUCT(((D3="")+($D$6:$D$227=D3)&gt;0)*((E3="")+($E$6:$E$227=E3)&gt;0)*((F3="")+($F$6:$F$227=F3)&gt;0)*((G3="")+($G$6:$G$227=G3)&gt;0)*ROW($B$6:$B$227))),"")</f>
        <v>0.72</v>
      </c>
      <c r="D3" s="17" t="s">
        <v>6549</v>
      </c>
      <c r="E3" s="17" t="s">
        <v>734</v>
      </c>
      <c r="F3" s="17" t="s">
        <v>7823</v>
      </c>
      <c r="G3" s="17" t="s">
        <v>7824</v>
      </c>
    </row>
    <row r="5" customFormat="false" ht="15" hidden="false" customHeight="false" outlineLevel="0" collapsed="false">
      <c r="B5" s="18" t="s">
        <v>701</v>
      </c>
      <c r="C5" s="18" t="s">
        <v>702</v>
      </c>
      <c r="D5" s="18" t="s">
        <v>722</v>
      </c>
      <c r="E5" s="18" t="s">
        <v>723</v>
      </c>
      <c r="F5" s="18" t="s">
        <v>6523</v>
      </c>
      <c r="G5" s="18" t="s">
        <v>7711</v>
      </c>
    </row>
    <row r="6" customFormat="false" ht="15" hidden="false" customHeight="false" outlineLevel="0" collapsed="false">
      <c r="B6" s="19" t="s">
        <v>7825</v>
      </c>
      <c r="C6" s="20" t="n">
        <f aca="false">ROUND(5.2/FX,2)</f>
        <v>0.72</v>
      </c>
      <c r="D6" s="21" t="s">
        <v>6549</v>
      </c>
      <c r="E6" s="21" t="s">
        <v>734</v>
      </c>
      <c r="F6" s="21" t="s">
        <v>7823</v>
      </c>
      <c r="G6" s="21" t="s">
        <v>7824</v>
      </c>
    </row>
    <row r="7" customFormat="false" ht="15" hidden="false" customHeight="false" outlineLevel="0" collapsed="false">
      <c r="B7" s="19" t="s">
        <v>7826</v>
      </c>
      <c r="C7" s="20" t="n">
        <f aca="false">ROUND(5.2/FX,2)</f>
        <v>0.72</v>
      </c>
      <c r="D7" s="21" t="s">
        <v>6549</v>
      </c>
      <c r="E7" s="21" t="s">
        <v>734</v>
      </c>
      <c r="F7" s="21" t="s">
        <v>7823</v>
      </c>
      <c r="G7" s="21" t="s">
        <v>7827</v>
      </c>
    </row>
    <row r="8" customFormat="false" ht="15" hidden="false" customHeight="false" outlineLevel="0" collapsed="false">
      <c r="B8" s="19" t="s">
        <v>7828</v>
      </c>
      <c r="C8" s="20" t="n">
        <f aca="false">ROUND(5.2/FX,2)</f>
        <v>0.72</v>
      </c>
      <c r="D8" s="21" t="s">
        <v>6549</v>
      </c>
      <c r="E8" s="21" t="s">
        <v>734</v>
      </c>
      <c r="F8" s="21" t="s">
        <v>7823</v>
      </c>
      <c r="G8" s="21" t="s">
        <v>7829</v>
      </c>
    </row>
    <row r="9" customFormat="false" ht="15" hidden="false" customHeight="false" outlineLevel="0" collapsed="false">
      <c r="B9" s="19" t="s">
        <v>7830</v>
      </c>
      <c r="C9" s="20" t="n">
        <f aca="false">ROUND(5.2/FX,2)</f>
        <v>0.72</v>
      </c>
      <c r="D9" s="21" t="s">
        <v>6549</v>
      </c>
      <c r="E9" s="21" t="s">
        <v>734</v>
      </c>
      <c r="F9" s="21" t="s">
        <v>7823</v>
      </c>
      <c r="G9" s="21" t="s">
        <v>7831</v>
      </c>
    </row>
    <row r="10" customFormat="false" ht="15" hidden="false" customHeight="false" outlineLevel="0" collapsed="false">
      <c r="B10" s="19" t="s">
        <v>7832</v>
      </c>
      <c r="C10" s="20" t="n">
        <f aca="false">ROUND(5.2/FX,2)</f>
        <v>0.72</v>
      </c>
      <c r="D10" s="21" t="s">
        <v>6549</v>
      </c>
      <c r="E10" s="21" t="s">
        <v>734</v>
      </c>
      <c r="F10" s="21" t="s">
        <v>7823</v>
      </c>
      <c r="G10" s="21" t="s">
        <v>7833</v>
      </c>
    </row>
    <row r="11" customFormat="false" ht="15" hidden="false" customHeight="false" outlineLevel="0" collapsed="false">
      <c r="B11" s="19" t="s">
        <v>7834</v>
      </c>
      <c r="C11" s="20" t="n">
        <f aca="false">ROUND(5.2/FX,2)</f>
        <v>0.72</v>
      </c>
      <c r="D11" s="21" t="s">
        <v>6549</v>
      </c>
      <c r="E11" s="21" t="s">
        <v>734</v>
      </c>
      <c r="F11" s="21" t="s">
        <v>7835</v>
      </c>
      <c r="G11" s="21" t="s">
        <v>7824</v>
      </c>
    </row>
    <row r="12" customFormat="false" ht="15" hidden="false" customHeight="false" outlineLevel="0" collapsed="false">
      <c r="B12" s="19" t="s">
        <v>7836</v>
      </c>
      <c r="C12" s="20" t="n">
        <f aca="false">ROUND(4.67/FX,2)</f>
        <v>0.65</v>
      </c>
      <c r="D12" s="21" t="s">
        <v>6549</v>
      </c>
      <c r="E12" s="21" t="s">
        <v>734</v>
      </c>
      <c r="F12" s="21" t="s">
        <v>7835</v>
      </c>
      <c r="G12" s="21" t="s">
        <v>7837</v>
      </c>
    </row>
    <row r="13" customFormat="false" ht="15" hidden="false" customHeight="false" outlineLevel="0" collapsed="false">
      <c r="B13" s="19" t="s">
        <v>7838</v>
      </c>
      <c r="C13" s="20" t="n">
        <f aca="false">ROUND(4.67/FX,2)</f>
        <v>0.65</v>
      </c>
      <c r="D13" s="21" t="s">
        <v>6549</v>
      </c>
      <c r="E13" s="21" t="s">
        <v>734</v>
      </c>
      <c r="F13" s="21" t="s">
        <v>7835</v>
      </c>
      <c r="G13" s="21" t="s">
        <v>7839</v>
      </c>
    </row>
    <row r="14" customFormat="false" ht="15" hidden="false" customHeight="false" outlineLevel="0" collapsed="false">
      <c r="B14" s="19" t="s">
        <v>7840</v>
      </c>
      <c r="C14" s="20" t="n">
        <f aca="false">ROUND(3.36/FX,2)</f>
        <v>0.47</v>
      </c>
      <c r="D14" s="21" t="s">
        <v>6706</v>
      </c>
      <c r="E14" s="21" t="s">
        <v>734</v>
      </c>
      <c r="F14" s="21" t="s">
        <v>7835</v>
      </c>
      <c r="G14" s="21" t="s">
        <v>7841</v>
      </c>
    </row>
    <row r="15" customFormat="false" ht="15" hidden="false" customHeight="false" outlineLevel="0" collapsed="false">
      <c r="B15" s="19" t="s">
        <v>7842</v>
      </c>
      <c r="C15" s="20" t="n">
        <f aca="false">ROUND(5.2/FX,2)</f>
        <v>0.72</v>
      </c>
      <c r="D15" s="21" t="s">
        <v>6549</v>
      </c>
      <c r="E15" s="21" t="s">
        <v>734</v>
      </c>
      <c r="F15" s="21" t="s">
        <v>7835</v>
      </c>
      <c r="G15" s="21" t="s">
        <v>7843</v>
      </c>
    </row>
    <row r="16" customFormat="false" ht="15" hidden="false" customHeight="false" outlineLevel="0" collapsed="false">
      <c r="B16" s="19" t="s">
        <v>7844</v>
      </c>
      <c r="C16" s="20" t="n">
        <f aca="false">ROUND(5.2/FX,2)</f>
        <v>0.72</v>
      </c>
      <c r="D16" s="21" t="s">
        <v>6549</v>
      </c>
      <c r="E16" s="21" t="s">
        <v>734</v>
      </c>
      <c r="F16" s="21" t="s">
        <v>7835</v>
      </c>
      <c r="G16" s="21" t="s">
        <v>7845</v>
      </c>
    </row>
    <row r="17" customFormat="false" ht="15" hidden="false" customHeight="false" outlineLevel="0" collapsed="false">
      <c r="B17" s="19" t="s">
        <v>7846</v>
      </c>
      <c r="C17" s="20" t="n">
        <f aca="false">ROUND(5.2/FX,2)</f>
        <v>0.72</v>
      </c>
      <c r="D17" s="21" t="s">
        <v>6549</v>
      </c>
      <c r="E17" s="21" t="s">
        <v>734</v>
      </c>
      <c r="F17" s="21" t="s">
        <v>7835</v>
      </c>
      <c r="G17" s="21" t="s">
        <v>7847</v>
      </c>
    </row>
    <row r="18" customFormat="false" ht="15" hidden="false" customHeight="false" outlineLevel="0" collapsed="false">
      <c r="B18" s="19" t="s">
        <v>7848</v>
      </c>
      <c r="C18" s="20" t="n">
        <f aca="false">ROUND(4.67/FX,2)</f>
        <v>0.65</v>
      </c>
      <c r="D18" s="21" t="s">
        <v>6549</v>
      </c>
      <c r="E18" s="21" t="s">
        <v>734</v>
      </c>
      <c r="F18" s="21" t="s">
        <v>7835</v>
      </c>
      <c r="G18" s="21" t="s">
        <v>7849</v>
      </c>
    </row>
    <row r="19" customFormat="false" ht="15" hidden="false" customHeight="false" outlineLevel="0" collapsed="false">
      <c r="B19" s="19" t="s">
        <v>7850</v>
      </c>
      <c r="C19" s="20" t="n">
        <f aca="false">ROUND(5.2/FX,2)</f>
        <v>0.72</v>
      </c>
      <c r="D19" s="21" t="s">
        <v>6549</v>
      </c>
      <c r="E19" s="21" t="s">
        <v>734</v>
      </c>
      <c r="F19" s="21" t="s">
        <v>7835</v>
      </c>
      <c r="G19" s="21" t="s">
        <v>7851</v>
      </c>
    </row>
    <row r="20" customFormat="false" ht="15" hidden="false" customHeight="false" outlineLevel="0" collapsed="false">
      <c r="B20" s="19" t="s">
        <v>7852</v>
      </c>
      <c r="C20" s="20" t="n">
        <f aca="false">ROUND(5.2/FX,2)</f>
        <v>0.72</v>
      </c>
      <c r="D20" s="21" t="s">
        <v>6549</v>
      </c>
      <c r="E20" s="21" t="s">
        <v>734</v>
      </c>
      <c r="F20" s="21" t="s">
        <v>7835</v>
      </c>
      <c r="G20" s="21" t="s">
        <v>7853</v>
      </c>
    </row>
    <row r="21" customFormat="false" ht="15" hidden="false" customHeight="false" outlineLevel="0" collapsed="false">
      <c r="B21" s="19" t="s">
        <v>7854</v>
      </c>
      <c r="C21" s="20" t="n">
        <f aca="false">ROUND(4.67/FX,2)</f>
        <v>0.65</v>
      </c>
      <c r="D21" s="21" t="s">
        <v>6549</v>
      </c>
      <c r="E21" s="21" t="s">
        <v>734</v>
      </c>
      <c r="F21" s="21" t="s">
        <v>7835</v>
      </c>
      <c r="G21" s="21" t="s">
        <v>7855</v>
      </c>
    </row>
    <row r="22" customFormat="false" ht="15" hidden="false" customHeight="false" outlineLevel="0" collapsed="false">
      <c r="B22" s="19" t="s">
        <v>7856</v>
      </c>
      <c r="C22" s="20" t="n">
        <f aca="false">ROUND(5.2/FX,2)</f>
        <v>0.72</v>
      </c>
      <c r="D22" s="21" t="s">
        <v>6549</v>
      </c>
      <c r="E22" s="21" t="s">
        <v>734</v>
      </c>
      <c r="F22" s="21" t="s">
        <v>7835</v>
      </c>
      <c r="G22" s="21" t="s">
        <v>7829</v>
      </c>
    </row>
    <row r="23" customFormat="false" ht="15" hidden="false" customHeight="false" outlineLevel="0" collapsed="false">
      <c r="B23" s="19" t="s">
        <v>7857</v>
      </c>
      <c r="C23" s="20" t="n">
        <f aca="false">ROUND(5.2/FX,2)</f>
        <v>0.72</v>
      </c>
      <c r="D23" s="21" t="s">
        <v>6549</v>
      </c>
      <c r="E23" s="21" t="s">
        <v>734</v>
      </c>
      <c r="F23" s="21" t="s">
        <v>7835</v>
      </c>
      <c r="G23" s="21" t="s">
        <v>7831</v>
      </c>
    </row>
    <row r="24" customFormat="false" ht="15" hidden="false" customHeight="false" outlineLevel="0" collapsed="false">
      <c r="B24" s="19" t="s">
        <v>7858</v>
      </c>
      <c r="C24" s="20" t="n">
        <f aca="false">ROUND(5.59/FX,2)</f>
        <v>0.78</v>
      </c>
      <c r="D24" s="21" t="s">
        <v>6706</v>
      </c>
      <c r="E24" s="21" t="s">
        <v>734</v>
      </c>
      <c r="F24" s="21" t="s">
        <v>7835</v>
      </c>
      <c r="G24" s="21" t="s">
        <v>7833</v>
      </c>
    </row>
    <row r="25" customFormat="false" ht="15" hidden="false" customHeight="false" outlineLevel="0" collapsed="false">
      <c r="B25" s="19" t="s">
        <v>7859</v>
      </c>
      <c r="C25" s="20" t="n">
        <f aca="false">ROUND(4.67/FX,2)</f>
        <v>0.65</v>
      </c>
      <c r="D25" s="21" t="s">
        <v>6549</v>
      </c>
      <c r="E25" s="21" t="s">
        <v>734</v>
      </c>
      <c r="F25" s="21" t="s">
        <v>7835</v>
      </c>
      <c r="G25" s="21" t="s">
        <v>7860</v>
      </c>
    </row>
    <row r="26" customFormat="false" ht="15" hidden="false" customHeight="false" outlineLevel="0" collapsed="false">
      <c r="B26" s="19" t="s">
        <v>7861</v>
      </c>
      <c r="C26" s="20" t="n">
        <f aca="false">ROUND(4.67/FX,2)</f>
        <v>0.65</v>
      </c>
      <c r="D26" s="21" t="s">
        <v>6549</v>
      </c>
      <c r="E26" s="21" t="s">
        <v>734</v>
      </c>
      <c r="F26" s="21" t="s">
        <v>7835</v>
      </c>
      <c r="G26" s="21" t="s">
        <v>7862</v>
      </c>
    </row>
    <row r="27" customFormat="false" ht="15" hidden="false" customHeight="false" outlineLevel="0" collapsed="false">
      <c r="B27" s="19" t="s">
        <v>7863</v>
      </c>
      <c r="C27" s="20" t="n">
        <f aca="false">ROUND(5.2/FX,2)</f>
        <v>0.72</v>
      </c>
      <c r="D27" s="21" t="s">
        <v>6549</v>
      </c>
      <c r="E27" s="21" t="s">
        <v>734</v>
      </c>
      <c r="F27" s="21" t="s">
        <v>7835</v>
      </c>
      <c r="G27" s="21" t="s">
        <v>7864</v>
      </c>
    </row>
    <row r="28" customFormat="false" ht="15" hidden="false" customHeight="false" outlineLevel="0" collapsed="false">
      <c r="B28" s="19" t="s">
        <v>7865</v>
      </c>
      <c r="C28" s="20" t="n">
        <f aca="false">ROUND(5.2/FX,2)</f>
        <v>0.72</v>
      </c>
      <c r="D28" s="21" t="s">
        <v>6549</v>
      </c>
      <c r="E28" s="21" t="s">
        <v>734</v>
      </c>
      <c r="F28" s="21" t="s">
        <v>7835</v>
      </c>
      <c r="G28" s="21" t="s">
        <v>7866</v>
      </c>
    </row>
    <row r="29" customFormat="false" ht="15" hidden="false" customHeight="false" outlineLevel="0" collapsed="false">
      <c r="B29" s="19" t="s">
        <v>7867</v>
      </c>
      <c r="C29" s="20" t="n">
        <f aca="false">ROUND(5.2/FX,2)</f>
        <v>0.72</v>
      </c>
      <c r="D29" s="21" t="s">
        <v>6549</v>
      </c>
      <c r="E29" s="21" t="s">
        <v>734</v>
      </c>
      <c r="F29" s="21" t="s">
        <v>7868</v>
      </c>
      <c r="G29" s="21" t="s">
        <v>7869</v>
      </c>
    </row>
    <row r="30" customFormat="false" ht="15" hidden="false" customHeight="false" outlineLevel="0" collapsed="false">
      <c r="B30" s="19" t="s">
        <v>7870</v>
      </c>
      <c r="C30" s="20" t="n">
        <f aca="false">ROUND(5.2/FX,2)</f>
        <v>0.72</v>
      </c>
      <c r="D30" s="21" t="s">
        <v>6549</v>
      </c>
      <c r="E30" s="21" t="s">
        <v>734</v>
      </c>
      <c r="F30" s="21" t="s">
        <v>7868</v>
      </c>
      <c r="G30" s="21" t="s">
        <v>7829</v>
      </c>
    </row>
    <row r="31" customFormat="false" ht="15" hidden="false" customHeight="false" outlineLevel="0" collapsed="false">
      <c r="B31" s="19" t="s">
        <v>7871</v>
      </c>
      <c r="C31" s="20" t="n">
        <f aca="false">ROUND(5.2/FX,2)</f>
        <v>0.72</v>
      </c>
      <c r="D31" s="21" t="s">
        <v>6549</v>
      </c>
      <c r="E31" s="21" t="s">
        <v>734</v>
      </c>
      <c r="F31" s="21" t="s">
        <v>7868</v>
      </c>
      <c r="G31" s="21" t="s">
        <v>7872</v>
      </c>
    </row>
    <row r="32" customFormat="false" ht="15" hidden="false" customHeight="false" outlineLevel="0" collapsed="false">
      <c r="B32" s="19" t="s">
        <v>7873</v>
      </c>
      <c r="C32" s="20" t="n">
        <f aca="false">ROUND(5.59/FX,2)</f>
        <v>0.78</v>
      </c>
      <c r="D32" s="21" t="s">
        <v>6549</v>
      </c>
      <c r="E32" s="21" t="s">
        <v>734</v>
      </c>
      <c r="F32" s="21" t="s">
        <v>7874</v>
      </c>
      <c r="G32" s="21" t="s">
        <v>7875</v>
      </c>
    </row>
    <row r="33" customFormat="false" ht="15" hidden="false" customHeight="false" outlineLevel="0" collapsed="false">
      <c r="B33" s="19" t="s">
        <v>7876</v>
      </c>
      <c r="C33" s="20" t="n">
        <f aca="false">ROUND(4.94/FX,2)</f>
        <v>0.69</v>
      </c>
      <c r="D33" s="21" t="s">
        <v>6549</v>
      </c>
      <c r="E33" s="21" t="s">
        <v>734</v>
      </c>
      <c r="F33" s="21" t="s">
        <v>7874</v>
      </c>
      <c r="G33" s="21" t="s">
        <v>7877</v>
      </c>
    </row>
    <row r="34" customFormat="false" ht="15" hidden="false" customHeight="false" outlineLevel="0" collapsed="false">
      <c r="B34" s="19" t="s">
        <v>7878</v>
      </c>
      <c r="C34" s="20" t="n">
        <f aca="false">ROUND(4.16/FX,2)</f>
        <v>0.58</v>
      </c>
      <c r="D34" s="21" t="s">
        <v>6549</v>
      </c>
      <c r="E34" s="21" t="s">
        <v>734</v>
      </c>
      <c r="F34" s="21" t="s">
        <v>7874</v>
      </c>
      <c r="G34" s="21" t="s">
        <v>7845</v>
      </c>
    </row>
    <row r="35" customFormat="false" ht="15" hidden="false" customHeight="false" outlineLevel="0" collapsed="false">
      <c r="B35" s="19" t="s">
        <v>7879</v>
      </c>
      <c r="C35" s="20" t="n">
        <f aca="false">ROUND(4.94/FX,2)</f>
        <v>0.69</v>
      </c>
      <c r="D35" s="21" t="s">
        <v>6549</v>
      </c>
      <c r="E35" s="21" t="s">
        <v>734</v>
      </c>
      <c r="F35" s="21" t="s">
        <v>7874</v>
      </c>
      <c r="G35" s="21" t="s">
        <v>7851</v>
      </c>
    </row>
    <row r="36" customFormat="false" ht="15" hidden="false" customHeight="false" outlineLevel="0" collapsed="false">
      <c r="B36" s="19" t="s">
        <v>7880</v>
      </c>
      <c r="C36" s="20" t="n">
        <f aca="false">ROUND(4.94/FX,2)</f>
        <v>0.69</v>
      </c>
      <c r="D36" s="21" t="s">
        <v>6549</v>
      </c>
      <c r="E36" s="21" t="s">
        <v>734</v>
      </c>
      <c r="F36" s="21" t="s">
        <v>7874</v>
      </c>
      <c r="G36" s="21" t="s">
        <v>7881</v>
      </c>
    </row>
    <row r="37" customFormat="false" ht="15" hidden="false" customHeight="false" outlineLevel="0" collapsed="false">
      <c r="B37" s="19" t="s">
        <v>7882</v>
      </c>
      <c r="C37" s="20" t="n">
        <f aca="false">ROUND(4.16/FX,2)</f>
        <v>0.58</v>
      </c>
      <c r="D37" s="21" t="s">
        <v>724</v>
      </c>
      <c r="E37" s="21" t="s">
        <v>734</v>
      </c>
      <c r="F37" s="21" t="s">
        <v>7874</v>
      </c>
      <c r="G37" s="21" t="s">
        <v>7829</v>
      </c>
    </row>
    <row r="38" customFormat="false" ht="15" hidden="false" customHeight="false" outlineLevel="0" collapsed="false">
      <c r="B38" s="19" t="s">
        <v>7883</v>
      </c>
      <c r="C38" s="20" t="n">
        <f aca="false">ROUND(4.16/FX,2)</f>
        <v>0.58</v>
      </c>
      <c r="D38" s="21" t="s">
        <v>7884</v>
      </c>
      <c r="E38" s="21" t="s">
        <v>734</v>
      </c>
      <c r="F38" s="21" t="s">
        <v>7874</v>
      </c>
      <c r="G38" s="21" t="s">
        <v>7829</v>
      </c>
    </row>
    <row r="39" customFormat="false" ht="15" hidden="false" customHeight="false" outlineLevel="0" collapsed="false">
      <c r="B39" s="19" t="s">
        <v>7885</v>
      </c>
      <c r="C39" s="20" t="n">
        <f aca="false">ROUND(4.16/FX,2)</f>
        <v>0.58</v>
      </c>
      <c r="D39" s="21" t="s">
        <v>7886</v>
      </c>
      <c r="E39" s="21" t="s">
        <v>734</v>
      </c>
      <c r="F39" s="21" t="s">
        <v>7874</v>
      </c>
      <c r="G39" s="21" t="s">
        <v>7829</v>
      </c>
    </row>
    <row r="40" customFormat="false" ht="15" hidden="false" customHeight="false" outlineLevel="0" collapsed="false">
      <c r="B40" s="19" t="s">
        <v>7887</v>
      </c>
      <c r="C40" s="20" t="n">
        <f aca="false">ROUND(4.16/FX,2)</f>
        <v>0.58</v>
      </c>
      <c r="D40" s="21" t="s">
        <v>6362</v>
      </c>
      <c r="E40" s="21" t="s">
        <v>734</v>
      </c>
      <c r="F40" s="21" t="s">
        <v>7874</v>
      </c>
      <c r="G40" s="21" t="s">
        <v>7829</v>
      </c>
    </row>
    <row r="41" customFormat="false" ht="15" hidden="false" customHeight="false" outlineLevel="0" collapsed="false">
      <c r="B41" s="19" t="s">
        <v>7888</v>
      </c>
      <c r="C41" s="20" t="n">
        <f aca="false">ROUND(4.94/FX,2)</f>
        <v>0.69</v>
      </c>
      <c r="D41" s="21" t="s">
        <v>6549</v>
      </c>
      <c r="E41" s="21" t="s">
        <v>734</v>
      </c>
      <c r="F41" s="21" t="s">
        <v>7874</v>
      </c>
      <c r="G41" s="21" t="s">
        <v>7829</v>
      </c>
    </row>
    <row r="42" customFormat="false" ht="15" hidden="false" customHeight="false" outlineLevel="0" collapsed="false">
      <c r="B42" s="19" t="s">
        <v>7889</v>
      </c>
      <c r="C42" s="20" t="n">
        <f aca="false">ROUND(5.59/FX,2)</f>
        <v>0.78</v>
      </c>
      <c r="D42" s="21" t="s">
        <v>6549</v>
      </c>
      <c r="E42" s="21" t="s">
        <v>734</v>
      </c>
      <c r="F42" s="21" t="s">
        <v>7874</v>
      </c>
      <c r="G42" s="21" t="s">
        <v>7833</v>
      </c>
    </row>
    <row r="43" customFormat="false" ht="15" hidden="false" customHeight="false" outlineLevel="0" collapsed="false">
      <c r="B43" s="19" t="s">
        <v>7890</v>
      </c>
      <c r="C43" s="20" t="n">
        <f aca="false">ROUND(5.59/FX,2)</f>
        <v>0.78</v>
      </c>
      <c r="D43" s="21" t="s">
        <v>6549</v>
      </c>
      <c r="E43" s="21" t="s">
        <v>734</v>
      </c>
      <c r="F43" s="21" t="s">
        <v>7874</v>
      </c>
      <c r="G43" s="21" t="s">
        <v>7891</v>
      </c>
    </row>
    <row r="44" customFormat="false" ht="15" hidden="false" customHeight="false" outlineLevel="0" collapsed="false">
      <c r="B44" s="19" t="s">
        <v>7892</v>
      </c>
      <c r="C44" s="20" t="n">
        <f aca="false">ROUND(4.68/FX,2)</f>
        <v>0.65</v>
      </c>
      <c r="D44" s="21" t="s">
        <v>6549</v>
      </c>
      <c r="E44" s="21" t="s">
        <v>734</v>
      </c>
      <c r="F44" s="21" t="s">
        <v>7874</v>
      </c>
      <c r="G44" s="21" t="s">
        <v>7893</v>
      </c>
    </row>
    <row r="45" customFormat="false" ht="15" hidden="false" customHeight="false" outlineLevel="0" collapsed="false">
      <c r="B45" s="19" t="s">
        <v>7894</v>
      </c>
      <c r="C45" s="20" t="n">
        <f aca="false">ROUND(5.59/FX,2)</f>
        <v>0.78</v>
      </c>
      <c r="D45" s="21" t="s">
        <v>6549</v>
      </c>
      <c r="E45" s="21" t="s">
        <v>734</v>
      </c>
      <c r="F45" s="21" t="s">
        <v>7874</v>
      </c>
      <c r="G45" s="21" t="s">
        <v>7895</v>
      </c>
    </row>
    <row r="46" customFormat="false" ht="15" hidden="false" customHeight="false" outlineLevel="0" collapsed="false">
      <c r="B46" s="19" t="s">
        <v>7896</v>
      </c>
      <c r="C46" s="20" t="n">
        <f aca="false">ROUND(4.94/FX,2)</f>
        <v>0.69</v>
      </c>
      <c r="D46" s="21" t="s">
        <v>6549</v>
      </c>
      <c r="E46" s="21" t="s">
        <v>734</v>
      </c>
      <c r="F46" s="21" t="s">
        <v>7874</v>
      </c>
      <c r="G46" s="21" t="s">
        <v>7862</v>
      </c>
    </row>
    <row r="47" customFormat="false" ht="15" hidden="false" customHeight="false" outlineLevel="0" collapsed="false">
      <c r="B47" s="19" t="s">
        <v>7897</v>
      </c>
      <c r="C47" s="20" t="n">
        <f aca="false">ROUND(4.94/FX,2)</f>
        <v>0.69</v>
      </c>
      <c r="D47" s="21" t="s">
        <v>6549</v>
      </c>
      <c r="E47" s="21" t="s">
        <v>734</v>
      </c>
      <c r="F47" s="21" t="s">
        <v>7874</v>
      </c>
      <c r="G47" s="21" t="s">
        <v>7872</v>
      </c>
    </row>
    <row r="48" customFormat="false" ht="15" hidden="false" customHeight="false" outlineLevel="0" collapsed="false">
      <c r="B48" s="19" t="s">
        <v>7898</v>
      </c>
      <c r="C48" s="20" t="n">
        <f aca="false">ROUND(4.94/FX,2)</f>
        <v>0.69</v>
      </c>
      <c r="D48" s="21" t="s">
        <v>6549</v>
      </c>
      <c r="E48" s="21" t="s">
        <v>734</v>
      </c>
      <c r="F48" s="21" t="s">
        <v>7874</v>
      </c>
      <c r="G48" s="21" t="s">
        <v>7899</v>
      </c>
    </row>
    <row r="49" customFormat="false" ht="15" hidden="false" customHeight="false" outlineLevel="0" collapsed="false">
      <c r="B49" s="19" t="s">
        <v>7900</v>
      </c>
      <c r="C49" s="20" t="n">
        <f aca="false">ROUND(5.59/FX,2)</f>
        <v>0.78</v>
      </c>
      <c r="D49" s="21" t="s">
        <v>6549</v>
      </c>
      <c r="E49" s="21" t="s">
        <v>734</v>
      </c>
      <c r="F49" s="21" t="s">
        <v>7874</v>
      </c>
      <c r="G49" s="21" t="s">
        <v>7866</v>
      </c>
    </row>
    <row r="50" customFormat="false" ht="15" hidden="false" customHeight="false" outlineLevel="0" collapsed="false">
      <c r="B50" s="19" t="s">
        <v>7901</v>
      </c>
      <c r="C50" s="20" t="n">
        <f aca="false">ROUND(4.94/FX,2)</f>
        <v>0.69</v>
      </c>
      <c r="D50" s="21" t="s">
        <v>6549</v>
      </c>
      <c r="E50" s="21" t="s">
        <v>734</v>
      </c>
      <c r="F50" s="21" t="s">
        <v>7902</v>
      </c>
      <c r="G50" s="21" t="s">
        <v>7875</v>
      </c>
    </row>
    <row r="51" customFormat="false" ht="15" hidden="false" customHeight="false" outlineLevel="0" collapsed="false">
      <c r="B51" s="19" t="s">
        <v>7903</v>
      </c>
      <c r="C51" s="20" t="n">
        <f aca="false">ROUND(4.94/FX,2)</f>
        <v>0.69</v>
      </c>
      <c r="D51" s="21" t="s">
        <v>6549</v>
      </c>
      <c r="E51" s="21" t="s">
        <v>734</v>
      </c>
      <c r="F51" s="21" t="s">
        <v>7902</v>
      </c>
      <c r="G51" s="21" t="s">
        <v>7904</v>
      </c>
    </row>
    <row r="52" customFormat="false" ht="15" hidden="false" customHeight="false" outlineLevel="0" collapsed="false">
      <c r="B52" s="19" t="s">
        <v>7905</v>
      </c>
      <c r="C52" s="20" t="n">
        <f aca="false">ROUND(4.94/FX,2)</f>
        <v>0.69</v>
      </c>
      <c r="D52" s="21" t="s">
        <v>6549</v>
      </c>
      <c r="E52" s="21" t="s">
        <v>734</v>
      </c>
      <c r="F52" s="21" t="s">
        <v>7902</v>
      </c>
      <c r="G52" s="21" t="s">
        <v>7837</v>
      </c>
    </row>
    <row r="53" customFormat="false" ht="15" hidden="false" customHeight="false" outlineLevel="0" collapsed="false">
      <c r="B53" s="19" t="s">
        <v>7906</v>
      </c>
      <c r="C53" s="20" t="n">
        <f aca="false">ROUND(4.94/FX,2)</f>
        <v>0.69</v>
      </c>
      <c r="D53" s="21" t="s">
        <v>6549</v>
      </c>
      <c r="E53" s="21" t="s">
        <v>734</v>
      </c>
      <c r="F53" s="21" t="s">
        <v>7902</v>
      </c>
      <c r="G53" s="21" t="s">
        <v>7839</v>
      </c>
    </row>
    <row r="54" customFormat="false" ht="15" hidden="false" customHeight="false" outlineLevel="0" collapsed="false">
      <c r="B54" s="19" t="s">
        <v>7907</v>
      </c>
      <c r="C54" s="20" t="n">
        <f aca="false">ROUND(4.94/FX,2)</f>
        <v>0.69</v>
      </c>
      <c r="D54" s="21" t="s">
        <v>6549</v>
      </c>
      <c r="E54" s="21" t="s">
        <v>734</v>
      </c>
      <c r="F54" s="21" t="s">
        <v>7902</v>
      </c>
      <c r="G54" s="21" t="s">
        <v>7908</v>
      </c>
    </row>
    <row r="55" customFormat="false" ht="15" hidden="false" customHeight="false" outlineLevel="0" collapsed="false">
      <c r="B55" s="19" t="s">
        <v>7909</v>
      </c>
      <c r="C55" s="20" t="n">
        <f aca="false">ROUND(4.94/FX,2)</f>
        <v>0.69</v>
      </c>
      <c r="D55" s="21" t="s">
        <v>6549</v>
      </c>
      <c r="E55" s="21" t="s">
        <v>734</v>
      </c>
      <c r="F55" s="21" t="s">
        <v>7902</v>
      </c>
      <c r="G55" s="21" t="s">
        <v>7910</v>
      </c>
    </row>
    <row r="56" customFormat="false" ht="15" hidden="false" customHeight="false" outlineLevel="0" collapsed="false">
      <c r="B56" s="19" t="s">
        <v>7911</v>
      </c>
      <c r="C56" s="20" t="n">
        <f aca="false">ROUND(4.94/FX,2)</f>
        <v>0.69</v>
      </c>
      <c r="D56" s="21" t="s">
        <v>6549</v>
      </c>
      <c r="E56" s="21" t="s">
        <v>734</v>
      </c>
      <c r="F56" s="21" t="s">
        <v>7902</v>
      </c>
      <c r="G56" s="21" t="s">
        <v>7912</v>
      </c>
    </row>
    <row r="57" customFormat="false" ht="15" hidden="false" customHeight="false" outlineLevel="0" collapsed="false">
      <c r="B57" s="19" t="s">
        <v>7913</v>
      </c>
      <c r="C57" s="20" t="n">
        <f aca="false">ROUND(4.94/FX,2)</f>
        <v>0.69</v>
      </c>
      <c r="D57" s="21" t="s">
        <v>6549</v>
      </c>
      <c r="E57" s="21" t="s">
        <v>734</v>
      </c>
      <c r="F57" s="21" t="s">
        <v>7902</v>
      </c>
      <c r="G57" s="21" t="s">
        <v>7914</v>
      </c>
    </row>
    <row r="58" customFormat="false" ht="15" hidden="false" customHeight="false" outlineLevel="0" collapsed="false">
      <c r="B58" s="19" t="s">
        <v>7915</v>
      </c>
      <c r="C58" s="20" t="n">
        <f aca="false">ROUND(4.94/FX,2)</f>
        <v>0.69</v>
      </c>
      <c r="D58" s="21" t="s">
        <v>6549</v>
      </c>
      <c r="E58" s="21" t="s">
        <v>734</v>
      </c>
      <c r="F58" s="21" t="s">
        <v>7902</v>
      </c>
      <c r="G58" s="21" t="s">
        <v>7916</v>
      </c>
    </row>
    <row r="59" customFormat="false" ht="15" hidden="false" customHeight="false" outlineLevel="0" collapsed="false">
      <c r="B59" s="19" t="s">
        <v>7917</v>
      </c>
      <c r="C59" s="20" t="n">
        <f aca="false">ROUND(4.94/FX,2)</f>
        <v>0.69</v>
      </c>
      <c r="D59" s="21" t="s">
        <v>6549</v>
      </c>
      <c r="E59" s="21" t="s">
        <v>734</v>
      </c>
      <c r="F59" s="21" t="s">
        <v>7902</v>
      </c>
      <c r="G59" s="21" t="s">
        <v>7918</v>
      </c>
    </row>
    <row r="60" customFormat="false" ht="15" hidden="false" customHeight="false" outlineLevel="0" collapsed="false">
      <c r="B60" s="19" t="s">
        <v>7919</v>
      </c>
      <c r="C60" s="20" t="n">
        <f aca="false">ROUND(4.94/FX,2)</f>
        <v>0.69</v>
      </c>
      <c r="D60" s="21" t="s">
        <v>6549</v>
      </c>
      <c r="E60" s="21" t="s">
        <v>734</v>
      </c>
      <c r="F60" s="21" t="s">
        <v>7902</v>
      </c>
      <c r="G60" s="21" t="s">
        <v>7847</v>
      </c>
    </row>
    <row r="61" customFormat="false" ht="15" hidden="false" customHeight="false" outlineLevel="0" collapsed="false">
      <c r="B61" s="19" t="s">
        <v>7920</v>
      </c>
      <c r="C61" s="20" t="n">
        <f aca="false">ROUND(4.94/FX,2)</f>
        <v>0.69</v>
      </c>
      <c r="D61" s="21" t="s">
        <v>6549</v>
      </c>
      <c r="E61" s="21" t="s">
        <v>734</v>
      </c>
      <c r="F61" s="21" t="s">
        <v>7902</v>
      </c>
      <c r="G61" s="21" t="s">
        <v>7849</v>
      </c>
    </row>
    <row r="62" customFormat="false" ht="15" hidden="false" customHeight="false" outlineLevel="0" collapsed="false">
      <c r="B62" s="19" t="s">
        <v>7921</v>
      </c>
      <c r="C62" s="20" t="n">
        <f aca="false">ROUND(4.94/FX,2)</f>
        <v>0.69</v>
      </c>
      <c r="D62" s="21" t="s">
        <v>6549</v>
      </c>
      <c r="E62" s="21" t="s">
        <v>734</v>
      </c>
      <c r="F62" s="21" t="s">
        <v>7902</v>
      </c>
      <c r="G62" s="21" t="s">
        <v>7922</v>
      </c>
    </row>
    <row r="63" customFormat="false" ht="15" hidden="false" customHeight="false" outlineLevel="0" collapsed="false">
      <c r="B63" s="19" t="s">
        <v>7923</v>
      </c>
      <c r="C63" s="20" t="n">
        <f aca="false">ROUND(4.94/FX,2)</f>
        <v>0.69</v>
      </c>
      <c r="D63" s="21" t="s">
        <v>6549</v>
      </c>
      <c r="E63" s="21" t="s">
        <v>734</v>
      </c>
      <c r="F63" s="21" t="s">
        <v>7902</v>
      </c>
      <c r="G63" s="21" t="s">
        <v>7851</v>
      </c>
    </row>
    <row r="64" customFormat="false" ht="15" hidden="false" customHeight="false" outlineLevel="0" collapsed="false">
      <c r="B64" s="19" t="s">
        <v>7924</v>
      </c>
      <c r="C64" s="20" t="n">
        <f aca="false">ROUND(4.94/FX,2)</f>
        <v>0.69</v>
      </c>
      <c r="D64" s="21" t="s">
        <v>6549</v>
      </c>
      <c r="E64" s="21" t="s">
        <v>734</v>
      </c>
      <c r="F64" s="21" t="s">
        <v>7902</v>
      </c>
      <c r="G64" s="21" t="s">
        <v>7925</v>
      </c>
    </row>
    <row r="65" customFormat="false" ht="15" hidden="false" customHeight="false" outlineLevel="0" collapsed="false">
      <c r="B65" s="19" t="s">
        <v>7926</v>
      </c>
      <c r="C65" s="20" t="n">
        <f aca="false">ROUND(4.94/FX,2)</f>
        <v>0.69</v>
      </c>
      <c r="D65" s="21" t="s">
        <v>6549</v>
      </c>
      <c r="E65" s="21" t="s">
        <v>734</v>
      </c>
      <c r="F65" s="21" t="s">
        <v>7902</v>
      </c>
      <c r="G65" s="21" t="s">
        <v>7927</v>
      </c>
    </row>
    <row r="66" customFormat="false" ht="15" hidden="false" customHeight="false" outlineLevel="0" collapsed="false">
      <c r="B66" s="19" t="s">
        <v>7928</v>
      </c>
      <c r="C66" s="20" t="n">
        <f aca="false">ROUND(4.94/FX,2)</f>
        <v>0.69</v>
      </c>
      <c r="D66" s="21" t="s">
        <v>6549</v>
      </c>
      <c r="E66" s="21" t="s">
        <v>734</v>
      </c>
      <c r="F66" s="21" t="s">
        <v>7902</v>
      </c>
      <c r="G66" s="21" t="s">
        <v>7827</v>
      </c>
    </row>
    <row r="67" customFormat="false" ht="15" hidden="false" customHeight="false" outlineLevel="0" collapsed="false">
      <c r="B67" s="19" t="s">
        <v>7929</v>
      </c>
      <c r="C67" s="20" t="n">
        <f aca="false">ROUND(5.59/FX,2)</f>
        <v>0.78</v>
      </c>
      <c r="D67" s="21" t="s">
        <v>6549</v>
      </c>
      <c r="E67" s="21" t="s">
        <v>734</v>
      </c>
      <c r="F67" s="21" t="s">
        <v>7902</v>
      </c>
      <c r="G67" s="21" t="s">
        <v>7853</v>
      </c>
    </row>
    <row r="68" customFormat="false" ht="15" hidden="false" customHeight="false" outlineLevel="0" collapsed="false">
      <c r="B68" s="19" t="s">
        <v>7930</v>
      </c>
      <c r="C68" s="20" t="n">
        <f aca="false">ROUND(4.94/FX,2)</f>
        <v>0.69</v>
      </c>
      <c r="D68" s="21" t="s">
        <v>6549</v>
      </c>
      <c r="E68" s="21" t="s">
        <v>734</v>
      </c>
      <c r="F68" s="21" t="s">
        <v>7902</v>
      </c>
      <c r="G68" s="21" t="s">
        <v>7869</v>
      </c>
    </row>
    <row r="69" customFormat="false" ht="15" hidden="false" customHeight="false" outlineLevel="0" collapsed="false">
      <c r="B69" s="19" t="s">
        <v>7931</v>
      </c>
      <c r="C69" s="20" t="n">
        <f aca="false">ROUND(4.94/FX,2)</f>
        <v>0.69</v>
      </c>
      <c r="D69" s="21" t="s">
        <v>6549</v>
      </c>
      <c r="E69" s="21" t="s">
        <v>734</v>
      </c>
      <c r="F69" s="21" t="s">
        <v>7902</v>
      </c>
      <c r="G69" s="21" t="s">
        <v>7855</v>
      </c>
    </row>
    <row r="70" customFormat="false" ht="15" hidden="false" customHeight="false" outlineLevel="0" collapsed="false">
      <c r="B70" s="19" t="s">
        <v>7932</v>
      </c>
      <c r="C70" s="20" t="n">
        <f aca="false">ROUND(4.94/FX,2)</f>
        <v>0.69</v>
      </c>
      <c r="D70" s="21" t="s">
        <v>6549</v>
      </c>
      <c r="E70" s="21" t="s">
        <v>734</v>
      </c>
      <c r="F70" s="21" t="s">
        <v>7902</v>
      </c>
      <c r="G70" s="21" t="s">
        <v>7933</v>
      </c>
    </row>
    <row r="71" customFormat="false" ht="15" hidden="false" customHeight="false" outlineLevel="0" collapsed="false">
      <c r="B71" s="19" t="s">
        <v>7934</v>
      </c>
      <c r="C71" s="20" t="n">
        <f aca="false">ROUND(4.94/FX,2)</f>
        <v>0.69</v>
      </c>
      <c r="D71" s="21" t="s">
        <v>6549</v>
      </c>
      <c r="E71" s="21" t="s">
        <v>734</v>
      </c>
      <c r="F71" s="21" t="s">
        <v>7902</v>
      </c>
      <c r="G71" s="21" t="s">
        <v>7935</v>
      </c>
    </row>
    <row r="72" customFormat="false" ht="15" hidden="false" customHeight="false" outlineLevel="0" collapsed="false">
      <c r="B72" s="19" t="s">
        <v>7936</v>
      </c>
      <c r="C72" s="20" t="n">
        <f aca="false">ROUND(5.59/FX,2)</f>
        <v>0.78</v>
      </c>
      <c r="D72" s="21" t="s">
        <v>6549</v>
      </c>
      <c r="E72" s="21" t="s">
        <v>734</v>
      </c>
      <c r="F72" s="21" t="s">
        <v>7902</v>
      </c>
      <c r="G72" s="21" t="s">
        <v>7881</v>
      </c>
    </row>
    <row r="73" customFormat="false" ht="15" hidden="false" customHeight="false" outlineLevel="0" collapsed="false">
      <c r="B73" s="19" t="s">
        <v>7937</v>
      </c>
      <c r="C73" s="20" t="n">
        <f aca="false">ROUND(6.24/FX,2)</f>
        <v>0.87</v>
      </c>
      <c r="D73" s="21" t="s">
        <v>724</v>
      </c>
      <c r="E73" s="21" t="s">
        <v>734</v>
      </c>
      <c r="F73" s="21" t="s">
        <v>7902</v>
      </c>
      <c r="G73" s="21" t="s">
        <v>7829</v>
      </c>
    </row>
    <row r="74" customFormat="false" ht="15" hidden="false" customHeight="false" outlineLevel="0" collapsed="false">
      <c r="B74" s="19" t="s">
        <v>7938</v>
      </c>
      <c r="C74" s="20" t="n">
        <f aca="false">ROUND(5.59/FX,2)</f>
        <v>0.78</v>
      </c>
      <c r="D74" s="21" t="s">
        <v>6706</v>
      </c>
      <c r="E74" s="21" t="s">
        <v>7939</v>
      </c>
      <c r="F74" s="21" t="s">
        <v>7902</v>
      </c>
      <c r="G74" s="21" t="s">
        <v>7829</v>
      </c>
    </row>
    <row r="75" customFormat="false" ht="15" hidden="false" customHeight="false" outlineLevel="0" collapsed="false">
      <c r="B75" s="19" t="s">
        <v>7940</v>
      </c>
      <c r="C75" s="20" t="n">
        <f aca="false">ROUND(4.29/FX,2)</f>
        <v>0.6</v>
      </c>
      <c r="D75" s="21" t="s">
        <v>6706</v>
      </c>
      <c r="E75" s="21" t="s">
        <v>7941</v>
      </c>
      <c r="F75" s="21" t="s">
        <v>7902</v>
      </c>
      <c r="G75" s="21" t="s">
        <v>7831</v>
      </c>
    </row>
    <row r="76" customFormat="false" ht="15" hidden="false" customHeight="false" outlineLevel="0" collapsed="false">
      <c r="B76" s="19" t="s">
        <v>7942</v>
      </c>
      <c r="C76" s="20" t="n">
        <f aca="false">ROUND(4.94/FX,2)</f>
        <v>0.69</v>
      </c>
      <c r="D76" s="21" t="s">
        <v>6698</v>
      </c>
      <c r="E76" s="21" t="s">
        <v>7939</v>
      </c>
      <c r="F76" s="21" t="s">
        <v>7902</v>
      </c>
      <c r="G76" s="21" t="s">
        <v>7831</v>
      </c>
    </row>
    <row r="77" customFormat="false" ht="15" hidden="false" customHeight="false" outlineLevel="0" collapsed="false">
      <c r="B77" s="19" t="s">
        <v>7943</v>
      </c>
      <c r="C77" s="20" t="n">
        <f aca="false">ROUND(4.94/FX,2)</f>
        <v>0.69</v>
      </c>
      <c r="D77" s="21" t="s">
        <v>6549</v>
      </c>
      <c r="E77" s="21" t="s">
        <v>734</v>
      </c>
      <c r="F77" s="21" t="s">
        <v>7902</v>
      </c>
      <c r="G77" s="21" t="s">
        <v>7944</v>
      </c>
    </row>
    <row r="78" customFormat="false" ht="15" hidden="false" customHeight="false" outlineLevel="0" collapsed="false">
      <c r="B78" s="19" t="s">
        <v>7945</v>
      </c>
      <c r="C78" s="20" t="n">
        <f aca="false">ROUND(4.94/FX,2)</f>
        <v>0.69</v>
      </c>
      <c r="D78" s="21" t="s">
        <v>6549</v>
      </c>
      <c r="E78" s="21" t="s">
        <v>734</v>
      </c>
      <c r="F78" s="21" t="s">
        <v>7902</v>
      </c>
      <c r="G78" s="21" t="s">
        <v>7946</v>
      </c>
    </row>
    <row r="79" customFormat="false" ht="15" hidden="false" customHeight="false" outlineLevel="0" collapsed="false">
      <c r="B79" s="19" t="s">
        <v>7947</v>
      </c>
      <c r="C79" s="20" t="n">
        <f aca="false">ROUND(6.24/FX,2)</f>
        <v>0.87</v>
      </c>
      <c r="D79" s="21" t="s">
        <v>724</v>
      </c>
      <c r="E79" s="21" t="s">
        <v>734</v>
      </c>
      <c r="F79" s="21" t="s">
        <v>7902</v>
      </c>
      <c r="G79" s="21" t="s">
        <v>7833</v>
      </c>
    </row>
    <row r="80" customFormat="false" ht="15" hidden="false" customHeight="false" outlineLevel="0" collapsed="false">
      <c r="B80" s="19" t="s">
        <v>7948</v>
      </c>
      <c r="C80" s="20" t="n">
        <f aca="false">ROUND(4.29/FX,2)</f>
        <v>0.6</v>
      </c>
      <c r="D80" s="21" t="s">
        <v>6706</v>
      </c>
      <c r="E80" s="21" t="s">
        <v>7941</v>
      </c>
      <c r="F80" s="21" t="s">
        <v>7902</v>
      </c>
      <c r="G80" s="21" t="s">
        <v>7833</v>
      </c>
    </row>
    <row r="81" customFormat="false" ht="15" hidden="false" customHeight="false" outlineLevel="0" collapsed="false">
      <c r="B81" s="19" t="s">
        <v>7949</v>
      </c>
      <c r="C81" s="20" t="n">
        <f aca="false">ROUND(5.59/FX,2)</f>
        <v>0.78</v>
      </c>
      <c r="D81" s="21" t="s">
        <v>6706</v>
      </c>
      <c r="E81" s="21" t="s">
        <v>7939</v>
      </c>
      <c r="F81" s="21" t="s">
        <v>7902</v>
      </c>
      <c r="G81" s="21" t="s">
        <v>7833</v>
      </c>
    </row>
    <row r="82" customFormat="false" ht="15" hidden="false" customHeight="false" outlineLevel="0" collapsed="false">
      <c r="B82" s="19" t="s">
        <v>7950</v>
      </c>
      <c r="C82" s="20" t="n">
        <f aca="false">ROUND(5.59/FX,2)</f>
        <v>0.78</v>
      </c>
      <c r="D82" s="21" t="s">
        <v>6549</v>
      </c>
      <c r="E82" s="21" t="s">
        <v>734</v>
      </c>
      <c r="F82" s="21" t="s">
        <v>7902</v>
      </c>
      <c r="G82" s="21" t="s">
        <v>7951</v>
      </c>
    </row>
    <row r="83" customFormat="false" ht="15" hidden="false" customHeight="false" outlineLevel="0" collapsed="false">
      <c r="B83" s="19" t="s">
        <v>7952</v>
      </c>
      <c r="C83" s="20" t="n">
        <f aca="false">ROUND(4.94/FX,2)</f>
        <v>0.69</v>
      </c>
      <c r="D83" s="21" t="s">
        <v>6549</v>
      </c>
      <c r="E83" s="21" t="s">
        <v>734</v>
      </c>
      <c r="F83" s="21" t="s">
        <v>7902</v>
      </c>
      <c r="G83" s="21" t="s">
        <v>7891</v>
      </c>
    </row>
    <row r="84" customFormat="false" ht="15" hidden="false" customHeight="false" outlineLevel="0" collapsed="false">
      <c r="B84" s="19" t="s">
        <v>7953</v>
      </c>
      <c r="C84" s="20" t="n">
        <f aca="false">ROUND(4.94/FX,2)</f>
        <v>0.69</v>
      </c>
      <c r="D84" s="21" t="s">
        <v>6549</v>
      </c>
      <c r="E84" s="21" t="s">
        <v>734</v>
      </c>
      <c r="F84" s="21" t="s">
        <v>7902</v>
      </c>
      <c r="G84" s="21" t="s">
        <v>7860</v>
      </c>
    </row>
    <row r="85" customFormat="false" ht="15" hidden="false" customHeight="false" outlineLevel="0" collapsed="false">
      <c r="B85" s="19" t="s">
        <v>7954</v>
      </c>
      <c r="C85" s="20" t="n">
        <f aca="false">ROUND(5.59/FX,2)</f>
        <v>0.78</v>
      </c>
      <c r="D85" s="21" t="s">
        <v>6549</v>
      </c>
      <c r="E85" s="21" t="s">
        <v>734</v>
      </c>
      <c r="F85" s="21" t="s">
        <v>7902</v>
      </c>
      <c r="G85" s="21" t="s">
        <v>7893</v>
      </c>
    </row>
    <row r="86" customFormat="false" ht="15" hidden="false" customHeight="false" outlineLevel="0" collapsed="false">
      <c r="B86" s="19" t="s">
        <v>7955</v>
      </c>
      <c r="C86" s="20" t="n">
        <f aca="false">ROUND(4.94/FX,2)</f>
        <v>0.69</v>
      </c>
      <c r="D86" s="21" t="s">
        <v>6549</v>
      </c>
      <c r="E86" s="21" t="s">
        <v>734</v>
      </c>
      <c r="F86" s="21" t="s">
        <v>7902</v>
      </c>
      <c r="G86" s="21" t="s">
        <v>7956</v>
      </c>
    </row>
    <row r="87" customFormat="false" ht="15" hidden="false" customHeight="false" outlineLevel="0" collapsed="false">
      <c r="B87" s="19" t="s">
        <v>7957</v>
      </c>
      <c r="C87" s="20" t="n">
        <f aca="false">ROUND(4.94/FX,2)</f>
        <v>0.69</v>
      </c>
      <c r="D87" s="21" t="s">
        <v>6549</v>
      </c>
      <c r="E87" s="21" t="s">
        <v>734</v>
      </c>
      <c r="F87" s="21" t="s">
        <v>7902</v>
      </c>
      <c r="G87" s="21" t="s">
        <v>7895</v>
      </c>
    </row>
    <row r="88" customFormat="false" ht="15" hidden="false" customHeight="false" outlineLevel="0" collapsed="false">
      <c r="B88" s="19" t="s">
        <v>7958</v>
      </c>
      <c r="C88" s="20" t="n">
        <f aca="false">ROUND(4.94/FX,2)</f>
        <v>0.69</v>
      </c>
      <c r="D88" s="21" t="s">
        <v>6549</v>
      </c>
      <c r="E88" s="21" t="s">
        <v>734</v>
      </c>
      <c r="F88" s="21" t="s">
        <v>7902</v>
      </c>
      <c r="G88" s="21" t="s">
        <v>7862</v>
      </c>
    </row>
    <row r="89" customFormat="false" ht="15" hidden="false" customHeight="false" outlineLevel="0" collapsed="false">
      <c r="B89" s="19" t="s">
        <v>7959</v>
      </c>
      <c r="C89" s="20" t="n">
        <f aca="false">ROUND(4.94/FX,2)</f>
        <v>0.69</v>
      </c>
      <c r="D89" s="21" t="s">
        <v>6549</v>
      </c>
      <c r="E89" s="21" t="s">
        <v>734</v>
      </c>
      <c r="F89" s="21" t="s">
        <v>7902</v>
      </c>
      <c r="G89" s="21" t="s">
        <v>7864</v>
      </c>
    </row>
    <row r="90" customFormat="false" ht="15" hidden="false" customHeight="false" outlineLevel="0" collapsed="false">
      <c r="B90" s="19" t="s">
        <v>7960</v>
      </c>
      <c r="C90" s="20" t="n">
        <f aca="false">ROUND(4.94/FX,2)</f>
        <v>0.69</v>
      </c>
      <c r="D90" s="21" t="s">
        <v>6549</v>
      </c>
      <c r="E90" s="21" t="s">
        <v>734</v>
      </c>
      <c r="F90" s="21" t="s">
        <v>7902</v>
      </c>
      <c r="G90" s="21" t="s">
        <v>7961</v>
      </c>
    </row>
    <row r="91" customFormat="false" ht="15" hidden="false" customHeight="false" outlineLevel="0" collapsed="false">
      <c r="B91" s="19" t="s">
        <v>7962</v>
      </c>
      <c r="C91" s="20" t="n">
        <f aca="false">ROUND(5.59/FX,2)</f>
        <v>0.78</v>
      </c>
      <c r="D91" s="21" t="s">
        <v>6549</v>
      </c>
      <c r="E91" s="21" t="s">
        <v>734</v>
      </c>
      <c r="F91" s="21" t="s">
        <v>7902</v>
      </c>
      <c r="G91" s="21" t="s">
        <v>7872</v>
      </c>
    </row>
    <row r="92" customFormat="false" ht="15" hidden="false" customHeight="false" outlineLevel="0" collapsed="false">
      <c r="B92" s="19" t="s">
        <v>7963</v>
      </c>
      <c r="C92" s="20" t="n">
        <f aca="false">ROUND(4.94/FX,2)</f>
        <v>0.69</v>
      </c>
      <c r="D92" s="21" t="s">
        <v>6549</v>
      </c>
      <c r="E92" s="21" t="s">
        <v>734</v>
      </c>
      <c r="F92" s="21" t="s">
        <v>7902</v>
      </c>
      <c r="G92" s="21" t="s">
        <v>7964</v>
      </c>
    </row>
    <row r="93" customFormat="false" ht="15" hidden="false" customHeight="false" outlineLevel="0" collapsed="false">
      <c r="B93" s="19" t="s">
        <v>7965</v>
      </c>
      <c r="C93" s="20" t="n">
        <f aca="false">ROUND(4.29/FX,2)</f>
        <v>0.6</v>
      </c>
      <c r="D93" s="21" t="s">
        <v>6706</v>
      </c>
      <c r="E93" s="21" t="s">
        <v>7941</v>
      </c>
      <c r="F93" s="21" t="s">
        <v>7902</v>
      </c>
      <c r="G93" s="21" t="s">
        <v>7966</v>
      </c>
    </row>
    <row r="94" customFormat="false" ht="15" hidden="false" customHeight="false" outlineLevel="0" collapsed="false">
      <c r="B94" s="19" t="s">
        <v>7967</v>
      </c>
      <c r="C94" s="20" t="n">
        <f aca="false">ROUND(5.59/FX,2)</f>
        <v>0.78</v>
      </c>
      <c r="D94" s="21" t="s">
        <v>6549</v>
      </c>
      <c r="E94" s="21" t="s">
        <v>734</v>
      </c>
      <c r="F94" s="21" t="s">
        <v>7902</v>
      </c>
      <c r="G94" s="21" t="s">
        <v>7968</v>
      </c>
    </row>
    <row r="95" customFormat="false" ht="15" hidden="false" customHeight="false" outlineLevel="0" collapsed="false">
      <c r="B95" s="19" t="s">
        <v>7969</v>
      </c>
      <c r="C95" s="20" t="n">
        <f aca="false">ROUND(4.29/FX,2)</f>
        <v>0.6</v>
      </c>
      <c r="D95" s="21" t="s">
        <v>6549</v>
      </c>
      <c r="E95" s="21" t="s">
        <v>7941</v>
      </c>
      <c r="F95" s="21" t="s">
        <v>7902</v>
      </c>
      <c r="G95" s="21" t="s">
        <v>7899</v>
      </c>
    </row>
    <row r="96" customFormat="false" ht="15" hidden="false" customHeight="false" outlineLevel="0" collapsed="false">
      <c r="B96" s="19" t="s">
        <v>7970</v>
      </c>
      <c r="C96" s="20" t="n">
        <f aca="false">ROUND(4.29/FX,2)</f>
        <v>0.6</v>
      </c>
      <c r="D96" s="21" t="s">
        <v>724</v>
      </c>
      <c r="E96" s="21" t="s">
        <v>7941</v>
      </c>
      <c r="F96" s="21" t="s">
        <v>7902</v>
      </c>
      <c r="G96" s="21" t="s">
        <v>7866</v>
      </c>
    </row>
    <row r="97" customFormat="false" ht="15" hidden="false" customHeight="false" outlineLevel="0" collapsed="false">
      <c r="B97" s="19" t="s">
        <v>7971</v>
      </c>
      <c r="C97" s="20" t="n">
        <f aca="false">ROUND(4.29/FX,2)</f>
        <v>0.6</v>
      </c>
      <c r="D97" s="21" t="s">
        <v>7884</v>
      </c>
      <c r="E97" s="21" t="s">
        <v>7941</v>
      </c>
      <c r="F97" s="21" t="s">
        <v>7902</v>
      </c>
      <c r="G97" s="21" t="s">
        <v>7866</v>
      </c>
    </row>
    <row r="98" customFormat="false" ht="15" hidden="false" customHeight="false" outlineLevel="0" collapsed="false">
      <c r="B98" s="19" t="s">
        <v>7972</v>
      </c>
      <c r="C98" s="20" t="n">
        <f aca="false">ROUND(4.29/FX,2)</f>
        <v>0.6</v>
      </c>
      <c r="D98" s="21" t="s">
        <v>7886</v>
      </c>
      <c r="E98" s="21" t="s">
        <v>7941</v>
      </c>
      <c r="F98" s="21" t="s">
        <v>7902</v>
      </c>
      <c r="G98" s="21" t="s">
        <v>7866</v>
      </c>
    </row>
    <row r="99" customFormat="false" ht="15" hidden="false" customHeight="false" outlineLevel="0" collapsed="false">
      <c r="B99" s="19" t="s">
        <v>7973</v>
      </c>
      <c r="C99" s="20" t="n">
        <f aca="false">ROUND(5.59/FX,2)</f>
        <v>0.78</v>
      </c>
      <c r="D99" s="21" t="s">
        <v>6706</v>
      </c>
      <c r="E99" s="21" t="s">
        <v>7939</v>
      </c>
      <c r="F99" s="21" t="s">
        <v>7902</v>
      </c>
      <c r="G99" s="21" t="s">
        <v>7866</v>
      </c>
    </row>
    <row r="100" customFormat="false" ht="15" hidden="false" customHeight="false" outlineLevel="0" collapsed="false">
      <c r="B100" s="19" t="s">
        <v>7974</v>
      </c>
      <c r="C100" s="20" t="n">
        <f aca="false">ROUND(4.29/FX,2)</f>
        <v>0.6</v>
      </c>
      <c r="D100" s="21" t="s">
        <v>6362</v>
      </c>
      <c r="E100" s="21" t="s">
        <v>7941</v>
      </c>
      <c r="F100" s="21" t="s">
        <v>7902</v>
      </c>
      <c r="G100" s="21" t="s">
        <v>7866</v>
      </c>
    </row>
    <row r="101" customFormat="false" ht="15" hidden="false" customHeight="false" outlineLevel="0" collapsed="false">
      <c r="B101" s="19" t="s">
        <v>7975</v>
      </c>
      <c r="C101" s="20" t="n">
        <f aca="false">ROUND(4.29/FX,2)</f>
        <v>0.6</v>
      </c>
      <c r="D101" s="21" t="s">
        <v>6549</v>
      </c>
      <c r="E101" s="21" t="s">
        <v>7941</v>
      </c>
      <c r="F101" s="21" t="s">
        <v>7902</v>
      </c>
      <c r="G101" s="21" t="s">
        <v>7866</v>
      </c>
    </row>
    <row r="102" customFormat="false" ht="15" hidden="false" customHeight="false" outlineLevel="0" collapsed="false">
      <c r="B102" s="19" t="s">
        <v>7976</v>
      </c>
      <c r="C102" s="20" t="n">
        <f aca="false">ROUND(4.94/FX,2)</f>
        <v>0.69</v>
      </c>
      <c r="D102" s="21" t="s">
        <v>6549</v>
      </c>
      <c r="E102" s="21" t="s">
        <v>734</v>
      </c>
      <c r="F102" s="21" t="s">
        <v>7902</v>
      </c>
      <c r="G102" s="21" t="s">
        <v>7977</v>
      </c>
    </row>
    <row r="103" customFormat="false" ht="15" hidden="false" customHeight="false" outlineLevel="0" collapsed="false">
      <c r="B103" s="19" t="s">
        <v>7978</v>
      </c>
      <c r="C103" s="20" t="n">
        <f aca="false">ROUND(5.2/FX,2)</f>
        <v>0.72</v>
      </c>
      <c r="D103" s="21" t="s">
        <v>6549</v>
      </c>
      <c r="E103" s="21" t="s">
        <v>734</v>
      </c>
      <c r="F103" s="21" t="s">
        <v>7979</v>
      </c>
      <c r="G103" s="21" t="s">
        <v>7916</v>
      </c>
    </row>
    <row r="104" customFormat="false" ht="15" hidden="false" customHeight="false" outlineLevel="0" collapsed="false">
      <c r="B104" s="19" t="s">
        <v>7980</v>
      </c>
      <c r="C104" s="20" t="n">
        <f aca="false">ROUND(4.81/FX,2)</f>
        <v>0.67</v>
      </c>
      <c r="D104" s="21" t="s">
        <v>6549</v>
      </c>
      <c r="E104" s="21" t="s">
        <v>734</v>
      </c>
      <c r="F104" s="21" t="s">
        <v>7979</v>
      </c>
      <c r="G104" s="21" t="s">
        <v>7881</v>
      </c>
    </row>
    <row r="105" customFormat="false" ht="15" hidden="false" customHeight="false" outlineLevel="0" collapsed="false">
      <c r="B105" s="19" t="s">
        <v>7981</v>
      </c>
      <c r="C105" s="20" t="n">
        <f aca="false">ROUND(4.93/FX,2)</f>
        <v>0.68</v>
      </c>
      <c r="D105" s="21" t="s">
        <v>6549</v>
      </c>
      <c r="E105" s="21" t="s">
        <v>734</v>
      </c>
      <c r="F105" s="21" t="s">
        <v>7979</v>
      </c>
      <c r="G105" s="21" t="s">
        <v>7893</v>
      </c>
    </row>
    <row r="106" customFormat="false" ht="15" hidden="false" customHeight="false" outlineLevel="0" collapsed="false">
      <c r="B106" s="19" t="s">
        <v>7982</v>
      </c>
      <c r="C106" s="20" t="n">
        <f aca="false">ROUND(4.81/FX,2)</f>
        <v>0.67</v>
      </c>
      <c r="D106" s="21" t="s">
        <v>6549</v>
      </c>
      <c r="E106" s="21" t="s">
        <v>734</v>
      </c>
      <c r="F106" s="21" t="s">
        <v>7983</v>
      </c>
      <c r="G106" s="21" t="s">
        <v>7875</v>
      </c>
    </row>
    <row r="107" customFormat="false" ht="15" hidden="false" customHeight="false" outlineLevel="0" collapsed="false">
      <c r="B107" s="19" t="s">
        <v>7984</v>
      </c>
      <c r="C107" s="20" t="n">
        <f aca="false">ROUND(6.5/FX,2)</f>
        <v>0.9</v>
      </c>
      <c r="D107" s="21" t="s">
        <v>6549</v>
      </c>
      <c r="E107" s="21" t="s">
        <v>734</v>
      </c>
      <c r="F107" s="21" t="s">
        <v>7983</v>
      </c>
      <c r="G107" s="21" t="s">
        <v>7985</v>
      </c>
    </row>
    <row r="108" customFormat="false" ht="15" hidden="false" customHeight="false" outlineLevel="0" collapsed="false">
      <c r="B108" s="19" t="s">
        <v>7986</v>
      </c>
      <c r="C108" s="20" t="n">
        <f aca="false">ROUND(6.5/FX,2)</f>
        <v>0.9</v>
      </c>
      <c r="D108" s="21" t="s">
        <v>6549</v>
      </c>
      <c r="E108" s="21" t="s">
        <v>734</v>
      </c>
      <c r="F108" s="21" t="s">
        <v>7983</v>
      </c>
      <c r="G108" s="21" t="s">
        <v>7827</v>
      </c>
    </row>
    <row r="109" customFormat="false" ht="15" hidden="false" customHeight="false" outlineLevel="0" collapsed="false">
      <c r="B109" s="19" t="s">
        <v>7987</v>
      </c>
      <c r="C109" s="20" t="n">
        <f aca="false">ROUND(6.5/FX,2)</f>
        <v>0.9</v>
      </c>
      <c r="D109" s="21" t="s">
        <v>6549</v>
      </c>
      <c r="E109" s="21" t="s">
        <v>734</v>
      </c>
      <c r="F109" s="21" t="s">
        <v>7983</v>
      </c>
      <c r="G109" s="21" t="s">
        <v>7933</v>
      </c>
    </row>
    <row r="110" customFormat="false" ht="15" hidden="false" customHeight="false" outlineLevel="0" collapsed="false">
      <c r="B110" s="19" t="s">
        <v>7988</v>
      </c>
      <c r="C110" s="20" t="n">
        <f aca="false">ROUND(6.5/FX,2)</f>
        <v>0.9</v>
      </c>
      <c r="D110" s="21" t="s">
        <v>6549</v>
      </c>
      <c r="E110" s="21" t="s">
        <v>734</v>
      </c>
      <c r="F110" s="21" t="s">
        <v>7983</v>
      </c>
      <c r="G110" s="21" t="s">
        <v>7989</v>
      </c>
    </row>
    <row r="111" customFormat="false" ht="15" hidden="false" customHeight="false" outlineLevel="0" collapsed="false">
      <c r="B111" s="19" t="s">
        <v>7990</v>
      </c>
      <c r="C111" s="20" t="n">
        <f aca="false">ROUND(6.5/FX,2)</f>
        <v>0.9</v>
      </c>
      <c r="D111" s="21" t="s">
        <v>6549</v>
      </c>
      <c r="E111" s="21" t="s">
        <v>734</v>
      </c>
      <c r="F111" s="21" t="s">
        <v>7983</v>
      </c>
      <c r="G111" s="21" t="s">
        <v>7833</v>
      </c>
    </row>
    <row r="112" customFormat="false" ht="15" hidden="false" customHeight="false" outlineLevel="0" collapsed="false">
      <c r="B112" s="19" t="s">
        <v>7991</v>
      </c>
      <c r="C112" s="20" t="n">
        <f aca="false">ROUND(6.5/FX,2)</f>
        <v>0.9</v>
      </c>
      <c r="D112" s="21" t="s">
        <v>6549</v>
      </c>
      <c r="E112" s="21" t="s">
        <v>734</v>
      </c>
      <c r="F112" s="21" t="s">
        <v>7983</v>
      </c>
      <c r="G112" s="21" t="s">
        <v>7992</v>
      </c>
    </row>
    <row r="113" customFormat="false" ht="15" hidden="false" customHeight="false" outlineLevel="0" collapsed="false">
      <c r="B113" s="19" t="s">
        <v>7993</v>
      </c>
      <c r="C113" s="20" t="n">
        <f aca="false">ROUND(6.5/FX,2)</f>
        <v>0.9</v>
      </c>
      <c r="D113" s="21" t="s">
        <v>6549</v>
      </c>
      <c r="E113" s="21" t="s">
        <v>734</v>
      </c>
      <c r="F113" s="21" t="s">
        <v>7983</v>
      </c>
      <c r="G113" s="21" t="s">
        <v>7994</v>
      </c>
    </row>
    <row r="114" customFormat="false" ht="15" hidden="false" customHeight="false" outlineLevel="0" collapsed="false">
      <c r="B114" s="19" t="s">
        <v>7995</v>
      </c>
      <c r="C114" s="20" t="n">
        <f aca="false">ROUND(4.81/FX,2)</f>
        <v>0.67</v>
      </c>
      <c r="D114" s="21" t="s">
        <v>6549</v>
      </c>
      <c r="E114" s="21" t="s">
        <v>734</v>
      </c>
      <c r="F114" s="21" t="s">
        <v>7983</v>
      </c>
      <c r="G114" s="21" t="s">
        <v>7866</v>
      </c>
    </row>
    <row r="115" customFormat="false" ht="15" hidden="false" customHeight="false" outlineLevel="0" collapsed="false">
      <c r="B115" s="19" t="s">
        <v>7996</v>
      </c>
      <c r="C115" s="20" t="n">
        <f aca="false">ROUND(6.5/FX,2)</f>
        <v>0.9</v>
      </c>
      <c r="D115" s="21" t="s">
        <v>6549</v>
      </c>
      <c r="E115" s="21" t="s">
        <v>734</v>
      </c>
      <c r="F115" s="21" t="s">
        <v>7997</v>
      </c>
      <c r="G115" s="21" t="s">
        <v>7875</v>
      </c>
    </row>
    <row r="116" customFormat="false" ht="15" hidden="false" customHeight="false" outlineLevel="0" collapsed="false">
      <c r="B116" s="19" t="s">
        <v>7998</v>
      </c>
      <c r="C116" s="20" t="n">
        <f aca="false">ROUND(6.5/FX,2)</f>
        <v>0.9</v>
      </c>
      <c r="D116" s="21" t="s">
        <v>6549</v>
      </c>
      <c r="E116" s="21" t="s">
        <v>734</v>
      </c>
      <c r="F116" s="21" t="s">
        <v>7997</v>
      </c>
      <c r="G116" s="21" t="s">
        <v>7999</v>
      </c>
    </row>
    <row r="117" customFormat="false" ht="15" hidden="false" customHeight="false" outlineLevel="0" collapsed="false">
      <c r="B117" s="19" t="s">
        <v>8000</v>
      </c>
      <c r="C117" s="20" t="n">
        <f aca="false">ROUND(6.5/FX,2)</f>
        <v>0.9</v>
      </c>
      <c r="D117" s="21" t="s">
        <v>6549</v>
      </c>
      <c r="E117" s="21" t="s">
        <v>734</v>
      </c>
      <c r="F117" s="21" t="s">
        <v>7997</v>
      </c>
      <c r="G117" s="21" t="s">
        <v>7985</v>
      </c>
    </row>
    <row r="118" customFormat="false" ht="15" hidden="false" customHeight="false" outlineLevel="0" collapsed="false">
      <c r="B118" s="19" t="s">
        <v>8001</v>
      </c>
      <c r="C118" s="20" t="n">
        <f aca="false">ROUND(5.85/FX,2)</f>
        <v>0.81</v>
      </c>
      <c r="D118" s="21" t="s">
        <v>6549</v>
      </c>
      <c r="E118" s="21" t="s">
        <v>734</v>
      </c>
      <c r="F118" s="21" t="s">
        <v>7997</v>
      </c>
      <c r="G118" s="21" t="s">
        <v>7881</v>
      </c>
    </row>
    <row r="119" customFormat="false" ht="15" hidden="false" customHeight="false" outlineLevel="0" collapsed="false">
      <c r="B119" s="19" t="s">
        <v>8002</v>
      </c>
      <c r="C119" s="20" t="n">
        <f aca="false">ROUND(6.5/FX,2)</f>
        <v>0.9</v>
      </c>
      <c r="D119" s="21" t="s">
        <v>6549</v>
      </c>
      <c r="E119" s="21" t="s">
        <v>734</v>
      </c>
      <c r="F119" s="21" t="s">
        <v>7997</v>
      </c>
      <c r="G119" s="21" t="s">
        <v>7989</v>
      </c>
    </row>
    <row r="120" customFormat="false" ht="15" hidden="false" customHeight="false" outlineLevel="0" collapsed="false">
      <c r="B120" s="19" t="s">
        <v>8003</v>
      </c>
      <c r="C120" s="20" t="n">
        <f aca="false">ROUND(6.5/FX,2)</f>
        <v>0.9</v>
      </c>
      <c r="D120" s="21" t="s">
        <v>6549</v>
      </c>
      <c r="E120" s="21" t="s">
        <v>734</v>
      </c>
      <c r="F120" s="21" t="s">
        <v>7997</v>
      </c>
      <c r="G120" s="21" t="s">
        <v>7829</v>
      </c>
    </row>
    <row r="121" customFormat="false" ht="15" hidden="false" customHeight="false" outlineLevel="0" collapsed="false">
      <c r="B121" s="19" t="s">
        <v>8004</v>
      </c>
      <c r="C121" s="20" t="n">
        <f aca="false">ROUND(6.5/FX,2)</f>
        <v>0.9</v>
      </c>
      <c r="D121" s="21" t="s">
        <v>6549</v>
      </c>
      <c r="E121" s="21" t="s">
        <v>734</v>
      </c>
      <c r="F121" s="21" t="s">
        <v>7997</v>
      </c>
      <c r="G121" s="21" t="s">
        <v>7833</v>
      </c>
    </row>
    <row r="122" customFormat="false" ht="15" hidden="false" customHeight="false" outlineLevel="0" collapsed="false">
      <c r="B122" s="19" t="s">
        <v>8005</v>
      </c>
      <c r="C122" s="20" t="n">
        <f aca="false">ROUND(6.5/FX,2)</f>
        <v>0.9</v>
      </c>
      <c r="D122" s="21" t="s">
        <v>6549</v>
      </c>
      <c r="E122" s="21" t="s">
        <v>734</v>
      </c>
      <c r="F122" s="21" t="s">
        <v>7997</v>
      </c>
      <c r="G122" s="21" t="s">
        <v>7891</v>
      </c>
    </row>
    <row r="123" customFormat="false" ht="15" hidden="false" customHeight="false" outlineLevel="0" collapsed="false">
      <c r="B123" s="19" t="s">
        <v>8006</v>
      </c>
      <c r="C123" s="20" t="n">
        <f aca="false">ROUND(6.5/FX,2)</f>
        <v>0.9</v>
      </c>
      <c r="D123" s="21" t="s">
        <v>6549</v>
      </c>
      <c r="E123" s="21" t="s">
        <v>734</v>
      </c>
      <c r="F123" s="21" t="s">
        <v>7997</v>
      </c>
      <c r="G123" s="21" t="s">
        <v>7992</v>
      </c>
    </row>
    <row r="124" customFormat="false" ht="15" hidden="false" customHeight="false" outlineLevel="0" collapsed="false">
      <c r="B124" s="19" t="s">
        <v>8007</v>
      </c>
      <c r="C124" s="20" t="n">
        <f aca="false">ROUND(6.5/FX,2)</f>
        <v>0.9</v>
      </c>
      <c r="D124" s="21" t="s">
        <v>6549</v>
      </c>
      <c r="E124" s="21" t="s">
        <v>734</v>
      </c>
      <c r="F124" s="21" t="s">
        <v>7997</v>
      </c>
      <c r="G124" s="21" t="s">
        <v>7860</v>
      </c>
    </row>
    <row r="125" customFormat="false" ht="15" hidden="false" customHeight="false" outlineLevel="0" collapsed="false">
      <c r="B125" s="19" t="s">
        <v>8008</v>
      </c>
      <c r="C125" s="20" t="n">
        <f aca="false">ROUND(6.5/FX,2)</f>
        <v>0.9</v>
      </c>
      <c r="D125" s="21" t="s">
        <v>6549</v>
      </c>
      <c r="E125" s="21" t="s">
        <v>734</v>
      </c>
      <c r="F125" s="21" t="s">
        <v>7997</v>
      </c>
      <c r="G125" s="21" t="s">
        <v>7893</v>
      </c>
    </row>
    <row r="126" customFormat="false" ht="15" hidden="false" customHeight="false" outlineLevel="0" collapsed="false">
      <c r="B126" s="19" t="s">
        <v>8009</v>
      </c>
      <c r="C126" s="20" t="n">
        <f aca="false">ROUND(6.5/FX,2)</f>
        <v>0.9</v>
      </c>
      <c r="D126" s="21" t="s">
        <v>6549</v>
      </c>
      <c r="E126" s="21" t="s">
        <v>734</v>
      </c>
      <c r="F126" s="21" t="s">
        <v>7997</v>
      </c>
      <c r="G126" s="21" t="s">
        <v>8010</v>
      </c>
    </row>
    <row r="127" customFormat="false" ht="15" hidden="false" customHeight="false" outlineLevel="0" collapsed="false">
      <c r="B127" s="19" t="s">
        <v>8011</v>
      </c>
      <c r="C127" s="20" t="n">
        <f aca="false">ROUND(6.5/FX,2)</f>
        <v>0.9</v>
      </c>
      <c r="D127" s="21" t="s">
        <v>6549</v>
      </c>
      <c r="E127" s="21" t="s">
        <v>734</v>
      </c>
      <c r="F127" s="21" t="s">
        <v>7997</v>
      </c>
      <c r="G127" s="21" t="s">
        <v>7895</v>
      </c>
    </row>
    <row r="128" customFormat="false" ht="15" hidden="false" customHeight="false" outlineLevel="0" collapsed="false">
      <c r="B128" s="19" t="s">
        <v>8012</v>
      </c>
      <c r="C128" s="20" t="n">
        <f aca="false">ROUND(5.85/FX,2)</f>
        <v>0.81</v>
      </c>
      <c r="D128" s="21" t="s">
        <v>6549</v>
      </c>
      <c r="E128" s="21" t="s">
        <v>734</v>
      </c>
      <c r="F128" s="21" t="s">
        <v>7997</v>
      </c>
      <c r="G128" s="21" t="s">
        <v>7862</v>
      </c>
    </row>
    <row r="129" customFormat="false" ht="15" hidden="false" customHeight="false" outlineLevel="0" collapsed="false">
      <c r="B129" s="19" t="s">
        <v>8013</v>
      </c>
      <c r="C129" s="20" t="n">
        <f aca="false">ROUND(6.5/FX,2)</f>
        <v>0.9</v>
      </c>
      <c r="D129" s="21" t="s">
        <v>6549</v>
      </c>
      <c r="E129" s="21" t="s">
        <v>734</v>
      </c>
      <c r="F129" s="21" t="s">
        <v>7997</v>
      </c>
      <c r="G129" s="21" t="s">
        <v>7872</v>
      </c>
    </row>
    <row r="130" customFormat="false" ht="15" hidden="false" customHeight="false" outlineLevel="0" collapsed="false">
      <c r="B130" s="19" t="s">
        <v>8014</v>
      </c>
      <c r="C130" s="20" t="n">
        <f aca="false">ROUND(6.5/FX,2)</f>
        <v>0.9</v>
      </c>
      <c r="D130" s="21" t="s">
        <v>6549</v>
      </c>
      <c r="E130" s="21" t="s">
        <v>734</v>
      </c>
      <c r="F130" s="21" t="s">
        <v>7997</v>
      </c>
      <c r="G130" s="21" t="s">
        <v>7899</v>
      </c>
    </row>
    <row r="131" customFormat="false" ht="15" hidden="false" customHeight="false" outlineLevel="0" collapsed="false">
      <c r="B131" s="19" t="s">
        <v>8015</v>
      </c>
      <c r="C131" s="20" t="n">
        <f aca="false">ROUND(6.5/FX,2)</f>
        <v>0.9</v>
      </c>
      <c r="D131" s="21" t="s">
        <v>6549</v>
      </c>
      <c r="E131" s="21" t="s">
        <v>734</v>
      </c>
      <c r="F131" s="21" t="s">
        <v>7997</v>
      </c>
      <c r="G131" s="21" t="s">
        <v>7994</v>
      </c>
    </row>
    <row r="132" customFormat="false" ht="15" hidden="false" customHeight="false" outlineLevel="0" collapsed="false">
      <c r="B132" s="19" t="s">
        <v>8016</v>
      </c>
      <c r="C132" s="20" t="n">
        <f aca="false">ROUND(7.8/FX,2)</f>
        <v>1.08</v>
      </c>
      <c r="D132" s="21" t="s">
        <v>6706</v>
      </c>
      <c r="E132" s="21" t="s">
        <v>734</v>
      </c>
      <c r="F132" s="21" t="s">
        <v>7997</v>
      </c>
      <c r="G132" s="21" t="s">
        <v>8017</v>
      </c>
    </row>
    <row r="133" customFormat="false" ht="15" hidden="false" customHeight="false" outlineLevel="0" collapsed="false">
      <c r="B133" s="19" t="s">
        <v>8018</v>
      </c>
      <c r="C133" s="20" t="n">
        <f aca="false">ROUND(6.5/FX,2)</f>
        <v>0.9</v>
      </c>
      <c r="D133" s="21" t="s">
        <v>6549</v>
      </c>
      <c r="E133" s="21" t="s">
        <v>734</v>
      </c>
      <c r="F133" s="21" t="s">
        <v>7997</v>
      </c>
      <c r="G133" s="21" t="s">
        <v>7866</v>
      </c>
    </row>
    <row r="134" customFormat="false" ht="15" hidden="false" customHeight="false" outlineLevel="0" collapsed="false">
      <c r="B134" s="19" t="s">
        <v>8019</v>
      </c>
      <c r="C134" s="20" t="n">
        <f aca="false">ROUND(6.5/FX,2)</f>
        <v>0.9</v>
      </c>
      <c r="D134" s="21" t="s">
        <v>6549</v>
      </c>
      <c r="E134" s="21" t="s">
        <v>734</v>
      </c>
      <c r="F134" s="21" t="s">
        <v>7997</v>
      </c>
      <c r="G134" s="21" t="s">
        <v>8020</v>
      </c>
    </row>
    <row r="135" customFormat="false" ht="15" hidden="false" customHeight="false" outlineLevel="0" collapsed="false">
      <c r="B135" s="19" t="s">
        <v>8021</v>
      </c>
      <c r="C135" s="20" t="n">
        <f aca="false">ROUND(6.5/FX,2)</f>
        <v>0.9</v>
      </c>
      <c r="D135" s="21" t="s">
        <v>6549</v>
      </c>
      <c r="E135" s="21" t="s">
        <v>734</v>
      </c>
      <c r="F135" s="21" t="s">
        <v>7997</v>
      </c>
      <c r="G135" s="21" t="s">
        <v>8022</v>
      </c>
    </row>
    <row r="136" customFormat="false" ht="15" hidden="false" customHeight="false" outlineLevel="0" collapsed="false">
      <c r="B136" s="19" t="s">
        <v>8023</v>
      </c>
      <c r="C136" s="20" t="n">
        <f aca="false">ROUND(8.44/FX,2)</f>
        <v>1.17</v>
      </c>
      <c r="D136" s="21" t="s">
        <v>6549</v>
      </c>
      <c r="E136" s="21" t="s">
        <v>734</v>
      </c>
      <c r="F136" s="21" t="s">
        <v>8024</v>
      </c>
      <c r="G136" s="21" t="s">
        <v>7875</v>
      </c>
    </row>
    <row r="137" customFormat="false" ht="15" hidden="false" customHeight="false" outlineLevel="0" collapsed="false">
      <c r="B137" s="19" t="s">
        <v>8025</v>
      </c>
      <c r="C137" s="20" t="n">
        <f aca="false">ROUND(8.44/FX,2)</f>
        <v>1.17</v>
      </c>
      <c r="D137" s="21" t="s">
        <v>6549</v>
      </c>
      <c r="E137" s="21" t="s">
        <v>734</v>
      </c>
      <c r="F137" s="21" t="s">
        <v>8024</v>
      </c>
      <c r="G137" s="21" t="s">
        <v>7999</v>
      </c>
    </row>
    <row r="138" customFormat="false" ht="15" hidden="false" customHeight="false" outlineLevel="0" collapsed="false">
      <c r="B138" s="19" t="s">
        <v>8026</v>
      </c>
      <c r="C138" s="20" t="n">
        <f aca="false">ROUND(6.24/FX,2)</f>
        <v>0.87</v>
      </c>
      <c r="D138" s="21" t="s">
        <v>6549</v>
      </c>
      <c r="E138" s="21" t="s">
        <v>8027</v>
      </c>
      <c r="F138" s="21" t="s">
        <v>8024</v>
      </c>
      <c r="G138" s="21" t="s">
        <v>7999</v>
      </c>
    </row>
    <row r="139" customFormat="false" ht="15" hidden="false" customHeight="false" outlineLevel="0" collapsed="false">
      <c r="B139" s="19" t="s">
        <v>8028</v>
      </c>
      <c r="C139" s="20" t="n">
        <f aca="false">ROUND(8.44/FX,2)</f>
        <v>1.17</v>
      </c>
      <c r="D139" s="21" t="s">
        <v>6549</v>
      </c>
      <c r="E139" s="21" t="s">
        <v>734</v>
      </c>
      <c r="F139" s="21" t="s">
        <v>8024</v>
      </c>
      <c r="G139" s="21" t="s">
        <v>7831</v>
      </c>
    </row>
    <row r="140" customFormat="false" ht="15" hidden="false" customHeight="false" outlineLevel="0" collapsed="false">
      <c r="B140" s="19" t="s">
        <v>8029</v>
      </c>
      <c r="C140" s="20" t="n">
        <f aca="false">ROUND(8.44/FX,2)</f>
        <v>1.17</v>
      </c>
      <c r="D140" s="21" t="s">
        <v>6549</v>
      </c>
      <c r="E140" s="21" t="s">
        <v>734</v>
      </c>
      <c r="F140" s="21" t="s">
        <v>8024</v>
      </c>
      <c r="G140" s="21" t="s">
        <v>7833</v>
      </c>
    </row>
    <row r="141" customFormat="false" ht="15" hidden="false" customHeight="false" outlineLevel="0" collapsed="false">
      <c r="B141" s="19" t="s">
        <v>8030</v>
      </c>
      <c r="C141" s="20" t="n">
        <f aca="false">ROUND(8.44/FX,2)</f>
        <v>1.17</v>
      </c>
      <c r="D141" s="21" t="s">
        <v>6549</v>
      </c>
      <c r="E141" s="21" t="s">
        <v>734</v>
      </c>
      <c r="F141" s="21" t="s">
        <v>8024</v>
      </c>
      <c r="G141" s="21" t="s">
        <v>7891</v>
      </c>
    </row>
    <row r="142" customFormat="false" ht="15" hidden="false" customHeight="false" outlineLevel="0" collapsed="false">
      <c r="B142" s="19" t="s">
        <v>8031</v>
      </c>
      <c r="C142" s="20" t="n">
        <f aca="false">ROUND(8.44/FX,2)</f>
        <v>1.17</v>
      </c>
      <c r="D142" s="21" t="s">
        <v>6549</v>
      </c>
      <c r="E142" s="21" t="s">
        <v>734</v>
      </c>
      <c r="F142" s="21" t="s">
        <v>8024</v>
      </c>
      <c r="G142" s="21" t="s">
        <v>7992</v>
      </c>
    </row>
    <row r="143" customFormat="false" ht="15" hidden="false" customHeight="false" outlineLevel="0" collapsed="false">
      <c r="B143" s="19" t="s">
        <v>8032</v>
      </c>
      <c r="C143" s="20" t="n">
        <f aca="false">ROUND(7.8/FX,2)</f>
        <v>1.08</v>
      </c>
      <c r="D143" s="21" t="s">
        <v>6549</v>
      </c>
      <c r="E143" s="21" t="s">
        <v>734</v>
      </c>
      <c r="F143" s="21" t="s">
        <v>8024</v>
      </c>
      <c r="G143" s="21" t="s">
        <v>7860</v>
      </c>
    </row>
    <row r="144" customFormat="false" ht="15" hidden="false" customHeight="false" outlineLevel="0" collapsed="false">
      <c r="B144" s="19" t="s">
        <v>8033</v>
      </c>
      <c r="C144" s="20" t="n">
        <f aca="false">ROUND(8.44/FX,2)</f>
        <v>1.17</v>
      </c>
      <c r="D144" s="21" t="s">
        <v>6549</v>
      </c>
      <c r="E144" s="21" t="s">
        <v>734</v>
      </c>
      <c r="F144" s="21" t="s">
        <v>8024</v>
      </c>
      <c r="G144" s="21" t="s">
        <v>7893</v>
      </c>
    </row>
    <row r="145" customFormat="false" ht="15" hidden="false" customHeight="false" outlineLevel="0" collapsed="false">
      <c r="B145" s="19" t="s">
        <v>8034</v>
      </c>
      <c r="C145" s="20" t="n">
        <f aca="false">ROUND(8.44/FX,2)</f>
        <v>1.17</v>
      </c>
      <c r="D145" s="21" t="s">
        <v>6549</v>
      </c>
      <c r="E145" s="21" t="s">
        <v>734</v>
      </c>
      <c r="F145" s="21" t="s">
        <v>8024</v>
      </c>
      <c r="G145" s="21" t="s">
        <v>8035</v>
      </c>
    </row>
    <row r="146" customFormat="false" ht="15" hidden="false" customHeight="false" outlineLevel="0" collapsed="false">
      <c r="B146" s="19" t="s">
        <v>8036</v>
      </c>
      <c r="C146" s="20" t="n">
        <f aca="false">ROUND(7.8/FX,2)</f>
        <v>1.08</v>
      </c>
      <c r="D146" s="21" t="s">
        <v>6549</v>
      </c>
      <c r="E146" s="21" t="s">
        <v>734</v>
      </c>
      <c r="F146" s="21" t="s">
        <v>8024</v>
      </c>
      <c r="G146" s="21" t="s">
        <v>7862</v>
      </c>
    </row>
    <row r="147" customFormat="false" ht="15" hidden="false" customHeight="false" outlineLevel="0" collapsed="false">
      <c r="B147" s="19" t="s">
        <v>8037</v>
      </c>
      <c r="C147" s="20" t="n">
        <f aca="false">ROUND(8.44/FX,2)</f>
        <v>1.17</v>
      </c>
      <c r="D147" s="21" t="s">
        <v>6549</v>
      </c>
      <c r="E147" s="21" t="s">
        <v>734</v>
      </c>
      <c r="F147" s="21" t="s">
        <v>8024</v>
      </c>
      <c r="G147" s="21" t="s">
        <v>7864</v>
      </c>
    </row>
    <row r="148" customFormat="false" ht="15" hidden="false" customHeight="false" outlineLevel="0" collapsed="false">
      <c r="B148" s="19" t="s">
        <v>8038</v>
      </c>
      <c r="C148" s="20" t="n">
        <f aca="false">ROUND(8.44/FX,2)</f>
        <v>1.17</v>
      </c>
      <c r="D148" s="21" t="s">
        <v>6549</v>
      </c>
      <c r="E148" s="21" t="s">
        <v>734</v>
      </c>
      <c r="F148" s="21" t="s">
        <v>8024</v>
      </c>
      <c r="G148" s="21" t="s">
        <v>7961</v>
      </c>
    </row>
    <row r="149" customFormat="false" ht="15" hidden="false" customHeight="false" outlineLevel="0" collapsed="false">
      <c r="B149" s="19" t="s">
        <v>8039</v>
      </c>
      <c r="C149" s="20" t="n">
        <f aca="false">ROUND(8.44/FX,2)</f>
        <v>1.17</v>
      </c>
      <c r="D149" s="21" t="s">
        <v>6549</v>
      </c>
      <c r="E149" s="21" t="s">
        <v>734</v>
      </c>
      <c r="F149" s="21" t="s">
        <v>8024</v>
      </c>
      <c r="G149" s="21" t="s">
        <v>7872</v>
      </c>
    </row>
    <row r="150" customFormat="false" ht="15" hidden="false" customHeight="false" outlineLevel="0" collapsed="false">
      <c r="B150" s="19" t="s">
        <v>8040</v>
      </c>
      <c r="C150" s="20" t="n">
        <f aca="false">ROUND(8.44/FX,2)</f>
        <v>1.17</v>
      </c>
      <c r="D150" s="21" t="s">
        <v>6549</v>
      </c>
      <c r="E150" s="21" t="s">
        <v>734</v>
      </c>
      <c r="F150" s="21" t="s">
        <v>8024</v>
      </c>
      <c r="G150" s="21" t="s">
        <v>7899</v>
      </c>
    </row>
    <row r="151" customFormat="false" ht="15" hidden="false" customHeight="false" outlineLevel="0" collapsed="false">
      <c r="B151" s="19" t="s">
        <v>8041</v>
      </c>
      <c r="C151" s="20" t="n">
        <f aca="false">ROUND(8.44/FX,2)</f>
        <v>1.17</v>
      </c>
      <c r="D151" s="21" t="s">
        <v>6549</v>
      </c>
      <c r="E151" s="21" t="s">
        <v>734</v>
      </c>
      <c r="F151" s="21" t="s">
        <v>8024</v>
      </c>
      <c r="G151" s="21" t="s">
        <v>7994</v>
      </c>
    </row>
    <row r="152" customFormat="false" ht="15" hidden="false" customHeight="false" outlineLevel="0" collapsed="false">
      <c r="B152" s="19" t="s">
        <v>8042</v>
      </c>
      <c r="C152" s="20" t="n">
        <f aca="false">ROUND(8.44/FX,2)</f>
        <v>1.17</v>
      </c>
      <c r="D152" s="21" t="s">
        <v>6549</v>
      </c>
      <c r="E152" s="21" t="s">
        <v>734</v>
      </c>
      <c r="F152" s="21" t="s">
        <v>8024</v>
      </c>
      <c r="G152" s="21" t="s">
        <v>7866</v>
      </c>
    </row>
    <row r="153" customFormat="false" ht="15" hidden="false" customHeight="false" outlineLevel="0" collapsed="false">
      <c r="B153" s="19" t="s">
        <v>8043</v>
      </c>
      <c r="C153" s="20" t="n">
        <f aca="false">ROUND(10.4/FX,2)</f>
        <v>1.44</v>
      </c>
      <c r="D153" s="21" t="s">
        <v>6549</v>
      </c>
      <c r="E153" s="21" t="s">
        <v>734</v>
      </c>
      <c r="F153" s="21" t="s">
        <v>8044</v>
      </c>
      <c r="G153" s="21" t="s">
        <v>8045</v>
      </c>
    </row>
    <row r="154" customFormat="false" ht="15" hidden="false" customHeight="false" outlineLevel="0" collapsed="false">
      <c r="B154" s="19" t="s">
        <v>8046</v>
      </c>
      <c r="C154" s="20" t="n">
        <f aca="false">ROUND(10.4/FX,2)</f>
        <v>1.44</v>
      </c>
      <c r="D154" s="21" t="s">
        <v>6549</v>
      </c>
      <c r="E154" s="21" t="s">
        <v>734</v>
      </c>
      <c r="F154" s="21" t="s">
        <v>8044</v>
      </c>
      <c r="G154" s="21" t="s">
        <v>8047</v>
      </c>
    </row>
    <row r="155" customFormat="false" ht="15" hidden="false" customHeight="false" outlineLevel="0" collapsed="false">
      <c r="B155" s="19" t="s">
        <v>8048</v>
      </c>
      <c r="C155" s="20" t="n">
        <f aca="false">ROUND(10.4/FX,2)</f>
        <v>1.44</v>
      </c>
      <c r="D155" s="21" t="s">
        <v>6549</v>
      </c>
      <c r="E155" s="21" t="s">
        <v>734</v>
      </c>
      <c r="F155" s="21" t="s">
        <v>8044</v>
      </c>
      <c r="G155" s="21" t="s">
        <v>7989</v>
      </c>
    </row>
    <row r="156" customFormat="false" ht="15" hidden="false" customHeight="false" outlineLevel="0" collapsed="false">
      <c r="B156" s="19" t="s">
        <v>8049</v>
      </c>
      <c r="C156" s="20" t="n">
        <f aca="false">ROUND(10.4/FX,2)</f>
        <v>1.44</v>
      </c>
      <c r="D156" s="21" t="s">
        <v>6549</v>
      </c>
      <c r="E156" s="21" t="s">
        <v>734</v>
      </c>
      <c r="F156" s="21" t="s">
        <v>8044</v>
      </c>
      <c r="G156" s="21" t="s">
        <v>8050</v>
      </c>
    </row>
    <row r="157" customFormat="false" ht="15" hidden="false" customHeight="false" outlineLevel="0" collapsed="false">
      <c r="B157" s="19" t="s">
        <v>8051</v>
      </c>
      <c r="C157" s="20" t="n">
        <f aca="false">ROUND(10.4/FX,2)</f>
        <v>1.44</v>
      </c>
      <c r="D157" s="21" t="s">
        <v>6549</v>
      </c>
      <c r="E157" s="21" t="s">
        <v>734</v>
      </c>
      <c r="F157" s="21" t="s">
        <v>8044</v>
      </c>
      <c r="G157" s="21" t="s">
        <v>7833</v>
      </c>
    </row>
    <row r="158" customFormat="false" ht="15" hidden="false" customHeight="false" outlineLevel="0" collapsed="false">
      <c r="B158" s="19" t="s">
        <v>8052</v>
      </c>
      <c r="C158" s="20" t="n">
        <f aca="false">ROUND(10.4/FX,2)</f>
        <v>1.44</v>
      </c>
      <c r="D158" s="21" t="s">
        <v>6549</v>
      </c>
      <c r="E158" s="21" t="s">
        <v>734</v>
      </c>
      <c r="F158" s="21" t="s">
        <v>8044</v>
      </c>
      <c r="G158" s="21" t="s">
        <v>7992</v>
      </c>
    </row>
    <row r="159" customFormat="false" ht="15" hidden="false" customHeight="false" outlineLevel="0" collapsed="false">
      <c r="B159" s="19" t="s">
        <v>8053</v>
      </c>
      <c r="C159" s="20" t="n">
        <f aca="false">ROUND(10.4/FX,2)</f>
        <v>1.44</v>
      </c>
      <c r="D159" s="21" t="s">
        <v>6549</v>
      </c>
      <c r="E159" s="21" t="s">
        <v>734</v>
      </c>
      <c r="F159" s="21" t="s">
        <v>8044</v>
      </c>
      <c r="G159" s="21" t="s">
        <v>7862</v>
      </c>
    </row>
    <row r="160" customFormat="false" ht="15" hidden="false" customHeight="false" outlineLevel="0" collapsed="false">
      <c r="B160" s="19" t="s">
        <v>8054</v>
      </c>
      <c r="C160" s="20" t="n">
        <f aca="false">ROUND(9.75/FX,2)</f>
        <v>1.35</v>
      </c>
      <c r="D160" s="21" t="s">
        <v>6549</v>
      </c>
      <c r="E160" s="21" t="s">
        <v>734</v>
      </c>
      <c r="F160" s="21" t="s">
        <v>8055</v>
      </c>
      <c r="G160" s="21" t="s">
        <v>7875</v>
      </c>
    </row>
    <row r="161" customFormat="false" ht="15" hidden="false" customHeight="false" outlineLevel="0" collapsed="false">
      <c r="B161" s="19" t="s">
        <v>8056</v>
      </c>
      <c r="C161" s="20" t="n">
        <f aca="false">ROUND(9.75/FX,2)</f>
        <v>1.35</v>
      </c>
      <c r="D161" s="21" t="s">
        <v>6549</v>
      </c>
      <c r="E161" s="21" t="s">
        <v>734</v>
      </c>
      <c r="F161" s="21" t="s">
        <v>8055</v>
      </c>
      <c r="G161" s="21" t="s">
        <v>7999</v>
      </c>
    </row>
    <row r="162" customFormat="false" ht="15" hidden="false" customHeight="false" outlineLevel="0" collapsed="false">
      <c r="B162" s="19" t="s">
        <v>8057</v>
      </c>
      <c r="C162" s="20" t="n">
        <f aca="false">ROUND(10.4/FX,2)</f>
        <v>1.44</v>
      </c>
      <c r="D162" s="21" t="s">
        <v>6549</v>
      </c>
      <c r="E162" s="21" t="s">
        <v>734</v>
      </c>
      <c r="F162" s="21" t="s">
        <v>8055</v>
      </c>
      <c r="G162" s="21" t="s">
        <v>8058</v>
      </c>
    </row>
    <row r="163" customFormat="false" ht="15" hidden="false" customHeight="false" outlineLevel="0" collapsed="false">
      <c r="B163" s="19" t="s">
        <v>8059</v>
      </c>
      <c r="C163" s="20" t="n">
        <f aca="false">ROUND(9.75/FX,2)</f>
        <v>1.35</v>
      </c>
      <c r="D163" s="21" t="s">
        <v>6549</v>
      </c>
      <c r="E163" s="21" t="s">
        <v>734</v>
      </c>
      <c r="F163" s="21" t="s">
        <v>8055</v>
      </c>
      <c r="G163" s="21" t="s">
        <v>8060</v>
      </c>
    </row>
    <row r="164" customFormat="false" ht="15" hidden="false" customHeight="false" outlineLevel="0" collapsed="false">
      <c r="B164" s="19" t="s">
        <v>8061</v>
      </c>
      <c r="C164" s="20" t="n">
        <f aca="false">ROUND(9.75/FX,2)</f>
        <v>1.35</v>
      </c>
      <c r="D164" s="21" t="s">
        <v>6549</v>
      </c>
      <c r="E164" s="21" t="s">
        <v>734</v>
      </c>
      <c r="F164" s="21" t="s">
        <v>8055</v>
      </c>
      <c r="G164" s="21" t="s">
        <v>8062</v>
      </c>
    </row>
    <row r="165" customFormat="false" ht="15" hidden="false" customHeight="false" outlineLevel="0" collapsed="false">
      <c r="B165" s="19" t="s">
        <v>8063</v>
      </c>
      <c r="C165" s="20" t="n">
        <f aca="false">ROUND(9.75/FX,2)</f>
        <v>1.35</v>
      </c>
      <c r="D165" s="21" t="s">
        <v>6549</v>
      </c>
      <c r="E165" s="21" t="s">
        <v>734</v>
      </c>
      <c r="F165" s="21" t="s">
        <v>8055</v>
      </c>
      <c r="G165" s="21" t="s">
        <v>8064</v>
      </c>
    </row>
    <row r="166" customFormat="false" ht="15" hidden="false" customHeight="false" outlineLevel="0" collapsed="false">
      <c r="B166" s="19" t="s">
        <v>8065</v>
      </c>
      <c r="C166" s="20" t="n">
        <f aca="false">ROUND(9.75/FX,2)</f>
        <v>1.35</v>
      </c>
      <c r="D166" s="21" t="s">
        <v>6549</v>
      </c>
      <c r="E166" s="21" t="s">
        <v>734</v>
      </c>
      <c r="F166" s="21" t="s">
        <v>8055</v>
      </c>
      <c r="G166" s="21" t="s">
        <v>8066</v>
      </c>
    </row>
    <row r="167" customFormat="false" ht="15" hidden="false" customHeight="false" outlineLevel="0" collapsed="false">
      <c r="B167" s="19" t="s">
        <v>8067</v>
      </c>
      <c r="C167" s="20" t="n">
        <f aca="false">ROUND(9.75/FX,2)</f>
        <v>1.35</v>
      </c>
      <c r="D167" s="21" t="s">
        <v>6549</v>
      </c>
      <c r="E167" s="21" t="s">
        <v>734</v>
      </c>
      <c r="F167" s="21" t="s">
        <v>8055</v>
      </c>
      <c r="G167" s="21" t="s">
        <v>8068</v>
      </c>
    </row>
    <row r="168" customFormat="false" ht="15" hidden="false" customHeight="false" outlineLevel="0" collapsed="false">
      <c r="B168" s="19" t="s">
        <v>8069</v>
      </c>
      <c r="C168" s="20" t="n">
        <f aca="false">ROUND(9.75/FX,2)</f>
        <v>1.35</v>
      </c>
      <c r="D168" s="21" t="s">
        <v>6549</v>
      </c>
      <c r="E168" s="21" t="s">
        <v>734</v>
      </c>
      <c r="F168" s="21" t="s">
        <v>8055</v>
      </c>
      <c r="G168" s="21" t="s">
        <v>8070</v>
      </c>
    </row>
    <row r="169" customFormat="false" ht="15" hidden="false" customHeight="false" outlineLevel="0" collapsed="false">
      <c r="B169" s="19" t="s">
        <v>8071</v>
      </c>
      <c r="C169" s="20" t="n">
        <f aca="false">ROUND(9.75/FX,2)</f>
        <v>1.35</v>
      </c>
      <c r="D169" s="21" t="s">
        <v>6549</v>
      </c>
      <c r="E169" s="21" t="s">
        <v>734</v>
      </c>
      <c r="F169" s="21" t="s">
        <v>8055</v>
      </c>
      <c r="G169" s="21" t="s">
        <v>8072</v>
      </c>
    </row>
    <row r="170" customFormat="false" ht="15" hidden="false" customHeight="false" outlineLevel="0" collapsed="false">
      <c r="B170" s="19" t="s">
        <v>8073</v>
      </c>
      <c r="C170" s="20" t="n">
        <f aca="false">ROUND(9.75/FX,2)</f>
        <v>1.35</v>
      </c>
      <c r="D170" s="21" t="s">
        <v>6549</v>
      </c>
      <c r="E170" s="21" t="s">
        <v>734</v>
      </c>
      <c r="F170" s="21" t="s">
        <v>8055</v>
      </c>
      <c r="G170" s="21" t="s">
        <v>7985</v>
      </c>
    </row>
    <row r="171" customFormat="false" ht="15" hidden="false" customHeight="false" outlineLevel="0" collapsed="false">
      <c r="B171" s="19" t="s">
        <v>8074</v>
      </c>
      <c r="C171" s="20" t="n">
        <f aca="false">ROUND(9.75/FX,2)</f>
        <v>1.35</v>
      </c>
      <c r="D171" s="21" t="s">
        <v>6549</v>
      </c>
      <c r="E171" s="21" t="s">
        <v>734</v>
      </c>
      <c r="F171" s="21" t="s">
        <v>8055</v>
      </c>
      <c r="G171" s="21" t="s">
        <v>8075</v>
      </c>
    </row>
    <row r="172" customFormat="false" ht="15" hidden="false" customHeight="false" outlineLevel="0" collapsed="false">
      <c r="B172" s="19" t="s">
        <v>8076</v>
      </c>
      <c r="C172" s="20" t="n">
        <f aca="false">ROUND(9.75/FX,2)</f>
        <v>1.35</v>
      </c>
      <c r="D172" s="21" t="s">
        <v>6549</v>
      </c>
      <c r="E172" s="21" t="s">
        <v>734</v>
      </c>
      <c r="F172" s="21" t="s">
        <v>8055</v>
      </c>
      <c r="G172" s="21" t="s">
        <v>8077</v>
      </c>
    </row>
    <row r="173" customFormat="false" ht="15" hidden="false" customHeight="false" outlineLevel="0" collapsed="false">
      <c r="B173" s="19" t="s">
        <v>8078</v>
      </c>
      <c r="C173" s="20" t="n">
        <f aca="false">ROUND(9.75/FX,2)</f>
        <v>1.35</v>
      </c>
      <c r="D173" s="21" t="s">
        <v>6549</v>
      </c>
      <c r="E173" s="21" t="s">
        <v>734</v>
      </c>
      <c r="F173" s="21" t="s">
        <v>8055</v>
      </c>
      <c r="G173" s="21" t="s">
        <v>8079</v>
      </c>
    </row>
    <row r="174" customFormat="false" ht="15" hidden="false" customHeight="false" outlineLevel="0" collapsed="false">
      <c r="B174" s="19" t="s">
        <v>8080</v>
      </c>
      <c r="C174" s="20" t="n">
        <f aca="false">ROUND(9.75/FX,2)</f>
        <v>1.35</v>
      </c>
      <c r="D174" s="21" t="s">
        <v>6549</v>
      </c>
      <c r="E174" s="21" t="s">
        <v>734</v>
      </c>
      <c r="F174" s="21" t="s">
        <v>8055</v>
      </c>
      <c r="G174" s="21" t="s">
        <v>8081</v>
      </c>
    </row>
    <row r="175" customFormat="false" ht="15" hidden="false" customHeight="false" outlineLevel="0" collapsed="false">
      <c r="B175" s="19" t="s">
        <v>8082</v>
      </c>
      <c r="C175" s="20" t="n">
        <f aca="false">ROUND(9.75/FX,2)</f>
        <v>1.35</v>
      </c>
      <c r="D175" s="21" t="s">
        <v>6549</v>
      </c>
      <c r="E175" s="21" t="s">
        <v>734</v>
      </c>
      <c r="F175" s="21" t="s">
        <v>8055</v>
      </c>
      <c r="G175" s="21" t="s">
        <v>8083</v>
      </c>
    </row>
    <row r="176" customFormat="false" ht="15" hidden="false" customHeight="false" outlineLevel="0" collapsed="false">
      <c r="B176" s="19" t="s">
        <v>8084</v>
      </c>
      <c r="C176" s="20" t="n">
        <f aca="false">ROUND(9.75/FX,2)</f>
        <v>1.35</v>
      </c>
      <c r="D176" s="21" t="s">
        <v>6549</v>
      </c>
      <c r="E176" s="21" t="s">
        <v>734</v>
      </c>
      <c r="F176" s="21" t="s">
        <v>8055</v>
      </c>
      <c r="G176" s="21" t="s">
        <v>8085</v>
      </c>
    </row>
    <row r="177" customFormat="false" ht="15" hidden="false" customHeight="false" outlineLevel="0" collapsed="false">
      <c r="B177" s="19" t="s">
        <v>8086</v>
      </c>
      <c r="C177" s="20" t="n">
        <f aca="false">ROUND(9.75/FX,2)</f>
        <v>1.35</v>
      </c>
      <c r="D177" s="21" t="s">
        <v>6549</v>
      </c>
      <c r="E177" s="21" t="s">
        <v>734</v>
      </c>
      <c r="F177" s="21" t="s">
        <v>8055</v>
      </c>
      <c r="G177" s="21" t="s">
        <v>8087</v>
      </c>
    </row>
    <row r="178" customFormat="false" ht="15" hidden="false" customHeight="false" outlineLevel="0" collapsed="false">
      <c r="B178" s="19" t="s">
        <v>8088</v>
      </c>
      <c r="C178" s="20" t="n">
        <f aca="false">ROUND(9.75/FX,2)</f>
        <v>1.35</v>
      </c>
      <c r="D178" s="21" t="s">
        <v>6549</v>
      </c>
      <c r="E178" s="21" t="s">
        <v>734</v>
      </c>
      <c r="F178" s="21" t="s">
        <v>8055</v>
      </c>
      <c r="G178" s="21" t="s">
        <v>8089</v>
      </c>
    </row>
    <row r="179" customFormat="false" ht="15" hidden="false" customHeight="false" outlineLevel="0" collapsed="false">
      <c r="B179" s="19" t="s">
        <v>8090</v>
      </c>
      <c r="C179" s="20" t="n">
        <f aca="false">ROUND(9.75/FX,2)</f>
        <v>1.35</v>
      </c>
      <c r="D179" s="21" t="s">
        <v>6549</v>
      </c>
      <c r="E179" s="21" t="s">
        <v>734</v>
      </c>
      <c r="F179" s="21" t="s">
        <v>8055</v>
      </c>
      <c r="G179" s="21" t="s">
        <v>8047</v>
      </c>
    </row>
    <row r="180" customFormat="false" ht="15" hidden="false" customHeight="false" outlineLevel="0" collapsed="false">
      <c r="B180" s="19" t="s">
        <v>8091</v>
      </c>
      <c r="C180" s="20" t="n">
        <f aca="false">ROUND(9.75/FX,2)</f>
        <v>1.35</v>
      </c>
      <c r="D180" s="21" t="s">
        <v>6549</v>
      </c>
      <c r="E180" s="21" t="s">
        <v>734</v>
      </c>
      <c r="F180" s="21" t="s">
        <v>8055</v>
      </c>
      <c r="G180" s="21" t="s">
        <v>7881</v>
      </c>
    </row>
    <row r="181" customFormat="false" ht="15" hidden="false" customHeight="false" outlineLevel="0" collapsed="false">
      <c r="B181" s="19" t="s">
        <v>8092</v>
      </c>
      <c r="C181" s="20" t="n">
        <f aca="false">ROUND(10.4/FX,2)</f>
        <v>1.44</v>
      </c>
      <c r="D181" s="21" t="s">
        <v>6549</v>
      </c>
      <c r="E181" s="21" t="s">
        <v>734</v>
      </c>
      <c r="F181" s="21" t="s">
        <v>8055</v>
      </c>
      <c r="G181" s="21" t="s">
        <v>7989</v>
      </c>
    </row>
    <row r="182" customFormat="false" ht="15" hidden="false" customHeight="false" outlineLevel="0" collapsed="false">
      <c r="B182" s="19" t="s">
        <v>8093</v>
      </c>
      <c r="C182" s="20" t="n">
        <f aca="false">ROUND(10.4/FX,2)</f>
        <v>1.44</v>
      </c>
      <c r="D182" s="21" t="s">
        <v>6549</v>
      </c>
      <c r="E182" s="21" t="s">
        <v>734</v>
      </c>
      <c r="F182" s="21" t="s">
        <v>8055</v>
      </c>
      <c r="G182" s="21" t="s">
        <v>8094</v>
      </c>
    </row>
    <row r="183" customFormat="false" ht="15" hidden="false" customHeight="false" outlineLevel="0" collapsed="false">
      <c r="B183" s="19" t="s">
        <v>8095</v>
      </c>
      <c r="C183" s="20" t="n">
        <f aca="false">ROUND(10.4/FX,2)</f>
        <v>1.44</v>
      </c>
      <c r="D183" s="21" t="s">
        <v>6549</v>
      </c>
      <c r="E183" s="21" t="s">
        <v>734</v>
      </c>
      <c r="F183" s="21" t="s">
        <v>8055</v>
      </c>
      <c r="G183" s="21" t="s">
        <v>7829</v>
      </c>
    </row>
    <row r="184" customFormat="false" ht="15" hidden="false" customHeight="false" outlineLevel="0" collapsed="false">
      <c r="B184" s="19" t="s">
        <v>8096</v>
      </c>
      <c r="C184" s="20" t="n">
        <f aca="false">ROUND(10.4/FX,2)</f>
        <v>1.44</v>
      </c>
      <c r="D184" s="21" t="s">
        <v>6549</v>
      </c>
      <c r="E184" s="21" t="s">
        <v>734</v>
      </c>
      <c r="F184" s="21" t="s">
        <v>8055</v>
      </c>
      <c r="G184" s="21" t="s">
        <v>7833</v>
      </c>
    </row>
    <row r="185" customFormat="false" ht="15" hidden="false" customHeight="false" outlineLevel="0" collapsed="false">
      <c r="B185" s="19" t="s">
        <v>8097</v>
      </c>
      <c r="C185" s="20" t="n">
        <f aca="false">ROUND(9.75/FX,2)</f>
        <v>1.35</v>
      </c>
      <c r="D185" s="21" t="s">
        <v>6549</v>
      </c>
      <c r="E185" s="21" t="s">
        <v>734</v>
      </c>
      <c r="F185" s="21" t="s">
        <v>8055</v>
      </c>
      <c r="G185" s="21" t="s">
        <v>7891</v>
      </c>
    </row>
    <row r="186" customFormat="false" ht="15" hidden="false" customHeight="false" outlineLevel="0" collapsed="false">
      <c r="B186" s="19" t="s">
        <v>8098</v>
      </c>
      <c r="C186" s="20" t="n">
        <f aca="false">ROUND(9.75/FX,2)</f>
        <v>1.35</v>
      </c>
      <c r="D186" s="21" t="s">
        <v>6549</v>
      </c>
      <c r="E186" s="21" t="s">
        <v>734</v>
      </c>
      <c r="F186" s="21" t="s">
        <v>8055</v>
      </c>
      <c r="G186" s="21" t="s">
        <v>8099</v>
      </c>
    </row>
    <row r="187" customFormat="false" ht="15" hidden="false" customHeight="false" outlineLevel="0" collapsed="false">
      <c r="B187" s="19" t="s">
        <v>8100</v>
      </c>
      <c r="C187" s="20" t="n">
        <f aca="false">ROUND(10.4/FX,2)</f>
        <v>1.44</v>
      </c>
      <c r="D187" s="21" t="s">
        <v>6549</v>
      </c>
      <c r="E187" s="21" t="s">
        <v>734</v>
      </c>
      <c r="F187" s="21" t="s">
        <v>8055</v>
      </c>
      <c r="G187" s="21" t="s">
        <v>8101</v>
      </c>
    </row>
    <row r="188" customFormat="false" ht="15" hidden="false" customHeight="false" outlineLevel="0" collapsed="false">
      <c r="B188" s="19" t="s">
        <v>8102</v>
      </c>
      <c r="C188" s="20" t="n">
        <f aca="false">ROUND(9.75/FX,2)</f>
        <v>1.35</v>
      </c>
      <c r="D188" s="21" t="s">
        <v>6549</v>
      </c>
      <c r="E188" s="21" t="s">
        <v>734</v>
      </c>
      <c r="F188" s="21" t="s">
        <v>8055</v>
      </c>
      <c r="G188" s="21" t="s">
        <v>7893</v>
      </c>
    </row>
    <row r="189" customFormat="false" ht="15" hidden="false" customHeight="false" outlineLevel="0" collapsed="false">
      <c r="B189" s="19" t="s">
        <v>8103</v>
      </c>
      <c r="C189" s="20" t="n">
        <f aca="false">ROUND(10.4/FX,2)</f>
        <v>1.44</v>
      </c>
      <c r="D189" s="21" t="s">
        <v>6549</v>
      </c>
      <c r="E189" s="21" t="s">
        <v>734</v>
      </c>
      <c r="F189" s="21" t="s">
        <v>8055</v>
      </c>
      <c r="G189" s="21" t="s">
        <v>8104</v>
      </c>
    </row>
    <row r="190" customFormat="false" ht="15" hidden="false" customHeight="false" outlineLevel="0" collapsed="false">
      <c r="B190" s="19" t="s">
        <v>8105</v>
      </c>
      <c r="C190" s="20" t="n">
        <f aca="false">ROUND(9.75/FX,2)</f>
        <v>1.35</v>
      </c>
      <c r="D190" s="21" t="s">
        <v>6549</v>
      </c>
      <c r="E190" s="21" t="s">
        <v>734</v>
      </c>
      <c r="F190" s="21" t="s">
        <v>8055</v>
      </c>
      <c r="G190" s="21" t="s">
        <v>7899</v>
      </c>
    </row>
    <row r="191" customFormat="false" ht="15" hidden="false" customHeight="false" outlineLevel="0" collapsed="false">
      <c r="B191" s="19" t="s">
        <v>8106</v>
      </c>
      <c r="C191" s="20" t="n">
        <f aca="false">ROUND(9.75/FX,2)</f>
        <v>1.35</v>
      </c>
      <c r="D191" s="21" t="s">
        <v>6706</v>
      </c>
      <c r="E191" s="21" t="s">
        <v>734</v>
      </c>
      <c r="F191" s="21" t="s">
        <v>8055</v>
      </c>
      <c r="G191" s="21" t="s">
        <v>7994</v>
      </c>
    </row>
    <row r="192" customFormat="false" ht="15" hidden="false" customHeight="false" outlineLevel="0" collapsed="false">
      <c r="B192" s="19" t="s">
        <v>8107</v>
      </c>
      <c r="C192" s="20" t="n">
        <f aca="false">ROUND(9.75/FX,2)</f>
        <v>1.35</v>
      </c>
      <c r="D192" s="21" t="s">
        <v>6698</v>
      </c>
      <c r="E192" s="21" t="s">
        <v>734</v>
      </c>
      <c r="F192" s="21" t="s">
        <v>8055</v>
      </c>
      <c r="G192" s="21" t="s">
        <v>7994</v>
      </c>
    </row>
    <row r="193" customFormat="false" ht="15" hidden="false" customHeight="false" outlineLevel="0" collapsed="false">
      <c r="B193" s="19" t="s">
        <v>8108</v>
      </c>
      <c r="C193" s="20" t="n">
        <f aca="false">ROUND(10.4/FX,2)</f>
        <v>1.44</v>
      </c>
      <c r="D193" s="21" t="s">
        <v>6549</v>
      </c>
      <c r="E193" s="21" t="s">
        <v>734</v>
      </c>
      <c r="F193" s="21" t="s">
        <v>8055</v>
      </c>
      <c r="G193" s="21" t="s">
        <v>8109</v>
      </c>
    </row>
    <row r="194" customFormat="false" ht="15" hidden="false" customHeight="false" outlineLevel="0" collapsed="false">
      <c r="B194" s="19" t="s">
        <v>8110</v>
      </c>
      <c r="C194" s="20" t="n">
        <f aca="false">ROUND(10.4/FX,2)</f>
        <v>1.44</v>
      </c>
      <c r="D194" s="21" t="s">
        <v>6549</v>
      </c>
      <c r="E194" s="21" t="s">
        <v>734</v>
      </c>
      <c r="F194" s="21" t="s">
        <v>8055</v>
      </c>
      <c r="G194" s="21" t="s">
        <v>8017</v>
      </c>
    </row>
    <row r="195" customFormat="false" ht="15" hidden="false" customHeight="false" outlineLevel="0" collapsed="false">
      <c r="B195" s="19" t="s">
        <v>8111</v>
      </c>
      <c r="C195" s="20" t="n">
        <f aca="false">ROUND(10.4/FX,2)</f>
        <v>1.44</v>
      </c>
      <c r="D195" s="21" t="s">
        <v>6549</v>
      </c>
      <c r="E195" s="21" t="s">
        <v>734</v>
      </c>
      <c r="F195" s="21" t="s">
        <v>8055</v>
      </c>
      <c r="G195" s="21" t="s">
        <v>8112</v>
      </c>
    </row>
    <row r="196" customFormat="false" ht="15" hidden="false" customHeight="false" outlineLevel="0" collapsed="false">
      <c r="B196" s="19" t="s">
        <v>8113</v>
      </c>
      <c r="C196" s="20" t="n">
        <f aca="false">ROUND(10.4/FX,2)</f>
        <v>1.44</v>
      </c>
      <c r="D196" s="21" t="s">
        <v>6549</v>
      </c>
      <c r="E196" s="21" t="s">
        <v>734</v>
      </c>
      <c r="F196" s="21" t="s">
        <v>8055</v>
      </c>
      <c r="G196" s="21" t="s">
        <v>8114</v>
      </c>
    </row>
    <row r="197" customFormat="false" ht="15" hidden="false" customHeight="false" outlineLevel="0" collapsed="false">
      <c r="B197" s="19" t="s">
        <v>8115</v>
      </c>
      <c r="C197" s="20" t="n">
        <f aca="false">ROUND(9.75/FX,2)</f>
        <v>1.35</v>
      </c>
      <c r="D197" s="21" t="s">
        <v>6549</v>
      </c>
      <c r="E197" s="21" t="s">
        <v>734</v>
      </c>
      <c r="F197" s="21" t="s">
        <v>8055</v>
      </c>
      <c r="G197" s="21" t="s">
        <v>7866</v>
      </c>
    </row>
    <row r="198" customFormat="false" ht="15" hidden="false" customHeight="false" outlineLevel="0" collapsed="false">
      <c r="B198" s="19" t="s">
        <v>8116</v>
      </c>
      <c r="C198" s="20" t="n">
        <f aca="false">ROUND(10.4/FX,2)</f>
        <v>1.44</v>
      </c>
      <c r="D198" s="21" t="s">
        <v>6549</v>
      </c>
      <c r="E198" s="21" t="s">
        <v>734</v>
      </c>
      <c r="F198" s="21" t="s">
        <v>8055</v>
      </c>
      <c r="G198" s="21" t="s">
        <v>8117</v>
      </c>
    </row>
    <row r="199" customFormat="false" ht="15" hidden="false" customHeight="false" outlineLevel="0" collapsed="false">
      <c r="B199" s="19" t="s">
        <v>8118</v>
      </c>
      <c r="C199" s="20" t="n">
        <f aca="false">ROUND(10.4/FX,2)</f>
        <v>1.44</v>
      </c>
      <c r="D199" s="21" t="s">
        <v>6549</v>
      </c>
      <c r="E199" s="21" t="s">
        <v>734</v>
      </c>
      <c r="F199" s="21" t="s">
        <v>8055</v>
      </c>
      <c r="G199" s="21" t="s">
        <v>8119</v>
      </c>
    </row>
    <row r="200" customFormat="false" ht="15" hidden="false" customHeight="false" outlineLevel="0" collapsed="false">
      <c r="B200" s="19" t="s">
        <v>8120</v>
      </c>
      <c r="C200" s="20" t="n">
        <f aca="false">ROUND(9.75/FX,2)</f>
        <v>1.35</v>
      </c>
      <c r="D200" s="21" t="s">
        <v>6549</v>
      </c>
      <c r="E200" s="21" t="s">
        <v>734</v>
      </c>
      <c r="F200" s="21" t="s">
        <v>8121</v>
      </c>
      <c r="G200" s="21" t="s">
        <v>7875</v>
      </c>
    </row>
    <row r="201" customFormat="false" ht="15" hidden="false" customHeight="false" outlineLevel="0" collapsed="false">
      <c r="B201" s="19" t="s">
        <v>8122</v>
      </c>
      <c r="C201" s="20" t="n">
        <f aca="false">ROUND(9.75/FX,2)</f>
        <v>1.35</v>
      </c>
      <c r="D201" s="21" t="s">
        <v>6549</v>
      </c>
      <c r="E201" s="21" t="s">
        <v>734</v>
      </c>
      <c r="F201" s="21" t="s">
        <v>8121</v>
      </c>
      <c r="G201" s="21" t="s">
        <v>8017</v>
      </c>
    </row>
    <row r="202" customFormat="false" ht="15" hidden="false" customHeight="false" outlineLevel="0" collapsed="false">
      <c r="B202" s="19" t="s">
        <v>8123</v>
      </c>
      <c r="C202" s="20" t="n">
        <f aca="false">ROUND(22.1/FX,2)</f>
        <v>3.07</v>
      </c>
      <c r="D202" s="21" t="s">
        <v>6549</v>
      </c>
      <c r="E202" s="21" t="s">
        <v>734</v>
      </c>
      <c r="F202" s="21" t="s">
        <v>8124</v>
      </c>
      <c r="G202" s="21" t="s">
        <v>8047</v>
      </c>
    </row>
    <row r="203" customFormat="false" ht="15" hidden="false" customHeight="false" outlineLevel="0" collapsed="false">
      <c r="B203" s="19" t="s">
        <v>8125</v>
      </c>
      <c r="C203" s="20" t="n">
        <f aca="false">ROUND(14.3/FX,2)</f>
        <v>1.99</v>
      </c>
      <c r="D203" s="21" t="s">
        <v>6706</v>
      </c>
      <c r="E203" s="21" t="s">
        <v>734</v>
      </c>
      <c r="F203" s="21" t="s">
        <v>8124</v>
      </c>
      <c r="G203" s="21" t="s">
        <v>8126</v>
      </c>
    </row>
    <row r="204" customFormat="false" ht="15" hidden="false" customHeight="false" outlineLevel="0" collapsed="false">
      <c r="B204" s="19" t="s">
        <v>8127</v>
      </c>
      <c r="C204" s="20" t="n">
        <f aca="false">ROUND(22.1/FX,2)</f>
        <v>3.07</v>
      </c>
      <c r="D204" s="21" t="s">
        <v>6549</v>
      </c>
      <c r="E204" s="21" t="s">
        <v>734</v>
      </c>
      <c r="F204" s="21" t="s">
        <v>8124</v>
      </c>
      <c r="G204" s="21" t="s">
        <v>7899</v>
      </c>
    </row>
    <row r="205" customFormat="false" ht="15" hidden="false" customHeight="false" outlineLevel="0" collapsed="false">
      <c r="B205" s="19" t="s">
        <v>8128</v>
      </c>
      <c r="C205" s="20" t="n">
        <f aca="false">ROUND(22.1/FX,2)</f>
        <v>3.07</v>
      </c>
      <c r="D205" s="21" t="s">
        <v>6549</v>
      </c>
      <c r="E205" s="21" t="s">
        <v>734</v>
      </c>
      <c r="F205" s="21" t="s">
        <v>8124</v>
      </c>
      <c r="G205" s="21" t="s">
        <v>7994</v>
      </c>
    </row>
    <row r="206" customFormat="false" ht="15" hidden="false" customHeight="false" outlineLevel="0" collapsed="false">
      <c r="B206" s="19" t="s">
        <v>8129</v>
      </c>
      <c r="C206" s="20" t="n">
        <f aca="false">ROUND(22.1/FX,2)</f>
        <v>3.07</v>
      </c>
      <c r="D206" s="21" t="s">
        <v>6549</v>
      </c>
      <c r="E206" s="21" t="s">
        <v>734</v>
      </c>
      <c r="F206" s="21" t="s">
        <v>8124</v>
      </c>
      <c r="G206" s="21" t="s">
        <v>7866</v>
      </c>
    </row>
    <row r="207" customFormat="false" ht="15" hidden="false" customHeight="false" outlineLevel="0" collapsed="false">
      <c r="B207" s="19" t="s">
        <v>8130</v>
      </c>
      <c r="C207" s="20" t="n">
        <f aca="false">ROUND(14.3/FX,2)</f>
        <v>1.99</v>
      </c>
      <c r="D207" s="21" t="s">
        <v>6549</v>
      </c>
      <c r="E207" s="21" t="s">
        <v>734</v>
      </c>
      <c r="F207" s="21" t="s">
        <v>8131</v>
      </c>
      <c r="G207" s="21" t="s">
        <v>8060</v>
      </c>
    </row>
    <row r="208" customFormat="false" ht="15" hidden="false" customHeight="false" outlineLevel="0" collapsed="false">
      <c r="B208" s="19" t="s">
        <v>8132</v>
      </c>
      <c r="C208" s="20" t="n">
        <f aca="false">ROUND(22.1/FX,2)</f>
        <v>3.07</v>
      </c>
      <c r="D208" s="21" t="s">
        <v>6549</v>
      </c>
      <c r="E208" s="21" t="s">
        <v>734</v>
      </c>
      <c r="F208" s="21" t="s">
        <v>8131</v>
      </c>
      <c r="G208" s="21" t="s">
        <v>8133</v>
      </c>
    </row>
    <row r="209" customFormat="false" ht="15" hidden="false" customHeight="false" outlineLevel="0" collapsed="false">
      <c r="B209" s="19" t="s">
        <v>8134</v>
      </c>
      <c r="C209" s="20" t="n">
        <f aca="false">ROUND(22.1/FX,2)</f>
        <v>3.07</v>
      </c>
      <c r="D209" s="21" t="s">
        <v>6549</v>
      </c>
      <c r="E209" s="21" t="s">
        <v>734</v>
      </c>
      <c r="F209" s="21" t="s">
        <v>8131</v>
      </c>
      <c r="G209" s="21" t="s">
        <v>8077</v>
      </c>
    </row>
    <row r="210" customFormat="false" ht="15" hidden="false" customHeight="false" outlineLevel="0" collapsed="false">
      <c r="B210" s="19" t="s">
        <v>8135</v>
      </c>
      <c r="C210" s="20" t="n">
        <f aca="false">ROUND(22.1/FX,2)</f>
        <v>3.07</v>
      </c>
      <c r="D210" s="21" t="s">
        <v>6549</v>
      </c>
      <c r="E210" s="21" t="s">
        <v>734</v>
      </c>
      <c r="F210" s="21" t="s">
        <v>8131</v>
      </c>
      <c r="G210" s="21" t="s">
        <v>8085</v>
      </c>
    </row>
    <row r="211" customFormat="false" ht="15" hidden="false" customHeight="false" outlineLevel="0" collapsed="false">
      <c r="B211" s="19" t="s">
        <v>8136</v>
      </c>
      <c r="C211" s="20" t="n">
        <f aca="false">ROUND(14.3/FX,2)</f>
        <v>1.99</v>
      </c>
      <c r="D211" s="21" t="s">
        <v>6706</v>
      </c>
      <c r="E211" s="21" t="s">
        <v>734</v>
      </c>
      <c r="F211" s="21" t="s">
        <v>8131</v>
      </c>
      <c r="G211" s="21" t="s">
        <v>8137</v>
      </c>
    </row>
    <row r="212" customFormat="false" ht="15" hidden="false" customHeight="false" outlineLevel="0" collapsed="false">
      <c r="B212" s="19" t="s">
        <v>8138</v>
      </c>
      <c r="C212" s="20" t="n">
        <f aca="false">ROUND(14.3/FX,2)</f>
        <v>1.99</v>
      </c>
      <c r="D212" s="21" t="s">
        <v>6549</v>
      </c>
      <c r="E212" s="21" t="s">
        <v>734</v>
      </c>
      <c r="F212" s="21" t="s">
        <v>8131</v>
      </c>
      <c r="G212" s="21" t="s">
        <v>8139</v>
      </c>
    </row>
    <row r="213" customFormat="false" ht="15" hidden="false" customHeight="false" outlineLevel="0" collapsed="false">
      <c r="B213" s="19" t="s">
        <v>8140</v>
      </c>
      <c r="C213" s="20" t="n">
        <f aca="false">ROUND(22.1/FX,2)</f>
        <v>3.07</v>
      </c>
      <c r="D213" s="21" t="s">
        <v>6549</v>
      </c>
      <c r="E213" s="21" t="s">
        <v>734</v>
      </c>
      <c r="F213" s="21" t="s">
        <v>8131</v>
      </c>
      <c r="G213" s="21" t="s">
        <v>8141</v>
      </c>
    </row>
    <row r="214" customFormat="false" ht="15" hidden="false" customHeight="false" outlineLevel="0" collapsed="false">
      <c r="B214" s="19" t="s">
        <v>8142</v>
      </c>
      <c r="C214" s="20" t="n">
        <f aca="false">ROUND(22.1/FX,2)</f>
        <v>3.07</v>
      </c>
      <c r="D214" s="21" t="s">
        <v>6549</v>
      </c>
      <c r="E214" s="21" t="s">
        <v>734</v>
      </c>
      <c r="F214" s="21" t="s">
        <v>8131</v>
      </c>
      <c r="G214" s="21" t="s">
        <v>8143</v>
      </c>
    </row>
    <row r="215" customFormat="false" ht="15" hidden="false" customHeight="false" outlineLevel="0" collapsed="false">
      <c r="B215" s="19" t="s">
        <v>8144</v>
      </c>
      <c r="C215" s="20" t="n">
        <f aca="false">ROUND(22.1/FX,2)</f>
        <v>3.07</v>
      </c>
      <c r="D215" s="21" t="s">
        <v>6549</v>
      </c>
      <c r="E215" s="21" t="s">
        <v>734</v>
      </c>
      <c r="F215" s="21" t="s">
        <v>8131</v>
      </c>
      <c r="G215" s="21" t="s">
        <v>8145</v>
      </c>
    </row>
    <row r="216" customFormat="false" ht="15" hidden="false" customHeight="false" outlineLevel="0" collapsed="false">
      <c r="B216" s="19" t="s">
        <v>8146</v>
      </c>
      <c r="C216" s="20" t="n">
        <f aca="false">ROUND(22.1/FX,2)</f>
        <v>3.07</v>
      </c>
      <c r="D216" s="21" t="s">
        <v>6549</v>
      </c>
      <c r="E216" s="21" t="s">
        <v>734</v>
      </c>
      <c r="F216" s="21" t="s">
        <v>8131</v>
      </c>
      <c r="G216" s="21" t="s">
        <v>8114</v>
      </c>
    </row>
    <row r="217" customFormat="false" ht="15" hidden="false" customHeight="false" outlineLevel="0" collapsed="false">
      <c r="B217" s="19" t="s">
        <v>8147</v>
      </c>
      <c r="C217" s="20" t="n">
        <f aca="false">ROUND(22.1/FX,2)</f>
        <v>3.07</v>
      </c>
      <c r="D217" s="21" t="s">
        <v>6549</v>
      </c>
      <c r="E217" s="21" t="s">
        <v>734</v>
      </c>
      <c r="F217" s="21" t="s">
        <v>8131</v>
      </c>
      <c r="G217" s="21" t="s">
        <v>8148</v>
      </c>
    </row>
    <row r="218" customFormat="false" ht="15" hidden="false" customHeight="false" outlineLevel="0" collapsed="false">
      <c r="B218" s="19" t="s">
        <v>8149</v>
      </c>
      <c r="C218" s="20" t="n">
        <f aca="false">ROUND(14.3/FX,2)</f>
        <v>1.99</v>
      </c>
      <c r="D218" s="21" t="s">
        <v>6549</v>
      </c>
      <c r="E218" s="21" t="s">
        <v>734</v>
      </c>
      <c r="F218" s="21" t="s">
        <v>8131</v>
      </c>
      <c r="G218" s="21" t="s">
        <v>7866</v>
      </c>
    </row>
    <row r="219" customFormat="false" ht="15" hidden="false" customHeight="false" outlineLevel="0" collapsed="false">
      <c r="B219" s="19" t="s">
        <v>8150</v>
      </c>
      <c r="C219" s="20" t="n">
        <f aca="false">ROUND(16.9/FX,2)</f>
        <v>2.35</v>
      </c>
      <c r="D219" s="21" t="s">
        <v>6549</v>
      </c>
      <c r="E219" s="21" t="s">
        <v>734</v>
      </c>
      <c r="F219" s="21" t="s">
        <v>8151</v>
      </c>
      <c r="G219" s="21" t="s">
        <v>8152</v>
      </c>
    </row>
    <row r="220" customFormat="false" ht="15" hidden="false" customHeight="false" outlineLevel="0" collapsed="false">
      <c r="B220" s="19" t="s">
        <v>8153</v>
      </c>
      <c r="C220" s="20" t="n">
        <f aca="false">ROUND(22.1/FX,2)</f>
        <v>3.07</v>
      </c>
      <c r="D220" s="21" t="s">
        <v>6549</v>
      </c>
      <c r="E220" s="21" t="s">
        <v>734</v>
      </c>
      <c r="F220" s="21" t="s">
        <v>8151</v>
      </c>
      <c r="G220" s="21" t="s">
        <v>8154</v>
      </c>
    </row>
    <row r="221" customFormat="false" ht="15" hidden="false" customHeight="false" outlineLevel="0" collapsed="false">
      <c r="B221" s="19" t="s">
        <v>8155</v>
      </c>
      <c r="C221" s="20" t="n">
        <f aca="false">ROUND(22.1/FX,2)</f>
        <v>3.07</v>
      </c>
      <c r="D221" s="21" t="s">
        <v>6549</v>
      </c>
      <c r="E221" s="21" t="s">
        <v>734</v>
      </c>
      <c r="F221" s="21" t="s">
        <v>8151</v>
      </c>
      <c r="G221" s="21" t="s">
        <v>8087</v>
      </c>
    </row>
    <row r="222" customFormat="false" ht="15" hidden="false" customHeight="false" outlineLevel="0" collapsed="false">
      <c r="B222" s="19" t="s">
        <v>8156</v>
      </c>
      <c r="C222" s="20" t="n">
        <f aca="false">ROUND(22.1/FX,2)</f>
        <v>3.07</v>
      </c>
      <c r="D222" s="21" t="s">
        <v>6549</v>
      </c>
      <c r="E222" s="21" t="s">
        <v>734</v>
      </c>
      <c r="F222" s="21" t="s">
        <v>8151</v>
      </c>
      <c r="G222" s="21" t="s">
        <v>8047</v>
      </c>
    </row>
    <row r="223" customFormat="false" ht="15" hidden="false" customHeight="false" outlineLevel="0" collapsed="false">
      <c r="B223" s="19" t="s">
        <v>8157</v>
      </c>
      <c r="C223" s="20" t="n">
        <f aca="false">ROUND(22.1/FX,2)</f>
        <v>3.07</v>
      </c>
      <c r="D223" s="21" t="s">
        <v>6549</v>
      </c>
      <c r="E223" s="21" t="s">
        <v>734</v>
      </c>
      <c r="F223" s="21" t="s">
        <v>8151</v>
      </c>
      <c r="G223" s="21" t="s">
        <v>8158</v>
      </c>
    </row>
    <row r="224" customFormat="false" ht="15" hidden="false" customHeight="false" outlineLevel="0" collapsed="false">
      <c r="B224" s="19" t="s">
        <v>8159</v>
      </c>
      <c r="C224" s="20" t="n">
        <f aca="false">ROUND(18.2/FX,2)</f>
        <v>2.53</v>
      </c>
      <c r="D224" s="21" t="s">
        <v>6549</v>
      </c>
      <c r="E224" s="21" t="s">
        <v>8160</v>
      </c>
      <c r="F224" s="21" t="s">
        <v>8151</v>
      </c>
      <c r="G224" s="21" t="s">
        <v>8145</v>
      </c>
    </row>
    <row r="225" customFormat="false" ht="15" hidden="false" customHeight="false" outlineLevel="0" collapsed="false">
      <c r="B225" s="19" t="s">
        <v>8161</v>
      </c>
      <c r="C225" s="20" t="n">
        <f aca="false">ROUND(22.1/FX,2)</f>
        <v>3.07</v>
      </c>
      <c r="D225" s="21" t="s">
        <v>6549</v>
      </c>
      <c r="E225" s="21" t="s">
        <v>734</v>
      </c>
      <c r="F225" s="21" t="s">
        <v>8162</v>
      </c>
      <c r="G225" s="21" t="s">
        <v>8083</v>
      </c>
    </row>
    <row r="226" customFormat="false" ht="15" hidden="false" customHeight="false" outlineLevel="0" collapsed="false">
      <c r="B226" s="19" t="s">
        <v>8163</v>
      </c>
      <c r="C226" s="20" t="n">
        <f aca="false">ROUND(22.1/FX,2)</f>
        <v>3.07</v>
      </c>
      <c r="D226" s="21" t="s">
        <v>6549</v>
      </c>
      <c r="E226" s="21" t="s">
        <v>734</v>
      </c>
      <c r="F226" s="21" t="s">
        <v>8162</v>
      </c>
      <c r="G226" s="21" t="s">
        <v>7994</v>
      </c>
    </row>
    <row r="227" customFormat="false" ht="15" hidden="false" customHeight="false" outlineLevel="0" collapsed="false">
      <c r="B227" s="19" t="s">
        <v>8164</v>
      </c>
      <c r="C227" s="20" t="n">
        <f aca="false">ROUND(45.5/FX,2)</f>
        <v>6.32</v>
      </c>
      <c r="D227" s="21" t="s">
        <v>6549</v>
      </c>
      <c r="E227" s="21" t="s">
        <v>734</v>
      </c>
      <c r="F227" s="21" t="s">
        <v>8165</v>
      </c>
      <c r="G227" s="21" t="s">
        <v>7977</v>
      </c>
    </row>
    <row r="230" customFormat="false" ht="61.5" hidden="false" customHeight="true" outlineLevel="0" collapsed="false">
      <c r="A230" s="9"/>
      <c r="B230" s="10" t="s">
        <v>8166</v>
      </c>
      <c r="C230" s="10"/>
      <c r="D230" s="10"/>
      <c r="E230" s="10"/>
      <c r="F230" s="10"/>
      <c r="G230" s="10"/>
      <c r="H230" s="10"/>
      <c r="I230" s="10"/>
    </row>
    <row r="231" customFormat="false" ht="15" hidden="false" customHeight="false" outlineLevel="0" collapsed="false">
      <c r="A231" s="12" t="s">
        <v>700</v>
      </c>
      <c r="B231" s="13" t="s">
        <v>701</v>
      </c>
      <c r="C231" s="13" t="s">
        <v>702</v>
      </c>
      <c r="D231" s="13" t="s">
        <v>722</v>
      </c>
      <c r="E231" s="13" t="s">
        <v>704</v>
      </c>
      <c r="F231" s="13" t="s">
        <v>723</v>
      </c>
      <c r="G231" s="13" t="s">
        <v>6523</v>
      </c>
      <c r="H231" s="13" t="s">
        <v>8167</v>
      </c>
      <c r="I231" s="13" t="s">
        <v>7711</v>
      </c>
    </row>
    <row r="232" customFormat="false" ht="30" hidden="false" customHeight="true" outlineLevel="0" collapsed="false">
      <c r="A232" s="14" t="s">
        <v>706</v>
      </c>
      <c r="B232" s="15" t="str">
        <f aca="false">IF(COUNTIFS($D$235:$D$1100,IF(D232="","*",D232),$E$235:$E$1100,IF(E232="","*",E232),$F$235:$F$1100,IF(F232="","*",F232),$G$235:$G$1100,IF(G232="","*",G232),$H$235:$H$1100,IF(H232="","*",H232),$I$235:$I$1100,IF(I232="","*",I232))=1,INDEX($B:$B,SUMPRODUCT(((D232="")+($D$235:$D$1100=D232)&gt;0)*((E232="")+($E$235:$E$1100=E232)&gt;0)*((F232="")+($F$235:$F$1100=F232)&gt;0)*((G232="")+($G$235:$G$1100=G232)&gt;0)*((H232="")+($H$235:$H$1100=H232)&gt;0)*((I232="")+($I$235:$I$1100=I232)&gt;0)*ROW($B$235:$B$1100))),IF(COUNTIFS($D$235:$D$1100,IF(D232="","*",D232),$E$235:$E$1100,IF(E232="","*",E232),$F$235:$F$1100,IF(F232="","*",F232),$G$235:$G$1100,IF(G232="","*",G232),$H$235:$H$1100,IF(H232="","*",H232),$I$235:$I$1100,IF(I232="","*",I232))=0,"Not available",COUNTIFS($D$235:$D$1100,IF(D232="","*",D232),$E$235:$E$1100,IF(E232="","*",E232),$F$235:$F$1100,IF(F232="","*",F232),$G$235:$G$1100,IF(G232="","*",G232),$H$235:$H$1100,IF(H232="","*",H232),$I$235:$I$1100,IF(I232="","*",I232))&amp;" match, keep choosing"))</f>
        <v>XBQ-D20L25-10.5x10.5-SV</v>
      </c>
      <c r="C232" s="16" t="n">
        <f aca="false">IF(COUNTIFS($D$235:$D$1100,IF(D232="","*",D232),$E$235:$E$1100,IF(E232="","*",E232),$F$235:$F$1100,IF(F232="","*",F232),$G$235:$G$1100,IF(G232="","*",G232),$H$235:$H$1100,IF(H232="","*",H232),$I$235:$I$1100,IF(I232="","*",I232))=1,INDEX($C:$C,SUMPRODUCT(((D232="")+($D$235:$D$1100=D232)&gt;0)*((E232="")+($E$235:$E$1100=E232)&gt;0)*((F232="")+($F$235:$F$1100=F232)&gt;0)*((G232="")+($G$235:$G$1100=G232)&gt;0)*((H232="")+($H$235:$H$1100=H232)&gt;0)*((I232="")+($I$235:$I$1100=I232)&gt;0)*ROW($B$235:$B$1100))),"")</f>
        <v>1.26</v>
      </c>
      <c r="D232" s="17" t="s">
        <v>6549</v>
      </c>
      <c r="E232" s="17" t="s">
        <v>8168</v>
      </c>
      <c r="F232" s="17" t="s">
        <v>734</v>
      </c>
      <c r="G232" s="17" t="s">
        <v>7902</v>
      </c>
      <c r="H232" s="17" t="s">
        <v>8169</v>
      </c>
      <c r="I232" s="17" t="s">
        <v>8170</v>
      </c>
    </row>
    <row r="234" customFormat="false" ht="15" hidden="false" customHeight="false" outlineLevel="0" collapsed="false">
      <c r="B234" s="18" t="s">
        <v>701</v>
      </c>
      <c r="C234" s="18" t="s">
        <v>702</v>
      </c>
      <c r="D234" s="18" t="s">
        <v>722</v>
      </c>
      <c r="E234" s="18" t="s">
        <v>704</v>
      </c>
      <c r="F234" s="18" t="s">
        <v>723</v>
      </c>
      <c r="G234" s="18" t="s">
        <v>6523</v>
      </c>
      <c r="H234" s="18" t="s">
        <v>8167</v>
      </c>
      <c r="I234" s="18" t="s">
        <v>7711</v>
      </c>
    </row>
    <row r="235" customFormat="false" ht="15" hidden="false" customHeight="false" outlineLevel="0" collapsed="false">
      <c r="B235" s="19" t="s">
        <v>8171</v>
      </c>
      <c r="C235" s="20" t="n">
        <f aca="false">ROUND(9.1/FX,2)</f>
        <v>1.26</v>
      </c>
      <c r="D235" s="21" t="s">
        <v>6549</v>
      </c>
      <c r="E235" s="21" t="s">
        <v>8168</v>
      </c>
      <c r="F235" s="21" t="s">
        <v>734</v>
      </c>
      <c r="G235" s="21" t="s">
        <v>7902</v>
      </c>
      <c r="H235" s="21" t="s">
        <v>8169</v>
      </c>
      <c r="I235" s="21" t="s">
        <v>8170</v>
      </c>
    </row>
    <row r="236" customFormat="false" ht="15" hidden="false" customHeight="false" outlineLevel="0" collapsed="false">
      <c r="B236" s="19" t="s">
        <v>8172</v>
      </c>
      <c r="C236" s="20" t="n">
        <f aca="false">ROUND(9.1/FX,2)</f>
        <v>1.26</v>
      </c>
      <c r="D236" s="21" t="s">
        <v>6549</v>
      </c>
      <c r="E236" s="21" t="s">
        <v>8168</v>
      </c>
      <c r="F236" s="21" t="s">
        <v>734</v>
      </c>
      <c r="G236" s="21" t="s">
        <v>7902</v>
      </c>
      <c r="H236" s="21" t="s">
        <v>8173</v>
      </c>
      <c r="I236" s="21" t="s">
        <v>8170</v>
      </c>
    </row>
    <row r="237" customFormat="false" ht="15" hidden="false" customHeight="false" outlineLevel="0" collapsed="false">
      <c r="B237" s="19" t="s">
        <v>8174</v>
      </c>
      <c r="C237" s="20" t="n">
        <f aca="false">ROUND(9.75/FX,2)</f>
        <v>1.35</v>
      </c>
      <c r="D237" s="21" t="s">
        <v>724</v>
      </c>
      <c r="E237" s="21" t="s">
        <v>8168</v>
      </c>
      <c r="F237" s="21" t="s">
        <v>734</v>
      </c>
      <c r="G237" s="21" t="s">
        <v>7902</v>
      </c>
      <c r="H237" s="21" t="s">
        <v>8173</v>
      </c>
      <c r="I237" s="21" t="s">
        <v>7875</v>
      </c>
    </row>
    <row r="238" customFormat="false" ht="15" hidden="false" customHeight="false" outlineLevel="0" collapsed="false">
      <c r="B238" s="19" t="s">
        <v>8175</v>
      </c>
      <c r="C238" s="20" t="n">
        <f aca="false">ROUND(9.75/FX,2)</f>
        <v>1.35</v>
      </c>
      <c r="D238" s="21" t="s">
        <v>724</v>
      </c>
      <c r="E238" s="21" t="s">
        <v>8168</v>
      </c>
      <c r="F238" s="21" t="s">
        <v>734</v>
      </c>
      <c r="G238" s="21" t="s">
        <v>7902</v>
      </c>
      <c r="H238" s="21" t="s">
        <v>8176</v>
      </c>
      <c r="I238" s="21" t="s">
        <v>7875</v>
      </c>
    </row>
    <row r="239" customFormat="false" ht="15" hidden="false" customHeight="false" outlineLevel="0" collapsed="false">
      <c r="B239" s="19" t="s">
        <v>8177</v>
      </c>
      <c r="C239" s="20" t="n">
        <f aca="false">ROUND(7.8/FX,2)</f>
        <v>1.08</v>
      </c>
      <c r="D239" s="21" t="s">
        <v>6549</v>
      </c>
      <c r="E239" s="21" t="s">
        <v>8168</v>
      </c>
      <c r="F239" s="21" t="s">
        <v>734</v>
      </c>
      <c r="G239" s="21" t="s">
        <v>7902</v>
      </c>
      <c r="H239" s="21" t="s">
        <v>8169</v>
      </c>
      <c r="I239" s="21" t="s">
        <v>7875</v>
      </c>
    </row>
    <row r="240" customFormat="false" ht="15" hidden="false" customHeight="false" outlineLevel="0" collapsed="false">
      <c r="B240" s="19" t="s">
        <v>8178</v>
      </c>
      <c r="C240" s="20" t="n">
        <f aca="false">ROUND(9.1/FX,2)</f>
        <v>1.26</v>
      </c>
      <c r="D240" s="21" t="s">
        <v>6549</v>
      </c>
      <c r="E240" s="21" t="s">
        <v>8168</v>
      </c>
      <c r="F240" s="21" t="s">
        <v>734</v>
      </c>
      <c r="G240" s="21" t="s">
        <v>7902</v>
      </c>
      <c r="H240" s="21" t="s">
        <v>8173</v>
      </c>
      <c r="I240" s="21" t="s">
        <v>7875</v>
      </c>
    </row>
    <row r="241" customFormat="false" ht="15" hidden="false" customHeight="false" outlineLevel="0" collapsed="false">
      <c r="B241" s="19" t="s">
        <v>8179</v>
      </c>
      <c r="C241" s="20" t="n">
        <f aca="false">ROUND(9.1/FX,2)</f>
        <v>1.26</v>
      </c>
      <c r="D241" s="21" t="s">
        <v>6549</v>
      </c>
      <c r="E241" s="21" t="s">
        <v>8168</v>
      </c>
      <c r="F241" s="21" t="s">
        <v>734</v>
      </c>
      <c r="G241" s="21" t="s">
        <v>7902</v>
      </c>
      <c r="H241" s="21" t="s">
        <v>8169</v>
      </c>
      <c r="I241" s="21" t="s">
        <v>8180</v>
      </c>
    </row>
    <row r="242" customFormat="false" ht="15" hidden="false" customHeight="false" outlineLevel="0" collapsed="false">
      <c r="B242" s="19" t="s">
        <v>8181</v>
      </c>
      <c r="C242" s="20" t="n">
        <f aca="false">ROUND(9.1/FX,2)</f>
        <v>1.26</v>
      </c>
      <c r="D242" s="21" t="s">
        <v>6549</v>
      </c>
      <c r="E242" s="21" t="s">
        <v>8168</v>
      </c>
      <c r="F242" s="21" t="s">
        <v>734</v>
      </c>
      <c r="G242" s="21" t="s">
        <v>7902</v>
      </c>
      <c r="H242" s="21" t="s">
        <v>8173</v>
      </c>
      <c r="I242" s="21" t="s">
        <v>8180</v>
      </c>
    </row>
    <row r="243" customFormat="false" ht="15" hidden="false" customHeight="false" outlineLevel="0" collapsed="false">
      <c r="B243" s="19" t="s">
        <v>8182</v>
      </c>
      <c r="C243" s="20" t="n">
        <f aca="false">ROUND(9.1/FX,2)</f>
        <v>1.26</v>
      </c>
      <c r="D243" s="21" t="s">
        <v>6549</v>
      </c>
      <c r="E243" s="21" t="s">
        <v>8168</v>
      </c>
      <c r="F243" s="21" t="s">
        <v>734</v>
      </c>
      <c r="G243" s="21" t="s">
        <v>7902</v>
      </c>
      <c r="H243" s="21" t="s">
        <v>8169</v>
      </c>
      <c r="I243" s="21" t="s">
        <v>7910</v>
      </c>
    </row>
    <row r="244" customFormat="false" ht="15" hidden="false" customHeight="false" outlineLevel="0" collapsed="false">
      <c r="B244" s="19" t="s">
        <v>8183</v>
      </c>
      <c r="C244" s="20" t="n">
        <f aca="false">ROUND(9.1/FX,2)</f>
        <v>1.26</v>
      </c>
      <c r="D244" s="21" t="s">
        <v>6549</v>
      </c>
      <c r="E244" s="21" t="s">
        <v>8168</v>
      </c>
      <c r="F244" s="21" t="s">
        <v>734</v>
      </c>
      <c r="G244" s="21" t="s">
        <v>7902</v>
      </c>
      <c r="H244" s="21" t="s">
        <v>8173</v>
      </c>
      <c r="I244" s="21" t="s">
        <v>7910</v>
      </c>
    </row>
    <row r="245" customFormat="false" ht="15" hidden="false" customHeight="false" outlineLevel="0" collapsed="false">
      <c r="B245" s="19" t="s">
        <v>8184</v>
      </c>
      <c r="C245" s="20" t="n">
        <f aca="false">ROUND(9.1/FX,2)</f>
        <v>1.26</v>
      </c>
      <c r="D245" s="21" t="s">
        <v>6549</v>
      </c>
      <c r="E245" s="21" t="s">
        <v>8168</v>
      </c>
      <c r="F245" s="21" t="s">
        <v>734</v>
      </c>
      <c r="G245" s="21" t="s">
        <v>7902</v>
      </c>
      <c r="H245" s="21" t="s">
        <v>8169</v>
      </c>
      <c r="I245" s="21" t="s">
        <v>8185</v>
      </c>
    </row>
    <row r="246" customFormat="false" ht="15" hidden="false" customHeight="false" outlineLevel="0" collapsed="false">
      <c r="B246" s="19" t="s">
        <v>8186</v>
      </c>
      <c r="C246" s="20" t="n">
        <f aca="false">ROUND(9.1/FX,2)</f>
        <v>1.26</v>
      </c>
      <c r="D246" s="21" t="s">
        <v>6549</v>
      </c>
      <c r="E246" s="21" t="s">
        <v>8168</v>
      </c>
      <c r="F246" s="21" t="s">
        <v>734</v>
      </c>
      <c r="G246" s="21" t="s">
        <v>7902</v>
      </c>
      <c r="H246" s="21" t="s">
        <v>8173</v>
      </c>
      <c r="I246" s="21" t="s">
        <v>8185</v>
      </c>
    </row>
    <row r="247" customFormat="false" ht="15" hidden="false" customHeight="false" outlineLevel="0" collapsed="false">
      <c r="B247" s="19" t="s">
        <v>8187</v>
      </c>
      <c r="C247" s="20" t="n">
        <f aca="false">ROUND(9.1/FX,2)</f>
        <v>1.26</v>
      </c>
      <c r="D247" s="21" t="s">
        <v>6549</v>
      </c>
      <c r="E247" s="21" t="s">
        <v>8168</v>
      </c>
      <c r="F247" s="21" t="s">
        <v>734</v>
      </c>
      <c r="G247" s="21" t="s">
        <v>7902</v>
      </c>
      <c r="H247" s="21" t="s">
        <v>8169</v>
      </c>
      <c r="I247" s="21" t="s">
        <v>8188</v>
      </c>
    </row>
    <row r="248" customFormat="false" ht="15" hidden="false" customHeight="false" outlineLevel="0" collapsed="false">
      <c r="B248" s="19" t="s">
        <v>8189</v>
      </c>
      <c r="C248" s="20" t="n">
        <f aca="false">ROUND(9.1/FX,2)</f>
        <v>1.26</v>
      </c>
      <c r="D248" s="21" t="s">
        <v>6549</v>
      </c>
      <c r="E248" s="21" t="s">
        <v>8168</v>
      </c>
      <c r="F248" s="21" t="s">
        <v>734</v>
      </c>
      <c r="G248" s="21" t="s">
        <v>7902</v>
      </c>
      <c r="H248" s="21" t="s">
        <v>8173</v>
      </c>
      <c r="I248" s="21" t="s">
        <v>8188</v>
      </c>
    </row>
    <row r="249" customFormat="false" ht="15" hidden="false" customHeight="false" outlineLevel="0" collapsed="false">
      <c r="B249" s="19" t="s">
        <v>8190</v>
      </c>
      <c r="C249" s="20" t="n">
        <f aca="false">ROUND(9.1/FX,2)</f>
        <v>1.26</v>
      </c>
      <c r="D249" s="21" t="s">
        <v>6549</v>
      </c>
      <c r="E249" s="21" t="s">
        <v>8168</v>
      </c>
      <c r="F249" s="21" t="s">
        <v>734</v>
      </c>
      <c r="G249" s="21" t="s">
        <v>7902</v>
      </c>
      <c r="H249" s="21" t="s">
        <v>8169</v>
      </c>
      <c r="I249" s="21" t="s">
        <v>7912</v>
      </c>
    </row>
    <row r="250" customFormat="false" ht="15" hidden="false" customHeight="false" outlineLevel="0" collapsed="false">
      <c r="B250" s="19" t="s">
        <v>8191</v>
      </c>
      <c r="C250" s="20" t="n">
        <f aca="false">ROUND(9.1/FX,2)</f>
        <v>1.26</v>
      </c>
      <c r="D250" s="21" t="s">
        <v>6549</v>
      </c>
      <c r="E250" s="21" t="s">
        <v>8168</v>
      </c>
      <c r="F250" s="21" t="s">
        <v>734</v>
      </c>
      <c r="G250" s="21" t="s">
        <v>7902</v>
      </c>
      <c r="H250" s="21" t="s">
        <v>8173</v>
      </c>
      <c r="I250" s="21" t="s">
        <v>7912</v>
      </c>
    </row>
    <row r="251" customFormat="false" ht="15" hidden="false" customHeight="false" outlineLevel="0" collapsed="false">
      <c r="B251" s="19" t="s">
        <v>8192</v>
      </c>
      <c r="C251" s="20" t="n">
        <f aca="false">ROUND(9.1/FX,2)</f>
        <v>1.26</v>
      </c>
      <c r="D251" s="21" t="s">
        <v>6549</v>
      </c>
      <c r="E251" s="21" t="s">
        <v>8168</v>
      </c>
      <c r="F251" s="21" t="s">
        <v>734</v>
      </c>
      <c r="G251" s="21" t="s">
        <v>7902</v>
      </c>
      <c r="H251" s="21" t="s">
        <v>8169</v>
      </c>
      <c r="I251" s="21" t="s">
        <v>8193</v>
      </c>
    </row>
    <row r="252" customFormat="false" ht="15" hidden="false" customHeight="false" outlineLevel="0" collapsed="false">
      <c r="B252" s="19" t="s">
        <v>8194</v>
      </c>
      <c r="C252" s="20" t="n">
        <f aca="false">ROUND(9.1/FX,2)</f>
        <v>1.26</v>
      </c>
      <c r="D252" s="21" t="s">
        <v>6549</v>
      </c>
      <c r="E252" s="21" t="s">
        <v>8168</v>
      </c>
      <c r="F252" s="21" t="s">
        <v>734</v>
      </c>
      <c r="G252" s="21" t="s">
        <v>7902</v>
      </c>
      <c r="H252" s="21" t="s">
        <v>8173</v>
      </c>
      <c r="I252" s="21" t="s">
        <v>8193</v>
      </c>
    </row>
    <row r="253" customFormat="false" ht="15" hidden="false" customHeight="false" outlineLevel="0" collapsed="false">
      <c r="B253" s="19" t="s">
        <v>8195</v>
      </c>
      <c r="C253" s="20" t="n">
        <f aca="false">ROUND(9.1/FX,2)</f>
        <v>1.26</v>
      </c>
      <c r="D253" s="21" t="s">
        <v>6549</v>
      </c>
      <c r="E253" s="21" t="s">
        <v>8168</v>
      </c>
      <c r="F253" s="21" t="s">
        <v>734</v>
      </c>
      <c r="G253" s="21" t="s">
        <v>7902</v>
      </c>
      <c r="H253" s="21" t="s">
        <v>8169</v>
      </c>
      <c r="I253" s="21" t="s">
        <v>8196</v>
      </c>
    </row>
    <row r="254" customFormat="false" ht="15" hidden="false" customHeight="false" outlineLevel="0" collapsed="false">
      <c r="B254" s="19" t="s">
        <v>8197</v>
      </c>
      <c r="C254" s="20" t="n">
        <f aca="false">ROUND(9.1/FX,2)</f>
        <v>1.26</v>
      </c>
      <c r="D254" s="21" t="s">
        <v>6549</v>
      </c>
      <c r="E254" s="21" t="s">
        <v>8168</v>
      </c>
      <c r="F254" s="21" t="s">
        <v>734</v>
      </c>
      <c r="G254" s="21" t="s">
        <v>7902</v>
      </c>
      <c r="H254" s="21" t="s">
        <v>8173</v>
      </c>
      <c r="I254" s="21" t="s">
        <v>8196</v>
      </c>
    </row>
    <row r="255" customFormat="false" ht="15" hidden="false" customHeight="false" outlineLevel="0" collapsed="false">
      <c r="B255" s="19" t="s">
        <v>8198</v>
      </c>
      <c r="C255" s="20" t="n">
        <f aca="false">ROUND(9.1/FX,2)</f>
        <v>1.26</v>
      </c>
      <c r="D255" s="21" t="s">
        <v>6549</v>
      </c>
      <c r="E255" s="21" t="s">
        <v>8168</v>
      </c>
      <c r="F255" s="21" t="s">
        <v>734</v>
      </c>
      <c r="G255" s="21" t="s">
        <v>7902</v>
      </c>
      <c r="H255" s="21" t="s">
        <v>8169</v>
      </c>
      <c r="I255" s="21" t="s">
        <v>8199</v>
      </c>
    </row>
    <row r="256" customFormat="false" ht="15" hidden="false" customHeight="false" outlineLevel="0" collapsed="false">
      <c r="B256" s="19" t="s">
        <v>8200</v>
      </c>
      <c r="C256" s="20" t="n">
        <f aca="false">ROUND(9.1/FX,2)</f>
        <v>1.26</v>
      </c>
      <c r="D256" s="21" t="s">
        <v>6549</v>
      </c>
      <c r="E256" s="21" t="s">
        <v>8168</v>
      </c>
      <c r="F256" s="21" t="s">
        <v>734</v>
      </c>
      <c r="G256" s="21" t="s">
        <v>7902</v>
      </c>
      <c r="H256" s="21" t="s">
        <v>8173</v>
      </c>
      <c r="I256" s="21" t="s">
        <v>8199</v>
      </c>
    </row>
    <row r="257" customFormat="false" ht="15" hidden="false" customHeight="false" outlineLevel="0" collapsed="false">
      <c r="B257" s="19" t="s">
        <v>8201</v>
      </c>
      <c r="C257" s="20" t="n">
        <f aca="false">ROUND(9.1/FX,2)</f>
        <v>1.26</v>
      </c>
      <c r="D257" s="21" t="s">
        <v>6549</v>
      </c>
      <c r="E257" s="21" t="s">
        <v>8168</v>
      </c>
      <c r="F257" s="21" t="s">
        <v>734</v>
      </c>
      <c r="G257" s="21" t="s">
        <v>7902</v>
      </c>
      <c r="H257" s="21" t="s">
        <v>8169</v>
      </c>
      <c r="I257" s="21" t="s">
        <v>8202</v>
      </c>
    </row>
    <row r="258" customFormat="false" ht="15" hidden="false" customHeight="false" outlineLevel="0" collapsed="false">
      <c r="B258" s="19" t="s">
        <v>8203</v>
      </c>
      <c r="C258" s="20" t="n">
        <f aca="false">ROUND(9.1/FX,2)</f>
        <v>1.26</v>
      </c>
      <c r="D258" s="21" t="s">
        <v>6549</v>
      </c>
      <c r="E258" s="21" t="s">
        <v>8168</v>
      </c>
      <c r="F258" s="21" t="s">
        <v>734</v>
      </c>
      <c r="G258" s="21" t="s">
        <v>7902</v>
      </c>
      <c r="H258" s="21" t="s">
        <v>8173</v>
      </c>
      <c r="I258" s="21" t="s">
        <v>8202</v>
      </c>
    </row>
    <row r="259" customFormat="false" ht="15" hidden="false" customHeight="false" outlineLevel="0" collapsed="false">
      <c r="B259" s="19" t="s">
        <v>8204</v>
      </c>
      <c r="C259" s="20" t="n">
        <f aca="false">ROUND(9.1/FX,2)</f>
        <v>1.26</v>
      </c>
      <c r="D259" s="21" t="s">
        <v>6549</v>
      </c>
      <c r="E259" s="21" t="s">
        <v>8168</v>
      </c>
      <c r="F259" s="21" t="s">
        <v>734</v>
      </c>
      <c r="G259" s="21" t="s">
        <v>7902</v>
      </c>
      <c r="H259" s="21" t="s">
        <v>8169</v>
      </c>
      <c r="I259" s="21" t="s">
        <v>8205</v>
      </c>
    </row>
    <row r="260" customFormat="false" ht="15" hidden="false" customHeight="false" outlineLevel="0" collapsed="false">
      <c r="B260" s="19" t="s">
        <v>8206</v>
      </c>
      <c r="C260" s="20" t="n">
        <f aca="false">ROUND(9.1/FX,2)</f>
        <v>1.26</v>
      </c>
      <c r="D260" s="21" t="s">
        <v>6549</v>
      </c>
      <c r="E260" s="21" t="s">
        <v>8168</v>
      </c>
      <c r="F260" s="21" t="s">
        <v>734</v>
      </c>
      <c r="G260" s="21" t="s">
        <v>7902</v>
      </c>
      <c r="H260" s="21" t="s">
        <v>8173</v>
      </c>
      <c r="I260" s="21" t="s">
        <v>8205</v>
      </c>
    </row>
    <row r="261" customFormat="false" ht="15" hidden="false" customHeight="false" outlineLevel="0" collapsed="false">
      <c r="B261" s="19" t="s">
        <v>8207</v>
      </c>
      <c r="C261" s="20" t="n">
        <f aca="false">ROUND(9.1/FX,2)</f>
        <v>1.26</v>
      </c>
      <c r="D261" s="21" t="s">
        <v>6549</v>
      </c>
      <c r="E261" s="21" t="s">
        <v>8168</v>
      </c>
      <c r="F261" s="21" t="s">
        <v>734</v>
      </c>
      <c r="G261" s="21" t="s">
        <v>7902</v>
      </c>
      <c r="H261" s="21" t="s">
        <v>8169</v>
      </c>
      <c r="I261" s="21" t="s">
        <v>7845</v>
      </c>
    </row>
    <row r="262" customFormat="false" ht="15" hidden="false" customHeight="false" outlineLevel="0" collapsed="false">
      <c r="B262" s="19" t="s">
        <v>8208</v>
      </c>
      <c r="C262" s="20" t="n">
        <f aca="false">ROUND(9.1/FX,2)</f>
        <v>1.26</v>
      </c>
      <c r="D262" s="21" t="s">
        <v>6549</v>
      </c>
      <c r="E262" s="21" t="s">
        <v>8168</v>
      </c>
      <c r="F262" s="21" t="s">
        <v>734</v>
      </c>
      <c r="G262" s="21" t="s">
        <v>7902</v>
      </c>
      <c r="H262" s="21" t="s">
        <v>8173</v>
      </c>
      <c r="I262" s="21" t="s">
        <v>7845</v>
      </c>
    </row>
    <row r="263" customFormat="false" ht="15" hidden="false" customHeight="false" outlineLevel="0" collapsed="false">
      <c r="B263" s="19" t="s">
        <v>8209</v>
      </c>
      <c r="C263" s="20" t="n">
        <f aca="false">ROUND(9.1/FX,2)</f>
        <v>1.26</v>
      </c>
      <c r="D263" s="21" t="s">
        <v>6549</v>
      </c>
      <c r="E263" s="21" t="s">
        <v>8168</v>
      </c>
      <c r="F263" s="21" t="s">
        <v>734</v>
      </c>
      <c r="G263" s="21" t="s">
        <v>7902</v>
      </c>
      <c r="H263" s="21" t="s">
        <v>8169</v>
      </c>
      <c r="I263" s="21" t="s">
        <v>8210</v>
      </c>
    </row>
    <row r="264" customFormat="false" ht="15" hidden="false" customHeight="false" outlineLevel="0" collapsed="false">
      <c r="B264" s="19" t="s">
        <v>8211</v>
      </c>
      <c r="C264" s="20" t="n">
        <f aca="false">ROUND(9.1/FX,2)</f>
        <v>1.26</v>
      </c>
      <c r="D264" s="21" t="s">
        <v>6549</v>
      </c>
      <c r="E264" s="21" t="s">
        <v>8168</v>
      </c>
      <c r="F264" s="21" t="s">
        <v>734</v>
      </c>
      <c r="G264" s="21" t="s">
        <v>7902</v>
      </c>
      <c r="H264" s="21" t="s">
        <v>8173</v>
      </c>
      <c r="I264" s="21" t="s">
        <v>8210</v>
      </c>
    </row>
    <row r="265" customFormat="false" ht="15" hidden="false" customHeight="false" outlineLevel="0" collapsed="false">
      <c r="B265" s="19" t="s">
        <v>8212</v>
      </c>
      <c r="C265" s="20" t="n">
        <f aca="false">ROUND(9.1/FX,2)</f>
        <v>1.26</v>
      </c>
      <c r="D265" s="21" t="s">
        <v>6549</v>
      </c>
      <c r="E265" s="21" t="s">
        <v>8168</v>
      </c>
      <c r="F265" s="21" t="s">
        <v>734</v>
      </c>
      <c r="G265" s="21" t="s">
        <v>7902</v>
      </c>
      <c r="H265" s="21" t="s">
        <v>8169</v>
      </c>
      <c r="I265" s="21" t="s">
        <v>7914</v>
      </c>
    </row>
    <row r="266" customFormat="false" ht="15" hidden="false" customHeight="false" outlineLevel="0" collapsed="false">
      <c r="B266" s="19" t="s">
        <v>8213</v>
      </c>
      <c r="C266" s="20" t="n">
        <f aca="false">ROUND(9.1/FX,2)</f>
        <v>1.26</v>
      </c>
      <c r="D266" s="21" t="s">
        <v>6549</v>
      </c>
      <c r="E266" s="21" t="s">
        <v>8168</v>
      </c>
      <c r="F266" s="21" t="s">
        <v>734</v>
      </c>
      <c r="G266" s="21" t="s">
        <v>7902</v>
      </c>
      <c r="H266" s="21" t="s">
        <v>8173</v>
      </c>
      <c r="I266" s="21" t="s">
        <v>7914</v>
      </c>
    </row>
    <row r="267" customFormat="false" ht="15" hidden="false" customHeight="false" outlineLevel="0" collapsed="false">
      <c r="B267" s="19" t="s">
        <v>8214</v>
      </c>
      <c r="C267" s="20" t="n">
        <f aca="false">ROUND(9.1/FX,2)</f>
        <v>1.26</v>
      </c>
      <c r="D267" s="21" t="s">
        <v>6549</v>
      </c>
      <c r="E267" s="21" t="s">
        <v>8168</v>
      </c>
      <c r="F267" s="21" t="s">
        <v>734</v>
      </c>
      <c r="G267" s="21" t="s">
        <v>7902</v>
      </c>
      <c r="H267" s="21" t="s">
        <v>8169</v>
      </c>
      <c r="I267" s="21" t="s">
        <v>8215</v>
      </c>
    </row>
    <row r="268" customFormat="false" ht="15" hidden="false" customHeight="false" outlineLevel="0" collapsed="false">
      <c r="B268" s="19" t="s">
        <v>8216</v>
      </c>
      <c r="C268" s="20" t="n">
        <f aca="false">ROUND(9.1/FX,2)</f>
        <v>1.26</v>
      </c>
      <c r="D268" s="21" t="s">
        <v>6549</v>
      </c>
      <c r="E268" s="21" t="s">
        <v>8168</v>
      </c>
      <c r="F268" s="21" t="s">
        <v>734</v>
      </c>
      <c r="G268" s="21" t="s">
        <v>7902</v>
      </c>
      <c r="H268" s="21" t="s">
        <v>8173</v>
      </c>
      <c r="I268" s="21" t="s">
        <v>8215</v>
      </c>
    </row>
    <row r="269" customFormat="false" ht="15" hidden="false" customHeight="false" outlineLevel="0" collapsed="false">
      <c r="B269" s="19" t="s">
        <v>8217</v>
      </c>
      <c r="C269" s="20" t="n">
        <f aca="false">ROUND(9.1/FX,2)</f>
        <v>1.26</v>
      </c>
      <c r="D269" s="21" t="s">
        <v>6549</v>
      </c>
      <c r="E269" s="21" t="s">
        <v>8168</v>
      </c>
      <c r="F269" s="21" t="s">
        <v>734</v>
      </c>
      <c r="G269" s="21" t="s">
        <v>7902</v>
      </c>
      <c r="H269" s="21" t="s">
        <v>8169</v>
      </c>
      <c r="I269" s="21" t="s">
        <v>7916</v>
      </c>
    </row>
    <row r="270" customFormat="false" ht="15" hidden="false" customHeight="false" outlineLevel="0" collapsed="false">
      <c r="B270" s="19" t="s">
        <v>8218</v>
      </c>
      <c r="C270" s="20" t="n">
        <f aca="false">ROUND(9.1/FX,2)</f>
        <v>1.26</v>
      </c>
      <c r="D270" s="21" t="s">
        <v>6549</v>
      </c>
      <c r="E270" s="21" t="s">
        <v>8168</v>
      </c>
      <c r="F270" s="21" t="s">
        <v>734</v>
      </c>
      <c r="G270" s="21" t="s">
        <v>7902</v>
      </c>
      <c r="H270" s="21" t="s">
        <v>8173</v>
      </c>
      <c r="I270" s="21" t="s">
        <v>7916</v>
      </c>
    </row>
    <row r="271" customFormat="false" ht="15" hidden="false" customHeight="false" outlineLevel="0" collapsed="false">
      <c r="B271" s="19" t="s">
        <v>8219</v>
      </c>
      <c r="C271" s="20" t="n">
        <f aca="false">ROUND(9.1/FX,2)</f>
        <v>1.26</v>
      </c>
      <c r="D271" s="21" t="s">
        <v>6549</v>
      </c>
      <c r="E271" s="21" t="s">
        <v>8168</v>
      </c>
      <c r="F271" s="21" t="s">
        <v>734</v>
      </c>
      <c r="G271" s="21" t="s">
        <v>7902</v>
      </c>
      <c r="H271" s="21" t="s">
        <v>8169</v>
      </c>
      <c r="I271" s="21" t="s">
        <v>8220</v>
      </c>
    </row>
    <row r="272" customFormat="false" ht="15" hidden="false" customHeight="false" outlineLevel="0" collapsed="false">
      <c r="B272" s="19" t="s">
        <v>8221</v>
      </c>
      <c r="C272" s="20" t="n">
        <f aca="false">ROUND(9.1/FX,2)</f>
        <v>1.26</v>
      </c>
      <c r="D272" s="21" t="s">
        <v>6549</v>
      </c>
      <c r="E272" s="21" t="s">
        <v>8168</v>
      </c>
      <c r="F272" s="21" t="s">
        <v>734</v>
      </c>
      <c r="G272" s="21" t="s">
        <v>7902</v>
      </c>
      <c r="H272" s="21" t="s">
        <v>8173</v>
      </c>
      <c r="I272" s="21" t="s">
        <v>8220</v>
      </c>
    </row>
    <row r="273" customFormat="false" ht="15" hidden="false" customHeight="false" outlineLevel="0" collapsed="false">
      <c r="B273" s="19" t="s">
        <v>8222</v>
      </c>
      <c r="C273" s="20" t="n">
        <f aca="false">ROUND(9.1/FX,2)</f>
        <v>1.26</v>
      </c>
      <c r="D273" s="21" t="s">
        <v>6549</v>
      </c>
      <c r="E273" s="21" t="s">
        <v>8168</v>
      </c>
      <c r="F273" s="21" t="s">
        <v>734</v>
      </c>
      <c r="G273" s="21" t="s">
        <v>7902</v>
      </c>
      <c r="H273" s="21" t="s">
        <v>8169</v>
      </c>
      <c r="I273" s="21" t="s">
        <v>7918</v>
      </c>
    </row>
    <row r="274" customFormat="false" ht="15" hidden="false" customHeight="false" outlineLevel="0" collapsed="false">
      <c r="B274" s="19" t="s">
        <v>8223</v>
      </c>
      <c r="C274" s="20" t="n">
        <f aca="false">ROUND(9.1/FX,2)</f>
        <v>1.26</v>
      </c>
      <c r="D274" s="21" t="s">
        <v>6549</v>
      </c>
      <c r="E274" s="21" t="s">
        <v>8168</v>
      </c>
      <c r="F274" s="21" t="s">
        <v>734</v>
      </c>
      <c r="G274" s="21" t="s">
        <v>7902</v>
      </c>
      <c r="H274" s="21" t="s">
        <v>8173</v>
      </c>
      <c r="I274" s="21" t="s">
        <v>7918</v>
      </c>
    </row>
    <row r="275" customFormat="false" ht="15" hidden="false" customHeight="false" outlineLevel="0" collapsed="false">
      <c r="B275" s="19" t="s">
        <v>8224</v>
      </c>
      <c r="C275" s="20" t="n">
        <f aca="false">ROUND(9.1/FX,2)</f>
        <v>1.26</v>
      </c>
      <c r="D275" s="21" t="s">
        <v>6549</v>
      </c>
      <c r="E275" s="21" t="s">
        <v>8168</v>
      </c>
      <c r="F275" s="21" t="s">
        <v>734</v>
      </c>
      <c r="G275" s="21" t="s">
        <v>7902</v>
      </c>
      <c r="H275" s="21" t="s">
        <v>8169</v>
      </c>
      <c r="I275" s="21" t="s">
        <v>7847</v>
      </c>
    </row>
    <row r="276" customFormat="false" ht="15" hidden="false" customHeight="false" outlineLevel="0" collapsed="false">
      <c r="B276" s="19" t="s">
        <v>8225</v>
      </c>
      <c r="C276" s="20" t="n">
        <f aca="false">ROUND(9.1/FX,2)</f>
        <v>1.26</v>
      </c>
      <c r="D276" s="21" t="s">
        <v>6549</v>
      </c>
      <c r="E276" s="21" t="s">
        <v>8168</v>
      </c>
      <c r="F276" s="21" t="s">
        <v>734</v>
      </c>
      <c r="G276" s="21" t="s">
        <v>7902</v>
      </c>
      <c r="H276" s="21" t="s">
        <v>8173</v>
      </c>
      <c r="I276" s="21" t="s">
        <v>7847</v>
      </c>
    </row>
    <row r="277" customFormat="false" ht="15" hidden="false" customHeight="false" outlineLevel="0" collapsed="false">
      <c r="B277" s="19" t="s">
        <v>8226</v>
      </c>
      <c r="C277" s="20" t="n">
        <f aca="false">ROUND(7.8/FX,2)</f>
        <v>1.08</v>
      </c>
      <c r="D277" s="21" t="s">
        <v>6549</v>
      </c>
      <c r="E277" s="21" t="s">
        <v>8168</v>
      </c>
      <c r="F277" s="21" t="s">
        <v>734</v>
      </c>
      <c r="G277" s="21" t="s">
        <v>7902</v>
      </c>
      <c r="H277" s="21" t="s">
        <v>8169</v>
      </c>
      <c r="I277" s="21" t="s">
        <v>7849</v>
      </c>
    </row>
    <row r="278" customFormat="false" ht="15" hidden="false" customHeight="false" outlineLevel="0" collapsed="false">
      <c r="B278" s="19" t="s">
        <v>8227</v>
      </c>
      <c r="C278" s="20" t="n">
        <f aca="false">ROUND(9.1/FX,2)</f>
        <v>1.26</v>
      </c>
      <c r="D278" s="21" t="s">
        <v>6549</v>
      </c>
      <c r="E278" s="21" t="s">
        <v>8168</v>
      </c>
      <c r="F278" s="21" t="s">
        <v>734</v>
      </c>
      <c r="G278" s="21" t="s">
        <v>7902</v>
      </c>
      <c r="H278" s="21" t="s">
        <v>8173</v>
      </c>
      <c r="I278" s="21" t="s">
        <v>7849</v>
      </c>
    </row>
    <row r="279" customFormat="false" ht="15" hidden="false" customHeight="false" outlineLevel="0" collapsed="false">
      <c r="B279" s="19" t="s">
        <v>8228</v>
      </c>
      <c r="C279" s="20" t="n">
        <f aca="false">ROUND(9.1/FX,2)</f>
        <v>1.26</v>
      </c>
      <c r="D279" s="21" t="s">
        <v>6549</v>
      </c>
      <c r="E279" s="21" t="s">
        <v>8168</v>
      </c>
      <c r="F279" s="21" t="s">
        <v>734</v>
      </c>
      <c r="G279" s="21" t="s">
        <v>7902</v>
      </c>
      <c r="H279" s="21" t="s">
        <v>8169</v>
      </c>
      <c r="I279" s="21" t="s">
        <v>7922</v>
      </c>
    </row>
    <row r="280" customFormat="false" ht="15" hidden="false" customHeight="false" outlineLevel="0" collapsed="false">
      <c r="B280" s="19" t="s">
        <v>8229</v>
      </c>
      <c r="C280" s="20" t="n">
        <f aca="false">ROUND(9.1/FX,2)</f>
        <v>1.26</v>
      </c>
      <c r="D280" s="21" t="s">
        <v>6549</v>
      </c>
      <c r="E280" s="21" t="s">
        <v>8168</v>
      </c>
      <c r="F280" s="21" t="s">
        <v>734</v>
      </c>
      <c r="G280" s="21" t="s">
        <v>7902</v>
      </c>
      <c r="H280" s="21" t="s">
        <v>8173</v>
      </c>
      <c r="I280" s="21" t="s">
        <v>7922</v>
      </c>
    </row>
    <row r="281" customFormat="false" ht="15" hidden="false" customHeight="false" outlineLevel="0" collapsed="false">
      <c r="B281" s="19" t="s">
        <v>8230</v>
      </c>
      <c r="C281" s="20" t="n">
        <f aca="false">ROUND(9.1/FX,2)</f>
        <v>1.26</v>
      </c>
      <c r="D281" s="21" t="s">
        <v>6549</v>
      </c>
      <c r="E281" s="21" t="s">
        <v>8168</v>
      </c>
      <c r="F281" s="21" t="s">
        <v>734</v>
      </c>
      <c r="G281" s="21" t="s">
        <v>7902</v>
      </c>
      <c r="H281" s="21" t="s">
        <v>8169</v>
      </c>
      <c r="I281" s="21" t="s">
        <v>8231</v>
      </c>
    </row>
    <row r="282" customFormat="false" ht="15" hidden="false" customHeight="false" outlineLevel="0" collapsed="false">
      <c r="B282" s="19" t="s">
        <v>8232</v>
      </c>
      <c r="C282" s="20" t="n">
        <f aca="false">ROUND(9.1/FX,2)</f>
        <v>1.26</v>
      </c>
      <c r="D282" s="21" t="s">
        <v>6549</v>
      </c>
      <c r="E282" s="21" t="s">
        <v>8168</v>
      </c>
      <c r="F282" s="21" t="s">
        <v>734</v>
      </c>
      <c r="G282" s="21" t="s">
        <v>7902</v>
      </c>
      <c r="H282" s="21" t="s">
        <v>8173</v>
      </c>
      <c r="I282" s="21" t="s">
        <v>8231</v>
      </c>
    </row>
    <row r="283" customFormat="false" ht="15" hidden="false" customHeight="false" outlineLevel="0" collapsed="false">
      <c r="B283" s="19" t="s">
        <v>8233</v>
      </c>
      <c r="C283" s="20" t="n">
        <f aca="false">ROUND(9.1/FX,2)</f>
        <v>1.26</v>
      </c>
      <c r="D283" s="21" t="s">
        <v>6549</v>
      </c>
      <c r="E283" s="21" t="s">
        <v>8168</v>
      </c>
      <c r="F283" s="21" t="s">
        <v>734</v>
      </c>
      <c r="G283" s="21" t="s">
        <v>7902</v>
      </c>
      <c r="H283" s="21" t="s">
        <v>8169</v>
      </c>
      <c r="I283" s="21" t="s">
        <v>8234</v>
      </c>
    </row>
    <row r="284" customFormat="false" ht="15" hidden="false" customHeight="false" outlineLevel="0" collapsed="false">
      <c r="B284" s="19" t="s">
        <v>8235</v>
      </c>
      <c r="C284" s="20" t="n">
        <f aca="false">ROUND(9.1/FX,2)</f>
        <v>1.26</v>
      </c>
      <c r="D284" s="21" t="s">
        <v>6549</v>
      </c>
      <c r="E284" s="21" t="s">
        <v>8168</v>
      </c>
      <c r="F284" s="21" t="s">
        <v>734</v>
      </c>
      <c r="G284" s="21" t="s">
        <v>7902</v>
      </c>
      <c r="H284" s="21" t="s">
        <v>8173</v>
      </c>
      <c r="I284" s="21" t="s">
        <v>8234</v>
      </c>
    </row>
    <row r="285" customFormat="false" ht="15" hidden="false" customHeight="false" outlineLevel="0" collapsed="false">
      <c r="B285" s="19" t="s">
        <v>8236</v>
      </c>
      <c r="C285" s="20" t="n">
        <f aca="false">ROUND(9.1/FX,2)</f>
        <v>1.26</v>
      </c>
      <c r="D285" s="21" t="s">
        <v>6549</v>
      </c>
      <c r="E285" s="21" t="s">
        <v>8168</v>
      </c>
      <c r="F285" s="21" t="s">
        <v>734</v>
      </c>
      <c r="G285" s="21" t="s">
        <v>7902</v>
      </c>
      <c r="H285" s="21" t="s">
        <v>8169</v>
      </c>
      <c r="I285" s="21" t="s">
        <v>7851</v>
      </c>
    </row>
    <row r="286" customFormat="false" ht="15" hidden="false" customHeight="false" outlineLevel="0" collapsed="false">
      <c r="B286" s="19" t="s">
        <v>8237</v>
      </c>
      <c r="C286" s="20" t="n">
        <f aca="false">ROUND(9.1/FX,2)</f>
        <v>1.26</v>
      </c>
      <c r="D286" s="21" t="s">
        <v>6549</v>
      </c>
      <c r="E286" s="21" t="s">
        <v>8168</v>
      </c>
      <c r="F286" s="21" t="s">
        <v>734</v>
      </c>
      <c r="G286" s="21" t="s">
        <v>7902</v>
      </c>
      <c r="H286" s="21" t="s">
        <v>8173</v>
      </c>
      <c r="I286" s="21" t="s">
        <v>7851</v>
      </c>
    </row>
    <row r="287" customFormat="false" ht="15" hidden="false" customHeight="false" outlineLevel="0" collapsed="false">
      <c r="B287" s="19" t="s">
        <v>8238</v>
      </c>
      <c r="C287" s="20" t="n">
        <f aca="false">ROUND(9.1/FX,2)</f>
        <v>1.26</v>
      </c>
      <c r="D287" s="21" t="s">
        <v>6549</v>
      </c>
      <c r="E287" s="21" t="s">
        <v>8168</v>
      </c>
      <c r="F287" s="21" t="s">
        <v>734</v>
      </c>
      <c r="G287" s="21" t="s">
        <v>7902</v>
      </c>
      <c r="H287" s="21" t="s">
        <v>8169</v>
      </c>
      <c r="I287" s="21" t="s">
        <v>8239</v>
      </c>
    </row>
    <row r="288" customFormat="false" ht="15" hidden="false" customHeight="false" outlineLevel="0" collapsed="false">
      <c r="B288" s="19" t="s">
        <v>8240</v>
      </c>
      <c r="C288" s="20" t="n">
        <f aca="false">ROUND(9.1/FX,2)</f>
        <v>1.26</v>
      </c>
      <c r="D288" s="21" t="s">
        <v>6549</v>
      </c>
      <c r="E288" s="21" t="s">
        <v>8168</v>
      </c>
      <c r="F288" s="21" t="s">
        <v>734</v>
      </c>
      <c r="G288" s="21" t="s">
        <v>7902</v>
      </c>
      <c r="H288" s="21" t="s">
        <v>8173</v>
      </c>
      <c r="I288" s="21" t="s">
        <v>8239</v>
      </c>
    </row>
    <row r="289" customFormat="false" ht="15" hidden="false" customHeight="false" outlineLevel="0" collapsed="false">
      <c r="B289" s="19" t="s">
        <v>8241</v>
      </c>
      <c r="C289" s="20" t="n">
        <f aca="false">ROUND(6.24/FX,2)</f>
        <v>0.87</v>
      </c>
      <c r="D289" s="21" t="s">
        <v>6549</v>
      </c>
      <c r="E289" s="21" t="s">
        <v>8168</v>
      </c>
      <c r="F289" s="21" t="s">
        <v>734</v>
      </c>
      <c r="G289" s="21" t="s">
        <v>7902</v>
      </c>
      <c r="H289" s="21" t="s">
        <v>8169</v>
      </c>
      <c r="I289" s="21" t="s">
        <v>7927</v>
      </c>
    </row>
    <row r="290" customFormat="false" ht="15" hidden="false" customHeight="false" outlineLevel="0" collapsed="false">
      <c r="B290" s="19" t="s">
        <v>8242</v>
      </c>
      <c r="C290" s="20" t="n">
        <f aca="false">ROUND(9.1/FX,2)</f>
        <v>1.26</v>
      </c>
      <c r="D290" s="21" t="s">
        <v>6549</v>
      </c>
      <c r="E290" s="21" t="s">
        <v>8168</v>
      </c>
      <c r="F290" s="21" t="s">
        <v>734</v>
      </c>
      <c r="G290" s="21" t="s">
        <v>7902</v>
      </c>
      <c r="H290" s="21" t="s">
        <v>8173</v>
      </c>
      <c r="I290" s="21" t="s">
        <v>7927</v>
      </c>
    </row>
    <row r="291" customFormat="false" ht="15" hidden="false" customHeight="false" outlineLevel="0" collapsed="false">
      <c r="B291" s="19" t="s">
        <v>8243</v>
      </c>
      <c r="C291" s="20" t="n">
        <f aca="false">ROUND(9.1/FX,2)</f>
        <v>1.26</v>
      </c>
      <c r="D291" s="21" t="s">
        <v>6549</v>
      </c>
      <c r="E291" s="21" t="s">
        <v>8168</v>
      </c>
      <c r="F291" s="21" t="s">
        <v>734</v>
      </c>
      <c r="G291" s="21" t="s">
        <v>7902</v>
      </c>
      <c r="H291" s="21" t="s">
        <v>8169</v>
      </c>
      <c r="I291" s="21" t="s">
        <v>8244</v>
      </c>
    </row>
    <row r="292" customFormat="false" ht="15" hidden="false" customHeight="false" outlineLevel="0" collapsed="false">
      <c r="B292" s="19" t="s">
        <v>8245</v>
      </c>
      <c r="C292" s="20" t="n">
        <f aca="false">ROUND(9.1/FX,2)</f>
        <v>1.26</v>
      </c>
      <c r="D292" s="21" t="s">
        <v>6549</v>
      </c>
      <c r="E292" s="21" t="s">
        <v>8168</v>
      </c>
      <c r="F292" s="21" t="s">
        <v>734</v>
      </c>
      <c r="G292" s="21" t="s">
        <v>7902</v>
      </c>
      <c r="H292" s="21" t="s">
        <v>8173</v>
      </c>
      <c r="I292" s="21" t="s">
        <v>8244</v>
      </c>
    </row>
    <row r="293" customFormat="false" ht="15" hidden="false" customHeight="false" outlineLevel="0" collapsed="false">
      <c r="B293" s="19" t="s">
        <v>8246</v>
      </c>
      <c r="C293" s="20" t="n">
        <f aca="false">ROUND(9.1/FX,2)</f>
        <v>1.26</v>
      </c>
      <c r="D293" s="21" t="s">
        <v>6549</v>
      </c>
      <c r="E293" s="21" t="s">
        <v>8168</v>
      </c>
      <c r="F293" s="21" t="s">
        <v>734</v>
      </c>
      <c r="G293" s="21" t="s">
        <v>7902</v>
      </c>
      <c r="H293" s="21" t="s">
        <v>8169</v>
      </c>
      <c r="I293" s="21" t="s">
        <v>7827</v>
      </c>
    </row>
    <row r="294" customFormat="false" ht="15" hidden="false" customHeight="false" outlineLevel="0" collapsed="false">
      <c r="B294" s="19" t="s">
        <v>8247</v>
      </c>
      <c r="C294" s="20" t="n">
        <f aca="false">ROUND(9.1/FX,2)</f>
        <v>1.26</v>
      </c>
      <c r="D294" s="21" t="s">
        <v>6549</v>
      </c>
      <c r="E294" s="21" t="s">
        <v>8168</v>
      </c>
      <c r="F294" s="21" t="s">
        <v>734</v>
      </c>
      <c r="G294" s="21" t="s">
        <v>7902</v>
      </c>
      <c r="H294" s="21" t="s">
        <v>8173</v>
      </c>
      <c r="I294" s="21" t="s">
        <v>7827</v>
      </c>
    </row>
    <row r="295" customFormat="false" ht="15" hidden="false" customHeight="false" outlineLevel="0" collapsed="false">
      <c r="B295" s="19" t="s">
        <v>8248</v>
      </c>
      <c r="C295" s="20" t="n">
        <f aca="false">ROUND(9.1/FX,2)</f>
        <v>1.26</v>
      </c>
      <c r="D295" s="21" t="s">
        <v>6549</v>
      </c>
      <c r="E295" s="21" t="s">
        <v>8168</v>
      </c>
      <c r="F295" s="21" t="s">
        <v>734</v>
      </c>
      <c r="G295" s="21" t="s">
        <v>7902</v>
      </c>
      <c r="H295" s="21" t="s">
        <v>8169</v>
      </c>
      <c r="I295" s="21" t="s">
        <v>7853</v>
      </c>
    </row>
    <row r="296" customFormat="false" ht="15" hidden="false" customHeight="false" outlineLevel="0" collapsed="false">
      <c r="B296" s="19" t="s">
        <v>8249</v>
      </c>
      <c r="C296" s="20" t="n">
        <f aca="false">ROUND(9.1/FX,2)</f>
        <v>1.26</v>
      </c>
      <c r="D296" s="21" t="s">
        <v>6549</v>
      </c>
      <c r="E296" s="21" t="s">
        <v>8168</v>
      </c>
      <c r="F296" s="21" t="s">
        <v>734</v>
      </c>
      <c r="G296" s="21" t="s">
        <v>7902</v>
      </c>
      <c r="H296" s="21" t="s">
        <v>8173</v>
      </c>
      <c r="I296" s="21" t="s">
        <v>7853</v>
      </c>
    </row>
    <row r="297" customFormat="false" ht="15" hidden="false" customHeight="false" outlineLevel="0" collapsed="false">
      <c r="B297" s="19" t="s">
        <v>8250</v>
      </c>
      <c r="C297" s="20" t="n">
        <f aca="false">ROUND(9.1/FX,2)</f>
        <v>1.26</v>
      </c>
      <c r="D297" s="21" t="s">
        <v>6549</v>
      </c>
      <c r="E297" s="21" t="s">
        <v>8168</v>
      </c>
      <c r="F297" s="21" t="s">
        <v>734</v>
      </c>
      <c r="G297" s="21" t="s">
        <v>7902</v>
      </c>
      <c r="H297" s="21" t="s">
        <v>8169</v>
      </c>
      <c r="I297" s="21" t="s">
        <v>7869</v>
      </c>
    </row>
    <row r="298" customFormat="false" ht="15" hidden="false" customHeight="false" outlineLevel="0" collapsed="false">
      <c r="B298" s="19" t="s">
        <v>8251</v>
      </c>
      <c r="C298" s="20" t="n">
        <f aca="false">ROUND(9.1/FX,2)</f>
        <v>1.26</v>
      </c>
      <c r="D298" s="21" t="s">
        <v>6549</v>
      </c>
      <c r="E298" s="21" t="s">
        <v>8168</v>
      </c>
      <c r="F298" s="21" t="s">
        <v>734</v>
      </c>
      <c r="G298" s="21" t="s">
        <v>7902</v>
      </c>
      <c r="H298" s="21" t="s">
        <v>8173</v>
      </c>
      <c r="I298" s="21" t="s">
        <v>7869</v>
      </c>
    </row>
    <row r="299" customFormat="false" ht="15" hidden="false" customHeight="false" outlineLevel="0" collapsed="false">
      <c r="B299" s="19" t="s">
        <v>8252</v>
      </c>
      <c r="C299" s="20" t="n">
        <f aca="false">ROUND(9.1/FX,2)</f>
        <v>1.26</v>
      </c>
      <c r="D299" s="21" t="s">
        <v>6549</v>
      </c>
      <c r="E299" s="21" t="s">
        <v>8168</v>
      </c>
      <c r="F299" s="21" t="s">
        <v>734</v>
      </c>
      <c r="G299" s="21" t="s">
        <v>7902</v>
      </c>
      <c r="H299" s="21" t="s">
        <v>8169</v>
      </c>
      <c r="I299" s="21" t="s">
        <v>7855</v>
      </c>
    </row>
    <row r="300" customFormat="false" ht="15" hidden="false" customHeight="false" outlineLevel="0" collapsed="false">
      <c r="B300" s="19" t="s">
        <v>8253</v>
      </c>
      <c r="C300" s="20" t="n">
        <f aca="false">ROUND(9.1/FX,2)</f>
        <v>1.26</v>
      </c>
      <c r="D300" s="21" t="s">
        <v>6549</v>
      </c>
      <c r="E300" s="21" t="s">
        <v>8168</v>
      </c>
      <c r="F300" s="21" t="s">
        <v>734</v>
      </c>
      <c r="G300" s="21" t="s">
        <v>7902</v>
      </c>
      <c r="H300" s="21" t="s">
        <v>8173</v>
      </c>
      <c r="I300" s="21" t="s">
        <v>7855</v>
      </c>
    </row>
    <row r="301" customFormat="false" ht="15" hidden="false" customHeight="false" outlineLevel="0" collapsed="false">
      <c r="B301" s="19" t="s">
        <v>8254</v>
      </c>
      <c r="C301" s="20" t="n">
        <f aca="false">ROUND(9.1/FX,2)</f>
        <v>1.26</v>
      </c>
      <c r="D301" s="21" t="s">
        <v>6549</v>
      </c>
      <c r="E301" s="21" t="s">
        <v>8168</v>
      </c>
      <c r="F301" s="21" t="s">
        <v>734</v>
      </c>
      <c r="G301" s="21" t="s">
        <v>7902</v>
      </c>
      <c r="H301" s="21" t="s">
        <v>8169</v>
      </c>
      <c r="I301" s="21" t="s">
        <v>8255</v>
      </c>
    </row>
    <row r="302" customFormat="false" ht="15" hidden="false" customHeight="false" outlineLevel="0" collapsed="false">
      <c r="B302" s="19" t="s">
        <v>8256</v>
      </c>
      <c r="C302" s="20" t="n">
        <f aca="false">ROUND(9.1/FX,2)</f>
        <v>1.26</v>
      </c>
      <c r="D302" s="21" t="s">
        <v>6549</v>
      </c>
      <c r="E302" s="21" t="s">
        <v>8168</v>
      </c>
      <c r="F302" s="21" t="s">
        <v>734</v>
      </c>
      <c r="G302" s="21" t="s">
        <v>7902</v>
      </c>
      <c r="H302" s="21" t="s">
        <v>8173</v>
      </c>
      <c r="I302" s="21" t="s">
        <v>8255</v>
      </c>
    </row>
    <row r="303" customFormat="false" ht="15" hidden="false" customHeight="false" outlineLevel="0" collapsed="false">
      <c r="B303" s="19" t="s">
        <v>8257</v>
      </c>
      <c r="C303" s="20" t="n">
        <f aca="false">ROUND(9.1/FX,2)</f>
        <v>1.26</v>
      </c>
      <c r="D303" s="21" t="s">
        <v>6549</v>
      </c>
      <c r="E303" s="21" t="s">
        <v>8168</v>
      </c>
      <c r="F303" s="21" t="s">
        <v>734</v>
      </c>
      <c r="G303" s="21" t="s">
        <v>7902</v>
      </c>
      <c r="H303" s="21" t="s">
        <v>8169</v>
      </c>
      <c r="I303" s="21" t="s">
        <v>8258</v>
      </c>
    </row>
    <row r="304" customFormat="false" ht="15" hidden="false" customHeight="false" outlineLevel="0" collapsed="false">
      <c r="B304" s="19" t="s">
        <v>8259</v>
      </c>
      <c r="C304" s="20" t="n">
        <f aca="false">ROUND(9.1/FX,2)</f>
        <v>1.26</v>
      </c>
      <c r="D304" s="21" t="s">
        <v>6549</v>
      </c>
      <c r="E304" s="21" t="s">
        <v>8168</v>
      </c>
      <c r="F304" s="21" t="s">
        <v>734</v>
      </c>
      <c r="G304" s="21" t="s">
        <v>7902</v>
      </c>
      <c r="H304" s="21" t="s">
        <v>8173</v>
      </c>
      <c r="I304" s="21" t="s">
        <v>8258</v>
      </c>
    </row>
    <row r="305" customFormat="false" ht="15" hidden="false" customHeight="false" outlineLevel="0" collapsed="false">
      <c r="B305" s="19" t="s">
        <v>8260</v>
      </c>
      <c r="C305" s="20" t="n">
        <f aca="false">ROUND(9.1/FX,2)</f>
        <v>1.26</v>
      </c>
      <c r="D305" s="21" t="s">
        <v>6549</v>
      </c>
      <c r="E305" s="21" t="s">
        <v>8168</v>
      </c>
      <c r="F305" s="21" t="s">
        <v>734</v>
      </c>
      <c r="G305" s="21" t="s">
        <v>7902</v>
      </c>
      <c r="H305" s="21" t="s">
        <v>8169</v>
      </c>
      <c r="I305" s="21" t="s">
        <v>7933</v>
      </c>
    </row>
    <row r="306" customFormat="false" ht="15" hidden="false" customHeight="false" outlineLevel="0" collapsed="false">
      <c r="B306" s="19" t="s">
        <v>8261</v>
      </c>
      <c r="C306" s="20" t="n">
        <f aca="false">ROUND(9.1/FX,2)</f>
        <v>1.26</v>
      </c>
      <c r="D306" s="21" t="s">
        <v>6549</v>
      </c>
      <c r="E306" s="21" t="s">
        <v>8168</v>
      </c>
      <c r="F306" s="21" t="s">
        <v>734</v>
      </c>
      <c r="G306" s="21" t="s">
        <v>7902</v>
      </c>
      <c r="H306" s="21" t="s">
        <v>8173</v>
      </c>
      <c r="I306" s="21" t="s">
        <v>7933</v>
      </c>
    </row>
    <row r="307" customFormat="false" ht="15" hidden="false" customHeight="false" outlineLevel="0" collapsed="false">
      <c r="B307" s="19" t="s">
        <v>8262</v>
      </c>
      <c r="C307" s="20" t="n">
        <f aca="false">ROUND(9.1/FX,2)</f>
        <v>1.26</v>
      </c>
      <c r="D307" s="21" t="s">
        <v>6549</v>
      </c>
      <c r="E307" s="21" t="s">
        <v>8168</v>
      </c>
      <c r="F307" s="21" t="s">
        <v>734</v>
      </c>
      <c r="G307" s="21" t="s">
        <v>7902</v>
      </c>
      <c r="H307" s="21" t="s">
        <v>8169</v>
      </c>
      <c r="I307" s="21" t="s">
        <v>8263</v>
      </c>
    </row>
    <row r="308" customFormat="false" ht="15" hidden="false" customHeight="false" outlineLevel="0" collapsed="false">
      <c r="B308" s="19" t="s">
        <v>8264</v>
      </c>
      <c r="C308" s="20" t="n">
        <f aca="false">ROUND(9.1/FX,2)</f>
        <v>1.26</v>
      </c>
      <c r="D308" s="21" t="s">
        <v>6549</v>
      </c>
      <c r="E308" s="21" t="s">
        <v>8168</v>
      </c>
      <c r="F308" s="21" t="s">
        <v>734</v>
      </c>
      <c r="G308" s="21" t="s">
        <v>7902</v>
      </c>
      <c r="H308" s="21" t="s">
        <v>8173</v>
      </c>
      <c r="I308" s="21" t="s">
        <v>8263</v>
      </c>
    </row>
    <row r="309" customFormat="false" ht="15" hidden="false" customHeight="false" outlineLevel="0" collapsed="false">
      <c r="B309" s="19" t="s">
        <v>8265</v>
      </c>
      <c r="C309" s="20" t="n">
        <f aca="false">ROUND(9.75/FX,2)</f>
        <v>1.35</v>
      </c>
      <c r="D309" s="21" t="s">
        <v>724</v>
      </c>
      <c r="E309" s="21" t="s">
        <v>8168</v>
      </c>
      <c r="F309" s="21" t="s">
        <v>734</v>
      </c>
      <c r="G309" s="21" t="s">
        <v>7902</v>
      </c>
      <c r="H309" s="21" t="s">
        <v>8173</v>
      </c>
      <c r="I309" s="21" t="s">
        <v>7881</v>
      </c>
    </row>
    <row r="310" customFormat="false" ht="15" hidden="false" customHeight="false" outlineLevel="0" collapsed="false">
      <c r="B310" s="19" t="s">
        <v>8266</v>
      </c>
      <c r="C310" s="20" t="n">
        <f aca="false">ROUND(9.75/FX,2)</f>
        <v>1.35</v>
      </c>
      <c r="D310" s="21" t="s">
        <v>724</v>
      </c>
      <c r="E310" s="21" t="s">
        <v>8168</v>
      </c>
      <c r="F310" s="21" t="s">
        <v>734</v>
      </c>
      <c r="G310" s="21" t="s">
        <v>7902</v>
      </c>
      <c r="H310" s="21" t="s">
        <v>8176</v>
      </c>
      <c r="I310" s="21" t="s">
        <v>7881</v>
      </c>
    </row>
    <row r="311" customFormat="false" ht="15" hidden="false" customHeight="false" outlineLevel="0" collapsed="false">
      <c r="B311" s="19" t="s">
        <v>8267</v>
      </c>
      <c r="C311" s="20" t="n">
        <f aca="false">ROUND(6.24/FX,2)</f>
        <v>0.87</v>
      </c>
      <c r="D311" s="21" t="s">
        <v>6549</v>
      </c>
      <c r="E311" s="21" t="s">
        <v>8168</v>
      </c>
      <c r="F311" s="21" t="s">
        <v>734</v>
      </c>
      <c r="G311" s="21" t="s">
        <v>7902</v>
      </c>
      <c r="H311" s="21" t="s">
        <v>8169</v>
      </c>
      <c r="I311" s="21" t="s">
        <v>7881</v>
      </c>
    </row>
    <row r="312" customFormat="false" ht="15" hidden="false" customHeight="false" outlineLevel="0" collapsed="false">
      <c r="B312" s="19" t="s">
        <v>8268</v>
      </c>
      <c r="C312" s="20" t="n">
        <f aca="false">ROUND(9.1/FX,2)</f>
        <v>1.26</v>
      </c>
      <c r="D312" s="21" t="s">
        <v>6549</v>
      </c>
      <c r="E312" s="21" t="s">
        <v>8168</v>
      </c>
      <c r="F312" s="21" t="s">
        <v>734</v>
      </c>
      <c r="G312" s="21" t="s">
        <v>7902</v>
      </c>
      <c r="H312" s="21" t="s">
        <v>8173</v>
      </c>
      <c r="I312" s="21" t="s">
        <v>7881</v>
      </c>
    </row>
    <row r="313" customFormat="false" ht="15" hidden="false" customHeight="false" outlineLevel="0" collapsed="false">
      <c r="B313" s="19" t="s">
        <v>8269</v>
      </c>
      <c r="C313" s="20" t="n">
        <f aca="false">ROUND(9.1/FX,2)</f>
        <v>1.26</v>
      </c>
      <c r="D313" s="21" t="s">
        <v>6549</v>
      </c>
      <c r="E313" s="21" t="s">
        <v>8168</v>
      </c>
      <c r="F313" s="21" t="s">
        <v>734</v>
      </c>
      <c r="G313" s="21" t="s">
        <v>7902</v>
      </c>
      <c r="H313" s="21" t="s">
        <v>8169</v>
      </c>
      <c r="I313" s="21" t="s">
        <v>8270</v>
      </c>
    </row>
    <row r="314" customFormat="false" ht="15" hidden="false" customHeight="false" outlineLevel="0" collapsed="false">
      <c r="B314" s="19" t="s">
        <v>8271</v>
      </c>
      <c r="C314" s="20" t="n">
        <f aca="false">ROUND(9.1/FX,2)</f>
        <v>1.26</v>
      </c>
      <c r="D314" s="21" t="s">
        <v>6549</v>
      </c>
      <c r="E314" s="21" t="s">
        <v>8168</v>
      </c>
      <c r="F314" s="21" t="s">
        <v>734</v>
      </c>
      <c r="G314" s="21" t="s">
        <v>7902</v>
      </c>
      <c r="H314" s="21" t="s">
        <v>8173</v>
      </c>
      <c r="I314" s="21" t="s">
        <v>8270</v>
      </c>
    </row>
    <row r="315" customFormat="false" ht="15" hidden="false" customHeight="false" outlineLevel="0" collapsed="false">
      <c r="B315" s="19" t="s">
        <v>8272</v>
      </c>
      <c r="C315" s="20" t="n">
        <f aca="false">ROUND(8.45/FX,2)</f>
        <v>1.17</v>
      </c>
      <c r="D315" s="21" t="s">
        <v>724</v>
      </c>
      <c r="E315" s="21" t="s">
        <v>8168</v>
      </c>
      <c r="F315" s="21" t="s">
        <v>734</v>
      </c>
      <c r="G315" s="21" t="s">
        <v>7902</v>
      </c>
      <c r="H315" s="21" t="s">
        <v>8173</v>
      </c>
      <c r="I315" s="21" t="s">
        <v>7829</v>
      </c>
    </row>
    <row r="316" customFormat="false" ht="15" hidden="false" customHeight="false" outlineLevel="0" collapsed="false">
      <c r="B316" s="19" t="s">
        <v>8273</v>
      </c>
      <c r="C316" s="20" t="n">
        <f aca="false">ROUND(9.75/FX,2)</f>
        <v>1.35</v>
      </c>
      <c r="D316" s="21" t="s">
        <v>724</v>
      </c>
      <c r="E316" s="21" t="s">
        <v>8168</v>
      </c>
      <c r="F316" s="21" t="s">
        <v>734</v>
      </c>
      <c r="G316" s="21" t="s">
        <v>7902</v>
      </c>
      <c r="H316" s="21" t="s">
        <v>8176</v>
      </c>
      <c r="I316" s="21" t="s">
        <v>7829</v>
      </c>
    </row>
    <row r="317" customFormat="false" ht="15" hidden="false" customHeight="false" outlineLevel="0" collapsed="false">
      <c r="B317" s="19" t="s">
        <v>8274</v>
      </c>
      <c r="C317" s="20" t="n">
        <f aca="false">ROUND(7.8/FX,2)</f>
        <v>1.08</v>
      </c>
      <c r="D317" s="21" t="s">
        <v>6549</v>
      </c>
      <c r="E317" s="21" t="s">
        <v>8168</v>
      </c>
      <c r="F317" s="21" t="s">
        <v>734</v>
      </c>
      <c r="G317" s="21" t="s">
        <v>7902</v>
      </c>
      <c r="H317" s="21" t="s">
        <v>8169</v>
      </c>
      <c r="I317" s="21" t="s">
        <v>7829</v>
      </c>
    </row>
    <row r="318" customFormat="false" ht="15" hidden="false" customHeight="false" outlineLevel="0" collapsed="false">
      <c r="B318" s="19" t="s">
        <v>8275</v>
      </c>
      <c r="C318" s="20" t="n">
        <f aca="false">ROUND(9.1/FX,2)</f>
        <v>1.26</v>
      </c>
      <c r="D318" s="21" t="s">
        <v>6549</v>
      </c>
      <c r="E318" s="21" t="s">
        <v>8168</v>
      </c>
      <c r="F318" s="21" t="s">
        <v>734</v>
      </c>
      <c r="G318" s="21" t="s">
        <v>7902</v>
      </c>
      <c r="H318" s="21" t="s">
        <v>8173</v>
      </c>
      <c r="I318" s="21" t="s">
        <v>7829</v>
      </c>
    </row>
    <row r="319" customFormat="false" ht="15" hidden="false" customHeight="false" outlineLevel="0" collapsed="false">
      <c r="B319" s="19" t="s">
        <v>8276</v>
      </c>
      <c r="C319" s="20" t="n">
        <f aca="false">ROUND(9.75/FX,2)</f>
        <v>1.35</v>
      </c>
      <c r="D319" s="21" t="s">
        <v>724</v>
      </c>
      <c r="E319" s="21" t="s">
        <v>8168</v>
      </c>
      <c r="F319" s="21" t="s">
        <v>734</v>
      </c>
      <c r="G319" s="21" t="s">
        <v>7902</v>
      </c>
      <c r="H319" s="21" t="s">
        <v>8173</v>
      </c>
      <c r="I319" s="21" t="s">
        <v>7831</v>
      </c>
    </row>
    <row r="320" customFormat="false" ht="15" hidden="false" customHeight="false" outlineLevel="0" collapsed="false">
      <c r="B320" s="19" t="s">
        <v>8277</v>
      </c>
      <c r="C320" s="20" t="n">
        <f aca="false">ROUND(9.75/FX,2)</f>
        <v>1.35</v>
      </c>
      <c r="D320" s="21" t="s">
        <v>724</v>
      </c>
      <c r="E320" s="21" t="s">
        <v>8168</v>
      </c>
      <c r="F320" s="21" t="s">
        <v>734</v>
      </c>
      <c r="G320" s="21" t="s">
        <v>7902</v>
      </c>
      <c r="H320" s="21" t="s">
        <v>8176</v>
      </c>
      <c r="I320" s="21" t="s">
        <v>7831</v>
      </c>
    </row>
    <row r="321" customFormat="false" ht="15" hidden="false" customHeight="false" outlineLevel="0" collapsed="false">
      <c r="B321" s="19" t="s">
        <v>8278</v>
      </c>
      <c r="C321" s="20" t="n">
        <f aca="false">ROUND(7.8/FX,2)</f>
        <v>1.08</v>
      </c>
      <c r="D321" s="21" t="s">
        <v>6549</v>
      </c>
      <c r="E321" s="21" t="s">
        <v>8168</v>
      </c>
      <c r="F321" s="21" t="s">
        <v>734</v>
      </c>
      <c r="G321" s="21" t="s">
        <v>7902</v>
      </c>
      <c r="H321" s="21" t="s">
        <v>8169</v>
      </c>
      <c r="I321" s="21" t="s">
        <v>7831</v>
      </c>
    </row>
    <row r="322" customFormat="false" ht="15" hidden="false" customHeight="false" outlineLevel="0" collapsed="false">
      <c r="B322" s="19" t="s">
        <v>8279</v>
      </c>
      <c r="C322" s="20" t="n">
        <f aca="false">ROUND(9.1/FX,2)</f>
        <v>1.26</v>
      </c>
      <c r="D322" s="21" t="s">
        <v>6549</v>
      </c>
      <c r="E322" s="21" t="s">
        <v>8168</v>
      </c>
      <c r="F322" s="21" t="s">
        <v>734</v>
      </c>
      <c r="G322" s="21" t="s">
        <v>7902</v>
      </c>
      <c r="H322" s="21" t="s">
        <v>8173</v>
      </c>
      <c r="I322" s="21" t="s">
        <v>7831</v>
      </c>
    </row>
    <row r="323" customFormat="false" ht="15" hidden="false" customHeight="false" outlineLevel="0" collapsed="false">
      <c r="B323" s="19" t="s">
        <v>8280</v>
      </c>
      <c r="C323" s="20" t="n">
        <f aca="false">ROUND(9.75/FX,2)</f>
        <v>1.35</v>
      </c>
      <c r="D323" s="21" t="s">
        <v>724</v>
      </c>
      <c r="E323" s="21" t="s">
        <v>8168</v>
      </c>
      <c r="F323" s="21" t="s">
        <v>734</v>
      </c>
      <c r="G323" s="21" t="s">
        <v>7902</v>
      </c>
      <c r="H323" s="21" t="s">
        <v>8173</v>
      </c>
      <c r="I323" s="21" t="s">
        <v>7944</v>
      </c>
    </row>
    <row r="324" customFormat="false" ht="15" hidden="false" customHeight="false" outlineLevel="0" collapsed="false">
      <c r="B324" s="19" t="s">
        <v>8281</v>
      </c>
      <c r="C324" s="20" t="n">
        <f aca="false">ROUND(9.75/FX,2)</f>
        <v>1.35</v>
      </c>
      <c r="D324" s="21" t="s">
        <v>724</v>
      </c>
      <c r="E324" s="21" t="s">
        <v>8168</v>
      </c>
      <c r="F324" s="21" t="s">
        <v>734</v>
      </c>
      <c r="G324" s="21" t="s">
        <v>7902</v>
      </c>
      <c r="H324" s="21" t="s">
        <v>8176</v>
      </c>
      <c r="I324" s="21" t="s">
        <v>7944</v>
      </c>
    </row>
    <row r="325" customFormat="false" ht="15" hidden="false" customHeight="false" outlineLevel="0" collapsed="false">
      <c r="B325" s="19" t="s">
        <v>8282</v>
      </c>
      <c r="C325" s="20" t="n">
        <f aca="false">ROUND(9.1/FX,2)</f>
        <v>1.26</v>
      </c>
      <c r="D325" s="21" t="s">
        <v>6549</v>
      </c>
      <c r="E325" s="21" t="s">
        <v>8168</v>
      </c>
      <c r="F325" s="21" t="s">
        <v>734</v>
      </c>
      <c r="G325" s="21" t="s">
        <v>7902</v>
      </c>
      <c r="H325" s="21" t="s">
        <v>8169</v>
      </c>
      <c r="I325" s="21" t="s">
        <v>7944</v>
      </c>
    </row>
    <row r="326" customFormat="false" ht="15" hidden="false" customHeight="false" outlineLevel="0" collapsed="false">
      <c r="B326" s="19" t="s">
        <v>8283</v>
      </c>
      <c r="C326" s="20" t="n">
        <f aca="false">ROUND(9.1/FX,2)</f>
        <v>1.26</v>
      </c>
      <c r="D326" s="21" t="s">
        <v>6549</v>
      </c>
      <c r="E326" s="21" t="s">
        <v>8168</v>
      </c>
      <c r="F326" s="21" t="s">
        <v>734</v>
      </c>
      <c r="G326" s="21" t="s">
        <v>7902</v>
      </c>
      <c r="H326" s="21" t="s">
        <v>8173</v>
      </c>
      <c r="I326" s="21" t="s">
        <v>7944</v>
      </c>
    </row>
    <row r="327" customFormat="false" ht="15" hidden="false" customHeight="false" outlineLevel="0" collapsed="false">
      <c r="B327" s="19" t="s">
        <v>8284</v>
      </c>
      <c r="C327" s="20" t="n">
        <f aca="false">ROUND(9.1/FX,2)</f>
        <v>1.26</v>
      </c>
      <c r="D327" s="21" t="s">
        <v>6549</v>
      </c>
      <c r="E327" s="21" t="s">
        <v>8168</v>
      </c>
      <c r="F327" s="21" t="s">
        <v>734</v>
      </c>
      <c r="G327" s="21" t="s">
        <v>7902</v>
      </c>
      <c r="H327" s="21" t="s">
        <v>8169</v>
      </c>
      <c r="I327" s="21" t="s">
        <v>7946</v>
      </c>
    </row>
    <row r="328" customFormat="false" ht="15" hidden="false" customHeight="false" outlineLevel="0" collapsed="false">
      <c r="B328" s="19" t="s">
        <v>8285</v>
      </c>
      <c r="C328" s="20" t="n">
        <f aca="false">ROUND(9.1/FX,2)</f>
        <v>1.26</v>
      </c>
      <c r="D328" s="21" t="s">
        <v>6549</v>
      </c>
      <c r="E328" s="21" t="s">
        <v>8168</v>
      </c>
      <c r="F328" s="21" t="s">
        <v>734</v>
      </c>
      <c r="G328" s="21" t="s">
        <v>7902</v>
      </c>
      <c r="H328" s="21" t="s">
        <v>8173</v>
      </c>
      <c r="I328" s="21" t="s">
        <v>7946</v>
      </c>
    </row>
    <row r="329" customFormat="false" ht="15" hidden="false" customHeight="false" outlineLevel="0" collapsed="false">
      <c r="B329" s="19" t="s">
        <v>8286</v>
      </c>
      <c r="C329" s="20" t="n">
        <f aca="false">ROUND(9.1/FX,2)</f>
        <v>1.26</v>
      </c>
      <c r="D329" s="21" t="s">
        <v>6549</v>
      </c>
      <c r="E329" s="21" t="s">
        <v>8168</v>
      </c>
      <c r="F329" s="21" t="s">
        <v>734</v>
      </c>
      <c r="G329" s="21" t="s">
        <v>7902</v>
      </c>
      <c r="H329" s="21" t="s">
        <v>8169</v>
      </c>
      <c r="I329" s="21" t="s">
        <v>8287</v>
      </c>
    </row>
    <row r="330" customFormat="false" ht="15" hidden="false" customHeight="false" outlineLevel="0" collapsed="false">
      <c r="B330" s="19" t="s">
        <v>8288</v>
      </c>
      <c r="C330" s="20" t="n">
        <f aca="false">ROUND(9.1/FX,2)</f>
        <v>1.26</v>
      </c>
      <c r="D330" s="21" t="s">
        <v>6549</v>
      </c>
      <c r="E330" s="21" t="s">
        <v>8168</v>
      </c>
      <c r="F330" s="21" t="s">
        <v>734</v>
      </c>
      <c r="G330" s="21" t="s">
        <v>7902</v>
      </c>
      <c r="H330" s="21" t="s">
        <v>8173</v>
      </c>
      <c r="I330" s="21" t="s">
        <v>8287</v>
      </c>
    </row>
    <row r="331" customFormat="false" ht="15" hidden="false" customHeight="false" outlineLevel="0" collapsed="false">
      <c r="B331" s="19" t="s">
        <v>8289</v>
      </c>
      <c r="C331" s="20" t="n">
        <f aca="false">ROUND(8.45/FX,2)</f>
        <v>1.17</v>
      </c>
      <c r="D331" s="21" t="s">
        <v>724</v>
      </c>
      <c r="E331" s="21" t="s">
        <v>8168</v>
      </c>
      <c r="F331" s="21" t="s">
        <v>734</v>
      </c>
      <c r="G331" s="21" t="s">
        <v>7902</v>
      </c>
      <c r="H331" s="21" t="s">
        <v>8173</v>
      </c>
      <c r="I331" s="21" t="s">
        <v>7833</v>
      </c>
    </row>
    <row r="332" customFormat="false" ht="15" hidden="false" customHeight="false" outlineLevel="0" collapsed="false">
      <c r="B332" s="19" t="s">
        <v>8290</v>
      </c>
      <c r="C332" s="20" t="n">
        <f aca="false">ROUND(8.45/FX,2)</f>
        <v>1.17</v>
      </c>
      <c r="D332" s="21" t="s">
        <v>724</v>
      </c>
      <c r="E332" s="21" t="s">
        <v>8168</v>
      </c>
      <c r="F332" s="21" t="s">
        <v>734</v>
      </c>
      <c r="G332" s="21" t="s">
        <v>7902</v>
      </c>
      <c r="H332" s="21" t="s">
        <v>8176</v>
      </c>
      <c r="I332" s="21" t="s">
        <v>7833</v>
      </c>
    </row>
    <row r="333" customFormat="false" ht="15" hidden="false" customHeight="false" outlineLevel="0" collapsed="false">
      <c r="B333" s="19" t="s">
        <v>8291</v>
      </c>
      <c r="C333" s="20" t="n">
        <f aca="false">ROUND(6.24/FX,2)</f>
        <v>0.87</v>
      </c>
      <c r="D333" s="21" t="s">
        <v>6549</v>
      </c>
      <c r="E333" s="21" t="s">
        <v>8168</v>
      </c>
      <c r="F333" s="21" t="s">
        <v>734</v>
      </c>
      <c r="G333" s="21" t="s">
        <v>7902</v>
      </c>
      <c r="H333" s="21" t="s">
        <v>8169</v>
      </c>
      <c r="I333" s="21" t="s">
        <v>7833</v>
      </c>
    </row>
    <row r="334" customFormat="false" ht="15" hidden="false" customHeight="false" outlineLevel="0" collapsed="false">
      <c r="B334" s="19" t="s">
        <v>8292</v>
      </c>
      <c r="C334" s="20" t="n">
        <f aca="false">ROUND(9.1/FX,2)</f>
        <v>1.26</v>
      </c>
      <c r="D334" s="21" t="s">
        <v>6549</v>
      </c>
      <c r="E334" s="21" t="s">
        <v>8168</v>
      </c>
      <c r="F334" s="21" t="s">
        <v>734</v>
      </c>
      <c r="G334" s="21" t="s">
        <v>7902</v>
      </c>
      <c r="H334" s="21" t="s">
        <v>8173</v>
      </c>
      <c r="I334" s="21" t="s">
        <v>7833</v>
      </c>
    </row>
    <row r="335" customFormat="false" ht="15" hidden="false" customHeight="false" outlineLevel="0" collapsed="false">
      <c r="B335" s="19" t="s">
        <v>8293</v>
      </c>
      <c r="C335" s="20" t="n">
        <f aca="false">ROUND(9.75/FX,2)</f>
        <v>1.35</v>
      </c>
      <c r="D335" s="21" t="s">
        <v>724</v>
      </c>
      <c r="E335" s="21" t="s">
        <v>8168</v>
      </c>
      <c r="F335" s="21" t="s">
        <v>734</v>
      </c>
      <c r="G335" s="21" t="s">
        <v>7902</v>
      </c>
      <c r="H335" s="21" t="s">
        <v>8173</v>
      </c>
      <c r="I335" s="21" t="s">
        <v>8294</v>
      </c>
    </row>
    <row r="336" customFormat="false" ht="15" hidden="false" customHeight="false" outlineLevel="0" collapsed="false">
      <c r="B336" s="19" t="s">
        <v>8295</v>
      </c>
      <c r="C336" s="20" t="n">
        <f aca="false">ROUND(9.75/FX,2)</f>
        <v>1.35</v>
      </c>
      <c r="D336" s="21" t="s">
        <v>724</v>
      </c>
      <c r="E336" s="21" t="s">
        <v>8168</v>
      </c>
      <c r="F336" s="21" t="s">
        <v>734</v>
      </c>
      <c r="G336" s="21" t="s">
        <v>7902</v>
      </c>
      <c r="H336" s="21" t="s">
        <v>8176</v>
      </c>
      <c r="I336" s="21" t="s">
        <v>8294</v>
      </c>
    </row>
    <row r="337" customFormat="false" ht="15" hidden="false" customHeight="false" outlineLevel="0" collapsed="false">
      <c r="B337" s="19" t="s">
        <v>8296</v>
      </c>
      <c r="C337" s="20" t="n">
        <f aca="false">ROUND(9.1/FX,2)</f>
        <v>1.26</v>
      </c>
      <c r="D337" s="21" t="s">
        <v>6549</v>
      </c>
      <c r="E337" s="21" t="s">
        <v>8168</v>
      </c>
      <c r="F337" s="21" t="s">
        <v>734</v>
      </c>
      <c r="G337" s="21" t="s">
        <v>7902</v>
      </c>
      <c r="H337" s="21" t="s">
        <v>8169</v>
      </c>
      <c r="I337" s="21" t="s">
        <v>8294</v>
      </c>
    </row>
    <row r="338" customFormat="false" ht="15" hidden="false" customHeight="false" outlineLevel="0" collapsed="false">
      <c r="B338" s="19" t="s">
        <v>8297</v>
      </c>
      <c r="C338" s="20" t="n">
        <f aca="false">ROUND(9.1/FX,2)</f>
        <v>1.26</v>
      </c>
      <c r="D338" s="21" t="s">
        <v>6549</v>
      </c>
      <c r="E338" s="21" t="s">
        <v>8168</v>
      </c>
      <c r="F338" s="21" t="s">
        <v>734</v>
      </c>
      <c r="G338" s="21" t="s">
        <v>7902</v>
      </c>
      <c r="H338" s="21" t="s">
        <v>8173</v>
      </c>
      <c r="I338" s="21" t="s">
        <v>8294</v>
      </c>
    </row>
    <row r="339" customFormat="false" ht="15" hidden="false" customHeight="false" outlineLevel="0" collapsed="false">
      <c r="B339" s="19" t="s">
        <v>8298</v>
      </c>
      <c r="C339" s="20" t="n">
        <f aca="false">ROUND(9.75/FX,2)</f>
        <v>1.35</v>
      </c>
      <c r="D339" s="21" t="s">
        <v>724</v>
      </c>
      <c r="E339" s="21" t="s">
        <v>8168</v>
      </c>
      <c r="F339" s="21" t="s">
        <v>734</v>
      </c>
      <c r="G339" s="21" t="s">
        <v>7902</v>
      </c>
      <c r="H339" s="21" t="s">
        <v>8173</v>
      </c>
      <c r="I339" s="21" t="s">
        <v>7891</v>
      </c>
    </row>
    <row r="340" customFormat="false" ht="15" hidden="false" customHeight="false" outlineLevel="0" collapsed="false">
      <c r="B340" s="19" t="s">
        <v>8299</v>
      </c>
      <c r="C340" s="20" t="n">
        <f aca="false">ROUND(9.75/FX,2)</f>
        <v>1.35</v>
      </c>
      <c r="D340" s="21" t="s">
        <v>724</v>
      </c>
      <c r="E340" s="21" t="s">
        <v>8168</v>
      </c>
      <c r="F340" s="21" t="s">
        <v>734</v>
      </c>
      <c r="G340" s="21" t="s">
        <v>7902</v>
      </c>
      <c r="H340" s="21" t="s">
        <v>8176</v>
      </c>
      <c r="I340" s="21" t="s">
        <v>7891</v>
      </c>
    </row>
    <row r="341" customFormat="false" ht="15" hidden="false" customHeight="false" outlineLevel="0" collapsed="false">
      <c r="B341" s="19" t="s">
        <v>8300</v>
      </c>
      <c r="C341" s="20" t="n">
        <f aca="false">ROUND(6.24/FX,2)</f>
        <v>0.87</v>
      </c>
      <c r="D341" s="21" t="s">
        <v>6549</v>
      </c>
      <c r="E341" s="21" t="s">
        <v>8168</v>
      </c>
      <c r="F341" s="21" t="s">
        <v>734</v>
      </c>
      <c r="G341" s="21" t="s">
        <v>7902</v>
      </c>
      <c r="H341" s="21" t="s">
        <v>8169</v>
      </c>
      <c r="I341" s="21" t="s">
        <v>7891</v>
      </c>
    </row>
    <row r="342" customFormat="false" ht="15" hidden="false" customHeight="false" outlineLevel="0" collapsed="false">
      <c r="B342" s="19" t="s">
        <v>8301</v>
      </c>
      <c r="C342" s="20" t="n">
        <f aca="false">ROUND(9.1/FX,2)</f>
        <v>1.26</v>
      </c>
      <c r="D342" s="21" t="s">
        <v>6549</v>
      </c>
      <c r="E342" s="21" t="s">
        <v>8168</v>
      </c>
      <c r="F342" s="21" t="s">
        <v>734</v>
      </c>
      <c r="G342" s="21" t="s">
        <v>7902</v>
      </c>
      <c r="H342" s="21" t="s">
        <v>8173</v>
      </c>
      <c r="I342" s="21" t="s">
        <v>7891</v>
      </c>
    </row>
    <row r="343" customFormat="false" ht="15" hidden="false" customHeight="false" outlineLevel="0" collapsed="false">
      <c r="B343" s="19" t="s">
        <v>8302</v>
      </c>
      <c r="C343" s="20" t="n">
        <f aca="false">ROUND(9.1/FX,2)</f>
        <v>1.26</v>
      </c>
      <c r="D343" s="21" t="s">
        <v>6549</v>
      </c>
      <c r="E343" s="21" t="s">
        <v>8168</v>
      </c>
      <c r="F343" s="21" t="s">
        <v>734</v>
      </c>
      <c r="G343" s="21" t="s">
        <v>7902</v>
      </c>
      <c r="H343" s="21" t="s">
        <v>8169</v>
      </c>
      <c r="I343" s="21" t="s">
        <v>8303</v>
      </c>
    </row>
    <row r="344" customFormat="false" ht="15" hidden="false" customHeight="false" outlineLevel="0" collapsed="false">
      <c r="B344" s="19" t="s">
        <v>8304</v>
      </c>
      <c r="C344" s="20" t="n">
        <f aca="false">ROUND(9.1/FX,2)</f>
        <v>1.26</v>
      </c>
      <c r="D344" s="21" t="s">
        <v>6549</v>
      </c>
      <c r="E344" s="21" t="s">
        <v>8168</v>
      </c>
      <c r="F344" s="21" t="s">
        <v>734</v>
      </c>
      <c r="G344" s="21" t="s">
        <v>7902</v>
      </c>
      <c r="H344" s="21" t="s">
        <v>8173</v>
      </c>
      <c r="I344" s="21" t="s">
        <v>8303</v>
      </c>
    </row>
    <row r="345" customFormat="false" ht="15" hidden="false" customHeight="false" outlineLevel="0" collapsed="false">
      <c r="B345" s="19" t="s">
        <v>8305</v>
      </c>
      <c r="C345" s="20" t="n">
        <f aca="false">ROUND(9.75/FX,2)</f>
        <v>1.35</v>
      </c>
      <c r="D345" s="21" t="s">
        <v>724</v>
      </c>
      <c r="E345" s="21" t="s">
        <v>8168</v>
      </c>
      <c r="F345" s="21" t="s">
        <v>734</v>
      </c>
      <c r="G345" s="21" t="s">
        <v>7902</v>
      </c>
      <c r="H345" s="21" t="s">
        <v>8173</v>
      </c>
      <c r="I345" s="21" t="s">
        <v>7860</v>
      </c>
    </row>
    <row r="346" customFormat="false" ht="15" hidden="false" customHeight="false" outlineLevel="0" collapsed="false">
      <c r="B346" s="19" t="s">
        <v>8306</v>
      </c>
      <c r="C346" s="20" t="n">
        <f aca="false">ROUND(9.75/FX,2)</f>
        <v>1.35</v>
      </c>
      <c r="D346" s="21" t="s">
        <v>724</v>
      </c>
      <c r="E346" s="21" t="s">
        <v>8168</v>
      </c>
      <c r="F346" s="21" t="s">
        <v>734</v>
      </c>
      <c r="G346" s="21" t="s">
        <v>7902</v>
      </c>
      <c r="H346" s="21" t="s">
        <v>8176</v>
      </c>
      <c r="I346" s="21" t="s">
        <v>7860</v>
      </c>
    </row>
    <row r="347" customFormat="false" ht="15" hidden="false" customHeight="false" outlineLevel="0" collapsed="false">
      <c r="B347" s="19" t="s">
        <v>8307</v>
      </c>
      <c r="C347" s="20" t="n">
        <f aca="false">ROUND(7.8/FX,2)</f>
        <v>1.08</v>
      </c>
      <c r="D347" s="21" t="s">
        <v>6549</v>
      </c>
      <c r="E347" s="21" t="s">
        <v>8168</v>
      </c>
      <c r="F347" s="21" t="s">
        <v>734</v>
      </c>
      <c r="G347" s="21" t="s">
        <v>7902</v>
      </c>
      <c r="H347" s="21" t="s">
        <v>8169</v>
      </c>
      <c r="I347" s="21" t="s">
        <v>7860</v>
      </c>
    </row>
    <row r="348" customFormat="false" ht="15" hidden="false" customHeight="false" outlineLevel="0" collapsed="false">
      <c r="B348" s="19" t="s">
        <v>8308</v>
      </c>
      <c r="C348" s="20" t="n">
        <f aca="false">ROUND(9.1/FX,2)</f>
        <v>1.26</v>
      </c>
      <c r="D348" s="21" t="s">
        <v>6549</v>
      </c>
      <c r="E348" s="21" t="s">
        <v>8168</v>
      </c>
      <c r="F348" s="21" t="s">
        <v>734</v>
      </c>
      <c r="G348" s="21" t="s">
        <v>7902</v>
      </c>
      <c r="H348" s="21" t="s">
        <v>8173</v>
      </c>
      <c r="I348" s="21" t="s">
        <v>7860</v>
      </c>
    </row>
    <row r="349" customFormat="false" ht="15" hidden="false" customHeight="false" outlineLevel="0" collapsed="false">
      <c r="B349" s="19" t="s">
        <v>8309</v>
      </c>
      <c r="C349" s="20" t="n">
        <f aca="false">ROUND(9.1/FX,2)</f>
        <v>1.26</v>
      </c>
      <c r="D349" s="21" t="s">
        <v>6549</v>
      </c>
      <c r="E349" s="21" t="s">
        <v>8168</v>
      </c>
      <c r="F349" s="21" t="s">
        <v>734</v>
      </c>
      <c r="G349" s="21" t="s">
        <v>7902</v>
      </c>
      <c r="H349" s="21" t="s">
        <v>8169</v>
      </c>
      <c r="I349" s="21" t="s">
        <v>8310</v>
      </c>
    </row>
    <row r="350" customFormat="false" ht="15" hidden="false" customHeight="false" outlineLevel="0" collapsed="false">
      <c r="B350" s="19" t="s">
        <v>8311</v>
      </c>
      <c r="C350" s="20" t="n">
        <f aca="false">ROUND(9.1/FX,2)</f>
        <v>1.26</v>
      </c>
      <c r="D350" s="21" t="s">
        <v>6549</v>
      </c>
      <c r="E350" s="21" t="s">
        <v>8168</v>
      </c>
      <c r="F350" s="21" t="s">
        <v>734</v>
      </c>
      <c r="G350" s="21" t="s">
        <v>7902</v>
      </c>
      <c r="H350" s="21" t="s">
        <v>8173</v>
      </c>
      <c r="I350" s="21" t="s">
        <v>8310</v>
      </c>
    </row>
    <row r="351" customFormat="false" ht="15" hidden="false" customHeight="false" outlineLevel="0" collapsed="false">
      <c r="B351" s="19" t="s">
        <v>8312</v>
      </c>
      <c r="C351" s="20" t="n">
        <f aca="false">ROUND(9.1/FX,2)</f>
        <v>1.26</v>
      </c>
      <c r="D351" s="21" t="s">
        <v>6549</v>
      </c>
      <c r="E351" s="21" t="s">
        <v>8168</v>
      </c>
      <c r="F351" s="21" t="s">
        <v>734</v>
      </c>
      <c r="G351" s="21" t="s">
        <v>7902</v>
      </c>
      <c r="H351" s="21" t="s">
        <v>8169</v>
      </c>
      <c r="I351" s="21" t="s">
        <v>8313</v>
      </c>
    </row>
    <row r="352" customFormat="false" ht="15" hidden="false" customHeight="false" outlineLevel="0" collapsed="false">
      <c r="B352" s="19" t="s">
        <v>8314</v>
      </c>
      <c r="C352" s="20" t="n">
        <f aca="false">ROUND(9.1/FX,2)</f>
        <v>1.26</v>
      </c>
      <c r="D352" s="21" t="s">
        <v>6549</v>
      </c>
      <c r="E352" s="21" t="s">
        <v>8168</v>
      </c>
      <c r="F352" s="21" t="s">
        <v>734</v>
      </c>
      <c r="G352" s="21" t="s">
        <v>7902</v>
      </c>
      <c r="H352" s="21" t="s">
        <v>8173</v>
      </c>
      <c r="I352" s="21" t="s">
        <v>8313</v>
      </c>
    </row>
    <row r="353" customFormat="false" ht="15" hidden="false" customHeight="false" outlineLevel="0" collapsed="false">
      <c r="B353" s="19" t="s">
        <v>8315</v>
      </c>
      <c r="C353" s="20" t="n">
        <f aca="false">ROUND(9.75/FX,2)</f>
        <v>1.35</v>
      </c>
      <c r="D353" s="21" t="s">
        <v>724</v>
      </c>
      <c r="E353" s="21" t="s">
        <v>8168</v>
      </c>
      <c r="F353" s="21" t="s">
        <v>734</v>
      </c>
      <c r="G353" s="21" t="s">
        <v>7902</v>
      </c>
      <c r="H353" s="21" t="s">
        <v>8173</v>
      </c>
      <c r="I353" s="21" t="s">
        <v>7893</v>
      </c>
    </row>
    <row r="354" customFormat="false" ht="15" hidden="false" customHeight="false" outlineLevel="0" collapsed="false">
      <c r="B354" s="19" t="s">
        <v>8316</v>
      </c>
      <c r="C354" s="20" t="n">
        <f aca="false">ROUND(9.75/FX,2)</f>
        <v>1.35</v>
      </c>
      <c r="D354" s="21" t="s">
        <v>724</v>
      </c>
      <c r="E354" s="21" t="s">
        <v>8168</v>
      </c>
      <c r="F354" s="21" t="s">
        <v>734</v>
      </c>
      <c r="G354" s="21" t="s">
        <v>7902</v>
      </c>
      <c r="H354" s="21" t="s">
        <v>8176</v>
      </c>
      <c r="I354" s="21" t="s">
        <v>7893</v>
      </c>
    </row>
    <row r="355" customFormat="false" ht="15" hidden="false" customHeight="false" outlineLevel="0" collapsed="false">
      <c r="B355" s="19" t="s">
        <v>8317</v>
      </c>
      <c r="C355" s="20" t="n">
        <f aca="false">ROUND(6.24/FX,2)</f>
        <v>0.87</v>
      </c>
      <c r="D355" s="21" t="s">
        <v>6549</v>
      </c>
      <c r="E355" s="21" t="s">
        <v>8168</v>
      </c>
      <c r="F355" s="21" t="s">
        <v>734</v>
      </c>
      <c r="G355" s="21" t="s">
        <v>7902</v>
      </c>
      <c r="H355" s="21" t="s">
        <v>8169</v>
      </c>
      <c r="I355" s="21" t="s">
        <v>7893</v>
      </c>
    </row>
    <row r="356" customFormat="false" ht="15" hidden="false" customHeight="false" outlineLevel="0" collapsed="false">
      <c r="B356" s="19" t="s">
        <v>8318</v>
      </c>
      <c r="C356" s="20" t="n">
        <f aca="false">ROUND(9.1/FX,2)</f>
        <v>1.26</v>
      </c>
      <c r="D356" s="21" t="s">
        <v>6549</v>
      </c>
      <c r="E356" s="21" t="s">
        <v>8168</v>
      </c>
      <c r="F356" s="21" t="s">
        <v>734</v>
      </c>
      <c r="G356" s="21" t="s">
        <v>7902</v>
      </c>
      <c r="H356" s="21" t="s">
        <v>8173</v>
      </c>
      <c r="I356" s="21" t="s">
        <v>7893</v>
      </c>
    </row>
    <row r="357" customFormat="false" ht="15" hidden="false" customHeight="false" outlineLevel="0" collapsed="false">
      <c r="B357" s="19" t="s">
        <v>8319</v>
      </c>
      <c r="C357" s="20" t="n">
        <f aca="false">ROUND(9.75/FX,2)</f>
        <v>1.35</v>
      </c>
      <c r="D357" s="21" t="s">
        <v>724</v>
      </c>
      <c r="E357" s="21" t="s">
        <v>8168</v>
      </c>
      <c r="F357" s="21" t="s">
        <v>734</v>
      </c>
      <c r="G357" s="21" t="s">
        <v>7902</v>
      </c>
      <c r="H357" s="21" t="s">
        <v>8173</v>
      </c>
      <c r="I357" s="21" t="s">
        <v>8320</v>
      </c>
    </row>
    <row r="358" customFormat="false" ht="15" hidden="false" customHeight="false" outlineLevel="0" collapsed="false">
      <c r="B358" s="19" t="s">
        <v>8321</v>
      </c>
      <c r="C358" s="20" t="n">
        <f aca="false">ROUND(9.75/FX,2)</f>
        <v>1.35</v>
      </c>
      <c r="D358" s="21" t="s">
        <v>724</v>
      </c>
      <c r="E358" s="21" t="s">
        <v>8168</v>
      </c>
      <c r="F358" s="21" t="s">
        <v>734</v>
      </c>
      <c r="G358" s="21" t="s">
        <v>7902</v>
      </c>
      <c r="H358" s="21" t="s">
        <v>8176</v>
      </c>
      <c r="I358" s="21" t="s">
        <v>8320</v>
      </c>
    </row>
    <row r="359" customFormat="false" ht="15" hidden="false" customHeight="false" outlineLevel="0" collapsed="false">
      <c r="B359" s="19" t="s">
        <v>8322</v>
      </c>
      <c r="C359" s="20" t="n">
        <f aca="false">ROUND(9.1/FX,2)</f>
        <v>1.26</v>
      </c>
      <c r="D359" s="21" t="s">
        <v>6549</v>
      </c>
      <c r="E359" s="21" t="s">
        <v>8168</v>
      </c>
      <c r="F359" s="21" t="s">
        <v>734</v>
      </c>
      <c r="G359" s="21" t="s">
        <v>7902</v>
      </c>
      <c r="H359" s="21" t="s">
        <v>8169</v>
      </c>
      <c r="I359" s="21" t="s">
        <v>8320</v>
      </c>
    </row>
    <row r="360" customFormat="false" ht="15" hidden="false" customHeight="false" outlineLevel="0" collapsed="false">
      <c r="B360" s="19" t="s">
        <v>8323</v>
      </c>
      <c r="C360" s="20" t="n">
        <f aca="false">ROUND(9.1/FX,2)</f>
        <v>1.26</v>
      </c>
      <c r="D360" s="21" t="s">
        <v>6549</v>
      </c>
      <c r="E360" s="21" t="s">
        <v>8168</v>
      </c>
      <c r="F360" s="21" t="s">
        <v>734</v>
      </c>
      <c r="G360" s="21" t="s">
        <v>7902</v>
      </c>
      <c r="H360" s="21" t="s">
        <v>8173</v>
      </c>
      <c r="I360" s="21" t="s">
        <v>8320</v>
      </c>
    </row>
    <row r="361" customFormat="false" ht="15" hidden="false" customHeight="false" outlineLevel="0" collapsed="false">
      <c r="B361" s="19" t="s">
        <v>8324</v>
      </c>
      <c r="C361" s="20" t="n">
        <f aca="false">ROUND(9.75/FX,2)</f>
        <v>1.35</v>
      </c>
      <c r="D361" s="21" t="s">
        <v>724</v>
      </c>
      <c r="E361" s="21" t="s">
        <v>8168</v>
      </c>
      <c r="F361" s="21" t="s">
        <v>734</v>
      </c>
      <c r="G361" s="21" t="s">
        <v>7902</v>
      </c>
      <c r="H361" s="21" t="s">
        <v>8173</v>
      </c>
      <c r="I361" s="21" t="s">
        <v>7895</v>
      </c>
    </row>
    <row r="362" customFormat="false" ht="15" hidden="false" customHeight="false" outlineLevel="0" collapsed="false">
      <c r="B362" s="19" t="s">
        <v>8325</v>
      </c>
      <c r="C362" s="20" t="n">
        <f aca="false">ROUND(9.75/FX,2)</f>
        <v>1.35</v>
      </c>
      <c r="D362" s="21" t="s">
        <v>724</v>
      </c>
      <c r="E362" s="21" t="s">
        <v>8168</v>
      </c>
      <c r="F362" s="21" t="s">
        <v>734</v>
      </c>
      <c r="G362" s="21" t="s">
        <v>7902</v>
      </c>
      <c r="H362" s="21" t="s">
        <v>8176</v>
      </c>
      <c r="I362" s="21" t="s">
        <v>7895</v>
      </c>
    </row>
    <row r="363" customFormat="false" ht="15" hidden="false" customHeight="false" outlineLevel="0" collapsed="false">
      <c r="B363" s="19" t="s">
        <v>8326</v>
      </c>
      <c r="C363" s="20" t="n">
        <f aca="false">ROUND(9.1/FX,2)</f>
        <v>1.26</v>
      </c>
      <c r="D363" s="21" t="s">
        <v>6549</v>
      </c>
      <c r="E363" s="21" t="s">
        <v>8168</v>
      </c>
      <c r="F363" s="21" t="s">
        <v>734</v>
      </c>
      <c r="G363" s="21" t="s">
        <v>7902</v>
      </c>
      <c r="H363" s="21" t="s">
        <v>8169</v>
      </c>
      <c r="I363" s="21" t="s">
        <v>7895</v>
      </c>
    </row>
    <row r="364" customFormat="false" ht="15" hidden="false" customHeight="false" outlineLevel="0" collapsed="false">
      <c r="B364" s="19" t="s">
        <v>8327</v>
      </c>
      <c r="C364" s="20" t="n">
        <f aca="false">ROUND(9.1/FX,2)</f>
        <v>1.26</v>
      </c>
      <c r="D364" s="21" t="s">
        <v>6549</v>
      </c>
      <c r="E364" s="21" t="s">
        <v>8168</v>
      </c>
      <c r="F364" s="21" t="s">
        <v>734</v>
      </c>
      <c r="G364" s="21" t="s">
        <v>7902</v>
      </c>
      <c r="H364" s="21" t="s">
        <v>8173</v>
      </c>
      <c r="I364" s="21" t="s">
        <v>7895</v>
      </c>
    </row>
    <row r="365" customFormat="false" ht="15" hidden="false" customHeight="false" outlineLevel="0" collapsed="false">
      <c r="B365" s="19" t="s">
        <v>8328</v>
      </c>
      <c r="C365" s="20" t="n">
        <f aca="false">ROUND(9.1/FX,2)</f>
        <v>1.26</v>
      </c>
      <c r="D365" s="21" t="s">
        <v>6549</v>
      </c>
      <c r="E365" s="21" t="s">
        <v>8168</v>
      </c>
      <c r="F365" s="21" t="s">
        <v>734</v>
      </c>
      <c r="G365" s="21" t="s">
        <v>7902</v>
      </c>
      <c r="H365" s="21" t="s">
        <v>8169</v>
      </c>
      <c r="I365" s="21" t="s">
        <v>8329</v>
      </c>
    </row>
    <row r="366" customFormat="false" ht="15" hidden="false" customHeight="false" outlineLevel="0" collapsed="false">
      <c r="B366" s="19" t="s">
        <v>8330</v>
      </c>
      <c r="C366" s="20" t="n">
        <f aca="false">ROUND(9.1/FX,2)</f>
        <v>1.26</v>
      </c>
      <c r="D366" s="21" t="s">
        <v>6549</v>
      </c>
      <c r="E366" s="21" t="s">
        <v>8168</v>
      </c>
      <c r="F366" s="21" t="s">
        <v>734</v>
      </c>
      <c r="G366" s="21" t="s">
        <v>7902</v>
      </c>
      <c r="H366" s="21" t="s">
        <v>8173</v>
      </c>
      <c r="I366" s="21" t="s">
        <v>8329</v>
      </c>
    </row>
    <row r="367" customFormat="false" ht="15" hidden="false" customHeight="false" outlineLevel="0" collapsed="false">
      <c r="B367" s="19" t="s">
        <v>8331</v>
      </c>
      <c r="C367" s="20" t="n">
        <f aca="false">ROUND(9.75/FX,2)</f>
        <v>1.35</v>
      </c>
      <c r="D367" s="21" t="s">
        <v>724</v>
      </c>
      <c r="E367" s="21" t="s">
        <v>8168</v>
      </c>
      <c r="F367" s="21" t="s">
        <v>734</v>
      </c>
      <c r="G367" s="21" t="s">
        <v>7902</v>
      </c>
      <c r="H367" s="21" t="s">
        <v>8173</v>
      </c>
      <c r="I367" s="21" t="s">
        <v>7862</v>
      </c>
    </row>
    <row r="368" customFormat="false" ht="15" hidden="false" customHeight="false" outlineLevel="0" collapsed="false">
      <c r="B368" s="19" t="s">
        <v>8332</v>
      </c>
      <c r="C368" s="20" t="n">
        <f aca="false">ROUND(9.75/FX,2)</f>
        <v>1.35</v>
      </c>
      <c r="D368" s="21" t="s">
        <v>724</v>
      </c>
      <c r="E368" s="21" t="s">
        <v>8168</v>
      </c>
      <c r="F368" s="21" t="s">
        <v>734</v>
      </c>
      <c r="G368" s="21" t="s">
        <v>7902</v>
      </c>
      <c r="H368" s="21" t="s">
        <v>8176</v>
      </c>
      <c r="I368" s="21" t="s">
        <v>7862</v>
      </c>
    </row>
    <row r="369" customFormat="false" ht="15" hidden="false" customHeight="false" outlineLevel="0" collapsed="false">
      <c r="B369" s="19" t="s">
        <v>8333</v>
      </c>
      <c r="C369" s="20" t="n">
        <f aca="false">ROUND(7.8/FX,2)</f>
        <v>1.08</v>
      </c>
      <c r="D369" s="21" t="s">
        <v>6549</v>
      </c>
      <c r="E369" s="21" t="s">
        <v>8168</v>
      </c>
      <c r="F369" s="21" t="s">
        <v>734</v>
      </c>
      <c r="G369" s="21" t="s">
        <v>7902</v>
      </c>
      <c r="H369" s="21" t="s">
        <v>8169</v>
      </c>
      <c r="I369" s="21" t="s">
        <v>7862</v>
      </c>
    </row>
    <row r="370" customFormat="false" ht="15" hidden="false" customHeight="false" outlineLevel="0" collapsed="false">
      <c r="B370" s="19" t="s">
        <v>8334</v>
      </c>
      <c r="C370" s="20" t="n">
        <f aca="false">ROUND(9.1/FX,2)</f>
        <v>1.26</v>
      </c>
      <c r="D370" s="21" t="s">
        <v>6549</v>
      </c>
      <c r="E370" s="21" t="s">
        <v>8168</v>
      </c>
      <c r="F370" s="21" t="s">
        <v>734</v>
      </c>
      <c r="G370" s="21" t="s">
        <v>7902</v>
      </c>
      <c r="H370" s="21" t="s">
        <v>8173</v>
      </c>
      <c r="I370" s="21" t="s">
        <v>7862</v>
      </c>
    </row>
    <row r="371" customFormat="false" ht="15" hidden="false" customHeight="false" outlineLevel="0" collapsed="false">
      <c r="B371" s="19" t="s">
        <v>8335</v>
      </c>
      <c r="C371" s="20" t="n">
        <f aca="false">ROUND(9.75/FX,2)</f>
        <v>1.35</v>
      </c>
      <c r="D371" s="21" t="s">
        <v>724</v>
      </c>
      <c r="E371" s="21" t="s">
        <v>8168</v>
      </c>
      <c r="F371" s="21" t="s">
        <v>734</v>
      </c>
      <c r="G371" s="21" t="s">
        <v>7902</v>
      </c>
      <c r="H371" s="21" t="s">
        <v>8173</v>
      </c>
      <c r="I371" s="21" t="s">
        <v>7864</v>
      </c>
    </row>
    <row r="372" customFormat="false" ht="15" hidden="false" customHeight="false" outlineLevel="0" collapsed="false">
      <c r="B372" s="19" t="s">
        <v>8336</v>
      </c>
      <c r="C372" s="20" t="n">
        <f aca="false">ROUND(9.75/FX,2)</f>
        <v>1.35</v>
      </c>
      <c r="D372" s="21" t="s">
        <v>724</v>
      </c>
      <c r="E372" s="21" t="s">
        <v>8168</v>
      </c>
      <c r="F372" s="21" t="s">
        <v>734</v>
      </c>
      <c r="G372" s="21" t="s">
        <v>7902</v>
      </c>
      <c r="H372" s="21" t="s">
        <v>8176</v>
      </c>
      <c r="I372" s="21" t="s">
        <v>7864</v>
      </c>
    </row>
    <row r="373" customFormat="false" ht="15" hidden="false" customHeight="false" outlineLevel="0" collapsed="false">
      <c r="B373" s="19" t="s">
        <v>8337</v>
      </c>
      <c r="C373" s="20" t="n">
        <f aca="false">ROUND(9.1/FX,2)</f>
        <v>1.26</v>
      </c>
      <c r="D373" s="21" t="s">
        <v>6549</v>
      </c>
      <c r="E373" s="21" t="s">
        <v>8168</v>
      </c>
      <c r="F373" s="21" t="s">
        <v>734</v>
      </c>
      <c r="G373" s="21" t="s">
        <v>7902</v>
      </c>
      <c r="H373" s="21" t="s">
        <v>8169</v>
      </c>
      <c r="I373" s="21" t="s">
        <v>7864</v>
      </c>
    </row>
    <row r="374" customFormat="false" ht="15" hidden="false" customHeight="false" outlineLevel="0" collapsed="false">
      <c r="B374" s="19" t="s">
        <v>8338</v>
      </c>
      <c r="C374" s="20" t="n">
        <f aca="false">ROUND(9.1/FX,2)</f>
        <v>1.26</v>
      </c>
      <c r="D374" s="21" t="s">
        <v>6549</v>
      </c>
      <c r="E374" s="21" t="s">
        <v>8168</v>
      </c>
      <c r="F374" s="21" t="s">
        <v>734</v>
      </c>
      <c r="G374" s="21" t="s">
        <v>7902</v>
      </c>
      <c r="H374" s="21" t="s">
        <v>8173</v>
      </c>
      <c r="I374" s="21" t="s">
        <v>7864</v>
      </c>
    </row>
    <row r="375" customFormat="false" ht="15" hidden="false" customHeight="false" outlineLevel="0" collapsed="false">
      <c r="B375" s="19" t="s">
        <v>8339</v>
      </c>
      <c r="C375" s="20" t="n">
        <f aca="false">ROUND(9.1/FX,2)</f>
        <v>1.26</v>
      </c>
      <c r="D375" s="21" t="s">
        <v>6549</v>
      </c>
      <c r="E375" s="21" t="s">
        <v>8168</v>
      </c>
      <c r="F375" s="21" t="s">
        <v>734</v>
      </c>
      <c r="G375" s="21" t="s">
        <v>7902</v>
      </c>
      <c r="H375" s="21" t="s">
        <v>8169</v>
      </c>
      <c r="I375" s="21" t="s">
        <v>7961</v>
      </c>
    </row>
    <row r="376" customFormat="false" ht="15" hidden="false" customHeight="false" outlineLevel="0" collapsed="false">
      <c r="B376" s="19" t="s">
        <v>8340</v>
      </c>
      <c r="C376" s="20" t="n">
        <f aca="false">ROUND(9.1/FX,2)</f>
        <v>1.26</v>
      </c>
      <c r="D376" s="21" t="s">
        <v>6549</v>
      </c>
      <c r="E376" s="21" t="s">
        <v>8168</v>
      </c>
      <c r="F376" s="21" t="s">
        <v>734</v>
      </c>
      <c r="G376" s="21" t="s">
        <v>7902</v>
      </c>
      <c r="H376" s="21" t="s">
        <v>8173</v>
      </c>
      <c r="I376" s="21" t="s">
        <v>7961</v>
      </c>
    </row>
    <row r="377" customFormat="false" ht="15" hidden="false" customHeight="false" outlineLevel="0" collapsed="false">
      <c r="B377" s="19" t="s">
        <v>8341</v>
      </c>
      <c r="C377" s="20" t="n">
        <f aca="false">ROUND(9.1/FX,2)</f>
        <v>1.26</v>
      </c>
      <c r="D377" s="21" t="s">
        <v>6549</v>
      </c>
      <c r="E377" s="21" t="s">
        <v>8168</v>
      </c>
      <c r="F377" s="21" t="s">
        <v>734</v>
      </c>
      <c r="G377" s="21" t="s">
        <v>7902</v>
      </c>
      <c r="H377" s="21" t="s">
        <v>8169</v>
      </c>
      <c r="I377" s="21" t="s">
        <v>8342</v>
      </c>
    </row>
    <row r="378" customFormat="false" ht="15" hidden="false" customHeight="false" outlineLevel="0" collapsed="false">
      <c r="B378" s="19" t="s">
        <v>8343</v>
      </c>
      <c r="C378" s="20" t="n">
        <f aca="false">ROUND(9.1/FX,2)</f>
        <v>1.26</v>
      </c>
      <c r="D378" s="21" t="s">
        <v>6549</v>
      </c>
      <c r="E378" s="21" t="s">
        <v>8168</v>
      </c>
      <c r="F378" s="21" t="s">
        <v>734</v>
      </c>
      <c r="G378" s="21" t="s">
        <v>7902</v>
      </c>
      <c r="H378" s="21" t="s">
        <v>8173</v>
      </c>
      <c r="I378" s="21" t="s">
        <v>8342</v>
      </c>
    </row>
    <row r="379" customFormat="false" ht="15" hidden="false" customHeight="false" outlineLevel="0" collapsed="false">
      <c r="B379" s="19" t="s">
        <v>8344</v>
      </c>
      <c r="C379" s="20" t="n">
        <f aca="false">ROUND(9.75/FX,2)</f>
        <v>1.35</v>
      </c>
      <c r="D379" s="21" t="s">
        <v>724</v>
      </c>
      <c r="E379" s="21" t="s">
        <v>8168</v>
      </c>
      <c r="F379" s="21" t="s">
        <v>734</v>
      </c>
      <c r="G379" s="21" t="s">
        <v>7902</v>
      </c>
      <c r="H379" s="21" t="s">
        <v>8173</v>
      </c>
      <c r="I379" s="21" t="s">
        <v>7872</v>
      </c>
    </row>
    <row r="380" customFormat="false" ht="15" hidden="false" customHeight="false" outlineLevel="0" collapsed="false">
      <c r="B380" s="19" t="s">
        <v>8345</v>
      </c>
      <c r="C380" s="20" t="n">
        <f aca="false">ROUND(9.75/FX,2)</f>
        <v>1.35</v>
      </c>
      <c r="D380" s="21" t="s">
        <v>724</v>
      </c>
      <c r="E380" s="21" t="s">
        <v>8168</v>
      </c>
      <c r="F380" s="21" t="s">
        <v>734</v>
      </c>
      <c r="G380" s="21" t="s">
        <v>7902</v>
      </c>
      <c r="H380" s="21" t="s">
        <v>8176</v>
      </c>
      <c r="I380" s="21" t="s">
        <v>7872</v>
      </c>
    </row>
    <row r="381" customFormat="false" ht="15" hidden="false" customHeight="false" outlineLevel="0" collapsed="false">
      <c r="B381" s="19" t="s">
        <v>8346</v>
      </c>
      <c r="C381" s="20" t="n">
        <f aca="false">ROUND(7.8/FX,2)</f>
        <v>1.08</v>
      </c>
      <c r="D381" s="21" t="s">
        <v>6549</v>
      </c>
      <c r="E381" s="21" t="s">
        <v>8168</v>
      </c>
      <c r="F381" s="21" t="s">
        <v>734</v>
      </c>
      <c r="G381" s="21" t="s">
        <v>7902</v>
      </c>
      <c r="H381" s="21" t="s">
        <v>8169</v>
      </c>
      <c r="I381" s="21" t="s">
        <v>7872</v>
      </c>
    </row>
    <row r="382" customFormat="false" ht="15" hidden="false" customHeight="false" outlineLevel="0" collapsed="false">
      <c r="B382" s="19" t="s">
        <v>8347</v>
      </c>
      <c r="C382" s="20" t="n">
        <f aca="false">ROUND(9.1/FX,2)</f>
        <v>1.26</v>
      </c>
      <c r="D382" s="21" t="s">
        <v>6549</v>
      </c>
      <c r="E382" s="21" t="s">
        <v>8168</v>
      </c>
      <c r="F382" s="21" t="s">
        <v>734</v>
      </c>
      <c r="G382" s="21" t="s">
        <v>7902</v>
      </c>
      <c r="H382" s="21" t="s">
        <v>8173</v>
      </c>
      <c r="I382" s="21" t="s">
        <v>7872</v>
      </c>
    </row>
    <row r="383" customFormat="false" ht="15" hidden="false" customHeight="false" outlineLevel="0" collapsed="false">
      <c r="B383" s="19" t="s">
        <v>8348</v>
      </c>
      <c r="C383" s="20" t="n">
        <f aca="false">ROUND(9.75/FX,2)</f>
        <v>1.35</v>
      </c>
      <c r="D383" s="21" t="s">
        <v>724</v>
      </c>
      <c r="E383" s="21" t="s">
        <v>8168</v>
      </c>
      <c r="F383" s="21" t="s">
        <v>734</v>
      </c>
      <c r="G383" s="21" t="s">
        <v>7902</v>
      </c>
      <c r="H383" s="21" t="s">
        <v>8173</v>
      </c>
      <c r="I383" s="21" t="s">
        <v>8349</v>
      </c>
    </row>
    <row r="384" customFormat="false" ht="15" hidden="false" customHeight="false" outlineLevel="0" collapsed="false">
      <c r="B384" s="19" t="s">
        <v>8350</v>
      </c>
      <c r="C384" s="20" t="n">
        <f aca="false">ROUND(9.75/FX,2)</f>
        <v>1.35</v>
      </c>
      <c r="D384" s="21" t="s">
        <v>724</v>
      </c>
      <c r="E384" s="21" t="s">
        <v>8168</v>
      </c>
      <c r="F384" s="21" t="s">
        <v>734</v>
      </c>
      <c r="G384" s="21" t="s">
        <v>7902</v>
      </c>
      <c r="H384" s="21" t="s">
        <v>8176</v>
      </c>
      <c r="I384" s="21" t="s">
        <v>8349</v>
      </c>
    </row>
    <row r="385" customFormat="false" ht="15" hidden="false" customHeight="false" outlineLevel="0" collapsed="false">
      <c r="B385" s="19" t="s">
        <v>8351</v>
      </c>
      <c r="C385" s="20" t="n">
        <f aca="false">ROUND(9.1/FX,2)</f>
        <v>1.26</v>
      </c>
      <c r="D385" s="21" t="s">
        <v>6549</v>
      </c>
      <c r="E385" s="21" t="s">
        <v>8168</v>
      </c>
      <c r="F385" s="21" t="s">
        <v>734</v>
      </c>
      <c r="G385" s="21" t="s">
        <v>7902</v>
      </c>
      <c r="H385" s="21" t="s">
        <v>8169</v>
      </c>
      <c r="I385" s="21" t="s">
        <v>8349</v>
      </c>
    </row>
    <row r="386" customFormat="false" ht="15" hidden="false" customHeight="false" outlineLevel="0" collapsed="false">
      <c r="B386" s="19" t="s">
        <v>8352</v>
      </c>
      <c r="C386" s="20" t="n">
        <f aca="false">ROUND(9.1/FX,2)</f>
        <v>1.26</v>
      </c>
      <c r="D386" s="21" t="s">
        <v>6549</v>
      </c>
      <c r="E386" s="21" t="s">
        <v>8168</v>
      </c>
      <c r="F386" s="21" t="s">
        <v>734</v>
      </c>
      <c r="G386" s="21" t="s">
        <v>7902</v>
      </c>
      <c r="H386" s="21" t="s">
        <v>8173</v>
      </c>
      <c r="I386" s="21" t="s">
        <v>8349</v>
      </c>
    </row>
    <row r="387" customFormat="false" ht="15" hidden="false" customHeight="false" outlineLevel="0" collapsed="false">
      <c r="B387" s="19" t="s">
        <v>8353</v>
      </c>
      <c r="C387" s="20" t="n">
        <f aca="false">ROUND(9.1/FX,2)</f>
        <v>1.26</v>
      </c>
      <c r="D387" s="21" t="s">
        <v>6549</v>
      </c>
      <c r="E387" s="21" t="s">
        <v>8168</v>
      </c>
      <c r="F387" s="21" t="s">
        <v>734</v>
      </c>
      <c r="G387" s="21" t="s">
        <v>7902</v>
      </c>
      <c r="H387" s="21" t="s">
        <v>8169</v>
      </c>
      <c r="I387" s="21" t="s">
        <v>8354</v>
      </c>
    </row>
    <row r="388" customFormat="false" ht="15" hidden="false" customHeight="false" outlineLevel="0" collapsed="false">
      <c r="B388" s="19" t="s">
        <v>8355</v>
      </c>
      <c r="C388" s="20" t="n">
        <f aca="false">ROUND(9.1/FX,2)</f>
        <v>1.26</v>
      </c>
      <c r="D388" s="21" t="s">
        <v>6549</v>
      </c>
      <c r="E388" s="21" t="s">
        <v>8168</v>
      </c>
      <c r="F388" s="21" t="s">
        <v>734</v>
      </c>
      <c r="G388" s="21" t="s">
        <v>7902</v>
      </c>
      <c r="H388" s="21" t="s">
        <v>8173</v>
      </c>
      <c r="I388" s="21" t="s">
        <v>8354</v>
      </c>
    </row>
    <row r="389" customFormat="false" ht="15" hidden="false" customHeight="false" outlineLevel="0" collapsed="false">
      <c r="B389" s="19" t="s">
        <v>8356</v>
      </c>
      <c r="C389" s="20" t="n">
        <f aca="false">ROUND(9.1/FX,2)</f>
        <v>1.26</v>
      </c>
      <c r="D389" s="21" t="s">
        <v>6549</v>
      </c>
      <c r="E389" s="21" t="s">
        <v>8168</v>
      </c>
      <c r="F389" s="21" t="s">
        <v>734</v>
      </c>
      <c r="G389" s="21" t="s">
        <v>7902</v>
      </c>
      <c r="H389" s="21" t="s">
        <v>8169</v>
      </c>
      <c r="I389" s="21" t="s">
        <v>8357</v>
      </c>
    </row>
    <row r="390" customFormat="false" ht="15" hidden="false" customHeight="false" outlineLevel="0" collapsed="false">
      <c r="B390" s="19" t="s">
        <v>8358</v>
      </c>
      <c r="C390" s="20" t="n">
        <f aca="false">ROUND(9.1/FX,2)</f>
        <v>1.26</v>
      </c>
      <c r="D390" s="21" t="s">
        <v>6549</v>
      </c>
      <c r="E390" s="21" t="s">
        <v>8168</v>
      </c>
      <c r="F390" s="21" t="s">
        <v>734</v>
      </c>
      <c r="G390" s="21" t="s">
        <v>7902</v>
      </c>
      <c r="H390" s="21" t="s">
        <v>8173</v>
      </c>
      <c r="I390" s="21" t="s">
        <v>8357</v>
      </c>
    </row>
    <row r="391" customFormat="false" ht="15" hidden="false" customHeight="false" outlineLevel="0" collapsed="false">
      <c r="B391" s="19" t="s">
        <v>8359</v>
      </c>
      <c r="C391" s="20" t="n">
        <f aca="false">ROUND(9.1/FX,2)</f>
        <v>1.26</v>
      </c>
      <c r="D391" s="21" t="s">
        <v>6549</v>
      </c>
      <c r="E391" s="21" t="s">
        <v>8168</v>
      </c>
      <c r="F391" s="21" t="s">
        <v>734</v>
      </c>
      <c r="G391" s="21" t="s">
        <v>7902</v>
      </c>
      <c r="H391" s="21" t="s">
        <v>8169</v>
      </c>
      <c r="I391" s="21" t="s">
        <v>8360</v>
      </c>
    </row>
    <row r="392" customFormat="false" ht="15" hidden="false" customHeight="false" outlineLevel="0" collapsed="false">
      <c r="B392" s="19" t="s">
        <v>8361</v>
      </c>
      <c r="C392" s="20" t="n">
        <f aca="false">ROUND(9.1/FX,2)</f>
        <v>1.26</v>
      </c>
      <c r="D392" s="21" t="s">
        <v>6549</v>
      </c>
      <c r="E392" s="21" t="s">
        <v>8168</v>
      </c>
      <c r="F392" s="21" t="s">
        <v>734</v>
      </c>
      <c r="G392" s="21" t="s">
        <v>7902</v>
      </c>
      <c r="H392" s="21" t="s">
        <v>8173</v>
      </c>
      <c r="I392" s="21" t="s">
        <v>8360</v>
      </c>
    </row>
    <row r="393" customFormat="false" ht="15" hidden="false" customHeight="false" outlineLevel="0" collapsed="false">
      <c r="B393" s="19" t="s">
        <v>8362</v>
      </c>
      <c r="C393" s="20" t="n">
        <f aca="false">ROUND(9.1/FX,2)</f>
        <v>1.26</v>
      </c>
      <c r="D393" s="21" t="s">
        <v>6549</v>
      </c>
      <c r="E393" s="21" t="s">
        <v>8168</v>
      </c>
      <c r="F393" s="21" t="s">
        <v>734</v>
      </c>
      <c r="G393" s="21" t="s">
        <v>7902</v>
      </c>
      <c r="H393" s="21" t="s">
        <v>8169</v>
      </c>
      <c r="I393" s="21" t="s">
        <v>8363</v>
      </c>
    </row>
    <row r="394" customFormat="false" ht="15" hidden="false" customHeight="false" outlineLevel="0" collapsed="false">
      <c r="B394" s="19" t="s">
        <v>8364</v>
      </c>
      <c r="C394" s="20" t="n">
        <f aca="false">ROUND(9.1/FX,2)</f>
        <v>1.26</v>
      </c>
      <c r="D394" s="21" t="s">
        <v>6549</v>
      </c>
      <c r="E394" s="21" t="s">
        <v>8168</v>
      </c>
      <c r="F394" s="21" t="s">
        <v>734</v>
      </c>
      <c r="G394" s="21" t="s">
        <v>7902</v>
      </c>
      <c r="H394" s="21" t="s">
        <v>8173</v>
      </c>
      <c r="I394" s="21" t="s">
        <v>8363</v>
      </c>
    </row>
    <row r="395" customFormat="false" ht="15" hidden="false" customHeight="false" outlineLevel="0" collapsed="false">
      <c r="B395" s="19" t="s">
        <v>8365</v>
      </c>
      <c r="C395" s="20" t="n">
        <f aca="false">ROUND(9.1/FX,2)</f>
        <v>1.26</v>
      </c>
      <c r="D395" s="21" t="s">
        <v>6549</v>
      </c>
      <c r="E395" s="21" t="s">
        <v>8168</v>
      </c>
      <c r="F395" s="21" t="s">
        <v>734</v>
      </c>
      <c r="G395" s="21" t="s">
        <v>7902</v>
      </c>
      <c r="H395" s="21" t="s">
        <v>8169</v>
      </c>
      <c r="I395" s="21" t="s">
        <v>8366</v>
      </c>
    </row>
    <row r="396" customFormat="false" ht="15" hidden="false" customHeight="false" outlineLevel="0" collapsed="false">
      <c r="B396" s="19" t="s">
        <v>8367</v>
      </c>
      <c r="C396" s="20" t="n">
        <f aca="false">ROUND(9.1/FX,2)</f>
        <v>1.26</v>
      </c>
      <c r="D396" s="21" t="s">
        <v>6549</v>
      </c>
      <c r="E396" s="21" t="s">
        <v>8168</v>
      </c>
      <c r="F396" s="21" t="s">
        <v>734</v>
      </c>
      <c r="G396" s="21" t="s">
        <v>7902</v>
      </c>
      <c r="H396" s="21" t="s">
        <v>8173</v>
      </c>
      <c r="I396" s="21" t="s">
        <v>8366</v>
      </c>
    </row>
    <row r="397" customFormat="false" ht="15" hidden="false" customHeight="false" outlineLevel="0" collapsed="false">
      <c r="B397" s="19" t="s">
        <v>8368</v>
      </c>
      <c r="C397" s="20" t="n">
        <f aca="false">ROUND(9.1/FX,2)</f>
        <v>1.26</v>
      </c>
      <c r="D397" s="21" t="s">
        <v>6549</v>
      </c>
      <c r="E397" s="21" t="s">
        <v>8168</v>
      </c>
      <c r="F397" s="21" t="s">
        <v>734</v>
      </c>
      <c r="G397" s="21" t="s">
        <v>7902</v>
      </c>
      <c r="H397" s="21" t="s">
        <v>8169</v>
      </c>
      <c r="I397" s="21" t="s">
        <v>7966</v>
      </c>
    </row>
    <row r="398" customFormat="false" ht="15" hidden="false" customHeight="false" outlineLevel="0" collapsed="false">
      <c r="B398" s="19" t="s">
        <v>8369</v>
      </c>
      <c r="C398" s="20" t="n">
        <f aca="false">ROUND(9.1/FX,2)</f>
        <v>1.26</v>
      </c>
      <c r="D398" s="21" t="s">
        <v>6549</v>
      </c>
      <c r="E398" s="21" t="s">
        <v>8168</v>
      </c>
      <c r="F398" s="21" t="s">
        <v>734</v>
      </c>
      <c r="G398" s="21" t="s">
        <v>7902</v>
      </c>
      <c r="H398" s="21" t="s">
        <v>8173</v>
      </c>
      <c r="I398" s="21" t="s">
        <v>7966</v>
      </c>
    </row>
    <row r="399" customFormat="false" ht="15" hidden="false" customHeight="false" outlineLevel="0" collapsed="false">
      <c r="B399" s="19" t="s">
        <v>8370</v>
      </c>
      <c r="C399" s="20" t="n">
        <f aca="false">ROUND(9.1/FX,2)</f>
        <v>1.26</v>
      </c>
      <c r="D399" s="21" t="s">
        <v>6549</v>
      </c>
      <c r="E399" s="21" t="s">
        <v>8168</v>
      </c>
      <c r="F399" s="21" t="s">
        <v>734</v>
      </c>
      <c r="G399" s="21" t="s">
        <v>7902</v>
      </c>
      <c r="H399" s="21" t="s">
        <v>8169</v>
      </c>
      <c r="I399" s="21" t="s">
        <v>8371</v>
      </c>
    </row>
    <row r="400" customFormat="false" ht="15" hidden="false" customHeight="false" outlineLevel="0" collapsed="false">
      <c r="B400" s="19" t="s">
        <v>8372</v>
      </c>
      <c r="C400" s="20" t="n">
        <f aca="false">ROUND(9.1/FX,2)</f>
        <v>1.26</v>
      </c>
      <c r="D400" s="21" t="s">
        <v>6549</v>
      </c>
      <c r="E400" s="21" t="s">
        <v>8168</v>
      </c>
      <c r="F400" s="21" t="s">
        <v>734</v>
      </c>
      <c r="G400" s="21" t="s">
        <v>7902</v>
      </c>
      <c r="H400" s="21" t="s">
        <v>8173</v>
      </c>
      <c r="I400" s="21" t="s">
        <v>8371</v>
      </c>
    </row>
    <row r="401" customFormat="false" ht="15" hidden="false" customHeight="false" outlineLevel="0" collapsed="false">
      <c r="B401" s="19" t="s">
        <v>8373</v>
      </c>
      <c r="C401" s="20" t="n">
        <f aca="false">ROUND(9.1/FX,2)</f>
        <v>1.26</v>
      </c>
      <c r="D401" s="21" t="s">
        <v>6549</v>
      </c>
      <c r="E401" s="21" t="s">
        <v>8168</v>
      </c>
      <c r="F401" s="21" t="s">
        <v>734</v>
      </c>
      <c r="G401" s="21" t="s">
        <v>7902</v>
      </c>
      <c r="H401" s="21" t="s">
        <v>8169</v>
      </c>
      <c r="I401" s="21" t="s">
        <v>7968</v>
      </c>
    </row>
    <row r="402" customFormat="false" ht="15" hidden="false" customHeight="false" outlineLevel="0" collapsed="false">
      <c r="B402" s="19" t="s">
        <v>8374</v>
      </c>
      <c r="C402" s="20" t="n">
        <f aca="false">ROUND(9.1/FX,2)</f>
        <v>1.26</v>
      </c>
      <c r="D402" s="21" t="s">
        <v>6549</v>
      </c>
      <c r="E402" s="21" t="s">
        <v>8168</v>
      </c>
      <c r="F402" s="21" t="s">
        <v>734</v>
      </c>
      <c r="G402" s="21" t="s">
        <v>7902</v>
      </c>
      <c r="H402" s="21" t="s">
        <v>8173</v>
      </c>
      <c r="I402" s="21" t="s">
        <v>7968</v>
      </c>
    </row>
    <row r="403" customFormat="false" ht="15" hidden="false" customHeight="false" outlineLevel="0" collapsed="false">
      <c r="B403" s="19" t="s">
        <v>8375</v>
      </c>
      <c r="C403" s="20" t="n">
        <f aca="false">ROUND(9.1/FX,2)</f>
        <v>1.26</v>
      </c>
      <c r="D403" s="21" t="s">
        <v>6549</v>
      </c>
      <c r="E403" s="21" t="s">
        <v>8168</v>
      </c>
      <c r="F403" s="21" t="s">
        <v>734</v>
      </c>
      <c r="G403" s="21" t="s">
        <v>7902</v>
      </c>
      <c r="H403" s="21" t="s">
        <v>8169</v>
      </c>
      <c r="I403" s="21" t="s">
        <v>8376</v>
      </c>
    </row>
    <row r="404" customFormat="false" ht="15" hidden="false" customHeight="false" outlineLevel="0" collapsed="false">
      <c r="B404" s="19" t="s">
        <v>8377</v>
      </c>
      <c r="C404" s="20" t="n">
        <f aca="false">ROUND(9.1/FX,2)</f>
        <v>1.26</v>
      </c>
      <c r="D404" s="21" t="s">
        <v>6549</v>
      </c>
      <c r="E404" s="21" t="s">
        <v>8168</v>
      </c>
      <c r="F404" s="21" t="s">
        <v>734</v>
      </c>
      <c r="G404" s="21" t="s">
        <v>7902</v>
      </c>
      <c r="H404" s="21" t="s">
        <v>8173</v>
      </c>
      <c r="I404" s="21" t="s">
        <v>8376</v>
      </c>
    </row>
    <row r="405" customFormat="false" ht="15" hidden="false" customHeight="false" outlineLevel="0" collapsed="false">
      <c r="B405" s="19" t="s">
        <v>8378</v>
      </c>
      <c r="C405" s="20" t="n">
        <f aca="false">ROUND(9.1/FX,2)</f>
        <v>1.26</v>
      </c>
      <c r="D405" s="21" t="s">
        <v>6549</v>
      </c>
      <c r="E405" s="21" t="s">
        <v>8168</v>
      </c>
      <c r="F405" s="21" t="s">
        <v>734</v>
      </c>
      <c r="G405" s="21" t="s">
        <v>7902</v>
      </c>
      <c r="H405" s="21" t="s">
        <v>8169</v>
      </c>
      <c r="I405" s="21" t="s">
        <v>8379</v>
      </c>
    </row>
    <row r="406" customFormat="false" ht="15" hidden="false" customHeight="false" outlineLevel="0" collapsed="false">
      <c r="B406" s="19" t="s">
        <v>8380</v>
      </c>
      <c r="C406" s="20" t="n">
        <f aca="false">ROUND(9.1/FX,2)</f>
        <v>1.26</v>
      </c>
      <c r="D406" s="21" t="s">
        <v>6549</v>
      </c>
      <c r="E406" s="21" t="s">
        <v>8168</v>
      </c>
      <c r="F406" s="21" t="s">
        <v>734</v>
      </c>
      <c r="G406" s="21" t="s">
        <v>7902</v>
      </c>
      <c r="H406" s="21" t="s">
        <v>8173</v>
      </c>
      <c r="I406" s="21" t="s">
        <v>8379</v>
      </c>
    </row>
    <row r="407" customFormat="false" ht="15" hidden="false" customHeight="false" outlineLevel="0" collapsed="false">
      <c r="B407" s="19" t="s">
        <v>8381</v>
      </c>
      <c r="C407" s="20" t="n">
        <f aca="false">ROUND(9.1/FX,2)</f>
        <v>1.26</v>
      </c>
      <c r="D407" s="21" t="s">
        <v>6549</v>
      </c>
      <c r="E407" s="21" t="s">
        <v>8168</v>
      </c>
      <c r="F407" s="21" t="s">
        <v>734</v>
      </c>
      <c r="G407" s="21" t="s">
        <v>7902</v>
      </c>
      <c r="H407" s="21" t="s">
        <v>8169</v>
      </c>
      <c r="I407" s="21" t="s">
        <v>8382</v>
      </c>
    </row>
    <row r="408" customFormat="false" ht="15" hidden="false" customHeight="false" outlineLevel="0" collapsed="false">
      <c r="B408" s="19" t="s">
        <v>8383</v>
      </c>
      <c r="C408" s="20" t="n">
        <f aca="false">ROUND(9.1/FX,2)</f>
        <v>1.26</v>
      </c>
      <c r="D408" s="21" t="s">
        <v>6549</v>
      </c>
      <c r="E408" s="21" t="s">
        <v>8168</v>
      </c>
      <c r="F408" s="21" t="s">
        <v>734</v>
      </c>
      <c r="G408" s="21" t="s">
        <v>7902</v>
      </c>
      <c r="H408" s="21" t="s">
        <v>8173</v>
      </c>
      <c r="I408" s="21" t="s">
        <v>8382</v>
      </c>
    </row>
    <row r="409" customFormat="false" ht="15" hidden="false" customHeight="false" outlineLevel="0" collapsed="false">
      <c r="B409" s="19" t="s">
        <v>8384</v>
      </c>
      <c r="C409" s="20" t="n">
        <f aca="false">ROUND(9.75/FX,2)</f>
        <v>1.35</v>
      </c>
      <c r="D409" s="21" t="s">
        <v>724</v>
      </c>
      <c r="E409" s="21" t="s">
        <v>8168</v>
      </c>
      <c r="F409" s="21" t="s">
        <v>734</v>
      </c>
      <c r="G409" s="21" t="s">
        <v>7902</v>
      </c>
      <c r="H409" s="21" t="s">
        <v>8173</v>
      </c>
      <c r="I409" s="21" t="s">
        <v>7899</v>
      </c>
    </row>
    <row r="410" customFormat="false" ht="15" hidden="false" customHeight="false" outlineLevel="0" collapsed="false">
      <c r="B410" s="19" t="s">
        <v>8385</v>
      </c>
      <c r="C410" s="20" t="n">
        <f aca="false">ROUND(9.75/FX,2)</f>
        <v>1.35</v>
      </c>
      <c r="D410" s="21" t="s">
        <v>724</v>
      </c>
      <c r="E410" s="21" t="s">
        <v>8168</v>
      </c>
      <c r="F410" s="21" t="s">
        <v>734</v>
      </c>
      <c r="G410" s="21" t="s">
        <v>7902</v>
      </c>
      <c r="H410" s="21" t="s">
        <v>8176</v>
      </c>
      <c r="I410" s="21" t="s">
        <v>7899</v>
      </c>
    </row>
    <row r="411" customFormat="false" ht="15" hidden="false" customHeight="false" outlineLevel="0" collapsed="false">
      <c r="B411" s="19" t="s">
        <v>8386</v>
      </c>
      <c r="C411" s="20" t="n">
        <f aca="false">ROUND(7.8/FX,2)</f>
        <v>1.08</v>
      </c>
      <c r="D411" s="21" t="s">
        <v>6549</v>
      </c>
      <c r="E411" s="21" t="s">
        <v>8168</v>
      </c>
      <c r="F411" s="21" t="s">
        <v>734</v>
      </c>
      <c r="G411" s="21" t="s">
        <v>7902</v>
      </c>
      <c r="H411" s="21" t="s">
        <v>8169</v>
      </c>
      <c r="I411" s="21" t="s">
        <v>7899</v>
      </c>
    </row>
    <row r="412" customFormat="false" ht="15" hidden="false" customHeight="false" outlineLevel="0" collapsed="false">
      <c r="B412" s="19" t="s">
        <v>8387</v>
      </c>
      <c r="C412" s="20" t="n">
        <f aca="false">ROUND(9.1/FX,2)</f>
        <v>1.26</v>
      </c>
      <c r="D412" s="21" t="s">
        <v>6549</v>
      </c>
      <c r="E412" s="21" t="s">
        <v>8168</v>
      </c>
      <c r="F412" s="21" t="s">
        <v>734</v>
      </c>
      <c r="G412" s="21" t="s">
        <v>7902</v>
      </c>
      <c r="H412" s="21" t="s">
        <v>8173</v>
      </c>
      <c r="I412" s="21" t="s">
        <v>7899</v>
      </c>
    </row>
    <row r="413" customFormat="false" ht="15" hidden="false" customHeight="false" outlineLevel="0" collapsed="false">
      <c r="B413" s="19" t="s">
        <v>8388</v>
      </c>
      <c r="C413" s="20" t="n">
        <f aca="false">ROUND(9.1/FX,2)</f>
        <v>1.26</v>
      </c>
      <c r="D413" s="21" t="s">
        <v>6549</v>
      </c>
      <c r="E413" s="21" t="s">
        <v>8168</v>
      </c>
      <c r="F413" s="21" t="s">
        <v>734</v>
      </c>
      <c r="G413" s="21" t="s">
        <v>7902</v>
      </c>
      <c r="H413" s="21" t="s">
        <v>8169</v>
      </c>
      <c r="I413" s="21" t="s">
        <v>8389</v>
      </c>
    </row>
    <row r="414" customFormat="false" ht="15" hidden="false" customHeight="false" outlineLevel="0" collapsed="false">
      <c r="B414" s="19" t="s">
        <v>8390</v>
      </c>
      <c r="C414" s="20" t="n">
        <f aca="false">ROUND(9.1/FX,2)</f>
        <v>1.26</v>
      </c>
      <c r="D414" s="21" t="s">
        <v>6549</v>
      </c>
      <c r="E414" s="21" t="s">
        <v>8168</v>
      </c>
      <c r="F414" s="21" t="s">
        <v>734</v>
      </c>
      <c r="G414" s="21" t="s">
        <v>7902</v>
      </c>
      <c r="H414" s="21" t="s">
        <v>8173</v>
      </c>
      <c r="I414" s="21" t="s">
        <v>8389</v>
      </c>
    </row>
    <row r="415" customFormat="false" ht="15" hidden="false" customHeight="false" outlineLevel="0" collapsed="false">
      <c r="B415" s="19" t="s">
        <v>8391</v>
      </c>
      <c r="C415" s="20" t="n">
        <f aca="false">ROUND(8.45/FX,2)</f>
        <v>1.17</v>
      </c>
      <c r="D415" s="21" t="s">
        <v>724</v>
      </c>
      <c r="E415" s="21" t="s">
        <v>8168</v>
      </c>
      <c r="F415" s="21" t="s">
        <v>734</v>
      </c>
      <c r="G415" s="21" t="s">
        <v>7902</v>
      </c>
      <c r="H415" s="21" t="s">
        <v>8173</v>
      </c>
      <c r="I415" s="21" t="s">
        <v>7866</v>
      </c>
    </row>
    <row r="416" customFormat="false" ht="15" hidden="false" customHeight="false" outlineLevel="0" collapsed="false">
      <c r="B416" s="19" t="s">
        <v>8392</v>
      </c>
      <c r="C416" s="20" t="n">
        <f aca="false">ROUND(8.45/FX,2)</f>
        <v>1.17</v>
      </c>
      <c r="D416" s="21" t="s">
        <v>724</v>
      </c>
      <c r="E416" s="21" t="s">
        <v>8168</v>
      </c>
      <c r="F416" s="21" t="s">
        <v>734</v>
      </c>
      <c r="G416" s="21" t="s">
        <v>7902</v>
      </c>
      <c r="H416" s="21" t="s">
        <v>8176</v>
      </c>
      <c r="I416" s="21" t="s">
        <v>7866</v>
      </c>
    </row>
    <row r="417" customFormat="false" ht="15" hidden="false" customHeight="false" outlineLevel="0" collapsed="false">
      <c r="B417" s="19" t="s">
        <v>8393</v>
      </c>
      <c r="C417" s="20" t="n">
        <f aca="false">ROUND(7.8/FX,2)</f>
        <v>1.08</v>
      </c>
      <c r="D417" s="21" t="s">
        <v>6549</v>
      </c>
      <c r="E417" s="21" t="s">
        <v>8168</v>
      </c>
      <c r="F417" s="21" t="s">
        <v>734</v>
      </c>
      <c r="G417" s="21" t="s">
        <v>7902</v>
      </c>
      <c r="H417" s="21" t="s">
        <v>8169</v>
      </c>
      <c r="I417" s="21" t="s">
        <v>7866</v>
      </c>
    </row>
    <row r="418" customFormat="false" ht="15" hidden="false" customHeight="false" outlineLevel="0" collapsed="false">
      <c r="B418" s="19" t="s">
        <v>8394</v>
      </c>
      <c r="C418" s="20" t="n">
        <f aca="false">ROUND(9.1/FX,2)</f>
        <v>1.26</v>
      </c>
      <c r="D418" s="21" t="s">
        <v>6549</v>
      </c>
      <c r="E418" s="21" t="s">
        <v>8168</v>
      </c>
      <c r="F418" s="21" t="s">
        <v>734</v>
      </c>
      <c r="G418" s="21" t="s">
        <v>7902</v>
      </c>
      <c r="H418" s="21" t="s">
        <v>8173</v>
      </c>
      <c r="I418" s="21" t="s">
        <v>7866</v>
      </c>
    </row>
    <row r="419" customFormat="false" ht="15" hidden="false" customHeight="false" outlineLevel="0" collapsed="false">
      <c r="B419" s="19" t="s">
        <v>8395</v>
      </c>
      <c r="C419" s="20" t="n">
        <f aca="false">ROUND(9.75/FX,2)</f>
        <v>1.35</v>
      </c>
      <c r="D419" s="21" t="s">
        <v>724</v>
      </c>
      <c r="E419" s="21" t="s">
        <v>8168</v>
      </c>
      <c r="F419" s="21" t="s">
        <v>734</v>
      </c>
      <c r="G419" s="21" t="s">
        <v>7902</v>
      </c>
      <c r="H419" s="21" t="s">
        <v>8173</v>
      </c>
      <c r="I419" s="21" t="s">
        <v>8396</v>
      </c>
    </row>
    <row r="420" customFormat="false" ht="15" hidden="false" customHeight="false" outlineLevel="0" collapsed="false">
      <c r="B420" s="19" t="s">
        <v>8397</v>
      </c>
      <c r="C420" s="20" t="n">
        <f aca="false">ROUND(9.75/FX,2)</f>
        <v>1.35</v>
      </c>
      <c r="D420" s="21" t="s">
        <v>724</v>
      </c>
      <c r="E420" s="21" t="s">
        <v>8168</v>
      </c>
      <c r="F420" s="21" t="s">
        <v>734</v>
      </c>
      <c r="G420" s="21" t="s">
        <v>7902</v>
      </c>
      <c r="H420" s="21" t="s">
        <v>8176</v>
      </c>
      <c r="I420" s="21" t="s">
        <v>8396</v>
      </c>
    </row>
    <row r="421" customFormat="false" ht="15" hidden="false" customHeight="false" outlineLevel="0" collapsed="false">
      <c r="B421" s="19" t="s">
        <v>8398</v>
      </c>
      <c r="C421" s="20" t="n">
        <f aca="false">ROUND(9.1/FX,2)</f>
        <v>1.26</v>
      </c>
      <c r="D421" s="21" t="s">
        <v>6549</v>
      </c>
      <c r="E421" s="21" t="s">
        <v>8168</v>
      </c>
      <c r="F421" s="21" t="s">
        <v>734</v>
      </c>
      <c r="G421" s="21" t="s">
        <v>7902</v>
      </c>
      <c r="H421" s="21" t="s">
        <v>8169</v>
      </c>
      <c r="I421" s="21" t="s">
        <v>8396</v>
      </c>
    </row>
    <row r="422" customFormat="false" ht="15" hidden="false" customHeight="false" outlineLevel="0" collapsed="false">
      <c r="B422" s="19" t="s">
        <v>8399</v>
      </c>
      <c r="C422" s="20" t="n">
        <f aca="false">ROUND(9.1/FX,2)</f>
        <v>1.26</v>
      </c>
      <c r="D422" s="21" t="s">
        <v>6549</v>
      </c>
      <c r="E422" s="21" t="s">
        <v>8168</v>
      </c>
      <c r="F422" s="21" t="s">
        <v>734</v>
      </c>
      <c r="G422" s="21" t="s">
        <v>7902</v>
      </c>
      <c r="H422" s="21" t="s">
        <v>8173</v>
      </c>
      <c r="I422" s="21" t="s">
        <v>8396</v>
      </c>
    </row>
    <row r="423" customFormat="false" ht="15" hidden="false" customHeight="false" outlineLevel="0" collapsed="false">
      <c r="B423" s="19" t="s">
        <v>8400</v>
      </c>
      <c r="C423" s="20" t="n">
        <f aca="false">ROUND(9.75/FX,2)</f>
        <v>1.35</v>
      </c>
      <c r="D423" s="21" t="s">
        <v>724</v>
      </c>
      <c r="E423" s="21" t="s">
        <v>8168</v>
      </c>
      <c r="F423" s="21" t="s">
        <v>734</v>
      </c>
      <c r="G423" s="21" t="s">
        <v>7902</v>
      </c>
      <c r="H423" s="21" t="s">
        <v>8173</v>
      </c>
      <c r="I423" s="21" t="s">
        <v>8401</v>
      </c>
    </row>
    <row r="424" customFormat="false" ht="15" hidden="false" customHeight="false" outlineLevel="0" collapsed="false">
      <c r="B424" s="19" t="s">
        <v>8402</v>
      </c>
      <c r="C424" s="20" t="n">
        <f aca="false">ROUND(9.75/FX,2)</f>
        <v>1.35</v>
      </c>
      <c r="D424" s="21" t="s">
        <v>724</v>
      </c>
      <c r="E424" s="21" t="s">
        <v>8168</v>
      </c>
      <c r="F424" s="21" t="s">
        <v>734</v>
      </c>
      <c r="G424" s="21" t="s">
        <v>7902</v>
      </c>
      <c r="H424" s="21" t="s">
        <v>8176</v>
      </c>
      <c r="I424" s="21" t="s">
        <v>8401</v>
      </c>
    </row>
    <row r="425" customFormat="false" ht="15" hidden="false" customHeight="false" outlineLevel="0" collapsed="false">
      <c r="B425" s="19" t="s">
        <v>8403</v>
      </c>
      <c r="C425" s="20" t="n">
        <f aca="false">ROUND(9.1/FX,2)</f>
        <v>1.26</v>
      </c>
      <c r="D425" s="21" t="s">
        <v>6549</v>
      </c>
      <c r="E425" s="21" t="s">
        <v>8168</v>
      </c>
      <c r="F425" s="21" t="s">
        <v>734</v>
      </c>
      <c r="G425" s="21" t="s">
        <v>7902</v>
      </c>
      <c r="H425" s="21" t="s">
        <v>8169</v>
      </c>
      <c r="I425" s="21" t="s">
        <v>8401</v>
      </c>
    </row>
    <row r="426" customFormat="false" ht="15" hidden="false" customHeight="false" outlineLevel="0" collapsed="false">
      <c r="B426" s="19" t="s">
        <v>8404</v>
      </c>
      <c r="C426" s="20" t="n">
        <f aca="false">ROUND(9.1/FX,2)</f>
        <v>1.26</v>
      </c>
      <c r="D426" s="21" t="s">
        <v>6549</v>
      </c>
      <c r="E426" s="21" t="s">
        <v>8168</v>
      </c>
      <c r="F426" s="21" t="s">
        <v>734</v>
      </c>
      <c r="G426" s="21" t="s">
        <v>7902</v>
      </c>
      <c r="H426" s="21" t="s">
        <v>8173</v>
      </c>
      <c r="I426" s="21" t="s">
        <v>8401</v>
      </c>
    </row>
    <row r="427" customFormat="false" ht="15" hidden="false" customHeight="false" outlineLevel="0" collapsed="false">
      <c r="B427" s="19" t="s">
        <v>8405</v>
      </c>
      <c r="C427" s="20" t="n">
        <f aca="false">ROUND(9.1/FX,2)</f>
        <v>1.26</v>
      </c>
      <c r="D427" s="21" t="s">
        <v>6549</v>
      </c>
      <c r="E427" s="21" t="s">
        <v>8168</v>
      </c>
      <c r="F427" s="21" t="s">
        <v>734</v>
      </c>
      <c r="G427" s="21" t="s">
        <v>7902</v>
      </c>
      <c r="H427" s="21" t="s">
        <v>8169</v>
      </c>
      <c r="I427" s="21" t="s">
        <v>8406</v>
      </c>
    </row>
    <row r="428" customFormat="false" ht="15" hidden="false" customHeight="false" outlineLevel="0" collapsed="false">
      <c r="B428" s="19" t="s">
        <v>8407</v>
      </c>
      <c r="C428" s="20" t="n">
        <f aca="false">ROUND(9.1/FX,2)</f>
        <v>1.26</v>
      </c>
      <c r="D428" s="21" t="s">
        <v>6549</v>
      </c>
      <c r="E428" s="21" t="s">
        <v>8168</v>
      </c>
      <c r="F428" s="21" t="s">
        <v>734</v>
      </c>
      <c r="G428" s="21" t="s">
        <v>7902</v>
      </c>
      <c r="H428" s="21" t="s">
        <v>8173</v>
      </c>
      <c r="I428" s="21" t="s">
        <v>8406</v>
      </c>
    </row>
    <row r="429" customFormat="false" ht="15" hidden="false" customHeight="false" outlineLevel="0" collapsed="false">
      <c r="B429" s="19" t="s">
        <v>8408</v>
      </c>
      <c r="C429" s="20" t="n">
        <f aca="false">ROUND(9.75/FX,2)</f>
        <v>1.35</v>
      </c>
      <c r="D429" s="21" t="s">
        <v>724</v>
      </c>
      <c r="E429" s="21" t="s">
        <v>8168</v>
      </c>
      <c r="F429" s="21" t="s">
        <v>734</v>
      </c>
      <c r="G429" s="21" t="s">
        <v>7902</v>
      </c>
      <c r="H429" s="21" t="s">
        <v>8173</v>
      </c>
      <c r="I429" s="21" t="s">
        <v>8409</v>
      </c>
    </row>
    <row r="430" customFormat="false" ht="15" hidden="false" customHeight="false" outlineLevel="0" collapsed="false">
      <c r="B430" s="19" t="s">
        <v>8410</v>
      </c>
      <c r="C430" s="20" t="n">
        <f aca="false">ROUND(8.45/FX,2)</f>
        <v>1.17</v>
      </c>
      <c r="D430" s="21" t="s">
        <v>724</v>
      </c>
      <c r="E430" s="21" t="s">
        <v>8168</v>
      </c>
      <c r="F430" s="21" t="s">
        <v>734</v>
      </c>
      <c r="G430" s="21" t="s">
        <v>7902</v>
      </c>
      <c r="H430" s="21" t="s">
        <v>8176</v>
      </c>
      <c r="I430" s="21" t="s">
        <v>8409</v>
      </c>
    </row>
    <row r="431" customFormat="false" ht="15" hidden="false" customHeight="false" outlineLevel="0" collapsed="false">
      <c r="B431" s="19" t="s">
        <v>8411</v>
      </c>
      <c r="C431" s="20" t="n">
        <f aca="false">ROUND(9.1/FX,2)</f>
        <v>1.26</v>
      </c>
      <c r="D431" s="21" t="s">
        <v>6549</v>
      </c>
      <c r="E431" s="21" t="s">
        <v>8168</v>
      </c>
      <c r="F431" s="21" t="s">
        <v>734</v>
      </c>
      <c r="G431" s="21" t="s">
        <v>7902</v>
      </c>
      <c r="H431" s="21" t="s">
        <v>8169</v>
      </c>
      <c r="I431" s="21" t="s">
        <v>8409</v>
      </c>
    </row>
    <row r="432" customFormat="false" ht="15" hidden="false" customHeight="false" outlineLevel="0" collapsed="false">
      <c r="B432" s="19" t="s">
        <v>8412</v>
      </c>
      <c r="C432" s="20" t="n">
        <f aca="false">ROUND(9.1/FX,2)</f>
        <v>1.26</v>
      </c>
      <c r="D432" s="21" t="s">
        <v>6549</v>
      </c>
      <c r="E432" s="21" t="s">
        <v>8168</v>
      </c>
      <c r="F432" s="21" t="s">
        <v>734</v>
      </c>
      <c r="G432" s="21" t="s">
        <v>7902</v>
      </c>
      <c r="H432" s="21" t="s">
        <v>8173</v>
      </c>
      <c r="I432" s="21" t="s">
        <v>8409</v>
      </c>
    </row>
    <row r="433" customFormat="false" ht="15" hidden="false" customHeight="false" outlineLevel="0" collapsed="false">
      <c r="B433" s="19" t="s">
        <v>8413</v>
      </c>
      <c r="C433" s="20" t="n">
        <f aca="false">ROUND(6.5/FX,2)</f>
        <v>0.9</v>
      </c>
      <c r="D433" s="21" t="s">
        <v>6549</v>
      </c>
      <c r="E433" s="21" t="s">
        <v>8168</v>
      </c>
      <c r="F433" s="21" t="s">
        <v>734</v>
      </c>
      <c r="G433" s="21" t="s">
        <v>7979</v>
      </c>
      <c r="H433" s="21" t="s">
        <v>8173</v>
      </c>
      <c r="I433" s="21" t="s">
        <v>7875</v>
      </c>
    </row>
    <row r="434" customFormat="false" ht="15" hidden="false" customHeight="false" outlineLevel="0" collapsed="false">
      <c r="B434" s="19" t="s">
        <v>8414</v>
      </c>
      <c r="C434" s="20" t="n">
        <f aca="false">ROUND(9.75/FX,2)</f>
        <v>1.35</v>
      </c>
      <c r="D434" s="21" t="s">
        <v>6549</v>
      </c>
      <c r="E434" s="21" t="s">
        <v>8168</v>
      </c>
      <c r="F434" s="21" t="s">
        <v>734</v>
      </c>
      <c r="G434" s="21" t="s">
        <v>7979</v>
      </c>
      <c r="H434" s="21" t="s">
        <v>8415</v>
      </c>
      <c r="I434" s="21" t="s">
        <v>7875</v>
      </c>
    </row>
    <row r="435" customFormat="false" ht="15" hidden="false" customHeight="false" outlineLevel="0" collapsed="false">
      <c r="B435" s="19" t="s">
        <v>8416</v>
      </c>
      <c r="C435" s="20" t="n">
        <f aca="false">ROUND(9.75/FX,2)</f>
        <v>1.35</v>
      </c>
      <c r="D435" s="21" t="s">
        <v>6549</v>
      </c>
      <c r="E435" s="21" t="s">
        <v>8168</v>
      </c>
      <c r="F435" s="21" t="s">
        <v>734</v>
      </c>
      <c r="G435" s="21" t="s">
        <v>7979</v>
      </c>
      <c r="H435" s="21" t="s">
        <v>8176</v>
      </c>
      <c r="I435" s="21" t="s">
        <v>7875</v>
      </c>
    </row>
    <row r="436" customFormat="false" ht="15" hidden="false" customHeight="false" outlineLevel="0" collapsed="false">
      <c r="B436" s="19" t="s">
        <v>8417</v>
      </c>
      <c r="C436" s="20" t="n">
        <f aca="false">ROUND(9.75/FX,2)</f>
        <v>1.35</v>
      </c>
      <c r="D436" s="21" t="s">
        <v>6549</v>
      </c>
      <c r="E436" s="21" t="s">
        <v>8168</v>
      </c>
      <c r="F436" s="21" t="s">
        <v>734</v>
      </c>
      <c r="G436" s="21" t="s">
        <v>7979</v>
      </c>
      <c r="H436" s="21" t="s">
        <v>8173</v>
      </c>
      <c r="I436" s="21" t="s">
        <v>7910</v>
      </c>
    </row>
    <row r="437" customFormat="false" ht="15" hidden="false" customHeight="false" outlineLevel="0" collapsed="false">
      <c r="B437" s="19" t="s">
        <v>8418</v>
      </c>
      <c r="C437" s="20" t="n">
        <f aca="false">ROUND(9.75/FX,2)</f>
        <v>1.35</v>
      </c>
      <c r="D437" s="21" t="s">
        <v>6549</v>
      </c>
      <c r="E437" s="21" t="s">
        <v>8168</v>
      </c>
      <c r="F437" s="21" t="s">
        <v>734</v>
      </c>
      <c r="G437" s="21" t="s">
        <v>7979</v>
      </c>
      <c r="H437" s="21" t="s">
        <v>8415</v>
      </c>
      <c r="I437" s="21" t="s">
        <v>7910</v>
      </c>
    </row>
    <row r="438" customFormat="false" ht="15" hidden="false" customHeight="false" outlineLevel="0" collapsed="false">
      <c r="B438" s="19" t="s">
        <v>8419</v>
      </c>
      <c r="C438" s="20" t="n">
        <f aca="false">ROUND(9.75/FX,2)</f>
        <v>1.35</v>
      </c>
      <c r="D438" s="21" t="s">
        <v>6549</v>
      </c>
      <c r="E438" s="21" t="s">
        <v>8168</v>
      </c>
      <c r="F438" s="21" t="s">
        <v>734</v>
      </c>
      <c r="G438" s="21" t="s">
        <v>7979</v>
      </c>
      <c r="H438" s="21" t="s">
        <v>8176</v>
      </c>
      <c r="I438" s="21" t="s">
        <v>7910</v>
      </c>
    </row>
    <row r="439" customFormat="false" ht="15" hidden="false" customHeight="false" outlineLevel="0" collapsed="false">
      <c r="B439" s="19" t="s">
        <v>8420</v>
      </c>
      <c r="C439" s="20" t="n">
        <f aca="false">ROUND(9.75/FX,2)</f>
        <v>1.35</v>
      </c>
      <c r="D439" s="21" t="s">
        <v>6549</v>
      </c>
      <c r="E439" s="21" t="s">
        <v>8168</v>
      </c>
      <c r="F439" s="21" t="s">
        <v>734</v>
      </c>
      <c r="G439" s="21" t="s">
        <v>7979</v>
      </c>
      <c r="H439" s="21" t="s">
        <v>8173</v>
      </c>
      <c r="I439" s="21" t="s">
        <v>8188</v>
      </c>
    </row>
    <row r="440" customFormat="false" ht="15" hidden="false" customHeight="false" outlineLevel="0" collapsed="false">
      <c r="B440" s="19" t="s">
        <v>8421</v>
      </c>
      <c r="C440" s="20" t="n">
        <f aca="false">ROUND(9.75/FX,2)</f>
        <v>1.35</v>
      </c>
      <c r="D440" s="21" t="s">
        <v>6549</v>
      </c>
      <c r="E440" s="21" t="s">
        <v>8168</v>
      </c>
      <c r="F440" s="21" t="s">
        <v>734</v>
      </c>
      <c r="G440" s="21" t="s">
        <v>7979</v>
      </c>
      <c r="H440" s="21" t="s">
        <v>8415</v>
      </c>
      <c r="I440" s="21" t="s">
        <v>8188</v>
      </c>
    </row>
    <row r="441" customFormat="false" ht="15" hidden="false" customHeight="false" outlineLevel="0" collapsed="false">
      <c r="B441" s="19" t="s">
        <v>8422</v>
      </c>
      <c r="C441" s="20" t="n">
        <f aca="false">ROUND(9.75/FX,2)</f>
        <v>1.35</v>
      </c>
      <c r="D441" s="21" t="s">
        <v>6549</v>
      </c>
      <c r="E441" s="21" t="s">
        <v>8168</v>
      </c>
      <c r="F441" s="21" t="s">
        <v>734</v>
      </c>
      <c r="G441" s="21" t="s">
        <v>7979</v>
      </c>
      <c r="H441" s="21" t="s">
        <v>8176</v>
      </c>
      <c r="I441" s="21" t="s">
        <v>8188</v>
      </c>
    </row>
    <row r="442" customFormat="false" ht="15" hidden="false" customHeight="false" outlineLevel="0" collapsed="false">
      <c r="B442" s="19" t="s">
        <v>8423</v>
      </c>
      <c r="C442" s="20" t="n">
        <f aca="false">ROUND(9.75/FX,2)</f>
        <v>1.35</v>
      </c>
      <c r="D442" s="21" t="s">
        <v>6549</v>
      </c>
      <c r="E442" s="21" t="s">
        <v>8168</v>
      </c>
      <c r="F442" s="21" t="s">
        <v>734</v>
      </c>
      <c r="G442" s="21" t="s">
        <v>7979</v>
      </c>
      <c r="H442" s="21" t="s">
        <v>8173</v>
      </c>
      <c r="I442" s="21" t="s">
        <v>7912</v>
      </c>
    </row>
    <row r="443" customFormat="false" ht="15" hidden="false" customHeight="false" outlineLevel="0" collapsed="false">
      <c r="B443" s="19" t="s">
        <v>8424</v>
      </c>
      <c r="C443" s="20" t="n">
        <f aca="false">ROUND(9.75/FX,2)</f>
        <v>1.35</v>
      </c>
      <c r="D443" s="21" t="s">
        <v>6549</v>
      </c>
      <c r="E443" s="21" t="s">
        <v>8168</v>
      </c>
      <c r="F443" s="21" t="s">
        <v>734</v>
      </c>
      <c r="G443" s="21" t="s">
        <v>7979</v>
      </c>
      <c r="H443" s="21" t="s">
        <v>8415</v>
      </c>
      <c r="I443" s="21" t="s">
        <v>7912</v>
      </c>
    </row>
    <row r="444" customFormat="false" ht="15" hidden="false" customHeight="false" outlineLevel="0" collapsed="false">
      <c r="B444" s="19" t="s">
        <v>8425</v>
      </c>
      <c r="C444" s="20" t="n">
        <f aca="false">ROUND(9.75/FX,2)</f>
        <v>1.35</v>
      </c>
      <c r="D444" s="21" t="s">
        <v>6549</v>
      </c>
      <c r="E444" s="21" t="s">
        <v>8168</v>
      </c>
      <c r="F444" s="21" t="s">
        <v>734</v>
      </c>
      <c r="G444" s="21" t="s">
        <v>7979</v>
      </c>
      <c r="H444" s="21" t="s">
        <v>8176</v>
      </c>
      <c r="I444" s="21" t="s">
        <v>7912</v>
      </c>
    </row>
    <row r="445" customFormat="false" ht="15" hidden="false" customHeight="false" outlineLevel="0" collapsed="false">
      <c r="B445" s="19" t="s">
        <v>8426</v>
      </c>
      <c r="C445" s="20" t="n">
        <f aca="false">ROUND(9.75/FX,2)</f>
        <v>1.35</v>
      </c>
      <c r="D445" s="21" t="s">
        <v>6549</v>
      </c>
      <c r="E445" s="21" t="s">
        <v>8168</v>
      </c>
      <c r="F445" s="21" t="s">
        <v>734</v>
      </c>
      <c r="G445" s="21" t="s">
        <v>7979</v>
      </c>
      <c r="H445" s="21" t="s">
        <v>8173</v>
      </c>
      <c r="I445" s="21" t="s">
        <v>8193</v>
      </c>
    </row>
    <row r="446" customFormat="false" ht="15" hidden="false" customHeight="false" outlineLevel="0" collapsed="false">
      <c r="B446" s="19" t="s">
        <v>8427</v>
      </c>
      <c r="C446" s="20" t="n">
        <f aca="false">ROUND(9.75/FX,2)</f>
        <v>1.35</v>
      </c>
      <c r="D446" s="21" t="s">
        <v>6549</v>
      </c>
      <c r="E446" s="21" t="s">
        <v>8168</v>
      </c>
      <c r="F446" s="21" t="s">
        <v>734</v>
      </c>
      <c r="G446" s="21" t="s">
        <v>7979</v>
      </c>
      <c r="H446" s="21" t="s">
        <v>8415</v>
      </c>
      <c r="I446" s="21" t="s">
        <v>8193</v>
      </c>
    </row>
    <row r="447" customFormat="false" ht="15" hidden="false" customHeight="false" outlineLevel="0" collapsed="false">
      <c r="B447" s="19" t="s">
        <v>8428</v>
      </c>
      <c r="C447" s="20" t="n">
        <f aca="false">ROUND(9.75/FX,2)</f>
        <v>1.35</v>
      </c>
      <c r="D447" s="21" t="s">
        <v>6549</v>
      </c>
      <c r="E447" s="21" t="s">
        <v>8168</v>
      </c>
      <c r="F447" s="21" t="s">
        <v>734</v>
      </c>
      <c r="G447" s="21" t="s">
        <v>7979</v>
      </c>
      <c r="H447" s="21" t="s">
        <v>8176</v>
      </c>
      <c r="I447" s="21" t="s">
        <v>8193</v>
      </c>
    </row>
    <row r="448" customFormat="false" ht="15" hidden="false" customHeight="false" outlineLevel="0" collapsed="false">
      <c r="B448" s="19" t="s">
        <v>8429</v>
      </c>
      <c r="C448" s="20" t="n">
        <f aca="false">ROUND(9.75/FX,2)</f>
        <v>1.35</v>
      </c>
      <c r="D448" s="21" t="s">
        <v>6549</v>
      </c>
      <c r="E448" s="21" t="s">
        <v>8168</v>
      </c>
      <c r="F448" s="21" t="s">
        <v>734</v>
      </c>
      <c r="G448" s="21" t="s">
        <v>7979</v>
      </c>
      <c r="H448" s="21" t="s">
        <v>8173</v>
      </c>
      <c r="I448" s="21" t="s">
        <v>8196</v>
      </c>
    </row>
    <row r="449" customFormat="false" ht="15" hidden="false" customHeight="false" outlineLevel="0" collapsed="false">
      <c r="B449" s="19" t="s">
        <v>8430</v>
      </c>
      <c r="C449" s="20" t="n">
        <f aca="false">ROUND(9.75/FX,2)</f>
        <v>1.35</v>
      </c>
      <c r="D449" s="21" t="s">
        <v>6549</v>
      </c>
      <c r="E449" s="21" t="s">
        <v>8168</v>
      </c>
      <c r="F449" s="21" t="s">
        <v>734</v>
      </c>
      <c r="G449" s="21" t="s">
        <v>7979</v>
      </c>
      <c r="H449" s="21" t="s">
        <v>8415</v>
      </c>
      <c r="I449" s="21" t="s">
        <v>8196</v>
      </c>
    </row>
    <row r="450" customFormat="false" ht="15" hidden="false" customHeight="false" outlineLevel="0" collapsed="false">
      <c r="B450" s="19" t="s">
        <v>8431</v>
      </c>
      <c r="C450" s="20" t="n">
        <f aca="false">ROUND(9.75/FX,2)</f>
        <v>1.35</v>
      </c>
      <c r="D450" s="21" t="s">
        <v>6549</v>
      </c>
      <c r="E450" s="21" t="s">
        <v>8168</v>
      </c>
      <c r="F450" s="21" t="s">
        <v>734</v>
      </c>
      <c r="G450" s="21" t="s">
        <v>7979</v>
      </c>
      <c r="H450" s="21" t="s">
        <v>8176</v>
      </c>
      <c r="I450" s="21" t="s">
        <v>8196</v>
      </c>
    </row>
    <row r="451" customFormat="false" ht="15" hidden="false" customHeight="false" outlineLevel="0" collapsed="false">
      <c r="B451" s="19" t="s">
        <v>8432</v>
      </c>
      <c r="C451" s="20" t="n">
        <f aca="false">ROUND(9.75/FX,2)</f>
        <v>1.35</v>
      </c>
      <c r="D451" s="21" t="s">
        <v>6549</v>
      </c>
      <c r="E451" s="21" t="s">
        <v>8168</v>
      </c>
      <c r="F451" s="21" t="s">
        <v>734</v>
      </c>
      <c r="G451" s="21" t="s">
        <v>7979</v>
      </c>
      <c r="H451" s="21" t="s">
        <v>8173</v>
      </c>
      <c r="I451" s="21" t="s">
        <v>8199</v>
      </c>
    </row>
    <row r="452" customFormat="false" ht="15" hidden="false" customHeight="false" outlineLevel="0" collapsed="false">
      <c r="B452" s="19" t="s">
        <v>8433</v>
      </c>
      <c r="C452" s="20" t="n">
        <f aca="false">ROUND(9.75/FX,2)</f>
        <v>1.35</v>
      </c>
      <c r="D452" s="21" t="s">
        <v>6549</v>
      </c>
      <c r="E452" s="21" t="s">
        <v>8168</v>
      </c>
      <c r="F452" s="21" t="s">
        <v>734</v>
      </c>
      <c r="G452" s="21" t="s">
        <v>7979</v>
      </c>
      <c r="H452" s="21" t="s">
        <v>8415</v>
      </c>
      <c r="I452" s="21" t="s">
        <v>8199</v>
      </c>
    </row>
    <row r="453" customFormat="false" ht="15" hidden="false" customHeight="false" outlineLevel="0" collapsed="false">
      <c r="B453" s="19" t="s">
        <v>8434</v>
      </c>
      <c r="C453" s="20" t="n">
        <f aca="false">ROUND(9.75/FX,2)</f>
        <v>1.35</v>
      </c>
      <c r="D453" s="21" t="s">
        <v>6549</v>
      </c>
      <c r="E453" s="21" t="s">
        <v>8168</v>
      </c>
      <c r="F453" s="21" t="s">
        <v>734</v>
      </c>
      <c r="G453" s="21" t="s">
        <v>7979</v>
      </c>
      <c r="H453" s="21" t="s">
        <v>8176</v>
      </c>
      <c r="I453" s="21" t="s">
        <v>8199</v>
      </c>
    </row>
    <row r="454" customFormat="false" ht="15" hidden="false" customHeight="false" outlineLevel="0" collapsed="false">
      <c r="B454" s="19" t="s">
        <v>8435</v>
      </c>
      <c r="C454" s="20" t="n">
        <f aca="false">ROUND(9.75/FX,2)</f>
        <v>1.35</v>
      </c>
      <c r="D454" s="21" t="s">
        <v>6549</v>
      </c>
      <c r="E454" s="21" t="s">
        <v>8168</v>
      </c>
      <c r="F454" s="21" t="s">
        <v>734</v>
      </c>
      <c r="G454" s="21" t="s">
        <v>7979</v>
      </c>
      <c r="H454" s="21" t="s">
        <v>8173</v>
      </c>
      <c r="I454" s="21" t="s">
        <v>8202</v>
      </c>
    </row>
    <row r="455" customFormat="false" ht="15" hidden="false" customHeight="false" outlineLevel="0" collapsed="false">
      <c r="B455" s="19" t="s">
        <v>8436</v>
      </c>
      <c r="C455" s="20" t="n">
        <f aca="false">ROUND(9.75/FX,2)</f>
        <v>1.35</v>
      </c>
      <c r="D455" s="21" t="s">
        <v>6549</v>
      </c>
      <c r="E455" s="21" t="s">
        <v>8168</v>
      </c>
      <c r="F455" s="21" t="s">
        <v>734</v>
      </c>
      <c r="G455" s="21" t="s">
        <v>7979</v>
      </c>
      <c r="H455" s="21" t="s">
        <v>8415</v>
      </c>
      <c r="I455" s="21" t="s">
        <v>8202</v>
      </c>
    </row>
    <row r="456" customFormat="false" ht="15" hidden="false" customHeight="false" outlineLevel="0" collapsed="false">
      <c r="B456" s="19" t="s">
        <v>8437</v>
      </c>
      <c r="C456" s="20" t="n">
        <f aca="false">ROUND(9.75/FX,2)</f>
        <v>1.35</v>
      </c>
      <c r="D456" s="21" t="s">
        <v>6549</v>
      </c>
      <c r="E456" s="21" t="s">
        <v>8168</v>
      </c>
      <c r="F456" s="21" t="s">
        <v>734</v>
      </c>
      <c r="G456" s="21" t="s">
        <v>7979</v>
      </c>
      <c r="H456" s="21" t="s">
        <v>8176</v>
      </c>
      <c r="I456" s="21" t="s">
        <v>8202</v>
      </c>
    </row>
    <row r="457" customFormat="false" ht="15" hidden="false" customHeight="false" outlineLevel="0" collapsed="false">
      <c r="B457" s="19" t="s">
        <v>8438</v>
      </c>
      <c r="C457" s="20" t="n">
        <f aca="false">ROUND(9.75/FX,2)</f>
        <v>1.35</v>
      </c>
      <c r="D457" s="21" t="s">
        <v>6549</v>
      </c>
      <c r="E457" s="21" t="s">
        <v>8168</v>
      </c>
      <c r="F457" s="21" t="s">
        <v>734</v>
      </c>
      <c r="G457" s="21" t="s">
        <v>7979</v>
      </c>
      <c r="H457" s="21" t="s">
        <v>8173</v>
      </c>
      <c r="I457" s="21" t="s">
        <v>7845</v>
      </c>
    </row>
    <row r="458" customFormat="false" ht="15" hidden="false" customHeight="false" outlineLevel="0" collapsed="false">
      <c r="B458" s="19" t="s">
        <v>8439</v>
      </c>
      <c r="C458" s="20" t="n">
        <f aca="false">ROUND(9.75/FX,2)</f>
        <v>1.35</v>
      </c>
      <c r="D458" s="21" t="s">
        <v>6549</v>
      </c>
      <c r="E458" s="21" t="s">
        <v>8168</v>
      </c>
      <c r="F458" s="21" t="s">
        <v>734</v>
      </c>
      <c r="G458" s="21" t="s">
        <v>7979</v>
      </c>
      <c r="H458" s="21" t="s">
        <v>8415</v>
      </c>
      <c r="I458" s="21" t="s">
        <v>7845</v>
      </c>
    </row>
    <row r="459" customFormat="false" ht="15" hidden="false" customHeight="false" outlineLevel="0" collapsed="false">
      <c r="B459" s="19" t="s">
        <v>8440</v>
      </c>
      <c r="C459" s="20" t="n">
        <f aca="false">ROUND(9.75/FX,2)</f>
        <v>1.35</v>
      </c>
      <c r="D459" s="21" t="s">
        <v>6549</v>
      </c>
      <c r="E459" s="21" t="s">
        <v>8168</v>
      </c>
      <c r="F459" s="21" t="s">
        <v>734</v>
      </c>
      <c r="G459" s="21" t="s">
        <v>7979</v>
      </c>
      <c r="H459" s="21" t="s">
        <v>8176</v>
      </c>
      <c r="I459" s="21" t="s">
        <v>7845</v>
      </c>
    </row>
    <row r="460" customFormat="false" ht="15" hidden="false" customHeight="false" outlineLevel="0" collapsed="false">
      <c r="B460" s="19" t="s">
        <v>8441</v>
      </c>
      <c r="C460" s="20" t="n">
        <f aca="false">ROUND(9.75/FX,2)</f>
        <v>1.35</v>
      </c>
      <c r="D460" s="21" t="s">
        <v>6549</v>
      </c>
      <c r="E460" s="21" t="s">
        <v>8168</v>
      </c>
      <c r="F460" s="21" t="s">
        <v>734</v>
      </c>
      <c r="G460" s="21" t="s">
        <v>7979</v>
      </c>
      <c r="H460" s="21" t="s">
        <v>8173</v>
      </c>
      <c r="I460" s="21" t="s">
        <v>8210</v>
      </c>
    </row>
    <row r="461" customFormat="false" ht="15" hidden="false" customHeight="false" outlineLevel="0" collapsed="false">
      <c r="B461" s="19" t="s">
        <v>8442</v>
      </c>
      <c r="C461" s="20" t="n">
        <f aca="false">ROUND(9.75/FX,2)</f>
        <v>1.35</v>
      </c>
      <c r="D461" s="21" t="s">
        <v>6549</v>
      </c>
      <c r="E461" s="21" t="s">
        <v>8168</v>
      </c>
      <c r="F461" s="21" t="s">
        <v>734</v>
      </c>
      <c r="G461" s="21" t="s">
        <v>7979</v>
      </c>
      <c r="H461" s="21" t="s">
        <v>8415</v>
      </c>
      <c r="I461" s="21" t="s">
        <v>8210</v>
      </c>
    </row>
    <row r="462" customFormat="false" ht="15" hidden="false" customHeight="false" outlineLevel="0" collapsed="false">
      <c r="B462" s="19" t="s">
        <v>8443</v>
      </c>
      <c r="C462" s="20" t="n">
        <f aca="false">ROUND(9.75/FX,2)</f>
        <v>1.35</v>
      </c>
      <c r="D462" s="21" t="s">
        <v>6549</v>
      </c>
      <c r="E462" s="21" t="s">
        <v>8168</v>
      </c>
      <c r="F462" s="21" t="s">
        <v>734</v>
      </c>
      <c r="G462" s="21" t="s">
        <v>7979</v>
      </c>
      <c r="H462" s="21" t="s">
        <v>8173</v>
      </c>
      <c r="I462" s="21" t="s">
        <v>7914</v>
      </c>
    </row>
    <row r="463" customFormat="false" ht="15" hidden="false" customHeight="false" outlineLevel="0" collapsed="false">
      <c r="B463" s="19" t="s">
        <v>8444</v>
      </c>
      <c r="C463" s="20" t="n">
        <f aca="false">ROUND(9.75/FX,2)</f>
        <v>1.35</v>
      </c>
      <c r="D463" s="21" t="s">
        <v>6549</v>
      </c>
      <c r="E463" s="21" t="s">
        <v>8168</v>
      </c>
      <c r="F463" s="21" t="s">
        <v>734</v>
      </c>
      <c r="G463" s="21" t="s">
        <v>7979</v>
      </c>
      <c r="H463" s="21" t="s">
        <v>8415</v>
      </c>
      <c r="I463" s="21" t="s">
        <v>7914</v>
      </c>
    </row>
    <row r="464" customFormat="false" ht="15" hidden="false" customHeight="false" outlineLevel="0" collapsed="false">
      <c r="B464" s="19" t="s">
        <v>8445</v>
      </c>
      <c r="C464" s="20" t="n">
        <f aca="false">ROUND(9.75/FX,2)</f>
        <v>1.35</v>
      </c>
      <c r="D464" s="21" t="s">
        <v>6549</v>
      </c>
      <c r="E464" s="21" t="s">
        <v>8168</v>
      </c>
      <c r="F464" s="21" t="s">
        <v>734</v>
      </c>
      <c r="G464" s="21" t="s">
        <v>7979</v>
      </c>
      <c r="H464" s="21" t="s">
        <v>8176</v>
      </c>
      <c r="I464" s="21" t="s">
        <v>7914</v>
      </c>
    </row>
    <row r="465" customFormat="false" ht="15" hidden="false" customHeight="false" outlineLevel="0" collapsed="false">
      <c r="B465" s="19" t="s">
        <v>8446</v>
      </c>
      <c r="C465" s="20" t="n">
        <f aca="false">ROUND(9.75/FX,2)</f>
        <v>1.35</v>
      </c>
      <c r="D465" s="21" t="s">
        <v>6549</v>
      </c>
      <c r="E465" s="21" t="s">
        <v>8168</v>
      </c>
      <c r="F465" s="21" t="s">
        <v>734</v>
      </c>
      <c r="G465" s="21" t="s">
        <v>7979</v>
      </c>
      <c r="H465" s="21" t="s">
        <v>8173</v>
      </c>
      <c r="I465" s="21" t="s">
        <v>7916</v>
      </c>
    </row>
    <row r="466" customFormat="false" ht="15" hidden="false" customHeight="false" outlineLevel="0" collapsed="false">
      <c r="B466" s="19" t="s">
        <v>8447</v>
      </c>
      <c r="C466" s="20" t="n">
        <f aca="false">ROUND(9.75/FX,2)</f>
        <v>1.35</v>
      </c>
      <c r="D466" s="21" t="s">
        <v>6549</v>
      </c>
      <c r="E466" s="21" t="s">
        <v>8168</v>
      </c>
      <c r="F466" s="21" t="s">
        <v>734</v>
      </c>
      <c r="G466" s="21" t="s">
        <v>7979</v>
      </c>
      <c r="H466" s="21" t="s">
        <v>8415</v>
      </c>
      <c r="I466" s="21" t="s">
        <v>7916</v>
      </c>
    </row>
    <row r="467" customFormat="false" ht="15" hidden="false" customHeight="false" outlineLevel="0" collapsed="false">
      <c r="B467" s="19" t="s">
        <v>8448</v>
      </c>
      <c r="C467" s="20" t="n">
        <f aca="false">ROUND(9.75/FX,2)</f>
        <v>1.35</v>
      </c>
      <c r="D467" s="21" t="s">
        <v>6549</v>
      </c>
      <c r="E467" s="21" t="s">
        <v>8168</v>
      </c>
      <c r="F467" s="21" t="s">
        <v>734</v>
      </c>
      <c r="G467" s="21" t="s">
        <v>7979</v>
      </c>
      <c r="H467" s="21" t="s">
        <v>8176</v>
      </c>
      <c r="I467" s="21" t="s">
        <v>7916</v>
      </c>
    </row>
    <row r="468" customFormat="false" ht="15" hidden="false" customHeight="false" outlineLevel="0" collapsed="false">
      <c r="B468" s="19" t="s">
        <v>8449</v>
      </c>
      <c r="C468" s="20" t="n">
        <f aca="false">ROUND(9.75/FX,2)</f>
        <v>1.35</v>
      </c>
      <c r="D468" s="21" t="s">
        <v>6549</v>
      </c>
      <c r="E468" s="21" t="s">
        <v>8168</v>
      </c>
      <c r="F468" s="21" t="s">
        <v>734</v>
      </c>
      <c r="G468" s="21" t="s">
        <v>7979</v>
      </c>
      <c r="H468" s="21" t="s">
        <v>8173</v>
      </c>
      <c r="I468" s="21" t="s">
        <v>8220</v>
      </c>
    </row>
    <row r="469" customFormat="false" ht="15" hidden="false" customHeight="false" outlineLevel="0" collapsed="false">
      <c r="B469" s="19" t="s">
        <v>8450</v>
      </c>
      <c r="C469" s="20" t="n">
        <f aca="false">ROUND(9.75/FX,2)</f>
        <v>1.35</v>
      </c>
      <c r="D469" s="21" t="s">
        <v>6549</v>
      </c>
      <c r="E469" s="21" t="s">
        <v>8168</v>
      </c>
      <c r="F469" s="21" t="s">
        <v>734</v>
      </c>
      <c r="G469" s="21" t="s">
        <v>7979</v>
      </c>
      <c r="H469" s="21" t="s">
        <v>8415</v>
      </c>
      <c r="I469" s="21" t="s">
        <v>8220</v>
      </c>
    </row>
    <row r="470" customFormat="false" ht="15" hidden="false" customHeight="false" outlineLevel="0" collapsed="false">
      <c r="B470" s="19" t="s">
        <v>8451</v>
      </c>
      <c r="C470" s="20" t="n">
        <f aca="false">ROUND(9.75/FX,2)</f>
        <v>1.35</v>
      </c>
      <c r="D470" s="21" t="s">
        <v>6549</v>
      </c>
      <c r="E470" s="21" t="s">
        <v>8168</v>
      </c>
      <c r="F470" s="21" t="s">
        <v>734</v>
      </c>
      <c r="G470" s="21" t="s">
        <v>7979</v>
      </c>
      <c r="H470" s="21" t="s">
        <v>8176</v>
      </c>
      <c r="I470" s="21" t="s">
        <v>8220</v>
      </c>
    </row>
    <row r="471" customFormat="false" ht="15" hidden="false" customHeight="false" outlineLevel="0" collapsed="false">
      <c r="B471" s="19" t="s">
        <v>8452</v>
      </c>
      <c r="C471" s="20" t="n">
        <f aca="false">ROUND(9.75/FX,2)</f>
        <v>1.35</v>
      </c>
      <c r="D471" s="21" t="s">
        <v>6549</v>
      </c>
      <c r="E471" s="21" t="s">
        <v>8168</v>
      </c>
      <c r="F471" s="21" t="s">
        <v>734</v>
      </c>
      <c r="G471" s="21" t="s">
        <v>7979</v>
      </c>
      <c r="H471" s="21" t="s">
        <v>8173</v>
      </c>
      <c r="I471" s="21" t="s">
        <v>7918</v>
      </c>
    </row>
    <row r="472" customFormat="false" ht="15" hidden="false" customHeight="false" outlineLevel="0" collapsed="false">
      <c r="B472" s="19" t="s">
        <v>8453</v>
      </c>
      <c r="C472" s="20" t="n">
        <f aca="false">ROUND(9.75/FX,2)</f>
        <v>1.35</v>
      </c>
      <c r="D472" s="21" t="s">
        <v>6549</v>
      </c>
      <c r="E472" s="21" t="s">
        <v>8168</v>
      </c>
      <c r="F472" s="21" t="s">
        <v>734</v>
      </c>
      <c r="G472" s="21" t="s">
        <v>7979</v>
      </c>
      <c r="H472" s="21" t="s">
        <v>8415</v>
      </c>
      <c r="I472" s="21" t="s">
        <v>7918</v>
      </c>
    </row>
    <row r="473" customFormat="false" ht="15" hidden="false" customHeight="false" outlineLevel="0" collapsed="false">
      <c r="B473" s="19" t="s">
        <v>8454</v>
      </c>
      <c r="C473" s="20" t="n">
        <f aca="false">ROUND(9.75/FX,2)</f>
        <v>1.35</v>
      </c>
      <c r="D473" s="21" t="s">
        <v>6549</v>
      </c>
      <c r="E473" s="21" t="s">
        <v>8168</v>
      </c>
      <c r="F473" s="21" t="s">
        <v>734</v>
      </c>
      <c r="G473" s="21" t="s">
        <v>7979</v>
      </c>
      <c r="H473" s="21" t="s">
        <v>8176</v>
      </c>
      <c r="I473" s="21" t="s">
        <v>7918</v>
      </c>
    </row>
    <row r="474" customFormat="false" ht="15" hidden="false" customHeight="false" outlineLevel="0" collapsed="false">
      <c r="B474" s="19" t="s">
        <v>8455</v>
      </c>
      <c r="C474" s="20" t="n">
        <f aca="false">ROUND(9.75/FX,2)</f>
        <v>1.35</v>
      </c>
      <c r="D474" s="21" t="s">
        <v>6549</v>
      </c>
      <c r="E474" s="21" t="s">
        <v>8168</v>
      </c>
      <c r="F474" s="21" t="s">
        <v>734</v>
      </c>
      <c r="G474" s="21" t="s">
        <v>7979</v>
      </c>
      <c r="H474" s="21" t="s">
        <v>8173</v>
      </c>
      <c r="I474" s="21" t="s">
        <v>7847</v>
      </c>
    </row>
    <row r="475" customFormat="false" ht="15" hidden="false" customHeight="false" outlineLevel="0" collapsed="false">
      <c r="B475" s="19" t="s">
        <v>8456</v>
      </c>
      <c r="C475" s="20" t="n">
        <f aca="false">ROUND(9.75/FX,2)</f>
        <v>1.35</v>
      </c>
      <c r="D475" s="21" t="s">
        <v>6549</v>
      </c>
      <c r="E475" s="21" t="s">
        <v>8168</v>
      </c>
      <c r="F475" s="21" t="s">
        <v>734</v>
      </c>
      <c r="G475" s="21" t="s">
        <v>7979</v>
      </c>
      <c r="H475" s="21" t="s">
        <v>8415</v>
      </c>
      <c r="I475" s="21" t="s">
        <v>7847</v>
      </c>
    </row>
    <row r="476" customFormat="false" ht="15" hidden="false" customHeight="false" outlineLevel="0" collapsed="false">
      <c r="B476" s="19" t="s">
        <v>8457</v>
      </c>
      <c r="C476" s="20" t="n">
        <f aca="false">ROUND(9.75/FX,2)</f>
        <v>1.35</v>
      </c>
      <c r="D476" s="21" t="s">
        <v>6549</v>
      </c>
      <c r="E476" s="21" t="s">
        <v>8168</v>
      </c>
      <c r="F476" s="21" t="s">
        <v>734</v>
      </c>
      <c r="G476" s="21" t="s">
        <v>7979</v>
      </c>
      <c r="H476" s="21" t="s">
        <v>8176</v>
      </c>
      <c r="I476" s="21" t="s">
        <v>7847</v>
      </c>
    </row>
    <row r="477" customFormat="false" ht="15" hidden="false" customHeight="false" outlineLevel="0" collapsed="false">
      <c r="B477" s="19" t="s">
        <v>8458</v>
      </c>
      <c r="C477" s="20" t="n">
        <f aca="false">ROUND(9.75/FX,2)</f>
        <v>1.35</v>
      </c>
      <c r="D477" s="21" t="s">
        <v>6549</v>
      </c>
      <c r="E477" s="21" t="s">
        <v>8168</v>
      </c>
      <c r="F477" s="21" t="s">
        <v>734</v>
      </c>
      <c r="G477" s="21" t="s">
        <v>7979</v>
      </c>
      <c r="H477" s="21" t="s">
        <v>8173</v>
      </c>
      <c r="I477" s="21" t="s">
        <v>7849</v>
      </c>
    </row>
    <row r="478" customFormat="false" ht="15" hidden="false" customHeight="false" outlineLevel="0" collapsed="false">
      <c r="B478" s="19" t="s">
        <v>8459</v>
      </c>
      <c r="C478" s="20" t="n">
        <f aca="false">ROUND(9.75/FX,2)</f>
        <v>1.35</v>
      </c>
      <c r="D478" s="21" t="s">
        <v>6549</v>
      </c>
      <c r="E478" s="21" t="s">
        <v>8168</v>
      </c>
      <c r="F478" s="21" t="s">
        <v>734</v>
      </c>
      <c r="G478" s="21" t="s">
        <v>7979</v>
      </c>
      <c r="H478" s="21" t="s">
        <v>8415</v>
      </c>
      <c r="I478" s="21" t="s">
        <v>7849</v>
      </c>
    </row>
    <row r="479" customFormat="false" ht="15" hidden="false" customHeight="false" outlineLevel="0" collapsed="false">
      <c r="B479" s="19" t="s">
        <v>8460</v>
      </c>
      <c r="C479" s="20" t="n">
        <f aca="false">ROUND(9.75/FX,2)</f>
        <v>1.35</v>
      </c>
      <c r="D479" s="21" t="s">
        <v>6549</v>
      </c>
      <c r="E479" s="21" t="s">
        <v>8168</v>
      </c>
      <c r="F479" s="21" t="s">
        <v>734</v>
      </c>
      <c r="G479" s="21" t="s">
        <v>7979</v>
      </c>
      <c r="H479" s="21" t="s">
        <v>8176</v>
      </c>
      <c r="I479" s="21" t="s">
        <v>7849</v>
      </c>
    </row>
    <row r="480" customFormat="false" ht="15" hidden="false" customHeight="false" outlineLevel="0" collapsed="false">
      <c r="B480" s="19" t="s">
        <v>8461</v>
      </c>
      <c r="C480" s="20" t="n">
        <f aca="false">ROUND(9.75/FX,2)</f>
        <v>1.35</v>
      </c>
      <c r="D480" s="21" t="s">
        <v>6549</v>
      </c>
      <c r="E480" s="21" t="s">
        <v>8168</v>
      </c>
      <c r="F480" s="21" t="s">
        <v>734</v>
      </c>
      <c r="G480" s="21" t="s">
        <v>7979</v>
      </c>
      <c r="H480" s="21" t="s">
        <v>8173</v>
      </c>
      <c r="I480" s="21" t="s">
        <v>7922</v>
      </c>
    </row>
    <row r="481" customFormat="false" ht="15" hidden="false" customHeight="false" outlineLevel="0" collapsed="false">
      <c r="B481" s="19" t="s">
        <v>8462</v>
      </c>
      <c r="C481" s="20" t="n">
        <f aca="false">ROUND(9.75/FX,2)</f>
        <v>1.35</v>
      </c>
      <c r="D481" s="21" t="s">
        <v>6549</v>
      </c>
      <c r="E481" s="21" t="s">
        <v>8168</v>
      </c>
      <c r="F481" s="21" t="s">
        <v>734</v>
      </c>
      <c r="G481" s="21" t="s">
        <v>7979</v>
      </c>
      <c r="H481" s="21" t="s">
        <v>8415</v>
      </c>
      <c r="I481" s="21" t="s">
        <v>7922</v>
      </c>
    </row>
    <row r="482" customFormat="false" ht="15" hidden="false" customHeight="false" outlineLevel="0" collapsed="false">
      <c r="B482" s="19" t="s">
        <v>8463</v>
      </c>
      <c r="C482" s="20" t="n">
        <f aca="false">ROUND(9.75/FX,2)</f>
        <v>1.35</v>
      </c>
      <c r="D482" s="21" t="s">
        <v>6549</v>
      </c>
      <c r="E482" s="21" t="s">
        <v>8168</v>
      </c>
      <c r="F482" s="21" t="s">
        <v>734</v>
      </c>
      <c r="G482" s="21" t="s">
        <v>7979</v>
      </c>
      <c r="H482" s="21" t="s">
        <v>8176</v>
      </c>
      <c r="I482" s="21" t="s">
        <v>7922</v>
      </c>
    </row>
    <row r="483" customFormat="false" ht="15" hidden="false" customHeight="false" outlineLevel="0" collapsed="false">
      <c r="B483" s="19" t="s">
        <v>8464</v>
      </c>
      <c r="C483" s="20" t="n">
        <f aca="false">ROUND(9.75/FX,2)</f>
        <v>1.35</v>
      </c>
      <c r="D483" s="21" t="s">
        <v>6549</v>
      </c>
      <c r="E483" s="21" t="s">
        <v>8168</v>
      </c>
      <c r="F483" s="21" t="s">
        <v>734</v>
      </c>
      <c r="G483" s="21" t="s">
        <v>7979</v>
      </c>
      <c r="H483" s="21" t="s">
        <v>8173</v>
      </c>
      <c r="I483" s="21" t="s">
        <v>8231</v>
      </c>
    </row>
    <row r="484" customFormat="false" ht="15" hidden="false" customHeight="false" outlineLevel="0" collapsed="false">
      <c r="B484" s="19" t="s">
        <v>8465</v>
      </c>
      <c r="C484" s="20" t="n">
        <f aca="false">ROUND(9.75/FX,2)</f>
        <v>1.35</v>
      </c>
      <c r="D484" s="21" t="s">
        <v>6549</v>
      </c>
      <c r="E484" s="21" t="s">
        <v>8168</v>
      </c>
      <c r="F484" s="21" t="s">
        <v>734</v>
      </c>
      <c r="G484" s="21" t="s">
        <v>7979</v>
      </c>
      <c r="H484" s="21" t="s">
        <v>8415</v>
      </c>
      <c r="I484" s="21" t="s">
        <v>8231</v>
      </c>
    </row>
    <row r="485" customFormat="false" ht="15" hidden="false" customHeight="false" outlineLevel="0" collapsed="false">
      <c r="B485" s="19" t="s">
        <v>8466</v>
      </c>
      <c r="C485" s="20" t="n">
        <f aca="false">ROUND(9.75/FX,2)</f>
        <v>1.35</v>
      </c>
      <c r="D485" s="21" t="s">
        <v>6549</v>
      </c>
      <c r="E485" s="21" t="s">
        <v>8168</v>
      </c>
      <c r="F485" s="21" t="s">
        <v>734</v>
      </c>
      <c r="G485" s="21" t="s">
        <v>7979</v>
      </c>
      <c r="H485" s="21" t="s">
        <v>8176</v>
      </c>
      <c r="I485" s="21" t="s">
        <v>8231</v>
      </c>
    </row>
    <row r="486" customFormat="false" ht="15" hidden="false" customHeight="false" outlineLevel="0" collapsed="false">
      <c r="B486" s="19" t="s">
        <v>8467</v>
      </c>
      <c r="C486" s="20" t="n">
        <f aca="false">ROUND(9.75/FX,2)</f>
        <v>1.35</v>
      </c>
      <c r="D486" s="21" t="s">
        <v>6549</v>
      </c>
      <c r="E486" s="21" t="s">
        <v>8168</v>
      </c>
      <c r="F486" s="21" t="s">
        <v>734</v>
      </c>
      <c r="G486" s="21" t="s">
        <v>7979</v>
      </c>
      <c r="H486" s="21" t="s">
        <v>8173</v>
      </c>
      <c r="I486" s="21" t="s">
        <v>7851</v>
      </c>
    </row>
    <row r="487" customFormat="false" ht="15" hidden="false" customHeight="false" outlineLevel="0" collapsed="false">
      <c r="B487" s="19" t="s">
        <v>8468</v>
      </c>
      <c r="C487" s="20" t="n">
        <f aca="false">ROUND(9.75/FX,2)</f>
        <v>1.35</v>
      </c>
      <c r="D487" s="21" t="s">
        <v>6549</v>
      </c>
      <c r="E487" s="21" t="s">
        <v>8168</v>
      </c>
      <c r="F487" s="21" t="s">
        <v>734</v>
      </c>
      <c r="G487" s="21" t="s">
        <v>7979</v>
      </c>
      <c r="H487" s="21" t="s">
        <v>8415</v>
      </c>
      <c r="I487" s="21" t="s">
        <v>7851</v>
      </c>
    </row>
    <row r="488" customFormat="false" ht="15" hidden="false" customHeight="false" outlineLevel="0" collapsed="false">
      <c r="B488" s="19" t="s">
        <v>8469</v>
      </c>
      <c r="C488" s="20" t="n">
        <f aca="false">ROUND(9.75/FX,2)</f>
        <v>1.35</v>
      </c>
      <c r="D488" s="21" t="s">
        <v>6549</v>
      </c>
      <c r="E488" s="21" t="s">
        <v>8168</v>
      </c>
      <c r="F488" s="21" t="s">
        <v>734</v>
      </c>
      <c r="G488" s="21" t="s">
        <v>7979</v>
      </c>
      <c r="H488" s="21" t="s">
        <v>8176</v>
      </c>
      <c r="I488" s="21" t="s">
        <v>7851</v>
      </c>
    </row>
    <row r="489" customFormat="false" ht="15" hidden="false" customHeight="false" outlineLevel="0" collapsed="false">
      <c r="B489" s="19" t="s">
        <v>8470</v>
      </c>
      <c r="C489" s="20" t="n">
        <f aca="false">ROUND(9.75/FX,2)</f>
        <v>1.35</v>
      </c>
      <c r="D489" s="21" t="s">
        <v>6549</v>
      </c>
      <c r="E489" s="21" t="s">
        <v>8168</v>
      </c>
      <c r="F489" s="21" t="s">
        <v>734</v>
      </c>
      <c r="G489" s="21" t="s">
        <v>7979</v>
      </c>
      <c r="H489" s="21" t="s">
        <v>8173</v>
      </c>
      <c r="I489" s="21" t="s">
        <v>8239</v>
      </c>
    </row>
    <row r="490" customFormat="false" ht="15" hidden="false" customHeight="false" outlineLevel="0" collapsed="false">
      <c r="B490" s="19" t="s">
        <v>8471</v>
      </c>
      <c r="C490" s="20" t="n">
        <f aca="false">ROUND(9.75/FX,2)</f>
        <v>1.35</v>
      </c>
      <c r="D490" s="21" t="s">
        <v>6549</v>
      </c>
      <c r="E490" s="21" t="s">
        <v>8168</v>
      </c>
      <c r="F490" s="21" t="s">
        <v>734</v>
      </c>
      <c r="G490" s="21" t="s">
        <v>7979</v>
      </c>
      <c r="H490" s="21" t="s">
        <v>8415</v>
      </c>
      <c r="I490" s="21" t="s">
        <v>8239</v>
      </c>
    </row>
    <row r="491" customFormat="false" ht="15" hidden="false" customHeight="false" outlineLevel="0" collapsed="false">
      <c r="B491" s="19" t="s">
        <v>8472</v>
      </c>
      <c r="C491" s="20" t="n">
        <f aca="false">ROUND(7.15/FX,2)</f>
        <v>0.99</v>
      </c>
      <c r="D491" s="21" t="s">
        <v>6698</v>
      </c>
      <c r="E491" s="21" t="s">
        <v>8168</v>
      </c>
      <c r="F491" s="21" t="s">
        <v>734</v>
      </c>
      <c r="G491" s="21" t="s">
        <v>7979</v>
      </c>
      <c r="H491" s="21" t="s">
        <v>8173</v>
      </c>
      <c r="I491" s="21" t="s">
        <v>8473</v>
      </c>
    </row>
    <row r="492" customFormat="false" ht="15" hidden="false" customHeight="false" outlineLevel="0" collapsed="false">
      <c r="B492" s="19" t="s">
        <v>8474</v>
      </c>
      <c r="C492" s="20" t="n">
        <f aca="false">ROUND(9.75/FX,2)</f>
        <v>1.35</v>
      </c>
      <c r="D492" s="21" t="s">
        <v>6549</v>
      </c>
      <c r="E492" s="21" t="s">
        <v>8168</v>
      </c>
      <c r="F492" s="21" t="s">
        <v>734</v>
      </c>
      <c r="G492" s="21" t="s">
        <v>7979</v>
      </c>
      <c r="H492" s="21" t="s">
        <v>8173</v>
      </c>
      <c r="I492" s="21" t="s">
        <v>7927</v>
      </c>
    </row>
    <row r="493" customFormat="false" ht="15" hidden="false" customHeight="false" outlineLevel="0" collapsed="false">
      <c r="B493" s="19" t="s">
        <v>8475</v>
      </c>
      <c r="C493" s="20" t="n">
        <f aca="false">ROUND(9.75/FX,2)</f>
        <v>1.35</v>
      </c>
      <c r="D493" s="21" t="s">
        <v>6549</v>
      </c>
      <c r="E493" s="21" t="s">
        <v>8168</v>
      </c>
      <c r="F493" s="21" t="s">
        <v>734</v>
      </c>
      <c r="G493" s="21" t="s">
        <v>7979</v>
      </c>
      <c r="H493" s="21" t="s">
        <v>8415</v>
      </c>
      <c r="I493" s="21" t="s">
        <v>7927</v>
      </c>
    </row>
    <row r="494" customFormat="false" ht="15" hidden="false" customHeight="false" outlineLevel="0" collapsed="false">
      <c r="B494" s="19" t="s">
        <v>8476</v>
      </c>
      <c r="C494" s="20" t="n">
        <f aca="false">ROUND(9.75/FX,2)</f>
        <v>1.35</v>
      </c>
      <c r="D494" s="21" t="s">
        <v>6549</v>
      </c>
      <c r="E494" s="21" t="s">
        <v>8168</v>
      </c>
      <c r="F494" s="21" t="s">
        <v>734</v>
      </c>
      <c r="G494" s="21" t="s">
        <v>7979</v>
      </c>
      <c r="H494" s="21" t="s">
        <v>8176</v>
      </c>
      <c r="I494" s="21" t="s">
        <v>7927</v>
      </c>
    </row>
    <row r="495" customFormat="false" ht="15" hidden="false" customHeight="false" outlineLevel="0" collapsed="false">
      <c r="B495" s="19" t="s">
        <v>8477</v>
      </c>
      <c r="C495" s="20" t="n">
        <f aca="false">ROUND(9.75/FX,2)</f>
        <v>1.35</v>
      </c>
      <c r="D495" s="21" t="s">
        <v>6549</v>
      </c>
      <c r="E495" s="21" t="s">
        <v>8168</v>
      </c>
      <c r="F495" s="21" t="s">
        <v>734</v>
      </c>
      <c r="G495" s="21" t="s">
        <v>7979</v>
      </c>
      <c r="H495" s="21" t="s">
        <v>8173</v>
      </c>
      <c r="I495" s="21" t="s">
        <v>7827</v>
      </c>
    </row>
    <row r="496" customFormat="false" ht="15" hidden="false" customHeight="false" outlineLevel="0" collapsed="false">
      <c r="B496" s="19" t="s">
        <v>8478</v>
      </c>
      <c r="C496" s="20" t="n">
        <f aca="false">ROUND(9.75/FX,2)</f>
        <v>1.35</v>
      </c>
      <c r="D496" s="21" t="s">
        <v>6549</v>
      </c>
      <c r="E496" s="21" t="s">
        <v>8168</v>
      </c>
      <c r="F496" s="21" t="s">
        <v>734</v>
      </c>
      <c r="G496" s="21" t="s">
        <v>7979</v>
      </c>
      <c r="H496" s="21" t="s">
        <v>8415</v>
      </c>
      <c r="I496" s="21" t="s">
        <v>7827</v>
      </c>
    </row>
    <row r="497" customFormat="false" ht="15" hidden="false" customHeight="false" outlineLevel="0" collapsed="false">
      <c r="B497" s="19" t="s">
        <v>8479</v>
      </c>
      <c r="C497" s="20" t="n">
        <f aca="false">ROUND(9.75/FX,2)</f>
        <v>1.35</v>
      </c>
      <c r="D497" s="21" t="s">
        <v>6549</v>
      </c>
      <c r="E497" s="21" t="s">
        <v>8168</v>
      </c>
      <c r="F497" s="21" t="s">
        <v>734</v>
      </c>
      <c r="G497" s="21" t="s">
        <v>7979</v>
      </c>
      <c r="H497" s="21" t="s">
        <v>8176</v>
      </c>
      <c r="I497" s="21" t="s">
        <v>7827</v>
      </c>
    </row>
    <row r="498" customFormat="false" ht="15" hidden="false" customHeight="false" outlineLevel="0" collapsed="false">
      <c r="B498" s="19" t="s">
        <v>8480</v>
      </c>
      <c r="C498" s="20" t="n">
        <f aca="false">ROUND(9.75/FX,2)</f>
        <v>1.35</v>
      </c>
      <c r="D498" s="21" t="s">
        <v>6549</v>
      </c>
      <c r="E498" s="21" t="s">
        <v>8168</v>
      </c>
      <c r="F498" s="21" t="s">
        <v>734</v>
      </c>
      <c r="G498" s="21" t="s">
        <v>7979</v>
      </c>
      <c r="H498" s="21" t="s">
        <v>8173</v>
      </c>
      <c r="I498" s="21" t="s">
        <v>7853</v>
      </c>
    </row>
    <row r="499" customFormat="false" ht="15" hidden="false" customHeight="false" outlineLevel="0" collapsed="false">
      <c r="B499" s="19" t="s">
        <v>8481</v>
      </c>
      <c r="C499" s="20" t="n">
        <f aca="false">ROUND(9.75/FX,2)</f>
        <v>1.35</v>
      </c>
      <c r="D499" s="21" t="s">
        <v>6549</v>
      </c>
      <c r="E499" s="21" t="s">
        <v>8168</v>
      </c>
      <c r="F499" s="21" t="s">
        <v>734</v>
      </c>
      <c r="G499" s="21" t="s">
        <v>7979</v>
      </c>
      <c r="H499" s="21" t="s">
        <v>8415</v>
      </c>
      <c r="I499" s="21" t="s">
        <v>7853</v>
      </c>
    </row>
    <row r="500" customFormat="false" ht="15" hidden="false" customHeight="false" outlineLevel="0" collapsed="false">
      <c r="B500" s="19" t="s">
        <v>8482</v>
      </c>
      <c r="C500" s="20" t="n">
        <f aca="false">ROUND(9.75/FX,2)</f>
        <v>1.35</v>
      </c>
      <c r="D500" s="21" t="s">
        <v>6549</v>
      </c>
      <c r="E500" s="21" t="s">
        <v>8168</v>
      </c>
      <c r="F500" s="21" t="s">
        <v>734</v>
      </c>
      <c r="G500" s="21" t="s">
        <v>7979</v>
      </c>
      <c r="H500" s="21" t="s">
        <v>8176</v>
      </c>
      <c r="I500" s="21" t="s">
        <v>7853</v>
      </c>
    </row>
    <row r="501" customFormat="false" ht="15" hidden="false" customHeight="false" outlineLevel="0" collapsed="false">
      <c r="B501" s="19" t="s">
        <v>8483</v>
      </c>
      <c r="C501" s="20" t="n">
        <f aca="false">ROUND(9.75/FX,2)</f>
        <v>1.35</v>
      </c>
      <c r="D501" s="21" t="s">
        <v>6549</v>
      </c>
      <c r="E501" s="21" t="s">
        <v>8168</v>
      </c>
      <c r="F501" s="21" t="s">
        <v>734</v>
      </c>
      <c r="G501" s="21" t="s">
        <v>7979</v>
      </c>
      <c r="H501" s="21" t="s">
        <v>8173</v>
      </c>
      <c r="I501" s="21" t="s">
        <v>7869</v>
      </c>
    </row>
    <row r="502" customFormat="false" ht="15" hidden="false" customHeight="false" outlineLevel="0" collapsed="false">
      <c r="B502" s="19" t="s">
        <v>8484</v>
      </c>
      <c r="C502" s="20" t="n">
        <f aca="false">ROUND(9.75/FX,2)</f>
        <v>1.35</v>
      </c>
      <c r="D502" s="21" t="s">
        <v>6549</v>
      </c>
      <c r="E502" s="21" t="s">
        <v>8168</v>
      </c>
      <c r="F502" s="21" t="s">
        <v>734</v>
      </c>
      <c r="G502" s="21" t="s">
        <v>7979</v>
      </c>
      <c r="H502" s="21" t="s">
        <v>8415</v>
      </c>
      <c r="I502" s="21" t="s">
        <v>7869</v>
      </c>
    </row>
    <row r="503" customFormat="false" ht="15" hidden="false" customHeight="false" outlineLevel="0" collapsed="false">
      <c r="B503" s="19" t="s">
        <v>8485</v>
      </c>
      <c r="C503" s="20" t="n">
        <f aca="false">ROUND(9.75/FX,2)</f>
        <v>1.35</v>
      </c>
      <c r="D503" s="21" t="s">
        <v>6549</v>
      </c>
      <c r="E503" s="21" t="s">
        <v>8168</v>
      </c>
      <c r="F503" s="21" t="s">
        <v>734</v>
      </c>
      <c r="G503" s="21" t="s">
        <v>7979</v>
      </c>
      <c r="H503" s="21" t="s">
        <v>8176</v>
      </c>
      <c r="I503" s="21" t="s">
        <v>7869</v>
      </c>
    </row>
    <row r="504" customFormat="false" ht="15" hidden="false" customHeight="false" outlineLevel="0" collapsed="false">
      <c r="B504" s="19" t="s">
        <v>8486</v>
      </c>
      <c r="C504" s="20" t="n">
        <f aca="false">ROUND(9.75/FX,2)</f>
        <v>1.35</v>
      </c>
      <c r="D504" s="21" t="s">
        <v>6549</v>
      </c>
      <c r="E504" s="21" t="s">
        <v>8168</v>
      </c>
      <c r="F504" s="21" t="s">
        <v>734</v>
      </c>
      <c r="G504" s="21" t="s">
        <v>7979</v>
      </c>
      <c r="H504" s="21" t="s">
        <v>8173</v>
      </c>
      <c r="I504" s="21" t="s">
        <v>7855</v>
      </c>
    </row>
    <row r="505" customFormat="false" ht="15" hidden="false" customHeight="false" outlineLevel="0" collapsed="false">
      <c r="B505" s="19" t="s">
        <v>8487</v>
      </c>
      <c r="C505" s="20" t="n">
        <f aca="false">ROUND(9.75/FX,2)</f>
        <v>1.35</v>
      </c>
      <c r="D505" s="21" t="s">
        <v>6549</v>
      </c>
      <c r="E505" s="21" t="s">
        <v>8168</v>
      </c>
      <c r="F505" s="21" t="s">
        <v>734</v>
      </c>
      <c r="G505" s="21" t="s">
        <v>7979</v>
      </c>
      <c r="H505" s="21" t="s">
        <v>8415</v>
      </c>
      <c r="I505" s="21" t="s">
        <v>7855</v>
      </c>
    </row>
    <row r="506" customFormat="false" ht="15" hidden="false" customHeight="false" outlineLevel="0" collapsed="false">
      <c r="B506" s="19" t="s">
        <v>8488</v>
      </c>
      <c r="C506" s="20" t="n">
        <f aca="false">ROUND(9.75/FX,2)</f>
        <v>1.35</v>
      </c>
      <c r="D506" s="21" t="s">
        <v>6549</v>
      </c>
      <c r="E506" s="21" t="s">
        <v>8168</v>
      </c>
      <c r="F506" s="21" t="s">
        <v>734</v>
      </c>
      <c r="G506" s="21" t="s">
        <v>7979</v>
      </c>
      <c r="H506" s="21" t="s">
        <v>8176</v>
      </c>
      <c r="I506" s="21" t="s">
        <v>7855</v>
      </c>
    </row>
    <row r="507" customFormat="false" ht="15" hidden="false" customHeight="false" outlineLevel="0" collapsed="false">
      <c r="B507" s="19" t="s">
        <v>8489</v>
      </c>
      <c r="C507" s="20" t="n">
        <f aca="false">ROUND(9.75/FX,2)</f>
        <v>1.35</v>
      </c>
      <c r="D507" s="21" t="s">
        <v>6549</v>
      </c>
      <c r="E507" s="21" t="s">
        <v>8168</v>
      </c>
      <c r="F507" s="21" t="s">
        <v>734</v>
      </c>
      <c r="G507" s="21" t="s">
        <v>7979</v>
      </c>
      <c r="H507" s="21" t="s">
        <v>8173</v>
      </c>
      <c r="I507" s="21" t="s">
        <v>8255</v>
      </c>
    </row>
    <row r="508" customFormat="false" ht="15" hidden="false" customHeight="false" outlineLevel="0" collapsed="false">
      <c r="B508" s="19" t="s">
        <v>8490</v>
      </c>
      <c r="C508" s="20" t="n">
        <f aca="false">ROUND(9.75/FX,2)</f>
        <v>1.35</v>
      </c>
      <c r="D508" s="21" t="s">
        <v>6549</v>
      </c>
      <c r="E508" s="21" t="s">
        <v>8168</v>
      </c>
      <c r="F508" s="21" t="s">
        <v>734</v>
      </c>
      <c r="G508" s="21" t="s">
        <v>7979</v>
      </c>
      <c r="H508" s="21" t="s">
        <v>8415</v>
      </c>
      <c r="I508" s="21" t="s">
        <v>8255</v>
      </c>
    </row>
    <row r="509" customFormat="false" ht="15" hidden="false" customHeight="false" outlineLevel="0" collapsed="false">
      <c r="B509" s="19" t="s">
        <v>8491</v>
      </c>
      <c r="C509" s="20" t="n">
        <f aca="false">ROUND(9.75/FX,2)</f>
        <v>1.35</v>
      </c>
      <c r="D509" s="21" t="s">
        <v>6549</v>
      </c>
      <c r="E509" s="21" t="s">
        <v>8168</v>
      </c>
      <c r="F509" s="21" t="s">
        <v>734</v>
      </c>
      <c r="G509" s="21" t="s">
        <v>7979</v>
      </c>
      <c r="H509" s="21" t="s">
        <v>8176</v>
      </c>
      <c r="I509" s="21" t="s">
        <v>8255</v>
      </c>
    </row>
    <row r="510" customFormat="false" ht="15" hidden="false" customHeight="false" outlineLevel="0" collapsed="false">
      <c r="B510" s="19" t="s">
        <v>8492</v>
      </c>
      <c r="C510" s="20" t="n">
        <f aca="false">ROUND(9.75/FX,2)</f>
        <v>1.35</v>
      </c>
      <c r="D510" s="21" t="s">
        <v>6549</v>
      </c>
      <c r="E510" s="21" t="s">
        <v>8168</v>
      </c>
      <c r="F510" s="21" t="s">
        <v>734</v>
      </c>
      <c r="G510" s="21" t="s">
        <v>7979</v>
      </c>
      <c r="H510" s="21" t="s">
        <v>8173</v>
      </c>
      <c r="I510" s="21" t="s">
        <v>7933</v>
      </c>
    </row>
    <row r="511" customFormat="false" ht="15" hidden="false" customHeight="false" outlineLevel="0" collapsed="false">
      <c r="B511" s="19" t="s">
        <v>8493</v>
      </c>
      <c r="C511" s="20" t="n">
        <f aca="false">ROUND(9.75/FX,2)</f>
        <v>1.35</v>
      </c>
      <c r="D511" s="21" t="s">
        <v>6549</v>
      </c>
      <c r="E511" s="21" t="s">
        <v>8168</v>
      </c>
      <c r="F511" s="21" t="s">
        <v>734</v>
      </c>
      <c r="G511" s="21" t="s">
        <v>7979</v>
      </c>
      <c r="H511" s="21" t="s">
        <v>8415</v>
      </c>
      <c r="I511" s="21" t="s">
        <v>7933</v>
      </c>
    </row>
    <row r="512" customFormat="false" ht="15" hidden="false" customHeight="false" outlineLevel="0" collapsed="false">
      <c r="B512" s="19" t="s">
        <v>8494</v>
      </c>
      <c r="C512" s="20" t="n">
        <f aca="false">ROUND(9.75/FX,2)</f>
        <v>1.35</v>
      </c>
      <c r="D512" s="21" t="s">
        <v>6549</v>
      </c>
      <c r="E512" s="21" t="s">
        <v>8168</v>
      </c>
      <c r="F512" s="21" t="s">
        <v>734</v>
      </c>
      <c r="G512" s="21" t="s">
        <v>7979</v>
      </c>
      <c r="H512" s="21" t="s">
        <v>8176</v>
      </c>
      <c r="I512" s="21" t="s">
        <v>7933</v>
      </c>
    </row>
    <row r="513" customFormat="false" ht="15" hidden="false" customHeight="false" outlineLevel="0" collapsed="false">
      <c r="B513" s="19" t="s">
        <v>8495</v>
      </c>
      <c r="C513" s="20" t="n">
        <f aca="false">ROUND(9.75/FX,2)</f>
        <v>1.35</v>
      </c>
      <c r="D513" s="21" t="s">
        <v>6549</v>
      </c>
      <c r="E513" s="21" t="s">
        <v>8168</v>
      </c>
      <c r="F513" s="21" t="s">
        <v>734</v>
      </c>
      <c r="G513" s="21" t="s">
        <v>7979</v>
      </c>
      <c r="H513" s="21" t="s">
        <v>8173</v>
      </c>
      <c r="I513" s="21" t="s">
        <v>8263</v>
      </c>
    </row>
    <row r="514" customFormat="false" ht="15" hidden="false" customHeight="false" outlineLevel="0" collapsed="false">
      <c r="B514" s="19" t="s">
        <v>8496</v>
      </c>
      <c r="C514" s="20" t="n">
        <f aca="false">ROUND(9.75/FX,2)</f>
        <v>1.35</v>
      </c>
      <c r="D514" s="21" t="s">
        <v>6549</v>
      </c>
      <c r="E514" s="21" t="s">
        <v>8168</v>
      </c>
      <c r="F514" s="21" t="s">
        <v>734</v>
      </c>
      <c r="G514" s="21" t="s">
        <v>7979</v>
      </c>
      <c r="H514" s="21" t="s">
        <v>8415</v>
      </c>
      <c r="I514" s="21" t="s">
        <v>8263</v>
      </c>
    </row>
    <row r="515" customFormat="false" ht="15" hidden="false" customHeight="false" outlineLevel="0" collapsed="false">
      <c r="B515" s="19" t="s">
        <v>8497</v>
      </c>
      <c r="C515" s="20" t="n">
        <f aca="false">ROUND(9.75/FX,2)</f>
        <v>1.35</v>
      </c>
      <c r="D515" s="21" t="s">
        <v>6549</v>
      </c>
      <c r="E515" s="21" t="s">
        <v>8168</v>
      </c>
      <c r="F515" s="21" t="s">
        <v>734</v>
      </c>
      <c r="G515" s="21" t="s">
        <v>7979</v>
      </c>
      <c r="H515" s="21" t="s">
        <v>8173</v>
      </c>
      <c r="I515" s="21" t="s">
        <v>7881</v>
      </c>
    </row>
    <row r="516" customFormat="false" ht="15" hidden="false" customHeight="false" outlineLevel="0" collapsed="false">
      <c r="B516" s="19" t="s">
        <v>8498</v>
      </c>
      <c r="C516" s="20" t="n">
        <f aca="false">ROUND(9.75/FX,2)</f>
        <v>1.35</v>
      </c>
      <c r="D516" s="21" t="s">
        <v>6549</v>
      </c>
      <c r="E516" s="21" t="s">
        <v>8168</v>
      </c>
      <c r="F516" s="21" t="s">
        <v>734</v>
      </c>
      <c r="G516" s="21" t="s">
        <v>7979</v>
      </c>
      <c r="H516" s="21" t="s">
        <v>8415</v>
      </c>
      <c r="I516" s="21" t="s">
        <v>7881</v>
      </c>
    </row>
    <row r="517" customFormat="false" ht="15" hidden="false" customHeight="false" outlineLevel="0" collapsed="false">
      <c r="B517" s="19" t="s">
        <v>8499</v>
      </c>
      <c r="C517" s="20" t="n">
        <f aca="false">ROUND(9.75/FX,2)</f>
        <v>1.35</v>
      </c>
      <c r="D517" s="21" t="s">
        <v>6549</v>
      </c>
      <c r="E517" s="21" t="s">
        <v>8168</v>
      </c>
      <c r="F517" s="21" t="s">
        <v>734</v>
      </c>
      <c r="G517" s="21" t="s">
        <v>7979</v>
      </c>
      <c r="H517" s="21" t="s">
        <v>8176</v>
      </c>
      <c r="I517" s="21" t="s">
        <v>7881</v>
      </c>
    </row>
    <row r="518" customFormat="false" ht="15" hidden="false" customHeight="false" outlineLevel="0" collapsed="false">
      <c r="B518" s="19" t="s">
        <v>8500</v>
      </c>
      <c r="C518" s="20" t="n">
        <f aca="false">ROUND(8.45/FX,2)</f>
        <v>1.17</v>
      </c>
      <c r="D518" s="21" t="s">
        <v>6549</v>
      </c>
      <c r="E518" s="21" t="s">
        <v>8168</v>
      </c>
      <c r="F518" s="21" t="s">
        <v>734</v>
      </c>
      <c r="G518" s="21" t="s">
        <v>7979</v>
      </c>
      <c r="H518" s="21" t="s">
        <v>8173</v>
      </c>
      <c r="I518" s="21" t="s">
        <v>7829</v>
      </c>
    </row>
    <row r="519" customFormat="false" ht="15" hidden="false" customHeight="false" outlineLevel="0" collapsed="false">
      <c r="B519" s="19" t="s">
        <v>8501</v>
      </c>
      <c r="C519" s="20" t="n">
        <f aca="false">ROUND(9.75/FX,2)</f>
        <v>1.35</v>
      </c>
      <c r="D519" s="21" t="s">
        <v>6549</v>
      </c>
      <c r="E519" s="21" t="s">
        <v>8168</v>
      </c>
      <c r="F519" s="21" t="s">
        <v>734</v>
      </c>
      <c r="G519" s="21" t="s">
        <v>7979</v>
      </c>
      <c r="H519" s="21" t="s">
        <v>8415</v>
      </c>
      <c r="I519" s="21" t="s">
        <v>7829</v>
      </c>
    </row>
    <row r="520" customFormat="false" ht="15" hidden="false" customHeight="false" outlineLevel="0" collapsed="false">
      <c r="B520" s="19" t="s">
        <v>8502</v>
      </c>
      <c r="C520" s="20" t="n">
        <f aca="false">ROUND(9.75/FX,2)</f>
        <v>1.35</v>
      </c>
      <c r="D520" s="21" t="s">
        <v>6549</v>
      </c>
      <c r="E520" s="21" t="s">
        <v>8168</v>
      </c>
      <c r="F520" s="21" t="s">
        <v>734</v>
      </c>
      <c r="G520" s="21" t="s">
        <v>7979</v>
      </c>
      <c r="H520" s="21" t="s">
        <v>8176</v>
      </c>
      <c r="I520" s="21" t="s">
        <v>7829</v>
      </c>
    </row>
    <row r="521" customFormat="false" ht="15" hidden="false" customHeight="false" outlineLevel="0" collapsed="false">
      <c r="B521" s="19" t="s">
        <v>8503</v>
      </c>
      <c r="C521" s="20" t="n">
        <f aca="false">ROUND(9.75/FX,2)</f>
        <v>1.35</v>
      </c>
      <c r="D521" s="21" t="s">
        <v>6549</v>
      </c>
      <c r="E521" s="21" t="s">
        <v>8168</v>
      </c>
      <c r="F521" s="21" t="s">
        <v>734</v>
      </c>
      <c r="G521" s="21" t="s">
        <v>7979</v>
      </c>
      <c r="H521" s="21" t="s">
        <v>8173</v>
      </c>
      <c r="I521" s="21" t="s">
        <v>7831</v>
      </c>
    </row>
    <row r="522" customFormat="false" ht="15" hidden="false" customHeight="false" outlineLevel="0" collapsed="false">
      <c r="B522" s="19" t="s">
        <v>8504</v>
      </c>
      <c r="C522" s="20" t="n">
        <f aca="false">ROUND(9.75/FX,2)</f>
        <v>1.35</v>
      </c>
      <c r="D522" s="21" t="s">
        <v>6549</v>
      </c>
      <c r="E522" s="21" t="s">
        <v>8168</v>
      </c>
      <c r="F522" s="21" t="s">
        <v>734</v>
      </c>
      <c r="G522" s="21" t="s">
        <v>7979</v>
      </c>
      <c r="H522" s="21" t="s">
        <v>8415</v>
      </c>
      <c r="I522" s="21" t="s">
        <v>7831</v>
      </c>
    </row>
    <row r="523" customFormat="false" ht="15" hidden="false" customHeight="false" outlineLevel="0" collapsed="false">
      <c r="B523" s="19" t="s">
        <v>8505</v>
      </c>
      <c r="C523" s="20" t="n">
        <f aca="false">ROUND(9.75/FX,2)</f>
        <v>1.35</v>
      </c>
      <c r="D523" s="21" t="s">
        <v>6549</v>
      </c>
      <c r="E523" s="21" t="s">
        <v>8168</v>
      </c>
      <c r="F523" s="21" t="s">
        <v>734</v>
      </c>
      <c r="G523" s="21" t="s">
        <v>7979</v>
      </c>
      <c r="H523" s="21" t="s">
        <v>8176</v>
      </c>
      <c r="I523" s="21" t="s">
        <v>7831</v>
      </c>
    </row>
    <row r="524" customFormat="false" ht="15" hidden="false" customHeight="false" outlineLevel="0" collapsed="false">
      <c r="B524" s="19" t="s">
        <v>8506</v>
      </c>
      <c r="C524" s="20" t="n">
        <f aca="false">ROUND(9.75/FX,2)</f>
        <v>1.35</v>
      </c>
      <c r="D524" s="21" t="s">
        <v>6549</v>
      </c>
      <c r="E524" s="21" t="s">
        <v>8168</v>
      </c>
      <c r="F524" s="21" t="s">
        <v>734</v>
      </c>
      <c r="G524" s="21" t="s">
        <v>7979</v>
      </c>
      <c r="H524" s="21" t="s">
        <v>8173</v>
      </c>
      <c r="I524" s="21" t="s">
        <v>7944</v>
      </c>
    </row>
    <row r="525" customFormat="false" ht="15" hidden="false" customHeight="false" outlineLevel="0" collapsed="false">
      <c r="B525" s="19" t="s">
        <v>8507</v>
      </c>
      <c r="C525" s="20" t="n">
        <f aca="false">ROUND(9.75/FX,2)</f>
        <v>1.35</v>
      </c>
      <c r="D525" s="21" t="s">
        <v>6549</v>
      </c>
      <c r="E525" s="21" t="s">
        <v>8168</v>
      </c>
      <c r="F525" s="21" t="s">
        <v>734</v>
      </c>
      <c r="G525" s="21" t="s">
        <v>7979</v>
      </c>
      <c r="H525" s="21" t="s">
        <v>8415</v>
      </c>
      <c r="I525" s="21" t="s">
        <v>7944</v>
      </c>
    </row>
    <row r="526" customFormat="false" ht="15" hidden="false" customHeight="false" outlineLevel="0" collapsed="false">
      <c r="B526" s="19" t="s">
        <v>8508</v>
      </c>
      <c r="C526" s="20" t="n">
        <f aca="false">ROUND(9.75/FX,2)</f>
        <v>1.35</v>
      </c>
      <c r="D526" s="21" t="s">
        <v>6549</v>
      </c>
      <c r="E526" s="21" t="s">
        <v>8168</v>
      </c>
      <c r="F526" s="21" t="s">
        <v>734</v>
      </c>
      <c r="G526" s="21" t="s">
        <v>7979</v>
      </c>
      <c r="H526" s="21" t="s">
        <v>8176</v>
      </c>
      <c r="I526" s="21" t="s">
        <v>7944</v>
      </c>
    </row>
    <row r="527" customFormat="false" ht="15" hidden="false" customHeight="false" outlineLevel="0" collapsed="false">
      <c r="B527" s="19" t="s">
        <v>8509</v>
      </c>
      <c r="C527" s="20" t="n">
        <f aca="false">ROUND(9.75/FX,2)</f>
        <v>1.35</v>
      </c>
      <c r="D527" s="21" t="s">
        <v>6549</v>
      </c>
      <c r="E527" s="21" t="s">
        <v>8168</v>
      </c>
      <c r="F527" s="21" t="s">
        <v>734</v>
      </c>
      <c r="G527" s="21" t="s">
        <v>7979</v>
      </c>
      <c r="H527" s="21" t="s">
        <v>8173</v>
      </c>
      <c r="I527" s="21" t="s">
        <v>7946</v>
      </c>
    </row>
    <row r="528" customFormat="false" ht="15" hidden="false" customHeight="false" outlineLevel="0" collapsed="false">
      <c r="B528" s="19" t="s">
        <v>8510</v>
      </c>
      <c r="C528" s="20" t="n">
        <f aca="false">ROUND(9.75/FX,2)</f>
        <v>1.35</v>
      </c>
      <c r="D528" s="21" t="s">
        <v>6549</v>
      </c>
      <c r="E528" s="21" t="s">
        <v>8168</v>
      </c>
      <c r="F528" s="21" t="s">
        <v>734</v>
      </c>
      <c r="G528" s="21" t="s">
        <v>7979</v>
      </c>
      <c r="H528" s="21" t="s">
        <v>8415</v>
      </c>
      <c r="I528" s="21" t="s">
        <v>7946</v>
      </c>
    </row>
    <row r="529" customFormat="false" ht="15" hidden="false" customHeight="false" outlineLevel="0" collapsed="false">
      <c r="B529" s="19" t="s">
        <v>8511</v>
      </c>
      <c r="C529" s="20" t="n">
        <f aca="false">ROUND(9.75/FX,2)</f>
        <v>1.35</v>
      </c>
      <c r="D529" s="21" t="s">
        <v>6549</v>
      </c>
      <c r="E529" s="21" t="s">
        <v>8168</v>
      </c>
      <c r="F529" s="21" t="s">
        <v>734</v>
      </c>
      <c r="G529" s="21" t="s">
        <v>7979</v>
      </c>
      <c r="H529" s="21" t="s">
        <v>8176</v>
      </c>
      <c r="I529" s="21" t="s">
        <v>7946</v>
      </c>
    </row>
    <row r="530" customFormat="false" ht="15" hidden="false" customHeight="false" outlineLevel="0" collapsed="false">
      <c r="B530" s="19" t="s">
        <v>8512</v>
      </c>
      <c r="C530" s="20" t="n">
        <f aca="false">ROUND(9.75/FX,2)</f>
        <v>1.35</v>
      </c>
      <c r="D530" s="21" t="s">
        <v>6549</v>
      </c>
      <c r="E530" s="21" t="s">
        <v>8168</v>
      </c>
      <c r="F530" s="21" t="s">
        <v>734</v>
      </c>
      <c r="G530" s="21" t="s">
        <v>7979</v>
      </c>
      <c r="H530" s="21" t="s">
        <v>8173</v>
      </c>
      <c r="I530" s="21" t="s">
        <v>7833</v>
      </c>
    </row>
    <row r="531" customFormat="false" ht="15" hidden="false" customHeight="false" outlineLevel="0" collapsed="false">
      <c r="B531" s="19" t="s">
        <v>8513</v>
      </c>
      <c r="C531" s="20" t="n">
        <f aca="false">ROUND(9.75/FX,2)</f>
        <v>1.35</v>
      </c>
      <c r="D531" s="21" t="s">
        <v>6549</v>
      </c>
      <c r="E531" s="21" t="s">
        <v>8168</v>
      </c>
      <c r="F531" s="21" t="s">
        <v>734</v>
      </c>
      <c r="G531" s="21" t="s">
        <v>7979</v>
      </c>
      <c r="H531" s="21" t="s">
        <v>8415</v>
      </c>
      <c r="I531" s="21" t="s">
        <v>7833</v>
      </c>
    </row>
    <row r="532" customFormat="false" ht="15" hidden="false" customHeight="false" outlineLevel="0" collapsed="false">
      <c r="B532" s="19" t="s">
        <v>8514</v>
      </c>
      <c r="C532" s="20" t="n">
        <f aca="false">ROUND(9.75/FX,2)</f>
        <v>1.35</v>
      </c>
      <c r="D532" s="21" t="s">
        <v>6549</v>
      </c>
      <c r="E532" s="21" t="s">
        <v>8168</v>
      </c>
      <c r="F532" s="21" t="s">
        <v>734</v>
      </c>
      <c r="G532" s="21" t="s">
        <v>7979</v>
      </c>
      <c r="H532" s="21" t="s">
        <v>8176</v>
      </c>
      <c r="I532" s="21" t="s">
        <v>7833</v>
      </c>
    </row>
    <row r="533" customFormat="false" ht="15" hidden="false" customHeight="false" outlineLevel="0" collapsed="false">
      <c r="B533" s="19" t="s">
        <v>8515</v>
      </c>
      <c r="C533" s="20" t="n">
        <f aca="false">ROUND(9.75/FX,2)</f>
        <v>1.35</v>
      </c>
      <c r="D533" s="21" t="s">
        <v>6549</v>
      </c>
      <c r="E533" s="21" t="s">
        <v>8168</v>
      </c>
      <c r="F533" s="21" t="s">
        <v>734</v>
      </c>
      <c r="G533" s="21" t="s">
        <v>7979</v>
      </c>
      <c r="H533" s="21" t="s">
        <v>8173</v>
      </c>
      <c r="I533" s="21" t="s">
        <v>8294</v>
      </c>
    </row>
    <row r="534" customFormat="false" ht="15" hidden="false" customHeight="false" outlineLevel="0" collapsed="false">
      <c r="B534" s="19" t="s">
        <v>8516</v>
      </c>
      <c r="C534" s="20" t="n">
        <f aca="false">ROUND(9.75/FX,2)</f>
        <v>1.35</v>
      </c>
      <c r="D534" s="21" t="s">
        <v>6549</v>
      </c>
      <c r="E534" s="21" t="s">
        <v>8168</v>
      </c>
      <c r="F534" s="21" t="s">
        <v>734</v>
      </c>
      <c r="G534" s="21" t="s">
        <v>7979</v>
      </c>
      <c r="H534" s="21" t="s">
        <v>8415</v>
      </c>
      <c r="I534" s="21" t="s">
        <v>8294</v>
      </c>
    </row>
    <row r="535" customFormat="false" ht="15" hidden="false" customHeight="false" outlineLevel="0" collapsed="false">
      <c r="B535" s="19" t="s">
        <v>8517</v>
      </c>
      <c r="C535" s="20" t="n">
        <f aca="false">ROUND(9.75/FX,2)</f>
        <v>1.35</v>
      </c>
      <c r="D535" s="21" t="s">
        <v>6549</v>
      </c>
      <c r="E535" s="21" t="s">
        <v>8168</v>
      </c>
      <c r="F535" s="21" t="s">
        <v>734</v>
      </c>
      <c r="G535" s="21" t="s">
        <v>7979</v>
      </c>
      <c r="H535" s="21" t="s">
        <v>8176</v>
      </c>
      <c r="I535" s="21" t="s">
        <v>8294</v>
      </c>
    </row>
    <row r="536" customFormat="false" ht="15" hidden="false" customHeight="false" outlineLevel="0" collapsed="false">
      <c r="B536" s="19" t="s">
        <v>8518</v>
      </c>
      <c r="C536" s="20" t="n">
        <f aca="false">ROUND(9.75/FX,2)</f>
        <v>1.35</v>
      </c>
      <c r="D536" s="21" t="s">
        <v>6549</v>
      </c>
      <c r="E536" s="21" t="s">
        <v>8168</v>
      </c>
      <c r="F536" s="21" t="s">
        <v>734</v>
      </c>
      <c r="G536" s="21" t="s">
        <v>7979</v>
      </c>
      <c r="H536" s="21" t="s">
        <v>8173</v>
      </c>
      <c r="I536" s="21" t="s">
        <v>7891</v>
      </c>
    </row>
    <row r="537" customFormat="false" ht="15" hidden="false" customHeight="false" outlineLevel="0" collapsed="false">
      <c r="B537" s="19" t="s">
        <v>8519</v>
      </c>
      <c r="C537" s="20" t="n">
        <f aca="false">ROUND(9.75/FX,2)</f>
        <v>1.35</v>
      </c>
      <c r="D537" s="21" t="s">
        <v>6549</v>
      </c>
      <c r="E537" s="21" t="s">
        <v>8168</v>
      </c>
      <c r="F537" s="21" t="s">
        <v>734</v>
      </c>
      <c r="G537" s="21" t="s">
        <v>7979</v>
      </c>
      <c r="H537" s="21" t="s">
        <v>8415</v>
      </c>
      <c r="I537" s="21" t="s">
        <v>7891</v>
      </c>
    </row>
    <row r="538" customFormat="false" ht="15" hidden="false" customHeight="false" outlineLevel="0" collapsed="false">
      <c r="B538" s="19" t="s">
        <v>8520</v>
      </c>
      <c r="C538" s="20" t="n">
        <f aca="false">ROUND(9.75/FX,2)</f>
        <v>1.35</v>
      </c>
      <c r="D538" s="21" t="s">
        <v>6549</v>
      </c>
      <c r="E538" s="21" t="s">
        <v>8168</v>
      </c>
      <c r="F538" s="21" t="s">
        <v>734</v>
      </c>
      <c r="G538" s="21" t="s">
        <v>7979</v>
      </c>
      <c r="H538" s="21" t="s">
        <v>8176</v>
      </c>
      <c r="I538" s="21" t="s">
        <v>7891</v>
      </c>
    </row>
    <row r="539" customFormat="false" ht="15" hidden="false" customHeight="false" outlineLevel="0" collapsed="false">
      <c r="B539" s="19" t="s">
        <v>8521</v>
      </c>
      <c r="C539" s="20" t="n">
        <f aca="false">ROUND(9.75/FX,2)</f>
        <v>1.35</v>
      </c>
      <c r="D539" s="21" t="s">
        <v>6549</v>
      </c>
      <c r="E539" s="21" t="s">
        <v>8168</v>
      </c>
      <c r="F539" s="21" t="s">
        <v>734</v>
      </c>
      <c r="G539" s="21" t="s">
        <v>7979</v>
      </c>
      <c r="H539" s="21" t="s">
        <v>8173</v>
      </c>
      <c r="I539" s="21" t="s">
        <v>7860</v>
      </c>
    </row>
    <row r="540" customFormat="false" ht="15" hidden="false" customHeight="false" outlineLevel="0" collapsed="false">
      <c r="B540" s="19" t="s">
        <v>8522</v>
      </c>
      <c r="C540" s="20" t="n">
        <f aca="false">ROUND(9.75/FX,2)</f>
        <v>1.35</v>
      </c>
      <c r="D540" s="21" t="s">
        <v>6549</v>
      </c>
      <c r="E540" s="21" t="s">
        <v>8168</v>
      </c>
      <c r="F540" s="21" t="s">
        <v>734</v>
      </c>
      <c r="G540" s="21" t="s">
        <v>7979</v>
      </c>
      <c r="H540" s="21" t="s">
        <v>8415</v>
      </c>
      <c r="I540" s="21" t="s">
        <v>7860</v>
      </c>
    </row>
    <row r="541" customFormat="false" ht="15" hidden="false" customHeight="false" outlineLevel="0" collapsed="false">
      <c r="B541" s="19" t="s">
        <v>8523</v>
      </c>
      <c r="C541" s="20" t="n">
        <f aca="false">ROUND(9.75/FX,2)</f>
        <v>1.35</v>
      </c>
      <c r="D541" s="21" t="s">
        <v>6549</v>
      </c>
      <c r="E541" s="21" t="s">
        <v>8168</v>
      </c>
      <c r="F541" s="21" t="s">
        <v>734</v>
      </c>
      <c r="G541" s="21" t="s">
        <v>7979</v>
      </c>
      <c r="H541" s="21" t="s">
        <v>8176</v>
      </c>
      <c r="I541" s="21" t="s">
        <v>7860</v>
      </c>
    </row>
    <row r="542" customFormat="false" ht="15" hidden="false" customHeight="false" outlineLevel="0" collapsed="false">
      <c r="B542" s="19" t="s">
        <v>8524</v>
      </c>
      <c r="C542" s="20" t="n">
        <f aca="false">ROUND(9.75/FX,2)</f>
        <v>1.35</v>
      </c>
      <c r="D542" s="21" t="s">
        <v>6549</v>
      </c>
      <c r="E542" s="21" t="s">
        <v>8168</v>
      </c>
      <c r="F542" s="21" t="s">
        <v>734</v>
      </c>
      <c r="G542" s="21" t="s">
        <v>7979</v>
      </c>
      <c r="H542" s="21" t="s">
        <v>8173</v>
      </c>
      <c r="I542" s="21" t="s">
        <v>8310</v>
      </c>
    </row>
    <row r="543" customFormat="false" ht="15" hidden="false" customHeight="false" outlineLevel="0" collapsed="false">
      <c r="B543" s="19" t="s">
        <v>8525</v>
      </c>
      <c r="C543" s="20" t="n">
        <f aca="false">ROUND(9.75/FX,2)</f>
        <v>1.35</v>
      </c>
      <c r="D543" s="21" t="s">
        <v>6549</v>
      </c>
      <c r="E543" s="21" t="s">
        <v>8168</v>
      </c>
      <c r="F543" s="21" t="s">
        <v>734</v>
      </c>
      <c r="G543" s="21" t="s">
        <v>7979</v>
      </c>
      <c r="H543" s="21" t="s">
        <v>8415</v>
      </c>
      <c r="I543" s="21" t="s">
        <v>8310</v>
      </c>
    </row>
    <row r="544" customFormat="false" ht="15" hidden="false" customHeight="false" outlineLevel="0" collapsed="false">
      <c r="B544" s="19" t="s">
        <v>8526</v>
      </c>
      <c r="C544" s="20" t="n">
        <f aca="false">ROUND(9.75/FX,2)</f>
        <v>1.35</v>
      </c>
      <c r="D544" s="21" t="s">
        <v>6549</v>
      </c>
      <c r="E544" s="21" t="s">
        <v>8168</v>
      </c>
      <c r="F544" s="21" t="s">
        <v>734</v>
      </c>
      <c r="G544" s="21" t="s">
        <v>7979</v>
      </c>
      <c r="H544" s="21" t="s">
        <v>8176</v>
      </c>
      <c r="I544" s="21" t="s">
        <v>8310</v>
      </c>
    </row>
    <row r="545" customFormat="false" ht="15" hidden="false" customHeight="false" outlineLevel="0" collapsed="false">
      <c r="B545" s="19" t="s">
        <v>8527</v>
      </c>
      <c r="C545" s="20" t="n">
        <f aca="false">ROUND(8.45/FX,2)</f>
        <v>1.17</v>
      </c>
      <c r="D545" s="21" t="s">
        <v>6549</v>
      </c>
      <c r="E545" s="21" t="s">
        <v>8168</v>
      </c>
      <c r="F545" s="21" t="s">
        <v>734</v>
      </c>
      <c r="G545" s="21" t="s">
        <v>7979</v>
      </c>
      <c r="H545" s="21" t="s">
        <v>8173</v>
      </c>
      <c r="I545" s="21" t="s">
        <v>7893</v>
      </c>
    </row>
    <row r="546" customFormat="false" ht="15" hidden="false" customHeight="false" outlineLevel="0" collapsed="false">
      <c r="B546" s="19" t="s">
        <v>8528</v>
      </c>
      <c r="C546" s="20" t="n">
        <f aca="false">ROUND(9.75/FX,2)</f>
        <v>1.35</v>
      </c>
      <c r="D546" s="21" t="s">
        <v>6549</v>
      </c>
      <c r="E546" s="21" t="s">
        <v>8168</v>
      </c>
      <c r="F546" s="21" t="s">
        <v>734</v>
      </c>
      <c r="G546" s="21" t="s">
        <v>7979</v>
      </c>
      <c r="H546" s="21" t="s">
        <v>8415</v>
      </c>
      <c r="I546" s="21" t="s">
        <v>7893</v>
      </c>
    </row>
    <row r="547" customFormat="false" ht="15" hidden="false" customHeight="false" outlineLevel="0" collapsed="false">
      <c r="B547" s="19" t="s">
        <v>8529</v>
      </c>
      <c r="C547" s="20" t="n">
        <f aca="false">ROUND(9.75/FX,2)</f>
        <v>1.35</v>
      </c>
      <c r="D547" s="21" t="s">
        <v>6549</v>
      </c>
      <c r="E547" s="21" t="s">
        <v>8168</v>
      </c>
      <c r="F547" s="21" t="s">
        <v>734</v>
      </c>
      <c r="G547" s="21" t="s">
        <v>7979</v>
      </c>
      <c r="H547" s="21" t="s">
        <v>8176</v>
      </c>
      <c r="I547" s="21" t="s">
        <v>7893</v>
      </c>
    </row>
    <row r="548" customFormat="false" ht="15" hidden="false" customHeight="false" outlineLevel="0" collapsed="false">
      <c r="B548" s="19" t="s">
        <v>8530</v>
      </c>
      <c r="C548" s="20" t="n">
        <f aca="false">ROUND(9.75/FX,2)</f>
        <v>1.35</v>
      </c>
      <c r="D548" s="21" t="s">
        <v>6549</v>
      </c>
      <c r="E548" s="21" t="s">
        <v>8168</v>
      </c>
      <c r="F548" s="21" t="s">
        <v>734</v>
      </c>
      <c r="G548" s="21" t="s">
        <v>7979</v>
      </c>
      <c r="H548" s="21" t="s">
        <v>8173</v>
      </c>
      <c r="I548" s="21" t="s">
        <v>8320</v>
      </c>
    </row>
    <row r="549" customFormat="false" ht="15" hidden="false" customHeight="false" outlineLevel="0" collapsed="false">
      <c r="B549" s="19" t="s">
        <v>8531</v>
      </c>
      <c r="C549" s="20" t="n">
        <f aca="false">ROUND(9.75/FX,2)</f>
        <v>1.35</v>
      </c>
      <c r="D549" s="21" t="s">
        <v>6549</v>
      </c>
      <c r="E549" s="21" t="s">
        <v>8168</v>
      </c>
      <c r="F549" s="21" t="s">
        <v>734</v>
      </c>
      <c r="G549" s="21" t="s">
        <v>7979</v>
      </c>
      <c r="H549" s="21" t="s">
        <v>8415</v>
      </c>
      <c r="I549" s="21" t="s">
        <v>8320</v>
      </c>
    </row>
    <row r="550" customFormat="false" ht="15" hidden="false" customHeight="false" outlineLevel="0" collapsed="false">
      <c r="B550" s="19" t="s">
        <v>8532</v>
      </c>
      <c r="C550" s="20" t="n">
        <f aca="false">ROUND(9.75/FX,2)</f>
        <v>1.35</v>
      </c>
      <c r="D550" s="21" t="s">
        <v>6549</v>
      </c>
      <c r="E550" s="21" t="s">
        <v>8168</v>
      </c>
      <c r="F550" s="21" t="s">
        <v>734</v>
      </c>
      <c r="G550" s="21" t="s">
        <v>7979</v>
      </c>
      <c r="H550" s="21" t="s">
        <v>8176</v>
      </c>
      <c r="I550" s="21" t="s">
        <v>8320</v>
      </c>
    </row>
    <row r="551" customFormat="false" ht="15" hidden="false" customHeight="false" outlineLevel="0" collapsed="false">
      <c r="B551" s="19" t="s">
        <v>8533</v>
      </c>
      <c r="C551" s="20" t="n">
        <f aca="false">ROUND(9.75/FX,2)</f>
        <v>1.35</v>
      </c>
      <c r="D551" s="21" t="s">
        <v>6549</v>
      </c>
      <c r="E551" s="21" t="s">
        <v>8168</v>
      </c>
      <c r="F551" s="21" t="s">
        <v>734</v>
      </c>
      <c r="G551" s="21" t="s">
        <v>7979</v>
      </c>
      <c r="H551" s="21" t="s">
        <v>8173</v>
      </c>
      <c r="I551" s="21" t="s">
        <v>7895</v>
      </c>
    </row>
    <row r="552" customFormat="false" ht="15" hidden="false" customHeight="false" outlineLevel="0" collapsed="false">
      <c r="B552" s="19" t="s">
        <v>8534</v>
      </c>
      <c r="C552" s="20" t="n">
        <f aca="false">ROUND(9.75/FX,2)</f>
        <v>1.35</v>
      </c>
      <c r="D552" s="21" t="s">
        <v>6549</v>
      </c>
      <c r="E552" s="21" t="s">
        <v>8168</v>
      </c>
      <c r="F552" s="21" t="s">
        <v>734</v>
      </c>
      <c r="G552" s="21" t="s">
        <v>7979</v>
      </c>
      <c r="H552" s="21" t="s">
        <v>8415</v>
      </c>
      <c r="I552" s="21" t="s">
        <v>7895</v>
      </c>
    </row>
    <row r="553" customFormat="false" ht="15" hidden="false" customHeight="false" outlineLevel="0" collapsed="false">
      <c r="B553" s="19" t="s">
        <v>8535</v>
      </c>
      <c r="C553" s="20" t="n">
        <f aca="false">ROUND(9.75/FX,2)</f>
        <v>1.35</v>
      </c>
      <c r="D553" s="21" t="s">
        <v>6549</v>
      </c>
      <c r="E553" s="21" t="s">
        <v>8168</v>
      </c>
      <c r="F553" s="21" t="s">
        <v>734</v>
      </c>
      <c r="G553" s="21" t="s">
        <v>7979</v>
      </c>
      <c r="H553" s="21" t="s">
        <v>8176</v>
      </c>
      <c r="I553" s="21" t="s">
        <v>7895</v>
      </c>
    </row>
    <row r="554" customFormat="false" ht="15" hidden="false" customHeight="false" outlineLevel="0" collapsed="false">
      <c r="B554" s="19" t="s">
        <v>8536</v>
      </c>
      <c r="C554" s="20" t="n">
        <f aca="false">ROUND(6.5/FX,2)</f>
        <v>0.9</v>
      </c>
      <c r="D554" s="21" t="s">
        <v>6549</v>
      </c>
      <c r="E554" s="21" t="s">
        <v>8168</v>
      </c>
      <c r="F554" s="21" t="s">
        <v>734</v>
      </c>
      <c r="G554" s="21" t="s">
        <v>7979</v>
      </c>
      <c r="H554" s="21" t="s">
        <v>8173</v>
      </c>
      <c r="I554" s="21" t="s">
        <v>7862</v>
      </c>
    </row>
    <row r="555" customFormat="false" ht="15" hidden="false" customHeight="false" outlineLevel="0" collapsed="false">
      <c r="B555" s="19" t="s">
        <v>8537</v>
      </c>
      <c r="C555" s="20" t="n">
        <f aca="false">ROUND(9.75/FX,2)</f>
        <v>1.35</v>
      </c>
      <c r="D555" s="21" t="s">
        <v>6549</v>
      </c>
      <c r="E555" s="21" t="s">
        <v>8168</v>
      </c>
      <c r="F555" s="21" t="s">
        <v>734</v>
      </c>
      <c r="G555" s="21" t="s">
        <v>7979</v>
      </c>
      <c r="H555" s="21" t="s">
        <v>8415</v>
      </c>
      <c r="I555" s="21" t="s">
        <v>7862</v>
      </c>
    </row>
    <row r="556" customFormat="false" ht="15" hidden="false" customHeight="false" outlineLevel="0" collapsed="false">
      <c r="B556" s="19" t="s">
        <v>8538</v>
      </c>
      <c r="C556" s="20" t="n">
        <f aca="false">ROUND(9.75/FX,2)</f>
        <v>1.35</v>
      </c>
      <c r="D556" s="21" t="s">
        <v>6549</v>
      </c>
      <c r="E556" s="21" t="s">
        <v>8168</v>
      </c>
      <c r="F556" s="21" t="s">
        <v>734</v>
      </c>
      <c r="G556" s="21" t="s">
        <v>7979</v>
      </c>
      <c r="H556" s="21" t="s">
        <v>8176</v>
      </c>
      <c r="I556" s="21" t="s">
        <v>7862</v>
      </c>
    </row>
    <row r="557" customFormat="false" ht="15" hidden="false" customHeight="false" outlineLevel="0" collapsed="false">
      <c r="B557" s="19" t="s">
        <v>8539</v>
      </c>
      <c r="C557" s="20" t="n">
        <f aca="false">ROUND(9.75/FX,2)</f>
        <v>1.35</v>
      </c>
      <c r="D557" s="21" t="s">
        <v>6549</v>
      </c>
      <c r="E557" s="21" t="s">
        <v>8168</v>
      </c>
      <c r="F557" s="21" t="s">
        <v>734</v>
      </c>
      <c r="G557" s="21" t="s">
        <v>7979</v>
      </c>
      <c r="H557" s="21" t="s">
        <v>8173</v>
      </c>
      <c r="I557" s="21" t="s">
        <v>7864</v>
      </c>
    </row>
    <row r="558" customFormat="false" ht="15" hidden="false" customHeight="false" outlineLevel="0" collapsed="false">
      <c r="B558" s="19" t="s">
        <v>8540</v>
      </c>
      <c r="C558" s="20" t="n">
        <f aca="false">ROUND(9.75/FX,2)</f>
        <v>1.35</v>
      </c>
      <c r="D558" s="21" t="s">
        <v>6549</v>
      </c>
      <c r="E558" s="21" t="s">
        <v>8168</v>
      </c>
      <c r="F558" s="21" t="s">
        <v>734</v>
      </c>
      <c r="G558" s="21" t="s">
        <v>7979</v>
      </c>
      <c r="H558" s="21" t="s">
        <v>8415</v>
      </c>
      <c r="I558" s="21" t="s">
        <v>7864</v>
      </c>
    </row>
    <row r="559" customFormat="false" ht="15" hidden="false" customHeight="false" outlineLevel="0" collapsed="false">
      <c r="B559" s="19" t="s">
        <v>8541</v>
      </c>
      <c r="C559" s="20" t="n">
        <f aca="false">ROUND(9.75/FX,2)</f>
        <v>1.35</v>
      </c>
      <c r="D559" s="21" t="s">
        <v>6549</v>
      </c>
      <c r="E559" s="21" t="s">
        <v>8168</v>
      </c>
      <c r="F559" s="21" t="s">
        <v>734</v>
      </c>
      <c r="G559" s="21" t="s">
        <v>7979</v>
      </c>
      <c r="H559" s="21" t="s">
        <v>8176</v>
      </c>
      <c r="I559" s="21" t="s">
        <v>7864</v>
      </c>
    </row>
    <row r="560" customFormat="false" ht="15" hidden="false" customHeight="false" outlineLevel="0" collapsed="false">
      <c r="B560" s="19" t="s">
        <v>8542</v>
      </c>
      <c r="C560" s="20" t="n">
        <f aca="false">ROUND(9.75/FX,2)</f>
        <v>1.35</v>
      </c>
      <c r="D560" s="21" t="s">
        <v>6549</v>
      </c>
      <c r="E560" s="21" t="s">
        <v>8168</v>
      </c>
      <c r="F560" s="21" t="s">
        <v>734</v>
      </c>
      <c r="G560" s="21" t="s">
        <v>7979</v>
      </c>
      <c r="H560" s="21" t="s">
        <v>8173</v>
      </c>
      <c r="I560" s="21" t="s">
        <v>7961</v>
      </c>
    </row>
    <row r="561" customFormat="false" ht="15" hidden="false" customHeight="false" outlineLevel="0" collapsed="false">
      <c r="B561" s="19" t="s">
        <v>8543</v>
      </c>
      <c r="C561" s="20" t="n">
        <f aca="false">ROUND(9.75/FX,2)</f>
        <v>1.35</v>
      </c>
      <c r="D561" s="21" t="s">
        <v>6549</v>
      </c>
      <c r="E561" s="21" t="s">
        <v>8168</v>
      </c>
      <c r="F561" s="21" t="s">
        <v>734</v>
      </c>
      <c r="G561" s="21" t="s">
        <v>7979</v>
      </c>
      <c r="H561" s="21" t="s">
        <v>8415</v>
      </c>
      <c r="I561" s="21" t="s">
        <v>7961</v>
      </c>
    </row>
    <row r="562" customFormat="false" ht="15" hidden="false" customHeight="false" outlineLevel="0" collapsed="false">
      <c r="B562" s="19" t="s">
        <v>8544</v>
      </c>
      <c r="C562" s="20" t="n">
        <f aca="false">ROUND(9.75/FX,2)</f>
        <v>1.35</v>
      </c>
      <c r="D562" s="21" t="s">
        <v>6549</v>
      </c>
      <c r="E562" s="21" t="s">
        <v>8168</v>
      </c>
      <c r="F562" s="21" t="s">
        <v>734</v>
      </c>
      <c r="G562" s="21" t="s">
        <v>7979</v>
      </c>
      <c r="H562" s="21" t="s">
        <v>8176</v>
      </c>
      <c r="I562" s="21" t="s">
        <v>7961</v>
      </c>
    </row>
    <row r="563" customFormat="false" ht="15" hidden="false" customHeight="false" outlineLevel="0" collapsed="false">
      <c r="B563" s="19" t="s">
        <v>8545</v>
      </c>
      <c r="C563" s="20" t="n">
        <f aca="false">ROUND(9.75/FX,2)</f>
        <v>1.35</v>
      </c>
      <c r="D563" s="21" t="s">
        <v>6549</v>
      </c>
      <c r="E563" s="21" t="s">
        <v>8168</v>
      </c>
      <c r="F563" s="21" t="s">
        <v>734</v>
      </c>
      <c r="G563" s="21" t="s">
        <v>7979</v>
      </c>
      <c r="H563" s="21" t="s">
        <v>8173</v>
      </c>
      <c r="I563" s="21" t="s">
        <v>7872</v>
      </c>
    </row>
    <row r="564" customFormat="false" ht="15" hidden="false" customHeight="false" outlineLevel="0" collapsed="false">
      <c r="B564" s="19" t="s">
        <v>8546</v>
      </c>
      <c r="C564" s="20" t="n">
        <f aca="false">ROUND(9.75/FX,2)</f>
        <v>1.35</v>
      </c>
      <c r="D564" s="21" t="s">
        <v>6549</v>
      </c>
      <c r="E564" s="21" t="s">
        <v>8168</v>
      </c>
      <c r="F564" s="21" t="s">
        <v>734</v>
      </c>
      <c r="G564" s="21" t="s">
        <v>7979</v>
      </c>
      <c r="H564" s="21" t="s">
        <v>8415</v>
      </c>
      <c r="I564" s="21" t="s">
        <v>7872</v>
      </c>
    </row>
    <row r="565" customFormat="false" ht="15" hidden="false" customHeight="false" outlineLevel="0" collapsed="false">
      <c r="B565" s="19" t="s">
        <v>8547</v>
      </c>
      <c r="C565" s="20" t="n">
        <f aca="false">ROUND(9.75/FX,2)</f>
        <v>1.35</v>
      </c>
      <c r="D565" s="21" t="s">
        <v>6549</v>
      </c>
      <c r="E565" s="21" t="s">
        <v>8168</v>
      </c>
      <c r="F565" s="21" t="s">
        <v>734</v>
      </c>
      <c r="G565" s="21" t="s">
        <v>7979</v>
      </c>
      <c r="H565" s="21" t="s">
        <v>8176</v>
      </c>
      <c r="I565" s="21" t="s">
        <v>7872</v>
      </c>
    </row>
    <row r="566" customFormat="false" ht="15" hidden="false" customHeight="false" outlineLevel="0" collapsed="false">
      <c r="B566" s="19" t="s">
        <v>8548</v>
      </c>
      <c r="C566" s="20" t="n">
        <f aca="false">ROUND(9.75/FX,2)</f>
        <v>1.35</v>
      </c>
      <c r="D566" s="21" t="s">
        <v>6549</v>
      </c>
      <c r="E566" s="21" t="s">
        <v>8168</v>
      </c>
      <c r="F566" s="21" t="s">
        <v>734</v>
      </c>
      <c r="G566" s="21" t="s">
        <v>7979</v>
      </c>
      <c r="H566" s="21" t="s">
        <v>8173</v>
      </c>
      <c r="I566" s="21" t="s">
        <v>8349</v>
      </c>
    </row>
    <row r="567" customFormat="false" ht="15" hidden="false" customHeight="false" outlineLevel="0" collapsed="false">
      <c r="B567" s="19" t="s">
        <v>8549</v>
      </c>
      <c r="C567" s="20" t="n">
        <f aca="false">ROUND(9.75/FX,2)</f>
        <v>1.35</v>
      </c>
      <c r="D567" s="21" t="s">
        <v>6549</v>
      </c>
      <c r="E567" s="21" t="s">
        <v>8168</v>
      </c>
      <c r="F567" s="21" t="s">
        <v>734</v>
      </c>
      <c r="G567" s="21" t="s">
        <v>7979</v>
      </c>
      <c r="H567" s="21" t="s">
        <v>8415</v>
      </c>
      <c r="I567" s="21" t="s">
        <v>8349</v>
      </c>
    </row>
    <row r="568" customFormat="false" ht="15" hidden="false" customHeight="false" outlineLevel="0" collapsed="false">
      <c r="B568" s="19" t="s">
        <v>8550</v>
      </c>
      <c r="C568" s="20" t="n">
        <f aca="false">ROUND(9.75/FX,2)</f>
        <v>1.35</v>
      </c>
      <c r="D568" s="21" t="s">
        <v>6549</v>
      </c>
      <c r="E568" s="21" t="s">
        <v>8168</v>
      </c>
      <c r="F568" s="21" t="s">
        <v>734</v>
      </c>
      <c r="G568" s="21" t="s">
        <v>7979</v>
      </c>
      <c r="H568" s="21" t="s">
        <v>8176</v>
      </c>
      <c r="I568" s="21" t="s">
        <v>8349</v>
      </c>
    </row>
    <row r="569" customFormat="false" ht="15" hidden="false" customHeight="false" outlineLevel="0" collapsed="false">
      <c r="B569" s="19" t="s">
        <v>8551</v>
      </c>
      <c r="C569" s="20" t="n">
        <f aca="false">ROUND(9.75/FX,2)</f>
        <v>1.35</v>
      </c>
      <c r="D569" s="21" t="s">
        <v>6549</v>
      </c>
      <c r="E569" s="21" t="s">
        <v>8168</v>
      </c>
      <c r="F569" s="21" t="s">
        <v>734</v>
      </c>
      <c r="G569" s="21" t="s">
        <v>7979</v>
      </c>
      <c r="H569" s="21" t="s">
        <v>8173</v>
      </c>
      <c r="I569" s="21" t="s">
        <v>7966</v>
      </c>
    </row>
    <row r="570" customFormat="false" ht="15" hidden="false" customHeight="false" outlineLevel="0" collapsed="false">
      <c r="B570" s="19" t="s">
        <v>8552</v>
      </c>
      <c r="C570" s="20" t="n">
        <f aca="false">ROUND(9.75/FX,2)</f>
        <v>1.35</v>
      </c>
      <c r="D570" s="21" t="s">
        <v>6549</v>
      </c>
      <c r="E570" s="21" t="s">
        <v>8168</v>
      </c>
      <c r="F570" s="21" t="s">
        <v>734</v>
      </c>
      <c r="G570" s="21" t="s">
        <v>7979</v>
      </c>
      <c r="H570" s="21" t="s">
        <v>8415</v>
      </c>
      <c r="I570" s="21" t="s">
        <v>7966</v>
      </c>
    </row>
    <row r="571" customFormat="false" ht="15" hidden="false" customHeight="false" outlineLevel="0" collapsed="false">
      <c r="B571" s="19" t="s">
        <v>8553</v>
      </c>
      <c r="C571" s="20" t="n">
        <f aca="false">ROUND(9.75/FX,2)</f>
        <v>1.35</v>
      </c>
      <c r="D571" s="21" t="s">
        <v>6549</v>
      </c>
      <c r="E571" s="21" t="s">
        <v>8168</v>
      </c>
      <c r="F571" s="21" t="s">
        <v>734</v>
      </c>
      <c r="G571" s="21" t="s">
        <v>7979</v>
      </c>
      <c r="H571" s="21" t="s">
        <v>8176</v>
      </c>
      <c r="I571" s="21" t="s">
        <v>7966</v>
      </c>
    </row>
    <row r="572" customFormat="false" ht="15" hidden="false" customHeight="false" outlineLevel="0" collapsed="false">
      <c r="B572" s="19" t="s">
        <v>8554</v>
      </c>
      <c r="C572" s="20" t="n">
        <f aca="false">ROUND(6.5/FX,2)</f>
        <v>0.9</v>
      </c>
      <c r="D572" s="21" t="s">
        <v>6549</v>
      </c>
      <c r="E572" s="21" t="s">
        <v>8168</v>
      </c>
      <c r="F572" s="21" t="s">
        <v>734</v>
      </c>
      <c r="G572" s="21" t="s">
        <v>7979</v>
      </c>
      <c r="H572" s="21" t="s">
        <v>8173</v>
      </c>
      <c r="I572" s="21" t="s">
        <v>7968</v>
      </c>
    </row>
    <row r="573" customFormat="false" ht="15" hidden="false" customHeight="false" outlineLevel="0" collapsed="false">
      <c r="B573" s="19" t="s">
        <v>8555</v>
      </c>
      <c r="C573" s="20" t="n">
        <f aca="false">ROUND(9.75/FX,2)</f>
        <v>1.35</v>
      </c>
      <c r="D573" s="21" t="s">
        <v>6549</v>
      </c>
      <c r="E573" s="21" t="s">
        <v>8168</v>
      </c>
      <c r="F573" s="21" t="s">
        <v>734</v>
      </c>
      <c r="G573" s="21" t="s">
        <v>7979</v>
      </c>
      <c r="H573" s="21" t="s">
        <v>8415</v>
      </c>
      <c r="I573" s="21" t="s">
        <v>7968</v>
      </c>
    </row>
    <row r="574" customFormat="false" ht="15" hidden="false" customHeight="false" outlineLevel="0" collapsed="false">
      <c r="B574" s="19" t="s">
        <v>8556</v>
      </c>
      <c r="C574" s="20" t="n">
        <f aca="false">ROUND(9.75/FX,2)</f>
        <v>1.35</v>
      </c>
      <c r="D574" s="21" t="s">
        <v>6549</v>
      </c>
      <c r="E574" s="21" t="s">
        <v>8168</v>
      </c>
      <c r="F574" s="21" t="s">
        <v>734</v>
      </c>
      <c r="G574" s="21" t="s">
        <v>7979</v>
      </c>
      <c r="H574" s="21" t="s">
        <v>8176</v>
      </c>
      <c r="I574" s="21" t="s">
        <v>7968</v>
      </c>
    </row>
    <row r="575" customFormat="false" ht="15" hidden="false" customHeight="false" outlineLevel="0" collapsed="false">
      <c r="B575" s="19" t="s">
        <v>8557</v>
      </c>
      <c r="C575" s="20" t="n">
        <f aca="false">ROUND(9.75/FX,2)</f>
        <v>1.35</v>
      </c>
      <c r="D575" s="21" t="s">
        <v>6549</v>
      </c>
      <c r="E575" s="21" t="s">
        <v>8168</v>
      </c>
      <c r="F575" s="21" t="s">
        <v>734</v>
      </c>
      <c r="G575" s="21" t="s">
        <v>7979</v>
      </c>
      <c r="H575" s="21" t="s">
        <v>8173</v>
      </c>
      <c r="I575" s="21" t="s">
        <v>8379</v>
      </c>
    </row>
    <row r="576" customFormat="false" ht="15" hidden="false" customHeight="false" outlineLevel="0" collapsed="false">
      <c r="B576" s="19" t="s">
        <v>8558</v>
      </c>
      <c r="C576" s="20" t="n">
        <f aca="false">ROUND(9.75/FX,2)</f>
        <v>1.35</v>
      </c>
      <c r="D576" s="21" t="s">
        <v>6549</v>
      </c>
      <c r="E576" s="21" t="s">
        <v>8168</v>
      </c>
      <c r="F576" s="21" t="s">
        <v>734</v>
      </c>
      <c r="G576" s="21" t="s">
        <v>7979</v>
      </c>
      <c r="H576" s="21" t="s">
        <v>8415</v>
      </c>
      <c r="I576" s="21" t="s">
        <v>8379</v>
      </c>
    </row>
    <row r="577" customFormat="false" ht="15" hidden="false" customHeight="false" outlineLevel="0" collapsed="false">
      <c r="B577" s="19" t="s">
        <v>8559</v>
      </c>
      <c r="C577" s="20" t="n">
        <f aca="false">ROUND(9.75/FX,2)</f>
        <v>1.35</v>
      </c>
      <c r="D577" s="21" t="s">
        <v>6549</v>
      </c>
      <c r="E577" s="21" t="s">
        <v>8168</v>
      </c>
      <c r="F577" s="21" t="s">
        <v>734</v>
      </c>
      <c r="G577" s="21" t="s">
        <v>7979</v>
      </c>
      <c r="H577" s="21" t="s">
        <v>8176</v>
      </c>
      <c r="I577" s="21" t="s">
        <v>8379</v>
      </c>
    </row>
    <row r="578" customFormat="false" ht="15" hidden="false" customHeight="false" outlineLevel="0" collapsed="false">
      <c r="B578" s="19" t="s">
        <v>8560</v>
      </c>
      <c r="C578" s="20" t="n">
        <f aca="false">ROUND(9.75/FX,2)</f>
        <v>1.35</v>
      </c>
      <c r="D578" s="21" t="s">
        <v>6549</v>
      </c>
      <c r="E578" s="21" t="s">
        <v>8168</v>
      </c>
      <c r="F578" s="21" t="s">
        <v>734</v>
      </c>
      <c r="G578" s="21" t="s">
        <v>7979</v>
      </c>
      <c r="H578" s="21" t="s">
        <v>8173</v>
      </c>
      <c r="I578" s="21" t="s">
        <v>8382</v>
      </c>
    </row>
    <row r="579" customFormat="false" ht="15" hidden="false" customHeight="false" outlineLevel="0" collapsed="false">
      <c r="B579" s="19" t="s">
        <v>8561</v>
      </c>
      <c r="C579" s="20" t="n">
        <f aca="false">ROUND(9.75/FX,2)</f>
        <v>1.35</v>
      </c>
      <c r="D579" s="21" t="s">
        <v>6549</v>
      </c>
      <c r="E579" s="21" t="s">
        <v>8168</v>
      </c>
      <c r="F579" s="21" t="s">
        <v>734</v>
      </c>
      <c r="G579" s="21" t="s">
        <v>7979</v>
      </c>
      <c r="H579" s="21" t="s">
        <v>8415</v>
      </c>
      <c r="I579" s="21" t="s">
        <v>8382</v>
      </c>
    </row>
    <row r="580" customFormat="false" ht="15" hidden="false" customHeight="false" outlineLevel="0" collapsed="false">
      <c r="B580" s="19" t="s">
        <v>8562</v>
      </c>
      <c r="C580" s="20" t="n">
        <f aca="false">ROUND(9.75/FX,2)</f>
        <v>1.35</v>
      </c>
      <c r="D580" s="21" t="s">
        <v>6549</v>
      </c>
      <c r="E580" s="21" t="s">
        <v>8168</v>
      </c>
      <c r="F580" s="21" t="s">
        <v>734</v>
      </c>
      <c r="G580" s="21" t="s">
        <v>7979</v>
      </c>
      <c r="H580" s="21" t="s">
        <v>8176</v>
      </c>
      <c r="I580" s="21" t="s">
        <v>8382</v>
      </c>
    </row>
    <row r="581" customFormat="false" ht="15" hidden="false" customHeight="false" outlineLevel="0" collapsed="false">
      <c r="B581" s="19" t="s">
        <v>8563</v>
      </c>
      <c r="C581" s="20" t="n">
        <f aca="false">ROUND(9.75/FX,2)</f>
        <v>1.35</v>
      </c>
      <c r="D581" s="21" t="s">
        <v>6549</v>
      </c>
      <c r="E581" s="21" t="s">
        <v>8168</v>
      </c>
      <c r="F581" s="21" t="s">
        <v>734</v>
      </c>
      <c r="G581" s="21" t="s">
        <v>7979</v>
      </c>
      <c r="H581" s="21" t="s">
        <v>8173</v>
      </c>
      <c r="I581" s="21" t="s">
        <v>7899</v>
      </c>
    </row>
    <row r="582" customFormat="false" ht="15" hidden="false" customHeight="false" outlineLevel="0" collapsed="false">
      <c r="B582" s="19" t="s">
        <v>8564</v>
      </c>
      <c r="C582" s="20" t="n">
        <f aca="false">ROUND(9.75/FX,2)</f>
        <v>1.35</v>
      </c>
      <c r="D582" s="21" t="s">
        <v>6549</v>
      </c>
      <c r="E582" s="21" t="s">
        <v>8168</v>
      </c>
      <c r="F582" s="21" t="s">
        <v>734</v>
      </c>
      <c r="G582" s="21" t="s">
        <v>7979</v>
      </c>
      <c r="H582" s="21" t="s">
        <v>8415</v>
      </c>
      <c r="I582" s="21" t="s">
        <v>7899</v>
      </c>
    </row>
    <row r="583" customFormat="false" ht="15" hidden="false" customHeight="false" outlineLevel="0" collapsed="false">
      <c r="B583" s="19" t="s">
        <v>8565</v>
      </c>
      <c r="C583" s="20" t="n">
        <f aca="false">ROUND(9.75/FX,2)</f>
        <v>1.35</v>
      </c>
      <c r="D583" s="21" t="s">
        <v>6549</v>
      </c>
      <c r="E583" s="21" t="s">
        <v>8168</v>
      </c>
      <c r="F583" s="21" t="s">
        <v>734</v>
      </c>
      <c r="G583" s="21" t="s">
        <v>7979</v>
      </c>
      <c r="H583" s="21" t="s">
        <v>8176</v>
      </c>
      <c r="I583" s="21" t="s">
        <v>7899</v>
      </c>
    </row>
    <row r="584" customFormat="false" ht="15" hidden="false" customHeight="false" outlineLevel="0" collapsed="false">
      <c r="B584" s="19" t="s">
        <v>8566</v>
      </c>
      <c r="C584" s="20" t="n">
        <f aca="false">ROUND(6.5/FX,2)</f>
        <v>0.9</v>
      </c>
      <c r="D584" s="21" t="s">
        <v>6549</v>
      </c>
      <c r="E584" s="21" t="s">
        <v>8168</v>
      </c>
      <c r="F584" s="21" t="s">
        <v>734</v>
      </c>
      <c r="G584" s="21" t="s">
        <v>7979</v>
      </c>
      <c r="H584" s="21" t="s">
        <v>8173</v>
      </c>
      <c r="I584" s="21" t="s">
        <v>7866</v>
      </c>
    </row>
    <row r="585" customFormat="false" ht="15" hidden="false" customHeight="false" outlineLevel="0" collapsed="false">
      <c r="B585" s="19" t="s">
        <v>8567</v>
      </c>
      <c r="C585" s="20" t="n">
        <f aca="false">ROUND(9.75/FX,2)</f>
        <v>1.35</v>
      </c>
      <c r="D585" s="21" t="s">
        <v>6549</v>
      </c>
      <c r="E585" s="21" t="s">
        <v>8168</v>
      </c>
      <c r="F585" s="21" t="s">
        <v>734</v>
      </c>
      <c r="G585" s="21" t="s">
        <v>7979</v>
      </c>
      <c r="H585" s="21" t="s">
        <v>8415</v>
      </c>
      <c r="I585" s="21" t="s">
        <v>7866</v>
      </c>
    </row>
    <row r="586" customFormat="false" ht="15" hidden="false" customHeight="false" outlineLevel="0" collapsed="false">
      <c r="B586" s="19" t="s">
        <v>8568</v>
      </c>
      <c r="C586" s="20" t="n">
        <f aca="false">ROUND(8.45/FX,2)</f>
        <v>1.17</v>
      </c>
      <c r="D586" s="21" t="s">
        <v>6549</v>
      </c>
      <c r="E586" s="21" t="s">
        <v>8168</v>
      </c>
      <c r="F586" s="21" t="s">
        <v>734</v>
      </c>
      <c r="G586" s="21" t="s">
        <v>7979</v>
      </c>
      <c r="H586" s="21" t="s">
        <v>8176</v>
      </c>
      <c r="I586" s="21" t="s">
        <v>7866</v>
      </c>
    </row>
    <row r="587" customFormat="false" ht="15" hidden="false" customHeight="false" outlineLevel="0" collapsed="false">
      <c r="B587" s="19" t="s">
        <v>8569</v>
      </c>
      <c r="C587" s="20" t="n">
        <f aca="false">ROUND(9.75/FX,2)</f>
        <v>1.35</v>
      </c>
      <c r="D587" s="21" t="s">
        <v>6549</v>
      </c>
      <c r="E587" s="21" t="s">
        <v>8168</v>
      </c>
      <c r="F587" s="21" t="s">
        <v>734</v>
      </c>
      <c r="G587" s="21" t="s">
        <v>7979</v>
      </c>
      <c r="H587" s="21" t="s">
        <v>8173</v>
      </c>
      <c r="I587" s="21" t="s">
        <v>8396</v>
      </c>
    </row>
    <row r="588" customFormat="false" ht="15" hidden="false" customHeight="false" outlineLevel="0" collapsed="false">
      <c r="B588" s="19" t="s">
        <v>8570</v>
      </c>
      <c r="C588" s="20" t="n">
        <f aca="false">ROUND(9.75/FX,2)</f>
        <v>1.35</v>
      </c>
      <c r="D588" s="21" t="s">
        <v>6549</v>
      </c>
      <c r="E588" s="21" t="s">
        <v>8168</v>
      </c>
      <c r="F588" s="21" t="s">
        <v>734</v>
      </c>
      <c r="G588" s="21" t="s">
        <v>7979</v>
      </c>
      <c r="H588" s="21" t="s">
        <v>8415</v>
      </c>
      <c r="I588" s="21" t="s">
        <v>8396</v>
      </c>
    </row>
    <row r="589" customFormat="false" ht="15" hidden="false" customHeight="false" outlineLevel="0" collapsed="false">
      <c r="B589" s="19" t="s">
        <v>8571</v>
      </c>
      <c r="C589" s="20" t="n">
        <f aca="false">ROUND(9.75/FX,2)</f>
        <v>1.35</v>
      </c>
      <c r="D589" s="21" t="s">
        <v>6549</v>
      </c>
      <c r="E589" s="21" t="s">
        <v>8168</v>
      </c>
      <c r="F589" s="21" t="s">
        <v>734</v>
      </c>
      <c r="G589" s="21" t="s">
        <v>7979</v>
      </c>
      <c r="H589" s="21" t="s">
        <v>8176</v>
      </c>
      <c r="I589" s="21" t="s">
        <v>8396</v>
      </c>
    </row>
    <row r="590" customFormat="false" ht="15" hidden="false" customHeight="false" outlineLevel="0" collapsed="false">
      <c r="B590" s="19" t="s">
        <v>8572</v>
      </c>
      <c r="C590" s="20" t="n">
        <f aca="false">ROUND(9.75/FX,2)</f>
        <v>1.35</v>
      </c>
      <c r="D590" s="21" t="s">
        <v>6549</v>
      </c>
      <c r="E590" s="21" t="s">
        <v>8168</v>
      </c>
      <c r="F590" s="21" t="s">
        <v>734</v>
      </c>
      <c r="G590" s="21" t="s">
        <v>7979</v>
      </c>
      <c r="H590" s="21" t="s">
        <v>8173</v>
      </c>
      <c r="I590" s="21" t="s">
        <v>8401</v>
      </c>
    </row>
    <row r="591" customFormat="false" ht="15" hidden="false" customHeight="false" outlineLevel="0" collapsed="false">
      <c r="B591" s="19" t="s">
        <v>8573</v>
      </c>
      <c r="C591" s="20" t="n">
        <f aca="false">ROUND(9.75/FX,2)</f>
        <v>1.35</v>
      </c>
      <c r="D591" s="21" t="s">
        <v>6549</v>
      </c>
      <c r="E591" s="21" t="s">
        <v>8168</v>
      </c>
      <c r="F591" s="21" t="s">
        <v>734</v>
      </c>
      <c r="G591" s="21" t="s">
        <v>7979</v>
      </c>
      <c r="H591" s="21" t="s">
        <v>8415</v>
      </c>
      <c r="I591" s="21" t="s">
        <v>8401</v>
      </c>
    </row>
    <row r="592" customFormat="false" ht="15" hidden="false" customHeight="false" outlineLevel="0" collapsed="false">
      <c r="B592" s="19" t="s">
        <v>8574</v>
      </c>
      <c r="C592" s="20" t="n">
        <f aca="false">ROUND(9.75/FX,2)</f>
        <v>1.35</v>
      </c>
      <c r="D592" s="21" t="s">
        <v>6549</v>
      </c>
      <c r="E592" s="21" t="s">
        <v>8168</v>
      </c>
      <c r="F592" s="21" t="s">
        <v>734</v>
      </c>
      <c r="G592" s="21" t="s">
        <v>7979</v>
      </c>
      <c r="H592" s="21" t="s">
        <v>8176</v>
      </c>
      <c r="I592" s="21" t="s">
        <v>8401</v>
      </c>
    </row>
    <row r="593" customFormat="false" ht="15" hidden="false" customHeight="false" outlineLevel="0" collapsed="false">
      <c r="B593" s="19" t="s">
        <v>8575</v>
      </c>
      <c r="C593" s="20" t="n">
        <f aca="false">ROUND(9.75/FX,2)</f>
        <v>1.35</v>
      </c>
      <c r="D593" s="21" t="s">
        <v>6549</v>
      </c>
      <c r="E593" s="21" t="s">
        <v>8168</v>
      </c>
      <c r="F593" s="21" t="s">
        <v>734</v>
      </c>
      <c r="G593" s="21" t="s">
        <v>7979</v>
      </c>
      <c r="H593" s="21" t="s">
        <v>8173</v>
      </c>
      <c r="I593" s="21" t="s">
        <v>8409</v>
      </c>
    </row>
    <row r="594" customFormat="false" ht="15" hidden="false" customHeight="false" outlineLevel="0" collapsed="false">
      <c r="B594" s="19" t="s">
        <v>8576</v>
      </c>
      <c r="C594" s="20" t="n">
        <f aca="false">ROUND(9.75/FX,2)</f>
        <v>1.35</v>
      </c>
      <c r="D594" s="21" t="s">
        <v>6549</v>
      </c>
      <c r="E594" s="21" t="s">
        <v>8168</v>
      </c>
      <c r="F594" s="21" t="s">
        <v>734</v>
      </c>
      <c r="G594" s="21" t="s">
        <v>7979</v>
      </c>
      <c r="H594" s="21" t="s">
        <v>8415</v>
      </c>
      <c r="I594" s="21" t="s">
        <v>8409</v>
      </c>
    </row>
    <row r="595" customFormat="false" ht="15" hidden="false" customHeight="false" outlineLevel="0" collapsed="false">
      <c r="B595" s="19" t="s">
        <v>8577</v>
      </c>
      <c r="C595" s="20" t="n">
        <f aca="false">ROUND(9.75/FX,2)</f>
        <v>1.35</v>
      </c>
      <c r="D595" s="21" t="s">
        <v>6549</v>
      </c>
      <c r="E595" s="21" t="s">
        <v>8168</v>
      </c>
      <c r="F595" s="21" t="s">
        <v>734</v>
      </c>
      <c r="G595" s="21" t="s">
        <v>7979</v>
      </c>
      <c r="H595" s="21" t="s">
        <v>8176</v>
      </c>
      <c r="I595" s="21" t="s">
        <v>8409</v>
      </c>
    </row>
    <row r="596" customFormat="false" ht="15" hidden="false" customHeight="false" outlineLevel="0" collapsed="false">
      <c r="B596" s="19" t="s">
        <v>8578</v>
      </c>
      <c r="C596" s="20" t="n">
        <f aca="false">ROUND(7.8/FX,2)</f>
        <v>1.08</v>
      </c>
      <c r="D596" s="21" t="s">
        <v>6549</v>
      </c>
      <c r="E596" s="21" t="s">
        <v>8168</v>
      </c>
      <c r="F596" s="21" t="s">
        <v>734</v>
      </c>
      <c r="G596" s="21" t="s">
        <v>7997</v>
      </c>
      <c r="H596" s="21" t="s">
        <v>8169</v>
      </c>
      <c r="I596" s="21" t="s">
        <v>7875</v>
      </c>
    </row>
    <row r="597" customFormat="false" ht="15" hidden="false" customHeight="false" outlineLevel="0" collapsed="false">
      <c r="B597" s="19" t="s">
        <v>8579</v>
      </c>
      <c r="C597" s="20" t="n">
        <f aca="false">ROUND(11.7/FX,2)</f>
        <v>1.63</v>
      </c>
      <c r="D597" s="21" t="s">
        <v>6549</v>
      </c>
      <c r="E597" s="21" t="s">
        <v>8168</v>
      </c>
      <c r="F597" s="21" t="s">
        <v>734</v>
      </c>
      <c r="G597" s="21" t="s">
        <v>7997</v>
      </c>
      <c r="H597" s="21" t="s">
        <v>8169</v>
      </c>
      <c r="I597" s="21" t="s">
        <v>8580</v>
      </c>
    </row>
    <row r="598" customFormat="false" ht="15" hidden="false" customHeight="false" outlineLevel="0" collapsed="false">
      <c r="B598" s="19" t="s">
        <v>8581</v>
      </c>
      <c r="C598" s="20" t="n">
        <f aca="false">ROUND(7.8/FX,2)</f>
        <v>1.08</v>
      </c>
      <c r="D598" s="21" t="s">
        <v>6549</v>
      </c>
      <c r="E598" s="21" t="s">
        <v>8168</v>
      </c>
      <c r="F598" s="21" t="s">
        <v>734</v>
      </c>
      <c r="G598" s="21" t="s">
        <v>7997</v>
      </c>
      <c r="H598" s="21" t="s">
        <v>8169</v>
      </c>
      <c r="I598" s="21" t="s">
        <v>7999</v>
      </c>
    </row>
    <row r="599" customFormat="false" ht="15" hidden="false" customHeight="false" outlineLevel="0" collapsed="false">
      <c r="B599" s="19" t="s">
        <v>8582</v>
      </c>
      <c r="C599" s="20" t="n">
        <f aca="false">ROUND(11.7/FX,2)</f>
        <v>1.63</v>
      </c>
      <c r="D599" s="21" t="s">
        <v>6549</v>
      </c>
      <c r="E599" s="21" t="s">
        <v>8168</v>
      </c>
      <c r="F599" s="21" t="s">
        <v>734</v>
      </c>
      <c r="G599" s="21" t="s">
        <v>7997</v>
      </c>
      <c r="H599" s="21" t="s">
        <v>8169</v>
      </c>
      <c r="I599" s="21" t="s">
        <v>8058</v>
      </c>
    </row>
    <row r="600" customFormat="false" ht="15" hidden="false" customHeight="false" outlineLevel="0" collapsed="false">
      <c r="B600" s="19" t="s">
        <v>8583</v>
      </c>
      <c r="C600" s="20" t="n">
        <f aca="false">ROUND(11.7/FX,2)</f>
        <v>1.63</v>
      </c>
      <c r="D600" s="21" t="s">
        <v>6549</v>
      </c>
      <c r="E600" s="21" t="s">
        <v>8168</v>
      </c>
      <c r="F600" s="21" t="s">
        <v>734</v>
      </c>
      <c r="G600" s="21" t="s">
        <v>7997</v>
      </c>
      <c r="H600" s="21" t="s">
        <v>8169</v>
      </c>
      <c r="I600" s="21" t="s">
        <v>8062</v>
      </c>
    </row>
    <row r="601" customFormat="false" ht="15" hidden="false" customHeight="false" outlineLevel="0" collapsed="false">
      <c r="B601" s="19" t="s">
        <v>8584</v>
      </c>
      <c r="C601" s="20" t="n">
        <f aca="false">ROUND(11.7/FX,2)</f>
        <v>1.63</v>
      </c>
      <c r="D601" s="21" t="s">
        <v>6549</v>
      </c>
      <c r="E601" s="21" t="s">
        <v>8168</v>
      </c>
      <c r="F601" s="21" t="s">
        <v>734</v>
      </c>
      <c r="G601" s="21" t="s">
        <v>7997</v>
      </c>
      <c r="H601" s="21" t="s">
        <v>8169</v>
      </c>
      <c r="I601" s="21" t="s">
        <v>8064</v>
      </c>
    </row>
    <row r="602" customFormat="false" ht="15" hidden="false" customHeight="false" outlineLevel="0" collapsed="false">
      <c r="B602" s="19" t="s">
        <v>8585</v>
      </c>
      <c r="C602" s="20" t="n">
        <f aca="false">ROUND(11.7/FX,2)</f>
        <v>1.63</v>
      </c>
      <c r="D602" s="21" t="s">
        <v>6549</v>
      </c>
      <c r="E602" s="21" t="s">
        <v>8168</v>
      </c>
      <c r="F602" s="21" t="s">
        <v>734</v>
      </c>
      <c r="G602" s="21" t="s">
        <v>7997</v>
      </c>
      <c r="H602" s="21" t="s">
        <v>8169</v>
      </c>
      <c r="I602" s="21" t="s">
        <v>8586</v>
      </c>
    </row>
    <row r="603" customFormat="false" ht="15" hidden="false" customHeight="false" outlineLevel="0" collapsed="false">
      <c r="B603" s="19" t="s">
        <v>8587</v>
      </c>
      <c r="C603" s="20" t="n">
        <f aca="false">ROUND(11.7/FX,2)</f>
        <v>1.63</v>
      </c>
      <c r="D603" s="21" t="s">
        <v>6549</v>
      </c>
      <c r="E603" s="21" t="s">
        <v>8168</v>
      </c>
      <c r="F603" s="21" t="s">
        <v>734</v>
      </c>
      <c r="G603" s="21" t="s">
        <v>7997</v>
      </c>
      <c r="H603" s="21" t="s">
        <v>8169</v>
      </c>
      <c r="I603" s="21" t="s">
        <v>8068</v>
      </c>
    </row>
    <row r="604" customFormat="false" ht="15" hidden="false" customHeight="false" outlineLevel="0" collapsed="false">
      <c r="B604" s="19" t="s">
        <v>8588</v>
      </c>
      <c r="C604" s="20" t="n">
        <f aca="false">ROUND(11.7/FX,2)</f>
        <v>1.63</v>
      </c>
      <c r="D604" s="21" t="s">
        <v>6549</v>
      </c>
      <c r="E604" s="21" t="s">
        <v>8168</v>
      </c>
      <c r="F604" s="21" t="s">
        <v>734</v>
      </c>
      <c r="G604" s="21" t="s">
        <v>7997</v>
      </c>
      <c r="H604" s="21" t="s">
        <v>8169</v>
      </c>
      <c r="I604" s="21" t="s">
        <v>7985</v>
      </c>
    </row>
    <row r="605" customFormat="false" ht="15" hidden="false" customHeight="false" outlineLevel="0" collapsed="false">
      <c r="B605" s="19" t="s">
        <v>8589</v>
      </c>
      <c r="C605" s="20" t="n">
        <f aca="false">ROUND(11.7/FX,2)</f>
        <v>1.63</v>
      </c>
      <c r="D605" s="21" t="s">
        <v>6549</v>
      </c>
      <c r="E605" s="21" t="s">
        <v>8168</v>
      </c>
      <c r="F605" s="21" t="s">
        <v>734</v>
      </c>
      <c r="G605" s="21" t="s">
        <v>7997</v>
      </c>
      <c r="H605" s="21" t="s">
        <v>8169</v>
      </c>
      <c r="I605" s="21" t="s">
        <v>8075</v>
      </c>
    </row>
    <row r="606" customFormat="false" ht="15" hidden="false" customHeight="false" outlineLevel="0" collapsed="false">
      <c r="B606" s="19" t="s">
        <v>8590</v>
      </c>
      <c r="C606" s="20" t="n">
        <f aca="false">ROUND(11.7/FX,2)</f>
        <v>1.63</v>
      </c>
      <c r="D606" s="21" t="s">
        <v>6549</v>
      </c>
      <c r="E606" s="21" t="s">
        <v>8168</v>
      </c>
      <c r="F606" s="21" t="s">
        <v>734</v>
      </c>
      <c r="G606" s="21" t="s">
        <v>7997</v>
      </c>
      <c r="H606" s="21" t="s">
        <v>8169</v>
      </c>
      <c r="I606" s="21" t="s">
        <v>7914</v>
      </c>
    </row>
    <row r="607" customFormat="false" ht="15" hidden="false" customHeight="false" outlineLevel="0" collapsed="false">
      <c r="B607" s="19" t="s">
        <v>8591</v>
      </c>
      <c r="C607" s="20" t="n">
        <f aca="false">ROUND(11.7/FX,2)</f>
        <v>1.63</v>
      </c>
      <c r="D607" s="21" t="s">
        <v>6549</v>
      </c>
      <c r="E607" s="21" t="s">
        <v>8168</v>
      </c>
      <c r="F607" s="21" t="s">
        <v>734</v>
      </c>
      <c r="G607" s="21" t="s">
        <v>7997</v>
      </c>
      <c r="H607" s="21" t="s">
        <v>8169</v>
      </c>
      <c r="I607" s="21" t="s">
        <v>8592</v>
      </c>
    </row>
    <row r="608" customFormat="false" ht="15" hidden="false" customHeight="false" outlineLevel="0" collapsed="false">
      <c r="B608" s="19" t="s">
        <v>8593</v>
      </c>
      <c r="C608" s="20" t="n">
        <f aca="false">ROUND(11.7/FX,2)</f>
        <v>1.63</v>
      </c>
      <c r="D608" s="21" t="s">
        <v>6549</v>
      </c>
      <c r="E608" s="21" t="s">
        <v>8168</v>
      </c>
      <c r="F608" s="21" t="s">
        <v>734</v>
      </c>
      <c r="G608" s="21" t="s">
        <v>7997</v>
      </c>
      <c r="H608" s="21" t="s">
        <v>8169</v>
      </c>
      <c r="I608" s="21" t="s">
        <v>8594</v>
      </c>
    </row>
    <row r="609" customFormat="false" ht="15" hidden="false" customHeight="false" outlineLevel="0" collapsed="false">
      <c r="B609" s="19" t="s">
        <v>8595</v>
      </c>
      <c r="C609" s="20" t="n">
        <f aca="false">ROUND(11.7/FX,2)</f>
        <v>1.63</v>
      </c>
      <c r="D609" s="21" t="s">
        <v>6549</v>
      </c>
      <c r="E609" s="21" t="s">
        <v>8168</v>
      </c>
      <c r="F609" s="21" t="s">
        <v>734</v>
      </c>
      <c r="G609" s="21" t="s">
        <v>7997</v>
      </c>
      <c r="H609" s="21" t="s">
        <v>8169</v>
      </c>
      <c r="I609" s="21" t="s">
        <v>8596</v>
      </c>
    </row>
    <row r="610" customFormat="false" ht="15" hidden="false" customHeight="false" outlineLevel="0" collapsed="false">
      <c r="B610" s="19" t="s">
        <v>8597</v>
      </c>
      <c r="C610" s="20" t="n">
        <f aca="false">ROUND(11.7/FX,2)</f>
        <v>1.63</v>
      </c>
      <c r="D610" s="21" t="s">
        <v>6549</v>
      </c>
      <c r="E610" s="21" t="s">
        <v>8168</v>
      </c>
      <c r="F610" s="21" t="s">
        <v>734</v>
      </c>
      <c r="G610" s="21" t="s">
        <v>7997</v>
      </c>
      <c r="H610" s="21" t="s">
        <v>8169</v>
      </c>
      <c r="I610" s="21" t="s">
        <v>7916</v>
      </c>
    </row>
    <row r="611" customFormat="false" ht="15" hidden="false" customHeight="false" outlineLevel="0" collapsed="false">
      <c r="B611" s="19" t="s">
        <v>8598</v>
      </c>
      <c r="C611" s="20" t="n">
        <f aca="false">ROUND(11.7/FX,2)</f>
        <v>1.63</v>
      </c>
      <c r="D611" s="21" t="s">
        <v>6549</v>
      </c>
      <c r="E611" s="21" t="s">
        <v>8168</v>
      </c>
      <c r="F611" s="21" t="s">
        <v>734</v>
      </c>
      <c r="G611" s="21" t="s">
        <v>7997</v>
      </c>
      <c r="H611" s="21" t="s">
        <v>8169</v>
      </c>
      <c r="I611" s="21" t="s">
        <v>7918</v>
      </c>
    </row>
    <row r="612" customFormat="false" ht="15" hidden="false" customHeight="false" outlineLevel="0" collapsed="false">
      <c r="B612" s="19" t="s">
        <v>8599</v>
      </c>
      <c r="C612" s="20" t="n">
        <f aca="false">ROUND(11.7/FX,2)</f>
        <v>1.63</v>
      </c>
      <c r="D612" s="21" t="s">
        <v>6549</v>
      </c>
      <c r="E612" s="21" t="s">
        <v>8168</v>
      </c>
      <c r="F612" s="21" t="s">
        <v>734</v>
      </c>
      <c r="G612" s="21" t="s">
        <v>7997</v>
      </c>
      <c r="H612" s="21" t="s">
        <v>8169</v>
      </c>
      <c r="I612" s="21" t="s">
        <v>7847</v>
      </c>
    </row>
    <row r="613" customFormat="false" ht="15" hidden="false" customHeight="false" outlineLevel="0" collapsed="false">
      <c r="B613" s="19" t="s">
        <v>8600</v>
      </c>
      <c r="C613" s="20" t="n">
        <f aca="false">ROUND(11.7/FX,2)</f>
        <v>1.63</v>
      </c>
      <c r="D613" s="21" t="s">
        <v>6549</v>
      </c>
      <c r="E613" s="21" t="s">
        <v>8168</v>
      </c>
      <c r="F613" s="21" t="s">
        <v>734</v>
      </c>
      <c r="G613" s="21" t="s">
        <v>7997</v>
      </c>
      <c r="H613" s="21" t="s">
        <v>8169</v>
      </c>
      <c r="I613" s="21" t="s">
        <v>7849</v>
      </c>
    </row>
    <row r="614" customFormat="false" ht="15" hidden="false" customHeight="false" outlineLevel="0" collapsed="false">
      <c r="B614" s="19" t="s">
        <v>8601</v>
      </c>
      <c r="C614" s="20" t="n">
        <f aca="false">ROUND(11.7/FX,2)</f>
        <v>1.63</v>
      </c>
      <c r="D614" s="21" t="s">
        <v>6549</v>
      </c>
      <c r="E614" s="21" t="s">
        <v>8168</v>
      </c>
      <c r="F614" s="21" t="s">
        <v>734</v>
      </c>
      <c r="G614" s="21" t="s">
        <v>7997</v>
      </c>
      <c r="H614" s="21" t="s">
        <v>8169</v>
      </c>
      <c r="I614" s="21" t="s">
        <v>7922</v>
      </c>
    </row>
    <row r="615" customFormat="false" ht="15" hidden="false" customHeight="false" outlineLevel="0" collapsed="false">
      <c r="B615" s="19" t="s">
        <v>8602</v>
      </c>
      <c r="C615" s="20" t="n">
        <f aca="false">ROUND(11.7/FX,2)</f>
        <v>1.63</v>
      </c>
      <c r="D615" s="21" t="s">
        <v>6549</v>
      </c>
      <c r="E615" s="21" t="s">
        <v>8168</v>
      </c>
      <c r="F615" s="21" t="s">
        <v>734</v>
      </c>
      <c r="G615" s="21" t="s">
        <v>7997</v>
      </c>
      <c r="H615" s="21" t="s">
        <v>8169</v>
      </c>
      <c r="I615" s="21" t="s">
        <v>8231</v>
      </c>
    </row>
    <row r="616" customFormat="false" ht="15" hidden="false" customHeight="false" outlineLevel="0" collapsed="false">
      <c r="B616" s="19" t="s">
        <v>8603</v>
      </c>
      <c r="C616" s="20" t="n">
        <f aca="false">ROUND(11.7/FX,2)</f>
        <v>1.63</v>
      </c>
      <c r="D616" s="21" t="s">
        <v>6549</v>
      </c>
      <c r="E616" s="21" t="s">
        <v>8168</v>
      </c>
      <c r="F616" s="21" t="s">
        <v>734</v>
      </c>
      <c r="G616" s="21" t="s">
        <v>7997</v>
      </c>
      <c r="H616" s="21" t="s">
        <v>8169</v>
      </c>
      <c r="I616" s="21" t="s">
        <v>7851</v>
      </c>
    </row>
    <row r="617" customFormat="false" ht="15" hidden="false" customHeight="false" outlineLevel="0" collapsed="false">
      <c r="B617" s="19" t="s">
        <v>8604</v>
      </c>
      <c r="C617" s="20" t="n">
        <f aca="false">ROUND(11.7/FX,2)</f>
        <v>1.63</v>
      </c>
      <c r="D617" s="21" t="s">
        <v>6549</v>
      </c>
      <c r="E617" s="21" t="s">
        <v>8168</v>
      </c>
      <c r="F617" s="21" t="s">
        <v>734</v>
      </c>
      <c r="G617" s="21" t="s">
        <v>7997</v>
      </c>
      <c r="H617" s="21" t="s">
        <v>8169</v>
      </c>
      <c r="I617" s="21" t="s">
        <v>8239</v>
      </c>
    </row>
    <row r="618" customFormat="false" ht="15" hidden="false" customHeight="false" outlineLevel="0" collapsed="false">
      <c r="B618" s="19" t="s">
        <v>8605</v>
      </c>
      <c r="C618" s="20" t="n">
        <f aca="false">ROUND(11.7/FX,2)</f>
        <v>1.63</v>
      </c>
      <c r="D618" s="21" t="s">
        <v>6549</v>
      </c>
      <c r="E618" s="21" t="s">
        <v>8168</v>
      </c>
      <c r="F618" s="21" t="s">
        <v>734</v>
      </c>
      <c r="G618" s="21" t="s">
        <v>7997</v>
      </c>
      <c r="H618" s="21" t="s">
        <v>8169</v>
      </c>
      <c r="I618" s="21" t="s">
        <v>7925</v>
      </c>
    </row>
    <row r="619" customFormat="false" ht="15" hidden="false" customHeight="false" outlineLevel="0" collapsed="false">
      <c r="B619" s="19" t="s">
        <v>8606</v>
      </c>
      <c r="C619" s="20" t="n">
        <f aca="false">ROUND(11.7/FX,2)</f>
        <v>1.63</v>
      </c>
      <c r="D619" s="21" t="s">
        <v>6549</v>
      </c>
      <c r="E619" s="21" t="s">
        <v>8168</v>
      </c>
      <c r="F619" s="21" t="s">
        <v>734</v>
      </c>
      <c r="G619" s="21" t="s">
        <v>7997</v>
      </c>
      <c r="H619" s="21" t="s">
        <v>8169</v>
      </c>
      <c r="I619" s="21" t="s">
        <v>7927</v>
      </c>
    </row>
    <row r="620" customFormat="false" ht="15" hidden="false" customHeight="false" outlineLevel="0" collapsed="false">
      <c r="B620" s="19" t="s">
        <v>8607</v>
      </c>
      <c r="C620" s="20" t="n">
        <f aca="false">ROUND(11.7/FX,2)</f>
        <v>1.63</v>
      </c>
      <c r="D620" s="21" t="s">
        <v>6549</v>
      </c>
      <c r="E620" s="21" t="s">
        <v>8168</v>
      </c>
      <c r="F620" s="21" t="s">
        <v>734</v>
      </c>
      <c r="G620" s="21" t="s">
        <v>7997</v>
      </c>
      <c r="H620" s="21" t="s">
        <v>8169</v>
      </c>
      <c r="I620" s="21" t="s">
        <v>8608</v>
      </c>
    </row>
    <row r="621" customFormat="false" ht="15" hidden="false" customHeight="false" outlineLevel="0" collapsed="false">
      <c r="B621" s="19" t="s">
        <v>8609</v>
      </c>
      <c r="C621" s="20" t="n">
        <f aca="false">ROUND(11.7/FX,2)</f>
        <v>1.63</v>
      </c>
      <c r="D621" s="21" t="s">
        <v>6549</v>
      </c>
      <c r="E621" s="21" t="s">
        <v>8168</v>
      </c>
      <c r="F621" s="21" t="s">
        <v>734</v>
      </c>
      <c r="G621" s="21" t="s">
        <v>7997</v>
      </c>
      <c r="H621" s="21" t="s">
        <v>8169</v>
      </c>
      <c r="I621" s="21" t="s">
        <v>8610</v>
      </c>
    </row>
    <row r="622" customFormat="false" ht="15" hidden="false" customHeight="false" outlineLevel="0" collapsed="false">
      <c r="B622" s="19" t="s">
        <v>8611</v>
      </c>
      <c r="C622" s="20" t="n">
        <f aca="false">ROUND(11.7/FX,2)</f>
        <v>1.63</v>
      </c>
      <c r="D622" s="21" t="s">
        <v>6549</v>
      </c>
      <c r="E622" s="21" t="s">
        <v>8168</v>
      </c>
      <c r="F622" s="21" t="s">
        <v>734</v>
      </c>
      <c r="G622" s="21" t="s">
        <v>7997</v>
      </c>
      <c r="H622" s="21" t="s">
        <v>8169</v>
      </c>
      <c r="I622" s="21" t="s">
        <v>8612</v>
      </c>
    </row>
    <row r="623" customFormat="false" ht="15" hidden="false" customHeight="false" outlineLevel="0" collapsed="false">
      <c r="B623" s="19" t="s">
        <v>8613</v>
      </c>
      <c r="C623" s="20" t="n">
        <f aca="false">ROUND(11.7/FX,2)</f>
        <v>1.63</v>
      </c>
      <c r="D623" s="21" t="s">
        <v>6549</v>
      </c>
      <c r="E623" s="21" t="s">
        <v>8168</v>
      </c>
      <c r="F623" s="21" t="s">
        <v>734</v>
      </c>
      <c r="G623" s="21" t="s">
        <v>7997</v>
      </c>
      <c r="H623" s="21" t="s">
        <v>8169</v>
      </c>
      <c r="I623" s="21" t="s">
        <v>7827</v>
      </c>
    </row>
    <row r="624" customFormat="false" ht="15" hidden="false" customHeight="false" outlineLevel="0" collapsed="false">
      <c r="B624" s="19" t="s">
        <v>8614</v>
      </c>
      <c r="C624" s="20" t="n">
        <f aca="false">ROUND(11.7/FX,2)</f>
        <v>1.63</v>
      </c>
      <c r="D624" s="21" t="s">
        <v>6549</v>
      </c>
      <c r="E624" s="21" t="s">
        <v>8168</v>
      </c>
      <c r="F624" s="21" t="s">
        <v>734</v>
      </c>
      <c r="G624" s="21" t="s">
        <v>7997</v>
      </c>
      <c r="H624" s="21" t="s">
        <v>8169</v>
      </c>
      <c r="I624" s="21" t="s">
        <v>7853</v>
      </c>
    </row>
    <row r="625" customFormat="false" ht="15" hidden="false" customHeight="false" outlineLevel="0" collapsed="false">
      <c r="B625" s="19" t="s">
        <v>8615</v>
      </c>
      <c r="C625" s="20" t="n">
        <f aca="false">ROUND(11.7/FX,2)</f>
        <v>1.63</v>
      </c>
      <c r="D625" s="21" t="s">
        <v>6549</v>
      </c>
      <c r="E625" s="21" t="s">
        <v>8168</v>
      </c>
      <c r="F625" s="21" t="s">
        <v>734</v>
      </c>
      <c r="G625" s="21" t="s">
        <v>7997</v>
      </c>
      <c r="H625" s="21" t="s">
        <v>8169</v>
      </c>
      <c r="I625" s="21" t="s">
        <v>7869</v>
      </c>
    </row>
    <row r="626" customFormat="false" ht="15" hidden="false" customHeight="false" outlineLevel="0" collapsed="false">
      <c r="B626" s="19" t="s">
        <v>8616</v>
      </c>
      <c r="C626" s="20" t="n">
        <f aca="false">ROUND(11.7/FX,2)</f>
        <v>1.63</v>
      </c>
      <c r="D626" s="21" t="s">
        <v>6549</v>
      </c>
      <c r="E626" s="21" t="s">
        <v>8168</v>
      </c>
      <c r="F626" s="21" t="s">
        <v>734</v>
      </c>
      <c r="G626" s="21" t="s">
        <v>7997</v>
      </c>
      <c r="H626" s="21" t="s">
        <v>8169</v>
      </c>
      <c r="I626" s="21" t="s">
        <v>7855</v>
      </c>
    </row>
    <row r="627" customFormat="false" ht="15" hidden="false" customHeight="false" outlineLevel="0" collapsed="false">
      <c r="B627" s="19" t="s">
        <v>8617</v>
      </c>
      <c r="C627" s="20" t="n">
        <f aca="false">ROUND(11.7/FX,2)</f>
        <v>1.63</v>
      </c>
      <c r="D627" s="21" t="s">
        <v>6549</v>
      </c>
      <c r="E627" s="21" t="s">
        <v>8168</v>
      </c>
      <c r="F627" s="21" t="s">
        <v>734</v>
      </c>
      <c r="G627" s="21" t="s">
        <v>7997</v>
      </c>
      <c r="H627" s="21" t="s">
        <v>8169</v>
      </c>
      <c r="I627" s="21" t="s">
        <v>8255</v>
      </c>
    </row>
    <row r="628" customFormat="false" ht="15" hidden="false" customHeight="false" outlineLevel="0" collapsed="false">
      <c r="B628" s="19" t="s">
        <v>8618</v>
      </c>
      <c r="C628" s="20" t="n">
        <f aca="false">ROUND(11.7/FX,2)</f>
        <v>1.63</v>
      </c>
      <c r="D628" s="21" t="s">
        <v>6549</v>
      </c>
      <c r="E628" s="21" t="s">
        <v>8168</v>
      </c>
      <c r="F628" s="21" t="s">
        <v>734</v>
      </c>
      <c r="G628" s="21" t="s">
        <v>7997</v>
      </c>
      <c r="H628" s="21" t="s">
        <v>8169</v>
      </c>
      <c r="I628" s="21" t="s">
        <v>7933</v>
      </c>
    </row>
    <row r="629" customFormat="false" ht="15" hidden="false" customHeight="false" outlineLevel="0" collapsed="false">
      <c r="B629" s="19" t="s">
        <v>8619</v>
      </c>
      <c r="C629" s="20" t="n">
        <f aca="false">ROUND(11.7/FX,2)</f>
        <v>1.63</v>
      </c>
      <c r="D629" s="21" t="s">
        <v>6549</v>
      </c>
      <c r="E629" s="21" t="s">
        <v>8168</v>
      </c>
      <c r="F629" s="21" t="s">
        <v>734</v>
      </c>
      <c r="G629" s="21" t="s">
        <v>7997</v>
      </c>
      <c r="H629" s="21" t="s">
        <v>8169</v>
      </c>
      <c r="I629" s="21" t="s">
        <v>8263</v>
      </c>
    </row>
    <row r="630" customFormat="false" ht="15" hidden="false" customHeight="false" outlineLevel="0" collapsed="false">
      <c r="B630" s="19" t="s">
        <v>8620</v>
      </c>
      <c r="C630" s="20" t="n">
        <f aca="false">ROUND(11.7/FX,2)</f>
        <v>1.63</v>
      </c>
      <c r="D630" s="21" t="s">
        <v>6549</v>
      </c>
      <c r="E630" s="21" t="s">
        <v>8168</v>
      </c>
      <c r="F630" s="21" t="s">
        <v>734</v>
      </c>
      <c r="G630" s="21" t="s">
        <v>7997</v>
      </c>
      <c r="H630" s="21" t="s">
        <v>8169</v>
      </c>
      <c r="I630" s="21" t="s">
        <v>7935</v>
      </c>
    </row>
    <row r="631" customFormat="false" ht="15" hidden="false" customHeight="false" outlineLevel="0" collapsed="false">
      <c r="B631" s="19" t="s">
        <v>8621</v>
      </c>
      <c r="C631" s="20" t="n">
        <f aca="false">ROUND(11.7/FX,2)</f>
        <v>1.63</v>
      </c>
      <c r="D631" s="21" t="s">
        <v>6549</v>
      </c>
      <c r="E631" s="21" t="s">
        <v>8168</v>
      </c>
      <c r="F631" s="21" t="s">
        <v>734</v>
      </c>
      <c r="G631" s="21" t="s">
        <v>7997</v>
      </c>
      <c r="H631" s="21" t="s">
        <v>8169</v>
      </c>
      <c r="I631" s="21" t="s">
        <v>7881</v>
      </c>
    </row>
    <row r="632" customFormat="false" ht="15" hidden="false" customHeight="false" outlineLevel="0" collapsed="false">
      <c r="B632" s="19" t="s">
        <v>8622</v>
      </c>
      <c r="C632" s="20" t="n">
        <f aca="false">ROUND(11.7/FX,2)</f>
        <v>1.63</v>
      </c>
      <c r="D632" s="21" t="s">
        <v>6549</v>
      </c>
      <c r="E632" s="21" t="s">
        <v>8168</v>
      </c>
      <c r="F632" s="21" t="s">
        <v>734</v>
      </c>
      <c r="G632" s="21" t="s">
        <v>7997</v>
      </c>
      <c r="H632" s="21" t="s">
        <v>8169</v>
      </c>
      <c r="I632" s="21" t="s">
        <v>8623</v>
      </c>
    </row>
    <row r="633" customFormat="false" ht="15" hidden="false" customHeight="false" outlineLevel="0" collapsed="false">
      <c r="B633" s="19" t="s">
        <v>8624</v>
      </c>
      <c r="C633" s="20" t="n">
        <f aca="false">ROUND(9.75/FX,2)</f>
        <v>1.35</v>
      </c>
      <c r="D633" s="21" t="s">
        <v>6549</v>
      </c>
      <c r="E633" s="21" t="s">
        <v>8168</v>
      </c>
      <c r="F633" s="21" t="s">
        <v>734</v>
      </c>
      <c r="G633" s="21" t="s">
        <v>7997</v>
      </c>
      <c r="H633" s="21" t="s">
        <v>8169</v>
      </c>
      <c r="I633" s="21" t="s">
        <v>7989</v>
      </c>
    </row>
    <row r="634" customFormat="false" ht="15" hidden="false" customHeight="false" outlineLevel="0" collapsed="false">
      <c r="B634" s="19" t="s">
        <v>8625</v>
      </c>
      <c r="C634" s="20" t="n">
        <f aca="false">ROUND(11.7/FX,2)</f>
        <v>1.63</v>
      </c>
      <c r="D634" s="21" t="s">
        <v>6549</v>
      </c>
      <c r="E634" s="21" t="s">
        <v>8168</v>
      </c>
      <c r="F634" s="21" t="s">
        <v>734</v>
      </c>
      <c r="G634" s="21" t="s">
        <v>7997</v>
      </c>
      <c r="H634" s="21" t="s">
        <v>8169</v>
      </c>
      <c r="I634" s="21" t="s">
        <v>8626</v>
      </c>
    </row>
    <row r="635" customFormat="false" ht="15" hidden="false" customHeight="false" outlineLevel="0" collapsed="false">
      <c r="B635" s="19" t="s">
        <v>8627</v>
      </c>
      <c r="C635" s="20" t="n">
        <f aca="false">ROUND(11.7/FX,2)</f>
        <v>1.63</v>
      </c>
      <c r="D635" s="21" t="s">
        <v>6549</v>
      </c>
      <c r="E635" s="21" t="s">
        <v>8168</v>
      </c>
      <c r="F635" s="21" t="s">
        <v>734</v>
      </c>
      <c r="G635" s="21" t="s">
        <v>7997</v>
      </c>
      <c r="H635" s="21" t="s">
        <v>8169</v>
      </c>
      <c r="I635" s="21" t="s">
        <v>7829</v>
      </c>
    </row>
    <row r="636" customFormat="false" ht="15" hidden="false" customHeight="false" outlineLevel="0" collapsed="false">
      <c r="B636" s="19" t="s">
        <v>8628</v>
      </c>
      <c r="C636" s="20" t="n">
        <f aca="false">ROUND(7.8/FX,2)</f>
        <v>1.08</v>
      </c>
      <c r="D636" s="21" t="s">
        <v>6549</v>
      </c>
      <c r="E636" s="21" t="s">
        <v>8168</v>
      </c>
      <c r="F636" s="21" t="s">
        <v>734</v>
      </c>
      <c r="G636" s="21" t="s">
        <v>7997</v>
      </c>
      <c r="H636" s="21" t="s">
        <v>8169</v>
      </c>
      <c r="I636" s="21" t="s">
        <v>7831</v>
      </c>
    </row>
    <row r="637" customFormat="false" ht="15" hidden="false" customHeight="false" outlineLevel="0" collapsed="false">
      <c r="B637" s="19" t="s">
        <v>8629</v>
      </c>
      <c r="C637" s="20" t="n">
        <f aca="false">ROUND(11.7/FX,2)</f>
        <v>1.63</v>
      </c>
      <c r="D637" s="21" t="s">
        <v>6549</v>
      </c>
      <c r="E637" s="21" t="s">
        <v>8168</v>
      </c>
      <c r="F637" s="21" t="s">
        <v>734</v>
      </c>
      <c r="G637" s="21" t="s">
        <v>7997</v>
      </c>
      <c r="H637" s="21" t="s">
        <v>8169</v>
      </c>
      <c r="I637" s="21" t="s">
        <v>7944</v>
      </c>
    </row>
    <row r="638" customFormat="false" ht="15" hidden="false" customHeight="false" outlineLevel="0" collapsed="false">
      <c r="B638" s="19" t="s">
        <v>8630</v>
      </c>
      <c r="C638" s="20" t="n">
        <f aca="false">ROUND(11.7/FX,2)</f>
        <v>1.63</v>
      </c>
      <c r="D638" s="21" t="s">
        <v>6549</v>
      </c>
      <c r="E638" s="21" t="s">
        <v>8168</v>
      </c>
      <c r="F638" s="21" t="s">
        <v>734</v>
      </c>
      <c r="G638" s="21" t="s">
        <v>7997</v>
      </c>
      <c r="H638" s="21" t="s">
        <v>8169</v>
      </c>
      <c r="I638" s="21" t="s">
        <v>7946</v>
      </c>
    </row>
    <row r="639" customFormat="false" ht="15" hidden="false" customHeight="false" outlineLevel="0" collapsed="false">
      <c r="B639" s="19" t="s">
        <v>8631</v>
      </c>
      <c r="C639" s="20" t="n">
        <f aca="false">ROUND(7.8/FX,2)</f>
        <v>1.08</v>
      </c>
      <c r="D639" s="21" t="s">
        <v>6549</v>
      </c>
      <c r="E639" s="21" t="s">
        <v>8168</v>
      </c>
      <c r="F639" s="21" t="s">
        <v>734</v>
      </c>
      <c r="G639" s="21" t="s">
        <v>7997</v>
      </c>
      <c r="H639" s="21" t="s">
        <v>8169</v>
      </c>
      <c r="I639" s="21" t="s">
        <v>7833</v>
      </c>
    </row>
    <row r="640" customFormat="false" ht="15" hidden="false" customHeight="false" outlineLevel="0" collapsed="false">
      <c r="B640" s="19" t="s">
        <v>8632</v>
      </c>
      <c r="C640" s="20" t="n">
        <f aca="false">ROUND(11.7/FX,2)</f>
        <v>1.63</v>
      </c>
      <c r="D640" s="21" t="s">
        <v>6549</v>
      </c>
      <c r="E640" s="21" t="s">
        <v>8168</v>
      </c>
      <c r="F640" s="21" t="s">
        <v>734</v>
      </c>
      <c r="G640" s="21" t="s">
        <v>7997</v>
      </c>
      <c r="H640" s="21" t="s">
        <v>8169</v>
      </c>
      <c r="I640" s="21" t="s">
        <v>8294</v>
      </c>
    </row>
    <row r="641" customFormat="false" ht="15" hidden="false" customHeight="false" outlineLevel="0" collapsed="false">
      <c r="B641" s="19" t="s">
        <v>8633</v>
      </c>
      <c r="C641" s="20" t="n">
        <f aca="false">ROUND(11.7/FX,2)</f>
        <v>1.63</v>
      </c>
      <c r="D641" s="21" t="s">
        <v>6549</v>
      </c>
      <c r="E641" s="21" t="s">
        <v>8168</v>
      </c>
      <c r="F641" s="21" t="s">
        <v>734</v>
      </c>
      <c r="G641" s="21" t="s">
        <v>7997</v>
      </c>
      <c r="H641" s="21" t="s">
        <v>8169</v>
      </c>
      <c r="I641" s="21" t="s">
        <v>7951</v>
      </c>
    </row>
    <row r="642" customFormat="false" ht="15" hidden="false" customHeight="false" outlineLevel="0" collapsed="false">
      <c r="B642" s="19" t="s">
        <v>8634</v>
      </c>
      <c r="C642" s="20" t="n">
        <f aca="false">ROUND(7.8/FX,2)</f>
        <v>1.08</v>
      </c>
      <c r="D642" s="21" t="s">
        <v>6549</v>
      </c>
      <c r="E642" s="21" t="s">
        <v>8168</v>
      </c>
      <c r="F642" s="21" t="s">
        <v>734</v>
      </c>
      <c r="G642" s="21" t="s">
        <v>7997</v>
      </c>
      <c r="H642" s="21" t="s">
        <v>8169</v>
      </c>
      <c r="I642" s="21" t="s">
        <v>7891</v>
      </c>
    </row>
    <row r="643" customFormat="false" ht="15" hidden="false" customHeight="false" outlineLevel="0" collapsed="false">
      <c r="B643" s="19" t="s">
        <v>8635</v>
      </c>
      <c r="C643" s="20" t="n">
        <f aca="false">ROUND(11.7/FX,2)</f>
        <v>1.63</v>
      </c>
      <c r="D643" s="21" t="s">
        <v>6549</v>
      </c>
      <c r="E643" s="21" t="s">
        <v>8168</v>
      </c>
      <c r="F643" s="21" t="s">
        <v>734</v>
      </c>
      <c r="G643" s="21" t="s">
        <v>7997</v>
      </c>
      <c r="H643" s="21" t="s">
        <v>8169</v>
      </c>
      <c r="I643" s="21" t="s">
        <v>8636</v>
      </c>
    </row>
    <row r="644" customFormat="false" ht="15" hidden="false" customHeight="false" outlineLevel="0" collapsed="false">
      <c r="B644" s="19" t="s">
        <v>8637</v>
      </c>
      <c r="C644" s="20" t="n">
        <f aca="false">ROUND(9.75/FX,2)</f>
        <v>1.35</v>
      </c>
      <c r="D644" s="21" t="s">
        <v>6549</v>
      </c>
      <c r="E644" s="21" t="s">
        <v>8168</v>
      </c>
      <c r="F644" s="21" t="s">
        <v>734</v>
      </c>
      <c r="G644" s="21" t="s">
        <v>7997</v>
      </c>
      <c r="H644" s="21" t="s">
        <v>8169</v>
      </c>
      <c r="I644" s="21" t="s">
        <v>7992</v>
      </c>
    </row>
    <row r="645" customFormat="false" ht="15" hidden="false" customHeight="false" outlineLevel="0" collapsed="false">
      <c r="B645" s="19" t="s">
        <v>8638</v>
      </c>
      <c r="C645" s="20" t="n">
        <f aca="false">ROUND(11.7/FX,2)</f>
        <v>1.63</v>
      </c>
      <c r="D645" s="21" t="s">
        <v>6549</v>
      </c>
      <c r="E645" s="21" t="s">
        <v>8168</v>
      </c>
      <c r="F645" s="21" t="s">
        <v>734</v>
      </c>
      <c r="G645" s="21" t="s">
        <v>7997</v>
      </c>
      <c r="H645" s="21" t="s">
        <v>8169</v>
      </c>
      <c r="I645" s="21" t="s">
        <v>8099</v>
      </c>
    </row>
    <row r="646" customFormat="false" ht="15" hidden="false" customHeight="false" outlineLevel="0" collapsed="false">
      <c r="B646" s="19" t="s">
        <v>8639</v>
      </c>
      <c r="C646" s="20" t="n">
        <f aca="false">ROUND(11.7/FX,2)</f>
        <v>1.63</v>
      </c>
      <c r="D646" s="21" t="s">
        <v>6549</v>
      </c>
      <c r="E646" s="21" t="s">
        <v>8168</v>
      </c>
      <c r="F646" s="21" t="s">
        <v>734</v>
      </c>
      <c r="G646" s="21" t="s">
        <v>7997</v>
      </c>
      <c r="H646" s="21" t="s">
        <v>8169</v>
      </c>
      <c r="I646" s="21" t="s">
        <v>7860</v>
      </c>
    </row>
    <row r="647" customFormat="false" ht="15" hidden="false" customHeight="false" outlineLevel="0" collapsed="false">
      <c r="B647" s="19" t="s">
        <v>8640</v>
      </c>
      <c r="C647" s="20" t="n">
        <f aca="false">ROUND(11.7/FX,2)</f>
        <v>1.63</v>
      </c>
      <c r="D647" s="21" t="s">
        <v>6549</v>
      </c>
      <c r="E647" s="21" t="s">
        <v>8168</v>
      </c>
      <c r="F647" s="21" t="s">
        <v>734</v>
      </c>
      <c r="G647" s="21" t="s">
        <v>7997</v>
      </c>
      <c r="H647" s="21" t="s">
        <v>8169</v>
      </c>
      <c r="I647" s="21" t="s">
        <v>8310</v>
      </c>
    </row>
    <row r="648" customFormat="false" ht="15" hidden="false" customHeight="false" outlineLevel="0" collapsed="false">
      <c r="B648" s="19" t="s">
        <v>8641</v>
      </c>
      <c r="C648" s="20" t="n">
        <f aca="false">ROUND(9.75/FX,2)</f>
        <v>1.35</v>
      </c>
      <c r="D648" s="21" t="s">
        <v>6549</v>
      </c>
      <c r="E648" s="21" t="s">
        <v>8168</v>
      </c>
      <c r="F648" s="21" t="s">
        <v>734</v>
      </c>
      <c r="G648" s="21" t="s">
        <v>7997</v>
      </c>
      <c r="H648" s="21" t="s">
        <v>8169</v>
      </c>
      <c r="I648" s="21" t="s">
        <v>7893</v>
      </c>
    </row>
    <row r="649" customFormat="false" ht="15" hidden="false" customHeight="false" outlineLevel="0" collapsed="false">
      <c r="B649" s="19" t="s">
        <v>8642</v>
      </c>
      <c r="C649" s="20" t="n">
        <f aca="false">ROUND(11.7/FX,2)</f>
        <v>1.63</v>
      </c>
      <c r="D649" s="21" t="s">
        <v>6549</v>
      </c>
      <c r="E649" s="21" t="s">
        <v>8168</v>
      </c>
      <c r="F649" s="21" t="s">
        <v>734</v>
      </c>
      <c r="G649" s="21" t="s">
        <v>7997</v>
      </c>
      <c r="H649" s="21" t="s">
        <v>8169</v>
      </c>
      <c r="I649" s="21" t="s">
        <v>8320</v>
      </c>
    </row>
    <row r="650" customFormat="false" ht="15" hidden="false" customHeight="false" outlineLevel="0" collapsed="false">
      <c r="B650" s="19" t="s">
        <v>8643</v>
      </c>
      <c r="C650" s="20" t="n">
        <f aca="false">ROUND(11.7/FX,2)</f>
        <v>1.63</v>
      </c>
      <c r="D650" s="21" t="s">
        <v>6549</v>
      </c>
      <c r="E650" s="21" t="s">
        <v>8168</v>
      </c>
      <c r="F650" s="21" t="s">
        <v>734</v>
      </c>
      <c r="G650" s="21" t="s">
        <v>7997</v>
      </c>
      <c r="H650" s="21" t="s">
        <v>8169</v>
      </c>
      <c r="I650" s="21" t="s">
        <v>7956</v>
      </c>
    </row>
    <row r="651" customFormat="false" ht="15" hidden="false" customHeight="false" outlineLevel="0" collapsed="false">
      <c r="B651" s="19" t="s">
        <v>8644</v>
      </c>
      <c r="C651" s="20" t="n">
        <f aca="false">ROUND(9.75/FX,2)</f>
        <v>1.35</v>
      </c>
      <c r="D651" s="21" t="s">
        <v>6549</v>
      </c>
      <c r="E651" s="21" t="s">
        <v>8168</v>
      </c>
      <c r="F651" s="21" t="s">
        <v>734</v>
      </c>
      <c r="G651" s="21" t="s">
        <v>7997</v>
      </c>
      <c r="H651" s="21" t="s">
        <v>8169</v>
      </c>
      <c r="I651" s="21" t="s">
        <v>7895</v>
      </c>
    </row>
    <row r="652" customFormat="false" ht="15" hidden="false" customHeight="false" outlineLevel="0" collapsed="false">
      <c r="B652" s="19" t="s">
        <v>8645</v>
      </c>
      <c r="C652" s="20" t="n">
        <f aca="false">ROUND(11.7/FX,2)</f>
        <v>1.63</v>
      </c>
      <c r="D652" s="21" t="s">
        <v>6549</v>
      </c>
      <c r="E652" s="21" t="s">
        <v>8168</v>
      </c>
      <c r="F652" s="21" t="s">
        <v>734</v>
      </c>
      <c r="G652" s="21" t="s">
        <v>7997</v>
      </c>
      <c r="H652" s="21" t="s">
        <v>8169</v>
      </c>
      <c r="I652" s="21" t="s">
        <v>8646</v>
      </c>
    </row>
    <row r="653" customFormat="false" ht="15" hidden="false" customHeight="false" outlineLevel="0" collapsed="false">
      <c r="B653" s="19" t="s">
        <v>8647</v>
      </c>
      <c r="C653" s="20" t="n">
        <f aca="false">ROUND(9.75/FX,2)</f>
        <v>1.35</v>
      </c>
      <c r="D653" s="21" t="s">
        <v>6549</v>
      </c>
      <c r="E653" s="21" t="s">
        <v>8168</v>
      </c>
      <c r="F653" s="21" t="s">
        <v>734</v>
      </c>
      <c r="G653" s="21" t="s">
        <v>7997</v>
      </c>
      <c r="H653" s="21" t="s">
        <v>8169</v>
      </c>
      <c r="I653" s="21" t="s">
        <v>8035</v>
      </c>
    </row>
    <row r="654" customFormat="false" ht="15" hidden="false" customHeight="false" outlineLevel="0" collapsed="false">
      <c r="B654" s="19" t="s">
        <v>8648</v>
      </c>
      <c r="C654" s="20" t="n">
        <f aca="false">ROUND(11.7/FX,2)</f>
        <v>1.63</v>
      </c>
      <c r="D654" s="21" t="s">
        <v>6549</v>
      </c>
      <c r="E654" s="21" t="s">
        <v>8168</v>
      </c>
      <c r="F654" s="21" t="s">
        <v>734</v>
      </c>
      <c r="G654" s="21" t="s">
        <v>7997</v>
      </c>
      <c r="H654" s="21" t="s">
        <v>8169</v>
      </c>
      <c r="I654" s="21" t="s">
        <v>8104</v>
      </c>
    </row>
    <row r="655" customFormat="false" ht="15" hidden="false" customHeight="false" outlineLevel="0" collapsed="false">
      <c r="B655" s="19" t="s">
        <v>8649</v>
      </c>
      <c r="C655" s="20" t="n">
        <f aca="false">ROUND(9.75/FX,2)</f>
        <v>1.35</v>
      </c>
      <c r="D655" s="21" t="s">
        <v>6549</v>
      </c>
      <c r="E655" s="21" t="s">
        <v>8168</v>
      </c>
      <c r="F655" s="21" t="s">
        <v>734</v>
      </c>
      <c r="G655" s="21" t="s">
        <v>7997</v>
      </c>
      <c r="H655" s="21" t="s">
        <v>8169</v>
      </c>
      <c r="I655" s="21" t="s">
        <v>7862</v>
      </c>
    </row>
    <row r="656" customFormat="false" ht="15" hidden="false" customHeight="false" outlineLevel="0" collapsed="false">
      <c r="B656" s="19" t="s">
        <v>8650</v>
      </c>
      <c r="C656" s="20" t="n">
        <f aca="false">ROUND(9.75/FX,2)</f>
        <v>1.35</v>
      </c>
      <c r="D656" s="21" t="s">
        <v>6549</v>
      </c>
      <c r="E656" s="21" t="s">
        <v>8168</v>
      </c>
      <c r="F656" s="21" t="s">
        <v>734</v>
      </c>
      <c r="G656" s="21" t="s">
        <v>7997</v>
      </c>
      <c r="H656" s="21" t="s">
        <v>8169</v>
      </c>
      <c r="I656" s="21" t="s">
        <v>7864</v>
      </c>
    </row>
    <row r="657" customFormat="false" ht="15" hidden="false" customHeight="false" outlineLevel="0" collapsed="false">
      <c r="B657" s="19" t="s">
        <v>8651</v>
      </c>
      <c r="C657" s="20" t="n">
        <f aca="false">ROUND(11.7/FX,2)</f>
        <v>1.63</v>
      </c>
      <c r="D657" s="21" t="s">
        <v>6549</v>
      </c>
      <c r="E657" s="21" t="s">
        <v>8168</v>
      </c>
      <c r="F657" s="21" t="s">
        <v>734</v>
      </c>
      <c r="G657" s="21" t="s">
        <v>7997</v>
      </c>
      <c r="H657" s="21" t="s">
        <v>8169</v>
      </c>
      <c r="I657" s="21" t="s">
        <v>7961</v>
      </c>
    </row>
    <row r="658" customFormat="false" ht="15" hidden="false" customHeight="false" outlineLevel="0" collapsed="false">
      <c r="B658" s="19" t="s">
        <v>8652</v>
      </c>
      <c r="C658" s="20" t="n">
        <f aca="false">ROUND(9.75/FX,2)</f>
        <v>1.35</v>
      </c>
      <c r="D658" s="21" t="s">
        <v>6549</v>
      </c>
      <c r="E658" s="21" t="s">
        <v>8168</v>
      </c>
      <c r="F658" s="21" t="s">
        <v>734</v>
      </c>
      <c r="G658" s="21" t="s">
        <v>7997</v>
      </c>
      <c r="H658" s="21" t="s">
        <v>8169</v>
      </c>
      <c r="I658" s="21" t="s">
        <v>7872</v>
      </c>
    </row>
    <row r="659" customFormat="false" ht="15" hidden="false" customHeight="false" outlineLevel="0" collapsed="false">
      <c r="B659" s="19" t="s">
        <v>8653</v>
      </c>
      <c r="C659" s="20" t="n">
        <f aca="false">ROUND(11.7/FX,2)</f>
        <v>1.63</v>
      </c>
      <c r="D659" s="21" t="s">
        <v>6549</v>
      </c>
      <c r="E659" s="21" t="s">
        <v>8168</v>
      </c>
      <c r="F659" s="21" t="s">
        <v>734</v>
      </c>
      <c r="G659" s="21" t="s">
        <v>7997</v>
      </c>
      <c r="H659" s="21" t="s">
        <v>8169</v>
      </c>
      <c r="I659" s="21" t="s">
        <v>8349</v>
      </c>
    </row>
    <row r="660" customFormat="false" ht="15" hidden="false" customHeight="false" outlineLevel="0" collapsed="false">
      <c r="B660" s="19" t="s">
        <v>8654</v>
      </c>
      <c r="C660" s="20" t="n">
        <f aca="false">ROUND(11.7/FX,2)</f>
        <v>1.63</v>
      </c>
      <c r="D660" s="21" t="s">
        <v>6549</v>
      </c>
      <c r="E660" s="21" t="s">
        <v>8168</v>
      </c>
      <c r="F660" s="21" t="s">
        <v>734</v>
      </c>
      <c r="G660" s="21" t="s">
        <v>7997</v>
      </c>
      <c r="H660" s="21" t="s">
        <v>8169</v>
      </c>
      <c r="I660" s="21" t="s">
        <v>7964</v>
      </c>
    </row>
    <row r="661" customFormat="false" ht="15" hidden="false" customHeight="false" outlineLevel="0" collapsed="false">
      <c r="B661" s="19" t="s">
        <v>8655</v>
      </c>
      <c r="C661" s="20" t="n">
        <f aca="false">ROUND(11.7/FX,2)</f>
        <v>1.63</v>
      </c>
      <c r="D661" s="21" t="s">
        <v>6549</v>
      </c>
      <c r="E661" s="21" t="s">
        <v>8168</v>
      </c>
      <c r="F661" s="21" t="s">
        <v>734</v>
      </c>
      <c r="G661" s="21" t="s">
        <v>7997</v>
      </c>
      <c r="H661" s="21" t="s">
        <v>8169</v>
      </c>
      <c r="I661" s="21" t="s">
        <v>7966</v>
      </c>
    </row>
    <row r="662" customFormat="false" ht="15" hidden="false" customHeight="false" outlineLevel="0" collapsed="false">
      <c r="B662" s="19" t="s">
        <v>8656</v>
      </c>
      <c r="C662" s="20" t="n">
        <f aca="false">ROUND(11.7/FX,2)</f>
        <v>1.63</v>
      </c>
      <c r="D662" s="21" t="s">
        <v>6549</v>
      </c>
      <c r="E662" s="21" t="s">
        <v>8168</v>
      </c>
      <c r="F662" s="21" t="s">
        <v>734</v>
      </c>
      <c r="G662" s="21" t="s">
        <v>7997</v>
      </c>
      <c r="H662" s="21" t="s">
        <v>8169</v>
      </c>
      <c r="I662" s="21" t="s">
        <v>8657</v>
      </c>
    </row>
    <row r="663" customFormat="false" ht="15" hidden="false" customHeight="false" outlineLevel="0" collapsed="false">
      <c r="B663" s="19" t="s">
        <v>8658</v>
      </c>
      <c r="C663" s="20" t="n">
        <f aca="false">ROUND(11.7/FX,2)</f>
        <v>1.63</v>
      </c>
      <c r="D663" s="21" t="s">
        <v>6549</v>
      </c>
      <c r="E663" s="21" t="s">
        <v>8168</v>
      </c>
      <c r="F663" s="21" t="s">
        <v>734</v>
      </c>
      <c r="G663" s="21" t="s">
        <v>7997</v>
      </c>
      <c r="H663" s="21" t="s">
        <v>8169</v>
      </c>
      <c r="I663" s="21" t="s">
        <v>8659</v>
      </c>
    </row>
    <row r="664" customFormat="false" ht="15" hidden="false" customHeight="false" outlineLevel="0" collapsed="false">
      <c r="B664" s="19" t="s">
        <v>8660</v>
      </c>
      <c r="C664" s="20" t="n">
        <f aca="false">ROUND(11.7/FX,2)</f>
        <v>1.63</v>
      </c>
      <c r="D664" s="21" t="s">
        <v>6549</v>
      </c>
      <c r="E664" s="21" t="s">
        <v>8168</v>
      </c>
      <c r="F664" s="21" t="s">
        <v>734</v>
      </c>
      <c r="G664" s="21" t="s">
        <v>7997</v>
      </c>
      <c r="H664" s="21" t="s">
        <v>8169</v>
      </c>
      <c r="I664" s="21" t="s">
        <v>8661</v>
      </c>
    </row>
    <row r="665" customFormat="false" ht="15" hidden="false" customHeight="false" outlineLevel="0" collapsed="false">
      <c r="B665" s="19" t="s">
        <v>8662</v>
      </c>
      <c r="C665" s="20" t="n">
        <f aca="false">ROUND(11.7/FX,2)</f>
        <v>1.63</v>
      </c>
      <c r="D665" s="21" t="s">
        <v>6549</v>
      </c>
      <c r="E665" s="21" t="s">
        <v>8168</v>
      </c>
      <c r="F665" s="21" t="s">
        <v>734</v>
      </c>
      <c r="G665" s="21" t="s">
        <v>7997</v>
      </c>
      <c r="H665" s="21" t="s">
        <v>8169</v>
      </c>
      <c r="I665" s="21" t="s">
        <v>7968</v>
      </c>
    </row>
    <row r="666" customFormat="false" ht="15" hidden="false" customHeight="false" outlineLevel="0" collapsed="false">
      <c r="B666" s="19" t="s">
        <v>8663</v>
      </c>
      <c r="C666" s="20" t="n">
        <f aca="false">ROUND(11.7/FX,2)</f>
        <v>1.63</v>
      </c>
      <c r="D666" s="21" t="s">
        <v>6549</v>
      </c>
      <c r="E666" s="21" t="s">
        <v>8168</v>
      </c>
      <c r="F666" s="21" t="s">
        <v>734</v>
      </c>
      <c r="G666" s="21" t="s">
        <v>7997</v>
      </c>
      <c r="H666" s="21" t="s">
        <v>8169</v>
      </c>
      <c r="I666" s="21" t="s">
        <v>8379</v>
      </c>
    </row>
    <row r="667" customFormat="false" ht="15" hidden="false" customHeight="false" outlineLevel="0" collapsed="false">
      <c r="B667" s="19" t="s">
        <v>8664</v>
      </c>
      <c r="C667" s="20" t="n">
        <f aca="false">ROUND(11.7/FX,2)</f>
        <v>1.63</v>
      </c>
      <c r="D667" s="21" t="s">
        <v>6549</v>
      </c>
      <c r="E667" s="21" t="s">
        <v>8168</v>
      </c>
      <c r="F667" s="21" t="s">
        <v>734</v>
      </c>
      <c r="G667" s="21" t="s">
        <v>7997</v>
      </c>
      <c r="H667" s="21" t="s">
        <v>8169</v>
      </c>
      <c r="I667" s="21" t="s">
        <v>8382</v>
      </c>
    </row>
    <row r="668" customFormat="false" ht="15" hidden="false" customHeight="false" outlineLevel="0" collapsed="false">
      <c r="B668" s="19" t="s">
        <v>8665</v>
      </c>
      <c r="C668" s="20" t="n">
        <f aca="false">ROUND(11.7/FX,2)</f>
        <v>1.63</v>
      </c>
      <c r="D668" s="21" t="s">
        <v>6549</v>
      </c>
      <c r="E668" s="21" t="s">
        <v>8168</v>
      </c>
      <c r="F668" s="21" t="s">
        <v>734</v>
      </c>
      <c r="G668" s="21" t="s">
        <v>7997</v>
      </c>
      <c r="H668" s="21" t="s">
        <v>8169</v>
      </c>
      <c r="I668" s="21" t="s">
        <v>8666</v>
      </c>
    </row>
    <row r="669" customFormat="false" ht="15" hidden="false" customHeight="false" outlineLevel="0" collapsed="false">
      <c r="B669" s="19" t="s">
        <v>8667</v>
      </c>
      <c r="C669" s="20" t="n">
        <f aca="false">ROUND(97.5/FX,2)</f>
        <v>13.54</v>
      </c>
      <c r="D669" s="21" t="s">
        <v>8668</v>
      </c>
      <c r="E669" s="21" t="s">
        <v>8669</v>
      </c>
      <c r="F669" s="21" t="s">
        <v>734</v>
      </c>
      <c r="G669" s="21" t="s">
        <v>7997</v>
      </c>
      <c r="H669" s="21" t="s">
        <v>8169</v>
      </c>
      <c r="I669" s="21" t="s">
        <v>7899</v>
      </c>
    </row>
    <row r="670" customFormat="false" ht="15" hidden="false" customHeight="false" outlineLevel="0" collapsed="false">
      <c r="B670" s="19" t="s">
        <v>8670</v>
      </c>
      <c r="C670" s="20" t="n">
        <f aca="false">ROUND(7.8/FX,2)</f>
        <v>1.08</v>
      </c>
      <c r="D670" s="21" t="s">
        <v>6549</v>
      </c>
      <c r="E670" s="21" t="s">
        <v>8168</v>
      </c>
      <c r="F670" s="21" t="s">
        <v>734</v>
      </c>
      <c r="G670" s="21" t="s">
        <v>7997</v>
      </c>
      <c r="H670" s="21" t="s">
        <v>8169</v>
      </c>
      <c r="I670" s="21" t="s">
        <v>7899</v>
      </c>
    </row>
    <row r="671" customFormat="false" ht="15" hidden="false" customHeight="false" outlineLevel="0" collapsed="false">
      <c r="B671" s="19" t="s">
        <v>8671</v>
      </c>
      <c r="C671" s="20" t="n">
        <f aca="false">ROUND(11.7/FX,2)</f>
        <v>1.63</v>
      </c>
      <c r="D671" s="21" t="s">
        <v>6549</v>
      </c>
      <c r="E671" s="21" t="s">
        <v>8168</v>
      </c>
      <c r="F671" s="21" t="s">
        <v>734</v>
      </c>
      <c r="G671" s="21" t="s">
        <v>7997</v>
      </c>
      <c r="H671" s="21" t="s">
        <v>8169</v>
      </c>
      <c r="I671" s="21" t="s">
        <v>8672</v>
      </c>
    </row>
    <row r="672" customFormat="false" ht="15" hidden="false" customHeight="false" outlineLevel="0" collapsed="false">
      <c r="B672" s="19" t="s">
        <v>8673</v>
      </c>
      <c r="C672" s="20" t="n">
        <f aca="false">ROUND(7.8/FX,2)</f>
        <v>1.08</v>
      </c>
      <c r="D672" s="21" t="s">
        <v>6549</v>
      </c>
      <c r="E672" s="21" t="s">
        <v>8168</v>
      </c>
      <c r="F672" s="21" t="s">
        <v>734</v>
      </c>
      <c r="G672" s="21" t="s">
        <v>7997</v>
      </c>
      <c r="H672" s="21" t="s">
        <v>8169</v>
      </c>
      <c r="I672" s="21" t="s">
        <v>7994</v>
      </c>
    </row>
    <row r="673" customFormat="false" ht="15" hidden="false" customHeight="false" outlineLevel="0" collapsed="false">
      <c r="B673" s="19" t="s">
        <v>8674</v>
      </c>
      <c r="C673" s="20" t="n">
        <f aca="false">ROUND(11.7/FX,2)</f>
        <v>1.63</v>
      </c>
      <c r="D673" s="21" t="s">
        <v>6549</v>
      </c>
      <c r="E673" s="21" t="s">
        <v>8168</v>
      </c>
      <c r="F673" s="21" t="s">
        <v>734</v>
      </c>
      <c r="G673" s="21" t="s">
        <v>7997</v>
      </c>
      <c r="H673" s="21" t="s">
        <v>8169</v>
      </c>
      <c r="I673" s="21" t="s">
        <v>8109</v>
      </c>
    </row>
    <row r="674" customFormat="false" ht="15" hidden="false" customHeight="false" outlineLevel="0" collapsed="false">
      <c r="B674" s="19" t="s">
        <v>8675</v>
      </c>
      <c r="C674" s="20" t="n">
        <f aca="false">ROUND(7.8/FX,2)</f>
        <v>1.08</v>
      </c>
      <c r="D674" s="21" t="s">
        <v>6549</v>
      </c>
      <c r="E674" s="21" t="s">
        <v>8168</v>
      </c>
      <c r="F674" s="21" t="s">
        <v>734</v>
      </c>
      <c r="G674" s="21" t="s">
        <v>7997</v>
      </c>
      <c r="H674" s="21" t="s">
        <v>8169</v>
      </c>
      <c r="I674" s="21" t="s">
        <v>7866</v>
      </c>
    </row>
    <row r="675" customFormat="false" ht="15" hidden="false" customHeight="false" outlineLevel="0" collapsed="false">
      <c r="B675" s="19" t="s">
        <v>8676</v>
      </c>
      <c r="C675" s="20" t="n">
        <f aca="false">ROUND(11.7/FX,2)</f>
        <v>1.63</v>
      </c>
      <c r="D675" s="21" t="s">
        <v>6549</v>
      </c>
      <c r="E675" s="21" t="s">
        <v>8168</v>
      </c>
      <c r="F675" s="21" t="s">
        <v>734</v>
      </c>
      <c r="G675" s="21" t="s">
        <v>7997</v>
      </c>
      <c r="H675" s="21" t="s">
        <v>8169</v>
      </c>
      <c r="I675" s="21" t="s">
        <v>8396</v>
      </c>
    </row>
    <row r="676" customFormat="false" ht="15" hidden="false" customHeight="false" outlineLevel="0" collapsed="false">
      <c r="B676" s="19" t="s">
        <v>8677</v>
      </c>
      <c r="C676" s="20" t="n">
        <f aca="false">ROUND(11.7/FX,2)</f>
        <v>1.63</v>
      </c>
      <c r="D676" s="21" t="s">
        <v>6549</v>
      </c>
      <c r="E676" s="21" t="s">
        <v>8168</v>
      </c>
      <c r="F676" s="21" t="s">
        <v>734</v>
      </c>
      <c r="G676" s="21" t="s">
        <v>7997</v>
      </c>
      <c r="H676" s="21" t="s">
        <v>8169</v>
      </c>
      <c r="I676" s="21" t="s">
        <v>8117</v>
      </c>
    </row>
    <row r="677" customFormat="false" ht="15" hidden="false" customHeight="false" outlineLevel="0" collapsed="false">
      <c r="B677" s="19" t="s">
        <v>8678</v>
      </c>
      <c r="C677" s="20" t="n">
        <f aca="false">ROUND(80.93/FX,2)</f>
        <v>11.24</v>
      </c>
      <c r="D677" s="21" t="s">
        <v>8668</v>
      </c>
      <c r="E677" s="21" t="s">
        <v>8669</v>
      </c>
      <c r="F677" s="21" t="s">
        <v>734</v>
      </c>
      <c r="G677" s="21" t="s">
        <v>7997</v>
      </c>
      <c r="H677" s="21" t="s">
        <v>8169</v>
      </c>
      <c r="I677" s="21" t="s">
        <v>8679</v>
      </c>
    </row>
    <row r="678" customFormat="false" ht="15" hidden="false" customHeight="false" outlineLevel="0" collapsed="false">
      <c r="B678" s="19" t="s">
        <v>8680</v>
      </c>
      <c r="C678" s="20" t="n">
        <f aca="false">ROUND(11.7/FX,2)</f>
        <v>1.63</v>
      </c>
      <c r="D678" s="21" t="s">
        <v>6549</v>
      </c>
      <c r="E678" s="21" t="s">
        <v>8168</v>
      </c>
      <c r="F678" s="21" t="s">
        <v>734</v>
      </c>
      <c r="G678" s="21" t="s">
        <v>7997</v>
      </c>
      <c r="H678" s="21" t="s">
        <v>8169</v>
      </c>
      <c r="I678" s="21" t="s">
        <v>8681</v>
      </c>
    </row>
    <row r="679" customFormat="false" ht="15" hidden="false" customHeight="false" outlineLevel="0" collapsed="false">
      <c r="B679" s="19" t="s">
        <v>8682</v>
      </c>
      <c r="C679" s="20" t="n">
        <f aca="false">ROUND(11.7/FX,2)</f>
        <v>1.63</v>
      </c>
      <c r="D679" s="21" t="s">
        <v>6549</v>
      </c>
      <c r="E679" s="21" t="s">
        <v>8168</v>
      </c>
      <c r="F679" s="21" t="s">
        <v>734</v>
      </c>
      <c r="G679" s="21" t="s">
        <v>7997</v>
      </c>
      <c r="H679" s="21" t="s">
        <v>8169</v>
      </c>
      <c r="I679" s="21" t="s">
        <v>8683</v>
      </c>
    </row>
    <row r="680" customFormat="false" ht="15" hidden="false" customHeight="false" outlineLevel="0" collapsed="false">
      <c r="B680" s="19" t="s">
        <v>8684</v>
      </c>
      <c r="C680" s="20" t="n">
        <f aca="false">ROUND(11.7/FX,2)</f>
        <v>1.63</v>
      </c>
      <c r="D680" s="21" t="s">
        <v>6549</v>
      </c>
      <c r="E680" s="21" t="s">
        <v>8168</v>
      </c>
      <c r="F680" s="21" t="s">
        <v>734</v>
      </c>
      <c r="G680" s="21" t="s">
        <v>7997</v>
      </c>
      <c r="H680" s="21" t="s">
        <v>8169</v>
      </c>
      <c r="I680" s="21" t="s">
        <v>8685</v>
      </c>
    </row>
    <row r="681" customFormat="false" ht="15" hidden="false" customHeight="false" outlineLevel="0" collapsed="false">
      <c r="B681" s="19" t="s">
        <v>8686</v>
      </c>
      <c r="C681" s="20" t="n">
        <f aca="false">ROUND(11.7/FX,2)</f>
        <v>1.63</v>
      </c>
      <c r="D681" s="21" t="s">
        <v>6549</v>
      </c>
      <c r="E681" s="21" t="s">
        <v>8168</v>
      </c>
      <c r="F681" s="21" t="s">
        <v>734</v>
      </c>
      <c r="G681" s="21" t="s">
        <v>7997</v>
      </c>
      <c r="H681" s="21" t="s">
        <v>8169</v>
      </c>
      <c r="I681" s="21" t="s">
        <v>8687</v>
      </c>
    </row>
    <row r="682" customFormat="false" ht="15" hidden="false" customHeight="false" outlineLevel="0" collapsed="false">
      <c r="B682" s="19" t="s">
        <v>8688</v>
      </c>
      <c r="C682" s="20" t="n">
        <f aca="false">ROUND(11.7/FX,2)</f>
        <v>1.63</v>
      </c>
      <c r="D682" s="21" t="s">
        <v>6549</v>
      </c>
      <c r="E682" s="21" t="s">
        <v>8168</v>
      </c>
      <c r="F682" s="21" t="s">
        <v>734</v>
      </c>
      <c r="G682" s="21" t="s">
        <v>7997</v>
      </c>
      <c r="H682" s="21" t="s">
        <v>8169</v>
      </c>
      <c r="I682" s="21" t="s">
        <v>7977</v>
      </c>
    </row>
    <row r="683" customFormat="false" ht="15" hidden="false" customHeight="false" outlineLevel="0" collapsed="false">
      <c r="B683" s="19" t="s">
        <v>8689</v>
      </c>
      <c r="C683" s="20" t="n">
        <f aca="false">ROUND(11.7/FX,2)</f>
        <v>1.63</v>
      </c>
      <c r="D683" s="21" t="s">
        <v>6549</v>
      </c>
      <c r="E683" s="21" t="s">
        <v>8168</v>
      </c>
      <c r="F683" s="21" t="s">
        <v>734</v>
      </c>
      <c r="G683" s="21" t="s">
        <v>7997</v>
      </c>
      <c r="H683" s="21" t="s">
        <v>8169</v>
      </c>
      <c r="I683" s="21" t="s">
        <v>8401</v>
      </c>
    </row>
    <row r="684" customFormat="false" ht="15" hidden="false" customHeight="false" outlineLevel="0" collapsed="false">
      <c r="B684" s="19" t="s">
        <v>8690</v>
      </c>
      <c r="C684" s="20" t="n">
        <f aca="false">ROUND(11.7/FX,2)</f>
        <v>1.63</v>
      </c>
      <c r="D684" s="21" t="s">
        <v>6549</v>
      </c>
      <c r="E684" s="21" t="s">
        <v>8168</v>
      </c>
      <c r="F684" s="21" t="s">
        <v>734</v>
      </c>
      <c r="G684" s="21" t="s">
        <v>7997</v>
      </c>
      <c r="H684" s="21" t="s">
        <v>8169</v>
      </c>
      <c r="I684" s="21" t="s">
        <v>8691</v>
      </c>
    </row>
    <row r="685" customFormat="false" ht="15" hidden="false" customHeight="false" outlineLevel="0" collapsed="false">
      <c r="B685" s="19" t="s">
        <v>8692</v>
      </c>
      <c r="C685" s="20" t="n">
        <f aca="false">ROUND(11.7/FX,2)</f>
        <v>1.63</v>
      </c>
      <c r="D685" s="21" t="s">
        <v>6549</v>
      </c>
      <c r="E685" s="21" t="s">
        <v>8168</v>
      </c>
      <c r="F685" s="21" t="s">
        <v>734</v>
      </c>
      <c r="G685" s="21" t="s">
        <v>7997</v>
      </c>
      <c r="H685" s="21" t="s">
        <v>8169</v>
      </c>
      <c r="I685" s="21" t="s">
        <v>8022</v>
      </c>
    </row>
    <row r="686" customFormat="false" ht="15" hidden="false" customHeight="false" outlineLevel="0" collapsed="false">
      <c r="B686" s="19" t="s">
        <v>8693</v>
      </c>
      <c r="C686" s="20" t="n">
        <f aca="false">ROUND(11.7/FX,2)</f>
        <v>1.63</v>
      </c>
      <c r="D686" s="21" t="s">
        <v>6549</v>
      </c>
      <c r="E686" s="21" t="s">
        <v>8168</v>
      </c>
      <c r="F686" s="21" t="s">
        <v>734</v>
      </c>
      <c r="G686" s="21" t="s">
        <v>7997</v>
      </c>
      <c r="H686" s="21" t="s">
        <v>8169</v>
      </c>
      <c r="I686" s="21" t="s">
        <v>8694</v>
      </c>
    </row>
    <row r="687" customFormat="false" ht="15" hidden="false" customHeight="false" outlineLevel="0" collapsed="false">
      <c r="B687" s="19" t="s">
        <v>8695</v>
      </c>
      <c r="C687" s="20" t="n">
        <f aca="false">ROUND(11.7/FX,2)</f>
        <v>1.63</v>
      </c>
      <c r="D687" s="21" t="s">
        <v>6549</v>
      </c>
      <c r="E687" s="21" t="s">
        <v>8168</v>
      </c>
      <c r="F687" s="21" t="s">
        <v>734</v>
      </c>
      <c r="G687" s="21" t="s">
        <v>7997</v>
      </c>
      <c r="H687" s="21" t="s">
        <v>8169</v>
      </c>
      <c r="I687" s="21" t="s">
        <v>8409</v>
      </c>
    </row>
    <row r="688" customFormat="false" ht="15" hidden="false" customHeight="false" outlineLevel="0" collapsed="false">
      <c r="B688" s="19" t="s">
        <v>8696</v>
      </c>
      <c r="C688" s="20" t="n">
        <f aca="false">ROUND(11.7/FX,2)</f>
        <v>1.63</v>
      </c>
      <c r="D688" s="21" t="s">
        <v>6549</v>
      </c>
      <c r="E688" s="21" t="s">
        <v>8168</v>
      </c>
      <c r="F688" s="21" t="s">
        <v>734</v>
      </c>
      <c r="G688" s="21" t="s">
        <v>7997</v>
      </c>
      <c r="H688" s="21" t="s">
        <v>8169</v>
      </c>
      <c r="I688" s="21" t="s">
        <v>8697</v>
      </c>
    </row>
    <row r="689" customFormat="false" ht="15" hidden="false" customHeight="false" outlineLevel="0" collapsed="false">
      <c r="B689" s="19" t="s">
        <v>8698</v>
      </c>
      <c r="C689" s="20" t="n">
        <f aca="false">ROUND(12.35/FX,2)</f>
        <v>1.72</v>
      </c>
      <c r="D689" s="21" t="s">
        <v>6549</v>
      </c>
      <c r="E689" s="21" t="s">
        <v>8168</v>
      </c>
      <c r="F689" s="21" t="s">
        <v>734</v>
      </c>
      <c r="G689" s="21" t="s">
        <v>8699</v>
      </c>
      <c r="H689" s="21" t="s">
        <v>8169</v>
      </c>
      <c r="I689" s="21" t="s">
        <v>7875</v>
      </c>
    </row>
    <row r="690" customFormat="false" ht="15" hidden="false" customHeight="false" outlineLevel="0" collapsed="false">
      <c r="B690" s="19" t="s">
        <v>8700</v>
      </c>
      <c r="C690" s="20" t="n">
        <f aca="false">ROUND(8.45/FX,2)</f>
        <v>1.17</v>
      </c>
      <c r="D690" s="21" t="s">
        <v>6549</v>
      </c>
      <c r="E690" s="21" t="s">
        <v>8168</v>
      </c>
      <c r="F690" s="21" t="s">
        <v>734</v>
      </c>
      <c r="G690" s="21" t="s">
        <v>8699</v>
      </c>
      <c r="H690" s="21" t="s">
        <v>8169</v>
      </c>
      <c r="I690" s="21" t="s">
        <v>7999</v>
      </c>
    </row>
    <row r="691" customFormat="false" ht="15" hidden="false" customHeight="false" outlineLevel="0" collapsed="false">
      <c r="B691" s="19" t="s">
        <v>8701</v>
      </c>
      <c r="C691" s="20" t="n">
        <f aca="false">ROUND(8.45/FX,2)</f>
        <v>1.17</v>
      </c>
      <c r="D691" s="21" t="s">
        <v>6549</v>
      </c>
      <c r="E691" s="21" t="s">
        <v>8168</v>
      </c>
      <c r="F691" s="21" t="s">
        <v>734</v>
      </c>
      <c r="G691" s="21" t="s">
        <v>8699</v>
      </c>
      <c r="H691" s="21" t="s">
        <v>8169</v>
      </c>
      <c r="I691" s="21" t="s">
        <v>8062</v>
      </c>
    </row>
    <row r="692" customFormat="false" ht="15" hidden="false" customHeight="false" outlineLevel="0" collapsed="false">
      <c r="B692" s="19" t="s">
        <v>8702</v>
      </c>
      <c r="C692" s="20" t="n">
        <f aca="false">ROUND(8.45/FX,2)</f>
        <v>1.17</v>
      </c>
      <c r="D692" s="21" t="s">
        <v>6549</v>
      </c>
      <c r="E692" s="21" t="s">
        <v>8168</v>
      </c>
      <c r="F692" s="21" t="s">
        <v>734</v>
      </c>
      <c r="G692" s="21" t="s">
        <v>8699</v>
      </c>
      <c r="H692" s="21" t="s">
        <v>8169</v>
      </c>
      <c r="I692" s="21" t="s">
        <v>7985</v>
      </c>
    </row>
    <row r="693" customFormat="false" ht="15" hidden="false" customHeight="false" outlineLevel="0" collapsed="false">
      <c r="B693" s="19" t="s">
        <v>8703</v>
      </c>
      <c r="C693" s="20" t="n">
        <f aca="false">ROUND(8.45/FX,2)</f>
        <v>1.17</v>
      </c>
      <c r="D693" s="21" t="s">
        <v>6549</v>
      </c>
      <c r="E693" s="21" t="s">
        <v>8168</v>
      </c>
      <c r="F693" s="21" t="s">
        <v>734</v>
      </c>
      <c r="G693" s="21" t="s">
        <v>8699</v>
      </c>
      <c r="H693" s="21" t="s">
        <v>8169</v>
      </c>
      <c r="I693" s="21" t="s">
        <v>7899</v>
      </c>
    </row>
    <row r="694" customFormat="false" ht="15" hidden="false" customHeight="false" outlineLevel="0" collapsed="false">
      <c r="B694" s="19" t="s">
        <v>8704</v>
      </c>
      <c r="C694" s="20" t="n">
        <f aca="false">ROUND(8.45/FX,2)</f>
        <v>1.17</v>
      </c>
      <c r="D694" s="21" t="s">
        <v>6549</v>
      </c>
      <c r="E694" s="21" t="s">
        <v>8168</v>
      </c>
      <c r="F694" s="21" t="s">
        <v>734</v>
      </c>
      <c r="G694" s="21" t="s">
        <v>8699</v>
      </c>
      <c r="H694" s="21" t="s">
        <v>8169</v>
      </c>
      <c r="I694" s="21" t="s">
        <v>7994</v>
      </c>
    </row>
    <row r="695" customFormat="false" ht="15" hidden="false" customHeight="false" outlineLevel="0" collapsed="false">
      <c r="B695" s="19" t="s">
        <v>8705</v>
      </c>
      <c r="C695" s="20" t="n">
        <f aca="false">ROUND(12.35/FX,2)</f>
        <v>1.72</v>
      </c>
      <c r="D695" s="21" t="s">
        <v>6549</v>
      </c>
      <c r="E695" s="21" t="s">
        <v>8168</v>
      </c>
      <c r="F695" s="21" t="s">
        <v>734</v>
      </c>
      <c r="G695" s="21" t="s">
        <v>8699</v>
      </c>
      <c r="H695" s="21" t="s">
        <v>8169</v>
      </c>
      <c r="I695" s="21" t="s">
        <v>7866</v>
      </c>
    </row>
    <row r="696" customFormat="false" ht="15" hidden="false" customHeight="false" outlineLevel="0" collapsed="false">
      <c r="B696" s="19" t="s">
        <v>8706</v>
      </c>
      <c r="C696" s="20" t="n">
        <f aca="false">ROUND(9.1/FX,2)</f>
        <v>1.26</v>
      </c>
      <c r="D696" s="21" t="s">
        <v>6549</v>
      </c>
      <c r="E696" s="21" t="s">
        <v>8168</v>
      </c>
      <c r="F696" s="21" t="s">
        <v>734</v>
      </c>
      <c r="G696" s="21" t="s">
        <v>8044</v>
      </c>
      <c r="H696" s="21" t="s">
        <v>8169</v>
      </c>
      <c r="I696" s="21" t="s">
        <v>7875</v>
      </c>
    </row>
    <row r="697" customFormat="false" ht="15" hidden="false" customHeight="false" outlineLevel="0" collapsed="false">
      <c r="B697" s="19" t="s">
        <v>8707</v>
      </c>
      <c r="C697" s="20" t="n">
        <f aca="false">ROUND(9.1/FX,2)</f>
        <v>1.26</v>
      </c>
      <c r="D697" s="21" t="s">
        <v>6549</v>
      </c>
      <c r="E697" s="21" t="s">
        <v>8168</v>
      </c>
      <c r="F697" s="21" t="s">
        <v>734</v>
      </c>
      <c r="G697" s="21" t="s">
        <v>8044</v>
      </c>
      <c r="H697" s="21" t="s">
        <v>8169</v>
      </c>
      <c r="I697" s="21" t="s">
        <v>8580</v>
      </c>
    </row>
    <row r="698" customFormat="false" ht="15" hidden="false" customHeight="false" outlineLevel="0" collapsed="false">
      <c r="B698" s="19" t="s">
        <v>8708</v>
      </c>
      <c r="C698" s="20" t="n">
        <f aca="false">ROUND(9.75/FX,2)</f>
        <v>1.35</v>
      </c>
      <c r="D698" s="21" t="s">
        <v>6549</v>
      </c>
      <c r="E698" s="21" t="s">
        <v>8168</v>
      </c>
      <c r="F698" s="21" t="s">
        <v>734</v>
      </c>
      <c r="G698" s="21" t="s">
        <v>8044</v>
      </c>
      <c r="H698" s="21" t="s">
        <v>8169</v>
      </c>
      <c r="I698" s="21" t="s">
        <v>7999</v>
      </c>
    </row>
    <row r="699" customFormat="false" ht="28.35" hidden="false" customHeight="false" outlineLevel="0" collapsed="false">
      <c r="B699" s="19" t="s">
        <v>8709</v>
      </c>
      <c r="C699" s="20" t="n">
        <f aca="false">ROUND(10.4/FX,2)</f>
        <v>1.44</v>
      </c>
      <c r="D699" s="21" t="s">
        <v>6549</v>
      </c>
      <c r="E699" s="21" t="s">
        <v>8168</v>
      </c>
      <c r="F699" s="21" t="s">
        <v>8710</v>
      </c>
      <c r="G699" s="21" t="s">
        <v>8044</v>
      </c>
      <c r="H699" s="21" t="s">
        <v>8169</v>
      </c>
      <c r="I699" s="21" t="s">
        <v>7999</v>
      </c>
    </row>
    <row r="700" customFormat="false" ht="15" hidden="false" customHeight="false" outlineLevel="0" collapsed="false">
      <c r="B700" s="19" t="s">
        <v>8711</v>
      </c>
      <c r="C700" s="20" t="n">
        <f aca="false">ROUND(14.3/FX,2)</f>
        <v>1.99</v>
      </c>
      <c r="D700" s="21" t="s">
        <v>6549</v>
      </c>
      <c r="E700" s="21" t="s">
        <v>8168</v>
      </c>
      <c r="F700" s="21" t="s">
        <v>734</v>
      </c>
      <c r="G700" s="21" t="s">
        <v>8044</v>
      </c>
      <c r="H700" s="21" t="s">
        <v>8169</v>
      </c>
      <c r="I700" s="21" t="s">
        <v>8058</v>
      </c>
    </row>
    <row r="701" customFormat="false" ht="15" hidden="false" customHeight="false" outlineLevel="0" collapsed="false">
      <c r="B701" s="19" t="s">
        <v>8712</v>
      </c>
      <c r="C701" s="20" t="n">
        <f aca="false">ROUND(9.1/FX,2)</f>
        <v>1.26</v>
      </c>
      <c r="D701" s="21" t="s">
        <v>6549</v>
      </c>
      <c r="E701" s="21" t="s">
        <v>8168</v>
      </c>
      <c r="F701" s="21" t="s">
        <v>734</v>
      </c>
      <c r="G701" s="21" t="s">
        <v>8044</v>
      </c>
      <c r="H701" s="21" t="s">
        <v>8169</v>
      </c>
      <c r="I701" s="21" t="s">
        <v>8060</v>
      </c>
    </row>
    <row r="702" customFormat="false" ht="15" hidden="false" customHeight="false" outlineLevel="0" collapsed="false">
      <c r="B702" s="19" t="s">
        <v>8713</v>
      </c>
      <c r="C702" s="20" t="n">
        <f aca="false">ROUND(12.35/FX,2)</f>
        <v>1.72</v>
      </c>
      <c r="D702" s="21" t="s">
        <v>6549</v>
      </c>
      <c r="E702" s="21" t="s">
        <v>8168</v>
      </c>
      <c r="F702" s="21" t="s">
        <v>734</v>
      </c>
      <c r="G702" s="21" t="s">
        <v>8044</v>
      </c>
      <c r="H702" s="21" t="s">
        <v>8169</v>
      </c>
      <c r="I702" s="21" t="s">
        <v>8152</v>
      </c>
    </row>
    <row r="703" customFormat="false" ht="15" hidden="false" customHeight="false" outlineLevel="0" collapsed="false">
      <c r="B703" s="19" t="s">
        <v>8714</v>
      </c>
      <c r="C703" s="20" t="n">
        <f aca="false">ROUND(14.3/FX,2)</f>
        <v>1.99</v>
      </c>
      <c r="D703" s="21" t="s">
        <v>6549</v>
      </c>
      <c r="E703" s="21" t="s">
        <v>8168</v>
      </c>
      <c r="F703" s="21" t="s">
        <v>734</v>
      </c>
      <c r="G703" s="21" t="s">
        <v>8044</v>
      </c>
      <c r="H703" s="21" t="s">
        <v>8169</v>
      </c>
      <c r="I703" s="21" t="s">
        <v>8062</v>
      </c>
    </row>
    <row r="704" customFormat="false" ht="15" hidden="false" customHeight="false" outlineLevel="0" collapsed="false">
      <c r="B704" s="19" t="s">
        <v>8715</v>
      </c>
      <c r="C704" s="20" t="n">
        <f aca="false">ROUND(14.3/FX,2)</f>
        <v>1.99</v>
      </c>
      <c r="D704" s="21" t="s">
        <v>6549</v>
      </c>
      <c r="E704" s="21" t="s">
        <v>8168</v>
      </c>
      <c r="F704" s="21" t="s">
        <v>734</v>
      </c>
      <c r="G704" s="21" t="s">
        <v>8044</v>
      </c>
      <c r="H704" s="21" t="s">
        <v>8169</v>
      </c>
      <c r="I704" s="21" t="s">
        <v>8064</v>
      </c>
    </row>
    <row r="705" customFormat="false" ht="15" hidden="false" customHeight="false" outlineLevel="0" collapsed="false">
      <c r="B705" s="19" t="s">
        <v>8716</v>
      </c>
      <c r="C705" s="20" t="n">
        <f aca="false">ROUND(14.3/FX,2)</f>
        <v>1.99</v>
      </c>
      <c r="D705" s="21" t="s">
        <v>6549</v>
      </c>
      <c r="E705" s="21" t="s">
        <v>8168</v>
      </c>
      <c r="F705" s="21" t="s">
        <v>734</v>
      </c>
      <c r="G705" s="21" t="s">
        <v>8044</v>
      </c>
      <c r="H705" s="21" t="s">
        <v>8169</v>
      </c>
      <c r="I705" s="21" t="s">
        <v>8586</v>
      </c>
    </row>
    <row r="706" customFormat="false" ht="15" hidden="false" customHeight="false" outlineLevel="0" collapsed="false">
      <c r="B706" s="19" t="s">
        <v>8717</v>
      </c>
      <c r="C706" s="20" t="n">
        <f aca="false">ROUND(14.3/FX,2)</f>
        <v>1.99</v>
      </c>
      <c r="D706" s="21" t="s">
        <v>6549</v>
      </c>
      <c r="E706" s="21" t="s">
        <v>8168</v>
      </c>
      <c r="F706" s="21" t="s">
        <v>734</v>
      </c>
      <c r="G706" s="21" t="s">
        <v>8044</v>
      </c>
      <c r="H706" s="21" t="s">
        <v>8169</v>
      </c>
      <c r="I706" s="21" t="s">
        <v>8066</v>
      </c>
    </row>
    <row r="707" customFormat="false" ht="15" hidden="false" customHeight="false" outlineLevel="0" collapsed="false">
      <c r="B707" s="19" t="s">
        <v>8718</v>
      </c>
      <c r="C707" s="20" t="n">
        <f aca="false">ROUND(14.3/FX,2)</f>
        <v>1.99</v>
      </c>
      <c r="D707" s="21" t="s">
        <v>6549</v>
      </c>
      <c r="E707" s="21" t="s">
        <v>8168</v>
      </c>
      <c r="F707" s="21" t="s">
        <v>734</v>
      </c>
      <c r="G707" s="21" t="s">
        <v>8044</v>
      </c>
      <c r="H707" s="21" t="s">
        <v>8169</v>
      </c>
      <c r="I707" s="21" t="s">
        <v>8719</v>
      </c>
    </row>
    <row r="708" customFormat="false" ht="15" hidden="false" customHeight="false" outlineLevel="0" collapsed="false">
      <c r="B708" s="19" t="s">
        <v>8720</v>
      </c>
      <c r="C708" s="20" t="n">
        <f aca="false">ROUND(14.3/FX,2)</f>
        <v>1.99</v>
      </c>
      <c r="D708" s="21" t="s">
        <v>6549</v>
      </c>
      <c r="E708" s="21" t="s">
        <v>8168</v>
      </c>
      <c r="F708" s="21" t="s">
        <v>734</v>
      </c>
      <c r="G708" s="21" t="s">
        <v>8044</v>
      </c>
      <c r="H708" s="21" t="s">
        <v>8169</v>
      </c>
      <c r="I708" s="21" t="s">
        <v>8068</v>
      </c>
    </row>
    <row r="709" customFormat="false" ht="15" hidden="false" customHeight="false" outlineLevel="0" collapsed="false">
      <c r="B709" s="19" t="s">
        <v>8721</v>
      </c>
      <c r="C709" s="20" t="n">
        <f aca="false">ROUND(14.3/FX,2)</f>
        <v>1.99</v>
      </c>
      <c r="D709" s="21" t="s">
        <v>6549</v>
      </c>
      <c r="E709" s="21" t="s">
        <v>8168</v>
      </c>
      <c r="F709" s="21" t="s">
        <v>734</v>
      </c>
      <c r="G709" s="21" t="s">
        <v>8044</v>
      </c>
      <c r="H709" s="21" t="s">
        <v>8169</v>
      </c>
      <c r="I709" s="21" t="s">
        <v>8070</v>
      </c>
    </row>
    <row r="710" customFormat="false" ht="15" hidden="false" customHeight="false" outlineLevel="0" collapsed="false">
      <c r="B710" s="19" t="s">
        <v>8722</v>
      </c>
      <c r="C710" s="20" t="n">
        <f aca="false">ROUND(14.3/FX,2)</f>
        <v>1.99</v>
      </c>
      <c r="D710" s="21" t="s">
        <v>6549</v>
      </c>
      <c r="E710" s="21" t="s">
        <v>8168</v>
      </c>
      <c r="F710" s="21" t="s">
        <v>734</v>
      </c>
      <c r="G710" s="21" t="s">
        <v>8044</v>
      </c>
      <c r="H710" s="21" t="s">
        <v>8169</v>
      </c>
      <c r="I710" s="21" t="s">
        <v>8723</v>
      </c>
    </row>
    <row r="711" customFormat="false" ht="15" hidden="false" customHeight="false" outlineLevel="0" collapsed="false">
      <c r="B711" s="19" t="s">
        <v>8724</v>
      </c>
      <c r="C711" s="20" t="n">
        <f aca="false">ROUND(9.75/FX,2)</f>
        <v>1.35</v>
      </c>
      <c r="D711" s="21" t="s">
        <v>6549</v>
      </c>
      <c r="E711" s="21" t="s">
        <v>8168</v>
      </c>
      <c r="F711" s="21" t="s">
        <v>734</v>
      </c>
      <c r="G711" s="21" t="s">
        <v>8044</v>
      </c>
      <c r="H711" s="21" t="s">
        <v>8169</v>
      </c>
      <c r="I711" s="21" t="s">
        <v>7985</v>
      </c>
    </row>
    <row r="712" customFormat="false" ht="15" hidden="false" customHeight="false" outlineLevel="0" collapsed="false">
      <c r="B712" s="19" t="s">
        <v>8725</v>
      </c>
      <c r="C712" s="20" t="n">
        <f aca="false">ROUND(14.3/FX,2)</f>
        <v>1.99</v>
      </c>
      <c r="D712" s="21" t="s">
        <v>6549</v>
      </c>
      <c r="E712" s="21" t="s">
        <v>8168</v>
      </c>
      <c r="F712" s="21" t="s">
        <v>734</v>
      </c>
      <c r="G712" s="21" t="s">
        <v>8044</v>
      </c>
      <c r="H712" s="21" t="s">
        <v>8169</v>
      </c>
      <c r="I712" s="21" t="s">
        <v>8075</v>
      </c>
    </row>
    <row r="713" customFormat="false" ht="15" hidden="false" customHeight="false" outlineLevel="0" collapsed="false">
      <c r="B713" s="19" t="s">
        <v>8726</v>
      </c>
      <c r="C713" s="20" t="n">
        <f aca="false">ROUND(9.1/FX,2)</f>
        <v>1.26</v>
      </c>
      <c r="D713" s="21" t="s">
        <v>6549</v>
      </c>
      <c r="E713" s="21" t="s">
        <v>8168</v>
      </c>
      <c r="F713" s="21" t="s">
        <v>734</v>
      </c>
      <c r="G713" s="21" t="s">
        <v>8044</v>
      </c>
      <c r="H713" s="21" t="s">
        <v>8169</v>
      </c>
      <c r="I713" s="21" t="s">
        <v>8077</v>
      </c>
    </row>
    <row r="714" customFormat="false" ht="15" hidden="false" customHeight="false" outlineLevel="0" collapsed="false">
      <c r="B714" s="19" t="s">
        <v>8727</v>
      </c>
      <c r="C714" s="20" t="n">
        <f aca="false">ROUND(9.1/FX,2)</f>
        <v>1.26</v>
      </c>
      <c r="D714" s="21" t="s">
        <v>6549</v>
      </c>
      <c r="E714" s="21" t="s">
        <v>8168</v>
      </c>
      <c r="F714" s="21" t="s">
        <v>734</v>
      </c>
      <c r="G714" s="21" t="s">
        <v>8044</v>
      </c>
      <c r="H714" s="21" t="s">
        <v>8169</v>
      </c>
      <c r="I714" s="21" t="s">
        <v>8079</v>
      </c>
    </row>
    <row r="715" customFormat="false" ht="15" hidden="false" customHeight="false" outlineLevel="0" collapsed="false">
      <c r="B715" s="19" t="s">
        <v>8728</v>
      </c>
      <c r="C715" s="20" t="n">
        <f aca="false">ROUND(9.1/FX,2)</f>
        <v>1.26</v>
      </c>
      <c r="D715" s="21" t="s">
        <v>6549</v>
      </c>
      <c r="E715" s="21" t="s">
        <v>8168</v>
      </c>
      <c r="F715" s="21" t="s">
        <v>734</v>
      </c>
      <c r="G715" s="21" t="s">
        <v>8044</v>
      </c>
      <c r="H715" s="21" t="s">
        <v>8169</v>
      </c>
      <c r="I715" s="21" t="s">
        <v>8081</v>
      </c>
    </row>
    <row r="716" customFormat="false" ht="15" hidden="false" customHeight="false" outlineLevel="0" collapsed="false">
      <c r="B716" s="19" t="s">
        <v>8729</v>
      </c>
      <c r="C716" s="20" t="n">
        <f aca="false">ROUND(9.1/FX,2)</f>
        <v>1.26</v>
      </c>
      <c r="D716" s="21" t="s">
        <v>6549</v>
      </c>
      <c r="E716" s="21" t="s">
        <v>8168</v>
      </c>
      <c r="F716" s="21" t="s">
        <v>734</v>
      </c>
      <c r="G716" s="21" t="s">
        <v>8044</v>
      </c>
      <c r="H716" s="21" t="s">
        <v>8169</v>
      </c>
      <c r="I716" s="21" t="s">
        <v>8085</v>
      </c>
    </row>
    <row r="717" customFormat="false" ht="15" hidden="false" customHeight="false" outlineLevel="0" collapsed="false">
      <c r="B717" s="19" t="s">
        <v>8730</v>
      </c>
      <c r="C717" s="20" t="n">
        <f aca="false">ROUND(9.1/FX,2)</f>
        <v>1.26</v>
      </c>
      <c r="D717" s="21" t="s">
        <v>6549</v>
      </c>
      <c r="E717" s="21" t="s">
        <v>8168</v>
      </c>
      <c r="F717" s="21" t="s">
        <v>734</v>
      </c>
      <c r="G717" s="21" t="s">
        <v>8044</v>
      </c>
      <c r="H717" s="21" t="s">
        <v>8169</v>
      </c>
      <c r="I717" s="21" t="s">
        <v>8087</v>
      </c>
    </row>
    <row r="718" customFormat="false" ht="15" hidden="false" customHeight="false" outlineLevel="0" collapsed="false">
      <c r="B718" s="19" t="s">
        <v>8731</v>
      </c>
      <c r="C718" s="20" t="n">
        <f aca="false">ROUND(12.35/FX,2)</f>
        <v>1.72</v>
      </c>
      <c r="D718" s="21" t="s">
        <v>6549</v>
      </c>
      <c r="E718" s="21" t="s">
        <v>8168</v>
      </c>
      <c r="F718" s="21" t="s">
        <v>734</v>
      </c>
      <c r="G718" s="21" t="s">
        <v>8044</v>
      </c>
      <c r="H718" s="21" t="s">
        <v>8169</v>
      </c>
      <c r="I718" s="21" t="s">
        <v>8089</v>
      </c>
    </row>
    <row r="719" customFormat="false" ht="15" hidden="false" customHeight="false" outlineLevel="0" collapsed="false">
      <c r="B719" s="19" t="s">
        <v>8732</v>
      </c>
      <c r="C719" s="20" t="n">
        <f aca="false">ROUND(9.1/FX,2)</f>
        <v>1.26</v>
      </c>
      <c r="D719" s="21" t="s">
        <v>6549</v>
      </c>
      <c r="E719" s="21" t="s">
        <v>8168</v>
      </c>
      <c r="F719" s="21" t="s">
        <v>734</v>
      </c>
      <c r="G719" s="21" t="s">
        <v>8044</v>
      </c>
      <c r="H719" s="21" t="s">
        <v>8169</v>
      </c>
      <c r="I719" s="21" t="s">
        <v>8047</v>
      </c>
    </row>
    <row r="720" customFormat="false" ht="15" hidden="false" customHeight="false" outlineLevel="0" collapsed="false">
      <c r="B720" s="19" t="s">
        <v>8733</v>
      </c>
      <c r="C720" s="20" t="n">
        <f aca="false">ROUND(14.3/FX,2)</f>
        <v>1.99</v>
      </c>
      <c r="D720" s="21" t="s">
        <v>6549</v>
      </c>
      <c r="E720" s="21" t="s">
        <v>8168</v>
      </c>
      <c r="F720" s="21" t="s">
        <v>734</v>
      </c>
      <c r="G720" s="21" t="s">
        <v>8044</v>
      </c>
      <c r="H720" s="21" t="s">
        <v>8169</v>
      </c>
      <c r="I720" s="21" t="s">
        <v>7881</v>
      </c>
    </row>
    <row r="721" customFormat="false" ht="15" hidden="false" customHeight="false" outlineLevel="0" collapsed="false">
      <c r="B721" s="19" t="s">
        <v>8734</v>
      </c>
      <c r="C721" s="20" t="n">
        <f aca="false">ROUND(14.3/FX,2)</f>
        <v>1.99</v>
      </c>
      <c r="D721" s="21" t="s">
        <v>6549</v>
      </c>
      <c r="E721" s="21" t="s">
        <v>8168</v>
      </c>
      <c r="F721" s="21" t="s">
        <v>734</v>
      </c>
      <c r="G721" s="21" t="s">
        <v>8044</v>
      </c>
      <c r="H721" s="21" t="s">
        <v>8169</v>
      </c>
      <c r="I721" s="21" t="s">
        <v>8623</v>
      </c>
    </row>
    <row r="722" customFormat="false" ht="15" hidden="false" customHeight="false" outlineLevel="0" collapsed="false">
      <c r="B722" s="19" t="s">
        <v>8735</v>
      </c>
      <c r="C722" s="20" t="n">
        <f aca="false">ROUND(14.3/FX,2)</f>
        <v>1.99</v>
      </c>
      <c r="D722" s="21" t="s">
        <v>6549</v>
      </c>
      <c r="E722" s="21" t="s">
        <v>8168</v>
      </c>
      <c r="F722" s="21" t="s">
        <v>734</v>
      </c>
      <c r="G722" s="21" t="s">
        <v>8044</v>
      </c>
      <c r="H722" s="21" t="s">
        <v>8169</v>
      </c>
      <c r="I722" s="21" t="s">
        <v>7989</v>
      </c>
    </row>
    <row r="723" customFormat="false" ht="15" hidden="false" customHeight="false" outlineLevel="0" collapsed="false">
      <c r="B723" s="19" t="s">
        <v>8736</v>
      </c>
      <c r="C723" s="20" t="n">
        <f aca="false">ROUND(14.3/FX,2)</f>
        <v>1.99</v>
      </c>
      <c r="D723" s="21" t="s">
        <v>6549</v>
      </c>
      <c r="E723" s="21" t="s">
        <v>8168</v>
      </c>
      <c r="F723" s="21" t="s">
        <v>734</v>
      </c>
      <c r="G723" s="21" t="s">
        <v>8044</v>
      </c>
      <c r="H723" s="21" t="s">
        <v>8169</v>
      </c>
      <c r="I723" s="21" t="s">
        <v>8626</v>
      </c>
    </row>
    <row r="724" customFormat="false" ht="15" hidden="false" customHeight="false" outlineLevel="0" collapsed="false">
      <c r="B724" s="19" t="s">
        <v>8737</v>
      </c>
      <c r="C724" s="20" t="n">
        <f aca="false">ROUND(14.3/FX,2)</f>
        <v>1.99</v>
      </c>
      <c r="D724" s="21" t="s">
        <v>6549</v>
      </c>
      <c r="E724" s="21" t="s">
        <v>8168</v>
      </c>
      <c r="F724" s="21" t="s">
        <v>734</v>
      </c>
      <c r="G724" s="21" t="s">
        <v>8044</v>
      </c>
      <c r="H724" s="21" t="s">
        <v>8169</v>
      </c>
      <c r="I724" s="21" t="s">
        <v>8050</v>
      </c>
    </row>
    <row r="725" customFormat="false" ht="15" hidden="false" customHeight="false" outlineLevel="0" collapsed="false">
      <c r="B725" s="19" t="s">
        <v>8738</v>
      </c>
      <c r="C725" s="20" t="n">
        <f aca="false">ROUND(14.3/FX,2)</f>
        <v>1.99</v>
      </c>
      <c r="D725" s="21" t="s">
        <v>6549</v>
      </c>
      <c r="E725" s="21" t="s">
        <v>8168</v>
      </c>
      <c r="F725" s="21" t="s">
        <v>734</v>
      </c>
      <c r="G725" s="21" t="s">
        <v>8044</v>
      </c>
      <c r="H725" s="21" t="s">
        <v>8169</v>
      </c>
      <c r="I725" s="21" t="s">
        <v>8094</v>
      </c>
    </row>
    <row r="726" customFormat="false" ht="15" hidden="false" customHeight="false" outlineLevel="0" collapsed="false">
      <c r="B726" s="19" t="s">
        <v>8739</v>
      </c>
      <c r="C726" s="20" t="n">
        <f aca="false">ROUND(14.3/FX,2)</f>
        <v>1.99</v>
      </c>
      <c r="D726" s="21" t="s">
        <v>6549</v>
      </c>
      <c r="E726" s="21" t="s">
        <v>8168</v>
      </c>
      <c r="F726" s="21" t="s">
        <v>734</v>
      </c>
      <c r="G726" s="21" t="s">
        <v>8044</v>
      </c>
      <c r="H726" s="21" t="s">
        <v>8169</v>
      </c>
      <c r="I726" s="21" t="s">
        <v>7829</v>
      </c>
    </row>
    <row r="727" customFormat="false" ht="15" hidden="false" customHeight="false" outlineLevel="0" collapsed="false">
      <c r="B727" s="19" t="s">
        <v>8740</v>
      </c>
      <c r="C727" s="20" t="n">
        <f aca="false">ROUND(14.3/FX,2)</f>
        <v>1.99</v>
      </c>
      <c r="D727" s="21" t="s">
        <v>6549</v>
      </c>
      <c r="E727" s="21" t="s">
        <v>8168</v>
      </c>
      <c r="F727" s="21" t="s">
        <v>734</v>
      </c>
      <c r="G727" s="21" t="s">
        <v>8044</v>
      </c>
      <c r="H727" s="21" t="s">
        <v>8169</v>
      </c>
      <c r="I727" s="21" t="s">
        <v>7831</v>
      </c>
    </row>
    <row r="728" customFormat="false" ht="15" hidden="false" customHeight="false" outlineLevel="0" collapsed="false">
      <c r="B728" s="19" t="s">
        <v>8741</v>
      </c>
      <c r="C728" s="20" t="n">
        <f aca="false">ROUND(14.3/FX,2)</f>
        <v>1.99</v>
      </c>
      <c r="D728" s="21" t="s">
        <v>6549</v>
      </c>
      <c r="E728" s="21" t="s">
        <v>8168</v>
      </c>
      <c r="F728" s="21" t="s">
        <v>734</v>
      </c>
      <c r="G728" s="21" t="s">
        <v>8044</v>
      </c>
      <c r="H728" s="21" t="s">
        <v>8169</v>
      </c>
      <c r="I728" s="21" t="s">
        <v>7944</v>
      </c>
    </row>
    <row r="729" customFormat="false" ht="15" hidden="false" customHeight="false" outlineLevel="0" collapsed="false">
      <c r="B729" s="19" t="s">
        <v>8742</v>
      </c>
      <c r="C729" s="20" t="n">
        <f aca="false">ROUND(14.3/FX,2)</f>
        <v>1.99</v>
      </c>
      <c r="D729" s="21" t="s">
        <v>6549</v>
      </c>
      <c r="E729" s="21" t="s">
        <v>8168</v>
      </c>
      <c r="F729" s="21" t="s">
        <v>734</v>
      </c>
      <c r="G729" s="21" t="s">
        <v>8044</v>
      </c>
      <c r="H729" s="21" t="s">
        <v>8169</v>
      </c>
      <c r="I729" s="21" t="s">
        <v>7946</v>
      </c>
    </row>
    <row r="730" customFormat="false" ht="15" hidden="false" customHeight="false" outlineLevel="0" collapsed="false">
      <c r="B730" s="19" t="s">
        <v>8743</v>
      </c>
      <c r="C730" s="20" t="n">
        <f aca="false">ROUND(9.1/FX,2)</f>
        <v>1.26</v>
      </c>
      <c r="D730" s="21" t="s">
        <v>6549</v>
      </c>
      <c r="E730" s="21" t="s">
        <v>8168</v>
      </c>
      <c r="F730" s="21" t="s">
        <v>734</v>
      </c>
      <c r="G730" s="21" t="s">
        <v>8044</v>
      </c>
      <c r="H730" s="21" t="s">
        <v>8169</v>
      </c>
      <c r="I730" s="21" t="s">
        <v>7833</v>
      </c>
    </row>
    <row r="731" customFormat="false" ht="15" hidden="false" customHeight="false" outlineLevel="0" collapsed="false">
      <c r="B731" s="19" t="s">
        <v>8744</v>
      </c>
      <c r="C731" s="20" t="n">
        <f aca="false">ROUND(14.3/FX,2)</f>
        <v>1.99</v>
      </c>
      <c r="D731" s="21" t="s">
        <v>6549</v>
      </c>
      <c r="E731" s="21" t="s">
        <v>8168</v>
      </c>
      <c r="F731" s="21" t="s">
        <v>734</v>
      </c>
      <c r="G731" s="21" t="s">
        <v>8044</v>
      </c>
      <c r="H731" s="21" t="s">
        <v>8169</v>
      </c>
      <c r="I731" s="21" t="s">
        <v>7951</v>
      </c>
    </row>
    <row r="732" customFormat="false" ht="15" hidden="false" customHeight="false" outlineLevel="0" collapsed="false">
      <c r="B732" s="19" t="s">
        <v>8745</v>
      </c>
      <c r="C732" s="20" t="n">
        <f aca="false">ROUND(14.3/FX,2)</f>
        <v>1.99</v>
      </c>
      <c r="D732" s="21" t="s">
        <v>6549</v>
      </c>
      <c r="E732" s="21" t="s">
        <v>8168</v>
      </c>
      <c r="F732" s="21" t="s">
        <v>734</v>
      </c>
      <c r="G732" s="21" t="s">
        <v>8044</v>
      </c>
      <c r="H732" s="21" t="s">
        <v>8169</v>
      </c>
      <c r="I732" s="21" t="s">
        <v>7891</v>
      </c>
    </row>
    <row r="733" customFormat="false" ht="15" hidden="false" customHeight="false" outlineLevel="0" collapsed="false">
      <c r="B733" s="19" t="s">
        <v>8746</v>
      </c>
      <c r="C733" s="20" t="n">
        <f aca="false">ROUND(14.3/FX,2)</f>
        <v>1.99</v>
      </c>
      <c r="D733" s="21" t="s">
        <v>6549</v>
      </c>
      <c r="E733" s="21" t="s">
        <v>8168</v>
      </c>
      <c r="F733" s="21" t="s">
        <v>734</v>
      </c>
      <c r="G733" s="21" t="s">
        <v>8044</v>
      </c>
      <c r="H733" s="21" t="s">
        <v>8169</v>
      </c>
      <c r="I733" s="21" t="s">
        <v>8636</v>
      </c>
    </row>
    <row r="734" customFormat="false" ht="15" hidden="false" customHeight="false" outlineLevel="0" collapsed="false">
      <c r="B734" s="19" t="s">
        <v>8747</v>
      </c>
      <c r="C734" s="20" t="n">
        <f aca="false">ROUND(14.3/FX,2)</f>
        <v>1.99</v>
      </c>
      <c r="D734" s="21" t="s">
        <v>6549</v>
      </c>
      <c r="E734" s="21" t="s">
        <v>8168</v>
      </c>
      <c r="F734" s="21" t="s">
        <v>734</v>
      </c>
      <c r="G734" s="21" t="s">
        <v>8044</v>
      </c>
      <c r="H734" s="21" t="s">
        <v>8169</v>
      </c>
      <c r="I734" s="21" t="s">
        <v>7992</v>
      </c>
    </row>
    <row r="735" customFormat="false" ht="15" hidden="false" customHeight="false" outlineLevel="0" collapsed="false">
      <c r="B735" s="19" t="s">
        <v>8748</v>
      </c>
      <c r="C735" s="20" t="n">
        <f aca="false">ROUND(14.3/FX,2)</f>
        <v>1.99</v>
      </c>
      <c r="D735" s="21" t="s">
        <v>6549</v>
      </c>
      <c r="E735" s="21" t="s">
        <v>8168</v>
      </c>
      <c r="F735" s="21" t="s">
        <v>734</v>
      </c>
      <c r="G735" s="21" t="s">
        <v>8044</v>
      </c>
      <c r="H735" s="21" t="s">
        <v>8169</v>
      </c>
      <c r="I735" s="21" t="s">
        <v>8099</v>
      </c>
    </row>
    <row r="736" customFormat="false" ht="15" hidden="false" customHeight="false" outlineLevel="0" collapsed="false">
      <c r="B736" s="19" t="s">
        <v>8749</v>
      </c>
      <c r="C736" s="20" t="n">
        <f aca="false">ROUND(14.3/FX,2)</f>
        <v>1.99</v>
      </c>
      <c r="D736" s="21" t="s">
        <v>6549</v>
      </c>
      <c r="E736" s="21" t="s">
        <v>8168</v>
      </c>
      <c r="F736" s="21" t="s">
        <v>734</v>
      </c>
      <c r="G736" s="21" t="s">
        <v>8044</v>
      </c>
      <c r="H736" s="21" t="s">
        <v>8169</v>
      </c>
      <c r="I736" s="21" t="s">
        <v>8750</v>
      </c>
    </row>
    <row r="737" customFormat="false" ht="15" hidden="false" customHeight="false" outlineLevel="0" collapsed="false">
      <c r="B737" s="19" t="s">
        <v>8751</v>
      </c>
      <c r="C737" s="20" t="n">
        <f aca="false">ROUND(14.3/FX,2)</f>
        <v>1.99</v>
      </c>
      <c r="D737" s="21" t="s">
        <v>6549</v>
      </c>
      <c r="E737" s="21" t="s">
        <v>8168</v>
      </c>
      <c r="F737" s="21" t="s">
        <v>734</v>
      </c>
      <c r="G737" s="21" t="s">
        <v>8044</v>
      </c>
      <c r="H737" s="21" t="s">
        <v>8169</v>
      </c>
      <c r="I737" s="21" t="s">
        <v>8101</v>
      </c>
    </row>
    <row r="738" customFormat="false" ht="15" hidden="false" customHeight="false" outlineLevel="0" collapsed="false">
      <c r="B738" s="19" t="s">
        <v>8752</v>
      </c>
      <c r="C738" s="20" t="n">
        <f aca="false">ROUND(14.3/FX,2)</f>
        <v>1.99</v>
      </c>
      <c r="D738" s="21" t="s">
        <v>6549</v>
      </c>
      <c r="E738" s="21" t="s">
        <v>8168</v>
      </c>
      <c r="F738" s="21" t="s">
        <v>734</v>
      </c>
      <c r="G738" s="21" t="s">
        <v>8044</v>
      </c>
      <c r="H738" s="21" t="s">
        <v>8169</v>
      </c>
      <c r="I738" s="21" t="s">
        <v>7860</v>
      </c>
    </row>
    <row r="739" customFormat="false" ht="15" hidden="false" customHeight="false" outlineLevel="0" collapsed="false">
      <c r="B739" s="19" t="s">
        <v>8753</v>
      </c>
      <c r="C739" s="20" t="n">
        <f aca="false">ROUND(14.3/FX,2)</f>
        <v>1.99</v>
      </c>
      <c r="D739" s="21" t="s">
        <v>6549</v>
      </c>
      <c r="E739" s="21" t="s">
        <v>8168</v>
      </c>
      <c r="F739" s="21" t="s">
        <v>734</v>
      </c>
      <c r="G739" s="21" t="s">
        <v>8044</v>
      </c>
      <c r="H739" s="21" t="s">
        <v>8169</v>
      </c>
      <c r="I739" s="21" t="s">
        <v>8310</v>
      </c>
    </row>
    <row r="740" customFormat="false" ht="15" hidden="false" customHeight="false" outlineLevel="0" collapsed="false">
      <c r="B740" s="19" t="s">
        <v>8754</v>
      </c>
      <c r="C740" s="20" t="n">
        <f aca="false">ROUND(14.3/FX,2)</f>
        <v>1.99</v>
      </c>
      <c r="D740" s="21" t="s">
        <v>6549</v>
      </c>
      <c r="E740" s="21" t="s">
        <v>8168</v>
      </c>
      <c r="F740" s="21" t="s">
        <v>734</v>
      </c>
      <c r="G740" s="21" t="s">
        <v>8044</v>
      </c>
      <c r="H740" s="21" t="s">
        <v>8169</v>
      </c>
      <c r="I740" s="21" t="s">
        <v>7893</v>
      </c>
    </row>
    <row r="741" customFormat="false" ht="15" hidden="false" customHeight="false" outlineLevel="0" collapsed="false">
      <c r="B741" s="19" t="s">
        <v>8755</v>
      </c>
      <c r="C741" s="20" t="n">
        <f aca="false">ROUND(14.3/FX,2)</f>
        <v>1.99</v>
      </c>
      <c r="D741" s="21" t="s">
        <v>6549</v>
      </c>
      <c r="E741" s="21" t="s">
        <v>8168</v>
      </c>
      <c r="F741" s="21" t="s">
        <v>734</v>
      </c>
      <c r="G741" s="21" t="s">
        <v>8044</v>
      </c>
      <c r="H741" s="21" t="s">
        <v>8169</v>
      </c>
      <c r="I741" s="21" t="s">
        <v>7956</v>
      </c>
    </row>
    <row r="742" customFormat="false" ht="15" hidden="false" customHeight="false" outlineLevel="0" collapsed="false">
      <c r="B742" s="19" t="s">
        <v>8756</v>
      </c>
      <c r="C742" s="20" t="n">
        <f aca="false">ROUND(9.1/FX,2)</f>
        <v>1.26</v>
      </c>
      <c r="D742" s="21" t="s">
        <v>6549</v>
      </c>
      <c r="E742" s="21" t="s">
        <v>8168</v>
      </c>
      <c r="F742" s="21" t="s">
        <v>734</v>
      </c>
      <c r="G742" s="21" t="s">
        <v>8044</v>
      </c>
      <c r="H742" s="21" t="s">
        <v>8169</v>
      </c>
      <c r="I742" s="21" t="s">
        <v>7895</v>
      </c>
    </row>
    <row r="743" customFormat="false" ht="15" hidden="false" customHeight="false" outlineLevel="0" collapsed="false">
      <c r="B743" s="19" t="s">
        <v>8757</v>
      </c>
      <c r="C743" s="20" t="n">
        <f aca="false">ROUND(14.3/FX,2)</f>
        <v>1.99</v>
      </c>
      <c r="D743" s="21" t="s">
        <v>6549</v>
      </c>
      <c r="E743" s="21" t="s">
        <v>8168</v>
      </c>
      <c r="F743" s="21" t="s">
        <v>734</v>
      </c>
      <c r="G743" s="21" t="s">
        <v>8044</v>
      </c>
      <c r="H743" s="21" t="s">
        <v>8169</v>
      </c>
      <c r="I743" s="21" t="s">
        <v>8646</v>
      </c>
    </row>
    <row r="744" customFormat="false" ht="15" hidden="false" customHeight="false" outlineLevel="0" collapsed="false">
      <c r="B744" s="19" t="s">
        <v>8758</v>
      </c>
      <c r="C744" s="20" t="n">
        <f aca="false">ROUND(9.1/FX,2)</f>
        <v>1.26</v>
      </c>
      <c r="D744" s="21" t="s">
        <v>6549</v>
      </c>
      <c r="E744" s="21" t="s">
        <v>8168</v>
      </c>
      <c r="F744" s="21" t="s">
        <v>734</v>
      </c>
      <c r="G744" s="21" t="s">
        <v>8044</v>
      </c>
      <c r="H744" s="21" t="s">
        <v>8169</v>
      </c>
      <c r="I744" s="21" t="s">
        <v>8035</v>
      </c>
    </row>
    <row r="745" customFormat="false" ht="15" hidden="false" customHeight="false" outlineLevel="0" collapsed="false">
      <c r="B745" s="19" t="s">
        <v>8759</v>
      </c>
      <c r="C745" s="20" t="n">
        <f aca="false">ROUND(14.3/FX,2)</f>
        <v>1.99</v>
      </c>
      <c r="D745" s="21" t="s">
        <v>6549</v>
      </c>
      <c r="E745" s="21" t="s">
        <v>8168</v>
      </c>
      <c r="F745" s="21" t="s">
        <v>734</v>
      </c>
      <c r="G745" s="21" t="s">
        <v>8044</v>
      </c>
      <c r="H745" s="21" t="s">
        <v>8169</v>
      </c>
      <c r="I745" s="21" t="s">
        <v>8104</v>
      </c>
    </row>
    <row r="746" customFormat="false" ht="15" hidden="false" customHeight="false" outlineLevel="0" collapsed="false">
      <c r="B746" s="19" t="s">
        <v>8760</v>
      </c>
      <c r="C746" s="20" t="n">
        <f aca="false">ROUND(14.3/FX,2)</f>
        <v>1.99</v>
      </c>
      <c r="D746" s="21" t="s">
        <v>6549</v>
      </c>
      <c r="E746" s="21" t="s">
        <v>8168</v>
      </c>
      <c r="F746" s="21" t="s">
        <v>734</v>
      </c>
      <c r="G746" s="21" t="s">
        <v>8044</v>
      </c>
      <c r="H746" s="21" t="s">
        <v>8169</v>
      </c>
      <c r="I746" s="21" t="s">
        <v>8761</v>
      </c>
    </row>
    <row r="747" customFormat="false" ht="15" hidden="false" customHeight="false" outlineLevel="0" collapsed="false">
      <c r="B747" s="19" t="s">
        <v>8762</v>
      </c>
      <c r="C747" s="20" t="n">
        <f aca="false">ROUND(14.3/FX,2)</f>
        <v>1.99</v>
      </c>
      <c r="D747" s="21" t="s">
        <v>6549</v>
      </c>
      <c r="E747" s="21" t="s">
        <v>8168</v>
      </c>
      <c r="F747" s="21" t="s">
        <v>734</v>
      </c>
      <c r="G747" s="21" t="s">
        <v>8044</v>
      </c>
      <c r="H747" s="21" t="s">
        <v>8169</v>
      </c>
      <c r="I747" s="21" t="s">
        <v>8763</v>
      </c>
    </row>
    <row r="748" customFormat="false" ht="15" hidden="false" customHeight="false" outlineLevel="0" collapsed="false">
      <c r="B748" s="19" t="s">
        <v>8764</v>
      </c>
      <c r="C748" s="20" t="n">
        <f aca="false">ROUND(14.3/FX,2)</f>
        <v>1.99</v>
      </c>
      <c r="D748" s="21" t="s">
        <v>6549</v>
      </c>
      <c r="E748" s="21" t="s">
        <v>8168</v>
      </c>
      <c r="F748" s="21" t="s">
        <v>734</v>
      </c>
      <c r="G748" s="21" t="s">
        <v>8044</v>
      </c>
      <c r="H748" s="21" t="s">
        <v>8169</v>
      </c>
      <c r="I748" s="21" t="s">
        <v>7862</v>
      </c>
    </row>
    <row r="749" customFormat="false" ht="15" hidden="false" customHeight="false" outlineLevel="0" collapsed="false">
      <c r="B749" s="19" t="s">
        <v>8765</v>
      </c>
      <c r="C749" s="20" t="n">
        <f aca="false">ROUND(14.3/FX,2)</f>
        <v>1.99</v>
      </c>
      <c r="D749" s="21" t="s">
        <v>6549</v>
      </c>
      <c r="E749" s="21" t="s">
        <v>8168</v>
      </c>
      <c r="F749" s="21" t="s">
        <v>734</v>
      </c>
      <c r="G749" s="21" t="s">
        <v>8044</v>
      </c>
      <c r="H749" s="21" t="s">
        <v>8169</v>
      </c>
      <c r="I749" s="21" t="s">
        <v>7961</v>
      </c>
    </row>
    <row r="750" customFormat="false" ht="15" hidden="false" customHeight="false" outlineLevel="0" collapsed="false">
      <c r="B750" s="19" t="s">
        <v>8766</v>
      </c>
      <c r="C750" s="20" t="n">
        <f aca="false">ROUND(14.3/FX,2)</f>
        <v>1.99</v>
      </c>
      <c r="D750" s="21" t="s">
        <v>6549</v>
      </c>
      <c r="E750" s="21" t="s">
        <v>8168</v>
      </c>
      <c r="F750" s="21" t="s">
        <v>734</v>
      </c>
      <c r="G750" s="21" t="s">
        <v>8044</v>
      </c>
      <c r="H750" s="21" t="s">
        <v>8169</v>
      </c>
      <c r="I750" s="21" t="s">
        <v>7872</v>
      </c>
    </row>
    <row r="751" customFormat="false" ht="15" hidden="false" customHeight="false" outlineLevel="0" collapsed="false">
      <c r="B751" s="19" t="s">
        <v>8767</v>
      </c>
      <c r="C751" s="20" t="n">
        <f aca="false">ROUND(14.3/FX,2)</f>
        <v>1.99</v>
      </c>
      <c r="D751" s="21" t="s">
        <v>6549</v>
      </c>
      <c r="E751" s="21" t="s">
        <v>8168</v>
      </c>
      <c r="F751" s="21" t="s">
        <v>734</v>
      </c>
      <c r="G751" s="21" t="s">
        <v>8044</v>
      </c>
      <c r="H751" s="21" t="s">
        <v>8169</v>
      </c>
      <c r="I751" s="21" t="s">
        <v>7964</v>
      </c>
    </row>
    <row r="752" customFormat="false" ht="15" hidden="false" customHeight="false" outlineLevel="0" collapsed="false">
      <c r="B752" s="19" t="s">
        <v>8768</v>
      </c>
      <c r="C752" s="20" t="n">
        <f aca="false">ROUND(14.3/FX,2)</f>
        <v>1.99</v>
      </c>
      <c r="D752" s="21" t="s">
        <v>6549</v>
      </c>
      <c r="E752" s="21" t="s">
        <v>8168</v>
      </c>
      <c r="F752" s="21" t="s">
        <v>734</v>
      </c>
      <c r="G752" s="21" t="s">
        <v>8044</v>
      </c>
      <c r="H752" s="21" t="s">
        <v>8169</v>
      </c>
      <c r="I752" s="21" t="s">
        <v>7966</v>
      </c>
    </row>
    <row r="753" customFormat="false" ht="15" hidden="false" customHeight="false" outlineLevel="0" collapsed="false">
      <c r="B753" s="19" t="s">
        <v>8769</v>
      </c>
      <c r="C753" s="20" t="n">
        <f aca="false">ROUND(14.3/FX,2)</f>
        <v>1.99</v>
      </c>
      <c r="D753" s="21" t="s">
        <v>6549</v>
      </c>
      <c r="E753" s="21" t="s">
        <v>8168</v>
      </c>
      <c r="F753" s="21" t="s">
        <v>734</v>
      </c>
      <c r="G753" s="21" t="s">
        <v>8044</v>
      </c>
      <c r="H753" s="21" t="s">
        <v>8169</v>
      </c>
      <c r="I753" s="21" t="s">
        <v>8657</v>
      </c>
    </row>
    <row r="754" customFormat="false" ht="15" hidden="false" customHeight="false" outlineLevel="0" collapsed="false">
      <c r="B754" s="19" t="s">
        <v>8770</v>
      </c>
      <c r="C754" s="20" t="n">
        <f aca="false">ROUND(14.3/FX,2)</f>
        <v>1.99</v>
      </c>
      <c r="D754" s="21" t="s">
        <v>6549</v>
      </c>
      <c r="E754" s="21" t="s">
        <v>8168</v>
      </c>
      <c r="F754" s="21" t="s">
        <v>734</v>
      </c>
      <c r="G754" s="21" t="s">
        <v>8044</v>
      </c>
      <c r="H754" s="21" t="s">
        <v>8169</v>
      </c>
      <c r="I754" s="21" t="s">
        <v>8659</v>
      </c>
    </row>
    <row r="755" customFormat="false" ht="15" hidden="false" customHeight="false" outlineLevel="0" collapsed="false">
      <c r="B755" s="19" t="s">
        <v>8771</v>
      </c>
      <c r="C755" s="20" t="n">
        <f aca="false">ROUND(14.3/FX,2)</f>
        <v>1.99</v>
      </c>
      <c r="D755" s="21" t="s">
        <v>6549</v>
      </c>
      <c r="E755" s="21" t="s">
        <v>8168</v>
      </c>
      <c r="F755" s="21" t="s">
        <v>734</v>
      </c>
      <c r="G755" s="21" t="s">
        <v>8044</v>
      </c>
      <c r="H755" s="21" t="s">
        <v>8169</v>
      </c>
      <c r="I755" s="21" t="s">
        <v>8661</v>
      </c>
    </row>
    <row r="756" customFormat="false" ht="15" hidden="false" customHeight="false" outlineLevel="0" collapsed="false">
      <c r="B756" s="19" t="s">
        <v>8772</v>
      </c>
      <c r="C756" s="20" t="n">
        <f aca="false">ROUND(14.3/FX,2)</f>
        <v>1.99</v>
      </c>
      <c r="D756" s="21" t="s">
        <v>6549</v>
      </c>
      <c r="E756" s="21" t="s">
        <v>8168</v>
      </c>
      <c r="F756" s="21" t="s">
        <v>734</v>
      </c>
      <c r="G756" s="21" t="s">
        <v>8044</v>
      </c>
      <c r="H756" s="21" t="s">
        <v>8169</v>
      </c>
      <c r="I756" s="21" t="s">
        <v>8773</v>
      </c>
    </row>
    <row r="757" customFormat="false" ht="15" hidden="false" customHeight="false" outlineLevel="0" collapsed="false">
      <c r="B757" s="19" t="s">
        <v>8774</v>
      </c>
      <c r="C757" s="20" t="n">
        <f aca="false">ROUND(14.3/FX,2)</f>
        <v>1.99</v>
      </c>
      <c r="D757" s="21" t="s">
        <v>6549</v>
      </c>
      <c r="E757" s="21" t="s">
        <v>8168</v>
      </c>
      <c r="F757" s="21" t="s">
        <v>734</v>
      </c>
      <c r="G757" s="21" t="s">
        <v>8044</v>
      </c>
      <c r="H757" s="21" t="s">
        <v>8169</v>
      </c>
      <c r="I757" s="21" t="s">
        <v>8775</v>
      </c>
    </row>
    <row r="758" customFormat="false" ht="15" hidden="false" customHeight="false" outlineLevel="0" collapsed="false">
      <c r="B758" s="19" t="s">
        <v>8776</v>
      </c>
      <c r="C758" s="20" t="n">
        <f aca="false">ROUND(14.3/FX,2)</f>
        <v>1.99</v>
      </c>
      <c r="D758" s="21" t="s">
        <v>6549</v>
      </c>
      <c r="E758" s="21" t="s">
        <v>8168</v>
      </c>
      <c r="F758" s="21" t="s">
        <v>734</v>
      </c>
      <c r="G758" s="21" t="s">
        <v>8044</v>
      </c>
      <c r="H758" s="21" t="s">
        <v>8169</v>
      </c>
      <c r="I758" s="21" t="s">
        <v>7968</v>
      </c>
    </row>
    <row r="759" customFormat="false" ht="15" hidden="false" customHeight="false" outlineLevel="0" collapsed="false">
      <c r="B759" s="19" t="s">
        <v>8777</v>
      </c>
      <c r="C759" s="20" t="n">
        <f aca="false">ROUND(14.3/FX,2)</f>
        <v>1.99</v>
      </c>
      <c r="D759" s="21" t="s">
        <v>6549</v>
      </c>
      <c r="E759" s="21" t="s">
        <v>8168</v>
      </c>
      <c r="F759" s="21" t="s">
        <v>734</v>
      </c>
      <c r="G759" s="21" t="s">
        <v>8044</v>
      </c>
      <c r="H759" s="21" t="s">
        <v>8169</v>
      </c>
      <c r="I759" s="21" t="s">
        <v>8379</v>
      </c>
    </row>
    <row r="760" customFormat="false" ht="15" hidden="false" customHeight="false" outlineLevel="0" collapsed="false">
      <c r="B760" s="19" t="s">
        <v>8778</v>
      </c>
      <c r="C760" s="20" t="n">
        <f aca="false">ROUND(14.3/FX,2)</f>
        <v>1.99</v>
      </c>
      <c r="D760" s="21" t="s">
        <v>6549</v>
      </c>
      <c r="E760" s="21" t="s">
        <v>8168</v>
      </c>
      <c r="F760" s="21" t="s">
        <v>734</v>
      </c>
      <c r="G760" s="21" t="s">
        <v>8044</v>
      </c>
      <c r="H760" s="21" t="s">
        <v>8169</v>
      </c>
      <c r="I760" s="21" t="s">
        <v>8666</v>
      </c>
    </row>
    <row r="761" customFormat="false" ht="15" hidden="false" customHeight="false" outlineLevel="0" collapsed="false">
      <c r="B761" s="19" t="s">
        <v>8779</v>
      </c>
      <c r="C761" s="20" t="n">
        <f aca="false">ROUND(9.1/FX,2)</f>
        <v>1.26</v>
      </c>
      <c r="D761" s="21" t="s">
        <v>6549</v>
      </c>
      <c r="E761" s="21" t="s">
        <v>8168</v>
      </c>
      <c r="F761" s="21" t="s">
        <v>734</v>
      </c>
      <c r="G761" s="21" t="s">
        <v>8044</v>
      </c>
      <c r="H761" s="21" t="s">
        <v>8169</v>
      </c>
      <c r="I761" s="21" t="s">
        <v>7899</v>
      </c>
    </row>
    <row r="762" customFormat="false" ht="15" hidden="false" customHeight="false" outlineLevel="0" collapsed="false">
      <c r="B762" s="19" t="s">
        <v>8780</v>
      </c>
      <c r="C762" s="20" t="n">
        <f aca="false">ROUND(14.3/FX,2)</f>
        <v>1.99</v>
      </c>
      <c r="D762" s="21" t="s">
        <v>6549</v>
      </c>
      <c r="E762" s="21" t="s">
        <v>8168</v>
      </c>
      <c r="F762" s="21" t="s">
        <v>734</v>
      </c>
      <c r="G762" s="21" t="s">
        <v>8044</v>
      </c>
      <c r="H762" s="21" t="s">
        <v>8169</v>
      </c>
      <c r="I762" s="21" t="s">
        <v>8672</v>
      </c>
    </row>
    <row r="763" customFormat="false" ht="15" hidden="false" customHeight="false" outlineLevel="0" collapsed="false">
      <c r="B763" s="19" t="s">
        <v>8781</v>
      </c>
      <c r="C763" s="20" t="n">
        <f aca="false">ROUND(9.1/FX,2)</f>
        <v>1.26</v>
      </c>
      <c r="D763" s="21" t="s">
        <v>6549</v>
      </c>
      <c r="E763" s="21" t="s">
        <v>8168</v>
      </c>
      <c r="F763" s="21" t="s">
        <v>734</v>
      </c>
      <c r="G763" s="21" t="s">
        <v>8044</v>
      </c>
      <c r="H763" s="21" t="s">
        <v>8169</v>
      </c>
      <c r="I763" s="21" t="s">
        <v>7994</v>
      </c>
    </row>
    <row r="764" customFormat="false" ht="15" hidden="false" customHeight="false" outlineLevel="0" collapsed="false">
      <c r="B764" s="19" t="s">
        <v>8782</v>
      </c>
      <c r="C764" s="20" t="n">
        <f aca="false">ROUND(14.3/FX,2)</f>
        <v>1.99</v>
      </c>
      <c r="D764" s="21" t="s">
        <v>6549</v>
      </c>
      <c r="E764" s="21" t="s">
        <v>8168</v>
      </c>
      <c r="F764" s="21" t="s">
        <v>734</v>
      </c>
      <c r="G764" s="21" t="s">
        <v>8044</v>
      </c>
      <c r="H764" s="21" t="s">
        <v>8169</v>
      </c>
      <c r="I764" s="21" t="s">
        <v>8109</v>
      </c>
    </row>
    <row r="765" customFormat="false" ht="15" hidden="false" customHeight="false" outlineLevel="0" collapsed="false">
      <c r="B765" s="19" t="s">
        <v>8783</v>
      </c>
      <c r="C765" s="20" t="n">
        <f aca="false">ROUND(9.1/FX,2)</f>
        <v>1.26</v>
      </c>
      <c r="D765" s="21" t="s">
        <v>6549</v>
      </c>
      <c r="E765" s="21" t="s">
        <v>8168</v>
      </c>
      <c r="F765" s="21" t="s">
        <v>734</v>
      </c>
      <c r="G765" s="21" t="s">
        <v>8044</v>
      </c>
      <c r="H765" s="21" t="s">
        <v>8169</v>
      </c>
      <c r="I765" s="21" t="s">
        <v>8017</v>
      </c>
    </row>
    <row r="766" customFormat="false" ht="15" hidden="false" customHeight="false" outlineLevel="0" collapsed="false">
      <c r="B766" s="19" t="s">
        <v>8784</v>
      </c>
      <c r="C766" s="20" t="n">
        <f aca="false">ROUND(12.35/FX,2)</f>
        <v>1.72</v>
      </c>
      <c r="D766" s="21" t="s">
        <v>6549</v>
      </c>
      <c r="E766" s="21" t="s">
        <v>8168</v>
      </c>
      <c r="F766" s="21" t="s">
        <v>734</v>
      </c>
      <c r="G766" s="21" t="s">
        <v>8044</v>
      </c>
      <c r="H766" s="21" t="s">
        <v>8169</v>
      </c>
      <c r="I766" s="21" t="s">
        <v>8114</v>
      </c>
    </row>
    <row r="767" customFormat="false" ht="15" hidden="false" customHeight="false" outlineLevel="0" collapsed="false">
      <c r="B767" s="19" t="s">
        <v>8785</v>
      </c>
      <c r="C767" s="20" t="n">
        <f aca="false">ROUND(9.1/FX,2)</f>
        <v>1.26</v>
      </c>
      <c r="D767" s="21" t="s">
        <v>6549</v>
      </c>
      <c r="E767" s="21" t="s">
        <v>8168</v>
      </c>
      <c r="F767" s="21" t="s">
        <v>734</v>
      </c>
      <c r="G767" s="21" t="s">
        <v>8044</v>
      </c>
      <c r="H767" s="21" t="s">
        <v>8169</v>
      </c>
      <c r="I767" s="21" t="s">
        <v>7866</v>
      </c>
    </row>
    <row r="768" customFormat="false" ht="15" hidden="false" customHeight="false" outlineLevel="0" collapsed="false">
      <c r="B768" s="19" t="s">
        <v>8786</v>
      </c>
      <c r="C768" s="20" t="n">
        <f aca="false">ROUND(14.3/FX,2)</f>
        <v>1.99</v>
      </c>
      <c r="D768" s="21" t="s">
        <v>6549</v>
      </c>
      <c r="E768" s="21" t="s">
        <v>8168</v>
      </c>
      <c r="F768" s="21" t="s">
        <v>734</v>
      </c>
      <c r="G768" s="21" t="s">
        <v>8044</v>
      </c>
      <c r="H768" s="21" t="s">
        <v>8169</v>
      </c>
      <c r="I768" s="21" t="s">
        <v>8117</v>
      </c>
    </row>
    <row r="769" customFormat="false" ht="15" hidden="false" customHeight="false" outlineLevel="0" collapsed="false">
      <c r="B769" s="19" t="s">
        <v>8787</v>
      </c>
      <c r="C769" s="20" t="n">
        <f aca="false">ROUND(9.1/FX,2)</f>
        <v>1.26</v>
      </c>
      <c r="D769" s="21" t="s">
        <v>6549</v>
      </c>
      <c r="E769" s="21" t="s">
        <v>8168</v>
      </c>
      <c r="F769" s="21" t="s">
        <v>734</v>
      </c>
      <c r="G769" s="21" t="s">
        <v>8044</v>
      </c>
      <c r="H769" s="21" t="s">
        <v>8169</v>
      </c>
      <c r="I769" s="21" t="s">
        <v>8681</v>
      </c>
    </row>
    <row r="770" customFormat="false" ht="15" hidden="false" customHeight="false" outlineLevel="0" collapsed="false">
      <c r="B770" s="19" t="s">
        <v>8788</v>
      </c>
      <c r="C770" s="20" t="n">
        <f aca="false">ROUND(14.3/FX,2)</f>
        <v>1.99</v>
      </c>
      <c r="D770" s="21" t="s">
        <v>6549</v>
      </c>
      <c r="E770" s="21" t="s">
        <v>8168</v>
      </c>
      <c r="F770" s="21" t="s">
        <v>734</v>
      </c>
      <c r="G770" s="21" t="s">
        <v>8044</v>
      </c>
      <c r="H770" s="21" t="s">
        <v>8169</v>
      </c>
      <c r="I770" s="21" t="s">
        <v>8683</v>
      </c>
    </row>
    <row r="771" customFormat="false" ht="15" hidden="false" customHeight="false" outlineLevel="0" collapsed="false">
      <c r="B771" s="19" t="s">
        <v>8789</v>
      </c>
      <c r="C771" s="20" t="n">
        <f aca="false">ROUND(9.1/FX,2)</f>
        <v>1.26</v>
      </c>
      <c r="D771" s="21" t="s">
        <v>6549</v>
      </c>
      <c r="E771" s="21" t="s">
        <v>8168</v>
      </c>
      <c r="F771" s="21" t="s">
        <v>734</v>
      </c>
      <c r="G771" s="21" t="s">
        <v>8044</v>
      </c>
      <c r="H771" s="21" t="s">
        <v>8169</v>
      </c>
      <c r="I771" s="21" t="s">
        <v>8685</v>
      </c>
    </row>
    <row r="772" customFormat="false" ht="15" hidden="false" customHeight="false" outlineLevel="0" collapsed="false">
      <c r="B772" s="19" t="s">
        <v>8790</v>
      </c>
      <c r="C772" s="20" t="n">
        <f aca="false">ROUND(14.3/FX,2)</f>
        <v>1.99</v>
      </c>
      <c r="D772" s="21" t="s">
        <v>6549</v>
      </c>
      <c r="E772" s="21" t="s">
        <v>8168</v>
      </c>
      <c r="F772" s="21" t="s">
        <v>734</v>
      </c>
      <c r="G772" s="21" t="s">
        <v>8044</v>
      </c>
      <c r="H772" s="21" t="s">
        <v>8169</v>
      </c>
      <c r="I772" s="21" t="s">
        <v>8687</v>
      </c>
    </row>
    <row r="773" customFormat="false" ht="15" hidden="false" customHeight="false" outlineLevel="0" collapsed="false">
      <c r="B773" s="19" t="s">
        <v>8791</v>
      </c>
      <c r="C773" s="20" t="n">
        <f aca="false">ROUND(14.3/FX,2)</f>
        <v>1.99</v>
      </c>
      <c r="D773" s="21" t="s">
        <v>6549</v>
      </c>
      <c r="E773" s="21" t="s">
        <v>8168</v>
      </c>
      <c r="F773" s="21" t="s">
        <v>734</v>
      </c>
      <c r="G773" s="21" t="s">
        <v>8044</v>
      </c>
      <c r="H773" s="21" t="s">
        <v>8169</v>
      </c>
      <c r="I773" s="21" t="s">
        <v>8792</v>
      </c>
    </row>
    <row r="774" customFormat="false" ht="15" hidden="false" customHeight="false" outlineLevel="0" collapsed="false">
      <c r="B774" s="19" t="s">
        <v>8793</v>
      </c>
      <c r="C774" s="20" t="n">
        <f aca="false">ROUND(9.1/FX,2)</f>
        <v>1.26</v>
      </c>
      <c r="D774" s="21" t="s">
        <v>6549</v>
      </c>
      <c r="E774" s="21" t="s">
        <v>8168</v>
      </c>
      <c r="F774" s="21" t="s">
        <v>734</v>
      </c>
      <c r="G774" s="21" t="s">
        <v>8044</v>
      </c>
      <c r="H774" s="21" t="s">
        <v>8169</v>
      </c>
      <c r="I774" s="21" t="s">
        <v>8794</v>
      </c>
    </row>
    <row r="775" customFormat="false" ht="15" hidden="false" customHeight="false" outlineLevel="0" collapsed="false">
      <c r="B775" s="19" t="s">
        <v>8795</v>
      </c>
      <c r="C775" s="20" t="n">
        <f aca="false">ROUND(14.3/FX,2)</f>
        <v>1.99</v>
      </c>
      <c r="D775" s="21" t="s">
        <v>6549</v>
      </c>
      <c r="E775" s="21" t="s">
        <v>8168</v>
      </c>
      <c r="F775" s="21" t="s">
        <v>734</v>
      </c>
      <c r="G775" s="21" t="s">
        <v>8044</v>
      </c>
      <c r="H775" s="21" t="s">
        <v>8169</v>
      </c>
      <c r="I775" s="21" t="s">
        <v>7977</v>
      </c>
    </row>
    <row r="776" customFormat="false" ht="15" hidden="false" customHeight="false" outlineLevel="0" collapsed="false">
      <c r="B776" s="19" t="s">
        <v>8796</v>
      </c>
      <c r="C776" s="20" t="n">
        <f aca="false">ROUND(15/FX,2)</f>
        <v>2.08</v>
      </c>
      <c r="D776" s="21" t="s">
        <v>6549</v>
      </c>
      <c r="E776" s="21" t="s">
        <v>8168</v>
      </c>
      <c r="F776" s="21" t="s">
        <v>734</v>
      </c>
      <c r="G776" s="21" t="s">
        <v>8055</v>
      </c>
      <c r="H776" s="21" t="s">
        <v>8169</v>
      </c>
      <c r="I776" s="21" t="s">
        <v>7875</v>
      </c>
    </row>
    <row r="777" customFormat="false" ht="15" hidden="false" customHeight="false" outlineLevel="0" collapsed="false">
      <c r="B777" s="19" t="s">
        <v>8797</v>
      </c>
      <c r="C777" s="20" t="n">
        <f aca="false">ROUND(15/FX,2)</f>
        <v>2.08</v>
      </c>
      <c r="D777" s="21" t="s">
        <v>6549</v>
      </c>
      <c r="E777" s="21" t="s">
        <v>8168</v>
      </c>
      <c r="F777" s="21" t="s">
        <v>734</v>
      </c>
      <c r="G777" s="21" t="s">
        <v>8055</v>
      </c>
      <c r="H777" s="21" t="s">
        <v>8169</v>
      </c>
      <c r="I777" s="21" t="s">
        <v>8580</v>
      </c>
    </row>
    <row r="778" customFormat="false" ht="15" hidden="false" customHeight="false" outlineLevel="0" collapsed="false">
      <c r="B778" s="19" t="s">
        <v>8798</v>
      </c>
      <c r="C778" s="20" t="n">
        <f aca="false">ROUND(9.75/FX,2)</f>
        <v>1.35</v>
      </c>
      <c r="D778" s="21" t="s">
        <v>6549</v>
      </c>
      <c r="E778" s="21" t="s">
        <v>8168</v>
      </c>
      <c r="F778" s="21" t="s">
        <v>734</v>
      </c>
      <c r="G778" s="21" t="s">
        <v>8055</v>
      </c>
      <c r="H778" s="21" t="s">
        <v>8169</v>
      </c>
      <c r="I778" s="21" t="s">
        <v>7999</v>
      </c>
    </row>
    <row r="779" customFormat="false" ht="15" hidden="false" customHeight="false" outlineLevel="0" collapsed="false">
      <c r="B779" s="19" t="s">
        <v>8799</v>
      </c>
      <c r="C779" s="20" t="n">
        <f aca="false">ROUND(15/FX,2)</f>
        <v>2.08</v>
      </c>
      <c r="D779" s="21" t="s">
        <v>6549</v>
      </c>
      <c r="E779" s="21" t="s">
        <v>8168</v>
      </c>
      <c r="F779" s="21" t="s">
        <v>734</v>
      </c>
      <c r="G779" s="21" t="s">
        <v>8055</v>
      </c>
      <c r="H779" s="21" t="s">
        <v>8169</v>
      </c>
      <c r="I779" s="21" t="s">
        <v>8058</v>
      </c>
    </row>
    <row r="780" customFormat="false" ht="15" hidden="false" customHeight="false" outlineLevel="0" collapsed="false">
      <c r="B780" s="19" t="s">
        <v>8800</v>
      </c>
      <c r="C780" s="20" t="n">
        <f aca="false">ROUND(9.75/FX,2)</f>
        <v>1.35</v>
      </c>
      <c r="D780" s="21" t="s">
        <v>6549</v>
      </c>
      <c r="E780" s="21" t="s">
        <v>8168</v>
      </c>
      <c r="F780" s="21" t="s">
        <v>734</v>
      </c>
      <c r="G780" s="21" t="s">
        <v>8055</v>
      </c>
      <c r="H780" s="21" t="s">
        <v>8169</v>
      </c>
      <c r="I780" s="21" t="s">
        <v>8801</v>
      </c>
    </row>
    <row r="781" customFormat="false" ht="15" hidden="false" customHeight="false" outlineLevel="0" collapsed="false">
      <c r="B781" s="19" t="s">
        <v>8802</v>
      </c>
      <c r="C781" s="20" t="n">
        <f aca="false">ROUND(9.75/FX,2)</f>
        <v>1.35</v>
      </c>
      <c r="D781" s="21" t="s">
        <v>6549</v>
      </c>
      <c r="E781" s="21" t="s">
        <v>8168</v>
      </c>
      <c r="F781" s="21" t="s">
        <v>734</v>
      </c>
      <c r="G781" s="21" t="s">
        <v>8055</v>
      </c>
      <c r="H781" s="21" t="s">
        <v>8169</v>
      </c>
      <c r="I781" s="21" t="s">
        <v>8060</v>
      </c>
    </row>
    <row r="782" customFormat="false" ht="15" hidden="false" customHeight="false" outlineLevel="0" collapsed="false">
      <c r="B782" s="19" t="s">
        <v>8803</v>
      </c>
      <c r="C782" s="20" t="n">
        <f aca="false">ROUND(15/FX,2)</f>
        <v>2.08</v>
      </c>
      <c r="D782" s="21" t="s">
        <v>6549</v>
      </c>
      <c r="E782" s="21" t="s">
        <v>8168</v>
      </c>
      <c r="F782" s="21" t="s">
        <v>734</v>
      </c>
      <c r="G782" s="21" t="s">
        <v>8055</v>
      </c>
      <c r="H782" s="21" t="s">
        <v>8169</v>
      </c>
      <c r="I782" s="21" t="s">
        <v>8804</v>
      </c>
    </row>
    <row r="783" customFormat="false" ht="15" hidden="false" customHeight="false" outlineLevel="0" collapsed="false">
      <c r="B783" s="19" t="s">
        <v>8805</v>
      </c>
      <c r="C783" s="20" t="n">
        <f aca="false">ROUND(14.3/FX,2)</f>
        <v>1.99</v>
      </c>
      <c r="D783" s="21" t="s">
        <v>6549</v>
      </c>
      <c r="E783" s="21" t="s">
        <v>8168</v>
      </c>
      <c r="F783" s="21" t="s">
        <v>734</v>
      </c>
      <c r="G783" s="21" t="s">
        <v>8055</v>
      </c>
      <c r="H783" s="21" t="s">
        <v>8169</v>
      </c>
      <c r="I783" s="21" t="s">
        <v>8152</v>
      </c>
    </row>
    <row r="784" customFormat="false" ht="15" hidden="false" customHeight="false" outlineLevel="0" collapsed="false">
      <c r="B784" s="19" t="s">
        <v>8806</v>
      </c>
      <c r="C784" s="20" t="n">
        <f aca="false">ROUND(15/FX,2)</f>
        <v>2.08</v>
      </c>
      <c r="D784" s="21" t="s">
        <v>6549</v>
      </c>
      <c r="E784" s="21" t="s">
        <v>8168</v>
      </c>
      <c r="F784" s="21" t="s">
        <v>734</v>
      </c>
      <c r="G784" s="21" t="s">
        <v>8055</v>
      </c>
      <c r="H784" s="21" t="s">
        <v>8169</v>
      </c>
      <c r="I784" s="21" t="s">
        <v>8062</v>
      </c>
    </row>
    <row r="785" customFormat="false" ht="15" hidden="false" customHeight="false" outlineLevel="0" collapsed="false">
      <c r="B785" s="19" t="s">
        <v>8807</v>
      </c>
      <c r="C785" s="20" t="n">
        <f aca="false">ROUND(15/FX,2)</f>
        <v>2.08</v>
      </c>
      <c r="D785" s="21" t="s">
        <v>6549</v>
      </c>
      <c r="E785" s="21" t="s">
        <v>8168</v>
      </c>
      <c r="F785" s="21" t="s">
        <v>734</v>
      </c>
      <c r="G785" s="21" t="s">
        <v>8055</v>
      </c>
      <c r="H785" s="21" t="s">
        <v>8169</v>
      </c>
      <c r="I785" s="21" t="s">
        <v>8064</v>
      </c>
    </row>
    <row r="786" customFormat="false" ht="15" hidden="false" customHeight="false" outlineLevel="0" collapsed="false">
      <c r="B786" s="19" t="s">
        <v>8808</v>
      </c>
      <c r="C786" s="20" t="n">
        <f aca="false">ROUND(15/FX,2)</f>
        <v>2.08</v>
      </c>
      <c r="D786" s="21" t="s">
        <v>6549</v>
      </c>
      <c r="E786" s="21" t="s">
        <v>8168</v>
      </c>
      <c r="F786" s="21" t="s">
        <v>734</v>
      </c>
      <c r="G786" s="21" t="s">
        <v>8055</v>
      </c>
      <c r="H786" s="21" t="s">
        <v>8169</v>
      </c>
      <c r="I786" s="21" t="s">
        <v>8586</v>
      </c>
    </row>
    <row r="787" customFormat="false" ht="15" hidden="false" customHeight="false" outlineLevel="0" collapsed="false">
      <c r="B787" s="19" t="s">
        <v>8809</v>
      </c>
      <c r="C787" s="20" t="n">
        <f aca="false">ROUND(15/FX,2)</f>
        <v>2.08</v>
      </c>
      <c r="D787" s="21" t="s">
        <v>6549</v>
      </c>
      <c r="E787" s="21" t="s">
        <v>8168</v>
      </c>
      <c r="F787" s="21" t="s">
        <v>734</v>
      </c>
      <c r="G787" s="21" t="s">
        <v>8055</v>
      </c>
      <c r="H787" s="21" t="s">
        <v>8169</v>
      </c>
      <c r="I787" s="21" t="s">
        <v>8810</v>
      </c>
    </row>
    <row r="788" customFormat="false" ht="15" hidden="false" customHeight="false" outlineLevel="0" collapsed="false">
      <c r="B788" s="19" t="s">
        <v>8811</v>
      </c>
      <c r="C788" s="20" t="n">
        <f aca="false">ROUND(15/FX,2)</f>
        <v>2.08</v>
      </c>
      <c r="D788" s="21" t="s">
        <v>6549</v>
      </c>
      <c r="E788" s="21" t="s">
        <v>8168</v>
      </c>
      <c r="F788" s="21" t="s">
        <v>734</v>
      </c>
      <c r="G788" s="21" t="s">
        <v>8055</v>
      </c>
      <c r="H788" s="21" t="s">
        <v>8169</v>
      </c>
      <c r="I788" s="21" t="s">
        <v>8066</v>
      </c>
    </row>
    <row r="789" customFormat="false" ht="15" hidden="false" customHeight="false" outlineLevel="0" collapsed="false">
      <c r="B789" s="19" t="s">
        <v>8812</v>
      </c>
      <c r="C789" s="20" t="n">
        <f aca="false">ROUND(15/FX,2)</f>
        <v>2.08</v>
      </c>
      <c r="D789" s="21" t="s">
        <v>6549</v>
      </c>
      <c r="E789" s="21" t="s">
        <v>8168</v>
      </c>
      <c r="F789" s="21" t="s">
        <v>734</v>
      </c>
      <c r="G789" s="21" t="s">
        <v>8055</v>
      </c>
      <c r="H789" s="21" t="s">
        <v>8169</v>
      </c>
      <c r="I789" s="21" t="s">
        <v>8813</v>
      </c>
    </row>
    <row r="790" customFormat="false" ht="15" hidden="false" customHeight="false" outlineLevel="0" collapsed="false">
      <c r="B790" s="19" t="s">
        <v>8814</v>
      </c>
      <c r="C790" s="20" t="n">
        <f aca="false">ROUND(15/FX,2)</f>
        <v>2.08</v>
      </c>
      <c r="D790" s="21" t="s">
        <v>6549</v>
      </c>
      <c r="E790" s="21" t="s">
        <v>8168</v>
      </c>
      <c r="F790" s="21" t="s">
        <v>734</v>
      </c>
      <c r="G790" s="21" t="s">
        <v>8055</v>
      </c>
      <c r="H790" s="21" t="s">
        <v>8169</v>
      </c>
      <c r="I790" s="21" t="s">
        <v>8719</v>
      </c>
    </row>
    <row r="791" customFormat="false" ht="15" hidden="false" customHeight="false" outlineLevel="0" collapsed="false">
      <c r="B791" s="19" t="s">
        <v>8815</v>
      </c>
      <c r="C791" s="20" t="n">
        <f aca="false">ROUND(15/FX,2)</f>
        <v>2.08</v>
      </c>
      <c r="D791" s="21" t="s">
        <v>6549</v>
      </c>
      <c r="E791" s="21" t="s">
        <v>8168</v>
      </c>
      <c r="F791" s="21" t="s">
        <v>734</v>
      </c>
      <c r="G791" s="21" t="s">
        <v>8055</v>
      </c>
      <c r="H791" s="21" t="s">
        <v>8169</v>
      </c>
      <c r="I791" s="21" t="s">
        <v>8068</v>
      </c>
    </row>
    <row r="792" customFormat="false" ht="15" hidden="false" customHeight="false" outlineLevel="0" collapsed="false">
      <c r="B792" s="19" t="s">
        <v>8816</v>
      </c>
      <c r="C792" s="20" t="n">
        <f aca="false">ROUND(15/FX,2)</f>
        <v>2.08</v>
      </c>
      <c r="D792" s="21" t="s">
        <v>6549</v>
      </c>
      <c r="E792" s="21" t="s">
        <v>8168</v>
      </c>
      <c r="F792" s="21" t="s">
        <v>734</v>
      </c>
      <c r="G792" s="21" t="s">
        <v>8055</v>
      </c>
      <c r="H792" s="21" t="s">
        <v>8169</v>
      </c>
      <c r="I792" s="21" t="s">
        <v>8817</v>
      </c>
    </row>
    <row r="793" customFormat="false" ht="15" hidden="false" customHeight="false" outlineLevel="0" collapsed="false">
      <c r="B793" s="19" t="s">
        <v>8818</v>
      </c>
      <c r="C793" s="20" t="n">
        <f aca="false">ROUND(15/FX,2)</f>
        <v>2.08</v>
      </c>
      <c r="D793" s="21" t="s">
        <v>6549</v>
      </c>
      <c r="E793" s="21" t="s">
        <v>8168</v>
      </c>
      <c r="F793" s="21" t="s">
        <v>734</v>
      </c>
      <c r="G793" s="21" t="s">
        <v>8055</v>
      </c>
      <c r="H793" s="21" t="s">
        <v>8169</v>
      </c>
      <c r="I793" s="21" t="s">
        <v>8070</v>
      </c>
    </row>
    <row r="794" customFormat="false" ht="15" hidden="false" customHeight="false" outlineLevel="0" collapsed="false">
      <c r="B794" s="19" t="s">
        <v>8819</v>
      </c>
      <c r="C794" s="20" t="n">
        <f aca="false">ROUND(9.75/FX,2)</f>
        <v>1.35</v>
      </c>
      <c r="D794" s="21" t="s">
        <v>6549</v>
      </c>
      <c r="E794" s="21" t="s">
        <v>8168</v>
      </c>
      <c r="F794" s="21" t="s">
        <v>734</v>
      </c>
      <c r="G794" s="21" t="s">
        <v>8055</v>
      </c>
      <c r="H794" s="21" t="s">
        <v>8169</v>
      </c>
      <c r="I794" s="21" t="s">
        <v>8072</v>
      </c>
    </row>
    <row r="795" customFormat="false" ht="15" hidden="false" customHeight="false" outlineLevel="0" collapsed="false">
      <c r="B795" s="19" t="s">
        <v>8820</v>
      </c>
      <c r="C795" s="20" t="n">
        <f aca="false">ROUND(15/FX,2)</f>
        <v>2.08</v>
      </c>
      <c r="D795" s="21" t="s">
        <v>6549</v>
      </c>
      <c r="E795" s="21" t="s">
        <v>8168</v>
      </c>
      <c r="F795" s="21" t="s">
        <v>734</v>
      </c>
      <c r="G795" s="21" t="s">
        <v>8055</v>
      </c>
      <c r="H795" s="21" t="s">
        <v>8169</v>
      </c>
      <c r="I795" s="21" t="s">
        <v>8723</v>
      </c>
    </row>
    <row r="796" customFormat="false" ht="15" hidden="false" customHeight="false" outlineLevel="0" collapsed="false">
      <c r="B796" s="19" t="s">
        <v>8821</v>
      </c>
      <c r="C796" s="20" t="n">
        <f aca="false">ROUND(15/FX,2)</f>
        <v>2.08</v>
      </c>
      <c r="D796" s="21" t="s">
        <v>6549</v>
      </c>
      <c r="E796" s="21" t="s">
        <v>8168</v>
      </c>
      <c r="F796" s="21" t="s">
        <v>734</v>
      </c>
      <c r="G796" s="21" t="s">
        <v>8055</v>
      </c>
      <c r="H796" s="21" t="s">
        <v>8169</v>
      </c>
      <c r="I796" s="21" t="s">
        <v>7985</v>
      </c>
    </row>
    <row r="797" customFormat="false" ht="15" hidden="false" customHeight="false" outlineLevel="0" collapsed="false">
      <c r="B797" s="19" t="s">
        <v>8822</v>
      </c>
      <c r="C797" s="20" t="n">
        <f aca="false">ROUND(9.75/FX,2)</f>
        <v>1.35</v>
      </c>
      <c r="D797" s="21" t="s">
        <v>6549</v>
      </c>
      <c r="E797" s="21" t="s">
        <v>8168</v>
      </c>
      <c r="F797" s="21" t="s">
        <v>734</v>
      </c>
      <c r="G797" s="21" t="s">
        <v>8055</v>
      </c>
      <c r="H797" s="21" t="s">
        <v>8169</v>
      </c>
      <c r="I797" s="21" t="s">
        <v>8075</v>
      </c>
    </row>
    <row r="798" customFormat="false" ht="15" hidden="false" customHeight="false" outlineLevel="0" collapsed="false">
      <c r="B798" s="19" t="s">
        <v>8823</v>
      </c>
      <c r="C798" s="20" t="n">
        <f aca="false">ROUND(15/FX,2)</f>
        <v>2.08</v>
      </c>
      <c r="D798" s="21" t="s">
        <v>6549</v>
      </c>
      <c r="E798" s="21" t="s">
        <v>8168</v>
      </c>
      <c r="F798" s="21" t="s">
        <v>734</v>
      </c>
      <c r="G798" s="21" t="s">
        <v>8055</v>
      </c>
      <c r="H798" s="21" t="s">
        <v>8169</v>
      </c>
      <c r="I798" s="21" t="s">
        <v>8824</v>
      </c>
    </row>
    <row r="799" customFormat="false" ht="15" hidden="false" customHeight="false" outlineLevel="0" collapsed="false">
      <c r="B799" s="19" t="s">
        <v>8825</v>
      </c>
      <c r="C799" s="20" t="n">
        <f aca="false">ROUND(9.75/FX,2)</f>
        <v>1.35</v>
      </c>
      <c r="D799" s="21" t="s">
        <v>6549</v>
      </c>
      <c r="E799" s="21" t="s">
        <v>8168</v>
      </c>
      <c r="F799" s="21" t="s">
        <v>734</v>
      </c>
      <c r="G799" s="21" t="s">
        <v>8055</v>
      </c>
      <c r="H799" s="21" t="s">
        <v>8169</v>
      </c>
      <c r="I799" s="21" t="s">
        <v>8077</v>
      </c>
    </row>
    <row r="800" customFormat="false" ht="15" hidden="false" customHeight="false" outlineLevel="0" collapsed="false">
      <c r="B800" s="19" t="s">
        <v>8826</v>
      </c>
      <c r="C800" s="20" t="n">
        <f aca="false">ROUND(9.75/FX,2)</f>
        <v>1.35</v>
      </c>
      <c r="D800" s="21" t="s">
        <v>6549</v>
      </c>
      <c r="E800" s="21" t="s">
        <v>8168</v>
      </c>
      <c r="F800" s="21" t="s">
        <v>734</v>
      </c>
      <c r="G800" s="21" t="s">
        <v>8055</v>
      </c>
      <c r="H800" s="21" t="s">
        <v>8169</v>
      </c>
      <c r="I800" s="21" t="s">
        <v>8079</v>
      </c>
    </row>
    <row r="801" customFormat="false" ht="15" hidden="false" customHeight="false" outlineLevel="0" collapsed="false">
      <c r="B801" s="19" t="s">
        <v>8827</v>
      </c>
      <c r="C801" s="20" t="n">
        <f aca="false">ROUND(15/FX,2)</f>
        <v>2.08</v>
      </c>
      <c r="D801" s="21" t="s">
        <v>6549</v>
      </c>
      <c r="E801" s="21" t="s">
        <v>8168</v>
      </c>
      <c r="F801" s="21" t="s">
        <v>734</v>
      </c>
      <c r="G801" s="21" t="s">
        <v>8055</v>
      </c>
      <c r="H801" s="21" t="s">
        <v>8169</v>
      </c>
      <c r="I801" s="21" t="s">
        <v>8081</v>
      </c>
    </row>
    <row r="802" customFormat="false" ht="15" hidden="false" customHeight="false" outlineLevel="0" collapsed="false">
      <c r="B802" s="19" t="s">
        <v>8828</v>
      </c>
      <c r="C802" s="20" t="n">
        <f aca="false">ROUND(15/FX,2)</f>
        <v>2.08</v>
      </c>
      <c r="D802" s="21" t="s">
        <v>6549</v>
      </c>
      <c r="E802" s="21" t="s">
        <v>8168</v>
      </c>
      <c r="F802" s="21" t="s">
        <v>734</v>
      </c>
      <c r="G802" s="21" t="s">
        <v>8055</v>
      </c>
      <c r="H802" s="21" t="s">
        <v>8169</v>
      </c>
      <c r="I802" s="21" t="s">
        <v>8829</v>
      </c>
    </row>
    <row r="803" customFormat="false" ht="15" hidden="false" customHeight="false" outlineLevel="0" collapsed="false">
      <c r="B803" s="19" t="s">
        <v>8830</v>
      </c>
      <c r="C803" s="20" t="n">
        <f aca="false">ROUND(15/FX,2)</f>
        <v>2.08</v>
      </c>
      <c r="D803" s="21" t="s">
        <v>6549</v>
      </c>
      <c r="E803" s="21" t="s">
        <v>8168</v>
      </c>
      <c r="F803" s="21" t="s">
        <v>734</v>
      </c>
      <c r="G803" s="21" t="s">
        <v>8055</v>
      </c>
      <c r="H803" s="21" t="s">
        <v>8169</v>
      </c>
      <c r="I803" s="21" t="s">
        <v>8831</v>
      </c>
    </row>
    <row r="804" customFormat="false" ht="15" hidden="false" customHeight="false" outlineLevel="0" collapsed="false">
      <c r="B804" s="19" t="s">
        <v>8832</v>
      </c>
      <c r="C804" s="20" t="n">
        <f aca="false">ROUND(15/FX,2)</f>
        <v>2.08</v>
      </c>
      <c r="D804" s="21" t="s">
        <v>6549</v>
      </c>
      <c r="E804" s="21" t="s">
        <v>8168</v>
      </c>
      <c r="F804" s="21" t="s">
        <v>734</v>
      </c>
      <c r="G804" s="21" t="s">
        <v>8055</v>
      </c>
      <c r="H804" s="21" t="s">
        <v>8169</v>
      </c>
      <c r="I804" s="21" t="s">
        <v>8083</v>
      </c>
    </row>
    <row r="805" customFormat="false" ht="15" hidden="false" customHeight="false" outlineLevel="0" collapsed="false">
      <c r="B805" s="19" t="s">
        <v>8833</v>
      </c>
      <c r="C805" s="20" t="n">
        <f aca="false">ROUND(15/FX,2)</f>
        <v>2.08</v>
      </c>
      <c r="D805" s="21" t="s">
        <v>6549</v>
      </c>
      <c r="E805" s="21" t="s">
        <v>8168</v>
      </c>
      <c r="F805" s="21" t="s">
        <v>734</v>
      </c>
      <c r="G805" s="21" t="s">
        <v>8055</v>
      </c>
      <c r="H805" s="21" t="s">
        <v>8169</v>
      </c>
      <c r="I805" s="21" t="s">
        <v>8834</v>
      </c>
    </row>
    <row r="806" customFormat="false" ht="15" hidden="false" customHeight="false" outlineLevel="0" collapsed="false">
      <c r="B806" s="19" t="s">
        <v>8835</v>
      </c>
      <c r="C806" s="20" t="n">
        <f aca="false">ROUND(9.75/FX,2)</f>
        <v>1.35</v>
      </c>
      <c r="D806" s="21" t="s">
        <v>6549</v>
      </c>
      <c r="E806" s="21" t="s">
        <v>8168</v>
      </c>
      <c r="F806" s="21" t="s">
        <v>734</v>
      </c>
      <c r="G806" s="21" t="s">
        <v>8055</v>
      </c>
      <c r="H806" s="21" t="s">
        <v>8169</v>
      </c>
      <c r="I806" s="21" t="s">
        <v>8085</v>
      </c>
    </row>
    <row r="807" customFormat="false" ht="15" hidden="false" customHeight="false" outlineLevel="0" collapsed="false">
      <c r="B807" s="19" t="s">
        <v>8836</v>
      </c>
      <c r="C807" s="20" t="n">
        <f aca="false">ROUND(15/FX,2)</f>
        <v>2.08</v>
      </c>
      <c r="D807" s="21" t="s">
        <v>6549</v>
      </c>
      <c r="E807" s="21" t="s">
        <v>8168</v>
      </c>
      <c r="F807" s="21" t="s">
        <v>734</v>
      </c>
      <c r="G807" s="21" t="s">
        <v>8055</v>
      </c>
      <c r="H807" s="21" t="s">
        <v>8169</v>
      </c>
      <c r="I807" s="21" t="s">
        <v>8087</v>
      </c>
    </row>
    <row r="808" customFormat="false" ht="15" hidden="false" customHeight="false" outlineLevel="0" collapsed="false">
      <c r="B808" s="19" t="s">
        <v>8837</v>
      </c>
      <c r="C808" s="20" t="n">
        <f aca="false">ROUND(15/FX,2)</f>
        <v>2.08</v>
      </c>
      <c r="D808" s="21" t="s">
        <v>6549</v>
      </c>
      <c r="E808" s="21" t="s">
        <v>8168</v>
      </c>
      <c r="F808" s="21" t="s">
        <v>734</v>
      </c>
      <c r="G808" s="21" t="s">
        <v>8055</v>
      </c>
      <c r="H808" s="21" t="s">
        <v>8169</v>
      </c>
      <c r="I808" s="21" t="s">
        <v>8089</v>
      </c>
    </row>
    <row r="809" customFormat="false" ht="15" hidden="false" customHeight="false" outlineLevel="0" collapsed="false">
      <c r="B809" s="19" t="s">
        <v>8838</v>
      </c>
      <c r="C809" s="20" t="n">
        <f aca="false">ROUND(15/FX,2)</f>
        <v>2.08</v>
      </c>
      <c r="D809" s="21" t="s">
        <v>6549</v>
      </c>
      <c r="E809" s="21" t="s">
        <v>8168</v>
      </c>
      <c r="F809" s="21" t="s">
        <v>734</v>
      </c>
      <c r="G809" s="21" t="s">
        <v>8055</v>
      </c>
      <c r="H809" s="21" t="s">
        <v>8169</v>
      </c>
      <c r="I809" s="21" t="s">
        <v>8045</v>
      </c>
    </row>
    <row r="810" customFormat="false" ht="15" hidden="false" customHeight="false" outlineLevel="0" collapsed="false">
      <c r="B810" s="19" t="s">
        <v>8839</v>
      </c>
      <c r="C810" s="20" t="n">
        <f aca="false">ROUND(15/FX,2)</f>
        <v>2.08</v>
      </c>
      <c r="D810" s="21" t="s">
        <v>6549</v>
      </c>
      <c r="E810" s="21" t="s">
        <v>8168</v>
      </c>
      <c r="F810" s="21" t="s">
        <v>734</v>
      </c>
      <c r="G810" s="21" t="s">
        <v>8055</v>
      </c>
      <c r="H810" s="21" t="s">
        <v>8169</v>
      </c>
      <c r="I810" s="21" t="s">
        <v>8840</v>
      </c>
    </row>
    <row r="811" customFormat="false" ht="15" hidden="false" customHeight="false" outlineLevel="0" collapsed="false">
      <c r="B811" s="19" t="s">
        <v>8841</v>
      </c>
      <c r="C811" s="20" t="n">
        <f aca="false">ROUND(15/FX,2)</f>
        <v>2.08</v>
      </c>
      <c r="D811" s="21" t="s">
        <v>6549</v>
      </c>
      <c r="E811" s="21" t="s">
        <v>8168</v>
      </c>
      <c r="F811" s="21" t="s">
        <v>734</v>
      </c>
      <c r="G811" s="21" t="s">
        <v>8055</v>
      </c>
      <c r="H811" s="21" t="s">
        <v>8169</v>
      </c>
      <c r="I811" s="21" t="s">
        <v>8047</v>
      </c>
    </row>
    <row r="812" customFormat="false" ht="15" hidden="false" customHeight="false" outlineLevel="0" collapsed="false">
      <c r="B812" s="19" t="s">
        <v>8842</v>
      </c>
      <c r="C812" s="20" t="n">
        <f aca="false">ROUND(15/FX,2)</f>
        <v>2.08</v>
      </c>
      <c r="D812" s="21" t="s">
        <v>6549</v>
      </c>
      <c r="E812" s="21" t="s">
        <v>8168</v>
      </c>
      <c r="F812" s="21" t="s">
        <v>734</v>
      </c>
      <c r="G812" s="21" t="s">
        <v>8055</v>
      </c>
      <c r="H812" s="21" t="s">
        <v>8169</v>
      </c>
      <c r="I812" s="21" t="s">
        <v>7914</v>
      </c>
    </row>
    <row r="813" customFormat="false" ht="15" hidden="false" customHeight="false" outlineLevel="0" collapsed="false">
      <c r="B813" s="19" t="s">
        <v>8843</v>
      </c>
      <c r="C813" s="20" t="n">
        <f aca="false">ROUND(15/FX,2)</f>
        <v>2.08</v>
      </c>
      <c r="D813" s="21" t="s">
        <v>6549</v>
      </c>
      <c r="E813" s="21" t="s">
        <v>8168</v>
      </c>
      <c r="F813" s="21" t="s">
        <v>734</v>
      </c>
      <c r="G813" s="21" t="s">
        <v>8055</v>
      </c>
      <c r="H813" s="21" t="s">
        <v>8169</v>
      </c>
      <c r="I813" s="21" t="s">
        <v>8592</v>
      </c>
    </row>
    <row r="814" customFormat="false" ht="15" hidden="false" customHeight="false" outlineLevel="0" collapsed="false">
      <c r="B814" s="19" t="s">
        <v>8844</v>
      </c>
      <c r="C814" s="20" t="n">
        <f aca="false">ROUND(15/FX,2)</f>
        <v>2.08</v>
      </c>
      <c r="D814" s="21" t="s">
        <v>6549</v>
      </c>
      <c r="E814" s="21" t="s">
        <v>8168</v>
      </c>
      <c r="F814" s="21" t="s">
        <v>734</v>
      </c>
      <c r="G814" s="21" t="s">
        <v>8055</v>
      </c>
      <c r="H814" s="21" t="s">
        <v>8169</v>
      </c>
      <c r="I814" s="21" t="s">
        <v>8594</v>
      </c>
    </row>
    <row r="815" customFormat="false" ht="15" hidden="false" customHeight="false" outlineLevel="0" collapsed="false">
      <c r="B815" s="19" t="s">
        <v>8845</v>
      </c>
      <c r="C815" s="20" t="n">
        <f aca="false">ROUND(15/FX,2)</f>
        <v>2.08</v>
      </c>
      <c r="D815" s="21" t="s">
        <v>6549</v>
      </c>
      <c r="E815" s="21" t="s">
        <v>8168</v>
      </c>
      <c r="F815" s="21" t="s">
        <v>734</v>
      </c>
      <c r="G815" s="21" t="s">
        <v>8055</v>
      </c>
      <c r="H815" s="21" t="s">
        <v>8169</v>
      </c>
      <c r="I815" s="21" t="s">
        <v>8596</v>
      </c>
    </row>
    <row r="816" customFormat="false" ht="15" hidden="false" customHeight="false" outlineLevel="0" collapsed="false">
      <c r="B816" s="19" t="s">
        <v>8846</v>
      </c>
      <c r="C816" s="20" t="n">
        <f aca="false">ROUND(15/FX,2)</f>
        <v>2.08</v>
      </c>
      <c r="D816" s="21" t="s">
        <v>6549</v>
      </c>
      <c r="E816" s="21" t="s">
        <v>8168</v>
      </c>
      <c r="F816" s="21" t="s">
        <v>734</v>
      </c>
      <c r="G816" s="21" t="s">
        <v>8055</v>
      </c>
      <c r="H816" s="21" t="s">
        <v>8169</v>
      </c>
      <c r="I816" s="21" t="s">
        <v>8847</v>
      </c>
    </row>
    <row r="817" customFormat="false" ht="15" hidden="false" customHeight="false" outlineLevel="0" collapsed="false">
      <c r="B817" s="19" t="s">
        <v>8848</v>
      </c>
      <c r="C817" s="20" t="n">
        <f aca="false">ROUND(15/FX,2)</f>
        <v>2.08</v>
      </c>
      <c r="D817" s="21" t="s">
        <v>6549</v>
      </c>
      <c r="E817" s="21" t="s">
        <v>8168</v>
      </c>
      <c r="F817" s="21" t="s">
        <v>734</v>
      </c>
      <c r="G817" s="21" t="s">
        <v>8055</v>
      </c>
      <c r="H817" s="21" t="s">
        <v>8169</v>
      </c>
      <c r="I817" s="21" t="s">
        <v>8849</v>
      </c>
    </row>
    <row r="818" customFormat="false" ht="15" hidden="false" customHeight="false" outlineLevel="0" collapsed="false">
      <c r="B818" s="19" t="s">
        <v>8850</v>
      </c>
      <c r="C818" s="20" t="n">
        <f aca="false">ROUND(15/FX,2)</f>
        <v>2.08</v>
      </c>
      <c r="D818" s="21" t="s">
        <v>6549</v>
      </c>
      <c r="E818" s="21" t="s">
        <v>8168</v>
      </c>
      <c r="F818" s="21" t="s">
        <v>734</v>
      </c>
      <c r="G818" s="21" t="s">
        <v>8055</v>
      </c>
      <c r="H818" s="21" t="s">
        <v>8169</v>
      </c>
      <c r="I818" s="21" t="s">
        <v>8851</v>
      </c>
    </row>
    <row r="819" customFormat="false" ht="15" hidden="false" customHeight="false" outlineLevel="0" collapsed="false">
      <c r="B819" s="19" t="s">
        <v>8852</v>
      </c>
      <c r="C819" s="20" t="n">
        <f aca="false">ROUND(15/FX,2)</f>
        <v>2.08</v>
      </c>
      <c r="D819" s="21" t="s">
        <v>6549</v>
      </c>
      <c r="E819" s="21" t="s">
        <v>8168</v>
      </c>
      <c r="F819" s="21" t="s">
        <v>734</v>
      </c>
      <c r="G819" s="21" t="s">
        <v>8055</v>
      </c>
      <c r="H819" s="21" t="s">
        <v>8169</v>
      </c>
      <c r="I819" s="21" t="s">
        <v>8853</v>
      </c>
    </row>
    <row r="820" customFormat="false" ht="15" hidden="false" customHeight="false" outlineLevel="0" collapsed="false">
      <c r="B820" s="19" t="s">
        <v>8854</v>
      </c>
      <c r="C820" s="20" t="n">
        <f aca="false">ROUND(15/FX,2)</f>
        <v>2.08</v>
      </c>
      <c r="D820" s="21" t="s">
        <v>6549</v>
      </c>
      <c r="E820" s="21" t="s">
        <v>8168</v>
      </c>
      <c r="F820" s="21" t="s">
        <v>734</v>
      </c>
      <c r="G820" s="21" t="s">
        <v>8055</v>
      </c>
      <c r="H820" s="21" t="s">
        <v>8169</v>
      </c>
      <c r="I820" s="21" t="s">
        <v>7916</v>
      </c>
    </row>
    <row r="821" customFormat="false" ht="15" hidden="false" customHeight="false" outlineLevel="0" collapsed="false">
      <c r="B821" s="19" t="s">
        <v>8855</v>
      </c>
      <c r="C821" s="20" t="n">
        <f aca="false">ROUND(15/FX,2)</f>
        <v>2.08</v>
      </c>
      <c r="D821" s="21" t="s">
        <v>6549</v>
      </c>
      <c r="E821" s="21" t="s">
        <v>8168</v>
      </c>
      <c r="F821" s="21" t="s">
        <v>734</v>
      </c>
      <c r="G821" s="21" t="s">
        <v>8055</v>
      </c>
      <c r="H821" s="21" t="s">
        <v>8169</v>
      </c>
      <c r="I821" s="21" t="s">
        <v>7918</v>
      </c>
    </row>
    <row r="822" customFormat="false" ht="15" hidden="false" customHeight="false" outlineLevel="0" collapsed="false">
      <c r="B822" s="19" t="s">
        <v>8856</v>
      </c>
      <c r="C822" s="20" t="n">
        <f aca="false">ROUND(15/FX,2)</f>
        <v>2.08</v>
      </c>
      <c r="D822" s="21" t="s">
        <v>6549</v>
      </c>
      <c r="E822" s="21" t="s">
        <v>8168</v>
      </c>
      <c r="F822" s="21" t="s">
        <v>734</v>
      </c>
      <c r="G822" s="21" t="s">
        <v>8055</v>
      </c>
      <c r="H822" s="21" t="s">
        <v>8169</v>
      </c>
      <c r="I822" s="21" t="s">
        <v>7847</v>
      </c>
    </row>
    <row r="823" customFormat="false" ht="15" hidden="false" customHeight="false" outlineLevel="0" collapsed="false">
      <c r="B823" s="19" t="s">
        <v>8857</v>
      </c>
      <c r="C823" s="20" t="n">
        <f aca="false">ROUND(15/FX,2)</f>
        <v>2.08</v>
      </c>
      <c r="D823" s="21" t="s">
        <v>6549</v>
      </c>
      <c r="E823" s="21" t="s">
        <v>8168</v>
      </c>
      <c r="F823" s="21" t="s">
        <v>734</v>
      </c>
      <c r="G823" s="21" t="s">
        <v>8055</v>
      </c>
      <c r="H823" s="21" t="s">
        <v>8169</v>
      </c>
      <c r="I823" s="21" t="s">
        <v>7849</v>
      </c>
    </row>
    <row r="824" customFormat="false" ht="15" hidden="false" customHeight="false" outlineLevel="0" collapsed="false">
      <c r="B824" s="19" t="s">
        <v>8858</v>
      </c>
      <c r="C824" s="20" t="n">
        <f aca="false">ROUND(15/FX,2)</f>
        <v>2.08</v>
      </c>
      <c r="D824" s="21" t="s">
        <v>6549</v>
      </c>
      <c r="E824" s="21" t="s">
        <v>8168</v>
      </c>
      <c r="F824" s="21" t="s">
        <v>734</v>
      </c>
      <c r="G824" s="21" t="s">
        <v>8055</v>
      </c>
      <c r="H824" s="21" t="s">
        <v>8169</v>
      </c>
      <c r="I824" s="21" t="s">
        <v>7922</v>
      </c>
    </row>
    <row r="825" customFormat="false" ht="15" hidden="false" customHeight="false" outlineLevel="0" collapsed="false">
      <c r="B825" s="19" t="s">
        <v>8859</v>
      </c>
      <c r="C825" s="20" t="n">
        <f aca="false">ROUND(15/FX,2)</f>
        <v>2.08</v>
      </c>
      <c r="D825" s="21" t="s">
        <v>6549</v>
      </c>
      <c r="E825" s="21" t="s">
        <v>8168</v>
      </c>
      <c r="F825" s="21" t="s">
        <v>734</v>
      </c>
      <c r="G825" s="21" t="s">
        <v>8055</v>
      </c>
      <c r="H825" s="21" t="s">
        <v>8169</v>
      </c>
      <c r="I825" s="21" t="s">
        <v>8231</v>
      </c>
    </row>
    <row r="826" customFormat="false" ht="15" hidden="false" customHeight="false" outlineLevel="0" collapsed="false">
      <c r="B826" s="19" t="s">
        <v>8860</v>
      </c>
      <c r="C826" s="20" t="n">
        <f aca="false">ROUND(15/FX,2)</f>
        <v>2.08</v>
      </c>
      <c r="D826" s="21" t="s">
        <v>6549</v>
      </c>
      <c r="E826" s="21" t="s">
        <v>8168</v>
      </c>
      <c r="F826" s="21" t="s">
        <v>734</v>
      </c>
      <c r="G826" s="21" t="s">
        <v>8055</v>
      </c>
      <c r="H826" s="21" t="s">
        <v>8169</v>
      </c>
      <c r="I826" s="21" t="s">
        <v>7851</v>
      </c>
    </row>
    <row r="827" customFormat="false" ht="15" hidden="false" customHeight="false" outlineLevel="0" collapsed="false">
      <c r="B827" s="19" t="s">
        <v>8861</v>
      </c>
      <c r="C827" s="20" t="n">
        <f aca="false">ROUND(15/FX,2)</f>
        <v>2.08</v>
      </c>
      <c r="D827" s="21" t="s">
        <v>6549</v>
      </c>
      <c r="E827" s="21" t="s">
        <v>8168</v>
      </c>
      <c r="F827" s="21" t="s">
        <v>734</v>
      </c>
      <c r="G827" s="21" t="s">
        <v>8055</v>
      </c>
      <c r="H827" s="21" t="s">
        <v>8169</v>
      </c>
      <c r="I827" s="21" t="s">
        <v>8239</v>
      </c>
    </row>
    <row r="828" customFormat="false" ht="15" hidden="false" customHeight="false" outlineLevel="0" collapsed="false">
      <c r="B828" s="19" t="s">
        <v>8862</v>
      </c>
      <c r="C828" s="20" t="n">
        <f aca="false">ROUND(15/FX,2)</f>
        <v>2.08</v>
      </c>
      <c r="D828" s="21" t="s">
        <v>6549</v>
      </c>
      <c r="E828" s="21" t="s">
        <v>8168</v>
      </c>
      <c r="F828" s="21" t="s">
        <v>734</v>
      </c>
      <c r="G828" s="21" t="s">
        <v>8055</v>
      </c>
      <c r="H828" s="21" t="s">
        <v>8169</v>
      </c>
      <c r="I828" s="21" t="s">
        <v>7925</v>
      </c>
    </row>
    <row r="829" customFormat="false" ht="15" hidden="false" customHeight="false" outlineLevel="0" collapsed="false">
      <c r="B829" s="19" t="s">
        <v>8863</v>
      </c>
      <c r="C829" s="20" t="n">
        <f aca="false">ROUND(15/FX,2)</f>
        <v>2.08</v>
      </c>
      <c r="D829" s="21" t="s">
        <v>6549</v>
      </c>
      <c r="E829" s="21" t="s">
        <v>8168</v>
      </c>
      <c r="F829" s="21" t="s">
        <v>734</v>
      </c>
      <c r="G829" s="21" t="s">
        <v>8055</v>
      </c>
      <c r="H829" s="21" t="s">
        <v>8169</v>
      </c>
      <c r="I829" s="21" t="s">
        <v>7927</v>
      </c>
    </row>
    <row r="830" customFormat="false" ht="15" hidden="false" customHeight="false" outlineLevel="0" collapsed="false">
      <c r="B830" s="19" t="s">
        <v>8864</v>
      </c>
      <c r="C830" s="20" t="n">
        <f aca="false">ROUND(15/FX,2)</f>
        <v>2.08</v>
      </c>
      <c r="D830" s="21" t="s">
        <v>6549</v>
      </c>
      <c r="E830" s="21" t="s">
        <v>8168</v>
      </c>
      <c r="F830" s="21" t="s">
        <v>734</v>
      </c>
      <c r="G830" s="21" t="s">
        <v>8055</v>
      </c>
      <c r="H830" s="21" t="s">
        <v>8169</v>
      </c>
      <c r="I830" s="21" t="s">
        <v>8608</v>
      </c>
    </row>
    <row r="831" customFormat="false" ht="15" hidden="false" customHeight="false" outlineLevel="0" collapsed="false">
      <c r="B831" s="19" t="s">
        <v>8865</v>
      </c>
      <c r="C831" s="20" t="n">
        <f aca="false">ROUND(15/FX,2)</f>
        <v>2.08</v>
      </c>
      <c r="D831" s="21" t="s">
        <v>6549</v>
      </c>
      <c r="E831" s="21" t="s">
        <v>8168</v>
      </c>
      <c r="F831" s="21" t="s">
        <v>734</v>
      </c>
      <c r="G831" s="21" t="s">
        <v>8055</v>
      </c>
      <c r="H831" s="21" t="s">
        <v>8169</v>
      </c>
      <c r="I831" s="21" t="s">
        <v>8610</v>
      </c>
    </row>
    <row r="832" customFormat="false" ht="15" hidden="false" customHeight="false" outlineLevel="0" collapsed="false">
      <c r="B832" s="19" t="s">
        <v>8866</v>
      </c>
      <c r="C832" s="20" t="n">
        <f aca="false">ROUND(15/FX,2)</f>
        <v>2.08</v>
      </c>
      <c r="D832" s="21" t="s">
        <v>6549</v>
      </c>
      <c r="E832" s="21" t="s">
        <v>8168</v>
      </c>
      <c r="F832" s="21" t="s">
        <v>734</v>
      </c>
      <c r="G832" s="21" t="s">
        <v>8055</v>
      </c>
      <c r="H832" s="21" t="s">
        <v>8169</v>
      </c>
      <c r="I832" s="21" t="s">
        <v>8612</v>
      </c>
    </row>
    <row r="833" customFormat="false" ht="15" hidden="false" customHeight="false" outlineLevel="0" collapsed="false">
      <c r="B833" s="19" t="s">
        <v>8867</v>
      </c>
      <c r="C833" s="20" t="n">
        <f aca="false">ROUND(15/FX,2)</f>
        <v>2.08</v>
      </c>
      <c r="D833" s="21" t="s">
        <v>6549</v>
      </c>
      <c r="E833" s="21" t="s">
        <v>8168</v>
      </c>
      <c r="F833" s="21" t="s">
        <v>734</v>
      </c>
      <c r="G833" s="21" t="s">
        <v>8055</v>
      </c>
      <c r="H833" s="21" t="s">
        <v>8169</v>
      </c>
      <c r="I833" s="21" t="s">
        <v>8868</v>
      </c>
    </row>
    <row r="834" customFormat="false" ht="15" hidden="false" customHeight="false" outlineLevel="0" collapsed="false">
      <c r="B834" s="19" t="s">
        <v>8869</v>
      </c>
      <c r="C834" s="20" t="n">
        <f aca="false">ROUND(15/FX,2)</f>
        <v>2.08</v>
      </c>
      <c r="D834" s="21" t="s">
        <v>6549</v>
      </c>
      <c r="E834" s="21" t="s">
        <v>8168</v>
      </c>
      <c r="F834" s="21" t="s">
        <v>734</v>
      </c>
      <c r="G834" s="21" t="s">
        <v>8055</v>
      </c>
      <c r="H834" s="21" t="s">
        <v>8169</v>
      </c>
      <c r="I834" s="21" t="s">
        <v>8870</v>
      </c>
    </row>
    <row r="835" customFormat="false" ht="15" hidden="false" customHeight="false" outlineLevel="0" collapsed="false">
      <c r="B835" s="19" t="s">
        <v>8871</v>
      </c>
      <c r="C835" s="20" t="n">
        <f aca="false">ROUND(15/FX,2)</f>
        <v>2.08</v>
      </c>
      <c r="D835" s="21" t="s">
        <v>6549</v>
      </c>
      <c r="E835" s="21" t="s">
        <v>8168</v>
      </c>
      <c r="F835" s="21" t="s">
        <v>734</v>
      </c>
      <c r="G835" s="21" t="s">
        <v>8055</v>
      </c>
      <c r="H835" s="21" t="s">
        <v>8169</v>
      </c>
      <c r="I835" s="21" t="s">
        <v>8872</v>
      </c>
    </row>
    <row r="836" customFormat="false" ht="15" hidden="false" customHeight="false" outlineLevel="0" collapsed="false">
      <c r="B836" s="19" t="s">
        <v>8873</v>
      </c>
      <c r="C836" s="20" t="n">
        <f aca="false">ROUND(15/FX,2)</f>
        <v>2.08</v>
      </c>
      <c r="D836" s="21" t="s">
        <v>6549</v>
      </c>
      <c r="E836" s="21" t="s">
        <v>8168</v>
      </c>
      <c r="F836" s="21" t="s">
        <v>734</v>
      </c>
      <c r="G836" s="21" t="s">
        <v>8055</v>
      </c>
      <c r="H836" s="21" t="s">
        <v>8169</v>
      </c>
      <c r="I836" s="21" t="s">
        <v>8874</v>
      </c>
    </row>
    <row r="837" customFormat="false" ht="15" hidden="false" customHeight="false" outlineLevel="0" collapsed="false">
      <c r="B837" s="19" t="s">
        <v>8875</v>
      </c>
      <c r="C837" s="20" t="n">
        <f aca="false">ROUND(15/FX,2)</f>
        <v>2.08</v>
      </c>
      <c r="D837" s="21" t="s">
        <v>6549</v>
      </c>
      <c r="E837" s="21" t="s">
        <v>8168</v>
      </c>
      <c r="F837" s="21" t="s">
        <v>734</v>
      </c>
      <c r="G837" s="21" t="s">
        <v>8055</v>
      </c>
      <c r="H837" s="21" t="s">
        <v>8169</v>
      </c>
      <c r="I837" s="21" t="s">
        <v>7827</v>
      </c>
    </row>
    <row r="838" customFormat="false" ht="15" hidden="false" customHeight="false" outlineLevel="0" collapsed="false">
      <c r="B838" s="19" t="s">
        <v>8876</v>
      </c>
      <c r="C838" s="20" t="n">
        <f aca="false">ROUND(15/FX,2)</f>
        <v>2.08</v>
      </c>
      <c r="D838" s="21" t="s">
        <v>6549</v>
      </c>
      <c r="E838" s="21" t="s">
        <v>8168</v>
      </c>
      <c r="F838" s="21" t="s">
        <v>734</v>
      </c>
      <c r="G838" s="21" t="s">
        <v>8055</v>
      </c>
      <c r="H838" s="21" t="s">
        <v>8169</v>
      </c>
      <c r="I838" s="21" t="s">
        <v>7853</v>
      </c>
    </row>
    <row r="839" customFormat="false" ht="15" hidden="false" customHeight="false" outlineLevel="0" collapsed="false">
      <c r="B839" s="19" t="s">
        <v>8877</v>
      </c>
      <c r="C839" s="20" t="n">
        <f aca="false">ROUND(15/FX,2)</f>
        <v>2.08</v>
      </c>
      <c r="D839" s="21" t="s">
        <v>6549</v>
      </c>
      <c r="E839" s="21" t="s">
        <v>8168</v>
      </c>
      <c r="F839" s="21" t="s">
        <v>734</v>
      </c>
      <c r="G839" s="21" t="s">
        <v>8055</v>
      </c>
      <c r="H839" s="21" t="s">
        <v>8169</v>
      </c>
      <c r="I839" s="21" t="s">
        <v>7869</v>
      </c>
    </row>
    <row r="840" customFormat="false" ht="15" hidden="false" customHeight="false" outlineLevel="0" collapsed="false">
      <c r="B840" s="19" t="s">
        <v>8878</v>
      </c>
      <c r="C840" s="20" t="n">
        <f aca="false">ROUND(15/FX,2)</f>
        <v>2.08</v>
      </c>
      <c r="D840" s="21" t="s">
        <v>6549</v>
      </c>
      <c r="E840" s="21" t="s">
        <v>8168</v>
      </c>
      <c r="F840" s="21" t="s">
        <v>734</v>
      </c>
      <c r="G840" s="21" t="s">
        <v>8055</v>
      </c>
      <c r="H840" s="21" t="s">
        <v>8169</v>
      </c>
      <c r="I840" s="21" t="s">
        <v>7855</v>
      </c>
    </row>
    <row r="841" customFormat="false" ht="15" hidden="false" customHeight="false" outlineLevel="0" collapsed="false">
      <c r="B841" s="19" t="s">
        <v>8879</v>
      </c>
      <c r="C841" s="20" t="n">
        <f aca="false">ROUND(15/FX,2)</f>
        <v>2.08</v>
      </c>
      <c r="D841" s="21" t="s">
        <v>6549</v>
      </c>
      <c r="E841" s="21" t="s">
        <v>8168</v>
      </c>
      <c r="F841" s="21" t="s">
        <v>734</v>
      </c>
      <c r="G841" s="21" t="s">
        <v>8055</v>
      </c>
      <c r="H841" s="21" t="s">
        <v>8169</v>
      </c>
      <c r="I841" s="21" t="s">
        <v>8255</v>
      </c>
    </row>
    <row r="842" customFormat="false" ht="15" hidden="false" customHeight="false" outlineLevel="0" collapsed="false">
      <c r="B842" s="19" t="s">
        <v>8880</v>
      </c>
      <c r="C842" s="20" t="n">
        <f aca="false">ROUND(15/FX,2)</f>
        <v>2.08</v>
      </c>
      <c r="D842" s="21" t="s">
        <v>6549</v>
      </c>
      <c r="E842" s="21" t="s">
        <v>8168</v>
      </c>
      <c r="F842" s="21" t="s">
        <v>734</v>
      </c>
      <c r="G842" s="21" t="s">
        <v>8055</v>
      </c>
      <c r="H842" s="21" t="s">
        <v>8169</v>
      </c>
      <c r="I842" s="21" t="s">
        <v>7933</v>
      </c>
    </row>
    <row r="843" customFormat="false" ht="15" hidden="false" customHeight="false" outlineLevel="0" collapsed="false">
      <c r="B843" s="19" t="s">
        <v>8881</v>
      </c>
      <c r="C843" s="20" t="n">
        <f aca="false">ROUND(15/FX,2)</f>
        <v>2.08</v>
      </c>
      <c r="D843" s="21" t="s">
        <v>6549</v>
      </c>
      <c r="E843" s="21" t="s">
        <v>8168</v>
      </c>
      <c r="F843" s="21" t="s">
        <v>734</v>
      </c>
      <c r="G843" s="21" t="s">
        <v>8055</v>
      </c>
      <c r="H843" s="21" t="s">
        <v>8169</v>
      </c>
      <c r="I843" s="21" t="s">
        <v>8263</v>
      </c>
    </row>
    <row r="844" customFormat="false" ht="15" hidden="false" customHeight="false" outlineLevel="0" collapsed="false">
      <c r="B844" s="19" t="s">
        <v>8882</v>
      </c>
      <c r="C844" s="20" t="n">
        <f aca="false">ROUND(15/FX,2)</f>
        <v>2.08</v>
      </c>
      <c r="D844" s="21" t="s">
        <v>6549</v>
      </c>
      <c r="E844" s="21" t="s">
        <v>8168</v>
      </c>
      <c r="F844" s="21" t="s">
        <v>734</v>
      </c>
      <c r="G844" s="21" t="s">
        <v>8055</v>
      </c>
      <c r="H844" s="21" t="s">
        <v>8169</v>
      </c>
      <c r="I844" s="21" t="s">
        <v>7935</v>
      </c>
    </row>
    <row r="845" customFormat="false" ht="15" hidden="false" customHeight="false" outlineLevel="0" collapsed="false">
      <c r="B845" s="19" t="s">
        <v>8883</v>
      </c>
      <c r="C845" s="20" t="n">
        <f aca="false">ROUND(9.75/FX,2)</f>
        <v>1.35</v>
      </c>
      <c r="D845" s="21" t="s">
        <v>6549</v>
      </c>
      <c r="E845" s="21" t="s">
        <v>8168</v>
      </c>
      <c r="F845" s="21" t="s">
        <v>734</v>
      </c>
      <c r="G845" s="21" t="s">
        <v>8055</v>
      </c>
      <c r="H845" s="21" t="s">
        <v>8169</v>
      </c>
      <c r="I845" s="21" t="s">
        <v>7881</v>
      </c>
    </row>
    <row r="846" customFormat="false" ht="15" hidden="false" customHeight="false" outlineLevel="0" collapsed="false">
      <c r="B846" s="19" t="s">
        <v>8884</v>
      </c>
      <c r="C846" s="20" t="n">
        <f aca="false">ROUND(15/FX,2)</f>
        <v>2.08</v>
      </c>
      <c r="D846" s="21" t="s">
        <v>6549</v>
      </c>
      <c r="E846" s="21" t="s">
        <v>8168</v>
      </c>
      <c r="F846" s="21" t="s">
        <v>734</v>
      </c>
      <c r="G846" s="21" t="s">
        <v>8055</v>
      </c>
      <c r="H846" s="21" t="s">
        <v>8169</v>
      </c>
      <c r="I846" s="21" t="s">
        <v>8623</v>
      </c>
    </row>
    <row r="847" customFormat="false" ht="15" hidden="false" customHeight="false" outlineLevel="0" collapsed="false">
      <c r="B847" s="19" t="s">
        <v>8885</v>
      </c>
      <c r="C847" s="20" t="n">
        <f aca="false">ROUND(15/FX,2)</f>
        <v>2.08</v>
      </c>
      <c r="D847" s="21" t="s">
        <v>6549</v>
      </c>
      <c r="E847" s="21" t="s">
        <v>8168</v>
      </c>
      <c r="F847" s="21" t="s">
        <v>734</v>
      </c>
      <c r="G847" s="21" t="s">
        <v>8055</v>
      </c>
      <c r="H847" s="21" t="s">
        <v>8169</v>
      </c>
      <c r="I847" s="21" t="s">
        <v>7989</v>
      </c>
    </row>
    <row r="848" customFormat="false" ht="15" hidden="false" customHeight="false" outlineLevel="0" collapsed="false">
      <c r="B848" s="19" t="s">
        <v>8886</v>
      </c>
      <c r="C848" s="20" t="n">
        <f aca="false">ROUND(15/FX,2)</f>
        <v>2.08</v>
      </c>
      <c r="D848" s="21" t="s">
        <v>6549</v>
      </c>
      <c r="E848" s="21" t="s">
        <v>8168</v>
      </c>
      <c r="F848" s="21" t="s">
        <v>734</v>
      </c>
      <c r="G848" s="21" t="s">
        <v>8055</v>
      </c>
      <c r="H848" s="21" t="s">
        <v>8169</v>
      </c>
      <c r="I848" s="21" t="s">
        <v>8626</v>
      </c>
    </row>
    <row r="849" customFormat="false" ht="15" hidden="false" customHeight="false" outlineLevel="0" collapsed="false">
      <c r="B849" s="19" t="s">
        <v>8887</v>
      </c>
      <c r="C849" s="20" t="n">
        <f aca="false">ROUND(15/FX,2)</f>
        <v>2.08</v>
      </c>
      <c r="D849" s="21" t="s">
        <v>6549</v>
      </c>
      <c r="E849" s="21" t="s">
        <v>8168</v>
      </c>
      <c r="F849" s="21" t="s">
        <v>734</v>
      </c>
      <c r="G849" s="21" t="s">
        <v>8055</v>
      </c>
      <c r="H849" s="21" t="s">
        <v>8169</v>
      </c>
      <c r="I849" s="21" t="s">
        <v>8888</v>
      </c>
    </row>
    <row r="850" customFormat="false" ht="15" hidden="false" customHeight="false" outlineLevel="0" collapsed="false">
      <c r="B850" s="19" t="s">
        <v>8889</v>
      </c>
      <c r="C850" s="20" t="n">
        <f aca="false">ROUND(15/FX,2)</f>
        <v>2.08</v>
      </c>
      <c r="D850" s="21" t="s">
        <v>6549</v>
      </c>
      <c r="E850" s="21" t="s">
        <v>8168</v>
      </c>
      <c r="F850" s="21" t="s">
        <v>734</v>
      </c>
      <c r="G850" s="21" t="s">
        <v>8055</v>
      </c>
      <c r="H850" s="21" t="s">
        <v>8169</v>
      </c>
      <c r="I850" s="21" t="s">
        <v>8050</v>
      </c>
    </row>
    <row r="851" customFormat="false" ht="15" hidden="false" customHeight="false" outlineLevel="0" collapsed="false">
      <c r="B851" s="19" t="s">
        <v>8890</v>
      </c>
      <c r="C851" s="20" t="n">
        <f aca="false">ROUND(15/FX,2)</f>
        <v>2.08</v>
      </c>
      <c r="D851" s="21" t="s">
        <v>6549</v>
      </c>
      <c r="E851" s="21" t="s">
        <v>8168</v>
      </c>
      <c r="F851" s="21" t="s">
        <v>734</v>
      </c>
      <c r="G851" s="21" t="s">
        <v>8055</v>
      </c>
      <c r="H851" s="21" t="s">
        <v>8169</v>
      </c>
      <c r="I851" s="21" t="s">
        <v>8891</v>
      </c>
    </row>
    <row r="852" customFormat="false" ht="15" hidden="false" customHeight="false" outlineLevel="0" collapsed="false">
      <c r="B852" s="19" t="s">
        <v>8892</v>
      </c>
      <c r="C852" s="20" t="n">
        <f aca="false">ROUND(15/FX,2)</f>
        <v>2.08</v>
      </c>
      <c r="D852" s="21" t="s">
        <v>6549</v>
      </c>
      <c r="E852" s="21" t="s">
        <v>8168</v>
      </c>
      <c r="F852" s="21" t="s">
        <v>734</v>
      </c>
      <c r="G852" s="21" t="s">
        <v>8055</v>
      </c>
      <c r="H852" s="21" t="s">
        <v>8169</v>
      </c>
      <c r="I852" s="21" t="s">
        <v>8094</v>
      </c>
    </row>
    <row r="853" customFormat="false" ht="15" hidden="false" customHeight="false" outlineLevel="0" collapsed="false">
      <c r="B853" s="19" t="s">
        <v>8893</v>
      </c>
      <c r="C853" s="20" t="n">
        <f aca="false">ROUND(14.3/FX,2)</f>
        <v>1.99</v>
      </c>
      <c r="D853" s="21" t="s">
        <v>6549</v>
      </c>
      <c r="E853" s="21" t="s">
        <v>8168</v>
      </c>
      <c r="F853" s="21" t="s">
        <v>734</v>
      </c>
      <c r="G853" s="21" t="s">
        <v>8055</v>
      </c>
      <c r="H853" s="21" t="s">
        <v>8169</v>
      </c>
      <c r="I853" s="21" t="s">
        <v>7829</v>
      </c>
    </row>
    <row r="854" customFormat="false" ht="15" hidden="false" customHeight="false" outlineLevel="0" collapsed="false">
      <c r="B854" s="19" t="s">
        <v>8894</v>
      </c>
      <c r="C854" s="20" t="n">
        <f aca="false">ROUND(15/FX,2)</f>
        <v>2.08</v>
      </c>
      <c r="D854" s="21" t="s">
        <v>6549</v>
      </c>
      <c r="E854" s="21" t="s">
        <v>8168</v>
      </c>
      <c r="F854" s="21" t="s">
        <v>734</v>
      </c>
      <c r="G854" s="21" t="s">
        <v>8055</v>
      </c>
      <c r="H854" s="21" t="s">
        <v>8169</v>
      </c>
      <c r="I854" s="21" t="s">
        <v>7831</v>
      </c>
    </row>
    <row r="855" customFormat="false" ht="15" hidden="false" customHeight="false" outlineLevel="0" collapsed="false">
      <c r="B855" s="19" t="s">
        <v>8895</v>
      </c>
      <c r="C855" s="20" t="n">
        <f aca="false">ROUND(15/FX,2)</f>
        <v>2.08</v>
      </c>
      <c r="D855" s="21" t="s">
        <v>6549</v>
      </c>
      <c r="E855" s="21" t="s">
        <v>8168</v>
      </c>
      <c r="F855" s="21" t="s">
        <v>734</v>
      </c>
      <c r="G855" s="21" t="s">
        <v>8055</v>
      </c>
      <c r="H855" s="21" t="s">
        <v>8169</v>
      </c>
      <c r="I855" s="21" t="s">
        <v>7944</v>
      </c>
    </row>
    <row r="856" customFormat="false" ht="15" hidden="false" customHeight="false" outlineLevel="0" collapsed="false">
      <c r="B856" s="19" t="s">
        <v>8896</v>
      </c>
      <c r="C856" s="20" t="n">
        <f aca="false">ROUND(15/FX,2)</f>
        <v>2.08</v>
      </c>
      <c r="D856" s="21" t="s">
        <v>6549</v>
      </c>
      <c r="E856" s="21" t="s">
        <v>8168</v>
      </c>
      <c r="F856" s="21" t="s">
        <v>734</v>
      </c>
      <c r="G856" s="21" t="s">
        <v>8055</v>
      </c>
      <c r="H856" s="21" t="s">
        <v>8169</v>
      </c>
      <c r="I856" s="21" t="s">
        <v>7946</v>
      </c>
    </row>
    <row r="857" customFormat="false" ht="15" hidden="false" customHeight="false" outlineLevel="0" collapsed="false">
      <c r="B857" s="19" t="s">
        <v>8897</v>
      </c>
      <c r="C857" s="20" t="n">
        <f aca="false">ROUND(15/FX,2)</f>
        <v>2.08</v>
      </c>
      <c r="D857" s="21" t="s">
        <v>6549</v>
      </c>
      <c r="E857" s="21" t="s">
        <v>8168</v>
      </c>
      <c r="F857" s="21" t="s">
        <v>734</v>
      </c>
      <c r="G857" s="21" t="s">
        <v>8055</v>
      </c>
      <c r="H857" s="21" t="s">
        <v>8169</v>
      </c>
      <c r="I857" s="21" t="s">
        <v>7833</v>
      </c>
    </row>
    <row r="858" customFormat="false" ht="15" hidden="false" customHeight="false" outlineLevel="0" collapsed="false">
      <c r="B858" s="19" t="s">
        <v>8898</v>
      </c>
      <c r="C858" s="20" t="n">
        <f aca="false">ROUND(15/FX,2)</f>
        <v>2.08</v>
      </c>
      <c r="D858" s="21" t="s">
        <v>6549</v>
      </c>
      <c r="E858" s="21" t="s">
        <v>8168</v>
      </c>
      <c r="F858" s="21" t="s">
        <v>734</v>
      </c>
      <c r="G858" s="21" t="s">
        <v>8055</v>
      </c>
      <c r="H858" s="21" t="s">
        <v>8169</v>
      </c>
      <c r="I858" s="21" t="s">
        <v>8294</v>
      </c>
    </row>
    <row r="859" customFormat="false" ht="15" hidden="false" customHeight="false" outlineLevel="0" collapsed="false">
      <c r="B859" s="19" t="s">
        <v>8899</v>
      </c>
      <c r="C859" s="20" t="n">
        <f aca="false">ROUND(15/FX,2)</f>
        <v>2.08</v>
      </c>
      <c r="D859" s="21" t="s">
        <v>6549</v>
      </c>
      <c r="E859" s="21" t="s">
        <v>8168</v>
      </c>
      <c r="F859" s="21" t="s">
        <v>734</v>
      </c>
      <c r="G859" s="21" t="s">
        <v>8055</v>
      </c>
      <c r="H859" s="21" t="s">
        <v>8169</v>
      </c>
      <c r="I859" s="21" t="s">
        <v>7951</v>
      </c>
    </row>
    <row r="860" customFormat="false" ht="15" hidden="false" customHeight="false" outlineLevel="0" collapsed="false">
      <c r="B860" s="19" t="s">
        <v>8900</v>
      </c>
      <c r="C860" s="20" t="n">
        <f aca="false">ROUND(15/FX,2)</f>
        <v>2.08</v>
      </c>
      <c r="D860" s="21" t="s">
        <v>6549</v>
      </c>
      <c r="E860" s="21" t="s">
        <v>8168</v>
      </c>
      <c r="F860" s="21" t="s">
        <v>734</v>
      </c>
      <c r="G860" s="21" t="s">
        <v>8055</v>
      </c>
      <c r="H860" s="21" t="s">
        <v>8169</v>
      </c>
      <c r="I860" s="21" t="s">
        <v>7891</v>
      </c>
    </row>
    <row r="861" customFormat="false" ht="15" hidden="false" customHeight="false" outlineLevel="0" collapsed="false">
      <c r="B861" s="19" t="s">
        <v>8901</v>
      </c>
      <c r="C861" s="20" t="n">
        <f aca="false">ROUND(15/FX,2)</f>
        <v>2.08</v>
      </c>
      <c r="D861" s="21" t="s">
        <v>6549</v>
      </c>
      <c r="E861" s="21" t="s">
        <v>8168</v>
      </c>
      <c r="F861" s="21" t="s">
        <v>734</v>
      </c>
      <c r="G861" s="21" t="s">
        <v>8055</v>
      </c>
      <c r="H861" s="21" t="s">
        <v>8169</v>
      </c>
      <c r="I861" s="21" t="s">
        <v>8636</v>
      </c>
    </row>
    <row r="862" customFormat="false" ht="15" hidden="false" customHeight="false" outlineLevel="0" collapsed="false">
      <c r="B862" s="19" t="s">
        <v>8902</v>
      </c>
      <c r="C862" s="20" t="n">
        <f aca="false">ROUND(15/FX,2)</f>
        <v>2.08</v>
      </c>
      <c r="D862" s="21" t="s">
        <v>6549</v>
      </c>
      <c r="E862" s="21" t="s">
        <v>8168</v>
      </c>
      <c r="F862" s="21" t="s">
        <v>734</v>
      </c>
      <c r="G862" s="21" t="s">
        <v>8055</v>
      </c>
      <c r="H862" s="21" t="s">
        <v>8169</v>
      </c>
      <c r="I862" s="21" t="s">
        <v>7992</v>
      </c>
    </row>
    <row r="863" customFormat="false" ht="15" hidden="false" customHeight="false" outlineLevel="0" collapsed="false">
      <c r="B863" s="19" t="s">
        <v>8903</v>
      </c>
      <c r="C863" s="20" t="n">
        <f aca="false">ROUND(15/FX,2)</f>
        <v>2.08</v>
      </c>
      <c r="D863" s="21" t="s">
        <v>6549</v>
      </c>
      <c r="E863" s="21" t="s">
        <v>8168</v>
      </c>
      <c r="F863" s="21" t="s">
        <v>734</v>
      </c>
      <c r="G863" s="21" t="s">
        <v>8055</v>
      </c>
      <c r="H863" s="21" t="s">
        <v>8169</v>
      </c>
      <c r="I863" s="21" t="s">
        <v>8099</v>
      </c>
    </row>
    <row r="864" customFormat="false" ht="15" hidden="false" customHeight="false" outlineLevel="0" collapsed="false">
      <c r="B864" s="19" t="s">
        <v>8904</v>
      </c>
      <c r="C864" s="20" t="n">
        <f aca="false">ROUND(15/FX,2)</f>
        <v>2.08</v>
      </c>
      <c r="D864" s="21" t="s">
        <v>6549</v>
      </c>
      <c r="E864" s="21" t="s">
        <v>8168</v>
      </c>
      <c r="F864" s="21" t="s">
        <v>734</v>
      </c>
      <c r="G864" s="21" t="s">
        <v>8055</v>
      </c>
      <c r="H864" s="21" t="s">
        <v>8169</v>
      </c>
      <c r="I864" s="21" t="s">
        <v>8905</v>
      </c>
    </row>
    <row r="865" customFormat="false" ht="15" hidden="false" customHeight="false" outlineLevel="0" collapsed="false">
      <c r="B865" s="19" t="s">
        <v>8906</v>
      </c>
      <c r="C865" s="20" t="n">
        <f aca="false">ROUND(15/FX,2)</f>
        <v>2.08</v>
      </c>
      <c r="D865" s="21" t="s">
        <v>6549</v>
      </c>
      <c r="E865" s="21" t="s">
        <v>8168</v>
      </c>
      <c r="F865" s="21" t="s">
        <v>734</v>
      </c>
      <c r="G865" s="21" t="s">
        <v>8055</v>
      </c>
      <c r="H865" s="21" t="s">
        <v>8169</v>
      </c>
      <c r="I865" s="21" t="s">
        <v>8750</v>
      </c>
    </row>
    <row r="866" customFormat="false" ht="15" hidden="false" customHeight="false" outlineLevel="0" collapsed="false">
      <c r="B866" s="19" t="s">
        <v>8907</v>
      </c>
      <c r="C866" s="20" t="n">
        <f aca="false">ROUND(15/FX,2)</f>
        <v>2.08</v>
      </c>
      <c r="D866" s="21" t="s">
        <v>6549</v>
      </c>
      <c r="E866" s="21" t="s">
        <v>8168</v>
      </c>
      <c r="F866" s="21" t="s">
        <v>734</v>
      </c>
      <c r="G866" s="21" t="s">
        <v>8055</v>
      </c>
      <c r="H866" s="21" t="s">
        <v>8169</v>
      </c>
      <c r="I866" s="21" t="s">
        <v>8908</v>
      </c>
    </row>
    <row r="867" customFormat="false" ht="15" hidden="false" customHeight="false" outlineLevel="0" collapsed="false">
      <c r="B867" s="19" t="s">
        <v>8909</v>
      </c>
      <c r="C867" s="20" t="n">
        <f aca="false">ROUND(15/FX,2)</f>
        <v>2.08</v>
      </c>
      <c r="D867" s="21" t="s">
        <v>6549</v>
      </c>
      <c r="E867" s="21" t="s">
        <v>8168</v>
      </c>
      <c r="F867" s="21" t="s">
        <v>734</v>
      </c>
      <c r="G867" s="21" t="s">
        <v>8055</v>
      </c>
      <c r="H867" s="21" t="s">
        <v>8169</v>
      </c>
      <c r="I867" s="21" t="s">
        <v>8101</v>
      </c>
    </row>
    <row r="868" customFormat="false" ht="15" hidden="false" customHeight="false" outlineLevel="0" collapsed="false">
      <c r="B868" s="19" t="s">
        <v>8910</v>
      </c>
      <c r="C868" s="20" t="n">
        <f aca="false">ROUND(15/FX,2)</f>
        <v>2.08</v>
      </c>
      <c r="D868" s="21" t="s">
        <v>6549</v>
      </c>
      <c r="E868" s="21" t="s">
        <v>8168</v>
      </c>
      <c r="F868" s="21" t="s">
        <v>734</v>
      </c>
      <c r="G868" s="21" t="s">
        <v>8055</v>
      </c>
      <c r="H868" s="21" t="s">
        <v>8169</v>
      </c>
      <c r="I868" s="21" t="s">
        <v>7860</v>
      </c>
    </row>
    <row r="869" customFormat="false" ht="15" hidden="false" customHeight="false" outlineLevel="0" collapsed="false">
      <c r="B869" s="19" t="s">
        <v>8911</v>
      </c>
      <c r="C869" s="20" t="n">
        <f aca="false">ROUND(15/FX,2)</f>
        <v>2.08</v>
      </c>
      <c r="D869" s="21" t="s">
        <v>6549</v>
      </c>
      <c r="E869" s="21" t="s">
        <v>8168</v>
      </c>
      <c r="F869" s="21" t="s">
        <v>734</v>
      </c>
      <c r="G869" s="21" t="s">
        <v>8055</v>
      </c>
      <c r="H869" s="21" t="s">
        <v>8169</v>
      </c>
      <c r="I869" s="21" t="s">
        <v>8310</v>
      </c>
    </row>
    <row r="870" customFormat="false" ht="15" hidden="false" customHeight="false" outlineLevel="0" collapsed="false">
      <c r="B870" s="19" t="s">
        <v>8912</v>
      </c>
      <c r="C870" s="20" t="n">
        <f aca="false">ROUND(15/FX,2)</f>
        <v>2.08</v>
      </c>
      <c r="D870" s="21" t="s">
        <v>6549</v>
      </c>
      <c r="E870" s="21" t="s">
        <v>8168</v>
      </c>
      <c r="F870" s="21" t="s">
        <v>734</v>
      </c>
      <c r="G870" s="21" t="s">
        <v>8055</v>
      </c>
      <c r="H870" s="21" t="s">
        <v>8169</v>
      </c>
      <c r="I870" s="21" t="s">
        <v>7893</v>
      </c>
    </row>
    <row r="871" customFormat="false" ht="15" hidden="false" customHeight="false" outlineLevel="0" collapsed="false">
      <c r="B871" s="19" t="s">
        <v>8913</v>
      </c>
      <c r="C871" s="20" t="n">
        <f aca="false">ROUND(15/FX,2)</f>
        <v>2.08</v>
      </c>
      <c r="D871" s="21" t="s">
        <v>6549</v>
      </c>
      <c r="E871" s="21" t="s">
        <v>8168</v>
      </c>
      <c r="F871" s="21" t="s">
        <v>734</v>
      </c>
      <c r="G871" s="21" t="s">
        <v>8055</v>
      </c>
      <c r="H871" s="21" t="s">
        <v>8169</v>
      </c>
      <c r="I871" s="21" t="s">
        <v>8320</v>
      </c>
    </row>
    <row r="872" customFormat="false" ht="15" hidden="false" customHeight="false" outlineLevel="0" collapsed="false">
      <c r="B872" s="19" t="s">
        <v>8914</v>
      </c>
      <c r="C872" s="20" t="n">
        <f aca="false">ROUND(15/FX,2)</f>
        <v>2.08</v>
      </c>
      <c r="D872" s="21" t="s">
        <v>6549</v>
      </c>
      <c r="E872" s="21" t="s">
        <v>8168</v>
      </c>
      <c r="F872" s="21" t="s">
        <v>734</v>
      </c>
      <c r="G872" s="21" t="s">
        <v>8055</v>
      </c>
      <c r="H872" s="21" t="s">
        <v>8169</v>
      </c>
      <c r="I872" s="21" t="s">
        <v>7956</v>
      </c>
    </row>
    <row r="873" customFormat="false" ht="15" hidden="false" customHeight="false" outlineLevel="0" collapsed="false">
      <c r="B873" s="19" t="s">
        <v>8915</v>
      </c>
      <c r="C873" s="20" t="n">
        <f aca="false">ROUND(15/FX,2)</f>
        <v>2.08</v>
      </c>
      <c r="D873" s="21" t="s">
        <v>6549</v>
      </c>
      <c r="E873" s="21" t="s">
        <v>8168</v>
      </c>
      <c r="F873" s="21" t="s">
        <v>734</v>
      </c>
      <c r="G873" s="21" t="s">
        <v>8055</v>
      </c>
      <c r="H873" s="21" t="s">
        <v>8169</v>
      </c>
      <c r="I873" s="21" t="s">
        <v>7895</v>
      </c>
    </row>
    <row r="874" customFormat="false" ht="15" hidden="false" customHeight="false" outlineLevel="0" collapsed="false">
      <c r="B874" s="19" t="s">
        <v>8916</v>
      </c>
      <c r="C874" s="20" t="n">
        <f aca="false">ROUND(15/FX,2)</f>
        <v>2.08</v>
      </c>
      <c r="D874" s="21" t="s">
        <v>6549</v>
      </c>
      <c r="E874" s="21" t="s">
        <v>8168</v>
      </c>
      <c r="F874" s="21" t="s">
        <v>734</v>
      </c>
      <c r="G874" s="21" t="s">
        <v>8055</v>
      </c>
      <c r="H874" s="21" t="s">
        <v>8169</v>
      </c>
      <c r="I874" s="21" t="s">
        <v>8646</v>
      </c>
    </row>
    <row r="875" customFormat="false" ht="15" hidden="false" customHeight="false" outlineLevel="0" collapsed="false">
      <c r="B875" s="19" t="s">
        <v>8917</v>
      </c>
      <c r="C875" s="20" t="n">
        <f aca="false">ROUND(15/FX,2)</f>
        <v>2.08</v>
      </c>
      <c r="D875" s="21" t="s">
        <v>6549</v>
      </c>
      <c r="E875" s="21" t="s">
        <v>8168</v>
      </c>
      <c r="F875" s="21" t="s">
        <v>734</v>
      </c>
      <c r="G875" s="21" t="s">
        <v>8055</v>
      </c>
      <c r="H875" s="21" t="s">
        <v>8169</v>
      </c>
      <c r="I875" s="21" t="s">
        <v>8035</v>
      </c>
    </row>
    <row r="876" customFormat="false" ht="15" hidden="false" customHeight="false" outlineLevel="0" collapsed="false">
      <c r="B876" s="19" t="s">
        <v>8918</v>
      </c>
      <c r="C876" s="20" t="n">
        <f aca="false">ROUND(15/FX,2)</f>
        <v>2.08</v>
      </c>
      <c r="D876" s="21" t="s">
        <v>6549</v>
      </c>
      <c r="E876" s="21" t="s">
        <v>8168</v>
      </c>
      <c r="F876" s="21" t="s">
        <v>734</v>
      </c>
      <c r="G876" s="21" t="s">
        <v>8055</v>
      </c>
      <c r="H876" s="21" t="s">
        <v>8169</v>
      </c>
      <c r="I876" s="21" t="s">
        <v>8104</v>
      </c>
    </row>
    <row r="877" customFormat="false" ht="15" hidden="false" customHeight="false" outlineLevel="0" collapsed="false">
      <c r="B877" s="19" t="s">
        <v>8919</v>
      </c>
      <c r="C877" s="20" t="n">
        <f aca="false">ROUND(15/FX,2)</f>
        <v>2.08</v>
      </c>
      <c r="D877" s="21" t="s">
        <v>6549</v>
      </c>
      <c r="E877" s="21" t="s">
        <v>8168</v>
      </c>
      <c r="F877" s="21" t="s">
        <v>734</v>
      </c>
      <c r="G877" s="21" t="s">
        <v>8055</v>
      </c>
      <c r="H877" s="21" t="s">
        <v>8169</v>
      </c>
      <c r="I877" s="21" t="s">
        <v>8920</v>
      </c>
    </row>
    <row r="878" customFormat="false" ht="15" hidden="false" customHeight="false" outlineLevel="0" collapsed="false">
      <c r="B878" s="19" t="s">
        <v>8921</v>
      </c>
      <c r="C878" s="20" t="n">
        <f aca="false">ROUND(15/FX,2)</f>
        <v>2.08</v>
      </c>
      <c r="D878" s="21" t="s">
        <v>6549</v>
      </c>
      <c r="E878" s="21" t="s">
        <v>8168</v>
      </c>
      <c r="F878" s="21" t="s">
        <v>734</v>
      </c>
      <c r="G878" s="21" t="s">
        <v>8055</v>
      </c>
      <c r="H878" s="21" t="s">
        <v>8169</v>
      </c>
      <c r="I878" s="21" t="s">
        <v>8761</v>
      </c>
    </row>
    <row r="879" customFormat="false" ht="15" hidden="false" customHeight="false" outlineLevel="0" collapsed="false">
      <c r="B879" s="19" t="s">
        <v>8922</v>
      </c>
      <c r="C879" s="20" t="n">
        <f aca="false">ROUND(15/FX,2)</f>
        <v>2.08</v>
      </c>
      <c r="D879" s="21" t="s">
        <v>6549</v>
      </c>
      <c r="E879" s="21" t="s">
        <v>8168</v>
      </c>
      <c r="F879" s="21" t="s">
        <v>734</v>
      </c>
      <c r="G879" s="21" t="s">
        <v>8055</v>
      </c>
      <c r="H879" s="21" t="s">
        <v>8169</v>
      </c>
      <c r="I879" s="21" t="s">
        <v>8923</v>
      </c>
    </row>
    <row r="880" customFormat="false" ht="15" hidden="false" customHeight="false" outlineLevel="0" collapsed="false">
      <c r="B880" s="19" t="s">
        <v>8924</v>
      </c>
      <c r="C880" s="20" t="n">
        <f aca="false">ROUND(15/FX,2)</f>
        <v>2.08</v>
      </c>
      <c r="D880" s="21" t="s">
        <v>6549</v>
      </c>
      <c r="E880" s="21" t="s">
        <v>8168</v>
      </c>
      <c r="F880" s="21" t="s">
        <v>734</v>
      </c>
      <c r="G880" s="21" t="s">
        <v>8055</v>
      </c>
      <c r="H880" s="21" t="s">
        <v>8169</v>
      </c>
      <c r="I880" s="21" t="s">
        <v>8763</v>
      </c>
    </row>
    <row r="881" customFormat="false" ht="15" hidden="false" customHeight="false" outlineLevel="0" collapsed="false">
      <c r="B881" s="19" t="s">
        <v>8925</v>
      </c>
      <c r="C881" s="20" t="n">
        <f aca="false">ROUND(15/FX,2)</f>
        <v>2.08</v>
      </c>
      <c r="D881" s="21" t="s">
        <v>6549</v>
      </c>
      <c r="E881" s="21" t="s">
        <v>8168</v>
      </c>
      <c r="F881" s="21" t="s">
        <v>734</v>
      </c>
      <c r="G881" s="21" t="s">
        <v>8055</v>
      </c>
      <c r="H881" s="21" t="s">
        <v>8169</v>
      </c>
      <c r="I881" s="21" t="s">
        <v>7862</v>
      </c>
    </row>
    <row r="882" customFormat="false" ht="15" hidden="false" customHeight="false" outlineLevel="0" collapsed="false">
      <c r="B882" s="19" t="s">
        <v>8926</v>
      </c>
      <c r="C882" s="20" t="n">
        <f aca="false">ROUND(15/FX,2)</f>
        <v>2.08</v>
      </c>
      <c r="D882" s="21" t="s">
        <v>6549</v>
      </c>
      <c r="E882" s="21" t="s">
        <v>8168</v>
      </c>
      <c r="F882" s="21" t="s">
        <v>734</v>
      </c>
      <c r="G882" s="21" t="s">
        <v>8055</v>
      </c>
      <c r="H882" s="21" t="s">
        <v>8169</v>
      </c>
      <c r="I882" s="21" t="s">
        <v>7864</v>
      </c>
    </row>
    <row r="883" customFormat="false" ht="15" hidden="false" customHeight="false" outlineLevel="0" collapsed="false">
      <c r="B883" s="19" t="s">
        <v>8927</v>
      </c>
      <c r="C883" s="20" t="n">
        <f aca="false">ROUND(15/FX,2)</f>
        <v>2.08</v>
      </c>
      <c r="D883" s="21" t="s">
        <v>6549</v>
      </c>
      <c r="E883" s="21" t="s">
        <v>8168</v>
      </c>
      <c r="F883" s="21" t="s">
        <v>734</v>
      </c>
      <c r="G883" s="21" t="s">
        <v>8055</v>
      </c>
      <c r="H883" s="21" t="s">
        <v>8169</v>
      </c>
      <c r="I883" s="21" t="s">
        <v>7961</v>
      </c>
    </row>
    <row r="884" customFormat="false" ht="15" hidden="false" customHeight="false" outlineLevel="0" collapsed="false">
      <c r="B884" s="19" t="s">
        <v>8928</v>
      </c>
      <c r="C884" s="20" t="n">
        <f aca="false">ROUND(9.75/FX,2)</f>
        <v>1.35</v>
      </c>
      <c r="D884" s="21" t="s">
        <v>6549</v>
      </c>
      <c r="E884" s="21" t="s">
        <v>8168</v>
      </c>
      <c r="F884" s="21" t="s">
        <v>734</v>
      </c>
      <c r="G884" s="21" t="s">
        <v>8055</v>
      </c>
      <c r="H884" s="21" t="s">
        <v>8169</v>
      </c>
      <c r="I884" s="21" t="s">
        <v>7872</v>
      </c>
    </row>
    <row r="885" customFormat="false" ht="15" hidden="false" customHeight="false" outlineLevel="0" collapsed="false">
      <c r="B885" s="19" t="s">
        <v>8929</v>
      </c>
      <c r="C885" s="20" t="n">
        <f aca="false">ROUND(15/FX,2)</f>
        <v>2.08</v>
      </c>
      <c r="D885" s="21" t="s">
        <v>6549</v>
      </c>
      <c r="E885" s="21" t="s">
        <v>8168</v>
      </c>
      <c r="F885" s="21" t="s">
        <v>734</v>
      </c>
      <c r="G885" s="21" t="s">
        <v>8055</v>
      </c>
      <c r="H885" s="21" t="s">
        <v>8169</v>
      </c>
      <c r="I885" s="21" t="s">
        <v>8349</v>
      </c>
    </row>
    <row r="886" customFormat="false" ht="15" hidden="false" customHeight="false" outlineLevel="0" collapsed="false">
      <c r="B886" s="19" t="s">
        <v>8930</v>
      </c>
      <c r="C886" s="20" t="n">
        <f aca="false">ROUND(15/FX,2)</f>
        <v>2.08</v>
      </c>
      <c r="D886" s="21" t="s">
        <v>6549</v>
      </c>
      <c r="E886" s="21" t="s">
        <v>8168</v>
      </c>
      <c r="F886" s="21" t="s">
        <v>734</v>
      </c>
      <c r="G886" s="21" t="s">
        <v>8055</v>
      </c>
      <c r="H886" s="21" t="s">
        <v>8169</v>
      </c>
      <c r="I886" s="21" t="s">
        <v>7964</v>
      </c>
    </row>
    <row r="887" customFormat="false" ht="15" hidden="false" customHeight="false" outlineLevel="0" collapsed="false">
      <c r="B887" s="19" t="s">
        <v>8931</v>
      </c>
      <c r="C887" s="20" t="n">
        <f aca="false">ROUND(15/FX,2)</f>
        <v>2.08</v>
      </c>
      <c r="D887" s="21" t="s">
        <v>6549</v>
      </c>
      <c r="E887" s="21" t="s">
        <v>8168</v>
      </c>
      <c r="F887" s="21" t="s">
        <v>734</v>
      </c>
      <c r="G887" s="21" t="s">
        <v>8055</v>
      </c>
      <c r="H887" s="21" t="s">
        <v>8169</v>
      </c>
      <c r="I887" s="21" t="s">
        <v>7966</v>
      </c>
    </row>
    <row r="888" customFormat="false" ht="15" hidden="false" customHeight="false" outlineLevel="0" collapsed="false">
      <c r="B888" s="19" t="s">
        <v>8932</v>
      </c>
      <c r="C888" s="20" t="n">
        <f aca="false">ROUND(15/FX,2)</f>
        <v>2.08</v>
      </c>
      <c r="D888" s="21" t="s">
        <v>6549</v>
      </c>
      <c r="E888" s="21" t="s">
        <v>8168</v>
      </c>
      <c r="F888" s="21" t="s">
        <v>734</v>
      </c>
      <c r="G888" s="21" t="s">
        <v>8055</v>
      </c>
      <c r="H888" s="21" t="s">
        <v>8169</v>
      </c>
      <c r="I888" s="21" t="s">
        <v>8657</v>
      </c>
    </row>
    <row r="889" customFormat="false" ht="15" hidden="false" customHeight="false" outlineLevel="0" collapsed="false">
      <c r="B889" s="19" t="s">
        <v>8933</v>
      </c>
      <c r="C889" s="20" t="n">
        <f aca="false">ROUND(15/FX,2)</f>
        <v>2.08</v>
      </c>
      <c r="D889" s="21" t="s">
        <v>6549</v>
      </c>
      <c r="E889" s="21" t="s">
        <v>8168</v>
      </c>
      <c r="F889" s="21" t="s">
        <v>734</v>
      </c>
      <c r="G889" s="21" t="s">
        <v>8055</v>
      </c>
      <c r="H889" s="21" t="s">
        <v>8169</v>
      </c>
      <c r="I889" s="21" t="s">
        <v>8659</v>
      </c>
    </row>
    <row r="890" customFormat="false" ht="15" hidden="false" customHeight="false" outlineLevel="0" collapsed="false">
      <c r="B890" s="19" t="s">
        <v>8934</v>
      </c>
      <c r="C890" s="20" t="n">
        <f aca="false">ROUND(15/FX,2)</f>
        <v>2.08</v>
      </c>
      <c r="D890" s="21" t="s">
        <v>6549</v>
      </c>
      <c r="E890" s="21" t="s">
        <v>8168</v>
      </c>
      <c r="F890" s="21" t="s">
        <v>734</v>
      </c>
      <c r="G890" s="21" t="s">
        <v>8055</v>
      </c>
      <c r="H890" s="21" t="s">
        <v>8169</v>
      </c>
      <c r="I890" s="21" t="s">
        <v>8661</v>
      </c>
    </row>
    <row r="891" customFormat="false" ht="15" hidden="false" customHeight="false" outlineLevel="0" collapsed="false">
      <c r="B891" s="19" t="s">
        <v>8935</v>
      </c>
      <c r="C891" s="20" t="n">
        <f aca="false">ROUND(15/FX,2)</f>
        <v>2.08</v>
      </c>
      <c r="D891" s="21" t="s">
        <v>6549</v>
      </c>
      <c r="E891" s="21" t="s">
        <v>8168</v>
      </c>
      <c r="F891" s="21" t="s">
        <v>734</v>
      </c>
      <c r="G891" s="21" t="s">
        <v>8055</v>
      </c>
      <c r="H891" s="21" t="s">
        <v>8169</v>
      </c>
      <c r="I891" s="21" t="s">
        <v>8936</v>
      </c>
    </row>
    <row r="892" customFormat="false" ht="15" hidden="false" customHeight="false" outlineLevel="0" collapsed="false">
      <c r="B892" s="19" t="s">
        <v>8937</v>
      </c>
      <c r="C892" s="20" t="n">
        <f aca="false">ROUND(15/FX,2)</f>
        <v>2.08</v>
      </c>
      <c r="D892" s="21" t="s">
        <v>6549</v>
      </c>
      <c r="E892" s="21" t="s">
        <v>8168</v>
      </c>
      <c r="F892" s="21" t="s">
        <v>734</v>
      </c>
      <c r="G892" s="21" t="s">
        <v>8055</v>
      </c>
      <c r="H892" s="21" t="s">
        <v>8169</v>
      </c>
      <c r="I892" s="21" t="s">
        <v>8773</v>
      </c>
    </row>
    <row r="893" customFormat="false" ht="15" hidden="false" customHeight="false" outlineLevel="0" collapsed="false">
      <c r="B893" s="19" t="s">
        <v>8938</v>
      </c>
      <c r="C893" s="20" t="n">
        <f aca="false">ROUND(15/FX,2)</f>
        <v>2.08</v>
      </c>
      <c r="D893" s="21" t="s">
        <v>6549</v>
      </c>
      <c r="E893" s="21" t="s">
        <v>8168</v>
      </c>
      <c r="F893" s="21" t="s">
        <v>734</v>
      </c>
      <c r="G893" s="21" t="s">
        <v>8055</v>
      </c>
      <c r="H893" s="21" t="s">
        <v>8169</v>
      </c>
      <c r="I893" s="21" t="s">
        <v>8939</v>
      </c>
    </row>
    <row r="894" customFormat="false" ht="15" hidden="false" customHeight="false" outlineLevel="0" collapsed="false">
      <c r="B894" s="19" t="s">
        <v>8940</v>
      </c>
      <c r="C894" s="20" t="n">
        <f aca="false">ROUND(15/FX,2)</f>
        <v>2.08</v>
      </c>
      <c r="D894" s="21" t="s">
        <v>6549</v>
      </c>
      <c r="E894" s="21" t="s">
        <v>8168</v>
      </c>
      <c r="F894" s="21" t="s">
        <v>734</v>
      </c>
      <c r="G894" s="21" t="s">
        <v>8055</v>
      </c>
      <c r="H894" s="21" t="s">
        <v>8169</v>
      </c>
      <c r="I894" s="21" t="s">
        <v>8775</v>
      </c>
    </row>
    <row r="895" customFormat="false" ht="15" hidden="false" customHeight="false" outlineLevel="0" collapsed="false">
      <c r="B895" s="19" t="s">
        <v>8941</v>
      </c>
      <c r="C895" s="20" t="n">
        <f aca="false">ROUND(15/FX,2)</f>
        <v>2.08</v>
      </c>
      <c r="D895" s="21" t="s">
        <v>6549</v>
      </c>
      <c r="E895" s="21" t="s">
        <v>8168</v>
      </c>
      <c r="F895" s="21" t="s">
        <v>734</v>
      </c>
      <c r="G895" s="21" t="s">
        <v>8055</v>
      </c>
      <c r="H895" s="21" t="s">
        <v>8169</v>
      </c>
      <c r="I895" s="21" t="s">
        <v>7968</v>
      </c>
    </row>
    <row r="896" customFormat="false" ht="15" hidden="false" customHeight="false" outlineLevel="0" collapsed="false">
      <c r="B896" s="19" t="s">
        <v>8942</v>
      </c>
      <c r="C896" s="20" t="n">
        <f aca="false">ROUND(15/FX,2)</f>
        <v>2.08</v>
      </c>
      <c r="D896" s="21" t="s">
        <v>6549</v>
      </c>
      <c r="E896" s="21" t="s">
        <v>8168</v>
      </c>
      <c r="F896" s="21" t="s">
        <v>734</v>
      </c>
      <c r="G896" s="21" t="s">
        <v>8055</v>
      </c>
      <c r="H896" s="21" t="s">
        <v>8169</v>
      </c>
      <c r="I896" s="21" t="s">
        <v>8379</v>
      </c>
    </row>
    <row r="897" customFormat="false" ht="15" hidden="false" customHeight="false" outlineLevel="0" collapsed="false">
      <c r="B897" s="19" t="s">
        <v>8943</v>
      </c>
      <c r="C897" s="20" t="n">
        <f aca="false">ROUND(15/FX,2)</f>
        <v>2.08</v>
      </c>
      <c r="D897" s="21" t="s">
        <v>6549</v>
      </c>
      <c r="E897" s="21" t="s">
        <v>8168</v>
      </c>
      <c r="F897" s="21" t="s">
        <v>734</v>
      </c>
      <c r="G897" s="21" t="s">
        <v>8055</v>
      </c>
      <c r="H897" s="21" t="s">
        <v>8169</v>
      </c>
      <c r="I897" s="21" t="s">
        <v>8382</v>
      </c>
    </row>
    <row r="898" customFormat="false" ht="15" hidden="false" customHeight="false" outlineLevel="0" collapsed="false">
      <c r="B898" s="19" t="s">
        <v>8944</v>
      </c>
      <c r="C898" s="20" t="n">
        <f aca="false">ROUND(15/FX,2)</f>
        <v>2.08</v>
      </c>
      <c r="D898" s="21" t="s">
        <v>6549</v>
      </c>
      <c r="E898" s="21" t="s">
        <v>8168</v>
      </c>
      <c r="F898" s="21" t="s">
        <v>734</v>
      </c>
      <c r="G898" s="21" t="s">
        <v>8055</v>
      </c>
      <c r="H898" s="21" t="s">
        <v>8169</v>
      </c>
      <c r="I898" s="21" t="s">
        <v>8666</v>
      </c>
    </row>
    <row r="899" customFormat="false" ht="15" hidden="false" customHeight="false" outlineLevel="0" collapsed="false">
      <c r="B899" s="19" t="s">
        <v>8945</v>
      </c>
      <c r="C899" s="20" t="n">
        <f aca="false">ROUND(9.75/FX,2)</f>
        <v>1.35</v>
      </c>
      <c r="D899" s="21" t="s">
        <v>6549</v>
      </c>
      <c r="E899" s="21" t="s">
        <v>8168</v>
      </c>
      <c r="F899" s="21" t="s">
        <v>734</v>
      </c>
      <c r="G899" s="21" t="s">
        <v>8055</v>
      </c>
      <c r="H899" s="21" t="s">
        <v>8169</v>
      </c>
      <c r="I899" s="21" t="s">
        <v>7899</v>
      </c>
    </row>
    <row r="900" customFormat="false" ht="15" hidden="false" customHeight="false" outlineLevel="0" collapsed="false">
      <c r="B900" s="19" t="s">
        <v>8946</v>
      </c>
      <c r="C900" s="20" t="n">
        <f aca="false">ROUND(15/FX,2)</f>
        <v>2.08</v>
      </c>
      <c r="D900" s="21" t="s">
        <v>6549</v>
      </c>
      <c r="E900" s="21" t="s">
        <v>8168</v>
      </c>
      <c r="F900" s="21" t="s">
        <v>734</v>
      </c>
      <c r="G900" s="21" t="s">
        <v>8055</v>
      </c>
      <c r="H900" s="21" t="s">
        <v>8169</v>
      </c>
      <c r="I900" s="21" t="s">
        <v>8672</v>
      </c>
    </row>
    <row r="901" customFormat="false" ht="15" hidden="false" customHeight="false" outlineLevel="0" collapsed="false">
      <c r="B901" s="19" t="s">
        <v>8947</v>
      </c>
      <c r="C901" s="20" t="n">
        <f aca="false">ROUND(13/FX,2)</f>
        <v>1.81</v>
      </c>
      <c r="D901" s="21" t="s">
        <v>6549</v>
      </c>
      <c r="E901" s="21" t="s">
        <v>8168</v>
      </c>
      <c r="F901" s="21" t="s">
        <v>734</v>
      </c>
      <c r="G901" s="21" t="s">
        <v>8055</v>
      </c>
      <c r="H901" s="21" t="s">
        <v>8169</v>
      </c>
      <c r="I901" s="21" t="s">
        <v>7994</v>
      </c>
    </row>
    <row r="902" customFormat="false" ht="15" hidden="false" customHeight="false" outlineLevel="0" collapsed="false">
      <c r="B902" s="19" t="s">
        <v>8948</v>
      </c>
      <c r="C902" s="20" t="n">
        <f aca="false">ROUND(15/FX,2)</f>
        <v>2.08</v>
      </c>
      <c r="D902" s="21" t="s">
        <v>6549</v>
      </c>
      <c r="E902" s="21" t="s">
        <v>8168</v>
      </c>
      <c r="F902" s="21" t="s">
        <v>734</v>
      </c>
      <c r="G902" s="21" t="s">
        <v>8055</v>
      </c>
      <c r="H902" s="21" t="s">
        <v>8169</v>
      </c>
      <c r="I902" s="21" t="s">
        <v>8109</v>
      </c>
    </row>
    <row r="903" customFormat="false" ht="15" hidden="false" customHeight="false" outlineLevel="0" collapsed="false">
      <c r="B903" s="19" t="s">
        <v>8949</v>
      </c>
      <c r="C903" s="20" t="n">
        <f aca="false">ROUND(15/FX,2)</f>
        <v>2.08</v>
      </c>
      <c r="D903" s="21" t="s">
        <v>6549</v>
      </c>
      <c r="E903" s="21" t="s">
        <v>8168</v>
      </c>
      <c r="F903" s="21" t="s">
        <v>734</v>
      </c>
      <c r="G903" s="21" t="s">
        <v>8055</v>
      </c>
      <c r="H903" s="21" t="s">
        <v>8169</v>
      </c>
      <c r="I903" s="21" t="s">
        <v>8950</v>
      </c>
    </row>
    <row r="904" customFormat="false" ht="15" hidden="false" customHeight="false" outlineLevel="0" collapsed="false">
      <c r="B904" s="19" t="s">
        <v>8951</v>
      </c>
      <c r="C904" s="20" t="n">
        <f aca="false">ROUND(15/FX,2)</f>
        <v>2.08</v>
      </c>
      <c r="D904" s="21" t="s">
        <v>6549</v>
      </c>
      <c r="E904" s="21" t="s">
        <v>8168</v>
      </c>
      <c r="F904" s="21" t="s">
        <v>734</v>
      </c>
      <c r="G904" s="21" t="s">
        <v>8055</v>
      </c>
      <c r="H904" s="21" t="s">
        <v>8169</v>
      </c>
      <c r="I904" s="21" t="s">
        <v>8017</v>
      </c>
    </row>
    <row r="905" customFormat="false" ht="15" hidden="false" customHeight="false" outlineLevel="0" collapsed="false">
      <c r="B905" s="19" t="s">
        <v>8952</v>
      </c>
      <c r="C905" s="20" t="n">
        <f aca="false">ROUND(15/FX,2)</f>
        <v>2.08</v>
      </c>
      <c r="D905" s="21" t="s">
        <v>6549</v>
      </c>
      <c r="E905" s="21" t="s">
        <v>8168</v>
      </c>
      <c r="F905" s="21" t="s">
        <v>734</v>
      </c>
      <c r="G905" s="21" t="s">
        <v>8055</v>
      </c>
      <c r="H905" s="21" t="s">
        <v>8169</v>
      </c>
      <c r="I905" s="21" t="s">
        <v>8112</v>
      </c>
    </row>
    <row r="906" customFormat="false" ht="15" hidden="false" customHeight="false" outlineLevel="0" collapsed="false">
      <c r="B906" s="19" t="s">
        <v>8953</v>
      </c>
      <c r="C906" s="20" t="n">
        <f aca="false">ROUND(15/FX,2)</f>
        <v>2.08</v>
      </c>
      <c r="D906" s="21" t="s">
        <v>6549</v>
      </c>
      <c r="E906" s="21" t="s">
        <v>8168</v>
      </c>
      <c r="F906" s="21" t="s">
        <v>734</v>
      </c>
      <c r="G906" s="21" t="s">
        <v>8055</v>
      </c>
      <c r="H906" s="21" t="s">
        <v>8169</v>
      </c>
      <c r="I906" s="21" t="s">
        <v>8114</v>
      </c>
    </row>
    <row r="907" customFormat="false" ht="15" hidden="false" customHeight="false" outlineLevel="0" collapsed="false">
      <c r="B907" s="19" t="s">
        <v>8954</v>
      </c>
      <c r="C907" s="20" t="n">
        <f aca="false">ROUND(12.35/FX,2)</f>
        <v>1.72</v>
      </c>
      <c r="D907" s="21" t="s">
        <v>6549</v>
      </c>
      <c r="E907" s="21" t="s">
        <v>8168</v>
      </c>
      <c r="F907" s="21" t="s">
        <v>734</v>
      </c>
      <c r="G907" s="21" t="s">
        <v>8055</v>
      </c>
      <c r="H907" s="21" t="s">
        <v>8169</v>
      </c>
      <c r="I907" s="21" t="s">
        <v>7866</v>
      </c>
    </row>
    <row r="908" customFormat="false" ht="15" hidden="false" customHeight="false" outlineLevel="0" collapsed="false">
      <c r="B908" s="19" t="s">
        <v>8955</v>
      </c>
      <c r="C908" s="20" t="n">
        <f aca="false">ROUND(9.75/FX,2)</f>
        <v>1.35</v>
      </c>
      <c r="D908" s="21" t="s">
        <v>6549</v>
      </c>
      <c r="E908" s="21" t="s">
        <v>8168</v>
      </c>
      <c r="F908" s="21" t="s">
        <v>734</v>
      </c>
      <c r="G908" s="21" t="s">
        <v>8055</v>
      </c>
      <c r="H908" s="21" t="s">
        <v>8169</v>
      </c>
      <c r="I908" s="21" t="s">
        <v>8396</v>
      </c>
    </row>
    <row r="909" customFormat="false" ht="15" hidden="false" customHeight="false" outlineLevel="0" collapsed="false">
      <c r="B909" s="19" t="s">
        <v>8956</v>
      </c>
      <c r="C909" s="20" t="n">
        <f aca="false">ROUND(15/FX,2)</f>
        <v>2.08</v>
      </c>
      <c r="D909" s="21" t="s">
        <v>6549</v>
      </c>
      <c r="E909" s="21" t="s">
        <v>8168</v>
      </c>
      <c r="F909" s="21" t="s">
        <v>734</v>
      </c>
      <c r="G909" s="21" t="s">
        <v>8055</v>
      </c>
      <c r="H909" s="21" t="s">
        <v>8169</v>
      </c>
      <c r="I909" s="21" t="s">
        <v>8117</v>
      </c>
    </row>
    <row r="910" customFormat="false" ht="15" hidden="false" customHeight="false" outlineLevel="0" collapsed="false">
      <c r="B910" s="19" t="s">
        <v>8957</v>
      </c>
      <c r="C910" s="20" t="n">
        <f aca="false">ROUND(15/FX,2)</f>
        <v>2.08</v>
      </c>
      <c r="D910" s="21" t="s">
        <v>6549</v>
      </c>
      <c r="E910" s="21" t="s">
        <v>8168</v>
      </c>
      <c r="F910" s="21" t="s">
        <v>734</v>
      </c>
      <c r="G910" s="21" t="s">
        <v>8055</v>
      </c>
      <c r="H910" s="21" t="s">
        <v>8169</v>
      </c>
      <c r="I910" s="21" t="s">
        <v>8681</v>
      </c>
    </row>
    <row r="911" customFormat="false" ht="15" hidden="false" customHeight="false" outlineLevel="0" collapsed="false">
      <c r="B911" s="19" t="s">
        <v>8958</v>
      </c>
      <c r="C911" s="20" t="n">
        <f aca="false">ROUND(15/FX,2)</f>
        <v>2.08</v>
      </c>
      <c r="D911" s="21" t="s">
        <v>6549</v>
      </c>
      <c r="E911" s="21" t="s">
        <v>8168</v>
      </c>
      <c r="F911" s="21" t="s">
        <v>734</v>
      </c>
      <c r="G911" s="21" t="s">
        <v>8055</v>
      </c>
      <c r="H911" s="21" t="s">
        <v>8169</v>
      </c>
      <c r="I911" s="21" t="s">
        <v>8683</v>
      </c>
    </row>
    <row r="912" customFormat="false" ht="15" hidden="false" customHeight="false" outlineLevel="0" collapsed="false">
      <c r="B912" s="19" t="s">
        <v>8959</v>
      </c>
      <c r="C912" s="20" t="n">
        <f aca="false">ROUND(15/FX,2)</f>
        <v>2.08</v>
      </c>
      <c r="D912" s="21" t="s">
        <v>6549</v>
      </c>
      <c r="E912" s="21" t="s">
        <v>8168</v>
      </c>
      <c r="F912" s="21" t="s">
        <v>734</v>
      </c>
      <c r="G912" s="21" t="s">
        <v>8055</v>
      </c>
      <c r="H912" s="21" t="s">
        <v>8169</v>
      </c>
      <c r="I912" s="21" t="s">
        <v>8685</v>
      </c>
    </row>
    <row r="913" customFormat="false" ht="15" hidden="false" customHeight="false" outlineLevel="0" collapsed="false">
      <c r="B913" s="19" t="s">
        <v>8960</v>
      </c>
      <c r="C913" s="20" t="n">
        <f aca="false">ROUND(15/FX,2)</f>
        <v>2.08</v>
      </c>
      <c r="D913" s="21" t="s">
        <v>6549</v>
      </c>
      <c r="E913" s="21" t="s">
        <v>8168</v>
      </c>
      <c r="F913" s="21" t="s">
        <v>734</v>
      </c>
      <c r="G913" s="21" t="s">
        <v>8055</v>
      </c>
      <c r="H913" s="21" t="s">
        <v>8169</v>
      </c>
      <c r="I913" s="21" t="s">
        <v>8687</v>
      </c>
    </row>
    <row r="914" customFormat="false" ht="15" hidden="false" customHeight="false" outlineLevel="0" collapsed="false">
      <c r="B914" s="19" t="s">
        <v>8961</v>
      </c>
      <c r="C914" s="20" t="n">
        <f aca="false">ROUND(15/FX,2)</f>
        <v>2.08</v>
      </c>
      <c r="D914" s="21" t="s">
        <v>6549</v>
      </c>
      <c r="E914" s="21" t="s">
        <v>8168</v>
      </c>
      <c r="F914" s="21" t="s">
        <v>734</v>
      </c>
      <c r="G914" s="21" t="s">
        <v>8055</v>
      </c>
      <c r="H914" s="21" t="s">
        <v>8169</v>
      </c>
      <c r="I914" s="21" t="s">
        <v>8962</v>
      </c>
    </row>
    <row r="915" customFormat="false" ht="15" hidden="false" customHeight="false" outlineLevel="0" collapsed="false">
      <c r="B915" s="19" t="s">
        <v>8963</v>
      </c>
      <c r="C915" s="20" t="n">
        <f aca="false">ROUND(15/FX,2)</f>
        <v>2.08</v>
      </c>
      <c r="D915" s="21" t="s">
        <v>6549</v>
      </c>
      <c r="E915" s="21" t="s">
        <v>8168</v>
      </c>
      <c r="F915" s="21" t="s">
        <v>734</v>
      </c>
      <c r="G915" s="21" t="s">
        <v>8055</v>
      </c>
      <c r="H915" s="21" t="s">
        <v>8169</v>
      </c>
      <c r="I915" s="21" t="s">
        <v>8792</v>
      </c>
    </row>
    <row r="916" customFormat="false" ht="15" hidden="false" customHeight="false" outlineLevel="0" collapsed="false">
      <c r="B916" s="19" t="s">
        <v>8964</v>
      </c>
      <c r="C916" s="20" t="n">
        <f aca="false">ROUND(15/FX,2)</f>
        <v>2.08</v>
      </c>
      <c r="D916" s="21" t="s">
        <v>6549</v>
      </c>
      <c r="E916" s="21" t="s">
        <v>8168</v>
      </c>
      <c r="F916" s="21" t="s">
        <v>734</v>
      </c>
      <c r="G916" s="21" t="s">
        <v>8055</v>
      </c>
      <c r="H916" s="21" t="s">
        <v>8169</v>
      </c>
      <c r="I916" s="21" t="s">
        <v>8965</v>
      </c>
    </row>
    <row r="917" customFormat="false" ht="15" hidden="false" customHeight="false" outlineLevel="0" collapsed="false">
      <c r="B917" s="19" t="s">
        <v>8966</v>
      </c>
      <c r="C917" s="20" t="n">
        <f aca="false">ROUND(15/FX,2)</f>
        <v>2.08</v>
      </c>
      <c r="D917" s="21" t="s">
        <v>6549</v>
      </c>
      <c r="E917" s="21" t="s">
        <v>8168</v>
      </c>
      <c r="F917" s="21" t="s">
        <v>734</v>
      </c>
      <c r="G917" s="21" t="s">
        <v>8055</v>
      </c>
      <c r="H917" s="21" t="s">
        <v>8169</v>
      </c>
      <c r="I917" s="21" t="s">
        <v>8794</v>
      </c>
    </row>
    <row r="918" customFormat="false" ht="15" hidden="false" customHeight="false" outlineLevel="0" collapsed="false">
      <c r="B918" s="19" t="s">
        <v>8967</v>
      </c>
      <c r="C918" s="20" t="n">
        <f aca="false">ROUND(15/FX,2)</f>
        <v>2.08</v>
      </c>
      <c r="D918" s="21" t="s">
        <v>6549</v>
      </c>
      <c r="E918" s="21" t="s">
        <v>8168</v>
      </c>
      <c r="F918" s="21" t="s">
        <v>734</v>
      </c>
      <c r="G918" s="21" t="s">
        <v>8055</v>
      </c>
      <c r="H918" s="21" t="s">
        <v>8169</v>
      </c>
      <c r="I918" s="21" t="s">
        <v>7977</v>
      </c>
    </row>
    <row r="919" customFormat="false" ht="15" hidden="false" customHeight="false" outlineLevel="0" collapsed="false">
      <c r="B919" s="19" t="s">
        <v>8968</v>
      </c>
      <c r="C919" s="20" t="n">
        <f aca="false">ROUND(15/FX,2)</f>
        <v>2.08</v>
      </c>
      <c r="D919" s="21" t="s">
        <v>6549</v>
      </c>
      <c r="E919" s="21" t="s">
        <v>8168</v>
      </c>
      <c r="F919" s="21" t="s">
        <v>734</v>
      </c>
      <c r="G919" s="21" t="s">
        <v>8055</v>
      </c>
      <c r="H919" s="21" t="s">
        <v>8169</v>
      </c>
      <c r="I919" s="21" t="s">
        <v>8401</v>
      </c>
    </row>
    <row r="920" customFormat="false" ht="15" hidden="false" customHeight="false" outlineLevel="0" collapsed="false">
      <c r="B920" s="19" t="s">
        <v>8969</v>
      </c>
      <c r="C920" s="20" t="n">
        <f aca="false">ROUND(15/FX,2)</f>
        <v>2.08</v>
      </c>
      <c r="D920" s="21" t="s">
        <v>6549</v>
      </c>
      <c r="E920" s="21" t="s">
        <v>8168</v>
      </c>
      <c r="F920" s="21" t="s">
        <v>734</v>
      </c>
      <c r="G920" s="21" t="s">
        <v>8055</v>
      </c>
      <c r="H920" s="21" t="s">
        <v>8169</v>
      </c>
      <c r="I920" s="21" t="s">
        <v>8691</v>
      </c>
    </row>
    <row r="921" customFormat="false" ht="15" hidden="false" customHeight="false" outlineLevel="0" collapsed="false">
      <c r="B921" s="19" t="s">
        <v>8970</v>
      </c>
      <c r="C921" s="20" t="n">
        <f aca="false">ROUND(15/FX,2)</f>
        <v>2.08</v>
      </c>
      <c r="D921" s="21" t="s">
        <v>6549</v>
      </c>
      <c r="E921" s="21" t="s">
        <v>8168</v>
      </c>
      <c r="F921" s="21" t="s">
        <v>734</v>
      </c>
      <c r="G921" s="21" t="s">
        <v>8055</v>
      </c>
      <c r="H921" s="21" t="s">
        <v>8169</v>
      </c>
      <c r="I921" s="21" t="s">
        <v>8022</v>
      </c>
    </row>
    <row r="922" customFormat="false" ht="15" hidden="false" customHeight="false" outlineLevel="0" collapsed="false">
      <c r="B922" s="19" t="s">
        <v>8971</v>
      </c>
      <c r="C922" s="20" t="n">
        <f aca="false">ROUND(15/FX,2)</f>
        <v>2.08</v>
      </c>
      <c r="D922" s="21" t="s">
        <v>6549</v>
      </c>
      <c r="E922" s="21" t="s">
        <v>8168</v>
      </c>
      <c r="F922" s="21" t="s">
        <v>734</v>
      </c>
      <c r="G922" s="21" t="s">
        <v>8055</v>
      </c>
      <c r="H922" s="21" t="s">
        <v>8169</v>
      </c>
      <c r="I922" s="21" t="s">
        <v>8694</v>
      </c>
    </row>
    <row r="923" customFormat="false" ht="15" hidden="false" customHeight="false" outlineLevel="0" collapsed="false">
      <c r="B923" s="19" t="s">
        <v>8972</v>
      </c>
      <c r="C923" s="20" t="n">
        <f aca="false">ROUND(15/FX,2)</f>
        <v>2.08</v>
      </c>
      <c r="D923" s="21" t="s">
        <v>6549</v>
      </c>
      <c r="E923" s="21" t="s">
        <v>8168</v>
      </c>
      <c r="F923" s="21" t="s">
        <v>734</v>
      </c>
      <c r="G923" s="21" t="s">
        <v>8055</v>
      </c>
      <c r="H923" s="21" t="s">
        <v>8169</v>
      </c>
      <c r="I923" s="21" t="s">
        <v>8973</v>
      </c>
    </row>
    <row r="924" customFormat="false" ht="15" hidden="false" customHeight="false" outlineLevel="0" collapsed="false">
      <c r="B924" s="19" t="s">
        <v>8974</v>
      </c>
      <c r="C924" s="20" t="n">
        <f aca="false">ROUND(9.75/FX,2)</f>
        <v>1.35</v>
      </c>
      <c r="D924" s="21" t="s">
        <v>6549</v>
      </c>
      <c r="E924" s="21" t="s">
        <v>8168</v>
      </c>
      <c r="F924" s="21" t="s">
        <v>734</v>
      </c>
      <c r="G924" s="21" t="s">
        <v>8055</v>
      </c>
      <c r="H924" s="21" t="s">
        <v>8169</v>
      </c>
      <c r="I924" s="21" t="s">
        <v>8119</v>
      </c>
    </row>
    <row r="925" customFormat="false" ht="15" hidden="false" customHeight="false" outlineLevel="0" collapsed="false">
      <c r="B925" s="19" t="s">
        <v>8975</v>
      </c>
      <c r="C925" s="20" t="n">
        <f aca="false">ROUND(15/FX,2)</f>
        <v>2.08</v>
      </c>
      <c r="D925" s="21" t="s">
        <v>6549</v>
      </c>
      <c r="E925" s="21" t="s">
        <v>8168</v>
      </c>
      <c r="F925" s="21" t="s">
        <v>734</v>
      </c>
      <c r="G925" s="21" t="s">
        <v>8055</v>
      </c>
      <c r="H925" s="21" t="s">
        <v>8169</v>
      </c>
      <c r="I925" s="21" t="s">
        <v>8976</v>
      </c>
    </row>
    <row r="926" customFormat="false" ht="15" hidden="false" customHeight="false" outlineLevel="0" collapsed="false">
      <c r="B926" s="19" t="s">
        <v>8977</v>
      </c>
      <c r="C926" s="20" t="n">
        <f aca="false">ROUND(15/FX,2)</f>
        <v>2.08</v>
      </c>
      <c r="D926" s="21" t="s">
        <v>6549</v>
      </c>
      <c r="E926" s="21" t="s">
        <v>8168</v>
      </c>
      <c r="F926" s="21" t="s">
        <v>734</v>
      </c>
      <c r="G926" s="21" t="s">
        <v>8055</v>
      </c>
      <c r="H926" s="21" t="s">
        <v>8169</v>
      </c>
      <c r="I926" s="21" t="s">
        <v>8978</v>
      </c>
    </row>
    <row r="927" customFormat="false" ht="15" hidden="false" customHeight="false" outlineLevel="0" collapsed="false">
      <c r="B927" s="19" t="s">
        <v>8979</v>
      </c>
      <c r="C927" s="20" t="n">
        <f aca="false">ROUND(14.3/FX,2)</f>
        <v>1.99</v>
      </c>
      <c r="D927" s="21" t="s">
        <v>6549</v>
      </c>
      <c r="E927" s="21" t="s">
        <v>8168</v>
      </c>
      <c r="F927" s="21" t="s">
        <v>734</v>
      </c>
      <c r="G927" s="21" t="s">
        <v>8055</v>
      </c>
      <c r="H927" s="21" t="s">
        <v>8169</v>
      </c>
      <c r="I927" s="21" t="s">
        <v>8409</v>
      </c>
    </row>
    <row r="928" customFormat="false" ht="15" hidden="false" customHeight="false" outlineLevel="0" collapsed="false">
      <c r="B928" s="19" t="s">
        <v>8980</v>
      </c>
      <c r="C928" s="20" t="n">
        <f aca="false">ROUND(15/FX,2)</f>
        <v>2.08</v>
      </c>
      <c r="D928" s="21" t="s">
        <v>6549</v>
      </c>
      <c r="E928" s="21" t="s">
        <v>8168</v>
      </c>
      <c r="F928" s="21" t="s">
        <v>734</v>
      </c>
      <c r="G928" s="21" t="s">
        <v>8055</v>
      </c>
      <c r="H928" s="21" t="s">
        <v>8169</v>
      </c>
      <c r="I928" s="21" t="s">
        <v>8697</v>
      </c>
    </row>
    <row r="929" customFormat="false" ht="15" hidden="false" customHeight="false" outlineLevel="0" collapsed="false">
      <c r="B929" s="19" t="s">
        <v>8981</v>
      </c>
      <c r="C929" s="20" t="n">
        <f aca="false">ROUND(16.25/FX,2)</f>
        <v>2.26</v>
      </c>
      <c r="D929" s="21" t="s">
        <v>6549</v>
      </c>
      <c r="E929" s="21" t="s">
        <v>8168</v>
      </c>
      <c r="F929" s="21" t="s">
        <v>734</v>
      </c>
      <c r="G929" s="21" t="s">
        <v>8982</v>
      </c>
      <c r="H929" s="21" t="s">
        <v>8169</v>
      </c>
      <c r="I929" s="21" t="s">
        <v>7985</v>
      </c>
    </row>
    <row r="930" customFormat="false" ht="15" hidden="false" customHeight="false" outlineLevel="0" collapsed="false">
      <c r="B930" s="19" t="s">
        <v>8983</v>
      </c>
      <c r="C930" s="20" t="n">
        <f aca="false">ROUND(19.5/FX,2)</f>
        <v>2.71</v>
      </c>
      <c r="D930" s="21" t="s">
        <v>6549</v>
      </c>
      <c r="E930" s="21" t="s">
        <v>8168</v>
      </c>
      <c r="F930" s="21" t="s">
        <v>734</v>
      </c>
      <c r="G930" s="21" t="s">
        <v>8984</v>
      </c>
      <c r="H930" s="21" t="s">
        <v>8169</v>
      </c>
      <c r="I930" s="21" t="s">
        <v>7875</v>
      </c>
    </row>
    <row r="931" customFormat="false" ht="15" hidden="false" customHeight="false" outlineLevel="0" collapsed="false">
      <c r="B931" s="19" t="s">
        <v>8985</v>
      </c>
      <c r="C931" s="20" t="n">
        <f aca="false">ROUND(14.3/FX,2)</f>
        <v>1.99</v>
      </c>
      <c r="D931" s="21" t="s">
        <v>6549</v>
      </c>
      <c r="E931" s="21" t="s">
        <v>8168</v>
      </c>
      <c r="F931" s="21" t="s">
        <v>734</v>
      </c>
      <c r="G931" s="21" t="s">
        <v>8984</v>
      </c>
      <c r="H931" s="21" t="s">
        <v>8169</v>
      </c>
      <c r="I931" s="21" t="s">
        <v>8060</v>
      </c>
    </row>
    <row r="932" customFormat="false" ht="15" hidden="false" customHeight="false" outlineLevel="0" collapsed="false">
      <c r="B932" s="19" t="s">
        <v>8986</v>
      </c>
      <c r="C932" s="20" t="n">
        <f aca="false">ROUND(14.3/FX,2)</f>
        <v>1.99</v>
      </c>
      <c r="D932" s="21" t="s">
        <v>6549</v>
      </c>
      <c r="E932" s="21" t="s">
        <v>8168</v>
      </c>
      <c r="F932" s="21" t="s">
        <v>734</v>
      </c>
      <c r="G932" s="21" t="s">
        <v>8984</v>
      </c>
      <c r="H932" s="21" t="s">
        <v>8169</v>
      </c>
      <c r="I932" s="21" t="s">
        <v>8987</v>
      </c>
    </row>
    <row r="933" customFormat="false" ht="15" hidden="false" customHeight="false" outlineLevel="0" collapsed="false">
      <c r="B933" s="19" t="s">
        <v>8988</v>
      </c>
      <c r="C933" s="20" t="n">
        <f aca="false">ROUND(19.5/FX,2)</f>
        <v>2.71</v>
      </c>
      <c r="D933" s="21" t="s">
        <v>6549</v>
      </c>
      <c r="E933" s="21" t="s">
        <v>8168</v>
      </c>
      <c r="F933" s="21" t="s">
        <v>734</v>
      </c>
      <c r="G933" s="21" t="s">
        <v>8984</v>
      </c>
      <c r="H933" s="21" t="s">
        <v>8169</v>
      </c>
      <c r="I933" s="21" t="s">
        <v>8989</v>
      </c>
    </row>
    <row r="934" customFormat="false" ht="15" hidden="false" customHeight="false" outlineLevel="0" collapsed="false">
      <c r="B934" s="19" t="s">
        <v>8990</v>
      </c>
      <c r="C934" s="20" t="n">
        <f aca="false">ROUND(20.15/FX,2)</f>
        <v>2.8</v>
      </c>
      <c r="D934" s="21" t="s">
        <v>6549</v>
      </c>
      <c r="E934" s="21" t="s">
        <v>8168</v>
      </c>
      <c r="F934" s="21" t="s">
        <v>734</v>
      </c>
      <c r="G934" s="21" t="s">
        <v>8991</v>
      </c>
      <c r="H934" s="21" t="s">
        <v>8169</v>
      </c>
      <c r="I934" s="21" t="s">
        <v>7875</v>
      </c>
    </row>
    <row r="935" customFormat="false" ht="15" hidden="false" customHeight="false" outlineLevel="0" collapsed="false">
      <c r="B935" s="19" t="s">
        <v>8992</v>
      </c>
      <c r="C935" s="20" t="n">
        <f aca="false">ROUND(20.15/FX,2)</f>
        <v>2.8</v>
      </c>
      <c r="D935" s="21" t="s">
        <v>6549</v>
      </c>
      <c r="E935" s="21" t="s">
        <v>8168</v>
      </c>
      <c r="F935" s="21" t="s">
        <v>734</v>
      </c>
      <c r="G935" s="21" t="s">
        <v>8991</v>
      </c>
      <c r="H935" s="21" t="s">
        <v>8169</v>
      </c>
      <c r="I935" s="21" t="s">
        <v>8987</v>
      </c>
    </row>
    <row r="936" customFormat="false" ht="15" hidden="false" customHeight="false" outlineLevel="0" collapsed="false">
      <c r="B936" s="19" t="s">
        <v>8993</v>
      </c>
      <c r="C936" s="20" t="n">
        <f aca="false">ROUND(20.15/FX,2)</f>
        <v>2.8</v>
      </c>
      <c r="D936" s="21" t="s">
        <v>6549</v>
      </c>
      <c r="E936" s="21" t="s">
        <v>8168</v>
      </c>
      <c r="F936" s="21" t="s">
        <v>734</v>
      </c>
      <c r="G936" s="21" t="s">
        <v>8991</v>
      </c>
      <c r="H936" s="21" t="s">
        <v>8169</v>
      </c>
      <c r="I936" s="21" t="s">
        <v>8994</v>
      </c>
    </row>
    <row r="937" customFormat="false" ht="15" hidden="false" customHeight="false" outlineLevel="0" collapsed="false">
      <c r="B937" s="19" t="s">
        <v>8995</v>
      </c>
      <c r="C937" s="20" t="n">
        <f aca="false">ROUND(20.15/FX,2)</f>
        <v>2.8</v>
      </c>
      <c r="D937" s="21" t="s">
        <v>6549</v>
      </c>
      <c r="E937" s="21" t="s">
        <v>8168</v>
      </c>
      <c r="F937" s="21" t="s">
        <v>734</v>
      </c>
      <c r="G937" s="21" t="s">
        <v>8991</v>
      </c>
      <c r="H937" s="21" t="s">
        <v>8169</v>
      </c>
      <c r="I937" s="21" t="s">
        <v>8989</v>
      </c>
    </row>
    <row r="938" customFormat="false" ht="15" hidden="false" customHeight="false" outlineLevel="0" collapsed="false">
      <c r="B938" s="19" t="s">
        <v>8996</v>
      </c>
      <c r="C938" s="20" t="n">
        <f aca="false">ROUND(19.5/FX,2)</f>
        <v>2.71</v>
      </c>
      <c r="D938" s="21" t="s">
        <v>6549</v>
      </c>
      <c r="E938" s="21" t="s">
        <v>8168</v>
      </c>
      <c r="F938" s="21" t="s">
        <v>734</v>
      </c>
      <c r="G938" s="21" t="s">
        <v>8124</v>
      </c>
      <c r="H938" s="21" t="s">
        <v>8169</v>
      </c>
      <c r="I938" s="21" t="s">
        <v>7875</v>
      </c>
    </row>
    <row r="939" customFormat="false" ht="15" hidden="false" customHeight="false" outlineLevel="0" collapsed="false">
      <c r="B939" s="19" t="s">
        <v>8997</v>
      </c>
      <c r="C939" s="20" t="n">
        <f aca="false">ROUND(19.5/FX,2)</f>
        <v>2.71</v>
      </c>
      <c r="D939" s="21" t="s">
        <v>6549</v>
      </c>
      <c r="E939" s="21" t="s">
        <v>8168</v>
      </c>
      <c r="F939" s="21" t="s">
        <v>734</v>
      </c>
      <c r="G939" s="21" t="s">
        <v>8124</v>
      </c>
      <c r="H939" s="21" t="s">
        <v>8169</v>
      </c>
      <c r="I939" s="21" t="s">
        <v>7999</v>
      </c>
    </row>
    <row r="940" customFormat="false" ht="15" hidden="false" customHeight="false" outlineLevel="0" collapsed="false">
      <c r="B940" s="19" t="s">
        <v>8998</v>
      </c>
      <c r="C940" s="20" t="n">
        <f aca="false">ROUND(19.5/FX,2)</f>
        <v>2.71</v>
      </c>
      <c r="D940" s="21" t="s">
        <v>6549</v>
      </c>
      <c r="E940" s="21" t="s">
        <v>8168</v>
      </c>
      <c r="F940" s="21" t="s">
        <v>734</v>
      </c>
      <c r="G940" s="21" t="s">
        <v>8124</v>
      </c>
      <c r="H940" s="21" t="s">
        <v>8169</v>
      </c>
      <c r="I940" s="21" t="s">
        <v>8060</v>
      </c>
    </row>
    <row r="941" customFormat="false" ht="15" hidden="false" customHeight="false" outlineLevel="0" collapsed="false">
      <c r="B941" s="19" t="s">
        <v>8999</v>
      </c>
      <c r="C941" s="20" t="n">
        <f aca="false">ROUND(19.5/FX,2)</f>
        <v>2.71</v>
      </c>
      <c r="D941" s="21" t="s">
        <v>6549</v>
      </c>
      <c r="E941" s="21" t="s">
        <v>8168</v>
      </c>
      <c r="F941" s="21" t="s">
        <v>734</v>
      </c>
      <c r="G941" s="21" t="s">
        <v>8124</v>
      </c>
      <c r="H941" s="21" t="s">
        <v>8169</v>
      </c>
      <c r="I941" s="21" t="s">
        <v>8804</v>
      </c>
    </row>
    <row r="942" customFormat="false" ht="15" hidden="false" customHeight="false" outlineLevel="0" collapsed="false">
      <c r="B942" s="19" t="s">
        <v>9000</v>
      </c>
      <c r="C942" s="20" t="n">
        <f aca="false">ROUND(19.5/FX,2)</f>
        <v>2.71</v>
      </c>
      <c r="D942" s="21" t="s">
        <v>6549</v>
      </c>
      <c r="E942" s="21" t="s">
        <v>8168</v>
      </c>
      <c r="F942" s="21" t="s">
        <v>734</v>
      </c>
      <c r="G942" s="21" t="s">
        <v>8124</v>
      </c>
      <c r="H942" s="21" t="s">
        <v>8169</v>
      </c>
      <c r="I942" s="21" t="s">
        <v>8152</v>
      </c>
    </row>
    <row r="943" customFormat="false" ht="15" hidden="false" customHeight="false" outlineLevel="0" collapsed="false">
      <c r="B943" s="19" t="s">
        <v>9001</v>
      </c>
      <c r="C943" s="20" t="n">
        <f aca="false">ROUND(14.3/FX,2)</f>
        <v>1.99</v>
      </c>
      <c r="D943" s="21" t="s">
        <v>6549</v>
      </c>
      <c r="E943" s="21" t="s">
        <v>8168</v>
      </c>
      <c r="F943" s="21" t="s">
        <v>734</v>
      </c>
      <c r="G943" s="21" t="s">
        <v>8124</v>
      </c>
      <c r="H943" s="21" t="s">
        <v>8169</v>
      </c>
      <c r="I943" s="21" t="s">
        <v>8987</v>
      </c>
    </row>
    <row r="944" customFormat="false" ht="15" hidden="false" customHeight="false" outlineLevel="0" collapsed="false">
      <c r="B944" s="19" t="s">
        <v>9002</v>
      </c>
      <c r="C944" s="20" t="n">
        <f aca="false">ROUND(19.5/FX,2)</f>
        <v>2.71</v>
      </c>
      <c r="D944" s="21" t="s">
        <v>6549</v>
      </c>
      <c r="E944" s="21" t="s">
        <v>8168</v>
      </c>
      <c r="F944" s="21" t="s">
        <v>734</v>
      </c>
      <c r="G944" s="21" t="s">
        <v>8124</v>
      </c>
      <c r="H944" s="21" t="s">
        <v>8169</v>
      </c>
      <c r="I944" s="21" t="s">
        <v>9003</v>
      </c>
    </row>
    <row r="945" customFormat="false" ht="15" hidden="false" customHeight="false" outlineLevel="0" collapsed="false">
      <c r="B945" s="19" t="s">
        <v>9004</v>
      </c>
      <c r="C945" s="20" t="n">
        <f aca="false">ROUND(19.5/FX,2)</f>
        <v>2.71</v>
      </c>
      <c r="D945" s="21" t="s">
        <v>6549</v>
      </c>
      <c r="E945" s="21" t="s">
        <v>8168</v>
      </c>
      <c r="F945" s="21" t="s">
        <v>734</v>
      </c>
      <c r="G945" s="21" t="s">
        <v>8124</v>
      </c>
      <c r="H945" s="21" t="s">
        <v>8169</v>
      </c>
      <c r="I945" s="21" t="s">
        <v>9005</v>
      </c>
    </row>
    <row r="946" customFormat="false" ht="15" hidden="false" customHeight="false" outlineLevel="0" collapsed="false">
      <c r="B946" s="19" t="s">
        <v>9006</v>
      </c>
      <c r="C946" s="20" t="n">
        <f aca="false">ROUND(19.5/FX,2)</f>
        <v>2.71</v>
      </c>
      <c r="D946" s="21" t="s">
        <v>6549</v>
      </c>
      <c r="E946" s="21" t="s">
        <v>8168</v>
      </c>
      <c r="F946" s="21" t="s">
        <v>734</v>
      </c>
      <c r="G946" s="21" t="s">
        <v>8124</v>
      </c>
      <c r="H946" s="21" t="s">
        <v>8169</v>
      </c>
      <c r="I946" s="21" t="s">
        <v>7985</v>
      </c>
    </row>
    <row r="947" customFormat="false" ht="15" hidden="false" customHeight="false" outlineLevel="0" collapsed="false">
      <c r="B947" s="19" t="s">
        <v>9007</v>
      </c>
      <c r="C947" s="20" t="n">
        <f aca="false">ROUND(19.5/FX,2)</f>
        <v>2.71</v>
      </c>
      <c r="D947" s="21" t="s">
        <v>6549</v>
      </c>
      <c r="E947" s="21" t="s">
        <v>8168</v>
      </c>
      <c r="F947" s="21" t="s">
        <v>734</v>
      </c>
      <c r="G947" s="21" t="s">
        <v>8124</v>
      </c>
      <c r="H947" s="21" t="s">
        <v>8169</v>
      </c>
      <c r="I947" s="21" t="s">
        <v>8077</v>
      </c>
    </row>
    <row r="948" customFormat="false" ht="15" hidden="false" customHeight="false" outlineLevel="0" collapsed="false">
      <c r="B948" s="19" t="s">
        <v>9008</v>
      </c>
      <c r="C948" s="20" t="n">
        <f aca="false">ROUND(19.5/FX,2)</f>
        <v>2.71</v>
      </c>
      <c r="D948" s="21" t="s">
        <v>6549</v>
      </c>
      <c r="E948" s="21" t="s">
        <v>8168</v>
      </c>
      <c r="F948" s="21" t="s">
        <v>734</v>
      </c>
      <c r="G948" s="21" t="s">
        <v>8124</v>
      </c>
      <c r="H948" s="21" t="s">
        <v>8169</v>
      </c>
      <c r="I948" s="21" t="s">
        <v>8079</v>
      </c>
    </row>
    <row r="949" customFormat="false" ht="15" hidden="false" customHeight="false" outlineLevel="0" collapsed="false">
      <c r="B949" s="19" t="s">
        <v>9009</v>
      </c>
      <c r="C949" s="20" t="n">
        <f aca="false">ROUND(19.5/FX,2)</f>
        <v>2.71</v>
      </c>
      <c r="D949" s="21" t="s">
        <v>6549</v>
      </c>
      <c r="E949" s="21" t="s">
        <v>8168</v>
      </c>
      <c r="F949" s="21" t="s">
        <v>734</v>
      </c>
      <c r="G949" s="21" t="s">
        <v>8124</v>
      </c>
      <c r="H949" s="21" t="s">
        <v>8169</v>
      </c>
      <c r="I949" s="21" t="s">
        <v>8081</v>
      </c>
    </row>
    <row r="950" customFormat="false" ht="15" hidden="false" customHeight="false" outlineLevel="0" collapsed="false">
      <c r="B950" s="19" t="s">
        <v>9010</v>
      </c>
      <c r="C950" s="20" t="n">
        <f aca="false">ROUND(19.5/FX,2)</f>
        <v>2.71</v>
      </c>
      <c r="D950" s="21" t="s">
        <v>6549</v>
      </c>
      <c r="E950" s="21" t="s">
        <v>8168</v>
      </c>
      <c r="F950" s="21" t="s">
        <v>734</v>
      </c>
      <c r="G950" s="21" t="s">
        <v>8124</v>
      </c>
      <c r="H950" s="21" t="s">
        <v>8169</v>
      </c>
      <c r="I950" s="21" t="s">
        <v>8994</v>
      </c>
    </row>
    <row r="951" customFormat="false" ht="15" hidden="false" customHeight="false" outlineLevel="0" collapsed="false">
      <c r="B951" s="19" t="s">
        <v>9011</v>
      </c>
      <c r="C951" s="20" t="n">
        <f aca="false">ROUND(19.5/FX,2)</f>
        <v>2.71</v>
      </c>
      <c r="D951" s="21" t="s">
        <v>6549</v>
      </c>
      <c r="E951" s="21" t="s">
        <v>8168</v>
      </c>
      <c r="F951" s="21" t="s">
        <v>734</v>
      </c>
      <c r="G951" s="21" t="s">
        <v>8124</v>
      </c>
      <c r="H951" s="21" t="s">
        <v>8169</v>
      </c>
      <c r="I951" s="21" t="s">
        <v>8154</v>
      </c>
    </row>
    <row r="952" customFormat="false" ht="15" hidden="false" customHeight="false" outlineLevel="0" collapsed="false">
      <c r="B952" s="19" t="s">
        <v>9012</v>
      </c>
      <c r="C952" s="20" t="n">
        <f aca="false">ROUND(19.5/FX,2)</f>
        <v>2.71</v>
      </c>
      <c r="D952" s="21" t="s">
        <v>6549</v>
      </c>
      <c r="E952" s="21" t="s">
        <v>8168</v>
      </c>
      <c r="F952" s="21" t="s">
        <v>734</v>
      </c>
      <c r="G952" s="21" t="s">
        <v>8124</v>
      </c>
      <c r="H952" s="21" t="s">
        <v>8169</v>
      </c>
      <c r="I952" s="21" t="s">
        <v>9013</v>
      </c>
    </row>
    <row r="953" customFormat="false" ht="15" hidden="false" customHeight="false" outlineLevel="0" collapsed="false">
      <c r="B953" s="19" t="s">
        <v>9014</v>
      </c>
      <c r="C953" s="20" t="n">
        <f aca="false">ROUND(19.5/FX,2)</f>
        <v>2.71</v>
      </c>
      <c r="D953" s="21" t="s">
        <v>6549</v>
      </c>
      <c r="E953" s="21" t="s">
        <v>8168</v>
      </c>
      <c r="F953" s="21" t="s">
        <v>734</v>
      </c>
      <c r="G953" s="21" t="s">
        <v>8124</v>
      </c>
      <c r="H953" s="21" t="s">
        <v>8169</v>
      </c>
      <c r="I953" s="21" t="s">
        <v>8085</v>
      </c>
    </row>
    <row r="954" customFormat="false" ht="15" hidden="false" customHeight="false" outlineLevel="0" collapsed="false">
      <c r="B954" s="19" t="s">
        <v>9015</v>
      </c>
      <c r="C954" s="20" t="n">
        <f aca="false">ROUND(19.5/FX,2)</f>
        <v>2.71</v>
      </c>
      <c r="D954" s="21" t="s">
        <v>6549</v>
      </c>
      <c r="E954" s="21" t="s">
        <v>8168</v>
      </c>
      <c r="F954" s="21" t="s">
        <v>734</v>
      </c>
      <c r="G954" s="21" t="s">
        <v>8124</v>
      </c>
      <c r="H954" s="21" t="s">
        <v>8169</v>
      </c>
      <c r="I954" s="21" t="s">
        <v>8087</v>
      </c>
    </row>
    <row r="955" customFormat="false" ht="15" hidden="false" customHeight="false" outlineLevel="0" collapsed="false">
      <c r="B955" s="19" t="s">
        <v>9016</v>
      </c>
      <c r="C955" s="20" t="n">
        <f aca="false">ROUND(14.3/FX,2)</f>
        <v>1.99</v>
      </c>
      <c r="D955" s="21" t="s">
        <v>6549</v>
      </c>
      <c r="E955" s="21" t="s">
        <v>8168</v>
      </c>
      <c r="F955" s="21" t="s">
        <v>734</v>
      </c>
      <c r="G955" s="21" t="s">
        <v>8124</v>
      </c>
      <c r="H955" s="21" t="s">
        <v>8169</v>
      </c>
      <c r="I955" s="21" t="s">
        <v>8089</v>
      </c>
    </row>
    <row r="956" customFormat="false" ht="15" hidden="false" customHeight="false" outlineLevel="0" collapsed="false">
      <c r="B956" s="19" t="s">
        <v>9017</v>
      </c>
      <c r="C956" s="20" t="n">
        <f aca="false">ROUND(19.5/FX,2)</f>
        <v>2.71</v>
      </c>
      <c r="D956" s="21" t="s">
        <v>6549</v>
      </c>
      <c r="E956" s="21" t="s">
        <v>8168</v>
      </c>
      <c r="F956" s="21" t="s">
        <v>734</v>
      </c>
      <c r="G956" s="21" t="s">
        <v>8124</v>
      </c>
      <c r="H956" s="21" t="s">
        <v>8169</v>
      </c>
      <c r="I956" s="21" t="s">
        <v>9018</v>
      </c>
    </row>
    <row r="957" customFormat="false" ht="15" hidden="false" customHeight="false" outlineLevel="0" collapsed="false">
      <c r="B957" s="19" t="s">
        <v>9019</v>
      </c>
      <c r="C957" s="20" t="n">
        <f aca="false">ROUND(19.5/FX,2)</f>
        <v>2.71</v>
      </c>
      <c r="D957" s="21" t="s">
        <v>6549</v>
      </c>
      <c r="E957" s="21" t="s">
        <v>8168</v>
      </c>
      <c r="F957" s="21" t="s">
        <v>734</v>
      </c>
      <c r="G957" s="21" t="s">
        <v>8124</v>
      </c>
      <c r="H957" s="21" t="s">
        <v>8169</v>
      </c>
      <c r="I957" s="21" t="s">
        <v>9020</v>
      </c>
    </row>
    <row r="958" customFormat="false" ht="15" hidden="false" customHeight="false" outlineLevel="0" collapsed="false">
      <c r="B958" s="19" t="s">
        <v>9021</v>
      </c>
      <c r="C958" s="20" t="n">
        <f aca="false">ROUND(19.5/FX,2)</f>
        <v>2.71</v>
      </c>
      <c r="D958" s="21" t="s">
        <v>6549</v>
      </c>
      <c r="E958" s="21" t="s">
        <v>8168</v>
      </c>
      <c r="F958" s="21" t="s">
        <v>734</v>
      </c>
      <c r="G958" s="21" t="s">
        <v>8124</v>
      </c>
      <c r="H958" s="21" t="s">
        <v>8169</v>
      </c>
      <c r="I958" s="21" t="s">
        <v>9022</v>
      </c>
    </row>
    <row r="959" customFormat="false" ht="15" hidden="false" customHeight="false" outlineLevel="0" collapsed="false">
      <c r="B959" s="19" t="s">
        <v>9023</v>
      </c>
      <c r="C959" s="20" t="n">
        <f aca="false">ROUND(19.5/FX,2)</f>
        <v>2.71</v>
      </c>
      <c r="D959" s="21" t="s">
        <v>6549</v>
      </c>
      <c r="E959" s="21" t="s">
        <v>8168</v>
      </c>
      <c r="F959" s="21" t="s">
        <v>734</v>
      </c>
      <c r="G959" s="21" t="s">
        <v>8124</v>
      </c>
      <c r="H959" s="21" t="s">
        <v>8169</v>
      </c>
      <c r="I959" s="21" t="s">
        <v>8045</v>
      </c>
    </row>
    <row r="960" customFormat="false" ht="15" hidden="false" customHeight="false" outlineLevel="0" collapsed="false">
      <c r="B960" s="19" t="s">
        <v>9024</v>
      </c>
      <c r="C960" s="20" t="n">
        <f aca="false">ROUND(19.5/FX,2)</f>
        <v>2.71</v>
      </c>
      <c r="D960" s="21" t="s">
        <v>6549</v>
      </c>
      <c r="E960" s="21" t="s">
        <v>8168</v>
      </c>
      <c r="F960" s="21" t="s">
        <v>734</v>
      </c>
      <c r="G960" s="21" t="s">
        <v>8124</v>
      </c>
      <c r="H960" s="21" t="s">
        <v>8169</v>
      </c>
      <c r="I960" s="21" t="s">
        <v>8840</v>
      </c>
    </row>
    <row r="961" customFormat="false" ht="15" hidden="false" customHeight="false" outlineLevel="0" collapsed="false">
      <c r="B961" s="19" t="s">
        <v>9025</v>
      </c>
      <c r="C961" s="20" t="n">
        <f aca="false">ROUND(19.5/FX,2)</f>
        <v>2.71</v>
      </c>
      <c r="D961" s="21" t="s">
        <v>6549</v>
      </c>
      <c r="E961" s="21" t="s">
        <v>8168</v>
      </c>
      <c r="F961" s="21" t="s">
        <v>734</v>
      </c>
      <c r="G961" s="21" t="s">
        <v>8124</v>
      </c>
      <c r="H961" s="21" t="s">
        <v>8169</v>
      </c>
      <c r="I961" s="21" t="s">
        <v>9026</v>
      </c>
    </row>
    <row r="962" customFormat="false" ht="15" hidden="false" customHeight="false" outlineLevel="0" collapsed="false">
      <c r="B962" s="19" t="s">
        <v>9027</v>
      </c>
      <c r="C962" s="20" t="n">
        <f aca="false">ROUND(19.5/FX,2)</f>
        <v>2.71</v>
      </c>
      <c r="D962" s="21" t="s">
        <v>6549</v>
      </c>
      <c r="E962" s="21" t="s">
        <v>8168</v>
      </c>
      <c r="F962" s="21" t="s">
        <v>734</v>
      </c>
      <c r="G962" s="21" t="s">
        <v>8124</v>
      </c>
      <c r="H962" s="21" t="s">
        <v>8169</v>
      </c>
      <c r="I962" s="21" t="s">
        <v>9028</v>
      </c>
    </row>
    <row r="963" customFormat="false" ht="15" hidden="false" customHeight="false" outlineLevel="0" collapsed="false">
      <c r="B963" s="19" t="s">
        <v>9029</v>
      </c>
      <c r="C963" s="20" t="n">
        <f aca="false">ROUND(19.5/FX,2)</f>
        <v>2.71</v>
      </c>
      <c r="D963" s="21" t="s">
        <v>6549</v>
      </c>
      <c r="E963" s="21" t="s">
        <v>8168</v>
      </c>
      <c r="F963" s="21" t="s">
        <v>734</v>
      </c>
      <c r="G963" s="21" t="s">
        <v>8124</v>
      </c>
      <c r="H963" s="21" t="s">
        <v>8169</v>
      </c>
      <c r="I963" s="21" t="s">
        <v>9030</v>
      </c>
    </row>
    <row r="964" customFormat="false" ht="15" hidden="false" customHeight="false" outlineLevel="0" collapsed="false">
      <c r="B964" s="19" t="s">
        <v>9031</v>
      </c>
      <c r="C964" s="20" t="n">
        <f aca="false">ROUND(19.5/FX,2)</f>
        <v>2.71</v>
      </c>
      <c r="D964" s="21" t="s">
        <v>6549</v>
      </c>
      <c r="E964" s="21" t="s">
        <v>8168</v>
      </c>
      <c r="F964" s="21" t="s">
        <v>734</v>
      </c>
      <c r="G964" s="21" t="s">
        <v>8124</v>
      </c>
      <c r="H964" s="21" t="s">
        <v>8169</v>
      </c>
      <c r="I964" s="21" t="s">
        <v>8047</v>
      </c>
    </row>
    <row r="965" customFormat="false" ht="15" hidden="false" customHeight="false" outlineLevel="0" collapsed="false">
      <c r="B965" s="19" t="s">
        <v>9032</v>
      </c>
      <c r="C965" s="20" t="n">
        <f aca="false">ROUND(19.5/FX,2)</f>
        <v>2.71</v>
      </c>
      <c r="D965" s="21" t="s">
        <v>6549</v>
      </c>
      <c r="E965" s="21" t="s">
        <v>8168</v>
      </c>
      <c r="F965" s="21" t="s">
        <v>734</v>
      </c>
      <c r="G965" s="21" t="s">
        <v>8124</v>
      </c>
      <c r="H965" s="21" t="s">
        <v>8169</v>
      </c>
      <c r="I965" s="21" t="s">
        <v>8126</v>
      </c>
    </row>
    <row r="966" customFormat="false" ht="15" hidden="false" customHeight="false" outlineLevel="0" collapsed="false">
      <c r="B966" s="19" t="s">
        <v>9033</v>
      </c>
      <c r="C966" s="20" t="n">
        <f aca="false">ROUND(19.5/FX,2)</f>
        <v>2.71</v>
      </c>
      <c r="D966" s="21" t="s">
        <v>6549</v>
      </c>
      <c r="E966" s="21" t="s">
        <v>8168</v>
      </c>
      <c r="F966" s="21" t="s">
        <v>734</v>
      </c>
      <c r="G966" s="21" t="s">
        <v>8124</v>
      </c>
      <c r="H966" s="21" t="s">
        <v>8169</v>
      </c>
      <c r="I966" s="21" t="s">
        <v>9034</v>
      </c>
    </row>
    <row r="967" customFormat="false" ht="15" hidden="false" customHeight="false" outlineLevel="0" collapsed="false">
      <c r="B967" s="19" t="s">
        <v>9035</v>
      </c>
      <c r="C967" s="20" t="n">
        <f aca="false">ROUND(19.5/FX,2)</f>
        <v>2.71</v>
      </c>
      <c r="D967" s="21" t="s">
        <v>6549</v>
      </c>
      <c r="E967" s="21" t="s">
        <v>8168</v>
      </c>
      <c r="F967" s="21" t="s">
        <v>734</v>
      </c>
      <c r="G967" s="21" t="s">
        <v>8124</v>
      </c>
      <c r="H967" s="21" t="s">
        <v>8169</v>
      </c>
      <c r="I967" s="21" t="s">
        <v>9036</v>
      </c>
    </row>
    <row r="968" customFormat="false" ht="15" hidden="false" customHeight="false" outlineLevel="0" collapsed="false">
      <c r="B968" s="19" t="s">
        <v>9037</v>
      </c>
      <c r="C968" s="20" t="n">
        <f aca="false">ROUND(19.5/FX,2)</f>
        <v>2.71</v>
      </c>
      <c r="D968" s="21" t="s">
        <v>6549</v>
      </c>
      <c r="E968" s="21" t="s">
        <v>8168</v>
      </c>
      <c r="F968" s="21" t="s">
        <v>734</v>
      </c>
      <c r="G968" s="21" t="s">
        <v>8124</v>
      </c>
      <c r="H968" s="21" t="s">
        <v>8169</v>
      </c>
      <c r="I968" s="21" t="s">
        <v>8989</v>
      </c>
    </row>
    <row r="969" customFormat="false" ht="15" hidden="false" customHeight="false" outlineLevel="0" collapsed="false">
      <c r="B969" s="19" t="s">
        <v>9038</v>
      </c>
      <c r="C969" s="20" t="n">
        <f aca="false">ROUND(19.5/FX,2)</f>
        <v>2.71</v>
      </c>
      <c r="D969" s="21" t="s">
        <v>6549</v>
      </c>
      <c r="E969" s="21" t="s">
        <v>8168</v>
      </c>
      <c r="F969" s="21" t="s">
        <v>734</v>
      </c>
      <c r="G969" s="21" t="s">
        <v>8124</v>
      </c>
      <c r="H969" s="21" t="s">
        <v>8169</v>
      </c>
      <c r="I969" s="21" t="s">
        <v>8143</v>
      </c>
    </row>
    <row r="970" customFormat="false" ht="15" hidden="false" customHeight="false" outlineLevel="0" collapsed="false">
      <c r="B970" s="19" t="s">
        <v>9039</v>
      </c>
      <c r="C970" s="20" t="n">
        <f aca="false">ROUND(19.5/FX,2)</f>
        <v>2.71</v>
      </c>
      <c r="D970" s="21" t="s">
        <v>6549</v>
      </c>
      <c r="E970" s="21" t="s">
        <v>8168</v>
      </c>
      <c r="F970" s="21" t="s">
        <v>734</v>
      </c>
      <c r="G970" s="21" t="s">
        <v>8124</v>
      </c>
      <c r="H970" s="21" t="s">
        <v>8169</v>
      </c>
      <c r="I970" s="21" t="s">
        <v>9040</v>
      </c>
    </row>
    <row r="971" customFormat="false" ht="15" hidden="false" customHeight="false" outlineLevel="0" collapsed="false">
      <c r="B971" s="19" t="s">
        <v>9041</v>
      </c>
      <c r="C971" s="20" t="n">
        <f aca="false">ROUND(14.3/FX,2)</f>
        <v>1.99</v>
      </c>
      <c r="D971" s="21" t="s">
        <v>6549</v>
      </c>
      <c r="E971" s="21" t="s">
        <v>8168</v>
      </c>
      <c r="F971" s="21" t="s">
        <v>734</v>
      </c>
      <c r="G971" s="21" t="s">
        <v>8124</v>
      </c>
      <c r="H971" s="21" t="s">
        <v>8169</v>
      </c>
      <c r="I971" s="21" t="s">
        <v>8145</v>
      </c>
    </row>
    <row r="972" customFormat="false" ht="15" hidden="false" customHeight="false" outlineLevel="0" collapsed="false">
      <c r="B972" s="19" t="s">
        <v>9042</v>
      </c>
      <c r="C972" s="20" t="n">
        <f aca="false">ROUND(19.5/FX,2)</f>
        <v>2.71</v>
      </c>
      <c r="D972" s="21" t="s">
        <v>6549</v>
      </c>
      <c r="E972" s="21" t="s">
        <v>8168</v>
      </c>
      <c r="F972" s="21" t="s">
        <v>734</v>
      </c>
      <c r="G972" s="21" t="s">
        <v>8124</v>
      </c>
      <c r="H972" s="21" t="s">
        <v>8169</v>
      </c>
      <c r="I972" s="21" t="s">
        <v>9043</v>
      </c>
    </row>
    <row r="973" customFormat="false" ht="15" hidden="false" customHeight="false" outlineLevel="0" collapsed="false">
      <c r="B973" s="19" t="s">
        <v>9044</v>
      </c>
      <c r="C973" s="20" t="n">
        <f aca="false">ROUND(19.5/FX,2)</f>
        <v>2.71</v>
      </c>
      <c r="D973" s="21" t="s">
        <v>6549</v>
      </c>
      <c r="E973" s="21" t="s">
        <v>8168</v>
      </c>
      <c r="F973" s="21" t="s">
        <v>734</v>
      </c>
      <c r="G973" s="21" t="s">
        <v>8124</v>
      </c>
      <c r="H973" s="21" t="s">
        <v>8169</v>
      </c>
      <c r="I973" s="21" t="s">
        <v>9045</v>
      </c>
    </row>
    <row r="974" customFormat="false" ht="15" hidden="false" customHeight="false" outlineLevel="0" collapsed="false">
      <c r="B974" s="19" t="s">
        <v>9046</v>
      </c>
      <c r="C974" s="20" t="n">
        <f aca="false">ROUND(19.5/FX,2)</f>
        <v>2.71</v>
      </c>
      <c r="D974" s="21" t="s">
        <v>6549</v>
      </c>
      <c r="E974" s="21" t="s">
        <v>8168</v>
      </c>
      <c r="F974" s="21" t="s">
        <v>734</v>
      </c>
      <c r="G974" s="21" t="s">
        <v>8124</v>
      </c>
      <c r="H974" s="21" t="s">
        <v>8169</v>
      </c>
      <c r="I974" s="21" t="s">
        <v>7899</v>
      </c>
    </row>
    <row r="975" customFormat="false" ht="15" hidden="false" customHeight="false" outlineLevel="0" collapsed="false">
      <c r="B975" s="19" t="s">
        <v>9047</v>
      </c>
      <c r="C975" s="20" t="n">
        <f aca="false">ROUND(19.5/FX,2)</f>
        <v>2.71</v>
      </c>
      <c r="D975" s="21" t="s">
        <v>6549</v>
      </c>
      <c r="E975" s="21" t="s">
        <v>8168</v>
      </c>
      <c r="F975" s="21" t="s">
        <v>734</v>
      </c>
      <c r="G975" s="21" t="s">
        <v>8124</v>
      </c>
      <c r="H975" s="21" t="s">
        <v>8169</v>
      </c>
      <c r="I975" s="21" t="s">
        <v>7994</v>
      </c>
    </row>
    <row r="976" customFormat="false" ht="15" hidden="false" customHeight="false" outlineLevel="0" collapsed="false">
      <c r="B976" s="19" t="s">
        <v>9048</v>
      </c>
      <c r="C976" s="20" t="n">
        <f aca="false">ROUND(19.5/FX,2)</f>
        <v>2.71</v>
      </c>
      <c r="D976" s="21" t="s">
        <v>6549</v>
      </c>
      <c r="E976" s="21" t="s">
        <v>8168</v>
      </c>
      <c r="F976" s="21" t="s">
        <v>734</v>
      </c>
      <c r="G976" s="21" t="s">
        <v>8124</v>
      </c>
      <c r="H976" s="21" t="s">
        <v>8169</v>
      </c>
      <c r="I976" s="21" t="s">
        <v>8017</v>
      </c>
    </row>
    <row r="977" customFormat="false" ht="15" hidden="false" customHeight="false" outlineLevel="0" collapsed="false">
      <c r="B977" s="19" t="s">
        <v>9049</v>
      </c>
      <c r="C977" s="20" t="n">
        <f aca="false">ROUND(19.5/FX,2)</f>
        <v>2.71</v>
      </c>
      <c r="D977" s="21" t="s">
        <v>6549</v>
      </c>
      <c r="E977" s="21" t="s">
        <v>8168</v>
      </c>
      <c r="F977" s="21" t="s">
        <v>734</v>
      </c>
      <c r="G977" s="21" t="s">
        <v>8124</v>
      </c>
      <c r="H977" s="21" t="s">
        <v>8169</v>
      </c>
      <c r="I977" s="21" t="s">
        <v>8112</v>
      </c>
    </row>
    <row r="978" customFormat="false" ht="15" hidden="false" customHeight="false" outlineLevel="0" collapsed="false">
      <c r="B978" s="19" t="s">
        <v>9050</v>
      </c>
      <c r="C978" s="20" t="n">
        <f aca="false">ROUND(19.5/FX,2)</f>
        <v>2.71</v>
      </c>
      <c r="D978" s="21" t="s">
        <v>6549</v>
      </c>
      <c r="E978" s="21" t="s">
        <v>8168</v>
      </c>
      <c r="F978" s="21" t="s">
        <v>734</v>
      </c>
      <c r="G978" s="21" t="s">
        <v>8124</v>
      </c>
      <c r="H978" s="21" t="s">
        <v>8169</v>
      </c>
      <c r="I978" s="21" t="s">
        <v>8114</v>
      </c>
    </row>
    <row r="979" customFormat="false" ht="15" hidden="false" customHeight="false" outlineLevel="0" collapsed="false">
      <c r="B979" s="19" t="s">
        <v>9051</v>
      </c>
      <c r="C979" s="20" t="n">
        <f aca="false">ROUND(19.5/FX,2)</f>
        <v>2.71</v>
      </c>
      <c r="D979" s="21" t="s">
        <v>6549</v>
      </c>
      <c r="E979" s="21" t="s">
        <v>8168</v>
      </c>
      <c r="F979" s="21" t="s">
        <v>734</v>
      </c>
      <c r="G979" s="21" t="s">
        <v>8124</v>
      </c>
      <c r="H979" s="21" t="s">
        <v>8169</v>
      </c>
      <c r="I979" s="21" t="s">
        <v>9052</v>
      </c>
    </row>
    <row r="980" customFormat="false" ht="15" hidden="false" customHeight="false" outlineLevel="0" collapsed="false">
      <c r="B980" s="19" t="s">
        <v>9053</v>
      </c>
      <c r="C980" s="20" t="n">
        <f aca="false">ROUND(19.5/FX,2)</f>
        <v>2.71</v>
      </c>
      <c r="D980" s="21" t="s">
        <v>6549</v>
      </c>
      <c r="E980" s="21" t="s">
        <v>8168</v>
      </c>
      <c r="F980" s="21" t="s">
        <v>734</v>
      </c>
      <c r="G980" s="21" t="s">
        <v>8124</v>
      </c>
      <c r="H980" s="21" t="s">
        <v>8169</v>
      </c>
      <c r="I980" s="21" t="s">
        <v>8148</v>
      </c>
    </row>
    <row r="981" customFormat="false" ht="15" hidden="false" customHeight="false" outlineLevel="0" collapsed="false">
      <c r="B981" s="19" t="s">
        <v>9054</v>
      </c>
      <c r="C981" s="20" t="n">
        <f aca="false">ROUND(19.5/FX,2)</f>
        <v>2.71</v>
      </c>
      <c r="D981" s="21" t="s">
        <v>6549</v>
      </c>
      <c r="E981" s="21" t="s">
        <v>8168</v>
      </c>
      <c r="F981" s="21" t="s">
        <v>734</v>
      </c>
      <c r="G981" s="21" t="s">
        <v>8124</v>
      </c>
      <c r="H981" s="21" t="s">
        <v>8169</v>
      </c>
      <c r="I981" s="21" t="s">
        <v>9055</v>
      </c>
    </row>
    <row r="982" customFormat="false" ht="15" hidden="false" customHeight="false" outlineLevel="0" collapsed="false">
      <c r="B982" s="19" t="s">
        <v>9056</v>
      </c>
      <c r="C982" s="20" t="n">
        <f aca="false">ROUND(19.5/FX,2)</f>
        <v>2.71</v>
      </c>
      <c r="D982" s="21" t="s">
        <v>6549</v>
      </c>
      <c r="E982" s="21" t="s">
        <v>8168</v>
      </c>
      <c r="F982" s="21" t="s">
        <v>734</v>
      </c>
      <c r="G982" s="21" t="s">
        <v>8124</v>
      </c>
      <c r="H982" s="21" t="s">
        <v>8169</v>
      </c>
      <c r="I982" s="21" t="s">
        <v>7866</v>
      </c>
    </row>
    <row r="983" customFormat="false" ht="15" hidden="false" customHeight="false" outlineLevel="0" collapsed="false">
      <c r="B983" s="19" t="s">
        <v>9057</v>
      </c>
      <c r="C983" s="20" t="n">
        <f aca="false">ROUND(19.5/FX,2)</f>
        <v>2.71</v>
      </c>
      <c r="D983" s="21" t="s">
        <v>6549</v>
      </c>
      <c r="E983" s="21" t="s">
        <v>8168</v>
      </c>
      <c r="F983" s="21" t="s">
        <v>734</v>
      </c>
      <c r="G983" s="21" t="s">
        <v>8124</v>
      </c>
      <c r="H983" s="21" t="s">
        <v>8169</v>
      </c>
      <c r="I983" s="21" t="s">
        <v>8396</v>
      </c>
    </row>
    <row r="984" customFormat="false" ht="15" hidden="false" customHeight="false" outlineLevel="0" collapsed="false">
      <c r="B984" s="19" t="s">
        <v>9058</v>
      </c>
      <c r="C984" s="20" t="n">
        <f aca="false">ROUND(19.5/FX,2)</f>
        <v>2.71</v>
      </c>
      <c r="D984" s="21" t="s">
        <v>6549</v>
      </c>
      <c r="E984" s="21" t="s">
        <v>8168</v>
      </c>
      <c r="F984" s="21" t="s">
        <v>734</v>
      </c>
      <c r="G984" s="21" t="s">
        <v>8124</v>
      </c>
      <c r="H984" s="21" t="s">
        <v>8169</v>
      </c>
      <c r="I984" s="21" t="s">
        <v>8401</v>
      </c>
    </row>
    <row r="985" customFormat="false" ht="15" hidden="false" customHeight="false" outlineLevel="0" collapsed="false">
      <c r="B985" s="19" t="s">
        <v>9059</v>
      </c>
      <c r="C985" s="20" t="n">
        <f aca="false">ROUND(19.5/FX,2)</f>
        <v>2.71</v>
      </c>
      <c r="D985" s="21" t="s">
        <v>6549</v>
      </c>
      <c r="E985" s="21" t="s">
        <v>8168</v>
      </c>
      <c r="F985" s="21" t="s">
        <v>734</v>
      </c>
      <c r="G985" s="21" t="s">
        <v>8124</v>
      </c>
      <c r="H985" s="21" t="s">
        <v>8169</v>
      </c>
      <c r="I985" s="21" t="s">
        <v>8022</v>
      </c>
    </row>
    <row r="986" customFormat="false" ht="15" hidden="false" customHeight="false" outlineLevel="0" collapsed="false">
      <c r="B986" s="19" t="s">
        <v>9060</v>
      </c>
      <c r="C986" s="20" t="n">
        <f aca="false">ROUND(19.5/FX,2)</f>
        <v>2.71</v>
      </c>
      <c r="D986" s="21" t="s">
        <v>6549</v>
      </c>
      <c r="E986" s="21" t="s">
        <v>8168</v>
      </c>
      <c r="F986" s="21" t="s">
        <v>734</v>
      </c>
      <c r="G986" s="21" t="s">
        <v>8124</v>
      </c>
      <c r="H986" s="21" t="s">
        <v>8169</v>
      </c>
      <c r="I986" s="21" t="s">
        <v>8119</v>
      </c>
    </row>
    <row r="987" customFormat="false" ht="15" hidden="false" customHeight="false" outlineLevel="0" collapsed="false">
      <c r="B987" s="19" t="s">
        <v>9061</v>
      </c>
      <c r="C987" s="20" t="n">
        <f aca="false">ROUND(19.5/FX,2)</f>
        <v>2.71</v>
      </c>
      <c r="D987" s="21" t="s">
        <v>6549</v>
      </c>
      <c r="E987" s="21" t="s">
        <v>8168</v>
      </c>
      <c r="F987" s="21" t="s">
        <v>734</v>
      </c>
      <c r="G987" s="21" t="s">
        <v>8124</v>
      </c>
      <c r="H987" s="21" t="s">
        <v>8169</v>
      </c>
      <c r="I987" s="21" t="s">
        <v>8976</v>
      </c>
    </row>
    <row r="988" customFormat="false" ht="15" hidden="false" customHeight="false" outlineLevel="0" collapsed="false">
      <c r="B988" s="19" t="s">
        <v>9062</v>
      </c>
      <c r="C988" s="20" t="n">
        <f aca="false">ROUND(19.5/FX,2)</f>
        <v>2.71</v>
      </c>
      <c r="D988" s="21" t="s">
        <v>6549</v>
      </c>
      <c r="E988" s="21" t="s">
        <v>8168</v>
      </c>
      <c r="F988" s="21" t="s">
        <v>734</v>
      </c>
      <c r="G988" s="21" t="s">
        <v>8124</v>
      </c>
      <c r="H988" s="21" t="s">
        <v>8169</v>
      </c>
      <c r="I988" s="21" t="s">
        <v>8978</v>
      </c>
    </row>
    <row r="989" customFormat="false" ht="15" hidden="false" customHeight="false" outlineLevel="0" collapsed="false">
      <c r="B989" s="19" t="s">
        <v>9063</v>
      </c>
      <c r="C989" s="20" t="n">
        <f aca="false">ROUND(19.5/FX,2)</f>
        <v>2.71</v>
      </c>
      <c r="D989" s="21" t="s">
        <v>6549</v>
      </c>
      <c r="E989" s="21" t="s">
        <v>8168</v>
      </c>
      <c r="F989" s="21" t="s">
        <v>734</v>
      </c>
      <c r="G989" s="21" t="s">
        <v>8124</v>
      </c>
      <c r="H989" s="21" t="s">
        <v>8169</v>
      </c>
      <c r="I989" s="21" t="s">
        <v>9064</v>
      </c>
    </row>
    <row r="990" customFormat="false" ht="15" hidden="false" customHeight="false" outlineLevel="0" collapsed="false">
      <c r="B990" s="19" t="s">
        <v>9065</v>
      </c>
      <c r="C990" s="20" t="n">
        <f aca="false">ROUND(19.5/FX,2)</f>
        <v>2.71</v>
      </c>
      <c r="D990" s="21" t="s">
        <v>6549</v>
      </c>
      <c r="E990" s="21" t="s">
        <v>8168</v>
      </c>
      <c r="F990" s="21" t="s">
        <v>734</v>
      </c>
      <c r="G990" s="21" t="s">
        <v>8124</v>
      </c>
      <c r="H990" s="21" t="s">
        <v>8169</v>
      </c>
      <c r="I990" s="21" t="s">
        <v>9066</v>
      </c>
    </row>
    <row r="991" customFormat="false" ht="15" hidden="false" customHeight="false" outlineLevel="0" collapsed="false">
      <c r="B991" s="19" t="s">
        <v>9067</v>
      </c>
      <c r="C991" s="20" t="n">
        <f aca="false">ROUND(19.5/FX,2)</f>
        <v>2.71</v>
      </c>
      <c r="D991" s="21" t="s">
        <v>6549</v>
      </c>
      <c r="E991" s="21" t="s">
        <v>8168</v>
      </c>
      <c r="F991" s="21" t="s">
        <v>734</v>
      </c>
      <c r="G991" s="21" t="s">
        <v>8124</v>
      </c>
      <c r="H991" s="21" t="s">
        <v>8169</v>
      </c>
      <c r="I991" s="21" t="s">
        <v>9068</v>
      </c>
    </row>
    <row r="992" customFormat="false" ht="15" hidden="false" customHeight="false" outlineLevel="0" collapsed="false">
      <c r="B992" s="19" t="s">
        <v>9069</v>
      </c>
      <c r="C992" s="20" t="n">
        <f aca="false">ROUND(19.5/FX,2)</f>
        <v>2.71</v>
      </c>
      <c r="D992" s="21" t="s">
        <v>6549</v>
      </c>
      <c r="E992" s="21" t="s">
        <v>8168</v>
      </c>
      <c r="F992" s="21" t="s">
        <v>734</v>
      </c>
      <c r="G992" s="21" t="s">
        <v>8124</v>
      </c>
      <c r="H992" s="21" t="s">
        <v>8169</v>
      </c>
      <c r="I992" s="21" t="s">
        <v>8409</v>
      </c>
    </row>
    <row r="993" customFormat="false" ht="15" hidden="false" customHeight="false" outlineLevel="0" collapsed="false">
      <c r="B993" s="19" t="s">
        <v>9070</v>
      </c>
      <c r="C993" s="20" t="n">
        <f aca="false">ROUND(20.2/FX,2)</f>
        <v>2.81</v>
      </c>
      <c r="D993" s="21" t="s">
        <v>6549</v>
      </c>
      <c r="E993" s="21" t="s">
        <v>8168</v>
      </c>
      <c r="F993" s="21" t="s">
        <v>734</v>
      </c>
      <c r="G993" s="21" t="s">
        <v>8131</v>
      </c>
      <c r="H993" s="21" t="s">
        <v>8169</v>
      </c>
      <c r="I993" s="21" t="s">
        <v>7985</v>
      </c>
    </row>
    <row r="994" customFormat="false" ht="15" hidden="false" customHeight="false" outlineLevel="0" collapsed="false">
      <c r="B994" s="19" t="s">
        <v>9071</v>
      </c>
      <c r="C994" s="20" t="n">
        <f aca="false">ROUND(13.65/FX,2)</f>
        <v>1.9</v>
      </c>
      <c r="D994" s="21" t="s">
        <v>6549</v>
      </c>
      <c r="E994" s="21" t="s">
        <v>8168</v>
      </c>
      <c r="F994" s="21" t="s">
        <v>734</v>
      </c>
      <c r="G994" s="21" t="s">
        <v>8131</v>
      </c>
      <c r="H994" s="21" t="s">
        <v>8169</v>
      </c>
      <c r="I994" s="21" t="s">
        <v>8077</v>
      </c>
    </row>
    <row r="995" customFormat="false" ht="15" hidden="false" customHeight="false" outlineLevel="0" collapsed="false">
      <c r="B995" s="19" t="s">
        <v>9072</v>
      </c>
      <c r="C995" s="20" t="n">
        <f aca="false">ROUND(20.2/FX,2)</f>
        <v>2.81</v>
      </c>
      <c r="D995" s="21" t="s">
        <v>6549</v>
      </c>
      <c r="E995" s="21" t="s">
        <v>8168</v>
      </c>
      <c r="F995" s="21" t="s">
        <v>734</v>
      </c>
      <c r="G995" s="21" t="s">
        <v>8131</v>
      </c>
      <c r="H995" s="21" t="s">
        <v>8169</v>
      </c>
      <c r="I995" s="21" t="s">
        <v>8079</v>
      </c>
    </row>
    <row r="996" customFormat="false" ht="15" hidden="false" customHeight="false" outlineLevel="0" collapsed="false">
      <c r="B996" s="19" t="s">
        <v>9073</v>
      </c>
      <c r="C996" s="20" t="n">
        <f aca="false">ROUND(20.2/FX,2)</f>
        <v>2.81</v>
      </c>
      <c r="D996" s="21" t="s">
        <v>6549</v>
      </c>
      <c r="E996" s="21" t="s">
        <v>8168</v>
      </c>
      <c r="F996" s="21" t="s">
        <v>734</v>
      </c>
      <c r="G996" s="21" t="s">
        <v>8131</v>
      </c>
      <c r="H996" s="21" t="s">
        <v>8169</v>
      </c>
      <c r="I996" s="21" t="s">
        <v>8081</v>
      </c>
    </row>
    <row r="997" customFormat="false" ht="15" hidden="false" customHeight="false" outlineLevel="0" collapsed="false">
      <c r="B997" s="19" t="s">
        <v>9074</v>
      </c>
      <c r="C997" s="20" t="n">
        <f aca="false">ROUND(20.2/FX,2)</f>
        <v>2.81</v>
      </c>
      <c r="D997" s="21" t="s">
        <v>6549</v>
      </c>
      <c r="E997" s="21" t="s">
        <v>8168</v>
      </c>
      <c r="F997" s="21" t="s">
        <v>734</v>
      </c>
      <c r="G997" s="21" t="s">
        <v>8131</v>
      </c>
      <c r="H997" s="21" t="s">
        <v>8169</v>
      </c>
      <c r="I997" s="21" t="s">
        <v>8994</v>
      </c>
    </row>
    <row r="998" customFormat="false" ht="15" hidden="false" customHeight="false" outlineLevel="0" collapsed="false">
      <c r="B998" s="19" t="s">
        <v>9075</v>
      </c>
      <c r="C998" s="20" t="n">
        <f aca="false">ROUND(20.2/FX,2)</f>
        <v>2.81</v>
      </c>
      <c r="D998" s="21" t="s">
        <v>6549</v>
      </c>
      <c r="E998" s="21" t="s">
        <v>8168</v>
      </c>
      <c r="F998" s="21" t="s">
        <v>734</v>
      </c>
      <c r="G998" s="21" t="s">
        <v>8131</v>
      </c>
      <c r="H998" s="21" t="s">
        <v>8169</v>
      </c>
      <c r="I998" s="21" t="s">
        <v>9013</v>
      </c>
    </row>
    <row r="999" customFormat="false" ht="15" hidden="false" customHeight="false" outlineLevel="0" collapsed="false">
      <c r="B999" s="19" t="s">
        <v>9076</v>
      </c>
      <c r="C999" s="20" t="n">
        <f aca="false">ROUND(13.65/FX,2)</f>
        <v>1.9</v>
      </c>
      <c r="D999" s="21" t="s">
        <v>6549</v>
      </c>
      <c r="E999" s="21" t="s">
        <v>8168</v>
      </c>
      <c r="F999" s="21" t="s">
        <v>734</v>
      </c>
      <c r="G999" s="21" t="s">
        <v>8131</v>
      </c>
      <c r="H999" s="21" t="s">
        <v>8169</v>
      </c>
      <c r="I999" s="21" t="s">
        <v>8085</v>
      </c>
    </row>
    <row r="1000" customFormat="false" ht="15" hidden="false" customHeight="false" outlineLevel="0" collapsed="false">
      <c r="B1000" s="19" t="s">
        <v>9077</v>
      </c>
      <c r="C1000" s="20" t="n">
        <f aca="false">ROUND(20.2/FX,2)</f>
        <v>2.81</v>
      </c>
      <c r="D1000" s="21" t="s">
        <v>6549</v>
      </c>
      <c r="E1000" s="21" t="s">
        <v>8168</v>
      </c>
      <c r="F1000" s="21" t="s">
        <v>734</v>
      </c>
      <c r="G1000" s="21" t="s">
        <v>8131</v>
      </c>
      <c r="H1000" s="21" t="s">
        <v>8169</v>
      </c>
      <c r="I1000" s="21" t="s">
        <v>8087</v>
      </c>
    </row>
    <row r="1001" customFormat="false" ht="15" hidden="false" customHeight="false" outlineLevel="0" collapsed="false">
      <c r="B1001" s="19" t="s">
        <v>9078</v>
      </c>
      <c r="C1001" s="20" t="n">
        <f aca="false">ROUND(20.2/FX,2)</f>
        <v>2.81</v>
      </c>
      <c r="D1001" s="21" t="s">
        <v>6549</v>
      </c>
      <c r="E1001" s="21" t="s">
        <v>8168</v>
      </c>
      <c r="F1001" s="21" t="s">
        <v>734</v>
      </c>
      <c r="G1001" s="21" t="s">
        <v>8131</v>
      </c>
      <c r="H1001" s="21" t="s">
        <v>8169</v>
      </c>
      <c r="I1001" s="21" t="s">
        <v>8089</v>
      </c>
    </row>
    <row r="1002" customFormat="false" ht="15" hidden="false" customHeight="false" outlineLevel="0" collapsed="false">
      <c r="B1002" s="19" t="s">
        <v>9079</v>
      </c>
      <c r="C1002" s="20" t="n">
        <f aca="false">ROUND(20.2/FX,2)</f>
        <v>2.81</v>
      </c>
      <c r="D1002" s="21" t="s">
        <v>6549</v>
      </c>
      <c r="E1002" s="21" t="s">
        <v>8168</v>
      </c>
      <c r="F1002" s="21" t="s">
        <v>734</v>
      </c>
      <c r="G1002" s="21" t="s">
        <v>8131</v>
      </c>
      <c r="H1002" s="21" t="s">
        <v>8169</v>
      </c>
      <c r="I1002" s="21" t="s">
        <v>9018</v>
      </c>
    </row>
    <row r="1003" customFormat="false" ht="15" hidden="false" customHeight="false" outlineLevel="0" collapsed="false">
      <c r="B1003" s="19" t="s">
        <v>9080</v>
      </c>
      <c r="C1003" s="20" t="n">
        <f aca="false">ROUND(20.2/FX,2)</f>
        <v>2.81</v>
      </c>
      <c r="D1003" s="21" t="s">
        <v>6549</v>
      </c>
      <c r="E1003" s="21" t="s">
        <v>8168</v>
      </c>
      <c r="F1003" s="21" t="s">
        <v>734</v>
      </c>
      <c r="G1003" s="21" t="s">
        <v>8131</v>
      </c>
      <c r="H1003" s="21" t="s">
        <v>8169</v>
      </c>
      <c r="I1003" s="21" t="s">
        <v>9022</v>
      </c>
    </row>
    <row r="1004" customFormat="false" ht="15" hidden="false" customHeight="false" outlineLevel="0" collapsed="false">
      <c r="B1004" s="19" t="s">
        <v>9081</v>
      </c>
      <c r="C1004" s="20" t="n">
        <f aca="false">ROUND(20.2/FX,2)</f>
        <v>2.81</v>
      </c>
      <c r="D1004" s="21" t="s">
        <v>6549</v>
      </c>
      <c r="E1004" s="21" t="s">
        <v>8168</v>
      </c>
      <c r="F1004" s="21" t="s">
        <v>734</v>
      </c>
      <c r="G1004" s="21" t="s">
        <v>8131</v>
      </c>
      <c r="H1004" s="21" t="s">
        <v>8169</v>
      </c>
      <c r="I1004" s="21" t="s">
        <v>8045</v>
      </c>
    </row>
    <row r="1005" customFormat="false" ht="15" hidden="false" customHeight="false" outlineLevel="0" collapsed="false">
      <c r="B1005" s="19" t="s">
        <v>9082</v>
      </c>
      <c r="C1005" s="20" t="n">
        <f aca="false">ROUND(20.2/FX,2)</f>
        <v>2.81</v>
      </c>
      <c r="D1005" s="21" t="s">
        <v>6549</v>
      </c>
      <c r="E1005" s="21" t="s">
        <v>8168</v>
      </c>
      <c r="F1005" s="21" t="s">
        <v>734</v>
      </c>
      <c r="G1005" s="21" t="s">
        <v>8131</v>
      </c>
      <c r="H1005" s="21" t="s">
        <v>8169</v>
      </c>
      <c r="I1005" s="21" t="s">
        <v>8840</v>
      </c>
    </row>
    <row r="1006" customFormat="false" ht="15" hidden="false" customHeight="false" outlineLevel="0" collapsed="false">
      <c r="B1006" s="19" t="s">
        <v>9083</v>
      </c>
      <c r="C1006" s="20" t="n">
        <f aca="false">ROUND(20.2/FX,2)</f>
        <v>2.81</v>
      </c>
      <c r="D1006" s="21" t="s">
        <v>6549</v>
      </c>
      <c r="E1006" s="21" t="s">
        <v>8168</v>
      </c>
      <c r="F1006" s="21" t="s">
        <v>734</v>
      </c>
      <c r="G1006" s="21" t="s">
        <v>8131</v>
      </c>
      <c r="H1006" s="21" t="s">
        <v>8169</v>
      </c>
      <c r="I1006" s="21" t="s">
        <v>9026</v>
      </c>
    </row>
    <row r="1007" customFormat="false" ht="15" hidden="false" customHeight="false" outlineLevel="0" collapsed="false">
      <c r="B1007" s="19" t="s">
        <v>9084</v>
      </c>
      <c r="C1007" s="20" t="n">
        <f aca="false">ROUND(20.2/FX,2)</f>
        <v>2.81</v>
      </c>
      <c r="D1007" s="21" t="s">
        <v>6549</v>
      </c>
      <c r="E1007" s="21" t="s">
        <v>8168</v>
      </c>
      <c r="F1007" s="21" t="s">
        <v>734</v>
      </c>
      <c r="G1007" s="21" t="s">
        <v>8131</v>
      </c>
      <c r="H1007" s="21" t="s">
        <v>8169</v>
      </c>
      <c r="I1007" s="21" t="s">
        <v>9030</v>
      </c>
    </row>
    <row r="1008" customFormat="false" ht="15" hidden="false" customHeight="false" outlineLevel="0" collapsed="false">
      <c r="B1008" s="19" t="s">
        <v>9085</v>
      </c>
      <c r="C1008" s="20" t="n">
        <f aca="false">ROUND(20.2/FX,2)</f>
        <v>2.81</v>
      </c>
      <c r="D1008" s="21" t="s">
        <v>6549</v>
      </c>
      <c r="E1008" s="21" t="s">
        <v>8168</v>
      </c>
      <c r="F1008" s="21" t="s">
        <v>734</v>
      </c>
      <c r="G1008" s="21" t="s">
        <v>8131</v>
      </c>
      <c r="H1008" s="21" t="s">
        <v>8169</v>
      </c>
      <c r="I1008" s="21" t="s">
        <v>8047</v>
      </c>
    </row>
    <row r="1009" customFormat="false" ht="15" hidden="false" customHeight="false" outlineLevel="0" collapsed="false">
      <c r="B1009" s="19" t="s">
        <v>9086</v>
      </c>
      <c r="C1009" s="20" t="n">
        <f aca="false">ROUND(20.2/FX,2)</f>
        <v>2.81</v>
      </c>
      <c r="D1009" s="21" t="s">
        <v>6549</v>
      </c>
      <c r="E1009" s="21" t="s">
        <v>8168</v>
      </c>
      <c r="F1009" s="21" t="s">
        <v>734</v>
      </c>
      <c r="G1009" s="21" t="s">
        <v>8131</v>
      </c>
      <c r="H1009" s="21" t="s">
        <v>8169</v>
      </c>
      <c r="I1009" s="21" t="s">
        <v>8126</v>
      </c>
    </row>
    <row r="1010" customFormat="false" ht="15" hidden="false" customHeight="false" outlineLevel="0" collapsed="false">
      <c r="B1010" s="19" t="s">
        <v>9087</v>
      </c>
      <c r="C1010" s="20" t="n">
        <f aca="false">ROUND(13.65/FX,2)</f>
        <v>1.9</v>
      </c>
      <c r="D1010" s="21" t="s">
        <v>6549</v>
      </c>
      <c r="E1010" s="21" t="s">
        <v>8168</v>
      </c>
      <c r="F1010" s="21" t="s">
        <v>734</v>
      </c>
      <c r="G1010" s="21" t="s">
        <v>8131</v>
      </c>
      <c r="H1010" s="21" t="s">
        <v>8169</v>
      </c>
      <c r="I1010" s="21" t="s">
        <v>9034</v>
      </c>
    </row>
    <row r="1011" customFormat="false" ht="15" hidden="false" customHeight="false" outlineLevel="0" collapsed="false">
      <c r="B1011" s="19" t="s">
        <v>9088</v>
      </c>
      <c r="C1011" s="20" t="n">
        <f aca="false">ROUND(20.2/FX,2)</f>
        <v>2.81</v>
      </c>
      <c r="D1011" s="21" t="s">
        <v>6549</v>
      </c>
      <c r="E1011" s="21" t="s">
        <v>8168</v>
      </c>
      <c r="F1011" s="21" t="s">
        <v>734</v>
      </c>
      <c r="G1011" s="21" t="s">
        <v>8131</v>
      </c>
      <c r="H1011" s="21" t="s">
        <v>8169</v>
      </c>
      <c r="I1011" s="21" t="s">
        <v>9036</v>
      </c>
    </row>
    <row r="1012" customFormat="false" ht="15" hidden="false" customHeight="false" outlineLevel="0" collapsed="false">
      <c r="B1012" s="19" t="s">
        <v>9089</v>
      </c>
      <c r="C1012" s="20" t="n">
        <f aca="false">ROUND(20.2/FX,2)</f>
        <v>2.81</v>
      </c>
      <c r="D1012" s="21" t="s">
        <v>6549</v>
      </c>
      <c r="E1012" s="21" t="s">
        <v>8168</v>
      </c>
      <c r="F1012" s="21" t="s">
        <v>734</v>
      </c>
      <c r="G1012" s="21" t="s">
        <v>8131</v>
      </c>
      <c r="H1012" s="21" t="s">
        <v>8169</v>
      </c>
      <c r="I1012" s="21" t="s">
        <v>9090</v>
      </c>
    </row>
    <row r="1013" customFormat="false" ht="15" hidden="false" customHeight="false" outlineLevel="0" collapsed="false">
      <c r="B1013" s="19" t="s">
        <v>9091</v>
      </c>
      <c r="C1013" s="20" t="n">
        <f aca="false">ROUND(20.2/FX,2)</f>
        <v>2.81</v>
      </c>
      <c r="D1013" s="21" t="s">
        <v>6549</v>
      </c>
      <c r="E1013" s="21" t="s">
        <v>8168</v>
      </c>
      <c r="F1013" s="21" t="s">
        <v>734</v>
      </c>
      <c r="G1013" s="21" t="s">
        <v>8131</v>
      </c>
      <c r="H1013" s="21" t="s">
        <v>8169</v>
      </c>
      <c r="I1013" s="21" t="s">
        <v>8989</v>
      </c>
    </row>
    <row r="1014" customFormat="false" ht="15" hidden="false" customHeight="false" outlineLevel="0" collapsed="false">
      <c r="B1014" s="19" t="s">
        <v>9092</v>
      </c>
      <c r="C1014" s="20" t="n">
        <f aca="false">ROUND(20.2/FX,2)</f>
        <v>2.81</v>
      </c>
      <c r="D1014" s="21" t="s">
        <v>6549</v>
      </c>
      <c r="E1014" s="21" t="s">
        <v>8168</v>
      </c>
      <c r="F1014" s="21" t="s">
        <v>734</v>
      </c>
      <c r="G1014" s="21" t="s">
        <v>8131</v>
      </c>
      <c r="H1014" s="21" t="s">
        <v>8169</v>
      </c>
      <c r="I1014" s="21" t="s">
        <v>9040</v>
      </c>
    </row>
    <row r="1015" customFormat="false" ht="15" hidden="false" customHeight="false" outlineLevel="0" collapsed="false">
      <c r="B1015" s="19" t="s">
        <v>9093</v>
      </c>
      <c r="C1015" s="20" t="n">
        <f aca="false">ROUND(20.2/FX,2)</f>
        <v>2.81</v>
      </c>
      <c r="D1015" s="21" t="s">
        <v>6549</v>
      </c>
      <c r="E1015" s="21" t="s">
        <v>8168</v>
      </c>
      <c r="F1015" s="21" t="s">
        <v>734</v>
      </c>
      <c r="G1015" s="21" t="s">
        <v>8131</v>
      </c>
      <c r="H1015" s="21" t="s">
        <v>8169</v>
      </c>
      <c r="I1015" s="21" t="s">
        <v>9045</v>
      </c>
    </row>
    <row r="1016" customFormat="false" ht="15" hidden="false" customHeight="false" outlineLevel="0" collapsed="false">
      <c r="B1016" s="19" t="s">
        <v>9094</v>
      </c>
      <c r="C1016" s="20" t="n">
        <f aca="false">ROUND(20.2/FX,2)</f>
        <v>2.81</v>
      </c>
      <c r="D1016" s="21" t="s">
        <v>6549</v>
      </c>
      <c r="E1016" s="21" t="s">
        <v>8168</v>
      </c>
      <c r="F1016" s="21" t="s">
        <v>734</v>
      </c>
      <c r="G1016" s="21" t="s">
        <v>8131</v>
      </c>
      <c r="H1016" s="21" t="s">
        <v>8169</v>
      </c>
      <c r="I1016" s="21" t="s">
        <v>7994</v>
      </c>
    </row>
    <row r="1017" customFormat="false" ht="15" hidden="false" customHeight="false" outlineLevel="0" collapsed="false">
      <c r="B1017" s="19" t="s">
        <v>9095</v>
      </c>
      <c r="C1017" s="20" t="n">
        <f aca="false">ROUND(20.2/FX,2)</f>
        <v>2.81</v>
      </c>
      <c r="D1017" s="21" t="s">
        <v>6549</v>
      </c>
      <c r="E1017" s="21" t="s">
        <v>8168</v>
      </c>
      <c r="F1017" s="21" t="s">
        <v>734</v>
      </c>
      <c r="G1017" s="21" t="s">
        <v>8131</v>
      </c>
      <c r="H1017" s="21" t="s">
        <v>8169</v>
      </c>
      <c r="I1017" s="21" t="s">
        <v>8017</v>
      </c>
    </row>
    <row r="1018" customFormat="false" ht="15" hidden="false" customHeight="false" outlineLevel="0" collapsed="false">
      <c r="B1018" s="19" t="s">
        <v>9096</v>
      </c>
      <c r="C1018" s="20" t="n">
        <f aca="false">ROUND(20.2/FX,2)</f>
        <v>2.81</v>
      </c>
      <c r="D1018" s="21" t="s">
        <v>6549</v>
      </c>
      <c r="E1018" s="21" t="s">
        <v>8168</v>
      </c>
      <c r="F1018" s="21" t="s">
        <v>734</v>
      </c>
      <c r="G1018" s="21" t="s">
        <v>8131</v>
      </c>
      <c r="H1018" s="21" t="s">
        <v>8169</v>
      </c>
      <c r="I1018" s="21" t="s">
        <v>8112</v>
      </c>
    </row>
    <row r="1019" customFormat="false" ht="15" hidden="false" customHeight="false" outlineLevel="0" collapsed="false">
      <c r="B1019" s="19" t="s">
        <v>9097</v>
      </c>
      <c r="C1019" s="20" t="n">
        <f aca="false">ROUND(20.2/FX,2)</f>
        <v>2.81</v>
      </c>
      <c r="D1019" s="21" t="s">
        <v>6549</v>
      </c>
      <c r="E1019" s="21" t="s">
        <v>8168</v>
      </c>
      <c r="F1019" s="21" t="s">
        <v>734</v>
      </c>
      <c r="G1019" s="21" t="s">
        <v>8131</v>
      </c>
      <c r="H1019" s="21" t="s">
        <v>8169</v>
      </c>
      <c r="I1019" s="21" t="s">
        <v>8114</v>
      </c>
    </row>
    <row r="1020" customFormat="false" ht="15" hidden="false" customHeight="false" outlineLevel="0" collapsed="false">
      <c r="B1020" s="19" t="s">
        <v>9098</v>
      </c>
      <c r="C1020" s="20" t="n">
        <f aca="false">ROUND(13.65/FX,2)</f>
        <v>1.9</v>
      </c>
      <c r="D1020" s="21" t="s">
        <v>6549</v>
      </c>
      <c r="E1020" s="21" t="s">
        <v>8168</v>
      </c>
      <c r="F1020" s="21" t="s">
        <v>734</v>
      </c>
      <c r="G1020" s="21" t="s">
        <v>8131</v>
      </c>
      <c r="H1020" s="21" t="s">
        <v>8169</v>
      </c>
      <c r="I1020" s="21" t="s">
        <v>9052</v>
      </c>
    </row>
    <row r="1021" customFormat="false" ht="15" hidden="false" customHeight="false" outlineLevel="0" collapsed="false">
      <c r="B1021" s="19" t="s">
        <v>9099</v>
      </c>
      <c r="C1021" s="20" t="n">
        <f aca="false">ROUND(20.2/FX,2)</f>
        <v>2.81</v>
      </c>
      <c r="D1021" s="21" t="s">
        <v>6549</v>
      </c>
      <c r="E1021" s="21" t="s">
        <v>8168</v>
      </c>
      <c r="F1021" s="21" t="s">
        <v>734</v>
      </c>
      <c r="G1021" s="21" t="s">
        <v>8131</v>
      </c>
      <c r="H1021" s="21" t="s">
        <v>8169</v>
      </c>
      <c r="I1021" s="21" t="s">
        <v>9055</v>
      </c>
    </row>
    <row r="1022" customFormat="false" ht="15" hidden="false" customHeight="false" outlineLevel="0" collapsed="false">
      <c r="B1022" s="19" t="s">
        <v>9100</v>
      </c>
      <c r="C1022" s="20" t="n">
        <f aca="false">ROUND(20.2/FX,2)</f>
        <v>2.81</v>
      </c>
      <c r="D1022" s="21" t="s">
        <v>6549</v>
      </c>
      <c r="E1022" s="21" t="s">
        <v>8168</v>
      </c>
      <c r="F1022" s="21" t="s">
        <v>734</v>
      </c>
      <c r="G1022" s="21" t="s">
        <v>8131</v>
      </c>
      <c r="H1022" s="21" t="s">
        <v>8169</v>
      </c>
      <c r="I1022" s="21" t="s">
        <v>7866</v>
      </c>
    </row>
    <row r="1023" customFormat="false" ht="15" hidden="false" customHeight="false" outlineLevel="0" collapsed="false">
      <c r="B1023" s="19" t="s">
        <v>9101</v>
      </c>
      <c r="C1023" s="20" t="n">
        <f aca="false">ROUND(20.8/FX,2)</f>
        <v>2.89</v>
      </c>
      <c r="D1023" s="21" t="s">
        <v>6549</v>
      </c>
      <c r="E1023" s="21" t="s">
        <v>8168</v>
      </c>
      <c r="F1023" s="21" t="s">
        <v>734</v>
      </c>
      <c r="G1023" s="21" t="s">
        <v>9102</v>
      </c>
      <c r="H1023" s="21" t="s">
        <v>8169</v>
      </c>
      <c r="I1023" s="21" t="s">
        <v>7875</v>
      </c>
    </row>
    <row r="1024" customFormat="false" ht="15" hidden="false" customHeight="false" outlineLevel="0" collapsed="false">
      <c r="B1024" s="19" t="s">
        <v>9103</v>
      </c>
      <c r="C1024" s="20" t="n">
        <f aca="false">ROUND(20.8/FX,2)</f>
        <v>2.89</v>
      </c>
      <c r="D1024" s="21" t="s">
        <v>6549</v>
      </c>
      <c r="E1024" s="21" t="s">
        <v>8168</v>
      </c>
      <c r="F1024" s="21" t="s">
        <v>734</v>
      </c>
      <c r="G1024" s="21" t="s">
        <v>9102</v>
      </c>
      <c r="H1024" s="21" t="s">
        <v>8169</v>
      </c>
      <c r="I1024" s="21" t="s">
        <v>7999</v>
      </c>
    </row>
    <row r="1025" customFormat="false" ht="15" hidden="false" customHeight="false" outlineLevel="0" collapsed="false">
      <c r="B1025" s="19" t="s">
        <v>9104</v>
      </c>
      <c r="C1025" s="20" t="n">
        <f aca="false">ROUND(20.8/FX,2)</f>
        <v>2.89</v>
      </c>
      <c r="D1025" s="21" t="s">
        <v>6549</v>
      </c>
      <c r="E1025" s="21" t="s">
        <v>8168</v>
      </c>
      <c r="F1025" s="21" t="s">
        <v>734</v>
      </c>
      <c r="G1025" s="21" t="s">
        <v>9102</v>
      </c>
      <c r="H1025" s="21" t="s">
        <v>8169</v>
      </c>
      <c r="I1025" s="21" t="s">
        <v>8058</v>
      </c>
    </row>
    <row r="1026" customFormat="false" ht="15" hidden="false" customHeight="false" outlineLevel="0" collapsed="false">
      <c r="B1026" s="19" t="s">
        <v>9105</v>
      </c>
      <c r="C1026" s="20" t="n">
        <f aca="false">ROUND(20.8/FX,2)</f>
        <v>2.89</v>
      </c>
      <c r="D1026" s="21" t="s">
        <v>6549</v>
      </c>
      <c r="E1026" s="21" t="s">
        <v>8168</v>
      </c>
      <c r="F1026" s="21" t="s">
        <v>734</v>
      </c>
      <c r="G1026" s="21" t="s">
        <v>9102</v>
      </c>
      <c r="H1026" s="21" t="s">
        <v>8169</v>
      </c>
      <c r="I1026" s="21" t="s">
        <v>8060</v>
      </c>
    </row>
    <row r="1027" customFormat="false" ht="15" hidden="false" customHeight="false" outlineLevel="0" collapsed="false">
      <c r="B1027" s="19" t="s">
        <v>9106</v>
      </c>
      <c r="C1027" s="20" t="n">
        <f aca="false">ROUND(20.8/FX,2)</f>
        <v>2.89</v>
      </c>
      <c r="D1027" s="21" t="s">
        <v>6549</v>
      </c>
      <c r="E1027" s="21" t="s">
        <v>8168</v>
      </c>
      <c r="F1027" s="21" t="s">
        <v>734</v>
      </c>
      <c r="G1027" s="21" t="s">
        <v>9102</v>
      </c>
      <c r="H1027" s="21" t="s">
        <v>8169</v>
      </c>
      <c r="I1027" s="21" t="s">
        <v>8804</v>
      </c>
    </row>
    <row r="1028" customFormat="false" ht="15" hidden="false" customHeight="false" outlineLevel="0" collapsed="false">
      <c r="B1028" s="19" t="s">
        <v>9107</v>
      </c>
      <c r="C1028" s="20" t="n">
        <f aca="false">ROUND(20.8/FX,2)</f>
        <v>2.89</v>
      </c>
      <c r="D1028" s="21" t="s">
        <v>6549</v>
      </c>
      <c r="E1028" s="21" t="s">
        <v>8168</v>
      </c>
      <c r="F1028" s="21" t="s">
        <v>734</v>
      </c>
      <c r="G1028" s="21" t="s">
        <v>9102</v>
      </c>
      <c r="H1028" s="21" t="s">
        <v>8169</v>
      </c>
      <c r="I1028" s="21" t="s">
        <v>8152</v>
      </c>
    </row>
    <row r="1029" customFormat="false" ht="15" hidden="false" customHeight="false" outlineLevel="0" collapsed="false">
      <c r="B1029" s="19" t="s">
        <v>9108</v>
      </c>
      <c r="C1029" s="20" t="n">
        <f aca="false">ROUND(20.8/FX,2)</f>
        <v>2.89</v>
      </c>
      <c r="D1029" s="21" t="s">
        <v>6549</v>
      </c>
      <c r="E1029" s="21" t="s">
        <v>8168</v>
      </c>
      <c r="F1029" s="21" t="s">
        <v>734</v>
      </c>
      <c r="G1029" s="21" t="s">
        <v>9102</v>
      </c>
      <c r="H1029" s="21" t="s">
        <v>8169</v>
      </c>
      <c r="I1029" s="21" t="s">
        <v>9109</v>
      </c>
    </row>
    <row r="1030" customFormat="false" ht="15" hidden="false" customHeight="false" outlineLevel="0" collapsed="false">
      <c r="B1030" s="19" t="s">
        <v>9110</v>
      </c>
      <c r="C1030" s="20" t="n">
        <f aca="false">ROUND(20.8/FX,2)</f>
        <v>2.89</v>
      </c>
      <c r="D1030" s="21" t="s">
        <v>6549</v>
      </c>
      <c r="E1030" s="21" t="s">
        <v>8168</v>
      </c>
      <c r="F1030" s="21" t="s">
        <v>734</v>
      </c>
      <c r="G1030" s="21" t="s">
        <v>9102</v>
      </c>
      <c r="H1030" s="21" t="s">
        <v>8169</v>
      </c>
      <c r="I1030" s="21" t="s">
        <v>9111</v>
      </c>
    </row>
    <row r="1031" customFormat="false" ht="15" hidden="false" customHeight="false" outlineLevel="0" collapsed="false">
      <c r="B1031" s="19" t="s">
        <v>9112</v>
      </c>
      <c r="C1031" s="20" t="n">
        <f aca="false">ROUND(16.9/FX,2)</f>
        <v>2.35</v>
      </c>
      <c r="D1031" s="21" t="s">
        <v>6549</v>
      </c>
      <c r="E1031" s="21" t="s">
        <v>8168</v>
      </c>
      <c r="F1031" s="21" t="s">
        <v>734</v>
      </c>
      <c r="G1031" s="21" t="s">
        <v>9102</v>
      </c>
      <c r="H1031" s="21" t="s">
        <v>8169</v>
      </c>
      <c r="I1031" s="21" t="s">
        <v>8987</v>
      </c>
    </row>
    <row r="1032" customFormat="false" ht="15" hidden="false" customHeight="false" outlineLevel="0" collapsed="false">
      <c r="B1032" s="19" t="s">
        <v>9113</v>
      </c>
      <c r="C1032" s="20" t="n">
        <f aca="false">ROUND(20.8/FX,2)</f>
        <v>2.89</v>
      </c>
      <c r="D1032" s="21" t="s">
        <v>6549</v>
      </c>
      <c r="E1032" s="21" t="s">
        <v>8168</v>
      </c>
      <c r="F1032" s="21" t="s">
        <v>734</v>
      </c>
      <c r="G1032" s="21" t="s">
        <v>9102</v>
      </c>
      <c r="H1032" s="21" t="s">
        <v>8169</v>
      </c>
      <c r="I1032" s="21" t="s">
        <v>9003</v>
      </c>
    </row>
    <row r="1033" customFormat="false" ht="15" hidden="false" customHeight="false" outlineLevel="0" collapsed="false">
      <c r="B1033" s="19" t="s">
        <v>9114</v>
      </c>
      <c r="C1033" s="20" t="n">
        <f aca="false">ROUND(20.8/FX,2)</f>
        <v>2.89</v>
      </c>
      <c r="D1033" s="21" t="s">
        <v>6549</v>
      </c>
      <c r="E1033" s="21" t="s">
        <v>8168</v>
      </c>
      <c r="F1033" s="21" t="s">
        <v>734</v>
      </c>
      <c r="G1033" s="21" t="s">
        <v>9102</v>
      </c>
      <c r="H1033" s="21" t="s">
        <v>8169</v>
      </c>
      <c r="I1033" s="21" t="s">
        <v>8068</v>
      </c>
    </row>
    <row r="1034" customFormat="false" ht="15" hidden="false" customHeight="false" outlineLevel="0" collapsed="false">
      <c r="B1034" s="19" t="s">
        <v>9115</v>
      </c>
      <c r="C1034" s="20" t="n">
        <f aca="false">ROUND(20.8/FX,2)</f>
        <v>2.89</v>
      </c>
      <c r="D1034" s="21" t="s">
        <v>6549</v>
      </c>
      <c r="E1034" s="21" t="s">
        <v>8168</v>
      </c>
      <c r="F1034" s="21" t="s">
        <v>734</v>
      </c>
      <c r="G1034" s="21" t="s">
        <v>9102</v>
      </c>
      <c r="H1034" s="21" t="s">
        <v>8169</v>
      </c>
      <c r="I1034" s="21" t="s">
        <v>8070</v>
      </c>
    </row>
    <row r="1035" customFormat="false" ht="15" hidden="false" customHeight="false" outlineLevel="0" collapsed="false">
      <c r="B1035" s="19" t="s">
        <v>9116</v>
      </c>
      <c r="C1035" s="20" t="n">
        <f aca="false">ROUND(20.8/FX,2)</f>
        <v>2.89</v>
      </c>
      <c r="D1035" s="21" t="s">
        <v>6549</v>
      </c>
      <c r="E1035" s="21" t="s">
        <v>8168</v>
      </c>
      <c r="F1035" s="21" t="s">
        <v>734</v>
      </c>
      <c r="G1035" s="21" t="s">
        <v>9102</v>
      </c>
      <c r="H1035" s="21" t="s">
        <v>8169</v>
      </c>
      <c r="I1035" s="21" t="s">
        <v>8072</v>
      </c>
    </row>
    <row r="1036" customFormat="false" ht="15" hidden="false" customHeight="false" outlineLevel="0" collapsed="false">
      <c r="B1036" s="19" t="s">
        <v>9117</v>
      </c>
      <c r="C1036" s="20" t="n">
        <f aca="false">ROUND(20.8/FX,2)</f>
        <v>2.89</v>
      </c>
      <c r="D1036" s="21" t="s">
        <v>6549</v>
      </c>
      <c r="E1036" s="21" t="s">
        <v>8168</v>
      </c>
      <c r="F1036" s="21" t="s">
        <v>734</v>
      </c>
      <c r="G1036" s="21" t="s">
        <v>9102</v>
      </c>
      <c r="H1036" s="21" t="s">
        <v>8169</v>
      </c>
      <c r="I1036" s="21" t="s">
        <v>8723</v>
      </c>
    </row>
    <row r="1037" customFormat="false" ht="15" hidden="false" customHeight="false" outlineLevel="0" collapsed="false">
      <c r="B1037" s="19" t="s">
        <v>9118</v>
      </c>
      <c r="C1037" s="20" t="n">
        <f aca="false">ROUND(20.8/FX,2)</f>
        <v>2.89</v>
      </c>
      <c r="D1037" s="21" t="s">
        <v>6549</v>
      </c>
      <c r="E1037" s="21" t="s">
        <v>8168</v>
      </c>
      <c r="F1037" s="21" t="s">
        <v>734</v>
      </c>
      <c r="G1037" s="21" t="s">
        <v>9102</v>
      </c>
      <c r="H1037" s="21" t="s">
        <v>8169</v>
      </c>
      <c r="I1037" s="21" t="s">
        <v>9119</v>
      </c>
    </row>
    <row r="1038" customFormat="false" ht="15" hidden="false" customHeight="false" outlineLevel="0" collapsed="false">
      <c r="B1038" s="19" t="s">
        <v>9120</v>
      </c>
      <c r="C1038" s="20" t="n">
        <f aca="false">ROUND(20.8/FX,2)</f>
        <v>2.89</v>
      </c>
      <c r="D1038" s="21" t="s">
        <v>6549</v>
      </c>
      <c r="E1038" s="21" t="s">
        <v>8168</v>
      </c>
      <c r="F1038" s="21" t="s">
        <v>734</v>
      </c>
      <c r="G1038" s="21" t="s">
        <v>9102</v>
      </c>
      <c r="H1038" s="21" t="s">
        <v>8169</v>
      </c>
      <c r="I1038" s="21" t="s">
        <v>9121</v>
      </c>
    </row>
    <row r="1039" customFormat="false" ht="15" hidden="false" customHeight="false" outlineLevel="0" collapsed="false">
      <c r="B1039" s="19" t="s">
        <v>9122</v>
      </c>
      <c r="C1039" s="20" t="n">
        <f aca="false">ROUND(20.8/FX,2)</f>
        <v>2.89</v>
      </c>
      <c r="D1039" s="21" t="s">
        <v>6549</v>
      </c>
      <c r="E1039" s="21" t="s">
        <v>8168</v>
      </c>
      <c r="F1039" s="21" t="s">
        <v>734</v>
      </c>
      <c r="G1039" s="21" t="s">
        <v>9102</v>
      </c>
      <c r="H1039" s="21" t="s">
        <v>8169</v>
      </c>
      <c r="I1039" s="21" t="s">
        <v>9123</v>
      </c>
    </row>
    <row r="1040" customFormat="false" ht="15" hidden="false" customHeight="false" outlineLevel="0" collapsed="false">
      <c r="B1040" s="19" t="s">
        <v>9124</v>
      </c>
      <c r="C1040" s="20" t="n">
        <f aca="false">ROUND(20.8/FX,2)</f>
        <v>2.89</v>
      </c>
      <c r="D1040" s="21" t="s">
        <v>6549</v>
      </c>
      <c r="E1040" s="21" t="s">
        <v>8168</v>
      </c>
      <c r="F1040" s="21" t="s">
        <v>734</v>
      </c>
      <c r="G1040" s="21" t="s">
        <v>9102</v>
      </c>
      <c r="H1040" s="21" t="s">
        <v>8169</v>
      </c>
      <c r="I1040" s="21" t="s">
        <v>9125</v>
      </c>
    </row>
    <row r="1041" customFormat="false" ht="15" hidden="false" customHeight="false" outlineLevel="0" collapsed="false">
      <c r="B1041" s="19" t="s">
        <v>9126</v>
      </c>
      <c r="C1041" s="20" t="n">
        <f aca="false">ROUND(20.8/FX,2)</f>
        <v>2.89</v>
      </c>
      <c r="D1041" s="21" t="s">
        <v>6549</v>
      </c>
      <c r="E1041" s="21" t="s">
        <v>8168</v>
      </c>
      <c r="F1041" s="21" t="s">
        <v>734</v>
      </c>
      <c r="G1041" s="21" t="s">
        <v>9102</v>
      </c>
      <c r="H1041" s="21" t="s">
        <v>8169</v>
      </c>
      <c r="I1041" s="21" t="s">
        <v>7985</v>
      </c>
    </row>
    <row r="1042" customFormat="false" ht="15" hidden="false" customHeight="false" outlineLevel="0" collapsed="false">
      <c r="B1042" s="19" t="s">
        <v>9127</v>
      </c>
      <c r="C1042" s="20" t="n">
        <f aca="false">ROUND(20.8/FX,2)</f>
        <v>2.89</v>
      </c>
      <c r="D1042" s="21" t="s">
        <v>6549</v>
      </c>
      <c r="E1042" s="21" t="s">
        <v>8168</v>
      </c>
      <c r="F1042" s="21" t="s">
        <v>734</v>
      </c>
      <c r="G1042" s="21" t="s">
        <v>9102</v>
      </c>
      <c r="H1042" s="21" t="s">
        <v>8169</v>
      </c>
      <c r="I1042" s="21" t="s">
        <v>8075</v>
      </c>
    </row>
    <row r="1043" customFormat="false" ht="15" hidden="false" customHeight="false" outlineLevel="0" collapsed="false">
      <c r="B1043" s="19" t="s">
        <v>9128</v>
      </c>
      <c r="C1043" s="20" t="n">
        <f aca="false">ROUND(20.8/FX,2)</f>
        <v>2.89</v>
      </c>
      <c r="D1043" s="21" t="s">
        <v>6549</v>
      </c>
      <c r="E1043" s="21" t="s">
        <v>8168</v>
      </c>
      <c r="F1043" s="21" t="s">
        <v>734</v>
      </c>
      <c r="G1043" s="21" t="s">
        <v>9102</v>
      </c>
      <c r="H1043" s="21" t="s">
        <v>8169</v>
      </c>
      <c r="I1043" s="21" t="s">
        <v>8077</v>
      </c>
    </row>
    <row r="1044" customFormat="false" ht="15" hidden="false" customHeight="false" outlineLevel="0" collapsed="false">
      <c r="B1044" s="19" t="s">
        <v>9129</v>
      </c>
      <c r="C1044" s="20" t="n">
        <f aca="false">ROUND(20.8/FX,2)</f>
        <v>2.89</v>
      </c>
      <c r="D1044" s="21" t="s">
        <v>6549</v>
      </c>
      <c r="E1044" s="21" t="s">
        <v>8168</v>
      </c>
      <c r="F1044" s="21" t="s">
        <v>734</v>
      </c>
      <c r="G1044" s="21" t="s">
        <v>9102</v>
      </c>
      <c r="H1044" s="21" t="s">
        <v>8169</v>
      </c>
      <c r="I1044" s="21" t="s">
        <v>8079</v>
      </c>
    </row>
    <row r="1045" customFormat="false" ht="15" hidden="false" customHeight="false" outlineLevel="0" collapsed="false">
      <c r="B1045" s="19" t="s">
        <v>9130</v>
      </c>
      <c r="C1045" s="20" t="n">
        <f aca="false">ROUND(20.8/FX,2)</f>
        <v>2.89</v>
      </c>
      <c r="D1045" s="21" t="s">
        <v>6549</v>
      </c>
      <c r="E1045" s="21" t="s">
        <v>8168</v>
      </c>
      <c r="F1045" s="21" t="s">
        <v>734</v>
      </c>
      <c r="G1045" s="21" t="s">
        <v>9102</v>
      </c>
      <c r="H1045" s="21" t="s">
        <v>8169</v>
      </c>
      <c r="I1045" s="21" t="s">
        <v>8081</v>
      </c>
    </row>
    <row r="1046" customFormat="false" ht="15" hidden="false" customHeight="false" outlineLevel="0" collapsed="false">
      <c r="B1046" s="19" t="s">
        <v>9131</v>
      </c>
      <c r="C1046" s="20" t="n">
        <f aca="false">ROUND(20.8/FX,2)</f>
        <v>2.89</v>
      </c>
      <c r="D1046" s="21" t="s">
        <v>6549</v>
      </c>
      <c r="E1046" s="21" t="s">
        <v>8168</v>
      </c>
      <c r="F1046" s="21" t="s">
        <v>734</v>
      </c>
      <c r="G1046" s="21" t="s">
        <v>9102</v>
      </c>
      <c r="H1046" s="21" t="s">
        <v>8169</v>
      </c>
      <c r="I1046" s="21" t="s">
        <v>9132</v>
      </c>
    </row>
    <row r="1047" customFormat="false" ht="15" hidden="false" customHeight="false" outlineLevel="0" collapsed="false">
      <c r="B1047" s="19" t="s">
        <v>9133</v>
      </c>
      <c r="C1047" s="20" t="n">
        <f aca="false">ROUND(20.8/FX,2)</f>
        <v>2.89</v>
      </c>
      <c r="D1047" s="21" t="s">
        <v>6549</v>
      </c>
      <c r="E1047" s="21" t="s">
        <v>8168</v>
      </c>
      <c r="F1047" s="21" t="s">
        <v>734</v>
      </c>
      <c r="G1047" s="21" t="s">
        <v>9102</v>
      </c>
      <c r="H1047" s="21" t="s">
        <v>8169</v>
      </c>
      <c r="I1047" s="21" t="s">
        <v>9134</v>
      </c>
    </row>
    <row r="1048" customFormat="false" ht="15" hidden="false" customHeight="false" outlineLevel="0" collapsed="false">
      <c r="B1048" s="19" t="s">
        <v>9135</v>
      </c>
      <c r="C1048" s="20" t="n">
        <f aca="false">ROUND(20.8/FX,2)</f>
        <v>2.89</v>
      </c>
      <c r="D1048" s="21" t="s">
        <v>6549</v>
      </c>
      <c r="E1048" s="21" t="s">
        <v>8168</v>
      </c>
      <c r="F1048" s="21" t="s">
        <v>734</v>
      </c>
      <c r="G1048" s="21" t="s">
        <v>9102</v>
      </c>
      <c r="H1048" s="21" t="s">
        <v>8169</v>
      </c>
      <c r="I1048" s="21" t="s">
        <v>8994</v>
      </c>
    </row>
    <row r="1049" customFormat="false" ht="15" hidden="false" customHeight="false" outlineLevel="0" collapsed="false">
      <c r="B1049" s="19" t="s">
        <v>9136</v>
      </c>
      <c r="C1049" s="20" t="n">
        <f aca="false">ROUND(20.8/FX,2)</f>
        <v>2.89</v>
      </c>
      <c r="D1049" s="21" t="s">
        <v>6549</v>
      </c>
      <c r="E1049" s="21" t="s">
        <v>8168</v>
      </c>
      <c r="F1049" s="21" t="s">
        <v>734</v>
      </c>
      <c r="G1049" s="21" t="s">
        <v>9102</v>
      </c>
      <c r="H1049" s="21" t="s">
        <v>8169</v>
      </c>
      <c r="I1049" s="21" t="s">
        <v>8154</v>
      </c>
    </row>
    <row r="1050" customFormat="false" ht="15" hidden="false" customHeight="false" outlineLevel="0" collapsed="false">
      <c r="B1050" s="19" t="s">
        <v>9137</v>
      </c>
      <c r="C1050" s="20" t="n">
        <f aca="false">ROUND(20.8/FX,2)</f>
        <v>2.89</v>
      </c>
      <c r="D1050" s="21" t="s">
        <v>6549</v>
      </c>
      <c r="E1050" s="21" t="s">
        <v>8168</v>
      </c>
      <c r="F1050" s="21" t="s">
        <v>734</v>
      </c>
      <c r="G1050" s="21" t="s">
        <v>9102</v>
      </c>
      <c r="H1050" s="21" t="s">
        <v>8169</v>
      </c>
      <c r="I1050" s="21" t="s">
        <v>8085</v>
      </c>
    </row>
    <row r="1051" customFormat="false" ht="15" hidden="false" customHeight="false" outlineLevel="0" collapsed="false">
      <c r="B1051" s="19" t="s">
        <v>9138</v>
      </c>
      <c r="C1051" s="20" t="n">
        <f aca="false">ROUND(20.8/FX,2)</f>
        <v>2.89</v>
      </c>
      <c r="D1051" s="21" t="s">
        <v>6549</v>
      </c>
      <c r="E1051" s="21" t="s">
        <v>8168</v>
      </c>
      <c r="F1051" s="21" t="s">
        <v>734</v>
      </c>
      <c r="G1051" s="21" t="s">
        <v>9102</v>
      </c>
      <c r="H1051" s="21" t="s">
        <v>8169</v>
      </c>
      <c r="I1051" s="21" t="s">
        <v>8087</v>
      </c>
    </row>
    <row r="1052" customFormat="false" ht="15" hidden="false" customHeight="false" outlineLevel="0" collapsed="false">
      <c r="B1052" s="19" t="s">
        <v>9139</v>
      </c>
      <c r="C1052" s="20" t="n">
        <f aca="false">ROUND(20.8/FX,2)</f>
        <v>2.89</v>
      </c>
      <c r="D1052" s="21" t="s">
        <v>6549</v>
      </c>
      <c r="E1052" s="21" t="s">
        <v>8168</v>
      </c>
      <c r="F1052" s="21" t="s">
        <v>734</v>
      </c>
      <c r="G1052" s="21" t="s">
        <v>9102</v>
      </c>
      <c r="H1052" s="21" t="s">
        <v>8169</v>
      </c>
      <c r="I1052" s="21" t="s">
        <v>8089</v>
      </c>
    </row>
    <row r="1053" customFormat="false" ht="15" hidden="false" customHeight="false" outlineLevel="0" collapsed="false">
      <c r="B1053" s="19" t="s">
        <v>9140</v>
      </c>
      <c r="C1053" s="20" t="n">
        <f aca="false">ROUND(20.8/FX,2)</f>
        <v>2.89</v>
      </c>
      <c r="D1053" s="21" t="s">
        <v>6549</v>
      </c>
      <c r="E1053" s="21" t="s">
        <v>8168</v>
      </c>
      <c r="F1053" s="21" t="s">
        <v>734</v>
      </c>
      <c r="G1053" s="21" t="s">
        <v>9102</v>
      </c>
      <c r="H1053" s="21" t="s">
        <v>8169</v>
      </c>
      <c r="I1053" s="21" t="s">
        <v>8137</v>
      </c>
    </row>
    <row r="1054" customFormat="false" ht="15" hidden="false" customHeight="false" outlineLevel="0" collapsed="false">
      <c r="B1054" s="19" t="s">
        <v>9141</v>
      </c>
      <c r="C1054" s="20" t="n">
        <f aca="false">ROUND(20.8/FX,2)</f>
        <v>2.89</v>
      </c>
      <c r="D1054" s="21" t="s">
        <v>6549</v>
      </c>
      <c r="E1054" s="21" t="s">
        <v>8168</v>
      </c>
      <c r="F1054" s="21" t="s">
        <v>734</v>
      </c>
      <c r="G1054" s="21" t="s">
        <v>9102</v>
      </c>
      <c r="H1054" s="21" t="s">
        <v>8169</v>
      </c>
      <c r="I1054" s="21" t="s">
        <v>9142</v>
      </c>
    </row>
    <row r="1055" customFormat="false" ht="15" hidden="false" customHeight="false" outlineLevel="0" collapsed="false">
      <c r="B1055" s="19" t="s">
        <v>9143</v>
      </c>
      <c r="C1055" s="20" t="n">
        <f aca="false">ROUND(20.8/FX,2)</f>
        <v>2.89</v>
      </c>
      <c r="D1055" s="21" t="s">
        <v>6549</v>
      </c>
      <c r="E1055" s="21" t="s">
        <v>8168</v>
      </c>
      <c r="F1055" s="21" t="s">
        <v>734</v>
      </c>
      <c r="G1055" s="21" t="s">
        <v>9102</v>
      </c>
      <c r="H1055" s="21" t="s">
        <v>8169</v>
      </c>
      <c r="I1055" s="21" t="s">
        <v>9018</v>
      </c>
    </row>
    <row r="1056" customFormat="false" ht="15" hidden="false" customHeight="false" outlineLevel="0" collapsed="false">
      <c r="B1056" s="19" t="s">
        <v>9144</v>
      </c>
      <c r="C1056" s="20" t="n">
        <f aca="false">ROUND(16.9/FX,2)</f>
        <v>2.35</v>
      </c>
      <c r="D1056" s="21" t="s">
        <v>6549</v>
      </c>
      <c r="E1056" s="21" t="s">
        <v>8168</v>
      </c>
      <c r="F1056" s="21" t="s">
        <v>734</v>
      </c>
      <c r="G1056" s="21" t="s">
        <v>9102</v>
      </c>
      <c r="H1056" s="21" t="s">
        <v>8169</v>
      </c>
      <c r="I1056" s="21" t="s">
        <v>9020</v>
      </c>
    </row>
    <row r="1057" customFormat="false" ht="15" hidden="false" customHeight="false" outlineLevel="0" collapsed="false">
      <c r="B1057" s="19" t="s">
        <v>9145</v>
      </c>
      <c r="C1057" s="20" t="n">
        <f aca="false">ROUND(20.8/FX,2)</f>
        <v>2.89</v>
      </c>
      <c r="D1057" s="21" t="s">
        <v>6549</v>
      </c>
      <c r="E1057" s="21" t="s">
        <v>8168</v>
      </c>
      <c r="F1057" s="21" t="s">
        <v>734</v>
      </c>
      <c r="G1057" s="21" t="s">
        <v>9102</v>
      </c>
      <c r="H1057" s="21" t="s">
        <v>8169</v>
      </c>
      <c r="I1057" s="21" t="s">
        <v>8045</v>
      </c>
    </row>
    <row r="1058" customFormat="false" ht="15" hidden="false" customHeight="false" outlineLevel="0" collapsed="false">
      <c r="B1058" s="19" t="s">
        <v>9146</v>
      </c>
      <c r="C1058" s="20" t="n">
        <f aca="false">ROUND(20.8/FX,2)</f>
        <v>2.89</v>
      </c>
      <c r="D1058" s="21" t="s">
        <v>6549</v>
      </c>
      <c r="E1058" s="21" t="s">
        <v>8168</v>
      </c>
      <c r="F1058" s="21" t="s">
        <v>734</v>
      </c>
      <c r="G1058" s="21" t="s">
        <v>9102</v>
      </c>
      <c r="H1058" s="21" t="s">
        <v>8169</v>
      </c>
      <c r="I1058" s="21" t="s">
        <v>8840</v>
      </c>
    </row>
    <row r="1059" customFormat="false" ht="15" hidden="false" customHeight="false" outlineLevel="0" collapsed="false">
      <c r="B1059" s="19" t="s">
        <v>9147</v>
      </c>
      <c r="C1059" s="20" t="n">
        <f aca="false">ROUND(20.8/FX,2)</f>
        <v>2.89</v>
      </c>
      <c r="D1059" s="21" t="s">
        <v>6549</v>
      </c>
      <c r="E1059" s="21" t="s">
        <v>8168</v>
      </c>
      <c r="F1059" s="21" t="s">
        <v>734</v>
      </c>
      <c r="G1059" s="21" t="s">
        <v>9102</v>
      </c>
      <c r="H1059" s="21" t="s">
        <v>8169</v>
      </c>
      <c r="I1059" s="21" t="s">
        <v>9148</v>
      </c>
    </row>
    <row r="1060" customFormat="false" ht="15" hidden="false" customHeight="false" outlineLevel="0" collapsed="false">
      <c r="B1060" s="19" t="s">
        <v>9149</v>
      </c>
      <c r="C1060" s="20" t="n">
        <f aca="false">ROUND(20.8/FX,2)</f>
        <v>2.89</v>
      </c>
      <c r="D1060" s="21" t="s">
        <v>6549</v>
      </c>
      <c r="E1060" s="21" t="s">
        <v>8168</v>
      </c>
      <c r="F1060" s="21" t="s">
        <v>734</v>
      </c>
      <c r="G1060" s="21" t="s">
        <v>9102</v>
      </c>
      <c r="H1060" s="21" t="s">
        <v>8169</v>
      </c>
      <c r="I1060" s="21" t="s">
        <v>9150</v>
      </c>
    </row>
    <row r="1061" customFormat="false" ht="15" hidden="false" customHeight="false" outlineLevel="0" collapsed="false">
      <c r="B1061" s="19" t="s">
        <v>9151</v>
      </c>
      <c r="C1061" s="20" t="n">
        <f aca="false">ROUND(20.8/FX,2)</f>
        <v>2.89</v>
      </c>
      <c r="D1061" s="21" t="s">
        <v>6549</v>
      </c>
      <c r="E1061" s="21" t="s">
        <v>8168</v>
      </c>
      <c r="F1061" s="21" t="s">
        <v>734</v>
      </c>
      <c r="G1061" s="21" t="s">
        <v>9102</v>
      </c>
      <c r="H1061" s="21" t="s">
        <v>8169</v>
      </c>
      <c r="I1061" s="21" t="s">
        <v>9026</v>
      </c>
    </row>
    <row r="1062" customFormat="false" ht="15" hidden="false" customHeight="false" outlineLevel="0" collapsed="false">
      <c r="B1062" s="19" t="s">
        <v>9152</v>
      </c>
      <c r="C1062" s="20" t="n">
        <f aca="false">ROUND(20.8/FX,2)</f>
        <v>2.89</v>
      </c>
      <c r="D1062" s="21" t="s">
        <v>6549</v>
      </c>
      <c r="E1062" s="21" t="s">
        <v>8168</v>
      </c>
      <c r="F1062" s="21" t="s">
        <v>734</v>
      </c>
      <c r="G1062" s="21" t="s">
        <v>9102</v>
      </c>
      <c r="H1062" s="21" t="s">
        <v>8169</v>
      </c>
      <c r="I1062" s="21" t="s">
        <v>9028</v>
      </c>
    </row>
    <row r="1063" customFormat="false" ht="15" hidden="false" customHeight="false" outlineLevel="0" collapsed="false">
      <c r="B1063" s="19" t="s">
        <v>9153</v>
      </c>
      <c r="C1063" s="20" t="n">
        <f aca="false">ROUND(20.8/FX,2)</f>
        <v>2.89</v>
      </c>
      <c r="D1063" s="21" t="s">
        <v>6549</v>
      </c>
      <c r="E1063" s="21" t="s">
        <v>8168</v>
      </c>
      <c r="F1063" s="21" t="s">
        <v>734</v>
      </c>
      <c r="G1063" s="21" t="s">
        <v>9102</v>
      </c>
      <c r="H1063" s="21" t="s">
        <v>8169</v>
      </c>
      <c r="I1063" s="21" t="s">
        <v>8047</v>
      </c>
    </row>
    <row r="1064" customFormat="false" ht="15" hidden="false" customHeight="false" outlineLevel="0" collapsed="false">
      <c r="B1064" s="19" t="s">
        <v>9154</v>
      </c>
      <c r="C1064" s="20" t="n">
        <f aca="false">ROUND(20.8/FX,2)</f>
        <v>2.89</v>
      </c>
      <c r="D1064" s="21" t="s">
        <v>6549</v>
      </c>
      <c r="E1064" s="21" t="s">
        <v>8168</v>
      </c>
      <c r="F1064" s="21" t="s">
        <v>734</v>
      </c>
      <c r="G1064" s="21" t="s">
        <v>9102</v>
      </c>
      <c r="H1064" s="21" t="s">
        <v>8169</v>
      </c>
      <c r="I1064" s="21" t="s">
        <v>9155</v>
      </c>
    </row>
    <row r="1065" customFormat="false" ht="15" hidden="false" customHeight="false" outlineLevel="0" collapsed="false">
      <c r="B1065" s="19" t="s">
        <v>9156</v>
      </c>
      <c r="C1065" s="20" t="n">
        <f aca="false">ROUND(20.8/FX,2)</f>
        <v>2.89</v>
      </c>
      <c r="D1065" s="21" t="s">
        <v>6549</v>
      </c>
      <c r="E1065" s="21" t="s">
        <v>8168</v>
      </c>
      <c r="F1065" s="21" t="s">
        <v>734</v>
      </c>
      <c r="G1065" s="21" t="s">
        <v>9102</v>
      </c>
      <c r="H1065" s="21" t="s">
        <v>8169</v>
      </c>
      <c r="I1065" s="21" t="s">
        <v>9157</v>
      </c>
    </row>
    <row r="1066" customFormat="false" ht="15" hidden="false" customHeight="false" outlineLevel="0" collapsed="false">
      <c r="B1066" s="19" t="s">
        <v>9158</v>
      </c>
      <c r="C1066" s="20" t="n">
        <f aca="false">ROUND(20.8/FX,2)</f>
        <v>2.89</v>
      </c>
      <c r="D1066" s="21" t="s">
        <v>6549</v>
      </c>
      <c r="E1066" s="21" t="s">
        <v>8168</v>
      </c>
      <c r="F1066" s="21" t="s">
        <v>734</v>
      </c>
      <c r="G1066" s="21" t="s">
        <v>9102</v>
      </c>
      <c r="H1066" s="21" t="s">
        <v>8169</v>
      </c>
      <c r="I1066" s="21" t="s">
        <v>8126</v>
      </c>
    </row>
    <row r="1067" customFormat="false" ht="15" hidden="false" customHeight="false" outlineLevel="0" collapsed="false">
      <c r="B1067" s="19" t="s">
        <v>9159</v>
      </c>
      <c r="C1067" s="20" t="n">
        <f aca="false">ROUND(20.8/FX,2)</f>
        <v>2.89</v>
      </c>
      <c r="D1067" s="21" t="s">
        <v>6549</v>
      </c>
      <c r="E1067" s="21" t="s">
        <v>8168</v>
      </c>
      <c r="F1067" s="21" t="s">
        <v>734</v>
      </c>
      <c r="G1067" s="21" t="s">
        <v>9102</v>
      </c>
      <c r="H1067" s="21" t="s">
        <v>8169</v>
      </c>
      <c r="I1067" s="21" t="s">
        <v>9034</v>
      </c>
    </row>
    <row r="1068" customFormat="false" ht="15" hidden="false" customHeight="false" outlineLevel="0" collapsed="false">
      <c r="B1068" s="19" t="s">
        <v>9160</v>
      </c>
      <c r="C1068" s="20" t="n">
        <f aca="false">ROUND(20.8/FX,2)</f>
        <v>2.89</v>
      </c>
      <c r="D1068" s="21" t="s">
        <v>6549</v>
      </c>
      <c r="E1068" s="21" t="s">
        <v>8168</v>
      </c>
      <c r="F1068" s="21" t="s">
        <v>734</v>
      </c>
      <c r="G1068" s="21" t="s">
        <v>9102</v>
      </c>
      <c r="H1068" s="21" t="s">
        <v>8169</v>
      </c>
      <c r="I1068" s="21" t="s">
        <v>8158</v>
      </c>
    </row>
    <row r="1069" customFormat="false" ht="15" hidden="false" customHeight="false" outlineLevel="0" collapsed="false">
      <c r="B1069" s="19" t="s">
        <v>9161</v>
      </c>
      <c r="C1069" s="20" t="n">
        <f aca="false">ROUND(20.8/FX,2)</f>
        <v>2.89</v>
      </c>
      <c r="D1069" s="21" t="s">
        <v>6549</v>
      </c>
      <c r="E1069" s="21" t="s">
        <v>8168</v>
      </c>
      <c r="F1069" s="21" t="s">
        <v>734</v>
      </c>
      <c r="G1069" s="21" t="s">
        <v>9102</v>
      </c>
      <c r="H1069" s="21" t="s">
        <v>8169</v>
      </c>
      <c r="I1069" s="21" t="s">
        <v>8139</v>
      </c>
    </row>
    <row r="1070" customFormat="false" ht="15" hidden="false" customHeight="false" outlineLevel="0" collapsed="false">
      <c r="B1070" s="19" t="s">
        <v>9162</v>
      </c>
      <c r="C1070" s="20" t="n">
        <f aca="false">ROUND(20.8/FX,2)</f>
        <v>2.89</v>
      </c>
      <c r="D1070" s="21" t="s">
        <v>6549</v>
      </c>
      <c r="E1070" s="21" t="s">
        <v>8168</v>
      </c>
      <c r="F1070" s="21" t="s">
        <v>734</v>
      </c>
      <c r="G1070" s="21" t="s">
        <v>9102</v>
      </c>
      <c r="H1070" s="21" t="s">
        <v>8169</v>
      </c>
      <c r="I1070" s="21" t="s">
        <v>9163</v>
      </c>
    </row>
    <row r="1071" customFormat="false" ht="15" hidden="false" customHeight="false" outlineLevel="0" collapsed="false">
      <c r="B1071" s="19" t="s">
        <v>9164</v>
      </c>
      <c r="C1071" s="20" t="n">
        <f aca="false">ROUND(20.8/FX,2)</f>
        <v>2.89</v>
      </c>
      <c r="D1071" s="21" t="s">
        <v>6549</v>
      </c>
      <c r="E1071" s="21" t="s">
        <v>8168</v>
      </c>
      <c r="F1071" s="21" t="s">
        <v>734</v>
      </c>
      <c r="G1071" s="21" t="s">
        <v>9102</v>
      </c>
      <c r="H1071" s="21" t="s">
        <v>8169</v>
      </c>
      <c r="I1071" s="21" t="s">
        <v>8141</v>
      </c>
    </row>
    <row r="1072" customFormat="false" ht="15" hidden="false" customHeight="false" outlineLevel="0" collapsed="false">
      <c r="B1072" s="19" t="s">
        <v>9165</v>
      </c>
      <c r="C1072" s="20" t="n">
        <f aca="false">ROUND(20.8/FX,2)</f>
        <v>2.89</v>
      </c>
      <c r="D1072" s="21" t="s">
        <v>6549</v>
      </c>
      <c r="E1072" s="21" t="s">
        <v>8168</v>
      </c>
      <c r="F1072" s="21" t="s">
        <v>734</v>
      </c>
      <c r="G1072" s="21" t="s">
        <v>9102</v>
      </c>
      <c r="H1072" s="21" t="s">
        <v>8169</v>
      </c>
      <c r="I1072" s="21" t="s">
        <v>9166</v>
      </c>
    </row>
    <row r="1073" customFormat="false" ht="15" hidden="false" customHeight="false" outlineLevel="0" collapsed="false">
      <c r="B1073" s="19" t="s">
        <v>9167</v>
      </c>
      <c r="C1073" s="20" t="n">
        <f aca="false">ROUND(20.8/FX,2)</f>
        <v>2.89</v>
      </c>
      <c r="D1073" s="21" t="s">
        <v>6549</v>
      </c>
      <c r="E1073" s="21" t="s">
        <v>8168</v>
      </c>
      <c r="F1073" s="21" t="s">
        <v>734</v>
      </c>
      <c r="G1073" s="21" t="s">
        <v>9102</v>
      </c>
      <c r="H1073" s="21" t="s">
        <v>8169</v>
      </c>
      <c r="I1073" s="21" t="s">
        <v>9090</v>
      </c>
    </row>
    <row r="1074" customFormat="false" ht="15" hidden="false" customHeight="false" outlineLevel="0" collapsed="false">
      <c r="B1074" s="19" t="s">
        <v>9168</v>
      </c>
      <c r="C1074" s="20" t="n">
        <f aca="false">ROUND(20.8/FX,2)</f>
        <v>2.89</v>
      </c>
      <c r="D1074" s="21" t="s">
        <v>6549</v>
      </c>
      <c r="E1074" s="21" t="s">
        <v>8168</v>
      </c>
      <c r="F1074" s="21" t="s">
        <v>734</v>
      </c>
      <c r="G1074" s="21" t="s">
        <v>9102</v>
      </c>
      <c r="H1074" s="21" t="s">
        <v>8169</v>
      </c>
      <c r="I1074" s="21" t="s">
        <v>9169</v>
      </c>
    </row>
    <row r="1075" customFormat="false" ht="15" hidden="false" customHeight="false" outlineLevel="0" collapsed="false">
      <c r="B1075" s="19" t="s">
        <v>9170</v>
      </c>
      <c r="C1075" s="20" t="n">
        <f aca="false">ROUND(16.9/FX,2)</f>
        <v>2.35</v>
      </c>
      <c r="D1075" s="21" t="s">
        <v>6549</v>
      </c>
      <c r="E1075" s="21" t="s">
        <v>8168</v>
      </c>
      <c r="F1075" s="21" t="s">
        <v>734</v>
      </c>
      <c r="G1075" s="21" t="s">
        <v>9102</v>
      </c>
      <c r="H1075" s="21" t="s">
        <v>8169</v>
      </c>
      <c r="I1075" s="21" t="s">
        <v>8989</v>
      </c>
    </row>
    <row r="1076" customFormat="false" ht="15" hidden="false" customHeight="false" outlineLevel="0" collapsed="false">
      <c r="B1076" s="19" t="s">
        <v>9171</v>
      </c>
      <c r="C1076" s="20" t="n">
        <f aca="false">ROUND(20.8/FX,2)</f>
        <v>2.89</v>
      </c>
      <c r="D1076" s="21" t="s">
        <v>6549</v>
      </c>
      <c r="E1076" s="21" t="s">
        <v>8168</v>
      </c>
      <c r="F1076" s="21" t="s">
        <v>734</v>
      </c>
      <c r="G1076" s="21" t="s">
        <v>9102</v>
      </c>
      <c r="H1076" s="21" t="s">
        <v>8169</v>
      </c>
      <c r="I1076" s="21" t="s">
        <v>8143</v>
      </c>
    </row>
    <row r="1077" customFormat="false" ht="15" hidden="false" customHeight="false" outlineLevel="0" collapsed="false">
      <c r="B1077" s="19" t="s">
        <v>9172</v>
      </c>
      <c r="C1077" s="20" t="n">
        <f aca="false">ROUND(20.8/FX,2)</f>
        <v>2.89</v>
      </c>
      <c r="D1077" s="21" t="s">
        <v>6549</v>
      </c>
      <c r="E1077" s="21" t="s">
        <v>8168</v>
      </c>
      <c r="F1077" s="21" t="s">
        <v>734</v>
      </c>
      <c r="G1077" s="21" t="s">
        <v>9102</v>
      </c>
      <c r="H1077" s="21" t="s">
        <v>8169</v>
      </c>
      <c r="I1077" s="21" t="s">
        <v>8145</v>
      </c>
    </row>
    <row r="1078" customFormat="false" ht="15" hidden="false" customHeight="false" outlineLevel="0" collapsed="false">
      <c r="B1078" s="19" t="s">
        <v>9173</v>
      </c>
      <c r="C1078" s="20" t="n">
        <f aca="false">ROUND(19.5/FX,2)</f>
        <v>2.71</v>
      </c>
      <c r="D1078" s="21" t="s">
        <v>6549</v>
      </c>
      <c r="E1078" s="21" t="s">
        <v>8168</v>
      </c>
      <c r="F1078" s="21" t="s">
        <v>734</v>
      </c>
      <c r="G1078" s="21" t="s">
        <v>9102</v>
      </c>
      <c r="H1078" s="21" t="s">
        <v>8169</v>
      </c>
      <c r="I1078" s="21" t="s">
        <v>9174</v>
      </c>
    </row>
    <row r="1079" customFormat="false" ht="15" hidden="false" customHeight="false" outlineLevel="0" collapsed="false">
      <c r="B1079" s="19" t="s">
        <v>9175</v>
      </c>
      <c r="C1079" s="20" t="n">
        <f aca="false">ROUND(20.8/FX,2)</f>
        <v>2.89</v>
      </c>
      <c r="D1079" s="21" t="s">
        <v>6549</v>
      </c>
      <c r="E1079" s="21" t="s">
        <v>8168</v>
      </c>
      <c r="F1079" s="21" t="s">
        <v>734</v>
      </c>
      <c r="G1079" s="21" t="s">
        <v>9102</v>
      </c>
      <c r="H1079" s="21" t="s">
        <v>8169</v>
      </c>
      <c r="I1079" s="21" t="s">
        <v>8109</v>
      </c>
    </row>
    <row r="1080" customFormat="false" ht="15" hidden="false" customHeight="false" outlineLevel="0" collapsed="false">
      <c r="B1080" s="19" t="s">
        <v>9176</v>
      </c>
      <c r="C1080" s="20" t="n">
        <f aca="false">ROUND(19.5/FX,2)</f>
        <v>2.71</v>
      </c>
      <c r="D1080" s="21" t="s">
        <v>6549</v>
      </c>
      <c r="E1080" s="21" t="s">
        <v>8168</v>
      </c>
      <c r="F1080" s="21" t="s">
        <v>734</v>
      </c>
      <c r="G1080" s="21" t="s">
        <v>8162</v>
      </c>
      <c r="H1080" s="21" t="s">
        <v>8169</v>
      </c>
      <c r="I1080" s="21" t="s">
        <v>9177</v>
      </c>
    </row>
    <row r="1081" customFormat="false" ht="15" hidden="false" customHeight="false" outlineLevel="0" collapsed="false">
      <c r="B1081" s="19" t="s">
        <v>9178</v>
      </c>
      <c r="C1081" s="20" t="n">
        <f aca="false">ROUND(19.5/FX,2)</f>
        <v>2.71</v>
      </c>
      <c r="D1081" s="21" t="s">
        <v>6549</v>
      </c>
      <c r="E1081" s="21" t="s">
        <v>8168</v>
      </c>
      <c r="F1081" s="21" t="s">
        <v>734</v>
      </c>
      <c r="G1081" s="21" t="s">
        <v>8162</v>
      </c>
      <c r="H1081" s="21" t="s">
        <v>8169</v>
      </c>
      <c r="I1081" s="21" t="s">
        <v>9034</v>
      </c>
    </row>
    <row r="1082" customFormat="false" ht="15" hidden="false" customHeight="false" outlineLevel="0" collapsed="false">
      <c r="B1082" s="19" t="s">
        <v>9179</v>
      </c>
      <c r="C1082" s="20" t="n">
        <f aca="false">ROUND(22.1/FX,2)</f>
        <v>3.07</v>
      </c>
      <c r="D1082" s="21" t="s">
        <v>6549</v>
      </c>
      <c r="E1082" s="21" t="s">
        <v>8168</v>
      </c>
      <c r="F1082" s="21" t="s">
        <v>734</v>
      </c>
      <c r="G1082" s="21" t="s">
        <v>8162</v>
      </c>
      <c r="H1082" s="21" t="s">
        <v>8169</v>
      </c>
      <c r="I1082" s="21" t="s">
        <v>9174</v>
      </c>
    </row>
    <row r="1083" customFormat="false" ht="15" hidden="false" customHeight="false" outlineLevel="0" collapsed="false">
      <c r="B1083" s="19" t="s">
        <v>9180</v>
      </c>
      <c r="C1083" s="20" t="n">
        <f aca="false">ROUND(22.1/FX,2)</f>
        <v>3.07</v>
      </c>
      <c r="D1083" s="21" t="s">
        <v>6549</v>
      </c>
      <c r="E1083" s="21" t="s">
        <v>8168</v>
      </c>
      <c r="F1083" s="21" t="s">
        <v>734</v>
      </c>
      <c r="G1083" s="21" t="s">
        <v>9181</v>
      </c>
      <c r="H1083" s="21" t="s">
        <v>8169</v>
      </c>
      <c r="I1083" s="21" t="s">
        <v>8145</v>
      </c>
    </row>
    <row r="1084" customFormat="false" ht="15" hidden="false" customHeight="false" outlineLevel="0" collapsed="false">
      <c r="B1084" s="19" t="s">
        <v>9182</v>
      </c>
      <c r="C1084" s="20" t="n">
        <f aca="false">ROUND(22.1/FX,2)</f>
        <v>3.07</v>
      </c>
      <c r="D1084" s="21" t="s">
        <v>6549</v>
      </c>
      <c r="E1084" s="21" t="s">
        <v>8168</v>
      </c>
      <c r="F1084" s="21" t="s">
        <v>734</v>
      </c>
      <c r="G1084" s="21" t="s">
        <v>9181</v>
      </c>
      <c r="H1084" s="21" t="s">
        <v>8169</v>
      </c>
      <c r="I1084" s="21" t="s">
        <v>9183</v>
      </c>
    </row>
    <row r="1085" customFormat="false" ht="15" hidden="false" customHeight="false" outlineLevel="0" collapsed="false">
      <c r="B1085" s="19" t="s">
        <v>9184</v>
      </c>
      <c r="C1085" s="20" t="n">
        <f aca="false">ROUND(48.1/FX,2)</f>
        <v>6.68</v>
      </c>
      <c r="D1085" s="21" t="s">
        <v>6549</v>
      </c>
      <c r="E1085" s="21" t="s">
        <v>8168</v>
      </c>
      <c r="F1085" s="21" t="s">
        <v>734</v>
      </c>
      <c r="G1085" s="21" t="s">
        <v>9185</v>
      </c>
      <c r="H1085" s="21" t="s">
        <v>8169</v>
      </c>
      <c r="I1085" s="21" t="s">
        <v>8085</v>
      </c>
    </row>
    <row r="1086" customFormat="false" ht="15" hidden="false" customHeight="false" outlineLevel="0" collapsed="false">
      <c r="B1086" s="19" t="s">
        <v>9186</v>
      </c>
      <c r="C1086" s="20" t="n">
        <f aca="false">ROUND(48.1/FX,2)</f>
        <v>6.68</v>
      </c>
      <c r="D1086" s="21" t="s">
        <v>6549</v>
      </c>
      <c r="E1086" s="21" t="s">
        <v>8168</v>
      </c>
      <c r="F1086" s="21" t="s">
        <v>734</v>
      </c>
      <c r="G1086" s="21" t="s">
        <v>9185</v>
      </c>
      <c r="H1086" s="21" t="s">
        <v>8169</v>
      </c>
      <c r="I1086" s="21" t="s">
        <v>8089</v>
      </c>
    </row>
    <row r="1087" customFormat="false" ht="15" hidden="false" customHeight="false" outlineLevel="0" collapsed="false">
      <c r="B1087" s="19" t="s">
        <v>9187</v>
      </c>
      <c r="C1087" s="20" t="n">
        <f aca="false">ROUND(48.1/FX,2)</f>
        <v>6.68</v>
      </c>
      <c r="D1087" s="21" t="s">
        <v>6549</v>
      </c>
      <c r="E1087" s="21" t="s">
        <v>8168</v>
      </c>
      <c r="F1087" s="21" t="s">
        <v>734</v>
      </c>
      <c r="G1087" s="21" t="s">
        <v>9185</v>
      </c>
      <c r="H1087" s="21" t="s">
        <v>8169</v>
      </c>
      <c r="I1087" s="21" t="s">
        <v>9177</v>
      </c>
    </row>
    <row r="1088" customFormat="false" ht="15" hidden="false" customHeight="false" outlineLevel="0" collapsed="false">
      <c r="B1088" s="19" t="s">
        <v>9188</v>
      </c>
      <c r="C1088" s="20" t="n">
        <f aca="false">ROUND(48.1/FX,2)</f>
        <v>6.68</v>
      </c>
      <c r="D1088" s="21" t="s">
        <v>6549</v>
      </c>
      <c r="E1088" s="21" t="s">
        <v>8168</v>
      </c>
      <c r="F1088" s="21" t="s">
        <v>734</v>
      </c>
      <c r="G1088" s="21" t="s">
        <v>9185</v>
      </c>
      <c r="H1088" s="21" t="s">
        <v>8169</v>
      </c>
      <c r="I1088" s="21" t="s">
        <v>8047</v>
      </c>
    </row>
    <row r="1089" customFormat="false" ht="15" hidden="false" customHeight="false" outlineLevel="0" collapsed="false">
      <c r="B1089" s="19" t="s">
        <v>9189</v>
      </c>
      <c r="C1089" s="20" t="n">
        <f aca="false">ROUND(48.1/FX,2)</f>
        <v>6.68</v>
      </c>
      <c r="D1089" s="21" t="s">
        <v>6549</v>
      </c>
      <c r="E1089" s="21" t="s">
        <v>8168</v>
      </c>
      <c r="F1089" s="21" t="s">
        <v>734</v>
      </c>
      <c r="G1089" s="21" t="s">
        <v>9185</v>
      </c>
      <c r="H1089" s="21" t="s">
        <v>8169</v>
      </c>
      <c r="I1089" s="21" t="s">
        <v>9190</v>
      </c>
    </row>
    <row r="1090" customFormat="false" ht="15" hidden="false" customHeight="false" outlineLevel="0" collapsed="false">
      <c r="B1090" s="19" t="s">
        <v>9191</v>
      </c>
      <c r="C1090" s="20" t="n">
        <f aca="false">ROUND(48.1/FX,2)</f>
        <v>6.68</v>
      </c>
      <c r="D1090" s="21" t="s">
        <v>6549</v>
      </c>
      <c r="E1090" s="21" t="s">
        <v>8168</v>
      </c>
      <c r="F1090" s="21" t="s">
        <v>734</v>
      </c>
      <c r="G1090" s="21" t="s">
        <v>9185</v>
      </c>
      <c r="H1090" s="21" t="s">
        <v>8169</v>
      </c>
      <c r="I1090" s="21" t="s">
        <v>9183</v>
      </c>
    </row>
    <row r="1091" customFormat="false" ht="15" hidden="false" customHeight="false" outlineLevel="0" collapsed="false">
      <c r="B1091" s="19" t="s">
        <v>9192</v>
      </c>
      <c r="C1091" s="20" t="n">
        <f aca="false">ROUND(46.8/FX,2)</f>
        <v>6.5</v>
      </c>
      <c r="D1091" s="21" t="s">
        <v>6549</v>
      </c>
      <c r="E1091" s="21" t="s">
        <v>8168</v>
      </c>
      <c r="F1091" s="21" t="s">
        <v>734</v>
      </c>
      <c r="G1091" s="21" t="s">
        <v>9185</v>
      </c>
      <c r="H1091" s="21" t="s">
        <v>8169</v>
      </c>
      <c r="I1091" s="21" t="s">
        <v>9193</v>
      </c>
    </row>
    <row r="1092" customFormat="false" ht="15" hidden="false" customHeight="false" outlineLevel="0" collapsed="false">
      <c r="B1092" s="19" t="s">
        <v>9194</v>
      </c>
      <c r="C1092" s="20" t="n">
        <f aca="false">ROUND(62.4/FX,2)</f>
        <v>8.67</v>
      </c>
      <c r="D1092" s="21" t="s">
        <v>6549</v>
      </c>
      <c r="E1092" s="21" t="s">
        <v>8168</v>
      </c>
      <c r="F1092" s="21" t="s">
        <v>734</v>
      </c>
      <c r="G1092" s="21" t="s">
        <v>9195</v>
      </c>
      <c r="H1092" s="21" t="s">
        <v>8169</v>
      </c>
      <c r="I1092" s="21" t="s">
        <v>8085</v>
      </c>
    </row>
    <row r="1093" customFormat="false" ht="15" hidden="false" customHeight="false" outlineLevel="0" collapsed="false">
      <c r="B1093" s="19" t="s">
        <v>9196</v>
      </c>
      <c r="C1093" s="20" t="n">
        <f aca="false">ROUND(62.4/FX,2)</f>
        <v>8.67</v>
      </c>
      <c r="D1093" s="21" t="s">
        <v>6549</v>
      </c>
      <c r="E1093" s="21" t="s">
        <v>8168</v>
      </c>
      <c r="F1093" s="21" t="s">
        <v>734</v>
      </c>
      <c r="G1093" s="21" t="s">
        <v>9195</v>
      </c>
      <c r="H1093" s="21" t="s">
        <v>8169</v>
      </c>
      <c r="I1093" s="21" t="s">
        <v>9142</v>
      </c>
    </row>
    <row r="1094" customFormat="false" ht="15" hidden="false" customHeight="false" outlineLevel="0" collapsed="false">
      <c r="B1094" s="19" t="s">
        <v>9197</v>
      </c>
      <c r="C1094" s="20" t="n">
        <f aca="false">ROUND(62.4/FX,2)</f>
        <v>8.67</v>
      </c>
      <c r="D1094" s="21" t="s">
        <v>6549</v>
      </c>
      <c r="E1094" s="21" t="s">
        <v>8168</v>
      </c>
      <c r="F1094" s="21" t="s">
        <v>734</v>
      </c>
      <c r="G1094" s="21" t="s">
        <v>9195</v>
      </c>
      <c r="H1094" s="21" t="s">
        <v>8169</v>
      </c>
      <c r="I1094" s="21" t="s">
        <v>9198</v>
      </c>
    </row>
    <row r="1095" customFormat="false" ht="15" hidden="false" customHeight="false" outlineLevel="0" collapsed="false">
      <c r="B1095" s="19" t="s">
        <v>9199</v>
      </c>
      <c r="C1095" s="20" t="n">
        <f aca="false">ROUND(62.4/FX,2)</f>
        <v>8.67</v>
      </c>
      <c r="D1095" s="21" t="s">
        <v>6549</v>
      </c>
      <c r="E1095" s="21" t="s">
        <v>8168</v>
      </c>
      <c r="F1095" s="21" t="s">
        <v>734</v>
      </c>
      <c r="G1095" s="21" t="s">
        <v>9195</v>
      </c>
      <c r="H1095" s="21" t="s">
        <v>8169</v>
      </c>
      <c r="I1095" s="21" t="s">
        <v>9177</v>
      </c>
    </row>
    <row r="1096" customFormat="false" ht="15" hidden="false" customHeight="false" outlineLevel="0" collapsed="false">
      <c r="B1096" s="19" t="s">
        <v>9200</v>
      </c>
      <c r="C1096" s="20" t="n">
        <f aca="false">ROUND(62.4/FX,2)</f>
        <v>8.67</v>
      </c>
      <c r="D1096" s="21" t="s">
        <v>6549</v>
      </c>
      <c r="E1096" s="21" t="s">
        <v>8168</v>
      </c>
      <c r="F1096" s="21" t="s">
        <v>734</v>
      </c>
      <c r="G1096" s="21" t="s">
        <v>9195</v>
      </c>
      <c r="H1096" s="21" t="s">
        <v>8169</v>
      </c>
      <c r="I1096" s="21" t="s">
        <v>9166</v>
      </c>
    </row>
    <row r="1097" customFormat="false" ht="15" hidden="false" customHeight="false" outlineLevel="0" collapsed="false">
      <c r="B1097" s="19" t="s">
        <v>9201</v>
      </c>
      <c r="C1097" s="20" t="n">
        <f aca="false">ROUND(62.4/FX,2)</f>
        <v>8.67</v>
      </c>
      <c r="D1097" s="21" t="s">
        <v>6549</v>
      </c>
      <c r="E1097" s="21" t="s">
        <v>8168</v>
      </c>
      <c r="F1097" s="21" t="s">
        <v>734</v>
      </c>
      <c r="G1097" s="21" t="s">
        <v>9195</v>
      </c>
      <c r="H1097" s="21" t="s">
        <v>8169</v>
      </c>
      <c r="I1097" s="21" t="s">
        <v>9202</v>
      </c>
    </row>
    <row r="1098" customFormat="false" ht="15" hidden="false" customHeight="false" outlineLevel="0" collapsed="false">
      <c r="B1098" s="19" t="s">
        <v>9203</v>
      </c>
      <c r="C1098" s="20" t="n">
        <f aca="false">ROUND(62.4/FX,2)</f>
        <v>8.67</v>
      </c>
      <c r="D1098" s="21" t="s">
        <v>6549</v>
      </c>
      <c r="E1098" s="21" t="s">
        <v>8168</v>
      </c>
      <c r="F1098" s="21" t="s">
        <v>734</v>
      </c>
      <c r="G1098" s="21" t="s">
        <v>9195</v>
      </c>
      <c r="H1098" s="21" t="s">
        <v>8169</v>
      </c>
      <c r="I1098" s="21" t="s">
        <v>9204</v>
      </c>
    </row>
    <row r="1099" customFormat="false" ht="15" hidden="false" customHeight="false" outlineLevel="0" collapsed="false">
      <c r="B1099" s="19" t="s">
        <v>9205</v>
      </c>
      <c r="C1099" s="20" t="n">
        <f aca="false">ROUND(62.4/FX,2)</f>
        <v>8.67</v>
      </c>
      <c r="D1099" s="21" t="s">
        <v>6549</v>
      </c>
      <c r="E1099" s="21" t="s">
        <v>8168</v>
      </c>
      <c r="F1099" s="21" t="s">
        <v>734</v>
      </c>
      <c r="G1099" s="21" t="s">
        <v>9195</v>
      </c>
      <c r="H1099" s="21" t="s">
        <v>8169</v>
      </c>
      <c r="I1099" s="21" t="s">
        <v>9183</v>
      </c>
    </row>
    <row r="1100" customFormat="false" ht="15" hidden="false" customHeight="false" outlineLevel="0" collapsed="false">
      <c r="B1100" s="19" t="s">
        <v>9206</v>
      </c>
      <c r="C1100" s="20" t="n">
        <f aca="false">ROUND(62.4/FX,2)</f>
        <v>8.67</v>
      </c>
      <c r="D1100" s="21" t="s">
        <v>6549</v>
      </c>
      <c r="E1100" s="21" t="s">
        <v>8168</v>
      </c>
      <c r="F1100" s="21" t="s">
        <v>734</v>
      </c>
      <c r="G1100" s="21" t="s">
        <v>9195</v>
      </c>
      <c r="H1100" s="21" t="s">
        <v>8169</v>
      </c>
      <c r="I1100" s="21" t="s">
        <v>9207</v>
      </c>
    </row>
    <row r="1103" customFormat="false" ht="61.5" hidden="false" customHeight="true" outlineLevel="0" collapsed="false">
      <c r="A1103" s="9"/>
      <c r="B1103" s="10" t="s">
        <v>9208</v>
      </c>
      <c r="C1103" s="10"/>
      <c r="D1103" s="10"/>
      <c r="E1103" s="10"/>
      <c r="F1103" s="10"/>
      <c r="G1103" s="10"/>
    </row>
    <row r="1104" customFormat="false" ht="15" hidden="false" customHeight="false" outlineLevel="0" collapsed="false">
      <c r="A1104" s="12" t="s">
        <v>700</v>
      </c>
      <c r="B1104" s="13" t="s">
        <v>701</v>
      </c>
      <c r="C1104" s="13" t="s">
        <v>702</v>
      </c>
      <c r="D1104" s="13" t="s">
        <v>722</v>
      </c>
      <c r="E1104" s="13" t="s">
        <v>6523</v>
      </c>
      <c r="F1104" s="13" t="s">
        <v>8167</v>
      </c>
      <c r="G1104" s="13" t="s">
        <v>7711</v>
      </c>
    </row>
    <row r="1105" customFormat="false" ht="30" hidden="false" customHeight="true" outlineLevel="0" collapsed="false">
      <c r="A1105" s="14" t="s">
        <v>706</v>
      </c>
      <c r="B1105" s="15" t="str">
        <f aca="false">IF(COUNTIFS($D$1108:$D$1713,IF(D1105="","*",D1105),$E$1108:$E$1713,IF(E1105="","*",E1105),$F$1108:$F$1713,IF(F1105="","*",F1105),$G$1108:$G$1713,IF(G1105="","*",G1105))=1,INDEX($B:$B,SUMPRODUCT(((D1105="")+($D$1108:$D$1713=D1105)&gt;0)*((E1105="")+($E$1108:$E$1713=E1105)&gt;0)*((F1105="")+($F$1108:$F$1713=F1105)&gt;0)*((G1105="")+($G$1108:$G$1713=G1105)&gt;0)*ROW($B$1108:$B$1713))),IF(COUNTIFS($D$1108:$D$1713,IF(D1105="","*",D1105),$E$1108:$E$1713,IF(E1105="","*",E1105),$F$1108:$F$1713,IF(F1105="","*",F1105),$G$1108:$G$1713,IF(G1105="","*",G1105))=0,"Not available",COUNTIFS($D$1108:$D$1713,IF(D1105="","*",D1105),$E$1108:$E$1713,IF(E1105="","*",E1105),$F$1108:$F$1713,IF(F1105="","*",F1105),$G$1108:$G$1713,IF(G1105="","*",G1105))&amp;" match, keep choosing"))</f>
        <v>XB-D20L25-10x10-BK-BP</v>
      </c>
      <c r="C1105" s="16" t="n">
        <f aca="false">IF(COUNTIFS($D$1108:$D$1713,IF(D1105="","*",D1105),$E$1108:$E$1713,IF(E1105="","*",E1105),$F$1108:$F$1713,IF(F1105="","*",F1105),$G$1108:$G$1713,IF(G1105="","*",G1105))=1,INDEX($C:$C,SUMPRODUCT(((D1105="")+($D$1108:$D$1713=D1105)&gt;0)*((E1105="")+($E$1108:$E$1713=E1105)&gt;0)*((F1105="")+($F$1108:$F$1713=F1105)&gt;0)*((G1105="")+($G$1108:$G$1713=G1105)&gt;0)*ROW($B$1108:$B$1713))),"")</f>
        <v>1.35</v>
      </c>
      <c r="D1105" s="17" t="s">
        <v>724</v>
      </c>
      <c r="E1105" s="17" t="s">
        <v>7902</v>
      </c>
      <c r="F1105" s="17" t="s">
        <v>8173</v>
      </c>
      <c r="G1105" s="17" t="s">
        <v>7875</v>
      </c>
    </row>
    <row r="1107" customFormat="false" ht="15" hidden="false" customHeight="false" outlineLevel="0" collapsed="false">
      <c r="B1107" s="18" t="s">
        <v>701</v>
      </c>
      <c r="C1107" s="18" t="s">
        <v>702</v>
      </c>
      <c r="D1107" s="18" t="s">
        <v>722</v>
      </c>
      <c r="E1107" s="18" t="s">
        <v>6523</v>
      </c>
      <c r="F1107" s="18" t="s">
        <v>8167</v>
      </c>
      <c r="G1107" s="18" t="s">
        <v>7711</v>
      </c>
    </row>
    <row r="1108" customFormat="false" ht="15" hidden="false" customHeight="false" outlineLevel="0" collapsed="false">
      <c r="B1108" s="19" t="s">
        <v>9209</v>
      </c>
      <c r="C1108" s="20" t="n">
        <f aca="false">ROUND(9.75/FX,2)</f>
        <v>1.35</v>
      </c>
      <c r="D1108" s="21" t="s">
        <v>724</v>
      </c>
      <c r="E1108" s="21" t="s">
        <v>7902</v>
      </c>
      <c r="F1108" s="21" t="s">
        <v>8173</v>
      </c>
      <c r="G1108" s="21" t="s">
        <v>7875</v>
      </c>
    </row>
    <row r="1109" customFormat="false" ht="15" hidden="false" customHeight="false" outlineLevel="0" collapsed="false">
      <c r="B1109" s="19" t="s">
        <v>9210</v>
      </c>
      <c r="C1109" s="20" t="n">
        <f aca="false">ROUND(9.75/FX,2)</f>
        <v>1.35</v>
      </c>
      <c r="D1109" s="21" t="s">
        <v>724</v>
      </c>
      <c r="E1109" s="21" t="s">
        <v>7902</v>
      </c>
      <c r="F1109" s="21" t="s">
        <v>8176</v>
      </c>
      <c r="G1109" s="21" t="s">
        <v>7875</v>
      </c>
    </row>
    <row r="1110" customFormat="false" ht="15" hidden="false" customHeight="false" outlineLevel="0" collapsed="false">
      <c r="B1110" s="19" t="s">
        <v>9211</v>
      </c>
      <c r="C1110" s="20" t="n">
        <f aca="false">ROUND(6.5/FX,2)</f>
        <v>0.9</v>
      </c>
      <c r="D1110" s="21" t="s">
        <v>6549</v>
      </c>
      <c r="E1110" s="21" t="s">
        <v>7902</v>
      </c>
      <c r="F1110" s="21" t="s">
        <v>8169</v>
      </c>
      <c r="G1110" s="21" t="s">
        <v>7875</v>
      </c>
    </row>
    <row r="1111" customFormat="false" ht="15" hidden="false" customHeight="false" outlineLevel="0" collapsed="false">
      <c r="B1111" s="19" t="s">
        <v>9212</v>
      </c>
      <c r="C1111" s="20" t="n">
        <f aca="false">ROUND(6.5/FX,2)</f>
        <v>0.9</v>
      </c>
      <c r="D1111" s="21" t="s">
        <v>6549</v>
      </c>
      <c r="E1111" s="21" t="s">
        <v>7902</v>
      </c>
      <c r="F1111" s="21" t="s">
        <v>8169</v>
      </c>
      <c r="G1111" s="21" t="s">
        <v>7927</v>
      </c>
    </row>
    <row r="1112" customFormat="false" ht="15" hidden="false" customHeight="false" outlineLevel="0" collapsed="false">
      <c r="B1112" s="19" t="s">
        <v>9213</v>
      </c>
      <c r="C1112" s="20" t="n">
        <f aca="false">ROUND(6.5/FX,2)</f>
        <v>0.9</v>
      </c>
      <c r="D1112" s="21" t="s">
        <v>6549</v>
      </c>
      <c r="E1112" s="21" t="s">
        <v>7902</v>
      </c>
      <c r="F1112" s="21" t="s">
        <v>8169</v>
      </c>
      <c r="G1112" s="21" t="s">
        <v>7827</v>
      </c>
    </row>
    <row r="1113" customFormat="false" ht="15" hidden="false" customHeight="false" outlineLevel="0" collapsed="false">
      <c r="B1113" s="19" t="s">
        <v>9214</v>
      </c>
      <c r="C1113" s="20" t="n">
        <f aca="false">ROUND(6.5/FX,2)</f>
        <v>0.9</v>
      </c>
      <c r="D1113" s="21" t="s">
        <v>6549</v>
      </c>
      <c r="E1113" s="21" t="s">
        <v>7902</v>
      </c>
      <c r="F1113" s="21" t="s">
        <v>8169</v>
      </c>
      <c r="G1113" s="21" t="s">
        <v>7853</v>
      </c>
    </row>
    <row r="1114" customFormat="false" ht="15" hidden="false" customHeight="false" outlineLevel="0" collapsed="false">
      <c r="B1114" s="19" t="s">
        <v>9215</v>
      </c>
      <c r="C1114" s="20" t="n">
        <f aca="false">ROUND(6.5/FX,2)</f>
        <v>0.9</v>
      </c>
      <c r="D1114" s="21" t="s">
        <v>6549</v>
      </c>
      <c r="E1114" s="21" t="s">
        <v>7902</v>
      </c>
      <c r="F1114" s="21" t="s">
        <v>8169</v>
      </c>
      <c r="G1114" s="21" t="s">
        <v>7869</v>
      </c>
    </row>
    <row r="1115" customFormat="false" ht="15" hidden="false" customHeight="false" outlineLevel="0" collapsed="false">
      <c r="B1115" s="19" t="s">
        <v>9216</v>
      </c>
      <c r="C1115" s="20" t="n">
        <f aca="false">ROUND(6.5/FX,2)</f>
        <v>0.9</v>
      </c>
      <c r="D1115" s="21" t="s">
        <v>6549</v>
      </c>
      <c r="E1115" s="21" t="s">
        <v>7902</v>
      </c>
      <c r="F1115" s="21" t="s">
        <v>8169</v>
      </c>
      <c r="G1115" s="21" t="s">
        <v>7855</v>
      </c>
    </row>
    <row r="1116" customFormat="false" ht="15" hidden="false" customHeight="false" outlineLevel="0" collapsed="false">
      <c r="B1116" s="19" t="s">
        <v>9217</v>
      </c>
      <c r="C1116" s="20" t="n">
        <f aca="false">ROUND(6.5/FX,2)</f>
        <v>0.9</v>
      </c>
      <c r="D1116" s="21" t="s">
        <v>6549</v>
      </c>
      <c r="E1116" s="21" t="s">
        <v>7902</v>
      </c>
      <c r="F1116" s="21" t="s">
        <v>8169</v>
      </c>
      <c r="G1116" s="21" t="s">
        <v>8255</v>
      </c>
    </row>
    <row r="1117" customFormat="false" ht="15" hidden="false" customHeight="false" outlineLevel="0" collapsed="false">
      <c r="B1117" s="19" t="s">
        <v>9218</v>
      </c>
      <c r="C1117" s="20" t="n">
        <f aca="false">ROUND(6.5/FX,2)</f>
        <v>0.9</v>
      </c>
      <c r="D1117" s="21" t="s">
        <v>6549</v>
      </c>
      <c r="E1117" s="21" t="s">
        <v>7902</v>
      </c>
      <c r="F1117" s="21" t="s">
        <v>8169</v>
      </c>
      <c r="G1117" s="21" t="s">
        <v>7933</v>
      </c>
    </row>
    <row r="1118" customFormat="false" ht="15" hidden="false" customHeight="false" outlineLevel="0" collapsed="false">
      <c r="B1118" s="19" t="s">
        <v>9219</v>
      </c>
      <c r="C1118" s="20" t="n">
        <f aca="false">ROUND(6.5/FX,2)</f>
        <v>0.9</v>
      </c>
      <c r="D1118" s="21" t="s">
        <v>6549</v>
      </c>
      <c r="E1118" s="21" t="s">
        <v>7902</v>
      </c>
      <c r="F1118" s="21" t="s">
        <v>8169</v>
      </c>
      <c r="G1118" s="21" t="s">
        <v>8263</v>
      </c>
    </row>
    <row r="1119" customFormat="false" ht="15" hidden="false" customHeight="false" outlineLevel="0" collapsed="false">
      <c r="B1119" s="19" t="s">
        <v>9220</v>
      </c>
      <c r="C1119" s="20" t="n">
        <f aca="false">ROUND(9.75/FX,2)</f>
        <v>1.35</v>
      </c>
      <c r="D1119" s="21" t="s">
        <v>724</v>
      </c>
      <c r="E1119" s="21" t="s">
        <v>7902</v>
      </c>
      <c r="F1119" s="21" t="s">
        <v>8173</v>
      </c>
      <c r="G1119" s="21" t="s">
        <v>7881</v>
      </c>
    </row>
    <row r="1120" customFormat="false" ht="15" hidden="false" customHeight="false" outlineLevel="0" collapsed="false">
      <c r="B1120" s="19" t="s">
        <v>9221</v>
      </c>
      <c r="C1120" s="20" t="n">
        <f aca="false">ROUND(9.75/FX,2)</f>
        <v>1.35</v>
      </c>
      <c r="D1120" s="21" t="s">
        <v>724</v>
      </c>
      <c r="E1120" s="21" t="s">
        <v>7902</v>
      </c>
      <c r="F1120" s="21" t="s">
        <v>8176</v>
      </c>
      <c r="G1120" s="21" t="s">
        <v>7881</v>
      </c>
    </row>
    <row r="1121" customFormat="false" ht="15" hidden="false" customHeight="false" outlineLevel="0" collapsed="false">
      <c r="B1121" s="19" t="s">
        <v>9222</v>
      </c>
      <c r="C1121" s="20" t="n">
        <f aca="false">ROUND(6.5/FX,2)</f>
        <v>0.9</v>
      </c>
      <c r="D1121" s="21" t="s">
        <v>6549</v>
      </c>
      <c r="E1121" s="21" t="s">
        <v>7902</v>
      </c>
      <c r="F1121" s="21" t="s">
        <v>8169</v>
      </c>
      <c r="G1121" s="21" t="s">
        <v>7881</v>
      </c>
    </row>
    <row r="1122" customFormat="false" ht="15" hidden="false" customHeight="false" outlineLevel="0" collapsed="false">
      <c r="B1122" s="19" t="s">
        <v>9223</v>
      </c>
      <c r="C1122" s="20" t="n">
        <f aca="false">ROUND(9.75/FX,2)</f>
        <v>1.35</v>
      </c>
      <c r="D1122" s="21" t="s">
        <v>724</v>
      </c>
      <c r="E1122" s="21" t="s">
        <v>7902</v>
      </c>
      <c r="F1122" s="21" t="s">
        <v>8173</v>
      </c>
      <c r="G1122" s="21" t="s">
        <v>7829</v>
      </c>
    </row>
    <row r="1123" customFormat="false" ht="15" hidden="false" customHeight="false" outlineLevel="0" collapsed="false">
      <c r="B1123" s="19" t="s">
        <v>9224</v>
      </c>
      <c r="C1123" s="20" t="n">
        <f aca="false">ROUND(8.45/FX,2)</f>
        <v>1.17</v>
      </c>
      <c r="D1123" s="21" t="s">
        <v>724</v>
      </c>
      <c r="E1123" s="21" t="s">
        <v>7902</v>
      </c>
      <c r="F1123" s="21" t="s">
        <v>8176</v>
      </c>
      <c r="G1123" s="21" t="s">
        <v>7829</v>
      </c>
    </row>
    <row r="1124" customFormat="false" ht="15" hidden="false" customHeight="false" outlineLevel="0" collapsed="false">
      <c r="B1124" s="19" t="s">
        <v>9225</v>
      </c>
      <c r="C1124" s="20" t="n">
        <f aca="false">ROUND(6.5/FX,2)</f>
        <v>0.9</v>
      </c>
      <c r="D1124" s="21" t="s">
        <v>6549</v>
      </c>
      <c r="E1124" s="21" t="s">
        <v>7902</v>
      </c>
      <c r="F1124" s="21" t="s">
        <v>8169</v>
      </c>
      <c r="G1124" s="21" t="s">
        <v>7829</v>
      </c>
    </row>
    <row r="1125" customFormat="false" ht="15" hidden="false" customHeight="false" outlineLevel="0" collapsed="false">
      <c r="B1125" s="19" t="s">
        <v>9226</v>
      </c>
      <c r="C1125" s="20" t="n">
        <f aca="false">ROUND(9.75/FX,2)</f>
        <v>1.35</v>
      </c>
      <c r="D1125" s="21" t="s">
        <v>724</v>
      </c>
      <c r="E1125" s="21" t="s">
        <v>7902</v>
      </c>
      <c r="F1125" s="21" t="s">
        <v>8173</v>
      </c>
      <c r="G1125" s="21" t="s">
        <v>7831</v>
      </c>
    </row>
    <row r="1126" customFormat="false" ht="15" hidden="false" customHeight="false" outlineLevel="0" collapsed="false">
      <c r="B1126" s="19" t="s">
        <v>9227</v>
      </c>
      <c r="C1126" s="20" t="n">
        <f aca="false">ROUND(7.8/FX,2)</f>
        <v>1.08</v>
      </c>
      <c r="D1126" s="21" t="s">
        <v>724</v>
      </c>
      <c r="E1126" s="21" t="s">
        <v>7902</v>
      </c>
      <c r="F1126" s="21" t="s">
        <v>8176</v>
      </c>
      <c r="G1126" s="21" t="s">
        <v>7831</v>
      </c>
    </row>
    <row r="1127" customFormat="false" ht="15" hidden="false" customHeight="false" outlineLevel="0" collapsed="false">
      <c r="B1127" s="19" t="s">
        <v>9228</v>
      </c>
      <c r="C1127" s="20" t="n">
        <f aca="false">ROUND(6.5/FX,2)</f>
        <v>0.9</v>
      </c>
      <c r="D1127" s="21" t="s">
        <v>6549</v>
      </c>
      <c r="E1127" s="21" t="s">
        <v>7902</v>
      </c>
      <c r="F1127" s="21" t="s">
        <v>8169</v>
      </c>
      <c r="G1127" s="21" t="s">
        <v>7831</v>
      </c>
    </row>
    <row r="1128" customFormat="false" ht="15" hidden="false" customHeight="false" outlineLevel="0" collapsed="false">
      <c r="B1128" s="19" t="s">
        <v>9229</v>
      </c>
      <c r="C1128" s="20" t="n">
        <f aca="false">ROUND(9.75/FX,2)</f>
        <v>1.35</v>
      </c>
      <c r="D1128" s="21" t="s">
        <v>724</v>
      </c>
      <c r="E1128" s="21" t="s">
        <v>7902</v>
      </c>
      <c r="F1128" s="21" t="s">
        <v>8173</v>
      </c>
      <c r="G1128" s="21" t="s">
        <v>7944</v>
      </c>
    </row>
    <row r="1129" customFormat="false" ht="15" hidden="false" customHeight="false" outlineLevel="0" collapsed="false">
      <c r="B1129" s="19" t="s">
        <v>9230</v>
      </c>
      <c r="C1129" s="20" t="n">
        <f aca="false">ROUND(9.75/FX,2)</f>
        <v>1.35</v>
      </c>
      <c r="D1129" s="21" t="s">
        <v>724</v>
      </c>
      <c r="E1129" s="21" t="s">
        <v>7902</v>
      </c>
      <c r="F1129" s="21" t="s">
        <v>8176</v>
      </c>
      <c r="G1129" s="21" t="s">
        <v>7944</v>
      </c>
    </row>
    <row r="1130" customFormat="false" ht="15" hidden="false" customHeight="false" outlineLevel="0" collapsed="false">
      <c r="B1130" s="19" t="s">
        <v>9231</v>
      </c>
      <c r="C1130" s="20" t="n">
        <f aca="false">ROUND(6.5/FX,2)</f>
        <v>0.9</v>
      </c>
      <c r="D1130" s="21" t="s">
        <v>6549</v>
      </c>
      <c r="E1130" s="21" t="s">
        <v>7902</v>
      </c>
      <c r="F1130" s="21" t="s">
        <v>8169</v>
      </c>
      <c r="G1130" s="21" t="s">
        <v>7944</v>
      </c>
    </row>
    <row r="1131" customFormat="false" ht="15" hidden="false" customHeight="false" outlineLevel="0" collapsed="false">
      <c r="B1131" s="19" t="s">
        <v>9232</v>
      </c>
      <c r="C1131" s="20" t="n">
        <f aca="false">ROUND(6.5/FX,2)</f>
        <v>0.9</v>
      </c>
      <c r="D1131" s="21" t="s">
        <v>6549</v>
      </c>
      <c r="E1131" s="21" t="s">
        <v>7902</v>
      </c>
      <c r="F1131" s="21" t="s">
        <v>8169</v>
      </c>
      <c r="G1131" s="21" t="s">
        <v>7946</v>
      </c>
    </row>
    <row r="1132" customFormat="false" ht="15" hidden="false" customHeight="false" outlineLevel="0" collapsed="false">
      <c r="B1132" s="19" t="s">
        <v>9233</v>
      </c>
      <c r="C1132" s="20" t="n">
        <f aca="false">ROUND(9.75/FX,2)</f>
        <v>1.35</v>
      </c>
      <c r="D1132" s="21" t="s">
        <v>724</v>
      </c>
      <c r="E1132" s="21" t="s">
        <v>7902</v>
      </c>
      <c r="F1132" s="21" t="s">
        <v>8173</v>
      </c>
      <c r="G1132" s="21" t="s">
        <v>7833</v>
      </c>
    </row>
    <row r="1133" customFormat="false" ht="15" hidden="false" customHeight="false" outlineLevel="0" collapsed="false">
      <c r="B1133" s="19" t="s">
        <v>9234</v>
      </c>
      <c r="C1133" s="20" t="n">
        <f aca="false">ROUND(7.8/FX,2)</f>
        <v>1.08</v>
      </c>
      <c r="D1133" s="21" t="s">
        <v>724</v>
      </c>
      <c r="E1133" s="21" t="s">
        <v>7902</v>
      </c>
      <c r="F1133" s="21" t="s">
        <v>8176</v>
      </c>
      <c r="G1133" s="21" t="s">
        <v>7833</v>
      </c>
    </row>
    <row r="1134" customFormat="false" ht="15" hidden="false" customHeight="false" outlineLevel="0" collapsed="false">
      <c r="B1134" s="19" t="s">
        <v>9235</v>
      </c>
      <c r="C1134" s="20" t="n">
        <f aca="false">ROUND(6.5/FX,2)</f>
        <v>0.9</v>
      </c>
      <c r="D1134" s="21" t="s">
        <v>6549</v>
      </c>
      <c r="E1134" s="21" t="s">
        <v>7902</v>
      </c>
      <c r="F1134" s="21" t="s">
        <v>8169</v>
      </c>
      <c r="G1134" s="21" t="s">
        <v>7833</v>
      </c>
    </row>
    <row r="1135" customFormat="false" ht="15" hidden="false" customHeight="false" outlineLevel="0" collapsed="false">
      <c r="B1135" s="19" t="s">
        <v>9236</v>
      </c>
      <c r="C1135" s="20" t="n">
        <f aca="false">ROUND(9.75/FX,2)</f>
        <v>1.35</v>
      </c>
      <c r="D1135" s="21" t="s">
        <v>724</v>
      </c>
      <c r="E1135" s="21" t="s">
        <v>7902</v>
      </c>
      <c r="F1135" s="21" t="s">
        <v>8173</v>
      </c>
      <c r="G1135" s="21" t="s">
        <v>8294</v>
      </c>
    </row>
    <row r="1136" customFormat="false" ht="15" hidden="false" customHeight="false" outlineLevel="0" collapsed="false">
      <c r="B1136" s="19" t="s">
        <v>9237</v>
      </c>
      <c r="C1136" s="20" t="n">
        <f aca="false">ROUND(9.75/FX,2)</f>
        <v>1.35</v>
      </c>
      <c r="D1136" s="21" t="s">
        <v>724</v>
      </c>
      <c r="E1136" s="21" t="s">
        <v>7902</v>
      </c>
      <c r="F1136" s="21" t="s">
        <v>8176</v>
      </c>
      <c r="G1136" s="21" t="s">
        <v>8294</v>
      </c>
    </row>
    <row r="1137" customFormat="false" ht="15" hidden="false" customHeight="false" outlineLevel="0" collapsed="false">
      <c r="B1137" s="19" t="s">
        <v>9238</v>
      </c>
      <c r="C1137" s="20" t="n">
        <f aca="false">ROUND(6.5/FX,2)</f>
        <v>0.9</v>
      </c>
      <c r="D1137" s="21" t="s">
        <v>6549</v>
      </c>
      <c r="E1137" s="21" t="s">
        <v>7902</v>
      </c>
      <c r="F1137" s="21" t="s">
        <v>8169</v>
      </c>
      <c r="G1137" s="21" t="s">
        <v>8294</v>
      </c>
    </row>
    <row r="1138" customFormat="false" ht="15" hidden="false" customHeight="false" outlineLevel="0" collapsed="false">
      <c r="B1138" s="19" t="s">
        <v>9239</v>
      </c>
      <c r="C1138" s="20" t="n">
        <f aca="false">ROUND(9.75/FX,2)</f>
        <v>1.35</v>
      </c>
      <c r="D1138" s="21" t="s">
        <v>724</v>
      </c>
      <c r="E1138" s="21" t="s">
        <v>7902</v>
      </c>
      <c r="F1138" s="21" t="s">
        <v>8173</v>
      </c>
      <c r="G1138" s="21" t="s">
        <v>7891</v>
      </c>
    </row>
    <row r="1139" customFormat="false" ht="15" hidden="false" customHeight="false" outlineLevel="0" collapsed="false">
      <c r="B1139" s="19" t="s">
        <v>9240</v>
      </c>
      <c r="C1139" s="20" t="n">
        <f aca="false">ROUND(9.75/FX,2)</f>
        <v>1.35</v>
      </c>
      <c r="D1139" s="21" t="s">
        <v>724</v>
      </c>
      <c r="E1139" s="21" t="s">
        <v>7902</v>
      </c>
      <c r="F1139" s="21" t="s">
        <v>8176</v>
      </c>
      <c r="G1139" s="21" t="s">
        <v>7891</v>
      </c>
    </row>
    <row r="1140" customFormat="false" ht="15" hidden="false" customHeight="false" outlineLevel="0" collapsed="false">
      <c r="B1140" s="19" t="s">
        <v>9241</v>
      </c>
      <c r="C1140" s="20" t="n">
        <f aca="false">ROUND(6.5/FX,2)</f>
        <v>0.9</v>
      </c>
      <c r="D1140" s="21" t="s">
        <v>6549</v>
      </c>
      <c r="E1140" s="21" t="s">
        <v>7902</v>
      </c>
      <c r="F1140" s="21" t="s">
        <v>8169</v>
      </c>
      <c r="G1140" s="21" t="s">
        <v>7891</v>
      </c>
    </row>
    <row r="1141" customFormat="false" ht="15" hidden="false" customHeight="false" outlineLevel="0" collapsed="false">
      <c r="B1141" s="19" t="s">
        <v>9242</v>
      </c>
      <c r="C1141" s="20" t="n">
        <f aca="false">ROUND(9.75/FX,2)</f>
        <v>1.35</v>
      </c>
      <c r="D1141" s="21" t="s">
        <v>724</v>
      </c>
      <c r="E1141" s="21" t="s">
        <v>7902</v>
      </c>
      <c r="F1141" s="21" t="s">
        <v>8173</v>
      </c>
      <c r="G1141" s="21" t="s">
        <v>7860</v>
      </c>
    </row>
    <row r="1142" customFormat="false" ht="15" hidden="false" customHeight="false" outlineLevel="0" collapsed="false">
      <c r="B1142" s="19" t="s">
        <v>9243</v>
      </c>
      <c r="C1142" s="20" t="n">
        <f aca="false">ROUND(9.75/FX,2)</f>
        <v>1.35</v>
      </c>
      <c r="D1142" s="21" t="s">
        <v>724</v>
      </c>
      <c r="E1142" s="21" t="s">
        <v>7902</v>
      </c>
      <c r="F1142" s="21" t="s">
        <v>8176</v>
      </c>
      <c r="G1142" s="21" t="s">
        <v>7860</v>
      </c>
    </row>
    <row r="1143" customFormat="false" ht="15" hidden="false" customHeight="false" outlineLevel="0" collapsed="false">
      <c r="B1143" s="19" t="s">
        <v>9244</v>
      </c>
      <c r="C1143" s="20" t="n">
        <f aca="false">ROUND(6.5/FX,2)</f>
        <v>0.9</v>
      </c>
      <c r="D1143" s="21" t="s">
        <v>6549</v>
      </c>
      <c r="E1143" s="21" t="s">
        <v>7902</v>
      </c>
      <c r="F1143" s="21" t="s">
        <v>8169</v>
      </c>
      <c r="G1143" s="21" t="s">
        <v>7860</v>
      </c>
    </row>
    <row r="1144" customFormat="false" ht="15" hidden="false" customHeight="false" outlineLevel="0" collapsed="false">
      <c r="B1144" s="19" t="s">
        <v>9245</v>
      </c>
      <c r="C1144" s="20" t="n">
        <f aca="false">ROUND(6.5/FX,2)</f>
        <v>0.9</v>
      </c>
      <c r="D1144" s="21" t="s">
        <v>6549</v>
      </c>
      <c r="E1144" s="21" t="s">
        <v>7902</v>
      </c>
      <c r="F1144" s="21" t="s">
        <v>8169</v>
      </c>
      <c r="G1144" s="21" t="s">
        <v>8310</v>
      </c>
    </row>
    <row r="1145" customFormat="false" ht="15" hidden="false" customHeight="false" outlineLevel="0" collapsed="false">
      <c r="B1145" s="19" t="s">
        <v>9246</v>
      </c>
      <c r="C1145" s="20" t="n">
        <f aca="false">ROUND(9.75/FX,2)</f>
        <v>1.35</v>
      </c>
      <c r="D1145" s="21" t="s">
        <v>724</v>
      </c>
      <c r="E1145" s="21" t="s">
        <v>7902</v>
      </c>
      <c r="F1145" s="21" t="s">
        <v>8173</v>
      </c>
      <c r="G1145" s="21" t="s">
        <v>7893</v>
      </c>
    </row>
    <row r="1146" customFormat="false" ht="15" hidden="false" customHeight="false" outlineLevel="0" collapsed="false">
      <c r="B1146" s="19" t="s">
        <v>9247</v>
      </c>
      <c r="C1146" s="20" t="n">
        <f aca="false">ROUND(9.75/FX,2)</f>
        <v>1.35</v>
      </c>
      <c r="D1146" s="21" t="s">
        <v>724</v>
      </c>
      <c r="E1146" s="21" t="s">
        <v>7902</v>
      </c>
      <c r="F1146" s="21" t="s">
        <v>8176</v>
      </c>
      <c r="G1146" s="21" t="s">
        <v>7893</v>
      </c>
    </row>
    <row r="1147" customFormat="false" ht="15" hidden="false" customHeight="false" outlineLevel="0" collapsed="false">
      <c r="B1147" s="19" t="s">
        <v>9248</v>
      </c>
      <c r="C1147" s="20" t="n">
        <f aca="false">ROUND(6.5/FX,2)</f>
        <v>0.9</v>
      </c>
      <c r="D1147" s="21" t="s">
        <v>6549</v>
      </c>
      <c r="E1147" s="21" t="s">
        <v>7902</v>
      </c>
      <c r="F1147" s="21" t="s">
        <v>8169</v>
      </c>
      <c r="G1147" s="21" t="s">
        <v>7893</v>
      </c>
    </row>
    <row r="1148" customFormat="false" ht="15" hidden="false" customHeight="false" outlineLevel="0" collapsed="false">
      <c r="B1148" s="19" t="s">
        <v>9249</v>
      </c>
      <c r="C1148" s="20" t="n">
        <f aca="false">ROUND(9.75/FX,2)</f>
        <v>1.35</v>
      </c>
      <c r="D1148" s="21" t="s">
        <v>724</v>
      </c>
      <c r="E1148" s="21" t="s">
        <v>7902</v>
      </c>
      <c r="F1148" s="21" t="s">
        <v>8173</v>
      </c>
      <c r="G1148" s="21" t="s">
        <v>8320</v>
      </c>
    </row>
    <row r="1149" customFormat="false" ht="15" hidden="false" customHeight="false" outlineLevel="0" collapsed="false">
      <c r="B1149" s="19" t="s">
        <v>9250</v>
      </c>
      <c r="C1149" s="20" t="n">
        <f aca="false">ROUND(9.75/FX,2)</f>
        <v>1.35</v>
      </c>
      <c r="D1149" s="21" t="s">
        <v>724</v>
      </c>
      <c r="E1149" s="21" t="s">
        <v>7902</v>
      </c>
      <c r="F1149" s="21" t="s">
        <v>8176</v>
      </c>
      <c r="G1149" s="21" t="s">
        <v>8320</v>
      </c>
    </row>
    <row r="1150" customFormat="false" ht="15" hidden="false" customHeight="false" outlineLevel="0" collapsed="false">
      <c r="B1150" s="19" t="s">
        <v>9251</v>
      </c>
      <c r="C1150" s="20" t="n">
        <f aca="false">ROUND(6.5/FX,2)</f>
        <v>0.9</v>
      </c>
      <c r="D1150" s="21" t="s">
        <v>6549</v>
      </c>
      <c r="E1150" s="21" t="s">
        <v>7902</v>
      </c>
      <c r="F1150" s="21" t="s">
        <v>8169</v>
      </c>
      <c r="G1150" s="21" t="s">
        <v>8320</v>
      </c>
    </row>
    <row r="1151" customFormat="false" ht="15" hidden="false" customHeight="false" outlineLevel="0" collapsed="false">
      <c r="B1151" s="19" t="s">
        <v>9252</v>
      </c>
      <c r="C1151" s="20" t="n">
        <f aca="false">ROUND(9.75/FX,2)</f>
        <v>1.35</v>
      </c>
      <c r="D1151" s="21" t="s">
        <v>724</v>
      </c>
      <c r="E1151" s="21" t="s">
        <v>7902</v>
      </c>
      <c r="F1151" s="21" t="s">
        <v>8173</v>
      </c>
      <c r="G1151" s="21" t="s">
        <v>7895</v>
      </c>
    </row>
    <row r="1152" customFormat="false" ht="15" hidden="false" customHeight="false" outlineLevel="0" collapsed="false">
      <c r="B1152" s="19" t="s">
        <v>9253</v>
      </c>
      <c r="C1152" s="20" t="n">
        <f aca="false">ROUND(9.75/FX,2)</f>
        <v>1.35</v>
      </c>
      <c r="D1152" s="21" t="s">
        <v>724</v>
      </c>
      <c r="E1152" s="21" t="s">
        <v>7902</v>
      </c>
      <c r="F1152" s="21" t="s">
        <v>8176</v>
      </c>
      <c r="G1152" s="21" t="s">
        <v>7895</v>
      </c>
    </row>
    <row r="1153" customFormat="false" ht="15" hidden="false" customHeight="false" outlineLevel="0" collapsed="false">
      <c r="B1153" s="19" t="s">
        <v>9254</v>
      </c>
      <c r="C1153" s="20" t="n">
        <f aca="false">ROUND(6.5/FX,2)</f>
        <v>0.9</v>
      </c>
      <c r="D1153" s="21" t="s">
        <v>6549</v>
      </c>
      <c r="E1153" s="21" t="s">
        <v>7902</v>
      </c>
      <c r="F1153" s="21" t="s">
        <v>8169</v>
      </c>
      <c r="G1153" s="21" t="s">
        <v>7895</v>
      </c>
    </row>
    <row r="1154" customFormat="false" ht="15" hidden="false" customHeight="false" outlineLevel="0" collapsed="false">
      <c r="B1154" s="19" t="s">
        <v>9255</v>
      </c>
      <c r="C1154" s="20" t="n">
        <f aca="false">ROUND(9.75/FX,2)</f>
        <v>1.35</v>
      </c>
      <c r="D1154" s="21" t="s">
        <v>724</v>
      </c>
      <c r="E1154" s="21" t="s">
        <v>7902</v>
      </c>
      <c r="F1154" s="21" t="s">
        <v>8173</v>
      </c>
      <c r="G1154" s="21" t="s">
        <v>7862</v>
      </c>
    </row>
    <row r="1155" customFormat="false" ht="15" hidden="false" customHeight="false" outlineLevel="0" collapsed="false">
      <c r="B1155" s="19" t="s">
        <v>9256</v>
      </c>
      <c r="C1155" s="20" t="n">
        <f aca="false">ROUND(9.75/FX,2)</f>
        <v>1.35</v>
      </c>
      <c r="D1155" s="21" t="s">
        <v>724</v>
      </c>
      <c r="E1155" s="21" t="s">
        <v>7902</v>
      </c>
      <c r="F1155" s="21" t="s">
        <v>8176</v>
      </c>
      <c r="G1155" s="21" t="s">
        <v>7862</v>
      </c>
    </row>
    <row r="1156" customFormat="false" ht="15" hidden="false" customHeight="false" outlineLevel="0" collapsed="false">
      <c r="B1156" s="19" t="s">
        <v>9257</v>
      </c>
      <c r="C1156" s="20" t="n">
        <f aca="false">ROUND(6.5/FX,2)</f>
        <v>0.9</v>
      </c>
      <c r="D1156" s="21" t="s">
        <v>6549</v>
      </c>
      <c r="E1156" s="21" t="s">
        <v>7902</v>
      </c>
      <c r="F1156" s="21" t="s">
        <v>8169</v>
      </c>
      <c r="G1156" s="21" t="s">
        <v>7862</v>
      </c>
    </row>
    <row r="1157" customFormat="false" ht="15" hidden="false" customHeight="false" outlineLevel="0" collapsed="false">
      <c r="B1157" s="19" t="s">
        <v>9258</v>
      </c>
      <c r="C1157" s="20" t="n">
        <f aca="false">ROUND(9.75/FX,2)</f>
        <v>1.35</v>
      </c>
      <c r="D1157" s="21" t="s">
        <v>724</v>
      </c>
      <c r="E1157" s="21" t="s">
        <v>7902</v>
      </c>
      <c r="F1157" s="21" t="s">
        <v>8173</v>
      </c>
      <c r="G1157" s="21" t="s">
        <v>7864</v>
      </c>
    </row>
    <row r="1158" customFormat="false" ht="15" hidden="false" customHeight="false" outlineLevel="0" collapsed="false">
      <c r="B1158" s="19" t="s">
        <v>9259</v>
      </c>
      <c r="C1158" s="20" t="n">
        <f aca="false">ROUND(9.75/FX,2)</f>
        <v>1.35</v>
      </c>
      <c r="D1158" s="21" t="s">
        <v>724</v>
      </c>
      <c r="E1158" s="21" t="s">
        <v>7902</v>
      </c>
      <c r="F1158" s="21" t="s">
        <v>8176</v>
      </c>
      <c r="G1158" s="21" t="s">
        <v>7864</v>
      </c>
    </row>
    <row r="1159" customFormat="false" ht="15" hidden="false" customHeight="false" outlineLevel="0" collapsed="false">
      <c r="B1159" s="19" t="s">
        <v>9260</v>
      </c>
      <c r="C1159" s="20" t="n">
        <f aca="false">ROUND(6.5/FX,2)</f>
        <v>0.9</v>
      </c>
      <c r="D1159" s="21" t="s">
        <v>6549</v>
      </c>
      <c r="E1159" s="21" t="s">
        <v>7902</v>
      </c>
      <c r="F1159" s="21" t="s">
        <v>8169</v>
      </c>
      <c r="G1159" s="21" t="s">
        <v>7864</v>
      </c>
    </row>
    <row r="1160" customFormat="false" ht="15" hidden="false" customHeight="false" outlineLevel="0" collapsed="false">
      <c r="B1160" s="19" t="s">
        <v>9261</v>
      </c>
      <c r="C1160" s="20" t="n">
        <f aca="false">ROUND(6.5/FX,2)</f>
        <v>0.9</v>
      </c>
      <c r="D1160" s="21" t="s">
        <v>6549</v>
      </c>
      <c r="E1160" s="21" t="s">
        <v>7902</v>
      </c>
      <c r="F1160" s="21" t="s">
        <v>8169</v>
      </c>
      <c r="G1160" s="21" t="s">
        <v>7961</v>
      </c>
    </row>
    <row r="1161" customFormat="false" ht="15" hidden="false" customHeight="false" outlineLevel="0" collapsed="false">
      <c r="B1161" s="19" t="s">
        <v>9262</v>
      </c>
      <c r="C1161" s="20" t="n">
        <f aca="false">ROUND(9.75/FX,2)</f>
        <v>1.35</v>
      </c>
      <c r="D1161" s="21" t="s">
        <v>724</v>
      </c>
      <c r="E1161" s="21" t="s">
        <v>7902</v>
      </c>
      <c r="F1161" s="21" t="s">
        <v>8173</v>
      </c>
      <c r="G1161" s="21" t="s">
        <v>7872</v>
      </c>
    </row>
    <row r="1162" customFormat="false" ht="15" hidden="false" customHeight="false" outlineLevel="0" collapsed="false">
      <c r="B1162" s="19" t="s">
        <v>9263</v>
      </c>
      <c r="C1162" s="20" t="n">
        <f aca="false">ROUND(9.75/FX,2)</f>
        <v>1.35</v>
      </c>
      <c r="D1162" s="21" t="s">
        <v>724</v>
      </c>
      <c r="E1162" s="21" t="s">
        <v>7902</v>
      </c>
      <c r="F1162" s="21" t="s">
        <v>8176</v>
      </c>
      <c r="G1162" s="21" t="s">
        <v>7872</v>
      </c>
    </row>
    <row r="1163" customFormat="false" ht="15" hidden="false" customHeight="false" outlineLevel="0" collapsed="false">
      <c r="B1163" s="19" t="s">
        <v>9264</v>
      </c>
      <c r="C1163" s="20" t="n">
        <f aca="false">ROUND(6.5/FX,2)</f>
        <v>0.9</v>
      </c>
      <c r="D1163" s="21" t="s">
        <v>6549</v>
      </c>
      <c r="E1163" s="21" t="s">
        <v>7902</v>
      </c>
      <c r="F1163" s="21" t="s">
        <v>8169</v>
      </c>
      <c r="G1163" s="21" t="s">
        <v>7872</v>
      </c>
    </row>
    <row r="1164" customFormat="false" ht="15" hidden="false" customHeight="false" outlineLevel="0" collapsed="false">
      <c r="B1164" s="19" t="s">
        <v>9265</v>
      </c>
      <c r="C1164" s="20" t="n">
        <f aca="false">ROUND(9.75/FX,2)</f>
        <v>1.35</v>
      </c>
      <c r="D1164" s="21" t="s">
        <v>724</v>
      </c>
      <c r="E1164" s="21" t="s">
        <v>7902</v>
      </c>
      <c r="F1164" s="21" t="s">
        <v>8173</v>
      </c>
      <c r="G1164" s="21" t="s">
        <v>8349</v>
      </c>
    </row>
    <row r="1165" customFormat="false" ht="15" hidden="false" customHeight="false" outlineLevel="0" collapsed="false">
      <c r="B1165" s="19" t="s">
        <v>9266</v>
      </c>
      <c r="C1165" s="20" t="n">
        <f aca="false">ROUND(9.75/FX,2)</f>
        <v>1.35</v>
      </c>
      <c r="D1165" s="21" t="s">
        <v>724</v>
      </c>
      <c r="E1165" s="21" t="s">
        <v>7902</v>
      </c>
      <c r="F1165" s="21" t="s">
        <v>8176</v>
      </c>
      <c r="G1165" s="21" t="s">
        <v>8349</v>
      </c>
    </row>
    <row r="1166" customFormat="false" ht="15" hidden="false" customHeight="false" outlineLevel="0" collapsed="false">
      <c r="B1166" s="19" t="s">
        <v>9267</v>
      </c>
      <c r="C1166" s="20" t="n">
        <f aca="false">ROUND(6.5/FX,2)</f>
        <v>0.9</v>
      </c>
      <c r="D1166" s="21" t="s">
        <v>6549</v>
      </c>
      <c r="E1166" s="21" t="s">
        <v>7902</v>
      </c>
      <c r="F1166" s="21" t="s">
        <v>8169</v>
      </c>
      <c r="G1166" s="21" t="s">
        <v>8349</v>
      </c>
    </row>
    <row r="1167" customFormat="false" ht="15" hidden="false" customHeight="false" outlineLevel="0" collapsed="false">
      <c r="B1167" s="19" t="s">
        <v>9268</v>
      </c>
      <c r="C1167" s="20" t="n">
        <f aca="false">ROUND(6.5/FX,2)</f>
        <v>0.9</v>
      </c>
      <c r="D1167" s="21" t="s">
        <v>6549</v>
      </c>
      <c r="E1167" s="21" t="s">
        <v>7902</v>
      </c>
      <c r="F1167" s="21" t="s">
        <v>8169</v>
      </c>
      <c r="G1167" s="21" t="s">
        <v>7966</v>
      </c>
    </row>
    <row r="1168" customFormat="false" ht="15" hidden="false" customHeight="false" outlineLevel="0" collapsed="false">
      <c r="B1168" s="19" t="s">
        <v>9269</v>
      </c>
      <c r="C1168" s="20" t="n">
        <f aca="false">ROUND(6.5/FX,2)</f>
        <v>0.9</v>
      </c>
      <c r="D1168" s="21" t="s">
        <v>6549</v>
      </c>
      <c r="E1168" s="21" t="s">
        <v>7902</v>
      </c>
      <c r="F1168" s="21" t="s">
        <v>8169</v>
      </c>
      <c r="G1168" s="21" t="s">
        <v>7968</v>
      </c>
    </row>
    <row r="1169" customFormat="false" ht="15" hidden="false" customHeight="false" outlineLevel="0" collapsed="false">
      <c r="B1169" s="19" t="s">
        <v>9270</v>
      </c>
      <c r="C1169" s="20" t="n">
        <f aca="false">ROUND(6.5/FX,2)</f>
        <v>0.9</v>
      </c>
      <c r="D1169" s="21" t="s">
        <v>6549</v>
      </c>
      <c r="E1169" s="21" t="s">
        <v>7902</v>
      </c>
      <c r="F1169" s="21" t="s">
        <v>8169</v>
      </c>
      <c r="G1169" s="21" t="s">
        <v>8379</v>
      </c>
    </row>
    <row r="1170" customFormat="false" ht="15" hidden="false" customHeight="false" outlineLevel="0" collapsed="false">
      <c r="B1170" s="19" t="s">
        <v>9271</v>
      </c>
      <c r="C1170" s="20" t="n">
        <f aca="false">ROUND(6.5/FX,2)</f>
        <v>0.9</v>
      </c>
      <c r="D1170" s="21" t="s">
        <v>6549</v>
      </c>
      <c r="E1170" s="21" t="s">
        <v>7902</v>
      </c>
      <c r="F1170" s="21" t="s">
        <v>8169</v>
      </c>
      <c r="G1170" s="21" t="s">
        <v>8382</v>
      </c>
    </row>
    <row r="1171" customFormat="false" ht="15" hidden="false" customHeight="false" outlineLevel="0" collapsed="false">
      <c r="B1171" s="19" t="s">
        <v>9272</v>
      </c>
      <c r="C1171" s="20" t="n">
        <f aca="false">ROUND(9.75/FX,2)</f>
        <v>1.35</v>
      </c>
      <c r="D1171" s="21" t="s">
        <v>724</v>
      </c>
      <c r="E1171" s="21" t="s">
        <v>7902</v>
      </c>
      <c r="F1171" s="21" t="s">
        <v>8173</v>
      </c>
      <c r="G1171" s="21" t="s">
        <v>7899</v>
      </c>
    </row>
    <row r="1172" customFormat="false" ht="15" hidden="false" customHeight="false" outlineLevel="0" collapsed="false">
      <c r="B1172" s="19" t="s">
        <v>9273</v>
      </c>
      <c r="C1172" s="20" t="n">
        <f aca="false">ROUND(9.75/FX,2)</f>
        <v>1.35</v>
      </c>
      <c r="D1172" s="21" t="s">
        <v>724</v>
      </c>
      <c r="E1172" s="21" t="s">
        <v>7902</v>
      </c>
      <c r="F1172" s="21" t="s">
        <v>8176</v>
      </c>
      <c r="G1172" s="21" t="s">
        <v>7899</v>
      </c>
    </row>
    <row r="1173" customFormat="false" ht="15" hidden="false" customHeight="false" outlineLevel="0" collapsed="false">
      <c r="B1173" s="19" t="s">
        <v>9274</v>
      </c>
      <c r="C1173" s="20" t="n">
        <f aca="false">ROUND(6.5/FX,2)</f>
        <v>0.9</v>
      </c>
      <c r="D1173" s="21" t="s">
        <v>6549</v>
      </c>
      <c r="E1173" s="21" t="s">
        <v>7902</v>
      </c>
      <c r="F1173" s="21" t="s">
        <v>8169</v>
      </c>
      <c r="G1173" s="21" t="s">
        <v>7899</v>
      </c>
    </row>
    <row r="1174" customFormat="false" ht="15" hidden="false" customHeight="false" outlineLevel="0" collapsed="false">
      <c r="B1174" s="19" t="s">
        <v>9275</v>
      </c>
      <c r="C1174" s="20" t="n">
        <f aca="false">ROUND(9.75/FX,2)</f>
        <v>1.35</v>
      </c>
      <c r="D1174" s="21" t="s">
        <v>724</v>
      </c>
      <c r="E1174" s="21" t="s">
        <v>7902</v>
      </c>
      <c r="F1174" s="21" t="s">
        <v>8173</v>
      </c>
      <c r="G1174" s="21" t="s">
        <v>7866</v>
      </c>
    </row>
    <row r="1175" customFormat="false" ht="15" hidden="false" customHeight="false" outlineLevel="0" collapsed="false">
      <c r="B1175" s="19" t="s">
        <v>9276</v>
      </c>
      <c r="C1175" s="20" t="n">
        <f aca="false">ROUND(8.45/FX,2)</f>
        <v>1.17</v>
      </c>
      <c r="D1175" s="21" t="s">
        <v>724</v>
      </c>
      <c r="E1175" s="21" t="s">
        <v>7902</v>
      </c>
      <c r="F1175" s="21" t="s">
        <v>8176</v>
      </c>
      <c r="G1175" s="21" t="s">
        <v>7866</v>
      </c>
    </row>
    <row r="1176" customFormat="false" ht="15" hidden="false" customHeight="false" outlineLevel="0" collapsed="false">
      <c r="B1176" s="19" t="s">
        <v>9277</v>
      </c>
      <c r="C1176" s="20" t="n">
        <f aca="false">ROUND(6.5/FX,2)</f>
        <v>0.9</v>
      </c>
      <c r="D1176" s="21" t="s">
        <v>6549</v>
      </c>
      <c r="E1176" s="21" t="s">
        <v>7902</v>
      </c>
      <c r="F1176" s="21" t="s">
        <v>8169</v>
      </c>
      <c r="G1176" s="21" t="s">
        <v>7866</v>
      </c>
    </row>
    <row r="1177" customFormat="false" ht="15" hidden="false" customHeight="false" outlineLevel="0" collapsed="false">
      <c r="B1177" s="19" t="s">
        <v>9278</v>
      </c>
      <c r="C1177" s="20" t="n">
        <f aca="false">ROUND(9.75/FX,2)</f>
        <v>1.35</v>
      </c>
      <c r="D1177" s="21" t="s">
        <v>724</v>
      </c>
      <c r="E1177" s="21" t="s">
        <v>7902</v>
      </c>
      <c r="F1177" s="21" t="s">
        <v>8173</v>
      </c>
      <c r="G1177" s="21" t="s">
        <v>8396</v>
      </c>
    </row>
    <row r="1178" customFormat="false" ht="15" hidden="false" customHeight="false" outlineLevel="0" collapsed="false">
      <c r="B1178" s="19" t="s">
        <v>9279</v>
      </c>
      <c r="C1178" s="20" t="n">
        <f aca="false">ROUND(9.75/FX,2)</f>
        <v>1.35</v>
      </c>
      <c r="D1178" s="21" t="s">
        <v>724</v>
      </c>
      <c r="E1178" s="21" t="s">
        <v>7902</v>
      </c>
      <c r="F1178" s="21" t="s">
        <v>8176</v>
      </c>
      <c r="G1178" s="21" t="s">
        <v>8396</v>
      </c>
    </row>
    <row r="1179" customFormat="false" ht="15" hidden="false" customHeight="false" outlineLevel="0" collapsed="false">
      <c r="B1179" s="19" t="s">
        <v>9280</v>
      </c>
      <c r="C1179" s="20" t="n">
        <f aca="false">ROUND(6.5/FX,2)</f>
        <v>0.9</v>
      </c>
      <c r="D1179" s="21" t="s">
        <v>6549</v>
      </c>
      <c r="E1179" s="21" t="s">
        <v>7902</v>
      </c>
      <c r="F1179" s="21" t="s">
        <v>8169</v>
      </c>
      <c r="G1179" s="21" t="s">
        <v>8396</v>
      </c>
    </row>
    <row r="1180" customFormat="false" ht="15" hidden="false" customHeight="false" outlineLevel="0" collapsed="false">
      <c r="B1180" s="19" t="s">
        <v>9281</v>
      </c>
      <c r="C1180" s="20" t="n">
        <f aca="false">ROUND(9.75/FX,2)</f>
        <v>1.35</v>
      </c>
      <c r="D1180" s="21" t="s">
        <v>724</v>
      </c>
      <c r="E1180" s="21" t="s">
        <v>7902</v>
      </c>
      <c r="F1180" s="21" t="s">
        <v>8173</v>
      </c>
      <c r="G1180" s="21" t="s">
        <v>8401</v>
      </c>
    </row>
    <row r="1181" customFormat="false" ht="15" hidden="false" customHeight="false" outlineLevel="0" collapsed="false">
      <c r="B1181" s="19" t="s">
        <v>9282</v>
      </c>
      <c r="C1181" s="20" t="n">
        <f aca="false">ROUND(9.75/FX,2)</f>
        <v>1.35</v>
      </c>
      <c r="D1181" s="21" t="s">
        <v>724</v>
      </c>
      <c r="E1181" s="21" t="s">
        <v>7902</v>
      </c>
      <c r="F1181" s="21" t="s">
        <v>8176</v>
      </c>
      <c r="G1181" s="21" t="s">
        <v>8401</v>
      </c>
    </row>
    <row r="1182" customFormat="false" ht="15" hidden="false" customHeight="false" outlineLevel="0" collapsed="false">
      <c r="B1182" s="19" t="s">
        <v>9283</v>
      </c>
      <c r="C1182" s="20" t="n">
        <f aca="false">ROUND(6.5/FX,2)</f>
        <v>0.9</v>
      </c>
      <c r="D1182" s="21" t="s">
        <v>6549</v>
      </c>
      <c r="E1182" s="21" t="s">
        <v>7902</v>
      </c>
      <c r="F1182" s="21" t="s">
        <v>8169</v>
      </c>
      <c r="G1182" s="21" t="s">
        <v>8401</v>
      </c>
    </row>
    <row r="1183" customFormat="false" ht="15" hidden="false" customHeight="false" outlineLevel="0" collapsed="false">
      <c r="B1183" s="19" t="s">
        <v>9284</v>
      </c>
      <c r="C1183" s="20" t="n">
        <f aca="false">ROUND(9.75/FX,2)</f>
        <v>1.35</v>
      </c>
      <c r="D1183" s="21" t="s">
        <v>724</v>
      </c>
      <c r="E1183" s="21" t="s">
        <v>7902</v>
      </c>
      <c r="F1183" s="21" t="s">
        <v>8173</v>
      </c>
      <c r="G1183" s="21" t="s">
        <v>8409</v>
      </c>
    </row>
    <row r="1184" customFormat="false" ht="15" hidden="false" customHeight="false" outlineLevel="0" collapsed="false">
      <c r="B1184" s="19" t="s">
        <v>9285</v>
      </c>
      <c r="C1184" s="20" t="n">
        <f aca="false">ROUND(7.8/FX,2)</f>
        <v>1.08</v>
      </c>
      <c r="D1184" s="21" t="s">
        <v>724</v>
      </c>
      <c r="E1184" s="21" t="s">
        <v>7902</v>
      </c>
      <c r="F1184" s="21" t="s">
        <v>8176</v>
      </c>
      <c r="G1184" s="21" t="s">
        <v>8409</v>
      </c>
    </row>
    <row r="1185" customFormat="false" ht="15" hidden="false" customHeight="false" outlineLevel="0" collapsed="false">
      <c r="B1185" s="19" t="s">
        <v>9286</v>
      </c>
      <c r="C1185" s="20" t="n">
        <f aca="false">ROUND(6.5/FX,2)</f>
        <v>0.9</v>
      </c>
      <c r="D1185" s="21" t="s">
        <v>6549</v>
      </c>
      <c r="E1185" s="21" t="s">
        <v>7902</v>
      </c>
      <c r="F1185" s="21" t="s">
        <v>8169</v>
      </c>
      <c r="G1185" s="21" t="s">
        <v>8409</v>
      </c>
    </row>
    <row r="1186" customFormat="false" ht="15" hidden="false" customHeight="false" outlineLevel="0" collapsed="false">
      <c r="B1186" s="19" t="s">
        <v>9287</v>
      </c>
      <c r="C1186" s="20" t="n">
        <f aca="false">ROUND(7.15/FX,2)</f>
        <v>0.99</v>
      </c>
      <c r="D1186" s="21" t="s">
        <v>6549</v>
      </c>
      <c r="E1186" s="21" t="s">
        <v>7979</v>
      </c>
      <c r="F1186" s="21" t="s">
        <v>8169</v>
      </c>
      <c r="G1186" s="21" t="s">
        <v>7875</v>
      </c>
    </row>
    <row r="1187" customFormat="false" ht="15" hidden="false" customHeight="false" outlineLevel="0" collapsed="false">
      <c r="B1187" s="19" t="s">
        <v>9288</v>
      </c>
      <c r="C1187" s="20" t="n">
        <f aca="false">ROUND(7.15/FX,2)</f>
        <v>0.99</v>
      </c>
      <c r="D1187" s="21" t="s">
        <v>6549</v>
      </c>
      <c r="E1187" s="21" t="s">
        <v>7979</v>
      </c>
      <c r="F1187" s="21" t="s">
        <v>8169</v>
      </c>
      <c r="G1187" s="21" t="s">
        <v>7927</v>
      </c>
    </row>
    <row r="1188" customFormat="false" ht="15" hidden="false" customHeight="false" outlineLevel="0" collapsed="false">
      <c r="B1188" s="19" t="s">
        <v>9289</v>
      </c>
      <c r="C1188" s="20" t="n">
        <f aca="false">ROUND(7.15/FX,2)</f>
        <v>0.99</v>
      </c>
      <c r="D1188" s="21" t="s">
        <v>6549</v>
      </c>
      <c r="E1188" s="21" t="s">
        <v>7979</v>
      </c>
      <c r="F1188" s="21" t="s">
        <v>8169</v>
      </c>
      <c r="G1188" s="21" t="s">
        <v>7827</v>
      </c>
    </row>
    <row r="1189" customFormat="false" ht="15" hidden="false" customHeight="false" outlineLevel="0" collapsed="false">
      <c r="B1189" s="19" t="s">
        <v>9290</v>
      </c>
      <c r="C1189" s="20" t="n">
        <f aca="false">ROUND(7.15/FX,2)</f>
        <v>0.99</v>
      </c>
      <c r="D1189" s="21" t="s">
        <v>6549</v>
      </c>
      <c r="E1189" s="21" t="s">
        <v>7979</v>
      </c>
      <c r="F1189" s="21" t="s">
        <v>8169</v>
      </c>
      <c r="G1189" s="21" t="s">
        <v>7853</v>
      </c>
    </row>
    <row r="1190" customFormat="false" ht="15" hidden="false" customHeight="false" outlineLevel="0" collapsed="false">
      <c r="B1190" s="19" t="s">
        <v>9291</v>
      </c>
      <c r="C1190" s="20" t="n">
        <f aca="false">ROUND(7.15/FX,2)</f>
        <v>0.99</v>
      </c>
      <c r="D1190" s="21" t="s">
        <v>6549</v>
      </c>
      <c r="E1190" s="21" t="s">
        <v>7979</v>
      </c>
      <c r="F1190" s="21" t="s">
        <v>8169</v>
      </c>
      <c r="G1190" s="21" t="s">
        <v>7869</v>
      </c>
    </row>
    <row r="1191" customFormat="false" ht="15" hidden="false" customHeight="false" outlineLevel="0" collapsed="false">
      <c r="B1191" s="19" t="s">
        <v>9292</v>
      </c>
      <c r="C1191" s="20" t="n">
        <f aca="false">ROUND(7.15/FX,2)</f>
        <v>0.99</v>
      </c>
      <c r="D1191" s="21" t="s">
        <v>6549</v>
      </c>
      <c r="E1191" s="21" t="s">
        <v>7979</v>
      </c>
      <c r="F1191" s="21" t="s">
        <v>8169</v>
      </c>
      <c r="G1191" s="21" t="s">
        <v>7855</v>
      </c>
    </row>
    <row r="1192" customFormat="false" ht="15" hidden="false" customHeight="false" outlineLevel="0" collapsed="false">
      <c r="B1192" s="19" t="s">
        <v>9293</v>
      </c>
      <c r="C1192" s="20" t="n">
        <f aca="false">ROUND(7.15/FX,2)</f>
        <v>0.99</v>
      </c>
      <c r="D1192" s="21" t="s">
        <v>6549</v>
      </c>
      <c r="E1192" s="21" t="s">
        <v>7979</v>
      </c>
      <c r="F1192" s="21" t="s">
        <v>8169</v>
      </c>
      <c r="G1192" s="21" t="s">
        <v>8255</v>
      </c>
    </row>
    <row r="1193" customFormat="false" ht="15" hidden="false" customHeight="false" outlineLevel="0" collapsed="false">
      <c r="B1193" s="19" t="s">
        <v>9294</v>
      </c>
      <c r="C1193" s="20" t="n">
        <f aca="false">ROUND(7.15/FX,2)</f>
        <v>0.99</v>
      </c>
      <c r="D1193" s="21" t="s">
        <v>6549</v>
      </c>
      <c r="E1193" s="21" t="s">
        <v>7979</v>
      </c>
      <c r="F1193" s="21" t="s">
        <v>8169</v>
      </c>
      <c r="G1193" s="21" t="s">
        <v>7933</v>
      </c>
    </row>
    <row r="1194" customFormat="false" ht="15" hidden="false" customHeight="false" outlineLevel="0" collapsed="false">
      <c r="B1194" s="19" t="s">
        <v>9295</v>
      </c>
      <c r="C1194" s="20" t="n">
        <f aca="false">ROUND(7.15/FX,2)</f>
        <v>0.99</v>
      </c>
      <c r="D1194" s="21" t="s">
        <v>6549</v>
      </c>
      <c r="E1194" s="21" t="s">
        <v>7979</v>
      </c>
      <c r="F1194" s="21" t="s">
        <v>8169</v>
      </c>
      <c r="G1194" s="21" t="s">
        <v>8263</v>
      </c>
    </row>
    <row r="1195" customFormat="false" ht="15" hidden="false" customHeight="false" outlineLevel="0" collapsed="false">
      <c r="B1195" s="19" t="s">
        <v>9296</v>
      </c>
      <c r="C1195" s="20" t="n">
        <f aca="false">ROUND(7.15/FX,2)</f>
        <v>0.99</v>
      </c>
      <c r="D1195" s="21" t="s">
        <v>6549</v>
      </c>
      <c r="E1195" s="21" t="s">
        <v>7979</v>
      </c>
      <c r="F1195" s="21" t="s">
        <v>8169</v>
      </c>
      <c r="G1195" s="21" t="s">
        <v>7881</v>
      </c>
    </row>
    <row r="1196" customFormat="false" ht="15" hidden="false" customHeight="false" outlineLevel="0" collapsed="false">
      <c r="B1196" s="19" t="s">
        <v>9297</v>
      </c>
      <c r="C1196" s="20" t="n">
        <f aca="false">ROUND(7.15/FX,2)</f>
        <v>0.99</v>
      </c>
      <c r="D1196" s="21" t="s">
        <v>6549</v>
      </c>
      <c r="E1196" s="21" t="s">
        <v>7979</v>
      </c>
      <c r="F1196" s="21" t="s">
        <v>8169</v>
      </c>
      <c r="G1196" s="21" t="s">
        <v>7829</v>
      </c>
    </row>
    <row r="1197" customFormat="false" ht="15" hidden="false" customHeight="false" outlineLevel="0" collapsed="false">
      <c r="B1197" s="19" t="s">
        <v>9298</v>
      </c>
      <c r="C1197" s="20" t="n">
        <f aca="false">ROUND(7.15/FX,2)</f>
        <v>0.99</v>
      </c>
      <c r="D1197" s="21" t="s">
        <v>6549</v>
      </c>
      <c r="E1197" s="21" t="s">
        <v>7979</v>
      </c>
      <c r="F1197" s="21" t="s">
        <v>8169</v>
      </c>
      <c r="G1197" s="21" t="s">
        <v>7831</v>
      </c>
    </row>
    <row r="1198" customFormat="false" ht="15" hidden="false" customHeight="false" outlineLevel="0" collapsed="false">
      <c r="B1198" s="19" t="s">
        <v>9299</v>
      </c>
      <c r="C1198" s="20" t="n">
        <f aca="false">ROUND(7.15/FX,2)</f>
        <v>0.99</v>
      </c>
      <c r="D1198" s="21" t="s">
        <v>6549</v>
      </c>
      <c r="E1198" s="21" t="s">
        <v>7979</v>
      </c>
      <c r="F1198" s="21" t="s">
        <v>8169</v>
      </c>
      <c r="G1198" s="21" t="s">
        <v>7944</v>
      </c>
    </row>
    <row r="1199" customFormat="false" ht="15" hidden="false" customHeight="false" outlineLevel="0" collapsed="false">
      <c r="B1199" s="19" t="s">
        <v>9300</v>
      </c>
      <c r="C1199" s="20" t="n">
        <f aca="false">ROUND(7.15/FX,2)</f>
        <v>0.99</v>
      </c>
      <c r="D1199" s="21" t="s">
        <v>6549</v>
      </c>
      <c r="E1199" s="21" t="s">
        <v>7979</v>
      </c>
      <c r="F1199" s="21" t="s">
        <v>8169</v>
      </c>
      <c r="G1199" s="21" t="s">
        <v>7946</v>
      </c>
    </row>
    <row r="1200" customFormat="false" ht="15" hidden="false" customHeight="false" outlineLevel="0" collapsed="false">
      <c r="B1200" s="19" t="s">
        <v>9301</v>
      </c>
      <c r="C1200" s="20" t="n">
        <f aca="false">ROUND(7.15/FX,2)</f>
        <v>0.99</v>
      </c>
      <c r="D1200" s="21" t="s">
        <v>6549</v>
      </c>
      <c r="E1200" s="21" t="s">
        <v>7979</v>
      </c>
      <c r="F1200" s="21" t="s">
        <v>8169</v>
      </c>
      <c r="G1200" s="21" t="s">
        <v>7833</v>
      </c>
    </row>
    <row r="1201" customFormat="false" ht="15" hidden="false" customHeight="false" outlineLevel="0" collapsed="false">
      <c r="B1201" s="19" t="s">
        <v>9302</v>
      </c>
      <c r="C1201" s="20" t="n">
        <f aca="false">ROUND(7.15/FX,2)</f>
        <v>0.99</v>
      </c>
      <c r="D1201" s="21" t="s">
        <v>6549</v>
      </c>
      <c r="E1201" s="21" t="s">
        <v>7979</v>
      </c>
      <c r="F1201" s="21" t="s">
        <v>8169</v>
      </c>
      <c r="G1201" s="21" t="s">
        <v>8294</v>
      </c>
    </row>
    <row r="1202" customFormat="false" ht="15" hidden="false" customHeight="false" outlineLevel="0" collapsed="false">
      <c r="B1202" s="19" t="s">
        <v>9303</v>
      </c>
      <c r="C1202" s="20" t="n">
        <f aca="false">ROUND(7.15/FX,2)</f>
        <v>0.99</v>
      </c>
      <c r="D1202" s="21" t="s">
        <v>6549</v>
      </c>
      <c r="E1202" s="21" t="s">
        <v>7979</v>
      </c>
      <c r="F1202" s="21" t="s">
        <v>8169</v>
      </c>
      <c r="G1202" s="21" t="s">
        <v>7891</v>
      </c>
    </row>
    <row r="1203" customFormat="false" ht="15" hidden="false" customHeight="false" outlineLevel="0" collapsed="false">
      <c r="B1203" s="19" t="s">
        <v>9304</v>
      </c>
      <c r="C1203" s="20" t="n">
        <f aca="false">ROUND(7.15/FX,2)</f>
        <v>0.99</v>
      </c>
      <c r="D1203" s="21" t="s">
        <v>6549</v>
      </c>
      <c r="E1203" s="21" t="s">
        <v>7979</v>
      </c>
      <c r="F1203" s="21" t="s">
        <v>8169</v>
      </c>
      <c r="G1203" s="21" t="s">
        <v>7860</v>
      </c>
    </row>
    <row r="1204" customFormat="false" ht="15" hidden="false" customHeight="false" outlineLevel="0" collapsed="false">
      <c r="B1204" s="19" t="s">
        <v>9305</v>
      </c>
      <c r="C1204" s="20" t="n">
        <f aca="false">ROUND(7.15/FX,2)</f>
        <v>0.99</v>
      </c>
      <c r="D1204" s="21" t="s">
        <v>6549</v>
      </c>
      <c r="E1204" s="21" t="s">
        <v>7979</v>
      </c>
      <c r="F1204" s="21" t="s">
        <v>8169</v>
      </c>
      <c r="G1204" s="21" t="s">
        <v>8310</v>
      </c>
    </row>
    <row r="1205" customFormat="false" ht="15" hidden="false" customHeight="false" outlineLevel="0" collapsed="false">
      <c r="B1205" s="19" t="s">
        <v>9306</v>
      </c>
      <c r="C1205" s="20" t="n">
        <f aca="false">ROUND(7.15/FX,2)</f>
        <v>0.99</v>
      </c>
      <c r="D1205" s="21" t="s">
        <v>6549</v>
      </c>
      <c r="E1205" s="21" t="s">
        <v>7979</v>
      </c>
      <c r="F1205" s="21" t="s">
        <v>8169</v>
      </c>
      <c r="G1205" s="21" t="s">
        <v>7893</v>
      </c>
    </row>
    <row r="1206" customFormat="false" ht="15" hidden="false" customHeight="false" outlineLevel="0" collapsed="false">
      <c r="B1206" s="19" t="s">
        <v>9307</v>
      </c>
      <c r="C1206" s="20" t="n">
        <f aca="false">ROUND(7.15/FX,2)</f>
        <v>0.99</v>
      </c>
      <c r="D1206" s="21" t="s">
        <v>6549</v>
      </c>
      <c r="E1206" s="21" t="s">
        <v>7979</v>
      </c>
      <c r="F1206" s="21" t="s">
        <v>8169</v>
      </c>
      <c r="G1206" s="21" t="s">
        <v>8320</v>
      </c>
    </row>
    <row r="1207" customFormat="false" ht="15" hidden="false" customHeight="false" outlineLevel="0" collapsed="false">
      <c r="B1207" s="19" t="s">
        <v>9308</v>
      </c>
      <c r="C1207" s="20" t="n">
        <f aca="false">ROUND(7.15/FX,2)</f>
        <v>0.99</v>
      </c>
      <c r="D1207" s="21" t="s">
        <v>6549</v>
      </c>
      <c r="E1207" s="21" t="s">
        <v>7979</v>
      </c>
      <c r="F1207" s="21" t="s">
        <v>8169</v>
      </c>
      <c r="G1207" s="21" t="s">
        <v>7895</v>
      </c>
    </row>
    <row r="1208" customFormat="false" ht="15" hidden="false" customHeight="false" outlineLevel="0" collapsed="false">
      <c r="B1208" s="19" t="s">
        <v>9309</v>
      </c>
      <c r="C1208" s="20" t="n">
        <f aca="false">ROUND(7.15/FX,2)</f>
        <v>0.99</v>
      </c>
      <c r="D1208" s="21" t="s">
        <v>6549</v>
      </c>
      <c r="E1208" s="21" t="s">
        <v>7979</v>
      </c>
      <c r="F1208" s="21" t="s">
        <v>8169</v>
      </c>
      <c r="G1208" s="21" t="s">
        <v>7862</v>
      </c>
    </row>
    <row r="1209" customFormat="false" ht="15" hidden="false" customHeight="false" outlineLevel="0" collapsed="false">
      <c r="B1209" s="19" t="s">
        <v>9310</v>
      </c>
      <c r="C1209" s="20" t="n">
        <f aca="false">ROUND(7.15/FX,2)</f>
        <v>0.99</v>
      </c>
      <c r="D1209" s="21" t="s">
        <v>6549</v>
      </c>
      <c r="E1209" s="21" t="s">
        <v>7979</v>
      </c>
      <c r="F1209" s="21" t="s">
        <v>8169</v>
      </c>
      <c r="G1209" s="21" t="s">
        <v>7864</v>
      </c>
    </row>
    <row r="1210" customFormat="false" ht="15" hidden="false" customHeight="false" outlineLevel="0" collapsed="false">
      <c r="B1210" s="19" t="s">
        <v>9311</v>
      </c>
      <c r="C1210" s="20" t="n">
        <f aca="false">ROUND(7.15/FX,2)</f>
        <v>0.99</v>
      </c>
      <c r="D1210" s="21" t="s">
        <v>6549</v>
      </c>
      <c r="E1210" s="21" t="s">
        <v>7979</v>
      </c>
      <c r="F1210" s="21" t="s">
        <v>8169</v>
      </c>
      <c r="G1210" s="21" t="s">
        <v>7961</v>
      </c>
    </row>
    <row r="1211" customFormat="false" ht="15" hidden="false" customHeight="false" outlineLevel="0" collapsed="false">
      <c r="B1211" s="19" t="s">
        <v>9312</v>
      </c>
      <c r="C1211" s="20" t="n">
        <f aca="false">ROUND(7.15/FX,2)</f>
        <v>0.99</v>
      </c>
      <c r="D1211" s="21" t="s">
        <v>6549</v>
      </c>
      <c r="E1211" s="21" t="s">
        <v>7979</v>
      </c>
      <c r="F1211" s="21" t="s">
        <v>8169</v>
      </c>
      <c r="G1211" s="21" t="s">
        <v>7872</v>
      </c>
    </row>
    <row r="1212" customFormat="false" ht="15" hidden="false" customHeight="false" outlineLevel="0" collapsed="false">
      <c r="B1212" s="19" t="s">
        <v>9313</v>
      </c>
      <c r="C1212" s="20" t="n">
        <f aca="false">ROUND(7.15/FX,2)</f>
        <v>0.99</v>
      </c>
      <c r="D1212" s="21" t="s">
        <v>6549</v>
      </c>
      <c r="E1212" s="21" t="s">
        <v>7979</v>
      </c>
      <c r="F1212" s="21" t="s">
        <v>8169</v>
      </c>
      <c r="G1212" s="21" t="s">
        <v>8349</v>
      </c>
    </row>
    <row r="1213" customFormat="false" ht="15" hidden="false" customHeight="false" outlineLevel="0" collapsed="false">
      <c r="B1213" s="19" t="s">
        <v>9314</v>
      </c>
      <c r="C1213" s="20" t="n">
        <f aca="false">ROUND(7.15/FX,2)</f>
        <v>0.99</v>
      </c>
      <c r="D1213" s="21" t="s">
        <v>6549</v>
      </c>
      <c r="E1213" s="21" t="s">
        <v>7979</v>
      </c>
      <c r="F1213" s="21" t="s">
        <v>8169</v>
      </c>
      <c r="G1213" s="21" t="s">
        <v>7966</v>
      </c>
    </row>
    <row r="1214" customFormat="false" ht="15" hidden="false" customHeight="false" outlineLevel="0" collapsed="false">
      <c r="B1214" s="19" t="s">
        <v>9315</v>
      </c>
      <c r="C1214" s="20" t="n">
        <f aca="false">ROUND(7.15/FX,2)</f>
        <v>0.99</v>
      </c>
      <c r="D1214" s="21" t="s">
        <v>6549</v>
      </c>
      <c r="E1214" s="21" t="s">
        <v>7979</v>
      </c>
      <c r="F1214" s="21" t="s">
        <v>8169</v>
      </c>
      <c r="G1214" s="21" t="s">
        <v>7968</v>
      </c>
    </row>
    <row r="1215" customFormat="false" ht="15" hidden="false" customHeight="false" outlineLevel="0" collapsed="false">
      <c r="B1215" s="19" t="s">
        <v>9316</v>
      </c>
      <c r="C1215" s="20" t="n">
        <f aca="false">ROUND(7.15/FX,2)</f>
        <v>0.99</v>
      </c>
      <c r="D1215" s="21" t="s">
        <v>6549</v>
      </c>
      <c r="E1215" s="21" t="s">
        <v>7979</v>
      </c>
      <c r="F1215" s="21" t="s">
        <v>8169</v>
      </c>
      <c r="G1215" s="21" t="s">
        <v>8379</v>
      </c>
    </row>
    <row r="1216" customFormat="false" ht="15" hidden="false" customHeight="false" outlineLevel="0" collapsed="false">
      <c r="B1216" s="19" t="s">
        <v>9317</v>
      </c>
      <c r="C1216" s="20" t="n">
        <f aca="false">ROUND(7.15/FX,2)</f>
        <v>0.99</v>
      </c>
      <c r="D1216" s="21" t="s">
        <v>6549</v>
      </c>
      <c r="E1216" s="21" t="s">
        <v>7979</v>
      </c>
      <c r="F1216" s="21" t="s">
        <v>8169</v>
      </c>
      <c r="G1216" s="21" t="s">
        <v>8382</v>
      </c>
    </row>
    <row r="1217" customFormat="false" ht="15" hidden="false" customHeight="false" outlineLevel="0" collapsed="false">
      <c r="B1217" s="19" t="s">
        <v>9318</v>
      </c>
      <c r="C1217" s="20" t="n">
        <f aca="false">ROUND(7.15/FX,2)</f>
        <v>0.99</v>
      </c>
      <c r="D1217" s="21" t="s">
        <v>6549</v>
      </c>
      <c r="E1217" s="21" t="s">
        <v>7979</v>
      </c>
      <c r="F1217" s="21" t="s">
        <v>8169</v>
      </c>
      <c r="G1217" s="21" t="s">
        <v>7899</v>
      </c>
    </row>
    <row r="1218" customFormat="false" ht="15" hidden="false" customHeight="false" outlineLevel="0" collapsed="false">
      <c r="B1218" s="19" t="s">
        <v>9319</v>
      </c>
      <c r="C1218" s="20" t="n">
        <f aca="false">ROUND(7.15/FX,2)</f>
        <v>0.99</v>
      </c>
      <c r="D1218" s="21" t="s">
        <v>6549</v>
      </c>
      <c r="E1218" s="21" t="s">
        <v>7979</v>
      </c>
      <c r="F1218" s="21" t="s">
        <v>8169</v>
      </c>
      <c r="G1218" s="21" t="s">
        <v>7866</v>
      </c>
    </row>
    <row r="1219" customFormat="false" ht="15" hidden="false" customHeight="false" outlineLevel="0" collapsed="false">
      <c r="B1219" s="19" t="s">
        <v>9320</v>
      </c>
      <c r="C1219" s="20" t="n">
        <f aca="false">ROUND(7.15/FX,2)</f>
        <v>0.99</v>
      </c>
      <c r="D1219" s="21" t="s">
        <v>6549</v>
      </c>
      <c r="E1219" s="21" t="s">
        <v>7979</v>
      </c>
      <c r="F1219" s="21" t="s">
        <v>8169</v>
      </c>
      <c r="G1219" s="21" t="s">
        <v>8396</v>
      </c>
    </row>
    <row r="1220" customFormat="false" ht="15" hidden="false" customHeight="false" outlineLevel="0" collapsed="false">
      <c r="B1220" s="19" t="s">
        <v>9321</v>
      </c>
      <c r="C1220" s="20" t="n">
        <f aca="false">ROUND(7.15/FX,2)</f>
        <v>0.99</v>
      </c>
      <c r="D1220" s="21" t="s">
        <v>6549</v>
      </c>
      <c r="E1220" s="21" t="s">
        <v>7979</v>
      </c>
      <c r="F1220" s="21" t="s">
        <v>8169</v>
      </c>
      <c r="G1220" s="21" t="s">
        <v>8401</v>
      </c>
    </row>
    <row r="1221" customFormat="false" ht="15" hidden="false" customHeight="false" outlineLevel="0" collapsed="false">
      <c r="B1221" s="19" t="s">
        <v>9322</v>
      </c>
      <c r="C1221" s="20" t="n">
        <f aca="false">ROUND(7.15/FX,2)</f>
        <v>0.99</v>
      </c>
      <c r="D1221" s="21" t="s">
        <v>6549</v>
      </c>
      <c r="E1221" s="21" t="s">
        <v>7979</v>
      </c>
      <c r="F1221" s="21" t="s">
        <v>8169</v>
      </c>
      <c r="G1221" s="21" t="s">
        <v>8409</v>
      </c>
    </row>
    <row r="1222" customFormat="false" ht="15" hidden="false" customHeight="false" outlineLevel="0" collapsed="false">
      <c r="B1222" s="19" t="s">
        <v>9323</v>
      </c>
      <c r="C1222" s="20" t="n">
        <f aca="false">ROUND(7.8/FX,2)</f>
        <v>1.08</v>
      </c>
      <c r="D1222" s="21" t="s">
        <v>6549</v>
      </c>
      <c r="E1222" s="21" t="s">
        <v>7997</v>
      </c>
      <c r="F1222" s="21" t="s">
        <v>8169</v>
      </c>
      <c r="G1222" s="21" t="s">
        <v>7875</v>
      </c>
    </row>
    <row r="1223" customFormat="false" ht="15" hidden="false" customHeight="false" outlineLevel="0" collapsed="false">
      <c r="B1223" s="19" t="s">
        <v>9324</v>
      </c>
      <c r="C1223" s="20" t="n">
        <f aca="false">ROUND(7.8/FX,2)</f>
        <v>1.08</v>
      </c>
      <c r="D1223" s="21" t="s">
        <v>6549</v>
      </c>
      <c r="E1223" s="21" t="s">
        <v>7997</v>
      </c>
      <c r="F1223" s="21" t="s">
        <v>8169</v>
      </c>
      <c r="G1223" s="21" t="s">
        <v>8580</v>
      </c>
    </row>
    <row r="1224" customFormat="false" ht="15" hidden="false" customHeight="false" outlineLevel="0" collapsed="false">
      <c r="B1224" s="19" t="s">
        <v>9325</v>
      </c>
      <c r="C1224" s="20" t="n">
        <f aca="false">ROUND(7.8/FX,2)</f>
        <v>1.08</v>
      </c>
      <c r="D1224" s="21" t="s">
        <v>6549</v>
      </c>
      <c r="E1224" s="21" t="s">
        <v>7997</v>
      </c>
      <c r="F1224" s="21" t="s">
        <v>8169</v>
      </c>
      <c r="G1224" s="21" t="s">
        <v>7999</v>
      </c>
    </row>
    <row r="1225" customFormat="false" ht="15" hidden="false" customHeight="false" outlineLevel="0" collapsed="false">
      <c r="B1225" s="19" t="s">
        <v>9326</v>
      </c>
      <c r="C1225" s="20" t="n">
        <f aca="false">ROUND(7.8/FX,2)</f>
        <v>1.08</v>
      </c>
      <c r="D1225" s="21" t="s">
        <v>6549</v>
      </c>
      <c r="E1225" s="21" t="s">
        <v>7997</v>
      </c>
      <c r="F1225" s="21" t="s">
        <v>8169</v>
      </c>
      <c r="G1225" s="21" t="s">
        <v>8058</v>
      </c>
    </row>
    <row r="1226" customFormat="false" ht="15" hidden="false" customHeight="false" outlineLevel="0" collapsed="false">
      <c r="B1226" s="19" t="s">
        <v>9327</v>
      </c>
      <c r="C1226" s="20" t="n">
        <f aca="false">ROUND(7.8/FX,2)</f>
        <v>1.08</v>
      </c>
      <c r="D1226" s="21" t="s">
        <v>6549</v>
      </c>
      <c r="E1226" s="21" t="s">
        <v>7997</v>
      </c>
      <c r="F1226" s="21" t="s">
        <v>8169</v>
      </c>
      <c r="G1226" s="21" t="s">
        <v>8062</v>
      </c>
    </row>
    <row r="1227" customFormat="false" ht="15" hidden="false" customHeight="false" outlineLevel="0" collapsed="false">
      <c r="B1227" s="19" t="s">
        <v>9328</v>
      </c>
      <c r="C1227" s="20" t="n">
        <f aca="false">ROUND(7.8/FX,2)</f>
        <v>1.08</v>
      </c>
      <c r="D1227" s="21" t="s">
        <v>6549</v>
      </c>
      <c r="E1227" s="21" t="s">
        <v>7997</v>
      </c>
      <c r="F1227" s="21" t="s">
        <v>8169</v>
      </c>
      <c r="G1227" s="21" t="s">
        <v>8064</v>
      </c>
    </row>
    <row r="1228" customFormat="false" ht="15" hidden="false" customHeight="false" outlineLevel="0" collapsed="false">
      <c r="B1228" s="19" t="s">
        <v>9329</v>
      </c>
      <c r="C1228" s="20" t="n">
        <f aca="false">ROUND(7.8/FX,2)</f>
        <v>1.08</v>
      </c>
      <c r="D1228" s="21" t="s">
        <v>6549</v>
      </c>
      <c r="E1228" s="21" t="s">
        <v>7997</v>
      </c>
      <c r="F1228" s="21" t="s">
        <v>8169</v>
      </c>
      <c r="G1228" s="21" t="s">
        <v>8586</v>
      </c>
    </row>
    <row r="1229" customFormat="false" ht="15" hidden="false" customHeight="false" outlineLevel="0" collapsed="false">
      <c r="B1229" s="19" t="s">
        <v>9330</v>
      </c>
      <c r="C1229" s="20" t="n">
        <f aca="false">ROUND(7.8/FX,2)</f>
        <v>1.08</v>
      </c>
      <c r="D1229" s="21" t="s">
        <v>6549</v>
      </c>
      <c r="E1229" s="21" t="s">
        <v>7997</v>
      </c>
      <c r="F1229" s="21" t="s">
        <v>8169</v>
      </c>
      <c r="G1229" s="21" t="s">
        <v>8068</v>
      </c>
    </row>
    <row r="1230" customFormat="false" ht="15" hidden="false" customHeight="false" outlineLevel="0" collapsed="false">
      <c r="B1230" s="19" t="s">
        <v>9331</v>
      </c>
      <c r="C1230" s="20" t="n">
        <f aca="false">ROUND(7.8/FX,2)</f>
        <v>1.08</v>
      </c>
      <c r="D1230" s="21" t="s">
        <v>6549</v>
      </c>
      <c r="E1230" s="21" t="s">
        <v>7997</v>
      </c>
      <c r="F1230" s="21" t="s">
        <v>8169</v>
      </c>
      <c r="G1230" s="21" t="s">
        <v>7985</v>
      </c>
    </row>
    <row r="1231" customFormat="false" ht="15" hidden="false" customHeight="false" outlineLevel="0" collapsed="false">
      <c r="B1231" s="19" t="s">
        <v>9332</v>
      </c>
      <c r="C1231" s="20" t="n">
        <f aca="false">ROUND(7.8/FX,2)</f>
        <v>1.08</v>
      </c>
      <c r="D1231" s="21" t="s">
        <v>6549</v>
      </c>
      <c r="E1231" s="21" t="s">
        <v>7997</v>
      </c>
      <c r="F1231" s="21" t="s">
        <v>8169</v>
      </c>
      <c r="G1231" s="21" t="s">
        <v>8075</v>
      </c>
    </row>
    <row r="1232" customFormat="false" ht="15" hidden="false" customHeight="false" outlineLevel="0" collapsed="false">
      <c r="B1232" s="19" t="s">
        <v>9333</v>
      </c>
      <c r="C1232" s="20" t="n">
        <f aca="false">ROUND(7.8/FX,2)</f>
        <v>1.08</v>
      </c>
      <c r="D1232" s="21" t="s">
        <v>6549</v>
      </c>
      <c r="E1232" s="21" t="s">
        <v>7997</v>
      </c>
      <c r="F1232" s="21" t="s">
        <v>8169</v>
      </c>
      <c r="G1232" s="21" t="s">
        <v>7927</v>
      </c>
    </row>
    <row r="1233" customFormat="false" ht="15" hidden="false" customHeight="false" outlineLevel="0" collapsed="false">
      <c r="B1233" s="19" t="s">
        <v>9334</v>
      </c>
      <c r="C1233" s="20" t="n">
        <f aca="false">ROUND(7.8/FX,2)</f>
        <v>1.08</v>
      </c>
      <c r="D1233" s="21" t="s">
        <v>6549</v>
      </c>
      <c r="E1233" s="21" t="s">
        <v>7997</v>
      </c>
      <c r="F1233" s="21" t="s">
        <v>8169</v>
      </c>
      <c r="G1233" s="21" t="s">
        <v>8608</v>
      </c>
    </row>
    <row r="1234" customFormat="false" ht="15" hidden="false" customHeight="false" outlineLevel="0" collapsed="false">
      <c r="B1234" s="19" t="s">
        <v>9335</v>
      </c>
      <c r="C1234" s="20" t="n">
        <f aca="false">ROUND(7.8/FX,2)</f>
        <v>1.08</v>
      </c>
      <c r="D1234" s="21" t="s">
        <v>6549</v>
      </c>
      <c r="E1234" s="21" t="s">
        <v>7997</v>
      </c>
      <c r="F1234" s="21" t="s">
        <v>8169</v>
      </c>
      <c r="G1234" s="21" t="s">
        <v>8610</v>
      </c>
    </row>
    <row r="1235" customFormat="false" ht="15" hidden="false" customHeight="false" outlineLevel="0" collapsed="false">
      <c r="B1235" s="19" t="s">
        <v>9336</v>
      </c>
      <c r="C1235" s="20" t="n">
        <f aca="false">ROUND(7.8/FX,2)</f>
        <v>1.08</v>
      </c>
      <c r="D1235" s="21" t="s">
        <v>6549</v>
      </c>
      <c r="E1235" s="21" t="s">
        <v>7997</v>
      </c>
      <c r="F1235" s="21" t="s">
        <v>8169</v>
      </c>
      <c r="G1235" s="21" t="s">
        <v>8612</v>
      </c>
    </row>
    <row r="1236" customFormat="false" ht="15" hidden="false" customHeight="false" outlineLevel="0" collapsed="false">
      <c r="B1236" s="19" t="s">
        <v>9337</v>
      </c>
      <c r="C1236" s="20" t="n">
        <f aca="false">ROUND(7.8/FX,2)</f>
        <v>1.08</v>
      </c>
      <c r="D1236" s="21" t="s">
        <v>6549</v>
      </c>
      <c r="E1236" s="21" t="s">
        <v>7997</v>
      </c>
      <c r="F1236" s="21" t="s">
        <v>8169</v>
      </c>
      <c r="G1236" s="21" t="s">
        <v>7827</v>
      </c>
    </row>
    <row r="1237" customFormat="false" ht="15" hidden="false" customHeight="false" outlineLevel="0" collapsed="false">
      <c r="B1237" s="19" t="s">
        <v>9338</v>
      </c>
      <c r="C1237" s="20" t="n">
        <f aca="false">ROUND(7.8/FX,2)</f>
        <v>1.08</v>
      </c>
      <c r="D1237" s="21" t="s">
        <v>6549</v>
      </c>
      <c r="E1237" s="21" t="s">
        <v>7997</v>
      </c>
      <c r="F1237" s="21" t="s">
        <v>8169</v>
      </c>
      <c r="G1237" s="21" t="s">
        <v>7853</v>
      </c>
    </row>
    <row r="1238" customFormat="false" ht="15" hidden="false" customHeight="false" outlineLevel="0" collapsed="false">
      <c r="B1238" s="19" t="s">
        <v>9339</v>
      </c>
      <c r="C1238" s="20" t="n">
        <f aca="false">ROUND(7.8/FX,2)</f>
        <v>1.08</v>
      </c>
      <c r="D1238" s="21" t="s">
        <v>6549</v>
      </c>
      <c r="E1238" s="21" t="s">
        <v>7997</v>
      </c>
      <c r="F1238" s="21" t="s">
        <v>8169</v>
      </c>
      <c r="G1238" s="21" t="s">
        <v>7869</v>
      </c>
    </row>
    <row r="1239" customFormat="false" ht="15" hidden="false" customHeight="false" outlineLevel="0" collapsed="false">
      <c r="B1239" s="19" t="s">
        <v>9340</v>
      </c>
      <c r="C1239" s="20" t="n">
        <f aca="false">ROUND(7.8/FX,2)</f>
        <v>1.08</v>
      </c>
      <c r="D1239" s="21" t="s">
        <v>6549</v>
      </c>
      <c r="E1239" s="21" t="s">
        <v>7997</v>
      </c>
      <c r="F1239" s="21" t="s">
        <v>8169</v>
      </c>
      <c r="G1239" s="21" t="s">
        <v>7855</v>
      </c>
    </row>
    <row r="1240" customFormat="false" ht="15" hidden="false" customHeight="false" outlineLevel="0" collapsed="false">
      <c r="B1240" s="19" t="s">
        <v>9341</v>
      </c>
      <c r="C1240" s="20" t="n">
        <f aca="false">ROUND(7.8/FX,2)</f>
        <v>1.08</v>
      </c>
      <c r="D1240" s="21" t="s">
        <v>6549</v>
      </c>
      <c r="E1240" s="21" t="s">
        <v>7997</v>
      </c>
      <c r="F1240" s="21" t="s">
        <v>8169</v>
      </c>
      <c r="G1240" s="21" t="s">
        <v>8255</v>
      </c>
    </row>
    <row r="1241" customFormat="false" ht="15" hidden="false" customHeight="false" outlineLevel="0" collapsed="false">
      <c r="B1241" s="19" t="s">
        <v>9342</v>
      </c>
      <c r="C1241" s="20" t="n">
        <f aca="false">ROUND(7.8/FX,2)</f>
        <v>1.08</v>
      </c>
      <c r="D1241" s="21" t="s">
        <v>6549</v>
      </c>
      <c r="E1241" s="21" t="s">
        <v>7997</v>
      </c>
      <c r="F1241" s="21" t="s">
        <v>8169</v>
      </c>
      <c r="G1241" s="21" t="s">
        <v>7933</v>
      </c>
    </row>
    <row r="1242" customFormat="false" ht="15" hidden="false" customHeight="false" outlineLevel="0" collapsed="false">
      <c r="B1242" s="19" t="s">
        <v>9343</v>
      </c>
      <c r="C1242" s="20" t="n">
        <f aca="false">ROUND(7.8/FX,2)</f>
        <v>1.08</v>
      </c>
      <c r="D1242" s="21" t="s">
        <v>6549</v>
      </c>
      <c r="E1242" s="21" t="s">
        <v>7997</v>
      </c>
      <c r="F1242" s="21" t="s">
        <v>8169</v>
      </c>
      <c r="G1242" s="21" t="s">
        <v>8263</v>
      </c>
    </row>
    <row r="1243" customFormat="false" ht="15" hidden="false" customHeight="false" outlineLevel="0" collapsed="false">
      <c r="B1243" s="19" t="s">
        <v>9344</v>
      </c>
      <c r="C1243" s="20" t="n">
        <f aca="false">ROUND(7.8/FX,2)</f>
        <v>1.08</v>
      </c>
      <c r="D1243" s="21" t="s">
        <v>6549</v>
      </c>
      <c r="E1243" s="21" t="s">
        <v>7997</v>
      </c>
      <c r="F1243" s="21" t="s">
        <v>8169</v>
      </c>
      <c r="G1243" s="21" t="s">
        <v>7935</v>
      </c>
    </row>
    <row r="1244" customFormat="false" ht="15" hidden="false" customHeight="false" outlineLevel="0" collapsed="false">
      <c r="B1244" s="19" t="s">
        <v>9345</v>
      </c>
      <c r="C1244" s="20" t="n">
        <f aca="false">ROUND(7.8/FX,2)</f>
        <v>1.08</v>
      </c>
      <c r="D1244" s="21" t="s">
        <v>6549</v>
      </c>
      <c r="E1244" s="21" t="s">
        <v>7997</v>
      </c>
      <c r="F1244" s="21" t="s">
        <v>8169</v>
      </c>
      <c r="G1244" s="21" t="s">
        <v>7881</v>
      </c>
    </row>
    <row r="1245" customFormat="false" ht="15" hidden="false" customHeight="false" outlineLevel="0" collapsed="false">
      <c r="B1245" s="19" t="s">
        <v>9346</v>
      </c>
      <c r="C1245" s="20" t="n">
        <f aca="false">ROUND(7.8/FX,2)</f>
        <v>1.08</v>
      </c>
      <c r="D1245" s="21" t="s">
        <v>6549</v>
      </c>
      <c r="E1245" s="21" t="s">
        <v>7997</v>
      </c>
      <c r="F1245" s="21" t="s">
        <v>8169</v>
      </c>
      <c r="G1245" s="21" t="s">
        <v>8623</v>
      </c>
    </row>
    <row r="1246" customFormat="false" ht="15" hidden="false" customHeight="false" outlineLevel="0" collapsed="false">
      <c r="B1246" s="19" t="s">
        <v>9347</v>
      </c>
      <c r="C1246" s="20" t="n">
        <f aca="false">ROUND(7.8/FX,2)</f>
        <v>1.08</v>
      </c>
      <c r="D1246" s="21" t="s">
        <v>6549</v>
      </c>
      <c r="E1246" s="21" t="s">
        <v>7997</v>
      </c>
      <c r="F1246" s="21" t="s">
        <v>8169</v>
      </c>
      <c r="G1246" s="21" t="s">
        <v>7989</v>
      </c>
    </row>
    <row r="1247" customFormat="false" ht="15" hidden="false" customHeight="false" outlineLevel="0" collapsed="false">
      <c r="B1247" s="19" t="s">
        <v>9348</v>
      </c>
      <c r="C1247" s="20" t="n">
        <f aca="false">ROUND(7.8/FX,2)</f>
        <v>1.08</v>
      </c>
      <c r="D1247" s="21" t="s">
        <v>6549</v>
      </c>
      <c r="E1247" s="21" t="s">
        <v>7997</v>
      </c>
      <c r="F1247" s="21" t="s">
        <v>8169</v>
      </c>
      <c r="G1247" s="21" t="s">
        <v>8626</v>
      </c>
    </row>
    <row r="1248" customFormat="false" ht="15" hidden="false" customHeight="false" outlineLevel="0" collapsed="false">
      <c r="B1248" s="19" t="s">
        <v>9349</v>
      </c>
      <c r="C1248" s="20" t="n">
        <f aca="false">ROUND(7.8/FX,2)</f>
        <v>1.08</v>
      </c>
      <c r="D1248" s="21" t="s">
        <v>6549</v>
      </c>
      <c r="E1248" s="21" t="s">
        <v>7997</v>
      </c>
      <c r="F1248" s="21" t="s">
        <v>8169</v>
      </c>
      <c r="G1248" s="21" t="s">
        <v>7829</v>
      </c>
    </row>
    <row r="1249" customFormat="false" ht="15" hidden="false" customHeight="false" outlineLevel="0" collapsed="false">
      <c r="B1249" s="19" t="s">
        <v>9350</v>
      </c>
      <c r="C1249" s="20" t="n">
        <f aca="false">ROUND(7.8/FX,2)</f>
        <v>1.08</v>
      </c>
      <c r="D1249" s="21" t="s">
        <v>6549</v>
      </c>
      <c r="E1249" s="21" t="s">
        <v>7997</v>
      </c>
      <c r="F1249" s="21" t="s">
        <v>8169</v>
      </c>
      <c r="G1249" s="21" t="s">
        <v>7831</v>
      </c>
    </row>
    <row r="1250" customFormat="false" ht="15" hidden="false" customHeight="false" outlineLevel="0" collapsed="false">
      <c r="B1250" s="19" t="s">
        <v>9351</v>
      </c>
      <c r="C1250" s="20" t="n">
        <f aca="false">ROUND(7.8/FX,2)</f>
        <v>1.08</v>
      </c>
      <c r="D1250" s="21" t="s">
        <v>6549</v>
      </c>
      <c r="E1250" s="21" t="s">
        <v>7997</v>
      </c>
      <c r="F1250" s="21" t="s">
        <v>8169</v>
      </c>
      <c r="G1250" s="21" t="s">
        <v>7944</v>
      </c>
    </row>
    <row r="1251" customFormat="false" ht="15" hidden="false" customHeight="false" outlineLevel="0" collapsed="false">
      <c r="B1251" s="19" t="s">
        <v>9352</v>
      </c>
      <c r="C1251" s="20" t="n">
        <f aca="false">ROUND(7.8/FX,2)</f>
        <v>1.08</v>
      </c>
      <c r="D1251" s="21" t="s">
        <v>6549</v>
      </c>
      <c r="E1251" s="21" t="s">
        <v>7997</v>
      </c>
      <c r="F1251" s="21" t="s">
        <v>8169</v>
      </c>
      <c r="G1251" s="21" t="s">
        <v>7946</v>
      </c>
    </row>
    <row r="1252" customFormat="false" ht="15" hidden="false" customHeight="false" outlineLevel="0" collapsed="false">
      <c r="B1252" s="19" t="s">
        <v>9353</v>
      </c>
      <c r="C1252" s="20" t="n">
        <f aca="false">ROUND(7.8/FX,2)</f>
        <v>1.08</v>
      </c>
      <c r="D1252" s="21" t="s">
        <v>6549</v>
      </c>
      <c r="E1252" s="21" t="s">
        <v>7997</v>
      </c>
      <c r="F1252" s="21" t="s">
        <v>8169</v>
      </c>
      <c r="G1252" s="21" t="s">
        <v>7833</v>
      </c>
    </row>
    <row r="1253" customFormat="false" ht="15" hidden="false" customHeight="false" outlineLevel="0" collapsed="false">
      <c r="B1253" s="19" t="s">
        <v>9354</v>
      </c>
      <c r="C1253" s="20" t="n">
        <f aca="false">ROUND(7.8/FX,2)</f>
        <v>1.08</v>
      </c>
      <c r="D1253" s="21" t="s">
        <v>6549</v>
      </c>
      <c r="E1253" s="21" t="s">
        <v>7997</v>
      </c>
      <c r="F1253" s="21" t="s">
        <v>8169</v>
      </c>
      <c r="G1253" s="21" t="s">
        <v>8294</v>
      </c>
    </row>
    <row r="1254" customFormat="false" ht="15" hidden="false" customHeight="false" outlineLevel="0" collapsed="false">
      <c r="B1254" s="19" t="s">
        <v>9355</v>
      </c>
      <c r="C1254" s="20" t="n">
        <f aca="false">ROUND(7.8/FX,2)</f>
        <v>1.08</v>
      </c>
      <c r="D1254" s="21" t="s">
        <v>6549</v>
      </c>
      <c r="E1254" s="21" t="s">
        <v>7997</v>
      </c>
      <c r="F1254" s="21" t="s">
        <v>8169</v>
      </c>
      <c r="G1254" s="21" t="s">
        <v>7951</v>
      </c>
    </row>
    <row r="1255" customFormat="false" ht="15" hidden="false" customHeight="false" outlineLevel="0" collapsed="false">
      <c r="B1255" s="19" t="s">
        <v>9356</v>
      </c>
      <c r="C1255" s="20" t="n">
        <f aca="false">ROUND(7.8/FX,2)</f>
        <v>1.08</v>
      </c>
      <c r="D1255" s="21" t="s">
        <v>6549</v>
      </c>
      <c r="E1255" s="21" t="s">
        <v>7997</v>
      </c>
      <c r="F1255" s="21" t="s">
        <v>8169</v>
      </c>
      <c r="G1255" s="21" t="s">
        <v>7891</v>
      </c>
    </row>
    <row r="1256" customFormat="false" ht="15" hidden="false" customHeight="false" outlineLevel="0" collapsed="false">
      <c r="B1256" s="19" t="s">
        <v>9357</v>
      </c>
      <c r="C1256" s="20" t="n">
        <f aca="false">ROUND(7.8/FX,2)</f>
        <v>1.08</v>
      </c>
      <c r="D1256" s="21" t="s">
        <v>6549</v>
      </c>
      <c r="E1256" s="21" t="s">
        <v>7997</v>
      </c>
      <c r="F1256" s="21" t="s">
        <v>8169</v>
      </c>
      <c r="G1256" s="21" t="s">
        <v>8636</v>
      </c>
    </row>
    <row r="1257" customFormat="false" ht="15" hidden="false" customHeight="false" outlineLevel="0" collapsed="false">
      <c r="B1257" s="19" t="s">
        <v>9358</v>
      </c>
      <c r="C1257" s="20" t="n">
        <f aca="false">ROUND(7.8/FX,2)</f>
        <v>1.08</v>
      </c>
      <c r="D1257" s="21" t="s">
        <v>6549</v>
      </c>
      <c r="E1257" s="21" t="s">
        <v>7997</v>
      </c>
      <c r="F1257" s="21" t="s">
        <v>8169</v>
      </c>
      <c r="G1257" s="21" t="s">
        <v>7992</v>
      </c>
    </row>
    <row r="1258" customFormat="false" ht="15" hidden="false" customHeight="false" outlineLevel="0" collapsed="false">
      <c r="B1258" s="19" t="s">
        <v>9359</v>
      </c>
      <c r="C1258" s="20" t="n">
        <f aca="false">ROUND(7.8/FX,2)</f>
        <v>1.08</v>
      </c>
      <c r="D1258" s="21" t="s">
        <v>6549</v>
      </c>
      <c r="E1258" s="21" t="s">
        <v>7997</v>
      </c>
      <c r="F1258" s="21" t="s">
        <v>8169</v>
      </c>
      <c r="G1258" s="21" t="s">
        <v>8099</v>
      </c>
    </row>
    <row r="1259" customFormat="false" ht="15" hidden="false" customHeight="false" outlineLevel="0" collapsed="false">
      <c r="B1259" s="19" t="s">
        <v>9360</v>
      </c>
      <c r="C1259" s="20" t="n">
        <f aca="false">ROUND(7.8/FX,2)</f>
        <v>1.08</v>
      </c>
      <c r="D1259" s="21" t="s">
        <v>6549</v>
      </c>
      <c r="E1259" s="21" t="s">
        <v>7997</v>
      </c>
      <c r="F1259" s="21" t="s">
        <v>8169</v>
      </c>
      <c r="G1259" s="21" t="s">
        <v>7860</v>
      </c>
    </row>
    <row r="1260" customFormat="false" ht="15" hidden="false" customHeight="false" outlineLevel="0" collapsed="false">
      <c r="B1260" s="19" t="s">
        <v>9361</v>
      </c>
      <c r="C1260" s="20" t="n">
        <f aca="false">ROUND(7.8/FX,2)</f>
        <v>1.08</v>
      </c>
      <c r="D1260" s="21" t="s">
        <v>6549</v>
      </c>
      <c r="E1260" s="21" t="s">
        <v>7997</v>
      </c>
      <c r="F1260" s="21" t="s">
        <v>8169</v>
      </c>
      <c r="G1260" s="21" t="s">
        <v>8310</v>
      </c>
    </row>
    <row r="1261" customFormat="false" ht="15" hidden="false" customHeight="false" outlineLevel="0" collapsed="false">
      <c r="B1261" s="19" t="s">
        <v>9362</v>
      </c>
      <c r="C1261" s="20" t="n">
        <f aca="false">ROUND(7.8/FX,2)</f>
        <v>1.08</v>
      </c>
      <c r="D1261" s="21" t="s">
        <v>6549</v>
      </c>
      <c r="E1261" s="21" t="s">
        <v>7997</v>
      </c>
      <c r="F1261" s="21" t="s">
        <v>8169</v>
      </c>
      <c r="G1261" s="21" t="s">
        <v>7893</v>
      </c>
    </row>
    <row r="1262" customFormat="false" ht="15" hidden="false" customHeight="false" outlineLevel="0" collapsed="false">
      <c r="B1262" s="19" t="s">
        <v>9363</v>
      </c>
      <c r="C1262" s="20" t="n">
        <f aca="false">ROUND(7.8/FX,2)</f>
        <v>1.08</v>
      </c>
      <c r="D1262" s="21" t="s">
        <v>6549</v>
      </c>
      <c r="E1262" s="21" t="s">
        <v>7997</v>
      </c>
      <c r="F1262" s="21" t="s">
        <v>8169</v>
      </c>
      <c r="G1262" s="21" t="s">
        <v>8320</v>
      </c>
    </row>
    <row r="1263" customFormat="false" ht="15" hidden="false" customHeight="false" outlineLevel="0" collapsed="false">
      <c r="B1263" s="19" t="s">
        <v>9364</v>
      </c>
      <c r="C1263" s="20" t="n">
        <f aca="false">ROUND(7.8/FX,2)</f>
        <v>1.08</v>
      </c>
      <c r="D1263" s="21" t="s">
        <v>6549</v>
      </c>
      <c r="E1263" s="21" t="s">
        <v>7997</v>
      </c>
      <c r="F1263" s="21" t="s">
        <v>8169</v>
      </c>
      <c r="G1263" s="21" t="s">
        <v>7956</v>
      </c>
    </row>
    <row r="1264" customFormat="false" ht="15" hidden="false" customHeight="false" outlineLevel="0" collapsed="false">
      <c r="B1264" s="19" t="s">
        <v>9365</v>
      </c>
      <c r="C1264" s="20" t="n">
        <f aca="false">ROUND(7.8/FX,2)</f>
        <v>1.08</v>
      </c>
      <c r="D1264" s="21" t="s">
        <v>6549</v>
      </c>
      <c r="E1264" s="21" t="s">
        <v>7997</v>
      </c>
      <c r="F1264" s="21" t="s">
        <v>8169</v>
      </c>
      <c r="G1264" s="21" t="s">
        <v>7895</v>
      </c>
    </row>
    <row r="1265" customFormat="false" ht="15" hidden="false" customHeight="false" outlineLevel="0" collapsed="false">
      <c r="B1265" s="19" t="s">
        <v>9366</v>
      </c>
      <c r="C1265" s="20" t="n">
        <f aca="false">ROUND(7.8/FX,2)</f>
        <v>1.08</v>
      </c>
      <c r="D1265" s="21" t="s">
        <v>6549</v>
      </c>
      <c r="E1265" s="21" t="s">
        <v>7997</v>
      </c>
      <c r="F1265" s="21" t="s">
        <v>8169</v>
      </c>
      <c r="G1265" s="21" t="s">
        <v>8646</v>
      </c>
    </row>
    <row r="1266" customFormat="false" ht="15" hidden="false" customHeight="false" outlineLevel="0" collapsed="false">
      <c r="B1266" s="19" t="s">
        <v>9367</v>
      </c>
      <c r="C1266" s="20" t="n">
        <f aca="false">ROUND(7.8/FX,2)</f>
        <v>1.08</v>
      </c>
      <c r="D1266" s="21" t="s">
        <v>6549</v>
      </c>
      <c r="E1266" s="21" t="s">
        <v>7997</v>
      </c>
      <c r="F1266" s="21" t="s">
        <v>8169</v>
      </c>
      <c r="G1266" s="21" t="s">
        <v>8035</v>
      </c>
    </row>
    <row r="1267" customFormat="false" ht="15" hidden="false" customHeight="false" outlineLevel="0" collapsed="false">
      <c r="B1267" s="19" t="s">
        <v>9368</v>
      </c>
      <c r="C1267" s="20" t="n">
        <f aca="false">ROUND(7.8/FX,2)</f>
        <v>1.08</v>
      </c>
      <c r="D1267" s="21" t="s">
        <v>6549</v>
      </c>
      <c r="E1267" s="21" t="s">
        <v>7997</v>
      </c>
      <c r="F1267" s="21" t="s">
        <v>8169</v>
      </c>
      <c r="G1267" s="21" t="s">
        <v>8104</v>
      </c>
    </row>
    <row r="1268" customFormat="false" ht="15" hidden="false" customHeight="false" outlineLevel="0" collapsed="false">
      <c r="B1268" s="19" t="s">
        <v>9369</v>
      </c>
      <c r="C1268" s="20" t="n">
        <f aca="false">ROUND(7.8/FX,2)</f>
        <v>1.08</v>
      </c>
      <c r="D1268" s="21" t="s">
        <v>6549</v>
      </c>
      <c r="E1268" s="21" t="s">
        <v>7997</v>
      </c>
      <c r="F1268" s="21" t="s">
        <v>8169</v>
      </c>
      <c r="G1268" s="21" t="s">
        <v>7862</v>
      </c>
    </row>
    <row r="1269" customFormat="false" ht="15" hidden="false" customHeight="false" outlineLevel="0" collapsed="false">
      <c r="B1269" s="19" t="s">
        <v>9370</v>
      </c>
      <c r="C1269" s="20" t="n">
        <f aca="false">ROUND(7.8/FX,2)</f>
        <v>1.08</v>
      </c>
      <c r="D1269" s="21" t="s">
        <v>6549</v>
      </c>
      <c r="E1269" s="21" t="s">
        <v>7997</v>
      </c>
      <c r="F1269" s="21" t="s">
        <v>8169</v>
      </c>
      <c r="G1269" s="21" t="s">
        <v>7864</v>
      </c>
    </row>
    <row r="1270" customFormat="false" ht="15" hidden="false" customHeight="false" outlineLevel="0" collapsed="false">
      <c r="B1270" s="19" t="s">
        <v>9371</v>
      </c>
      <c r="C1270" s="20" t="n">
        <f aca="false">ROUND(7.8/FX,2)</f>
        <v>1.08</v>
      </c>
      <c r="D1270" s="21" t="s">
        <v>6549</v>
      </c>
      <c r="E1270" s="21" t="s">
        <v>7997</v>
      </c>
      <c r="F1270" s="21" t="s">
        <v>8169</v>
      </c>
      <c r="G1270" s="21" t="s">
        <v>7961</v>
      </c>
    </row>
    <row r="1271" customFormat="false" ht="15" hidden="false" customHeight="false" outlineLevel="0" collapsed="false">
      <c r="B1271" s="19" t="s">
        <v>9372</v>
      </c>
      <c r="C1271" s="20" t="n">
        <f aca="false">ROUND(7.8/FX,2)</f>
        <v>1.08</v>
      </c>
      <c r="D1271" s="21" t="s">
        <v>6549</v>
      </c>
      <c r="E1271" s="21" t="s">
        <v>7997</v>
      </c>
      <c r="F1271" s="21" t="s">
        <v>8169</v>
      </c>
      <c r="G1271" s="21" t="s">
        <v>7872</v>
      </c>
    </row>
    <row r="1272" customFormat="false" ht="15" hidden="false" customHeight="false" outlineLevel="0" collapsed="false">
      <c r="B1272" s="19" t="s">
        <v>9373</v>
      </c>
      <c r="C1272" s="20" t="n">
        <f aca="false">ROUND(7.8/FX,2)</f>
        <v>1.08</v>
      </c>
      <c r="D1272" s="21" t="s">
        <v>6549</v>
      </c>
      <c r="E1272" s="21" t="s">
        <v>7997</v>
      </c>
      <c r="F1272" s="21" t="s">
        <v>8169</v>
      </c>
      <c r="G1272" s="21" t="s">
        <v>8349</v>
      </c>
    </row>
    <row r="1273" customFormat="false" ht="15" hidden="false" customHeight="false" outlineLevel="0" collapsed="false">
      <c r="B1273" s="19" t="s">
        <v>9374</v>
      </c>
      <c r="C1273" s="20" t="n">
        <f aca="false">ROUND(7.8/FX,2)</f>
        <v>1.08</v>
      </c>
      <c r="D1273" s="21" t="s">
        <v>6549</v>
      </c>
      <c r="E1273" s="21" t="s">
        <v>7997</v>
      </c>
      <c r="F1273" s="21" t="s">
        <v>8169</v>
      </c>
      <c r="G1273" s="21" t="s">
        <v>7964</v>
      </c>
    </row>
    <row r="1274" customFormat="false" ht="15" hidden="false" customHeight="false" outlineLevel="0" collapsed="false">
      <c r="B1274" s="19" t="s">
        <v>9375</v>
      </c>
      <c r="C1274" s="20" t="n">
        <f aca="false">ROUND(7.8/FX,2)</f>
        <v>1.08</v>
      </c>
      <c r="D1274" s="21" t="s">
        <v>6549</v>
      </c>
      <c r="E1274" s="21" t="s">
        <v>7997</v>
      </c>
      <c r="F1274" s="21" t="s">
        <v>8169</v>
      </c>
      <c r="G1274" s="21" t="s">
        <v>7966</v>
      </c>
    </row>
    <row r="1275" customFormat="false" ht="15" hidden="false" customHeight="false" outlineLevel="0" collapsed="false">
      <c r="B1275" s="19" t="s">
        <v>9376</v>
      </c>
      <c r="C1275" s="20" t="n">
        <f aca="false">ROUND(7.8/FX,2)</f>
        <v>1.08</v>
      </c>
      <c r="D1275" s="21" t="s">
        <v>6549</v>
      </c>
      <c r="E1275" s="21" t="s">
        <v>7997</v>
      </c>
      <c r="F1275" s="21" t="s">
        <v>8169</v>
      </c>
      <c r="G1275" s="21" t="s">
        <v>8657</v>
      </c>
    </row>
    <row r="1276" customFormat="false" ht="15" hidden="false" customHeight="false" outlineLevel="0" collapsed="false">
      <c r="B1276" s="19" t="s">
        <v>9377</v>
      </c>
      <c r="C1276" s="20" t="n">
        <f aca="false">ROUND(7.8/FX,2)</f>
        <v>1.08</v>
      </c>
      <c r="D1276" s="21" t="s">
        <v>6549</v>
      </c>
      <c r="E1276" s="21" t="s">
        <v>7997</v>
      </c>
      <c r="F1276" s="21" t="s">
        <v>8169</v>
      </c>
      <c r="G1276" s="21" t="s">
        <v>8659</v>
      </c>
    </row>
    <row r="1277" customFormat="false" ht="15" hidden="false" customHeight="false" outlineLevel="0" collapsed="false">
      <c r="B1277" s="19" t="s">
        <v>9378</v>
      </c>
      <c r="C1277" s="20" t="n">
        <f aca="false">ROUND(7.8/FX,2)</f>
        <v>1.08</v>
      </c>
      <c r="D1277" s="21" t="s">
        <v>6549</v>
      </c>
      <c r="E1277" s="21" t="s">
        <v>7997</v>
      </c>
      <c r="F1277" s="21" t="s">
        <v>8169</v>
      </c>
      <c r="G1277" s="21" t="s">
        <v>8661</v>
      </c>
    </row>
    <row r="1278" customFormat="false" ht="15" hidden="false" customHeight="false" outlineLevel="0" collapsed="false">
      <c r="B1278" s="19" t="s">
        <v>9379</v>
      </c>
      <c r="C1278" s="20" t="n">
        <f aca="false">ROUND(7.8/FX,2)</f>
        <v>1.08</v>
      </c>
      <c r="D1278" s="21" t="s">
        <v>6549</v>
      </c>
      <c r="E1278" s="21" t="s">
        <v>7997</v>
      </c>
      <c r="F1278" s="21" t="s">
        <v>8169</v>
      </c>
      <c r="G1278" s="21" t="s">
        <v>7968</v>
      </c>
    </row>
    <row r="1279" customFormat="false" ht="15" hidden="false" customHeight="false" outlineLevel="0" collapsed="false">
      <c r="B1279" s="19" t="s">
        <v>9380</v>
      </c>
      <c r="C1279" s="20" t="n">
        <f aca="false">ROUND(7.8/FX,2)</f>
        <v>1.08</v>
      </c>
      <c r="D1279" s="21" t="s">
        <v>6549</v>
      </c>
      <c r="E1279" s="21" t="s">
        <v>7997</v>
      </c>
      <c r="F1279" s="21" t="s">
        <v>8169</v>
      </c>
      <c r="G1279" s="21" t="s">
        <v>8379</v>
      </c>
    </row>
    <row r="1280" customFormat="false" ht="15" hidden="false" customHeight="false" outlineLevel="0" collapsed="false">
      <c r="B1280" s="19" t="s">
        <v>9381</v>
      </c>
      <c r="C1280" s="20" t="n">
        <f aca="false">ROUND(7.8/FX,2)</f>
        <v>1.08</v>
      </c>
      <c r="D1280" s="21" t="s">
        <v>6549</v>
      </c>
      <c r="E1280" s="21" t="s">
        <v>7997</v>
      </c>
      <c r="F1280" s="21" t="s">
        <v>8169</v>
      </c>
      <c r="G1280" s="21" t="s">
        <v>8382</v>
      </c>
    </row>
    <row r="1281" customFormat="false" ht="15" hidden="false" customHeight="false" outlineLevel="0" collapsed="false">
      <c r="B1281" s="19" t="s">
        <v>9382</v>
      </c>
      <c r="C1281" s="20" t="n">
        <f aca="false">ROUND(7.8/FX,2)</f>
        <v>1.08</v>
      </c>
      <c r="D1281" s="21" t="s">
        <v>6549</v>
      </c>
      <c r="E1281" s="21" t="s">
        <v>7997</v>
      </c>
      <c r="F1281" s="21" t="s">
        <v>8169</v>
      </c>
      <c r="G1281" s="21" t="s">
        <v>8666</v>
      </c>
    </row>
    <row r="1282" customFormat="false" ht="15" hidden="false" customHeight="false" outlineLevel="0" collapsed="false">
      <c r="B1282" s="19" t="s">
        <v>9383</v>
      </c>
      <c r="C1282" s="20" t="n">
        <f aca="false">ROUND(7.8/FX,2)</f>
        <v>1.08</v>
      </c>
      <c r="D1282" s="21" t="s">
        <v>6549</v>
      </c>
      <c r="E1282" s="21" t="s">
        <v>7997</v>
      </c>
      <c r="F1282" s="21" t="s">
        <v>8169</v>
      </c>
      <c r="G1282" s="21" t="s">
        <v>7899</v>
      </c>
    </row>
    <row r="1283" customFormat="false" ht="15" hidden="false" customHeight="false" outlineLevel="0" collapsed="false">
      <c r="B1283" s="19" t="s">
        <v>9384</v>
      </c>
      <c r="C1283" s="20" t="n">
        <f aca="false">ROUND(7.8/FX,2)</f>
        <v>1.08</v>
      </c>
      <c r="D1283" s="21" t="s">
        <v>6549</v>
      </c>
      <c r="E1283" s="21" t="s">
        <v>7997</v>
      </c>
      <c r="F1283" s="21" t="s">
        <v>8169</v>
      </c>
      <c r="G1283" s="21" t="s">
        <v>8672</v>
      </c>
    </row>
    <row r="1284" customFormat="false" ht="15" hidden="false" customHeight="false" outlineLevel="0" collapsed="false">
      <c r="B1284" s="19" t="s">
        <v>9385</v>
      </c>
      <c r="C1284" s="20" t="n">
        <f aca="false">ROUND(7.8/FX,2)</f>
        <v>1.08</v>
      </c>
      <c r="D1284" s="21" t="s">
        <v>6549</v>
      </c>
      <c r="E1284" s="21" t="s">
        <v>7997</v>
      </c>
      <c r="F1284" s="21" t="s">
        <v>8169</v>
      </c>
      <c r="G1284" s="21" t="s">
        <v>7994</v>
      </c>
    </row>
    <row r="1285" customFormat="false" ht="15" hidden="false" customHeight="false" outlineLevel="0" collapsed="false">
      <c r="B1285" s="19" t="s">
        <v>9386</v>
      </c>
      <c r="C1285" s="20" t="n">
        <f aca="false">ROUND(7.8/FX,2)</f>
        <v>1.08</v>
      </c>
      <c r="D1285" s="21" t="s">
        <v>6549</v>
      </c>
      <c r="E1285" s="21" t="s">
        <v>7997</v>
      </c>
      <c r="F1285" s="21" t="s">
        <v>8169</v>
      </c>
      <c r="G1285" s="21" t="s">
        <v>8109</v>
      </c>
    </row>
    <row r="1286" customFormat="false" ht="15" hidden="false" customHeight="false" outlineLevel="0" collapsed="false">
      <c r="B1286" s="19" t="s">
        <v>9387</v>
      </c>
      <c r="C1286" s="20" t="n">
        <f aca="false">ROUND(7.8/FX,2)</f>
        <v>1.08</v>
      </c>
      <c r="D1286" s="21" t="s">
        <v>6549</v>
      </c>
      <c r="E1286" s="21" t="s">
        <v>7997</v>
      </c>
      <c r="F1286" s="21" t="s">
        <v>8169</v>
      </c>
      <c r="G1286" s="21" t="s">
        <v>7866</v>
      </c>
    </row>
    <row r="1287" customFormat="false" ht="15" hidden="false" customHeight="false" outlineLevel="0" collapsed="false">
      <c r="B1287" s="19" t="s">
        <v>9388</v>
      </c>
      <c r="C1287" s="20" t="n">
        <f aca="false">ROUND(7.8/FX,2)</f>
        <v>1.08</v>
      </c>
      <c r="D1287" s="21" t="s">
        <v>6549</v>
      </c>
      <c r="E1287" s="21" t="s">
        <v>7997</v>
      </c>
      <c r="F1287" s="21" t="s">
        <v>8169</v>
      </c>
      <c r="G1287" s="21" t="s">
        <v>8396</v>
      </c>
    </row>
    <row r="1288" customFormat="false" ht="15" hidden="false" customHeight="false" outlineLevel="0" collapsed="false">
      <c r="B1288" s="19" t="s">
        <v>9389</v>
      </c>
      <c r="C1288" s="20" t="n">
        <f aca="false">ROUND(7.8/FX,2)</f>
        <v>1.08</v>
      </c>
      <c r="D1288" s="21" t="s">
        <v>6549</v>
      </c>
      <c r="E1288" s="21" t="s">
        <v>7997</v>
      </c>
      <c r="F1288" s="21" t="s">
        <v>8169</v>
      </c>
      <c r="G1288" s="21" t="s">
        <v>8117</v>
      </c>
    </row>
    <row r="1289" customFormat="false" ht="15" hidden="false" customHeight="false" outlineLevel="0" collapsed="false">
      <c r="B1289" s="19" t="s">
        <v>9390</v>
      </c>
      <c r="C1289" s="20" t="n">
        <f aca="false">ROUND(7.8/FX,2)</f>
        <v>1.08</v>
      </c>
      <c r="D1289" s="21" t="s">
        <v>6549</v>
      </c>
      <c r="E1289" s="21" t="s">
        <v>7997</v>
      </c>
      <c r="F1289" s="21" t="s">
        <v>8169</v>
      </c>
      <c r="G1289" s="21" t="s">
        <v>8681</v>
      </c>
    </row>
    <row r="1290" customFormat="false" ht="15" hidden="false" customHeight="false" outlineLevel="0" collapsed="false">
      <c r="B1290" s="19" t="s">
        <v>9391</v>
      </c>
      <c r="C1290" s="20" t="n">
        <f aca="false">ROUND(7.8/FX,2)</f>
        <v>1.08</v>
      </c>
      <c r="D1290" s="21" t="s">
        <v>6549</v>
      </c>
      <c r="E1290" s="21" t="s">
        <v>7997</v>
      </c>
      <c r="F1290" s="21" t="s">
        <v>8169</v>
      </c>
      <c r="G1290" s="21" t="s">
        <v>8683</v>
      </c>
    </row>
    <row r="1291" customFormat="false" ht="15" hidden="false" customHeight="false" outlineLevel="0" collapsed="false">
      <c r="B1291" s="19" t="s">
        <v>9392</v>
      </c>
      <c r="C1291" s="20" t="n">
        <f aca="false">ROUND(7.8/FX,2)</f>
        <v>1.08</v>
      </c>
      <c r="D1291" s="21" t="s">
        <v>6549</v>
      </c>
      <c r="E1291" s="21" t="s">
        <v>7997</v>
      </c>
      <c r="F1291" s="21" t="s">
        <v>8169</v>
      </c>
      <c r="G1291" s="21" t="s">
        <v>8685</v>
      </c>
    </row>
    <row r="1292" customFormat="false" ht="15" hidden="false" customHeight="false" outlineLevel="0" collapsed="false">
      <c r="B1292" s="19" t="s">
        <v>9393</v>
      </c>
      <c r="C1292" s="20" t="n">
        <f aca="false">ROUND(7.8/FX,2)</f>
        <v>1.08</v>
      </c>
      <c r="D1292" s="21" t="s">
        <v>6549</v>
      </c>
      <c r="E1292" s="21" t="s">
        <v>7997</v>
      </c>
      <c r="F1292" s="21" t="s">
        <v>8169</v>
      </c>
      <c r="G1292" s="21" t="s">
        <v>8687</v>
      </c>
    </row>
    <row r="1293" customFormat="false" ht="15" hidden="false" customHeight="false" outlineLevel="0" collapsed="false">
      <c r="B1293" s="19" t="s">
        <v>9394</v>
      </c>
      <c r="C1293" s="20" t="n">
        <f aca="false">ROUND(7.8/FX,2)</f>
        <v>1.08</v>
      </c>
      <c r="D1293" s="21" t="s">
        <v>6549</v>
      </c>
      <c r="E1293" s="21" t="s">
        <v>7997</v>
      </c>
      <c r="F1293" s="21" t="s">
        <v>8169</v>
      </c>
      <c r="G1293" s="21" t="s">
        <v>7977</v>
      </c>
    </row>
    <row r="1294" customFormat="false" ht="15" hidden="false" customHeight="false" outlineLevel="0" collapsed="false">
      <c r="B1294" s="19" t="s">
        <v>9395</v>
      </c>
      <c r="C1294" s="20" t="n">
        <f aca="false">ROUND(7.8/FX,2)</f>
        <v>1.08</v>
      </c>
      <c r="D1294" s="21" t="s">
        <v>6549</v>
      </c>
      <c r="E1294" s="21" t="s">
        <v>7997</v>
      </c>
      <c r="F1294" s="21" t="s">
        <v>8169</v>
      </c>
      <c r="G1294" s="21" t="s">
        <v>8401</v>
      </c>
    </row>
    <row r="1295" customFormat="false" ht="15" hidden="false" customHeight="false" outlineLevel="0" collapsed="false">
      <c r="B1295" s="19" t="s">
        <v>9396</v>
      </c>
      <c r="C1295" s="20" t="n">
        <f aca="false">ROUND(7.8/FX,2)</f>
        <v>1.08</v>
      </c>
      <c r="D1295" s="21" t="s">
        <v>6549</v>
      </c>
      <c r="E1295" s="21" t="s">
        <v>7997</v>
      </c>
      <c r="F1295" s="21" t="s">
        <v>8169</v>
      </c>
      <c r="G1295" s="21" t="s">
        <v>8691</v>
      </c>
    </row>
    <row r="1296" customFormat="false" ht="15" hidden="false" customHeight="false" outlineLevel="0" collapsed="false">
      <c r="B1296" s="19" t="s">
        <v>9397</v>
      </c>
      <c r="C1296" s="20" t="n">
        <f aca="false">ROUND(7.8/FX,2)</f>
        <v>1.08</v>
      </c>
      <c r="D1296" s="21" t="s">
        <v>6549</v>
      </c>
      <c r="E1296" s="21" t="s">
        <v>7997</v>
      </c>
      <c r="F1296" s="21" t="s">
        <v>8169</v>
      </c>
      <c r="G1296" s="21" t="s">
        <v>8022</v>
      </c>
    </row>
    <row r="1297" customFormat="false" ht="15" hidden="false" customHeight="false" outlineLevel="0" collapsed="false">
      <c r="B1297" s="19" t="s">
        <v>9398</v>
      </c>
      <c r="C1297" s="20" t="n">
        <f aca="false">ROUND(7.8/FX,2)</f>
        <v>1.08</v>
      </c>
      <c r="D1297" s="21" t="s">
        <v>6549</v>
      </c>
      <c r="E1297" s="21" t="s">
        <v>7997</v>
      </c>
      <c r="F1297" s="21" t="s">
        <v>8169</v>
      </c>
      <c r="G1297" s="21" t="s">
        <v>8694</v>
      </c>
    </row>
    <row r="1298" customFormat="false" ht="15" hidden="false" customHeight="false" outlineLevel="0" collapsed="false">
      <c r="B1298" s="19" t="s">
        <v>9399</v>
      </c>
      <c r="C1298" s="20" t="n">
        <f aca="false">ROUND(7.8/FX,2)</f>
        <v>1.08</v>
      </c>
      <c r="D1298" s="21" t="s">
        <v>6549</v>
      </c>
      <c r="E1298" s="21" t="s">
        <v>7997</v>
      </c>
      <c r="F1298" s="21" t="s">
        <v>8169</v>
      </c>
      <c r="G1298" s="21" t="s">
        <v>8409</v>
      </c>
    </row>
    <row r="1299" customFormat="false" ht="15" hidden="false" customHeight="false" outlineLevel="0" collapsed="false">
      <c r="B1299" s="19" t="s">
        <v>9400</v>
      </c>
      <c r="C1299" s="20" t="n">
        <f aca="false">ROUND(7.8/FX,2)</f>
        <v>1.08</v>
      </c>
      <c r="D1299" s="21" t="s">
        <v>6549</v>
      </c>
      <c r="E1299" s="21" t="s">
        <v>7997</v>
      </c>
      <c r="F1299" s="21" t="s">
        <v>8169</v>
      </c>
      <c r="G1299" s="21" t="s">
        <v>8697</v>
      </c>
    </row>
    <row r="1300" customFormat="false" ht="15" hidden="false" customHeight="false" outlineLevel="0" collapsed="false">
      <c r="B1300" s="19" t="s">
        <v>9401</v>
      </c>
      <c r="C1300" s="20" t="n">
        <f aca="false">ROUND(8.45/FX,2)</f>
        <v>1.17</v>
      </c>
      <c r="D1300" s="21" t="s">
        <v>6549</v>
      </c>
      <c r="E1300" s="21" t="s">
        <v>8699</v>
      </c>
      <c r="F1300" s="21" t="s">
        <v>8169</v>
      </c>
      <c r="G1300" s="21" t="s">
        <v>7875</v>
      </c>
    </row>
    <row r="1301" customFormat="false" ht="15" hidden="false" customHeight="false" outlineLevel="0" collapsed="false">
      <c r="B1301" s="19" t="s">
        <v>9402</v>
      </c>
      <c r="C1301" s="20" t="n">
        <f aca="false">ROUND(8.45/FX,2)</f>
        <v>1.17</v>
      </c>
      <c r="D1301" s="21" t="s">
        <v>6549</v>
      </c>
      <c r="E1301" s="21" t="s">
        <v>8699</v>
      </c>
      <c r="F1301" s="21" t="s">
        <v>8169</v>
      </c>
      <c r="G1301" s="21" t="s">
        <v>7999</v>
      </c>
    </row>
    <row r="1302" customFormat="false" ht="15" hidden="false" customHeight="false" outlineLevel="0" collapsed="false">
      <c r="B1302" s="19" t="s">
        <v>9403</v>
      </c>
      <c r="C1302" s="20" t="n">
        <f aca="false">ROUND(8.45/FX,2)</f>
        <v>1.17</v>
      </c>
      <c r="D1302" s="21" t="s">
        <v>6549</v>
      </c>
      <c r="E1302" s="21" t="s">
        <v>8699</v>
      </c>
      <c r="F1302" s="21" t="s">
        <v>8169</v>
      </c>
      <c r="G1302" s="21" t="s">
        <v>8062</v>
      </c>
    </row>
    <row r="1303" customFormat="false" ht="15" hidden="false" customHeight="false" outlineLevel="0" collapsed="false">
      <c r="B1303" s="19" t="s">
        <v>9404</v>
      </c>
      <c r="C1303" s="20" t="n">
        <f aca="false">ROUND(8.45/FX,2)</f>
        <v>1.17</v>
      </c>
      <c r="D1303" s="21" t="s">
        <v>6549</v>
      </c>
      <c r="E1303" s="21" t="s">
        <v>8699</v>
      </c>
      <c r="F1303" s="21" t="s">
        <v>8169</v>
      </c>
      <c r="G1303" s="21" t="s">
        <v>7985</v>
      </c>
    </row>
    <row r="1304" customFormat="false" ht="15" hidden="false" customHeight="false" outlineLevel="0" collapsed="false">
      <c r="B1304" s="19" t="s">
        <v>9405</v>
      </c>
      <c r="C1304" s="20" t="n">
        <f aca="false">ROUND(8.45/FX,2)</f>
        <v>1.17</v>
      </c>
      <c r="D1304" s="21" t="s">
        <v>6549</v>
      </c>
      <c r="E1304" s="21" t="s">
        <v>8699</v>
      </c>
      <c r="F1304" s="21" t="s">
        <v>8169</v>
      </c>
      <c r="G1304" s="21" t="s">
        <v>7989</v>
      </c>
    </row>
    <row r="1305" customFormat="false" ht="15" hidden="false" customHeight="false" outlineLevel="0" collapsed="false">
      <c r="B1305" s="19" t="s">
        <v>9406</v>
      </c>
      <c r="C1305" s="20" t="n">
        <f aca="false">ROUND(8.45/FX,2)</f>
        <v>1.17</v>
      </c>
      <c r="D1305" s="21" t="s">
        <v>6549</v>
      </c>
      <c r="E1305" s="21" t="s">
        <v>8699</v>
      </c>
      <c r="F1305" s="21" t="s">
        <v>8169</v>
      </c>
      <c r="G1305" s="21" t="s">
        <v>7860</v>
      </c>
    </row>
    <row r="1306" customFormat="false" ht="15" hidden="false" customHeight="false" outlineLevel="0" collapsed="false">
      <c r="B1306" s="19" t="s">
        <v>9407</v>
      </c>
      <c r="C1306" s="20" t="n">
        <f aca="false">ROUND(8.45/FX,2)</f>
        <v>1.17</v>
      </c>
      <c r="D1306" s="21" t="s">
        <v>6549</v>
      </c>
      <c r="E1306" s="21" t="s">
        <v>8699</v>
      </c>
      <c r="F1306" s="21" t="s">
        <v>8169</v>
      </c>
      <c r="G1306" s="21" t="s">
        <v>7899</v>
      </c>
    </row>
    <row r="1307" customFormat="false" ht="15" hidden="false" customHeight="false" outlineLevel="0" collapsed="false">
      <c r="B1307" s="19" t="s">
        <v>9408</v>
      </c>
      <c r="C1307" s="20" t="n">
        <f aca="false">ROUND(8.45/FX,2)</f>
        <v>1.17</v>
      </c>
      <c r="D1307" s="21" t="s">
        <v>6549</v>
      </c>
      <c r="E1307" s="21" t="s">
        <v>8699</v>
      </c>
      <c r="F1307" s="21" t="s">
        <v>8169</v>
      </c>
      <c r="G1307" s="21" t="s">
        <v>7994</v>
      </c>
    </row>
    <row r="1308" customFormat="false" ht="15" hidden="false" customHeight="false" outlineLevel="0" collapsed="false">
      <c r="B1308" s="19" t="s">
        <v>9409</v>
      </c>
      <c r="C1308" s="20" t="n">
        <f aca="false">ROUND(8.45/FX,2)</f>
        <v>1.17</v>
      </c>
      <c r="D1308" s="21" t="s">
        <v>6549</v>
      </c>
      <c r="E1308" s="21" t="s">
        <v>8699</v>
      </c>
      <c r="F1308" s="21" t="s">
        <v>8169</v>
      </c>
      <c r="G1308" s="21" t="s">
        <v>7866</v>
      </c>
    </row>
    <row r="1309" customFormat="false" ht="15" hidden="false" customHeight="false" outlineLevel="0" collapsed="false">
      <c r="B1309" s="19" t="s">
        <v>9410</v>
      </c>
      <c r="C1309" s="20" t="n">
        <f aca="false">ROUND(9.75/FX,2)</f>
        <v>1.35</v>
      </c>
      <c r="D1309" s="21" t="s">
        <v>6549</v>
      </c>
      <c r="E1309" s="21" t="s">
        <v>8044</v>
      </c>
      <c r="F1309" s="21" t="s">
        <v>8169</v>
      </c>
      <c r="G1309" s="21" t="s">
        <v>7875</v>
      </c>
    </row>
    <row r="1310" customFormat="false" ht="15" hidden="false" customHeight="false" outlineLevel="0" collapsed="false">
      <c r="B1310" s="19" t="s">
        <v>9411</v>
      </c>
      <c r="C1310" s="20" t="n">
        <f aca="false">ROUND(9.75/FX,2)</f>
        <v>1.35</v>
      </c>
      <c r="D1310" s="21" t="s">
        <v>6549</v>
      </c>
      <c r="E1310" s="21" t="s">
        <v>8044</v>
      </c>
      <c r="F1310" s="21" t="s">
        <v>8169</v>
      </c>
      <c r="G1310" s="21" t="s">
        <v>8580</v>
      </c>
    </row>
    <row r="1311" customFormat="false" ht="15" hidden="false" customHeight="false" outlineLevel="0" collapsed="false">
      <c r="B1311" s="19" t="s">
        <v>9412</v>
      </c>
      <c r="C1311" s="20" t="n">
        <f aca="false">ROUND(9.75/FX,2)</f>
        <v>1.35</v>
      </c>
      <c r="D1311" s="21" t="s">
        <v>6549</v>
      </c>
      <c r="E1311" s="21" t="s">
        <v>8044</v>
      </c>
      <c r="F1311" s="21" t="s">
        <v>8169</v>
      </c>
      <c r="G1311" s="21" t="s">
        <v>7999</v>
      </c>
    </row>
    <row r="1312" customFormat="false" ht="15" hidden="false" customHeight="false" outlineLevel="0" collapsed="false">
      <c r="B1312" s="19" t="s">
        <v>9413</v>
      </c>
      <c r="C1312" s="20" t="n">
        <f aca="false">ROUND(9.75/FX,2)</f>
        <v>1.35</v>
      </c>
      <c r="D1312" s="21" t="s">
        <v>6549</v>
      </c>
      <c r="E1312" s="21" t="s">
        <v>8044</v>
      </c>
      <c r="F1312" s="21" t="s">
        <v>8169</v>
      </c>
      <c r="G1312" s="21" t="s">
        <v>8058</v>
      </c>
    </row>
    <row r="1313" customFormat="false" ht="15" hidden="false" customHeight="false" outlineLevel="0" collapsed="false">
      <c r="B1313" s="19" t="s">
        <v>9414</v>
      </c>
      <c r="C1313" s="20" t="n">
        <f aca="false">ROUND(9.75/FX,2)</f>
        <v>1.35</v>
      </c>
      <c r="D1313" s="21" t="s">
        <v>6549</v>
      </c>
      <c r="E1313" s="21" t="s">
        <v>8044</v>
      </c>
      <c r="F1313" s="21" t="s">
        <v>8169</v>
      </c>
      <c r="G1313" s="21" t="s">
        <v>8060</v>
      </c>
    </row>
    <row r="1314" customFormat="false" ht="15" hidden="false" customHeight="false" outlineLevel="0" collapsed="false">
      <c r="B1314" s="19" t="s">
        <v>9415</v>
      </c>
      <c r="C1314" s="20" t="n">
        <f aca="false">ROUND(9.75/FX,2)</f>
        <v>1.35</v>
      </c>
      <c r="D1314" s="21" t="s">
        <v>6549</v>
      </c>
      <c r="E1314" s="21" t="s">
        <v>8044</v>
      </c>
      <c r="F1314" s="21" t="s">
        <v>8169</v>
      </c>
      <c r="G1314" s="21" t="s">
        <v>8152</v>
      </c>
    </row>
    <row r="1315" customFormat="false" ht="15" hidden="false" customHeight="false" outlineLevel="0" collapsed="false">
      <c r="B1315" s="19" t="s">
        <v>9416</v>
      </c>
      <c r="C1315" s="20" t="n">
        <f aca="false">ROUND(9.75/FX,2)</f>
        <v>1.35</v>
      </c>
      <c r="D1315" s="21" t="s">
        <v>6549</v>
      </c>
      <c r="E1315" s="21" t="s">
        <v>8044</v>
      </c>
      <c r="F1315" s="21" t="s">
        <v>8169</v>
      </c>
      <c r="G1315" s="21" t="s">
        <v>8062</v>
      </c>
    </row>
    <row r="1316" customFormat="false" ht="15" hidden="false" customHeight="false" outlineLevel="0" collapsed="false">
      <c r="B1316" s="19" t="s">
        <v>9417</v>
      </c>
      <c r="C1316" s="20" t="n">
        <f aca="false">ROUND(9.75/FX,2)</f>
        <v>1.35</v>
      </c>
      <c r="D1316" s="21" t="s">
        <v>6549</v>
      </c>
      <c r="E1316" s="21" t="s">
        <v>8044</v>
      </c>
      <c r="F1316" s="21" t="s">
        <v>8169</v>
      </c>
      <c r="G1316" s="21" t="s">
        <v>8064</v>
      </c>
    </row>
    <row r="1317" customFormat="false" ht="15" hidden="false" customHeight="false" outlineLevel="0" collapsed="false">
      <c r="B1317" s="19" t="s">
        <v>9418</v>
      </c>
      <c r="C1317" s="20" t="n">
        <f aca="false">ROUND(9.75/FX,2)</f>
        <v>1.35</v>
      </c>
      <c r="D1317" s="21" t="s">
        <v>6549</v>
      </c>
      <c r="E1317" s="21" t="s">
        <v>8044</v>
      </c>
      <c r="F1317" s="21" t="s">
        <v>8169</v>
      </c>
      <c r="G1317" s="21" t="s">
        <v>8586</v>
      </c>
    </row>
    <row r="1318" customFormat="false" ht="15" hidden="false" customHeight="false" outlineLevel="0" collapsed="false">
      <c r="B1318" s="19" t="s">
        <v>9419</v>
      </c>
      <c r="C1318" s="20" t="n">
        <f aca="false">ROUND(9.75/FX,2)</f>
        <v>1.35</v>
      </c>
      <c r="D1318" s="21" t="s">
        <v>6549</v>
      </c>
      <c r="E1318" s="21" t="s">
        <v>8044</v>
      </c>
      <c r="F1318" s="21" t="s">
        <v>8169</v>
      </c>
      <c r="G1318" s="21" t="s">
        <v>8066</v>
      </c>
    </row>
    <row r="1319" customFormat="false" ht="15" hidden="false" customHeight="false" outlineLevel="0" collapsed="false">
      <c r="B1319" s="19" t="s">
        <v>9420</v>
      </c>
      <c r="C1319" s="20" t="n">
        <f aca="false">ROUND(9.75/FX,2)</f>
        <v>1.35</v>
      </c>
      <c r="D1319" s="21" t="s">
        <v>6549</v>
      </c>
      <c r="E1319" s="21" t="s">
        <v>8044</v>
      </c>
      <c r="F1319" s="21" t="s">
        <v>8169</v>
      </c>
      <c r="G1319" s="21" t="s">
        <v>8719</v>
      </c>
    </row>
    <row r="1320" customFormat="false" ht="15" hidden="false" customHeight="false" outlineLevel="0" collapsed="false">
      <c r="B1320" s="19" t="s">
        <v>9421</v>
      </c>
      <c r="C1320" s="20" t="n">
        <f aca="false">ROUND(9.75/FX,2)</f>
        <v>1.35</v>
      </c>
      <c r="D1320" s="21" t="s">
        <v>6549</v>
      </c>
      <c r="E1320" s="21" t="s">
        <v>8044</v>
      </c>
      <c r="F1320" s="21" t="s">
        <v>8169</v>
      </c>
      <c r="G1320" s="21" t="s">
        <v>8068</v>
      </c>
    </row>
    <row r="1321" customFormat="false" ht="15" hidden="false" customHeight="false" outlineLevel="0" collapsed="false">
      <c r="B1321" s="19" t="s">
        <v>9422</v>
      </c>
      <c r="C1321" s="20" t="n">
        <f aca="false">ROUND(9.75/FX,2)</f>
        <v>1.35</v>
      </c>
      <c r="D1321" s="21" t="s">
        <v>6549</v>
      </c>
      <c r="E1321" s="21" t="s">
        <v>8044</v>
      </c>
      <c r="F1321" s="21" t="s">
        <v>8169</v>
      </c>
      <c r="G1321" s="21" t="s">
        <v>8070</v>
      </c>
    </row>
    <row r="1322" customFormat="false" ht="15" hidden="false" customHeight="false" outlineLevel="0" collapsed="false">
      <c r="B1322" s="19" t="s">
        <v>9423</v>
      </c>
      <c r="C1322" s="20" t="n">
        <f aca="false">ROUND(9.75/FX,2)</f>
        <v>1.35</v>
      </c>
      <c r="D1322" s="21" t="s">
        <v>6549</v>
      </c>
      <c r="E1322" s="21" t="s">
        <v>8044</v>
      </c>
      <c r="F1322" s="21" t="s">
        <v>8169</v>
      </c>
      <c r="G1322" s="21" t="s">
        <v>8723</v>
      </c>
    </row>
    <row r="1323" customFormat="false" ht="15" hidden="false" customHeight="false" outlineLevel="0" collapsed="false">
      <c r="B1323" s="19" t="s">
        <v>9424</v>
      </c>
      <c r="C1323" s="20" t="n">
        <f aca="false">ROUND(9.75/FX,2)</f>
        <v>1.35</v>
      </c>
      <c r="D1323" s="21" t="s">
        <v>6549</v>
      </c>
      <c r="E1323" s="21" t="s">
        <v>8044</v>
      </c>
      <c r="F1323" s="21" t="s">
        <v>8169</v>
      </c>
      <c r="G1323" s="21" t="s">
        <v>7985</v>
      </c>
    </row>
    <row r="1324" customFormat="false" ht="15" hidden="false" customHeight="false" outlineLevel="0" collapsed="false">
      <c r="B1324" s="19" t="s">
        <v>9425</v>
      </c>
      <c r="C1324" s="20" t="n">
        <f aca="false">ROUND(9.75/FX,2)</f>
        <v>1.35</v>
      </c>
      <c r="D1324" s="21" t="s">
        <v>6549</v>
      </c>
      <c r="E1324" s="21" t="s">
        <v>8044</v>
      </c>
      <c r="F1324" s="21" t="s">
        <v>8169</v>
      </c>
      <c r="G1324" s="21" t="s">
        <v>8075</v>
      </c>
    </row>
    <row r="1325" customFormat="false" ht="15" hidden="false" customHeight="false" outlineLevel="0" collapsed="false">
      <c r="B1325" s="19" t="s">
        <v>9426</v>
      </c>
      <c r="C1325" s="20" t="n">
        <f aca="false">ROUND(9.75/FX,2)</f>
        <v>1.35</v>
      </c>
      <c r="D1325" s="21" t="s">
        <v>6549</v>
      </c>
      <c r="E1325" s="21" t="s">
        <v>8044</v>
      </c>
      <c r="F1325" s="21" t="s">
        <v>8169</v>
      </c>
      <c r="G1325" s="21" t="s">
        <v>8077</v>
      </c>
    </row>
    <row r="1326" customFormat="false" ht="15" hidden="false" customHeight="false" outlineLevel="0" collapsed="false">
      <c r="B1326" s="19" t="s">
        <v>9427</v>
      </c>
      <c r="C1326" s="20" t="n">
        <f aca="false">ROUND(9.75/FX,2)</f>
        <v>1.35</v>
      </c>
      <c r="D1326" s="21" t="s">
        <v>6549</v>
      </c>
      <c r="E1326" s="21" t="s">
        <v>8044</v>
      </c>
      <c r="F1326" s="21" t="s">
        <v>8169</v>
      </c>
      <c r="G1326" s="21" t="s">
        <v>8079</v>
      </c>
    </row>
    <row r="1327" customFormat="false" ht="15" hidden="false" customHeight="false" outlineLevel="0" collapsed="false">
      <c r="B1327" s="19" t="s">
        <v>9428</v>
      </c>
      <c r="C1327" s="20" t="n">
        <f aca="false">ROUND(9.75/FX,2)</f>
        <v>1.35</v>
      </c>
      <c r="D1327" s="21" t="s">
        <v>6549</v>
      </c>
      <c r="E1327" s="21" t="s">
        <v>8044</v>
      </c>
      <c r="F1327" s="21" t="s">
        <v>8169</v>
      </c>
      <c r="G1327" s="21" t="s">
        <v>8081</v>
      </c>
    </row>
    <row r="1328" customFormat="false" ht="15" hidden="false" customHeight="false" outlineLevel="0" collapsed="false">
      <c r="B1328" s="19" t="s">
        <v>9429</v>
      </c>
      <c r="C1328" s="20" t="n">
        <f aca="false">ROUND(9.75/FX,2)</f>
        <v>1.35</v>
      </c>
      <c r="D1328" s="21" t="s">
        <v>6549</v>
      </c>
      <c r="E1328" s="21" t="s">
        <v>8044</v>
      </c>
      <c r="F1328" s="21" t="s">
        <v>8169</v>
      </c>
      <c r="G1328" s="21" t="s">
        <v>8085</v>
      </c>
    </row>
    <row r="1329" customFormat="false" ht="15" hidden="false" customHeight="false" outlineLevel="0" collapsed="false">
      <c r="B1329" s="19" t="s">
        <v>9430</v>
      </c>
      <c r="C1329" s="20" t="n">
        <f aca="false">ROUND(9.75/FX,2)</f>
        <v>1.35</v>
      </c>
      <c r="D1329" s="21" t="s">
        <v>6549</v>
      </c>
      <c r="E1329" s="21" t="s">
        <v>8044</v>
      </c>
      <c r="F1329" s="21" t="s">
        <v>8169</v>
      </c>
      <c r="G1329" s="21" t="s">
        <v>8087</v>
      </c>
    </row>
    <row r="1330" customFormat="false" ht="15" hidden="false" customHeight="false" outlineLevel="0" collapsed="false">
      <c r="B1330" s="19" t="s">
        <v>9431</v>
      </c>
      <c r="C1330" s="20" t="n">
        <f aca="false">ROUND(9.75/FX,2)</f>
        <v>1.35</v>
      </c>
      <c r="D1330" s="21" t="s">
        <v>6549</v>
      </c>
      <c r="E1330" s="21" t="s">
        <v>8044</v>
      </c>
      <c r="F1330" s="21" t="s">
        <v>8169</v>
      </c>
      <c r="G1330" s="21" t="s">
        <v>8089</v>
      </c>
    </row>
    <row r="1331" customFormat="false" ht="15" hidden="false" customHeight="false" outlineLevel="0" collapsed="false">
      <c r="B1331" s="19" t="s">
        <v>9432</v>
      </c>
      <c r="C1331" s="20" t="n">
        <f aca="false">ROUND(9.75/FX,2)</f>
        <v>1.35</v>
      </c>
      <c r="D1331" s="21" t="s">
        <v>6549</v>
      </c>
      <c r="E1331" s="21" t="s">
        <v>8044</v>
      </c>
      <c r="F1331" s="21" t="s">
        <v>8169</v>
      </c>
      <c r="G1331" s="21" t="s">
        <v>8047</v>
      </c>
    </row>
    <row r="1332" customFormat="false" ht="15" hidden="false" customHeight="false" outlineLevel="0" collapsed="false">
      <c r="B1332" s="19" t="s">
        <v>9433</v>
      </c>
      <c r="C1332" s="20" t="n">
        <f aca="false">ROUND(9.75/FX,2)</f>
        <v>1.35</v>
      </c>
      <c r="D1332" s="21" t="s">
        <v>6549</v>
      </c>
      <c r="E1332" s="21" t="s">
        <v>8044</v>
      </c>
      <c r="F1332" s="21" t="s">
        <v>8169</v>
      </c>
      <c r="G1332" s="21" t="s">
        <v>7881</v>
      </c>
    </row>
    <row r="1333" customFormat="false" ht="15" hidden="false" customHeight="false" outlineLevel="0" collapsed="false">
      <c r="B1333" s="19" t="s">
        <v>9434</v>
      </c>
      <c r="C1333" s="20" t="n">
        <f aca="false">ROUND(9.75/FX,2)</f>
        <v>1.35</v>
      </c>
      <c r="D1333" s="21" t="s">
        <v>6549</v>
      </c>
      <c r="E1333" s="21" t="s">
        <v>8044</v>
      </c>
      <c r="F1333" s="21" t="s">
        <v>8169</v>
      </c>
      <c r="G1333" s="21" t="s">
        <v>8623</v>
      </c>
    </row>
    <row r="1334" customFormat="false" ht="15" hidden="false" customHeight="false" outlineLevel="0" collapsed="false">
      <c r="B1334" s="19" t="s">
        <v>9435</v>
      </c>
      <c r="C1334" s="20" t="n">
        <f aca="false">ROUND(9.75/FX,2)</f>
        <v>1.35</v>
      </c>
      <c r="D1334" s="21" t="s">
        <v>6549</v>
      </c>
      <c r="E1334" s="21" t="s">
        <v>8044</v>
      </c>
      <c r="F1334" s="21" t="s">
        <v>8169</v>
      </c>
      <c r="G1334" s="21" t="s">
        <v>7989</v>
      </c>
    </row>
    <row r="1335" customFormat="false" ht="15" hidden="false" customHeight="false" outlineLevel="0" collapsed="false">
      <c r="B1335" s="19" t="s">
        <v>9436</v>
      </c>
      <c r="C1335" s="20" t="n">
        <f aca="false">ROUND(9.75/FX,2)</f>
        <v>1.35</v>
      </c>
      <c r="D1335" s="21" t="s">
        <v>6549</v>
      </c>
      <c r="E1335" s="21" t="s">
        <v>8044</v>
      </c>
      <c r="F1335" s="21" t="s">
        <v>8169</v>
      </c>
      <c r="G1335" s="21" t="s">
        <v>8626</v>
      </c>
    </row>
    <row r="1336" customFormat="false" ht="15" hidden="false" customHeight="false" outlineLevel="0" collapsed="false">
      <c r="B1336" s="19" t="s">
        <v>9437</v>
      </c>
      <c r="C1336" s="20" t="n">
        <f aca="false">ROUND(9.75/FX,2)</f>
        <v>1.35</v>
      </c>
      <c r="D1336" s="21" t="s">
        <v>6549</v>
      </c>
      <c r="E1336" s="21" t="s">
        <v>8044</v>
      </c>
      <c r="F1336" s="21" t="s">
        <v>8169</v>
      </c>
      <c r="G1336" s="21" t="s">
        <v>8050</v>
      </c>
    </row>
    <row r="1337" customFormat="false" ht="15" hidden="false" customHeight="false" outlineLevel="0" collapsed="false">
      <c r="B1337" s="19" t="s">
        <v>9438</v>
      </c>
      <c r="C1337" s="20" t="n">
        <f aca="false">ROUND(9.75/FX,2)</f>
        <v>1.35</v>
      </c>
      <c r="D1337" s="21" t="s">
        <v>6549</v>
      </c>
      <c r="E1337" s="21" t="s">
        <v>8044</v>
      </c>
      <c r="F1337" s="21" t="s">
        <v>8169</v>
      </c>
      <c r="G1337" s="21" t="s">
        <v>8094</v>
      </c>
    </row>
    <row r="1338" customFormat="false" ht="15" hidden="false" customHeight="false" outlineLevel="0" collapsed="false">
      <c r="B1338" s="19" t="s">
        <v>9439</v>
      </c>
      <c r="C1338" s="20" t="n">
        <f aca="false">ROUND(9.75/FX,2)</f>
        <v>1.35</v>
      </c>
      <c r="D1338" s="21" t="s">
        <v>6549</v>
      </c>
      <c r="E1338" s="21" t="s">
        <v>8044</v>
      </c>
      <c r="F1338" s="21" t="s">
        <v>8169</v>
      </c>
      <c r="G1338" s="21" t="s">
        <v>7829</v>
      </c>
    </row>
    <row r="1339" customFormat="false" ht="15" hidden="false" customHeight="false" outlineLevel="0" collapsed="false">
      <c r="B1339" s="19" t="s">
        <v>9440</v>
      </c>
      <c r="C1339" s="20" t="n">
        <f aca="false">ROUND(9.75/FX,2)</f>
        <v>1.35</v>
      </c>
      <c r="D1339" s="21" t="s">
        <v>6549</v>
      </c>
      <c r="E1339" s="21" t="s">
        <v>8044</v>
      </c>
      <c r="F1339" s="21" t="s">
        <v>8169</v>
      </c>
      <c r="G1339" s="21" t="s">
        <v>7831</v>
      </c>
    </row>
    <row r="1340" customFormat="false" ht="15" hidden="false" customHeight="false" outlineLevel="0" collapsed="false">
      <c r="B1340" s="19" t="s">
        <v>9441</v>
      </c>
      <c r="C1340" s="20" t="n">
        <f aca="false">ROUND(9.75/FX,2)</f>
        <v>1.35</v>
      </c>
      <c r="D1340" s="21" t="s">
        <v>6549</v>
      </c>
      <c r="E1340" s="21" t="s">
        <v>8044</v>
      </c>
      <c r="F1340" s="21" t="s">
        <v>8169</v>
      </c>
      <c r="G1340" s="21" t="s">
        <v>7944</v>
      </c>
    </row>
    <row r="1341" customFormat="false" ht="15" hidden="false" customHeight="false" outlineLevel="0" collapsed="false">
      <c r="B1341" s="19" t="s">
        <v>9442</v>
      </c>
      <c r="C1341" s="20" t="n">
        <f aca="false">ROUND(9.75/FX,2)</f>
        <v>1.35</v>
      </c>
      <c r="D1341" s="21" t="s">
        <v>6549</v>
      </c>
      <c r="E1341" s="21" t="s">
        <v>8044</v>
      </c>
      <c r="F1341" s="21" t="s">
        <v>8169</v>
      </c>
      <c r="G1341" s="21" t="s">
        <v>7946</v>
      </c>
    </row>
    <row r="1342" customFormat="false" ht="15" hidden="false" customHeight="false" outlineLevel="0" collapsed="false">
      <c r="B1342" s="19" t="s">
        <v>9443</v>
      </c>
      <c r="C1342" s="20" t="n">
        <f aca="false">ROUND(9.75/FX,2)</f>
        <v>1.35</v>
      </c>
      <c r="D1342" s="21" t="s">
        <v>6549</v>
      </c>
      <c r="E1342" s="21" t="s">
        <v>8044</v>
      </c>
      <c r="F1342" s="21" t="s">
        <v>8169</v>
      </c>
      <c r="G1342" s="21" t="s">
        <v>7833</v>
      </c>
    </row>
    <row r="1343" customFormat="false" ht="15" hidden="false" customHeight="false" outlineLevel="0" collapsed="false">
      <c r="B1343" s="19" t="s">
        <v>9444</v>
      </c>
      <c r="C1343" s="20" t="n">
        <f aca="false">ROUND(9.75/FX,2)</f>
        <v>1.35</v>
      </c>
      <c r="D1343" s="21" t="s">
        <v>6549</v>
      </c>
      <c r="E1343" s="21" t="s">
        <v>8044</v>
      </c>
      <c r="F1343" s="21" t="s">
        <v>8169</v>
      </c>
      <c r="G1343" s="21" t="s">
        <v>7951</v>
      </c>
    </row>
    <row r="1344" customFormat="false" ht="15" hidden="false" customHeight="false" outlineLevel="0" collapsed="false">
      <c r="B1344" s="19" t="s">
        <v>9445</v>
      </c>
      <c r="C1344" s="20" t="n">
        <f aca="false">ROUND(9.75/FX,2)</f>
        <v>1.35</v>
      </c>
      <c r="D1344" s="21" t="s">
        <v>6549</v>
      </c>
      <c r="E1344" s="21" t="s">
        <v>8044</v>
      </c>
      <c r="F1344" s="21" t="s">
        <v>8169</v>
      </c>
      <c r="G1344" s="21" t="s">
        <v>7891</v>
      </c>
    </row>
    <row r="1345" customFormat="false" ht="15" hidden="false" customHeight="false" outlineLevel="0" collapsed="false">
      <c r="B1345" s="19" t="s">
        <v>9446</v>
      </c>
      <c r="C1345" s="20" t="n">
        <f aca="false">ROUND(9.75/FX,2)</f>
        <v>1.35</v>
      </c>
      <c r="D1345" s="21" t="s">
        <v>6549</v>
      </c>
      <c r="E1345" s="21" t="s">
        <v>8044</v>
      </c>
      <c r="F1345" s="21" t="s">
        <v>8169</v>
      </c>
      <c r="G1345" s="21" t="s">
        <v>8636</v>
      </c>
    </row>
    <row r="1346" customFormat="false" ht="15" hidden="false" customHeight="false" outlineLevel="0" collapsed="false">
      <c r="B1346" s="19" t="s">
        <v>9447</v>
      </c>
      <c r="C1346" s="20" t="n">
        <f aca="false">ROUND(9.75/FX,2)</f>
        <v>1.35</v>
      </c>
      <c r="D1346" s="21" t="s">
        <v>6549</v>
      </c>
      <c r="E1346" s="21" t="s">
        <v>8044</v>
      </c>
      <c r="F1346" s="21" t="s">
        <v>8169</v>
      </c>
      <c r="G1346" s="21" t="s">
        <v>7992</v>
      </c>
    </row>
    <row r="1347" customFormat="false" ht="15" hidden="false" customHeight="false" outlineLevel="0" collapsed="false">
      <c r="B1347" s="19" t="s">
        <v>9448</v>
      </c>
      <c r="C1347" s="20" t="n">
        <f aca="false">ROUND(9.75/FX,2)</f>
        <v>1.35</v>
      </c>
      <c r="D1347" s="21" t="s">
        <v>6549</v>
      </c>
      <c r="E1347" s="21" t="s">
        <v>8044</v>
      </c>
      <c r="F1347" s="21" t="s">
        <v>8169</v>
      </c>
      <c r="G1347" s="21" t="s">
        <v>8099</v>
      </c>
    </row>
    <row r="1348" customFormat="false" ht="15" hidden="false" customHeight="false" outlineLevel="0" collapsed="false">
      <c r="B1348" s="19" t="s">
        <v>9449</v>
      </c>
      <c r="C1348" s="20" t="n">
        <f aca="false">ROUND(9.75/FX,2)</f>
        <v>1.35</v>
      </c>
      <c r="D1348" s="21" t="s">
        <v>6549</v>
      </c>
      <c r="E1348" s="21" t="s">
        <v>8044</v>
      </c>
      <c r="F1348" s="21" t="s">
        <v>8169</v>
      </c>
      <c r="G1348" s="21" t="s">
        <v>8750</v>
      </c>
    </row>
    <row r="1349" customFormat="false" ht="15" hidden="false" customHeight="false" outlineLevel="0" collapsed="false">
      <c r="B1349" s="19" t="s">
        <v>9450</v>
      </c>
      <c r="C1349" s="20" t="n">
        <f aca="false">ROUND(9.75/FX,2)</f>
        <v>1.35</v>
      </c>
      <c r="D1349" s="21" t="s">
        <v>6549</v>
      </c>
      <c r="E1349" s="21" t="s">
        <v>8044</v>
      </c>
      <c r="F1349" s="21" t="s">
        <v>8169</v>
      </c>
      <c r="G1349" s="21" t="s">
        <v>8101</v>
      </c>
    </row>
    <row r="1350" customFormat="false" ht="15" hidden="false" customHeight="false" outlineLevel="0" collapsed="false">
      <c r="B1350" s="19" t="s">
        <v>9451</v>
      </c>
      <c r="C1350" s="20" t="n">
        <f aca="false">ROUND(9.75/FX,2)</f>
        <v>1.35</v>
      </c>
      <c r="D1350" s="21" t="s">
        <v>6549</v>
      </c>
      <c r="E1350" s="21" t="s">
        <v>8044</v>
      </c>
      <c r="F1350" s="21" t="s">
        <v>8169</v>
      </c>
      <c r="G1350" s="21" t="s">
        <v>7860</v>
      </c>
    </row>
    <row r="1351" customFormat="false" ht="15" hidden="false" customHeight="false" outlineLevel="0" collapsed="false">
      <c r="B1351" s="19" t="s">
        <v>9452</v>
      </c>
      <c r="C1351" s="20" t="n">
        <f aca="false">ROUND(9.75/FX,2)</f>
        <v>1.35</v>
      </c>
      <c r="D1351" s="21" t="s">
        <v>6549</v>
      </c>
      <c r="E1351" s="21" t="s">
        <v>8044</v>
      </c>
      <c r="F1351" s="21" t="s">
        <v>8169</v>
      </c>
      <c r="G1351" s="21" t="s">
        <v>8310</v>
      </c>
    </row>
    <row r="1352" customFormat="false" ht="15" hidden="false" customHeight="false" outlineLevel="0" collapsed="false">
      <c r="B1352" s="19" t="s">
        <v>9453</v>
      </c>
      <c r="C1352" s="20" t="n">
        <f aca="false">ROUND(9.75/FX,2)</f>
        <v>1.35</v>
      </c>
      <c r="D1352" s="21" t="s">
        <v>6549</v>
      </c>
      <c r="E1352" s="21" t="s">
        <v>8044</v>
      </c>
      <c r="F1352" s="21" t="s">
        <v>8169</v>
      </c>
      <c r="G1352" s="21" t="s">
        <v>7893</v>
      </c>
    </row>
    <row r="1353" customFormat="false" ht="15" hidden="false" customHeight="false" outlineLevel="0" collapsed="false">
      <c r="B1353" s="19" t="s">
        <v>9454</v>
      </c>
      <c r="C1353" s="20" t="n">
        <f aca="false">ROUND(9.75/FX,2)</f>
        <v>1.35</v>
      </c>
      <c r="D1353" s="21" t="s">
        <v>6549</v>
      </c>
      <c r="E1353" s="21" t="s">
        <v>8044</v>
      </c>
      <c r="F1353" s="21" t="s">
        <v>8169</v>
      </c>
      <c r="G1353" s="21" t="s">
        <v>7956</v>
      </c>
    </row>
    <row r="1354" customFormat="false" ht="15" hidden="false" customHeight="false" outlineLevel="0" collapsed="false">
      <c r="B1354" s="19" t="s">
        <v>9455</v>
      </c>
      <c r="C1354" s="20" t="n">
        <f aca="false">ROUND(9.75/FX,2)</f>
        <v>1.35</v>
      </c>
      <c r="D1354" s="21" t="s">
        <v>6549</v>
      </c>
      <c r="E1354" s="21" t="s">
        <v>8044</v>
      </c>
      <c r="F1354" s="21" t="s">
        <v>8169</v>
      </c>
      <c r="G1354" s="21" t="s">
        <v>7895</v>
      </c>
    </row>
    <row r="1355" customFormat="false" ht="15" hidden="false" customHeight="false" outlineLevel="0" collapsed="false">
      <c r="B1355" s="19" t="s">
        <v>9456</v>
      </c>
      <c r="C1355" s="20" t="n">
        <f aca="false">ROUND(9.75/FX,2)</f>
        <v>1.35</v>
      </c>
      <c r="D1355" s="21" t="s">
        <v>6549</v>
      </c>
      <c r="E1355" s="21" t="s">
        <v>8044</v>
      </c>
      <c r="F1355" s="21" t="s">
        <v>8169</v>
      </c>
      <c r="G1355" s="21" t="s">
        <v>8646</v>
      </c>
    </row>
    <row r="1356" customFormat="false" ht="15" hidden="false" customHeight="false" outlineLevel="0" collapsed="false">
      <c r="B1356" s="19" t="s">
        <v>9457</v>
      </c>
      <c r="C1356" s="20" t="n">
        <f aca="false">ROUND(9.75/FX,2)</f>
        <v>1.35</v>
      </c>
      <c r="D1356" s="21" t="s">
        <v>6549</v>
      </c>
      <c r="E1356" s="21" t="s">
        <v>8044</v>
      </c>
      <c r="F1356" s="21" t="s">
        <v>8169</v>
      </c>
      <c r="G1356" s="21" t="s">
        <v>8035</v>
      </c>
    </row>
    <row r="1357" customFormat="false" ht="15" hidden="false" customHeight="false" outlineLevel="0" collapsed="false">
      <c r="B1357" s="19" t="s">
        <v>9458</v>
      </c>
      <c r="C1357" s="20" t="n">
        <f aca="false">ROUND(9.75/FX,2)</f>
        <v>1.35</v>
      </c>
      <c r="D1357" s="21" t="s">
        <v>6549</v>
      </c>
      <c r="E1357" s="21" t="s">
        <v>8044</v>
      </c>
      <c r="F1357" s="21" t="s">
        <v>8169</v>
      </c>
      <c r="G1357" s="21" t="s">
        <v>8104</v>
      </c>
    </row>
    <row r="1358" customFormat="false" ht="15" hidden="false" customHeight="false" outlineLevel="0" collapsed="false">
      <c r="B1358" s="19" t="s">
        <v>9459</v>
      </c>
      <c r="C1358" s="20" t="n">
        <f aca="false">ROUND(9.75/FX,2)</f>
        <v>1.35</v>
      </c>
      <c r="D1358" s="21" t="s">
        <v>6549</v>
      </c>
      <c r="E1358" s="21" t="s">
        <v>8044</v>
      </c>
      <c r="F1358" s="21" t="s">
        <v>8169</v>
      </c>
      <c r="G1358" s="21" t="s">
        <v>8761</v>
      </c>
    </row>
    <row r="1359" customFormat="false" ht="15" hidden="false" customHeight="false" outlineLevel="0" collapsed="false">
      <c r="B1359" s="19" t="s">
        <v>9460</v>
      </c>
      <c r="C1359" s="20" t="n">
        <f aca="false">ROUND(9.75/FX,2)</f>
        <v>1.35</v>
      </c>
      <c r="D1359" s="21" t="s">
        <v>6549</v>
      </c>
      <c r="E1359" s="21" t="s">
        <v>8044</v>
      </c>
      <c r="F1359" s="21" t="s">
        <v>8169</v>
      </c>
      <c r="G1359" s="21" t="s">
        <v>8763</v>
      </c>
    </row>
    <row r="1360" customFormat="false" ht="15" hidden="false" customHeight="false" outlineLevel="0" collapsed="false">
      <c r="B1360" s="19" t="s">
        <v>9461</v>
      </c>
      <c r="C1360" s="20" t="n">
        <f aca="false">ROUND(9.75/FX,2)</f>
        <v>1.35</v>
      </c>
      <c r="D1360" s="21" t="s">
        <v>6549</v>
      </c>
      <c r="E1360" s="21" t="s">
        <v>8044</v>
      </c>
      <c r="F1360" s="21" t="s">
        <v>8169</v>
      </c>
      <c r="G1360" s="21" t="s">
        <v>7862</v>
      </c>
    </row>
    <row r="1361" customFormat="false" ht="15" hidden="false" customHeight="false" outlineLevel="0" collapsed="false">
      <c r="B1361" s="19" t="s">
        <v>9462</v>
      </c>
      <c r="C1361" s="20" t="n">
        <f aca="false">ROUND(9.75/FX,2)</f>
        <v>1.35</v>
      </c>
      <c r="D1361" s="21" t="s">
        <v>6549</v>
      </c>
      <c r="E1361" s="21" t="s">
        <v>8044</v>
      </c>
      <c r="F1361" s="21" t="s">
        <v>8169</v>
      </c>
      <c r="G1361" s="21" t="s">
        <v>7864</v>
      </c>
    </row>
    <row r="1362" customFormat="false" ht="15" hidden="false" customHeight="false" outlineLevel="0" collapsed="false">
      <c r="B1362" s="19" t="s">
        <v>9463</v>
      </c>
      <c r="C1362" s="20" t="n">
        <f aca="false">ROUND(9.75/FX,2)</f>
        <v>1.35</v>
      </c>
      <c r="D1362" s="21" t="s">
        <v>6549</v>
      </c>
      <c r="E1362" s="21" t="s">
        <v>8044</v>
      </c>
      <c r="F1362" s="21" t="s">
        <v>8169</v>
      </c>
      <c r="G1362" s="21" t="s">
        <v>7961</v>
      </c>
    </row>
    <row r="1363" customFormat="false" ht="15" hidden="false" customHeight="false" outlineLevel="0" collapsed="false">
      <c r="B1363" s="19" t="s">
        <v>9464</v>
      </c>
      <c r="C1363" s="20" t="n">
        <f aca="false">ROUND(9.75/FX,2)</f>
        <v>1.35</v>
      </c>
      <c r="D1363" s="21" t="s">
        <v>6549</v>
      </c>
      <c r="E1363" s="21" t="s">
        <v>8044</v>
      </c>
      <c r="F1363" s="21" t="s">
        <v>8169</v>
      </c>
      <c r="G1363" s="21" t="s">
        <v>7872</v>
      </c>
    </row>
    <row r="1364" customFormat="false" ht="15" hidden="false" customHeight="false" outlineLevel="0" collapsed="false">
      <c r="B1364" s="19" t="s">
        <v>9465</v>
      </c>
      <c r="C1364" s="20" t="n">
        <f aca="false">ROUND(9.75/FX,2)</f>
        <v>1.35</v>
      </c>
      <c r="D1364" s="21" t="s">
        <v>6549</v>
      </c>
      <c r="E1364" s="21" t="s">
        <v>8044</v>
      </c>
      <c r="F1364" s="21" t="s">
        <v>8169</v>
      </c>
      <c r="G1364" s="21" t="s">
        <v>7964</v>
      </c>
    </row>
    <row r="1365" customFormat="false" ht="15" hidden="false" customHeight="false" outlineLevel="0" collapsed="false">
      <c r="B1365" s="19" t="s">
        <v>9466</v>
      </c>
      <c r="C1365" s="20" t="n">
        <f aca="false">ROUND(9.75/FX,2)</f>
        <v>1.35</v>
      </c>
      <c r="D1365" s="21" t="s">
        <v>6549</v>
      </c>
      <c r="E1365" s="21" t="s">
        <v>8044</v>
      </c>
      <c r="F1365" s="21" t="s">
        <v>8169</v>
      </c>
      <c r="G1365" s="21" t="s">
        <v>7966</v>
      </c>
    </row>
    <row r="1366" customFormat="false" ht="15" hidden="false" customHeight="false" outlineLevel="0" collapsed="false">
      <c r="B1366" s="19" t="s">
        <v>9467</v>
      </c>
      <c r="C1366" s="20" t="n">
        <f aca="false">ROUND(9.75/FX,2)</f>
        <v>1.35</v>
      </c>
      <c r="D1366" s="21" t="s">
        <v>6549</v>
      </c>
      <c r="E1366" s="21" t="s">
        <v>8044</v>
      </c>
      <c r="F1366" s="21" t="s">
        <v>8169</v>
      </c>
      <c r="G1366" s="21" t="s">
        <v>8657</v>
      </c>
    </row>
    <row r="1367" customFormat="false" ht="15" hidden="false" customHeight="false" outlineLevel="0" collapsed="false">
      <c r="B1367" s="19" t="s">
        <v>9468</v>
      </c>
      <c r="C1367" s="20" t="n">
        <f aca="false">ROUND(9.75/FX,2)</f>
        <v>1.35</v>
      </c>
      <c r="D1367" s="21" t="s">
        <v>6549</v>
      </c>
      <c r="E1367" s="21" t="s">
        <v>8044</v>
      </c>
      <c r="F1367" s="21" t="s">
        <v>8169</v>
      </c>
      <c r="G1367" s="21" t="s">
        <v>8659</v>
      </c>
    </row>
    <row r="1368" customFormat="false" ht="15" hidden="false" customHeight="false" outlineLevel="0" collapsed="false">
      <c r="B1368" s="19" t="s">
        <v>9469</v>
      </c>
      <c r="C1368" s="20" t="n">
        <f aca="false">ROUND(9.75/FX,2)</f>
        <v>1.35</v>
      </c>
      <c r="D1368" s="21" t="s">
        <v>6549</v>
      </c>
      <c r="E1368" s="21" t="s">
        <v>8044</v>
      </c>
      <c r="F1368" s="21" t="s">
        <v>8169</v>
      </c>
      <c r="G1368" s="21" t="s">
        <v>8661</v>
      </c>
    </row>
    <row r="1369" customFormat="false" ht="15" hidden="false" customHeight="false" outlineLevel="0" collapsed="false">
      <c r="B1369" s="19" t="s">
        <v>9470</v>
      </c>
      <c r="C1369" s="20" t="n">
        <f aca="false">ROUND(9.75/FX,2)</f>
        <v>1.35</v>
      </c>
      <c r="D1369" s="21" t="s">
        <v>6549</v>
      </c>
      <c r="E1369" s="21" t="s">
        <v>8044</v>
      </c>
      <c r="F1369" s="21" t="s">
        <v>8169</v>
      </c>
      <c r="G1369" s="21" t="s">
        <v>8773</v>
      </c>
    </row>
    <row r="1370" customFormat="false" ht="15" hidden="false" customHeight="false" outlineLevel="0" collapsed="false">
      <c r="B1370" s="19" t="s">
        <v>9471</v>
      </c>
      <c r="C1370" s="20" t="n">
        <f aca="false">ROUND(9.75/FX,2)</f>
        <v>1.35</v>
      </c>
      <c r="D1370" s="21" t="s">
        <v>6549</v>
      </c>
      <c r="E1370" s="21" t="s">
        <v>8044</v>
      </c>
      <c r="F1370" s="21" t="s">
        <v>8169</v>
      </c>
      <c r="G1370" s="21" t="s">
        <v>8775</v>
      </c>
    </row>
    <row r="1371" customFormat="false" ht="15" hidden="false" customHeight="false" outlineLevel="0" collapsed="false">
      <c r="B1371" s="19" t="s">
        <v>9472</v>
      </c>
      <c r="C1371" s="20" t="n">
        <f aca="false">ROUND(9.75/FX,2)</f>
        <v>1.35</v>
      </c>
      <c r="D1371" s="21" t="s">
        <v>6549</v>
      </c>
      <c r="E1371" s="21" t="s">
        <v>8044</v>
      </c>
      <c r="F1371" s="21" t="s">
        <v>8169</v>
      </c>
      <c r="G1371" s="21" t="s">
        <v>7968</v>
      </c>
    </row>
    <row r="1372" customFormat="false" ht="15" hidden="false" customHeight="false" outlineLevel="0" collapsed="false">
      <c r="B1372" s="19" t="s">
        <v>9473</v>
      </c>
      <c r="C1372" s="20" t="n">
        <f aca="false">ROUND(9.75/FX,2)</f>
        <v>1.35</v>
      </c>
      <c r="D1372" s="21" t="s">
        <v>6549</v>
      </c>
      <c r="E1372" s="21" t="s">
        <v>8044</v>
      </c>
      <c r="F1372" s="21" t="s">
        <v>8169</v>
      </c>
      <c r="G1372" s="21" t="s">
        <v>8379</v>
      </c>
    </row>
    <row r="1373" customFormat="false" ht="15" hidden="false" customHeight="false" outlineLevel="0" collapsed="false">
      <c r="B1373" s="19" t="s">
        <v>9474</v>
      </c>
      <c r="C1373" s="20" t="n">
        <f aca="false">ROUND(9.75/FX,2)</f>
        <v>1.35</v>
      </c>
      <c r="D1373" s="21" t="s">
        <v>6549</v>
      </c>
      <c r="E1373" s="21" t="s">
        <v>8044</v>
      </c>
      <c r="F1373" s="21" t="s">
        <v>8169</v>
      </c>
      <c r="G1373" s="21" t="s">
        <v>8666</v>
      </c>
    </row>
    <row r="1374" customFormat="false" ht="15" hidden="false" customHeight="false" outlineLevel="0" collapsed="false">
      <c r="B1374" s="19" t="s">
        <v>9475</v>
      </c>
      <c r="C1374" s="20" t="n">
        <f aca="false">ROUND(9.75/FX,2)</f>
        <v>1.35</v>
      </c>
      <c r="D1374" s="21" t="s">
        <v>6549</v>
      </c>
      <c r="E1374" s="21" t="s">
        <v>8044</v>
      </c>
      <c r="F1374" s="21" t="s">
        <v>8169</v>
      </c>
      <c r="G1374" s="21" t="s">
        <v>7899</v>
      </c>
    </row>
    <row r="1375" customFormat="false" ht="15" hidden="false" customHeight="false" outlineLevel="0" collapsed="false">
      <c r="B1375" s="19" t="s">
        <v>9476</v>
      </c>
      <c r="C1375" s="20" t="n">
        <f aca="false">ROUND(9.75/FX,2)</f>
        <v>1.35</v>
      </c>
      <c r="D1375" s="21" t="s">
        <v>6549</v>
      </c>
      <c r="E1375" s="21" t="s">
        <v>8044</v>
      </c>
      <c r="F1375" s="21" t="s">
        <v>8169</v>
      </c>
      <c r="G1375" s="21" t="s">
        <v>8672</v>
      </c>
    </row>
    <row r="1376" customFormat="false" ht="15" hidden="false" customHeight="false" outlineLevel="0" collapsed="false">
      <c r="B1376" s="19" t="s">
        <v>9477</v>
      </c>
      <c r="C1376" s="20" t="n">
        <f aca="false">ROUND(9.75/FX,2)</f>
        <v>1.35</v>
      </c>
      <c r="D1376" s="21" t="s">
        <v>6549</v>
      </c>
      <c r="E1376" s="21" t="s">
        <v>8044</v>
      </c>
      <c r="F1376" s="21" t="s">
        <v>8169</v>
      </c>
      <c r="G1376" s="21" t="s">
        <v>7994</v>
      </c>
    </row>
    <row r="1377" customFormat="false" ht="15" hidden="false" customHeight="false" outlineLevel="0" collapsed="false">
      <c r="B1377" s="19" t="s">
        <v>9478</v>
      </c>
      <c r="C1377" s="20" t="n">
        <f aca="false">ROUND(9.75/FX,2)</f>
        <v>1.35</v>
      </c>
      <c r="D1377" s="21" t="s">
        <v>6549</v>
      </c>
      <c r="E1377" s="21" t="s">
        <v>8044</v>
      </c>
      <c r="F1377" s="21" t="s">
        <v>8169</v>
      </c>
      <c r="G1377" s="21" t="s">
        <v>8109</v>
      </c>
    </row>
    <row r="1378" customFormat="false" ht="15" hidden="false" customHeight="false" outlineLevel="0" collapsed="false">
      <c r="B1378" s="19" t="s">
        <v>9479</v>
      </c>
      <c r="C1378" s="20" t="n">
        <f aca="false">ROUND(9.75/FX,2)</f>
        <v>1.35</v>
      </c>
      <c r="D1378" s="21" t="s">
        <v>6549</v>
      </c>
      <c r="E1378" s="21" t="s">
        <v>8044</v>
      </c>
      <c r="F1378" s="21" t="s">
        <v>8169</v>
      </c>
      <c r="G1378" s="21" t="s">
        <v>8017</v>
      </c>
    </row>
    <row r="1379" customFormat="false" ht="15" hidden="false" customHeight="false" outlineLevel="0" collapsed="false">
      <c r="B1379" s="19" t="s">
        <v>9480</v>
      </c>
      <c r="C1379" s="20" t="n">
        <f aca="false">ROUND(9.75/FX,2)</f>
        <v>1.35</v>
      </c>
      <c r="D1379" s="21" t="s">
        <v>6549</v>
      </c>
      <c r="E1379" s="21" t="s">
        <v>8044</v>
      </c>
      <c r="F1379" s="21" t="s">
        <v>8169</v>
      </c>
      <c r="G1379" s="21" t="s">
        <v>8114</v>
      </c>
    </row>
    <row r="1380" customFormat="false" ht="15" hidden="false" customHeight="false" outlineLevel="0" collapsed="false">
      <c r="B1380" s="19" t="s">
        <v>9481</v>
      </c>
      <c r="C1380" s="20" t="n">
        <f aca="false">ROUND(9.75/FX,2)</f>
        <v>1.35</v>
      </c>
      <c r="D1380" s="21" t="s">
        <v>6549</v>
      </c>
      <c r="E1380" s="21" t="s">
        <v>8044</v>
      </c>
      <c r="F1380" s="21" t="s">
        <v>8169</v>
      </c>
      <c r="G1380" s="21" t="s">
        <v>7866</v>
      </c>
    </row>
    <row r="1381" customFormat="false" ht="15" hidden="false" customHeight="false" outlineLevel="0" collapsed="false">
      <c r="B1381" s="19" t="s">
        <v>9482</v>
      </c>
      <c r="C1381" s="20" t="n">
        <f aca="false">ROUND(9.75/FX,2)</f>
        <v>1.35</v>
      </c>
      <c r="D1381" s="21" t="s">
        <v>6549</v>
      </c>
      <c r="E1381" s="21" t="s">
        <v>8044</v>
      </c>
      <c r="F1381" s="21" t="s">
        <v>8169</v>
      </c>
      <c r="G1381" s="21" t="s">
        <v>8117</v>
      </c>
    </row>
    <row r="1382" customFormat="false" ht="15" hidden="false" customHeight="false" outlineLevel="0" collapsed="false">
      <c r="B1382" s="19" t="s">
        <v>9483</v>
      </c>
      <c r="C1382" s="20" t="n">
        <f aca="false">ROUND(9.75/FX,2)</f>
        <v>1.35</v>
      </c>
      <c r="D1382" s="21" t="s">
        <v>6549</v>
      </c>
      <c r="E1382" s="21" t="s">
        <v>8044</v>
      </c>
      <c r="F1382" s="21" t="s">
        <v>8169</v>
      </c>
      <c r="G1382" s="21" t="s">
        <v>8681</v>
      </c>
    </row>
    <row r="1383" customFormat="false" ht="15" hidden="false" customHeight="false" outlineLevel="0" collapsed="false">
      <c r="B1383" s="19" t="s">
        <v>9484</v>
      </c>
      <c r="C1383" s="20" t="n">
        <f aca="false">ROUND(9.75/FX,2)</f>
        <v>1.35</v>
      </c>
      <c r="D1383" s="21" t="s">
        <v>6549</v>
      </c>
      <c r="E1383" s="21" t="s">
        <v>8044</v>
      </c>
      <c r="F1383" s="21" t="s">
        <v>8169</v>
      </c>
      <c r="G1383" s="21" t="s">
        <v>8683</v>
      </c>
    </row>
    <row r="1384" customFormat="false" ht="15" hidden="false" customHeight="false" outlineLevel="0" collapsed="false">
      <c r="B1384" s="19" t="s">
        <v>9485</v>
      </c>
      <c r="C1384" s="20" t="n">
        <f aca="false">ROUND(9.75/FX,2)</f>
        <v>1.35</v>
      </c>
      <c r="D1384" s="21" t="s">
        <v>6549</v>
      </c>
      <c r="E1384" s="21" t="s">
        <v>8044</v>
      </c>
      <c r="F1384" s="21" t="s">
        <v>8169</v>
      </c>
      <c r="G1384" s="21" t="s">
        <v>8685</v>
      </c>
    </row>
    <row r="1385" customFormat="false" ht="15" hidden="false" customHeight="false" outlineLevel="0" collapsed="false">
      <c r="B1385" s="19" t="s">
        <v>9486</v>
      </c>
      <c r="C1385" s="20" t="n">
        <f aca="false">ROUND(9.75/FX,2)</f>
        <v>1.35</v>
      </c>
      <c r="D1385" s="21" t="s">
        <v>6549</v>
      </c>
      <c r="E1385" s="21" t="s">
        <v>8044</v>
      </c>
      <c r="F1385" s="21" t="s">
        <v>8169</v>
      </c>
      <c r="G1385" s="21" t="s">
        <v>8687</v>
      </c>
    </row>
    <row r="1386" customFormat="false" ht="15" hidden="false" customHeight="false" outlineLevel="0" collapsed="false">
      <c r="B1386" s="19" t="s">
        <v>9487</v>
      </c>
      <c r="C1386" s="20" t="n">
        <f aca="false">ROUND(9.75/FX,2)</f>
        <v>1.35</v>
      </c>
      <c r="D1386" s="21" t="s">
        <v>6549</v>
      </c>
      <c r="E1386" s="21" t="s">
        <v>8044</v>
      </c>
      <c r="F1386" s="21" t="s">
        <v>8169</v>
      </c>
      <c r="G1386" s="21" t="s">
        <v>8792</v>
      </c>
    </row>
    <row r="1387" customFormat="false" ht="15" hidden="false" customHeight="false" outlineLevel="0" collapsed="false">
      <c r="B1387" s="19" t="s">
        <v>9488</v>
      </c>
      <c r="C1387" s="20" t="n">
        <f aca="false">ROUND(9.75/FX,2)</f>
        <v>1.35</v>
      </c>
      <c r="D1387" s="21" t="s">
        <v>6549</v>
      </c>
      <c r="E1387" s="21" t="s">
        <v>8044</v>
      </c>
      <c r="F1387" s="21" t="s">
        <v>8169</v>
      </c>
      <c r="G1387" s="21" t="s">
        <v>8794</v>
      </c>
    </row>
    <row r="1388" customFormat="false" ht="15" hidden="false" customHeight="false" outlineLevel="0" collapsed="false">
      <c r="B1388" s="19" t="s">
        <v>9489</v>
      </c>
      <c r="C1388" s="20" t="n">
        <f aca="false">ROUND(9.75/FX,2)</f>
        <v>1.35</v>
      </c>
      <c r="D1388" s="21" t="s">
        <v>6549</v>
      </c>
      <c r="E1388" s="21" t="s">
        <v>8044</v>
      </c>
      <c r="F1388" s="21" t="s">
        <v>8169</v>
      </c>
      <c r="G1388" s="21" t="s">
        <v>7977</v>
      </c>
    </row>
    <row r="1389" customFormat="false" ht="15" hidden="false" customHeight="false" outlineLevel="0" collapsed="false">
      <c r="B1389" s="19" t="s">
        <v>9490</v>
      </c>
      <c r="C1389" s="20" t="n">
        <f aca="false">ROUND(10.4/FX,2)</f>
        <v>1.44</v>
      </c>
      <c r="D1389" s="21" t="s">
        <v>6549</v>
      </c>
      <c r="E1389" s="21" t="s">
        <v>8055</v>
      </c>
      <c r="F1389" s="21" t="s">
        <v>8169</v>
      </c>
      <c r="G1389" s="21" t="s">
        <v>7875</v>
      </c>
    </row>
    <row r="1390" customFormat="false" ht="15" hidden="false" customHeight="false" outlineLevel="0" collapsed="false">
      <c r="B1390" s="19" t="s">
        <v>9491</v>
      </c>
      <c r="C1390" s="20" t="n">
        <f aca="false">ROUND(10.4/FX,2)</f>
        <v>1.44</v>
      </c>
      <c r="D1390" s="21" t="s">
        <v>6549</v>
      </c>
      <c r="E1390" s="21" t="s">
        <v>8055</v>
      </c>
      <c r="F1390" s="21" t="s">
        <v>8169</v>
      </c>
      <c r="G1390" s="21" t="s">
        <v>8580</v>
      </c>
    </row>
    <row r="1391" customFormat="false" ht="15" hidden="false" customHeight="false" outlineLevel="0" collapsed="false">
      <c r="B1391" s="19" t="s">
        <v>9492</v>
      </c>
      <c r="C1391" s="20" t="n">
        <f aca="false">ROUND(10.4/FX,2)</f>
        <v>1.44</v>
      </c>
      <c r="D1391" s="21" t="s">
        <v>6549</v>
      </c>
      <c r="E1391" s="21" t="s">
        <v>8055</v>
      </c>
      <c r="F1391" s="21" t="s">
        <v>8169</v>
      </c>
      <c r="G1391" s="21" t="s">
        <v>7999</v>
      </c>
    </row>
    <row r="1392" customFormat="false" ht="15" hidden="false" customHeight="false" outlineLevel="0" collapsed="false">
      <c r="B1392" s="19" t="s">
        <v>9493</v>
      </c>
      <c r="C1392" s="20" t="n">
        <f aca="false">ROUND(10.4/FX,2)</f>
        <v>1.44</v>
      </c>
      <c r="D1392" s="21" t="s">
        <v>6549</v>
      </c>
      <c r="E1392" s="21" t="s">
        <v>8055</v>
      </c>
      <c r="F1392" s="21" t="s">
        <v>8169</v>
      </c>
      <c r="G1392" s="21" t="s">
        <v>8058</v>
      </c>
    </row>
    <row r="1393" customFormat="false" ht="15" hidden="false" customHeight="false" outlineLevel="0" collapsed="false">
      <c r="B1393" s="19" t="s">
        <v>9494</v>
      </c>
      <c r="C1393" s="20" t="n">
        <f aca="false">ROUND(10.4/FX,2)</f>
        <v>1.44</v>
      </c>
      <c r="D1393" s="21" t="s">
        <v>6549</v>
      </c>
      <c r="E1393" s="21" t="s">
        <v>8055</v>
      </c>
      <c r="F1393" s="21" t="s">
        <v>8169</v>
      </c>
      <c r="G1393" s="21" t="s">
        <v>8801</v>
      </c>
    </row>
    <row r="1394" customFormat="false" ht="15" hidden="false" customHeight="false" outlineLevel="0" collapsed="false">
      <c r="B1394" s="19" t="s">
        <v>9495</v>
      </c>
      <c r="C1394" s="20" t="n">
        <f aca="false">ROUND(10.4/FX,2)</f>
        <v>1.44</v>
      </c>
      <c r="D1394" s="21" t="s">
        <v>6549</v>
      </c>
      <c r="E1394" s="21" t="s">
        <v>8055</v>
      </c>
      <c r="F1394" s="21" t="s">
        <v>8169</v>
      </c>
      <c r="G1394" s="21" t="s">
        <v>8060</v>
      </c>
    </row>
    <row r="1395" customFormat="false" ht="15" hidden="false" customHeight="false" outlineLevel="0" collapsed="false">
      <c r="B1395" s="19" t="s">
        <v>9496</v>
      </c>
      <c r="C1395" s="20" t="n">
        <f aca="false">ROUND(10.4/FX,2)</f>
        <v>1.44</v>
      </c>
      <c r="D1395" s="21" t="s">
        <v>6549</v>
      </c>
      <c r="E1395" s="21" t="s">
        <v>8055</v>
      </c>
      <c r="F1395" s="21" t="s">
        <v>8169</v>
      </c>
      <c r="G1395" s="21" t="s">
        <v>8804</v>
      </c>
    </row>
    <row r="1396" customFormat="false" ht="15" hidden="false" customHeight="false" outlineLevel="0" collapsed="false">
      <c r="B1396" s="19" t="s">
        <v>9497</v>
      </c>
      <c r="C1396" s="20" t="n">
        <f aca="false">ROUND(10.4/FX,2)</f>
        <v>1.44</v>
      </c>
      <c r="D1396" s="21" t="s">
        <v>6549</v>
      </c>
      <c r="E1396" s="21" t="s">
        <v>8055</v>
      </c>
      <c r="F1396" s="21" t="s">
        <v>8169</v>
      </c>
      <c r="G1396" s="21" t="s">
        <v>8152</v>
      </c>
    </row>
    <row r="1397" customFormat="false" ht="15" hidden="false" customHeight="false" outlineLevel="0" collapsed="false">
      <c r="B1397" s="19" t="s">
        <v>9498</v>
      </c>
      <c r="C1397" s="20" t="n">
        <f aca="false">ROUND(10.4/FX,2)</f>
        <v>1.44</v>
      </c>
      <c r="D1397" s="21" t="s">
        <v>6549</v>
      </c>
      <c r="E1397" s="21" t="s">
        <v>8055</v>
      </c>
      <c r="F1397" s="21" t="s">
        <v>8169</v>
      </c>
      <c r="G1397" s="21" t="s">
        <v>8062</v>
      </c>
    </row>
    <row r="1398" customFormat="false" ht="15" hidden="false" customHeight="false" outlineLevel="0" collapsed="false">
      <c r="B1398" s="19" t="s">
        <v>9499</v>
      </c>
      <c r="C1398" s="20" t="n">
        <f aca="false">ROUND(10.4/FX,2)</f>
        <v>1.44</v>
      </c>
      <c r="D1398" s="21" t="s">
        <v>6549</v>
      </c>
      <c r="E1398" s="21" t="s">
        <v>8055</v>
      </c>
      <c r="F1398" s="21" t="s">
        <v>8169</v>
      </c>
      <c r="G1398" s="21" t="s">
        <v>8064</v>
      </c>
    </row>
    <row r="1399" customFormat="false" ht="15" hidden="false" customHeight="false" outlineLevel="0" collapsed="false">
      <c r="B1399" s="19" t="s">
        <v>9500</v>
      </c>
      <c r="C1399" s="20" t="n">
        <f aca="false">ROUND(10.4/FX,2)</f>
        <v>1.44</v>
      </c>
      <c r="D1399" s="21" t="s">
        <v>6549</v>
      </c>
      <c r="E1399" s="21" t="s">
        <v>8055</v>
      </c>
      <c r="F1399" s="21" t="s">
        <v>8169</v>
      </c>
      <c r="G1399" s="21" t="s">
        <v>8586</v>
      </c>
    </row>
    <row r="1400" customFormat="false" ht="15" hidden="false" customHeight="false" outlineLevel="0" collapsed="false">
      <c r="B1400" s="19" t="s">
        <v>9501</v>
      </c>
      <c r="C1400" s="20" t="n">
        <f aca="false">ROUND(10.4/FX,2)</f>
        <v>1.44</v>
      </c>
      <c r="D1400" s="21" t="s">
        <v>6549</v>
      </c>
      <c r="E1400" s="21" t="s">
        <v>8055</v>
      </c>
      <c r="F1400" s="21" t="s">
        <v>8169</v>
      </c>
      <c r="G1400" s="21" t="s">
        <v>8810</v>
      </c>
    </row>
    <row r="1401" customFormat="false" ht="15" hidden="false" customHeight="false" outlineLevel="0" collapsed="false">
      <c r="B1401" s="19" t="s">
        <v>9502</v>
      </c>
      <c r="C1401" s="20" t="n">
        <f aca="false">ROUND(10.4/FX,2)</f>
        <v>1.44</v>
      </c>
      <c r="D1401" s="21" t="s">
        <v>6549</v>
      </c>
      <c r="E1401" s="21" t="s">
        <v>8055</v>
      </c>
      <c r="F1401" s="21" t="s">
        <v>8169</v>
      </c>
      <c r="G1401" s="21" t="s">
        <v>8066</v>
      </c>
    </row>
    <row r="1402" customFormat="false" ht="15" hidden="false" customHeight="false" outlineLevel="0" collapsed="false">
      <c r="B1402" s="19" t="s">
        <v>9503</v>
      </c>
      <c r="C1402" s="20" t="n">
        <f aca="false">ROUND(10.4/FX,2)</f>
        <v>1.44</v>
      </c>
      <c r="D1402" s="21" t="s">
        <v>6549</v>
      </c>
      <c r="E1402" s="21" t="s">
        <v>8055</v>
      </c>
      <c r="F1402" s="21" t="s">
        <v>8169</v>
      </c>
      <c r="G1402" s="21" t="s">
        <v>8813</v>
      </c>
    </row>
    <row r="1403" customFormat="false" ht="15" hidden="false" customHeight="false" outlineLevel="0" collapsed="false">
      <c r="B1403" s="19" t="s">
        <v>9504</v>
      </c>
      <c r="C1403" s="20" t="n">
        <f aca="false">ROUND(10.4/FX,2)</f>
        <v>1.44</v>
      </c>
      <c r="D1403" s="21" t="s">
        <v>6549</v>
      </c>
      <c r="E1403" s="21" t="s">
        <v>8055</v>
      </c>
      <c r="F1403" s="21" t="s">
        <v>8169</v>
      </c>
      <c r="G1403" s="21" t="s">
        <v>8719</v>
      </c>
    </row>
    <row r="1404" customFormat="false" ht="15" hidden="false" customHeight="false" outlineLevel="0" collapsed="false">
      <c r="B1404" s="19" t="s">
        <v>9505</v>
      </c>
      <c r="C1404" s="20" t="n">
        <f aca="false">ROUND(10.4/FX,2)</f>
        <v>1.44</v>
      </c>
      <c r="D1404" s="21" t="s">
        <v>6549</v>
      </c>
      <c r="E1404" s="21" t="s">
        <v>8055</v>
      </c>
      <c r="F1404" s="21" t="s">
        <v>8169</v>
      </c>
      <c r="G1404" s="21" t="s">
        <v>8068</v>
      </c>
    </row>
    <row r="1405" customFormat="false" ht="15" hidden="false" customHeight="false" outlineLevel="0" collapsed="false">
      <c r="B1405" s="19" t="s">
        <v>9506</v>
      </c>
      <c r="C1405" s="20" t="n">
        <f aca="false">ROUND(10.4/FX,2)</f>
        <v>1.44</v>
      </c>
      <c r="D1405" s="21" t="s">
        <v>6549</v>
      </c>
      <c r="E1405" s="21" t="s">
        <v>8055</v>
      </c>
      <c r="F1405" s="21" t="s">
        <v>8169</v>
      </c>
      <c r="G1405" s="21" t="s">
        <v>8817</v>
      </c>
    </row>
    <row r="1406" customFormat="false" ht="15" hidden="false" customHeight="false" outlineLevel="0" collapsed="false">
      <c r="B1406" s="19" t="s">
        <v>9507</v>
      </c>
      <c r="C1406" s="20" t="n">
        <f aca="false">ROUND(10.4/FX,2)</f>
        <v>1.44</v>
      </c>
      <c r="D1406" s="21" t="s">
        <v>6549</v>
      </c>
      <c r="E1406" s="21" t="s">
        <v>8055</v>
      </c>
      <c r="F1406" s="21" t="s">
        <v>8169</v>
      </c>
      <c r="G1406" s="21" t="s">
        <v>8070</v>
      </c>
    </row>
    <row r="1407" customFormat="false" ht="15" hidden="false" customHeight="false" outlineLevel="0" collapsed="false">
      <c r="B1407" s="19" t="s">
        <v>9508</v>
      </c>
      <c r="C1407" s="20" t="n">
        <f aca="false">ROUND(10.4/FX,2)</f>
        <v>1.44</v>
      </c>
      <c r="D1407" s="21" t="s">
        <v>6549</v>
      </c>
      <c r="E1407" s="21" t="s">
        <v>8055</v>
      </c>
      <c r="F1407" s="21" t="s">
        <v>8169</v>
      </c>
      <c r="G1407" s="21" t="s">
        <v>8072</v>
      </c>
    </row>
    <row r="1408" customFormat="false" ht="15" hidden="false" customHeight="false" outlineLevel="0" collapsed="false">
      <c r="B1408" s="19" t="s">
        <v>9509</v>
      </c>
      <c r="C1408" s="20" t="n">
        <f aca="false">ROUND(10.4/FX,2)</f>
        <v>1.44</v>
      </c>
      <c r="D1408" s="21" t="s">
        <v>6549</v>
      </c>
      <c r="E1408" s="21" t="s">
        <v>8055</v>
      </c>
      <c r="F1408" s="21" t="s">
        <v>8169</v>
      </c>
      <c r="G1408" s="21" t="s">
        <v>8723</v>
      </c>
    </row>
    <row r="1409" customFormat="false" ht="15" hidden="false" customHeight="false" outlineLevel="0" collapsed="false">
      <c r="B1409" s="19" t="s">
        <v>9510</v>
      </c>
      <c r="C1409" s="20" t="n">
        <f aca="false">ROUND(10.4/FX,2)</f>
        <v>1.44</v>
      </c>
      <c r="D1409" s="21" t="s">
        <v>6549</v>
      </c>
      <c r="E1409" s="21" t="s">
        <v>8055</v>
      </c>
      <c r="F1409" s="21" t="s">
        <v>8169</v>
      </c>
      <c r="G1409" s="21" t="s">
        <v>7985</v>
      </c>
    </row>
    <row r="1410" customFormat="false" ht="15" hidden="false" customHeight="false" outlineLevel="0" collapsed="false">
      <c r="B1410" s="19" t="s">
        <v>9511</v>
      </c>
      <c r="C1410" s="20" t="n">
        <f aca="false">ROUND(10.4/FX,2)</f>
        <v>1.44</v>
      </c>
      <c r="D1410" s="21" t="s">
        <v>6549</v>
      </c>
      <c r="E1410" s="21" t="s">
        <v>8055</v>
      </c>
      <c r="F1410" s="21" t="s">
        <v>8169</v>
      </c>
      <c r="G1410" s="21" t="s">
        <v>8075</v>
      </c>
    </row>
    <row r="1411" customFormat="false" ht="15" hidden="false" customHeight="false" outlineLevel="0" collapsed="false">
      <c r="B1411" s="19" t="s">
        <v>9512</v>
      </c>
      <c r="C1411" s="20" t="n">
        <f aca="false">ROUND(10.4/FX,2)</f>
        <v>1.44</v>
      </c>
      <c r="D1411" s="21" t="s">
        <v>6549</v>
      </c>
      <c r="E1411" s="21" t="s">
        <v>8055</v>
      </c>
      <c r="F1411" s="21" t="s">
        <v>8169</v>
      </c>
      <c r="G1411" s="21" t="s">
        <v>8824</v>
      </c>
    </row>
    <row r="1412" customFormat="false" ht="15" hidden="false" customHeight="false" outlineLevel="0" collapsed="false">
      <c r="B1412" s="19" t="s">
        <v>9513</v>
      </c>
      <c r="C1412" s="20" t="n">
        <f aca="false">ROUND(10.4/FX,2)</f>
        <v>1.44</v>
      </c>
      <c r="D1412" s="21" t="s">
        <v>6549</v>
      </c>
      <c r="E1412" s="21" t="s">
        <v>8055</v>
      </c>
      <c r="F1412" s="21" t="s">
        <v>8169</v>
      </c>
      <c r="G1412" s="21" t="s">
        <v>8077</v>
      </c>
    </row>
    <row r="1413" customFormat="false" ht="15" hidden="false" customHeight="false" outlineLevel="0" collapsed="false">
      <c r="B1413" s="19" t="s">
        <v>9514</v>
      </c>
      <c r="C1413" s="20" t="n">
        <f aca="false">ROUND(10.4/FX,2)</f>
        <v>1.44</v>
      </c>
      <c r="D1413" s="21" t="s">
        <v>6549</v>
      </c>
      <c r="E1413" s="21" t="s">
        <v>8055</v>
      </c>
      <c r="F1413" s="21" t="s">
        <v>8169</v>
      </c>
      <c r="G1413" s="21" t="s">
        <v>8079</v>
      </c>
    </row>
    <row r="1414" customFormat="false" ht="15" hidden="false" customHeight="false" outlineLevel="0" collapsed="false">
      <c r="B1414" s="19" t="s">
        <v>9515</v>
      </c>
      <c r="C1414" s="20" t="n">
        <f aca="false">ROUND(10.4/FX,2)</f>
        <v>1.44</v>
      </c>
      <c r="D1414" s="21" t="s">
        <v>6549</v>
      </c>
      <c r="E1414" s="21" t="s">
        <v>8055</v>
      </c>
      <c r="F1414" s="21" t="s">
        <v>8169</v>
      </c>
      <c r="G1414" s="21" t="s">
        <v>8081</v>
      </c>
    </row>
    <row r="1415" customFormat="false" ht="15" hidden="false" customHeight="false" outlineLevel="0" collapsed="false">
      <c r="B1415" s="19" t="s">
        <v>9516</v>
      </c>
      <c r="C1415" s="20" t="n">
        <f aca="false">ROUND(10.4/FX,2)</f>
        <v>1.44</v>
      </c>
      <c r="D1415" s="21" t="s">
        <v>6549</v>
      </c>
      <c r="E1415" s="21" t="s">
        <v>8055</v>
      </c>
      <c r="F1415" s="21" t="s">
        <v>8169</v>
      </c>
      <c r="G1415" s="21" t="s">
        <v>8829</v>
      </c>
    </row>
    <row r="1416" customFormat="false" ht="15" hidden="false" customHeight="false" outlineLevel="0" collapsed="false">
      <c r="B1416" s="19" t="s">
        <v>9517</v>
      </c>
      <c r="C1416" s="20" t="n">
        <f aca="false">ROUND(10.4/FX,2)</f>
        <v>1.44</v>
      </c>
      <c r="D1416" s="21" t="s">
        <v>6549</v>
      </c>
      <c r="E1416" s="21" t="s">
        <v>8055</v>
      </c>
      <c r="F1416" s="21" t="s">
        <v>8169</v>
      </c>
      <c r="G1416" s="21" t="s">
        <v>8831</v>
      </c>
    </row>
    <row r="1417" customFormat="false" ht="15" hidden="false" customHeight="false" outlineLevel="0" collapsed="false">
      <c r="B1417" s="19" t="s">
        <v>9518</v>
      </c>
      <c r="C1417" s="20" t="n">
        <f aca="false">ROUND(10.4/FX,2)</f>
        <v>1.44</v>
      </c>
      <c r="D1417" s="21" t="s">
        <v>6549</v>
      </c>
      <c r="E1417" s="21" t="s">
        <v>8055</v>
      </c>
      <c r="F1417" s="21" t="s">
        <v>8169</v>
      </c>
      <c r="G1417" s="21" t="s">
        <v>8083</v>
      </c>
    </row>
    <row r="1418" customFormat="false" ht="15" hidden="false" customHeight="false" outlineLevel="0" collapsed="false">
      <c r="B1418" s="19" t="s">
        <v>9519</v>
      </c>
      <c r="C1418" s="20" t="n">
        <f aca="false">ROUND(10.4/FX,2)</f>
        <v>1.44</v>
      </c>
      <c r="D1418" s="21" t="s">
        <v>6549</v>
      </c>
      <c r="E1418" s="21" t="s">
        <v>8055</v>
      </c>
      <c r="F1418" s="21" t="s">
        <v>8169</v>
      </c>
      <c r="G1418" s="21" t="s">
        <v>8834</v>
      </c>
    </row>
    <row r="1419" customFormat="false" ht="15" hidden="false" customHeight="false" outlineLevel="0" collapsed="false">
      <c r="B1419" s="19" t="s">
        <v>9520</v>
      </c>
      <c r="C1419" s="20" t="n">
        <f aca="false">ROUND(10.4/FX,2)</f>
        <v>1.44</v>
      </c>
      <c r="D1419" s="21" t="s">
        <v>6549</v>
      </c>
      <c r="E1419" s="21" t="s">
        <v>8055</v>
      </c>
      <c r="F1419" s="21" t="s">
        <v>8169</v>
      </c>
      <c r="G1419" s="21" t="s">
        <v>8085</v>
      </c>
    </row>
    <row r="1420" customFormat="false" ht="15" hidden="false" customHeight="false" outlineLevel="0" collapsed="false">
      <c r="B1420" s="19" t="s">
        <v>9521</v>
      </c>
      <c r="C1420" s="20" t="n">
        <f aca="false">ROUND(10.4/FX,2)</f>
        <v>1.44</v>
      </c>
      <c r="D1420" s="21" t="s">
        <v>6549</v>
      </c>
      <c r="E1420" s="21" t="s">
        <v>8055</v>
      </c>
      <c r="F1420" s="21" t="s">
        <v>8169</v>
      </c>
      <c r="G1420" s="21" t="s">
        <v>8087</v>
      </c>
    </row>
    <row r="1421" customFormat="false" ht="15" hidden="false" customHeight="false" outlineLevel="0" collapsed="false">
      <c r="B1421" s="19" t="s">
        <v>9522</v>
      </c>
      <c r="C1421" s="20" t="n">
        <f aca="false">ROUND(10.4/FX,2)</f>
        <v>1.44</v>
      </c>
      <c r="D1421" s="21" t="s">
        <v>6549</v>
      </c>
      <c r="E1421" s="21" t="s">
        <v>8055</v>
      </c>
      <c r="F1421" s="21" t="s">
        <v>8169</v>
      </c>
      <c r="G1421" s="21" t="s">
        <v>8089</v>
      </c>
    </row>
    <row r="1422" customFormat="false" ht="15" hidden="false" customHeight="false" outlineLevel="0" collapsed="false">
      <c r="B1422" s="19" t="s">
        <v>9523</v>
      </c>
      <c r="C1422" s="20" t="n">
        <f aca="false">ROUND(10.4/FX,2)</f>
        <v>1.44</v>
      </c>
      <c r="D1422" s="21" t="s">
        <v>6549</v>
      </c>
      <c r="E1422" s="21" t="s">
        <v>8055</v>
      </c>
      <c r="F1422" s="21" t="s">
        <v>8169</v>
      </c>
      <c r="G1422" s="21" t="s">
        <v>8045</v>
      </c>
    </row>
    <row r="1423" customFormat="false" ht="15" hidden="false" customHeight="false" outlineLevel="0" collapsed="false">
      <c r="B1423" s="19" t="s">
        <v>9524</v>
      </c>
      <c r="C1423" s="20" t="n">
        <f aca="false">ROUND(10.4/FX,2)</f>
        <v>1.44</v>
      </c>
      <c r="D1423" s="21" t="s">
        <v>6549</v>
      </c>
      <c r="E1423" s="21" t="s">
        <v>8055</v>
      </c>
      <c r="F1423" s="21" t="s">
        <v>8169</v>
      </c>
      <c r="G1423" s="21" t="s">
        <v>8840</v>
      </c>
    </row>
    <row r="1424" customFormat="false" ht="15" hidden="false" customHeight="false" outlineLevel="0" collapsed="false">
      <c r="B1424" s="19" t="s">
        <v>9525</v>
      </c>
      <c r="C1424" s="20" t="n">
        <f aca="false">ROUND(10.4/FX,2)</f>
        <v>1.44</v>
      </c>
      <c r="D1424" s="21" t="s">
        <v>6549</v>
      </c>
      <c r="E1424" s="21" t="s">
        <v>8055</v>
      </c>
      <c r="F1424" s="21" t="s">
        <v>8169</v>
      </c>
      <c r="G1424" s="21" t="s">
        <v>8047</v>
      </c>
    </row>
    <row r="1425" customFormat="false" ht="15" hidden="false" customHeight="false" outlineLevel="0" collapsed="false">
      <c r="B1425" s="19" t="s">
        <v>9526</v>
      </c>
      <c r="C1425" s="20" t="n">
        <f aca="false">ROUND(10.4/FX,2)</f>
        <v>1.44</v>
      </c>
      <c r="D1425" s="21" t="s">
        <v>6549</v>
      </c>
      <c r="E1425" s="21" t="s">
        <v>8055</v>
      </c>
      <c r="F1425" s="21" t="s">
        <v>8169</v>
      </c>
      <c r="G1425" s="21" t="s">
        <v>7914</v>
      </c>
    </row>
    <row r="1426" customFormat="false" ht="15" hidden="false" customHeight="false" outlineLevel="0" collapsed="false">
      <c r="B1426" s="19" t="s">
        <v>9527</v>
      </c>
      <c r="C1426" s="20" t="n">
        <f aca="false">ROUND(10.4/FX,2)</f>
        <v>1.44</v>
      </c>
      <c r="D1426" s="21" t="s">
        <v>6549</v>
      </c>
      <c r="E1426" s="21" t="s">
        <v>8055</v>
      </c>
      <c r="F1426" s="21" t="s">
        <v>8169</v>
      </c>
      <c r="G1426" s="21" t="s">
        <v>8592</v>
      </c>
    </row>
    <row r="1427" customFormat="false" ht="15" hidden="false" customHeight="false" outlineLevel="0" collapsed="false">
      <c r="B1427" s="19" t="s">
        <v>9528</v>
      </c>
      <c r="C1427" s="20" t="n">
        <f aca="false">ROUND(10.4/FX,2)</f>
        <v>1.44</v>
      </c>
      <c r="D1427" s="21" t="s">
        <v>6549</v>
      </c>
      <c r="E1427" s="21" t="s">
        <v>8055</v>
      </c>
      <c r="F1427" s="21" t="s">
        <v>8169</v>
      </c>
      <c r="G1427" s="21" t="s">
        <v>8594</v>
      </c>
    </row>
    <row r="1428" customFormat="false" ht="15" hidden="false" customHeight="false" outlineLevel="0" collapsed="false">
      <c r="B1428" s="19" t="s">
        <v>9529</v>
      </c>
      <c r="C1428" s="20" t="n">
        <f aca="false">ROUND(10.4/FX,2)</f>
        <v>1.44</v>
      </c>
      <c r="D1428" s="21" t="s">
        <v>6549</v>
      </c>
      <c r="E1428" s="21" t="s">
        <v>8055</v>
      </c>
      <c r="F1428" s="21" t="s">
        <v>8169</v>
      </c>
      <c r="G1428" s="21" t="s">
        <v>8596</v>
      </c>
    </row>
    <row r="1429" customFormat="false" ht="15" hidden="false" customHeight="false" outlineLevel="0" collapsed="false">
      <c r="B1429" s="19" t="s">
        <v>9530</v>
      </c>
      <c r="C1429" s="20" t="n">
        <f aca="false">ROUND(10.4/FX,2)</f>
        <v>1.44</v>
      </c>
      <c r="D1429" s="21" t="s">
        <v>6549</v>
      </c>
      <c r="E1429" s="21" t="s">
        <v>8055</v>
      </c>
      <c r="F1429" s="21" t="s">
        <v>8169</v>
      </c>
      <c r="G1429" s="21" t="s">
        <v>8847</v>
      </c>
    </row>
    <row r="1430" customFormat="false" ht="15" hidden="false" customHeight="false" outlineLevel="0" collapsed="false">
      <c r="B1430" s="19" t="s">
        <v>9531</v>
      </c>
      <c r="C1430" s="20" t="n">
        <f aca="false">ROUND(10.4/FX,2)</f>
        <v>1.44</v>
      </c>
      <c r="D1430" s="21" t="s">
        <v>6549</v>
      </c>
      <c r="E1430" s="21" t="s">
        <v>8055</v>
      </c>
      <c r="F1430" s="21" t="s">
        <v>8169</v>
      </c>
      <c r="G1430" s="21" t="s">
        <v>8849</v>
      </c>
    </row>
    <row r="1431" customFormat="false" ht="15" hidden="false" customHeight="false" outlineLevel="0" collapsed="false">
      <c r="B1431" s="19" t="s">
        <v>9532</v>
      </c>
      <c r="C1431" s="20" t="n">
        <f aca="false">ROUND(10.4/FX,2)</f>
        <v>1.44</v>
      </c>
      <c r="D1431" s="21" t="s">
        <v>6549</v>
      </c>
      <c r="E1431" s="21" t="s">
        <v>8055</v>
      </c>
      <c r="F1431" s="21" t="s">
        <v>8169</v>
      </c>
      <c r="G1431" s="21" t="s">
        <v>8851</v>
      </c>
    </row>
    <row r="1432" customFormat="false" ht="15" hidden="false" customHeight="false" outlineLevel="0" collapsed="false">
      <c r="B1432" s="19" t="s">
        <v>9533</v>
      </c>
      <c r="C1432" s="20" t="n">
        <f aca="false">ROUND(10.4/FX,2)</f>
        <v>1.44</v>
      </c>
      <c r="D1432" s="21" t="s">
        <v>6549</v>
      </c>
      <c r="E1432" s="21" t="s">
        <v>8055</v>
      </c>
      <c r="F1432" s="21" t="s">
        <v>8169</v>
      </c>
      <c r="G1432" s="21" t="s">
        <v>8853</v>
      </c>
    </row>
    <row r="1433" customFormat="false" ht="15" hidden="false" customHeight="false" outlineLevel="0" collapsed="false">
      <c r="B1433" s="19" t="s">
        <v>9534</v>
      </c>
      <c r="C1433" s="20" t="n">
        <f aca="false">ROUND(10.4/FX,2)</f>
        <v>1.44</v>
      </c>
      <c r="D1433" s="21" t="s">
        <v>6549</v>
      </c>
      <c r="E1433" s="21" t="s">
        <v>8055</v>
      </c>
      <c r="F1433" s="21" t="s">
        <v>8169</v>
      </c>
      <c r="G1433" s="21" t="s">
        <v>7916</v>
      </c>
    </row>
    <row r="1434" customFormat="false" ht="15" hidden="false" customHeight="false" outlineLevel="0" collapsed="false">
      <c r="B1434" s="19" t="s">
        <v>9535</v>
      </c>
      <c r="C1434" s="20" t="n">
        <f aca="false">ROUND(10.4/FX,2)</f>
        <v>1.44</v>
      </c>
      <c r="D1434" s="21" t="s">
        <v>6549</v>
      </c>
      <c r="E1434" s="21" t="s">
        <v>8055</v>
      </c>
      <c r="F1434" s="21" t="s">
        <v>8169</v>
      </c>
      <c r="G1434" s="21" t="s">
        <v>7918</v>
      </c>
    </row>
    <row r="1435" customFormat="false" ht="15" hidden="false" customHeight="false" outlineLevel="0" collapsed="false">
      <c r="B1435" s="19" t="s">
        <v>9536</v>
      </c>
      <c r="C1435" s="20" t="n">
        <f aca="false">ROUND(10.4/FX,2)</f>
        <v>1.44</v>
      </c>
      <c r="D1435" s="21" t="s">
        <v>6549</v>
      </c>
      <c r="E1435" s="21" t="s">
        <v>8055</v>
      </c>
      <c r="F1435" s="21" t="s">
        <v>8169</v>
      </c>
      <c r="G1435" s="21" t="s">
        <v>7847</v>
      </c>
    </row>
    <row r="1436" customFormat="false" ht="15" hidden="false" customHeight="false" outlineLevel="0" collapsed="false">
      <c r="B1436" s="19" t="s">
        <v>9537</v>
      </c>
      <c r="C1436" s="20" t="n">
        <f aca="false">ROUND(10.4/FX,2)</f>
        <v>1.44</v>
      </c>
      <c r="D1436" s="21" t="s">
        <v>6549</v>
      </c>
      <c r="E1436" s="21" t="s">
        <v>8055</v>
      </c>
      <c r="F1436" s="21" t="s">
        <v>8169</v>
      </c>
      <c r="G1436" s="21" t="s">
        <v>7849</v>
      </c>
    </row>
    <row r="1437" customFormat="false" ht="15" hidden="false" customHeight="false" outlineLevel="0" collapsed="false">
      <c r="B1437" s="19" t="s">
        <v>9538</v>
      </c>
      <c r="C1437" s="20" t="n">
        <f aca="false">ROUND(10.4/FX,2)</f>
        <v>1.44</v>
      </c>
      <c r="D1437" s="21" t="s">
        <v>6549</v>
      </c>
      <c r="E1437" s="21" t="s">
        <v>8055</v>
      </c>
      <c r="F1437" s="21" t="s">
        <v>8169</v>
      </c>
      <c r="G1437" s="21" t="s">
        <v>7922</v>
      </c>
    </row>
    <row r="1438" customFormat="false" ht="15" hidden="false" customHeight="false" outlineLevel="0" collapsed="false">
      <c r="B1438" s="19" t="s">
        <v>9539</v>
      </c>
      <c r="C1438" s="20" t="n">
        <f aca="false">ROUND(10.4/FX,2)</f>
        <v>1.44</v>
      </c>
      <c r="D1438" s="21" t="s">
        <v>6549</v>
      </c>
      <c r="E1438" s="21" t="s">
        <v>8055</v>
      </c>
      <c r="F1438" s="21" t="s">
        <v>8169</v>
      </c>
      <c r="G1438" s="21" t="s">
        <v>8231</v>
      </c>
    </row>
    <row r="1439" customFormat="false" ht="15" hidden="false" customHeight="false" outlineLevel="0" collapsed="false">
      <c r="B1439" s="19" t="s">
        <v>9540</v>
      </c>
      <c r="C1439" s="20" t="n">
        <f aca="false">ROUND(10.4/FX,2)</f>
        <v>1.44</v>
      </c>
      <c r="D1439" s="21" t="s">
        <v>6549</v>
      </c>
      <c r="E1439" s="21" t="s">
        <v>8055</v>
      </c>
      <c r="F1439" s="21" t="s">
        <v>8169</v>
      </c>
      <c r="G1439" s="21" t="s">
        <v>7851</v>
      </c>
    </row>
    <row r="1440" customFormat="false" ht="15" hidden="false" customHeight="false" outlineLevel="0" collapsed="false">
      <c r="B1440" s="19" t="s">
        <v>9541</v>
      </c>
      <c r="C1440" s="20" t="n">
        <f aca="false">ROUND(10.4/FX,2)</f>
        <v>1.44</v>
      </c>
      <c r="D1440" s="21" t="s">
        <v>6549</v>
      </c>
      <c r="E1440" s="21" t="s">
        <v>8055</v>
      </c>
      <c r="F1440" s="21" t="s">
        <v>8169</v>
      </c>
      <c r="G1440" s="21" t="s">
        <v>8239</v>
      </c>
    </row>
    <row r="1441" customFormat="false" ht="15" hidden="false" customHeight="false" outlineLevel="0" collapsed="false">
      <c r="B1441" s="19" t="s">
        <v>9542</v>
      </c>
      <c r="C1441" s="20" t="n">
        <f aca="false">ROUND(10.4/FX,2)</f>
        <v>1.44</v>
      </c>
      <c r="D1441" s="21" t="s">
        <v>6549</v>
      </c>
      <c r="E1441" s="21" t="s">
        <v>8055</v>
      </c>
      <c r="F1441" s="21" t="s">
        <v>8169</v>
      </c>
      <c r="G1441" s="21" t="s">
        <v>7925</v>
      </c>
    </row>
    <row r="1442" customFormat="false" ht="15" hidden="false" customHeight="false" outlineLevel="0" collapsed="false">
      <c r="B1442" s="19" t="s">
        <v>9543</v>
      </c>
      <c r="C1442" s="20" t="n">
        <f aca="false">ROUND(10.4/FX,2)</f>
        <v>1.44</v>
      </c>
      <c r="D1442" s="21" t="s">
        <v>6549</v>
      </c>
      <c r="E1442" s="21" t="s">
        <v>8055</v>
      </c>
      <c r="F1442" s="21" t="s">
        <v>8169</v>
      </c>
      <c r="G1442" s="21" t="s">
        <v>7927</v>
      </c>
    </row>
    <row r="1443" customFormat="false" ht="15" hidden="false" customHeight="false" outlineLevel="0" collapsed="false">
      <c r="B1443" s="19" t="s">
        <v>9544</v>
      </c>
      <c r="C1443" s="20" t="n">
        <f aca="false">ROUND(10.4/FX,2)</f>
        <v>1.44</v>
      </c>
      <c r="D1443" s="21" t="s">
        <v>6549</v>
      </c>
      <c r="E1443" s="21" t="s">
        <v>8055</v>
      </c>
      <c r="F1443" s="21" t="s">
        <v>8169</v>
      </c>
      <c r="G1443" s="21" t="s">
        <v>8608</v>
      </c>
    </row>
    <row r="1444" customFormat="false" ht="15" hidden="false" customHeight="false" outlineLevel="0" collapsed="false">
      <c r="B1444" s="19" t="s">
        <v>9545</v>
      </c>
      <c r="C1444" s="20" t="n">
        <f aca="false">ROUND(10.4/FX,2)</f>
        <v>1.44</v>
      </c>
      <c r="D1444" s="21" t="s">
        <v>6549</v>
      </c>
      <c r="E1444" s="21" t="s">
        <v>8055</v>
      </c>
      <c r="F1444" s="21" t="s">
        <v>8169</v>
      </c>
      <c r="G1444" s="21" t="s">
        <v>8610</v>
      </c>
    </row>
    <row r="1445" customFormat="false" ht="15" hidden="false" customHeight="false" outlineLevel="0" collapsed="false">
      <c r="B1445" s="19" t="s">
        <v>9546</v>
      </c>
      <c r="C1445" s="20" t="n">
        <f aca="false">ROUND(10.4/FX,2)</f>
        <v>1.44</v>
      </c>
      <c r="D1445" s="21" t="s">
        <v>6549</v>
      </c>
      <c r="E1445" s="21" t="s">
        <v>8055</v>
      </c>
      <c r="F1445" s="21" t="s">
        <v>8169</v>
      </c>
      <c r="G1445" s="21" t="s">
        <v>8612</v>
      </c>
    </row>
    <row r="1446" customFormat="false" ht="15" hidden="false" customHeight="false" outlineLevel="0" collapsed="false">
      <c r="B1446" s="19" t="s">
        <v>9547</v>
      </c>
      <c r="C1446" s="20" t="n">
        <f aca="false">ROUND(10.4/FX,2)</f>
        <v>1.44</v>
      </c>
      <c r="D1446" s="21" t="s">
        <v>6549</v>
      </c>
      <c r="E1446" s="21" t="s">
        <v>8055</v>
      </c>
      <c r="F1446" s="21" t="s">
        <v>8169</v>
      </c>
      <c r="G1446" s="21" t="s">
        <v>8868</v>
      </c>
    </row>
    <row r="1447" customFormat="false" ht="15" hidden="false" customHeight="false" outlineLevel="0" collapsed="false">
      <c r="B1447" s="19" t="s">
        <v>9548</v>
      </c>
      <c r="C1447" s="20" t="n">
        <f aca="false">ROUND(10.4/FX,2)</f>
        <v>1.44</v>
      </c>
      <c r="D1447" s="21" t="s">
        <v>6549</v>
      </c>
      <c r="E1447" s="21" t="s">
        <v>8055</v>
      </c>
      <c r="F1447" s="21" t="s">
        <v>8169</v>
      </c>
      <c r="G1447" s="21" t="s">
        <v>8870</v>
      </c>
    </row>
    <row r="1448" customFormat="false" ht="15" hidden="false" customHeight="false" outlineLevel="0" collapsed="false">
      <c r="B1448" s="19" t="s">
        <v>9549</v>
      </c>
      <c r="C1448" s="20" t="n">
        <f aca="false">ROUND(10.4/FX,2)</f>
        <v>1.44</v>
      </c>
      <c r="D1448" s="21" t="s">
        <v>6549</v>
      </c>
      <c r="E1448" s="21" t="s">
        <v>8055</v>
      </c>
      <c r="F1448" s="21" t="s">
        <v>8169</v>
      </c>
      <c r="G1448" s="21" t="s">
        <v>8872</v>
      </c>
    </row>
    <row r="1449" customFormat="false" ht="15" hidden="false" customHeight="false" outlineLevel="0" collapsed="false">
      <c r="B1449" s="19" t="s">
        <v>9550</v>
      </c>
      <c r="C1449" s="20" t="n">
        <f aca="false">ROUND(10.4/FX,2)</f>
        <v>1.44</v>
      </c>
      <c r="D1449" s="21" t="s">
        <v>6549</v>
      </c>
      <c r="E1449" s="21" t="s">
        <v>8055</v>
      </c>
      <c r="F1449" s="21" t="s">
        <v>8169</v>
      </c>
      <c r="G1449" s="21" t="s">
        <v>8874</v>
      </c>
    </row>
    <row r="1450" customFormat="false" ht="15" hidden="false" customHeight="false" outlineLevel="0" collapsed="false">
      <c r="B1450" s="19" t="s">
        <v>9551</v>
      </c>
      <c r="C1450" s="20" t="n">
        <f aca="false">ROUND(10.4/FX,2)</f>
        <v>1.44</v>
      </c>
      <c r="D1450" s="21" t="s">
        <v>6549</v>
      </c>
      <c r="E1450" s="21" t="s">
        <v>8055</v>
      </c>
      <c r="F1450" s="21" t="s">
        <v>8169</v>
      </c>
      <c r="G1450" s="21" t="s">
        <v>7827</v>
      </c>
    </row>
    <row r="1451" customFormat="false" ht="15" hidden="false" customHeight="false" outlineLevel="0" collapsed="false">
      <c r="B1451" s="19" t="s">
        <v>9552</v>
      </c>
      <c r="C1451" s="20" t="n">
        <f aca="false">ROUND(10.4/FX,2)</f>
        <v>1.44</v>
      </c>
      <c r="D1451" s="21" t="s">
        <v>6549</v>
      </c>
      <c r="E1451" s="21" t="s">
        <v>8055</v>
      </c>
      <c r="F1451" s="21" t="s">
        <v>8169</v>
      </c>
      <c r="G1451" s="21" t="s">
        <v>7853</v>
      </c>
    </row>
    <row r="1452" customFormat="false" ht="15" hidden="false" customHeight="false" outlineLevel="0" collapsed="false">
      <c r="B1452" s="19" t="s">
        <v>9553</v>
      </c>
      <c r="C1452" s="20" t="n">
        <f aca="false">ROUND(10.4/FX,2)</f>
        <v>1.44</v>
      </c>
      <c r="D1452" s="21" t="s">
        <v>6549</v>
      </c>
      <c r="E1452" s="21" t="s">
        <v>8055</v>
      </c>
      <c r="F1452" s="21" t="s">
        <v>8169</v>
      </c>
      <c r="G1452" s="21" t="s">
        <v>7869</v>
      </c>
    </row>
    <row r="1453" customFormat="false" ht="15" hidden="false" customHeight="false" outlineLevel="0" collapsed="false">
      <c r="B1453" s="19" t="s">
        <v>9554</v>
      </c>
      <c r="C1453" s="20" t="n">
        <f aca="false">ROUND(10.4/FX,2)</f>
        <v>1.44</v>
      </c>
      <c r="D1453" s="21" t="s">
        <v>6549</v>
      </c>
      <c r="E1453" s="21" t="s">
        <v>8055</v>
      </c>
      <c r="F1453" s="21" t="s">
        <v>8169</v>
      </c>
      <c r="G1453" s="21" t="s">
        <v>7855</v>
      </c>
    </row>
    <row r="1454" customFormat="false" ht="15" hidden="false" customHeight="false" outlineLevel="0" collapsed="false">
      <c r="B1454" s="19" t="s">
        <v>9555</v>
      </c>
      <c r="C1454" s="20" t="n">
        <f aca="false">ROUND(10.4/FX,2)</f>
        <v>1.44</v>
      </c>
      <c r="D1454" s="21" t="s">
        <v>6549</v>
      </c>
      <c r="E1454" s="21" t="s">
        <v>8055</v>
      </c>
      <c r="F1454" s="21" t="s">
        <v>8169</v>
      </c>
      <c r="G1454" s="21" t="s">
        <v>8255</v>
      </c>
    </row>
    <row r="1455" customFormat="false" ht="15" hidden="false" customHeight="false" outlineLevel="0" collapsed="false">
      <c r="B1455" s="19" t="s">
        <v>9556</v>
      </c>
      <c r="C1455" s="20" t="n">
        <f aca="false">ROUND(10.4/FX,2)</f>
        <v>1.44</v>
      </c>
      <c r="D1455" s="21" t="s">
        <v>6549</v>
      </c>
      <c r="E1455" s="21" t="s">
        <v>8055</v>
      </c>
      <c r="F1455" s="21" t="s">
        <v>8169</v>
      </c>
      <c r="G1455" s="21" t="s">
        <v>7933</v>
      </c>
    </row>
    <row r="1456" customFormat="false" ht="15" hidden="false" customHeight="false" outlineLevel="0" collapsed="false">
      <c r="B1456" s="19" t="s">
        <v>9557</v>
      </c>
      <c r="C1456" s="20" t="n">
        <f aca="false">ROUND(10.4/FX,2)</f>
        <v>1.44</v>
      </c>
      <c r="D1456" s="21" t="s">
        <v>6549</v>
      </c>
      <c r="E1456" s="21" t="s">
        <v>8055</v>
      </c>
      <c r="F1456" s="21" t="s">
        <v>8169</v>
      </c>
      <c r="G1456" s="21" t="s">
        <v>8263</v>
      </c>
    </row>
    <row r="1457" customFormat="false" ht="15" hidden="false" customHeight="false" outlineLevel="0" collapsed="false">
      <c r="B1457" s="19" t="s">
        <v>9558</v>
      </c>
      <c r="C1457" s="20" t="n">
        <f aca="false">ROUND(10.4/FX,2)</f>
        <v>1.44</v>
      </c>
      <c r="D1457" s="21" t="s">
        <v>6549</v>
      </c>
      <c r="E1457" s="21" t="s">
        <v>8055</v>
      </c>
      <c r="F1457" s="21" t="s">
        <v>8169</v>
      </c>
      <c r="G1457" s="21" t="s">
        <v>7935</v>
      </c>
    </row>
    <row r="1458" customFormat="false" ht="15" hidden="false" customHeight="false" outlineLevel="0" collapsed="false">
      <c r="B1458" s="19" t="s">
        <v>9559</v>
      </c>
      <c r="C1458" s="20" t="n">
        <f aca="false">ROUND(10.4/FX,2)</f>
        <v>1.44</v>
      </c>
      <c r="D1458" s="21" t="s">
        <v>6549</v>
      </c>
      <c r="E1458" s="21" t="s">
        <v>8055</v>
      </c>
      <c r="F1458" s="21" t="s">
        <v>8169</v>
      </c>
      <c r="G1458" s="21" t="s">
        <v>7881</v>
      </c>
    </row>
    <row r="1459" customFormat="false" ht="15" hidden="false" customHeight="false" outlineLevel="0" collapsed="false">
      <c r="B1459" s="19" t="s">
        <v>9560</v>
      </c>
      <c r="C1459" s="20" t="n">
        <f aca="false">ROUND(10.4/FX,2)</f>
        <v>1.44</v>
      </c>
      <c r="D1459" s="21" t="s">
        <v>6549</v>
      </c>
      <c r="E1459" s="21" t="s">
        <v>8055</v>
      </c>
      <c r="F1459" s="21" t="s">
        <v>8169</v>
      </c>
      <c r="G1459" s="21" t="s">
        <v>8623</v>
      </c>
    </row>
    <row r="1460" customFormat="false" ht="15" hidden="false" customHeight="false" outlineLevel="0" collapsed="false">
      <c r="B1460" s="19" t="s">
        <v>9561</v>
      </c>
      <c r="C1460" s="20" t="n">
        <f aca="false">ROUND(10.4/FX,2)</f>
        <v>1.44</v>
      </c>
      <c r="D1460" s="21" t="s">
        <v>6549</v>
      </c>
      <c r="E1460" s="21" t="s">
        <v>8055</v>
      </c>
      <c r="F1460" s="21" t="s">
        <v>8169</v>
      </c>
      <c r="G1460" s="21" t="s">
        <v>7989</v>
      </c>
    </row>
    <row r="1461" customFormat="false" ht="15" hidden="false" customHeight="false" outlineLevel="0" collapsed="false">
      <c r="B1461" s="19" t="s">
        <v>9562</v>
      </c>
      <c r="C1461" s="20" t="n">
        <f aca="false">ROUND(10.4/FX,2)</f>
        <v>1.44</v>
      </c>
      <c r="D1461" s="21" t="s">
        <v>6549</v>
      </c>
      <c r="E1461" s="21" t="s">
        <v>8055</v>
      </c>
      <c r="F1461" s="21" t="s">
        <v>8169</v>
      </c>
      <c r="G1461" s="21" t="s">
        <v>8626</v>
      </c>
    </row>
    <row r="1462" customFormat="false" ht="15" hidden="false" customHeight="false" outlineLevel="0" collapsed="false">
      <c r="B1462" s="19" t="s">
        <v>9563</v>
      </c>
      <c r="C1462" s="20" t="n">
        <f aca="false">ROUND(10.4/FX,2)</f>
        <v>1.44</v>
      </c>
      <c r="D1462" s="21" t="s">
        <v>6549</v>
      </c>
      <c r="E1462" s="21" t="s">
        <v>8055</v>
      </c>
      <c r="F1462" s="21" t="s">
        <v>8169</v>
      </c>
      <c r="G1462" s="21" t="s">
        <v>8888</v>
      </c>
    </row>
    <row r="1463" customFormat="false" ht="15" hidden="false" customHeight="false" outlineLevel="0" collapsed="false">
      <c r="B1463" s="19" t="s">
        <v>9564</v>
      </c>
      <c r="C1463" s="20" t="n">
        <f aca="false">ROUND(10.4/FX,2)</f>
        <v>1.44</v>
      </c>
      <c r="D1463" s="21" t="s">
        <v>6549</v>
      </c>
      <c r="E1463" s="21" t="s">
        <v>8055</v>
      </c>
      <c r="F1463" s="21" t="s">
        <v>8169</v>
      </c>
      <c r="G1463" s="21" t="s">
        <v>8050</v>
      </c>
    </row>
    <row r="1464" customFormat="false" ht="15" hidden="false" customHeight="false" outlineLevel="0" collapsed="false">
      <c r="B1464" s="19" t="s">
        <v>9565</v>
      </c>
      <c r="C1464" s="20" t="n">
        <f aca="false">ROUND(10.4/FX,2)</f>
        <v>1.44</v>
      </c>
      <c r="D1464" s="21" t="s">
        <v>6549</v>
      </c>
      <c r="E1464" s="21" t="s">
        <v>8055</v>
      </c>
      <c r="F1464" s="21" t="s">
        <v>8169</v>
      </c>
      <c r="G1464" s="21" t="s">
        <v>8891</v>
      </c>
    </row>
    <row r="1465" customFormat="false" ht="15" hidden="false" customHeight="false" outlineLevel="0" collapsed="false">
      <c r="B1465" s="19" t="s">
        <v>9566</v>
      </c>
      <c r="C1465" s="20" t="n">
        <f aca="false">ROUND(10.4/FX,2)</f>
        <v>1.44</v>
      </c>
      <c r="D1465" s="21" t="s">
        <v>6549</v>
      </c>
      <c r="E1465" s="21" t="s">
        <v>8055</v>
      </c>
      <c r="F1465" s="21" t="s">
        <v>8169</v>
      </c>
      <c r="G1465" s="21" t="s">
        <v>8094</v>
      </c>
    </row>
    <row r="1466" customFormat="false" ht="15" hidden="false" customHeight="false" outlineLevel="0" collapsed="false">
      <c r="B1466" s="19" t="s">
        <v>9567</v>
      </c>
      <c r="C1466" s="20" t="n">
        <f aca="false">ROUND(10.4/FX,2)</f>
        <v>1.44</v>
      </c>
      <c r="D1466" s="21" t="s">
        <v>6549</v>
      </c>
      <c r="E1466" s="21" t="s">
        <v>8055</v>
      </c>
      <c r="F1466" s="21" t="s">
        <v>8169</v>
      </c>
      <c r="G1466" s="21" t="s">
        <v>7829</v>
      </c>
    </row>
    <row r="1467" customFormat="false" ht="15" hidden="false" customHeight="false" outlineLevel="0" collapsed="false">
      <c r="B1467" s="19" t="s">
        <v>9568</v>
      </c>
      <c r="C1467" s="20" t="n">
        <f aca="false">ROUND(10.4/FX,2)</f>
        <v>1.44</v>
      </c>
      <c r="D1467" s="21" t="s">
        <v>6549</v>
      </c>
      <c r="E1467" s="21" t="s">
        <v>8055</v>
      </c>
      <c r="F1467" s="21" t="s">
        <v>8169</v>
      </c>
      <c r="G1467" s="21" t="s">
        <v>7831</v>
      </c>
    </row>
    <row r="1468" customFormat="false" ht="15" hidden="false" customHeight="false" outlineLevel="0" collapsed="false">
      <c r="B1468" s="19" t="s">
        <v>9569</v>
      </c>
      <c r="C1468" s="20" t="n">
        <f aca="false">ROUND(10.4/FX,2)</f>
        <v>1.44</v>
      </c>
      <c r="D1468" s="21" t="s">
        <v>6549</v>
      </c>
      <c r="E1468" s="21" t="s">
        <v>8055</v>
      </c>
      <c r="F1468" s="21" t="s">
        <v>8169</v>
      </c>
      <c r="G1468" s="21" t="s">
        <v>7944</v>
      </c>
    </row>
    <row r="1469" customFormat="false" ht="15" hidden="false" customHeight="false" outlineLevel="0" collapsed="false">
      <c r="B1469" s="19" t="s">
        <v>9570</v>
      </c>
      <c r="C1469" s="20" t="n">
        <f aca="false">ROUND(10.4/FX,2)</f>
        <v>1.44</v>
      </c>
      <c r="D1469" s="21" t="s">
        <v>6549</v>
      </c>
      <c r="E1469" s="21" t="s">
        <v>8055</v>
      </c>
      <c r="F1469" s="21" t="s">
        <v>8169</v>
      </c>
      <c r="G1469" s="21" t="s">
        <v>7946</v>
      </c>
    </row>
    <row r="1470" customFormat="false" ht="15" hidden="false" customHeight="false" outlineLevel="0" collapsed="false">
      <c r="B1470" s="19" t="s">
        <v>9571</v>
      </c>
      <c r="C1470" s="20" t="n">
        <f aca="false">ROUND(10.4/FX,2)</f>
        <v>1.44</v>
      </c>
      <c r="D1470" s="21" t="s">
        <v>6549</v>
      </c>
      <c r="E1470" s="21" t="s">
        <v>8055</v>
      </c>
      <c r="F1470" s="21" t="s">
        <v>8169</v>
      </c>
      <c r="G1470" s="21" t="s">
        <v>7833</v>
      </c>
    </row>
    <row r="1471" customFormat="false" ht="15" hidden="false" customHeight="false" outlineLevel="0" collapsed="false">
      <c r="B1471" s="19" t="s">
        <v>9572</v>
      </c>
      <c r="C1471" s="20" t="n">
        <f aca="false">ROUND(10.4/FX,2)</f>
        <v>1.44</v>
      </c>
      <c r="D1471" s="21" t="s">
        <v>6549</v>
      </c>
      <c r="E1471" s="21" t="s">
        <v>8055</v>
      </c>
      <c r="F1471" s="21" t="s">
        <v>8169</v>
      </c>
      <c r="G1471" s="21" t="s">
        <v>8294</v>
      </c>
    </row>
    <row r="1472" customFormat="false" ht="15" hidden="false" customHeight="false" outlineLevel="0" collapsed="false">
      <c r="B1472" s="19" t="s">
        <v>9573</v>
      </c>
      <c r="C1472" s="20" t="n">
        <f aca="false">ROUND(10.4/FX,2)</f>
        <v>1.44</v>
      </c>
      <c r="D1472" s="21" t="s">
        <v>6549</v>
      </c>
      <c r="E1472" s="21" t="s">
        <v>8055</v>
      </c>
      <c r="F1472" s="21" t="s">
        <v>8169</v>
      </c>
      <c r="G1472" s="21" t="s">
        <v>7951</v>
      </c>
    </row>
    <row r="1473" customFormat="false" ht="15" hidden="false" customHeight="false" outlineLevel="0" collapsed="false">
      <c r="B1473" s="19" t="s">
        <v>9574</v>
      </c>
      <c r="C1473" s="20" t="n">
        <f aca="false">ROUND(10.4/FX,2)</f>
        <v>1.44</v>
      </c>
      <c r="D1473" s="21" t="s">
        <v>6549</v>
      </c>
      <c r="E1473" s="21" t="s">
        <v>8055</v>
      </c>
      <c r="F1473" s="21" t="s">
        <v>8169</v>
      </c>
      <c r="G1473" s="21" t="s">
        <v>7891</v>
      </c>
    </row>
    <row r="1474" customFormat="false" ht="15" hidden="false" customHeight="false" outlineLevel="0" collapsed="false">
      <c r="B1474" s="19" t="s">
        <v>9575</v>
      </c>
      <c r="C1474" s="20" t="n">
        <f aca="false">ROUND(10.4/FX,2)</f>
        <v>1.44</v>
      </c>
      <c r="D1474" s="21" t="s">
        <v>6549</v>
      </c>
      <c r="E1474" s="21" t="s">
        <v>8055</v>
      </c>
      <c r="F1474" s="21" t="s">
        <v>8169</v>
      </c>
      <c r="G1474" s="21" t="s">
        <v>8636</v>
      </c>
    </row>
    <row r="1475" customFormat="false" ht="15" hidden="false" customHeight="false" outlineLevel="0" collapsed="false">
      <c r="B1475" s="19" t="s">
        <v>9576</v>
      </c>
      <c r="C1475" s="20" t="n">
        <f aca="false">ROUND(10.4/FX,2)</f>
        <v>1.44</v>
      </c>
      <c r="D1475" s="21" t="s">
        <v>6549</v>
      </c>
      <c r="E1475" s="21" t="s">
        <v>8055</v>
      </c>
      <c r="F1475" s="21" t="s">
        <v>8169</v>
      </c>
      <c r="G1475" s="21" t="s">
        <v>7992</v>
      </c>
    </row>
    <row r="1476" customFormat="false" ht="15" hidden="false" customHeight="false" outlineLevel="0" collapsed="false">
      <c r="B1476" s="19" t="s">
        <v>9577</v>
      </c>
      <c r="C1476" s="20" t="n">
        <f aca="false">ROUND(10.4/FX,2)</f>
        <v>1.44</v>
      </c>
      <c r="D1476" s="21" t="s">
        <v>6549</v>
      </c>
      <c r="E1476" s="21" t="s">
        <v>8055</v>
      </c>
      <c r="F1476" s="21" t="s">
        <v>8169</v>
      </c>
      <c r="G1476" s="21" t="s">
        <v>8099</v>
      </c>
    </row>
    <row r="1477" customFormat="false" ht="15" hidden="false" customHeight="false" outlineLevel="0" collapsed="false">
      <c r="B1477" s="19" t="s">
        <v>9578</v>
      </c>
      <c r="C1477" s="20" t="n">
        <f aca="false">ROUND(10.4/FX,2)</f>
        <v>1.44</v>
      </c>
      <c r="D1477" s="21" t="s">
        <v>6549</v>
      </c>
      <c r="E1477" s="21" t="s">
        <v>8055</v>
      </c>
      <c r="F1477" s="21" t="s">
        <v>8169</v>
      </c>
      <c r="G1477" s="21" t="s">
        <v>8905</v>
      </c>
    </row>
    <row r="1478" customFormat="false" ht="15" hidden="false" customHeight="false" outlineLevel="0" collapsed="false">
      <c r="B1478" s="19" t="s">
        <v>9579</v>
      </c>
      <c r="C1478" s="20" t="n">
        <f aca="false">ROUND(10.4/FX,2)</f>
        <v>1.44</v>
      </c>
      <c r="D1478" s="21" t="s">
        <v>6549</v>
      </c>
      <c r="E1478" s="21" t="s">
        <v>8055</v>
      </c>
      <c r="F1478" s="21" t="s">
        <v>8169</v>
      </c>
      <c r="G1478" s="21" t="s">
        <v>8750</v>
      </c>
    </row>
    <row r="1479" customFormat="false" ht="15" hidden="false" customHeight="false" outlineLevel="0" collapsed="false">
      <c r="B1479" s="19" t="s">
        <v>9580</v>
      </c>
      <c r="C1479" s="20" t="n">
        <f aca="false">ROUND(10.4/FX,2)</f>
        <v>1.44</v>
      </c>
      <c r="D1479" s="21" t="s">
        <v>6549</v>
      </c>
      <c r="E1479" s="21" t="s">
        <v>8055</v>
      </c>
      <c r="F1479" s="21" t="s">
        <v>8169</v>
      </c>
      <c r="G1479" s="21" t="s">
        <v>8908</v>
      </c>
    </row>
    <row r="1480" customFormat="false" ht="15" hidden="false" customHeight="false" outlineLevel="0" collapsed="false">
      <c r="B1480" s="19" t="s">
        <v>9581</v>
      </c>
      <c r="C1480" s="20" t="n">
        <f aca="false">ROUND(10.4/FX,2)</f>
        <v>1.44</v>
      </c>
      <c r="D1480" s="21" t="s">
        <v>6549</v>
      </c>
      <c r="E1480" s="21" t="s">
        <v>8055</v>
      </c>
      <c r="F1480" s="21" t="s">
        <v>8169</v>
      </c>
      <c r="G1480" s="21" t="s">
        <v>8101</v>
      </c>
    </row>
    <row r="1481" customFormat="false" ht="15" hidden="false" customHeight="false" outlineLevel="0" collapsed="false">
      <c r="B1481" s="19" t="s">
        <v>9582</v>
      </c>
      <c r="C1481" s="20" t="n">
        <f aca="false">ROUND(10.4/FX,2)</f>
        <v>1.44</v>
      </c>
      <c r="D1481" s="21" t="s">
        <v>6549</v>
      </c>
      <c r="E1481" s="21" t="s">
        <v>8055</v>
      </c>
      <c r="F1481" s="21" t="s">
        <v>8169</v>
      </c>
      <c r="G1481" s="21" t="s">
        <v>7860</v>
      </c>
    </row>
    <row r="1482" customFormat="false" ht="15" hidden="false" customHeight="false" outlineLevel="0" collapsed="false">
      <c r="B1482" s="19" t="s">
        <v>9583</v>
      </c>
      <c r="C1482" s="20" t="n">
        <f aca="false">ROUND(10.4/FX,2)</f>
        <v>1.44</v>
      </c>
      <c r="D1482" s="21" t="s">
        <v>6549</v>
      </c>
      <c r="E1482" s="21" t="s">
        <v>8055</v>
      </c>
      <c r="F1482" s="21" t="s">
        <v>8169</v>
      </c>
      <c r="G1482" s="21" t="s">
        <v>8310</v>
      </c>
    </row>
    <row r="1483" customFormat="false" ht="15" hidden="false" customHeight="false" outlineLevel="0" collapsed="false">
      <c r="B1483" s="19" t="s">
        <v>9584</v>
      </c>
      <c r="C1483" s="20" t="n">
        <f aca="false">ROUND(10.4/FX,2)</f>
        <v>1.44</v>
      </c>
      <c r="D1483" s="21" t="s">
        <v>6549</v>
      </c>
      <c r="E1483" s="21" t="s">
        <v>8055</v>
      </c>
      <c r="F1483" s="21" t="s">
        <v>8169</v>
      </c>
      <c r="G1483" s="21" t="s">
        <v>7893</v>
      </c>
    </row>
    <row r="1484" customFormat="false" ht="15" hidden="false" customHeight="false" outlineLevel="0" collapsed="false">
      <c r="B1484" s="19" t="s">
        <v>9585</v>
      </c>
      <c r="C1484" s="20" t="n">
        <f aca="false">ROUND(10.4/FX,2)</f>
        <v>1.44</v>
      </c>
      <c r="D1484" s="21" t="s">
        <v>6549</v>
      </c>
      <c r="E1484" s="21" t="s">
        <v>8055</v>
      </c>
      <c r="F1484" s="21" t="s">
        <v>8169</v>
      </c>
      <c r="G1484" s="21" t="s">
        <v>8320</v>
      </c>
    </row>
    <row r="1485" customFormat="false" ht="15" hidden="false" customHeight="false" outlineLevel="0" collapsed="false">
      <c r="B1485" s="19" t="s">
        <v>9586</v>
      </c>
      <c r="C1485" s="20" t="n">
        <f aca="false">ROUND(10.4/FX,2)</f>
        <v>1.44</v>
      </c>
      <c r="D1485" s="21" t="s">
        <v>6549</v>
      </c>
      <c r="E1485" s="21" t="s">
        <v>8055</v>
      </c>
      <c r="F1485" s="21" t="s">
        <v>8169</v>
      </c>
      <c r="G1485" s="21" t="s">
        <v>7956</v>
      </c>
    </row>
    <row r="1486" customFormat="false" ht="15" hidden="false" customHeight="false" outlineLevel="0" collapsed="false">
      <c r="B1486" s="19" t="s">
        <v>9587</v>
      </c>
      <c r="C1486" s="20" t="n">
        <f aca="false">ROUND(10.4/FX,2)</f>
        <v>1.44</v>
      </c>
      <c r="D1486" s="21" t="s">
        <v>6549</v>
      </c>
      <c r="E1486" s="21" t="s">
        <v>8055</v>
      </c>
      <c r="F1486" s="21" t="s">
        <v>8169</v>
      </c>
      <c r="G1486" s="21" t="s">
        <v>7895</v>
      </c>
    </row>
    <row r="1487" customFormat="false" ht="15" hidden="false" customHeight="false" outlineLevel="0" collapsed="false">
      <c r="B1487" s="19" t="s">
        <v>9588</v>
      </c>
      <c r="C1487" s="20" t="n">
        <f aca="false">ROUND(10.4/FX,2)</f>
        <v>1.44</v>
      </c>
      <c r="D1487" s="21" t="s">
        <v>6549</v>
      </c>
      <c r="E1487" s="21" t="s">
        <v>8055</v>
      </c>
      <c r="F1487" s="21" t="s">
        <v>8169</v>
      </c>
      <c r="G1487" s="21" t="s">
        <v>8646</v>
      </c>
    </row>
    <row r="1488" customFormat="false" ht="15" hidden="false" customHeight="false" outlineLevel="0" collapsed="false">
      <c r="B1488" s="19" t="s">
        <v>9589</v>
      </c>
      <c r="C1488" s="20" t="n">
        <f aca="false">ROUND(10.4/FX,2)</f>
        <v>1.44</v>
      </c>
      <c r="D1488" s="21" t="s">
        <v>6549</v>
      </c>
      <c r="E1488" s="21" t="s">
        <v>8055</v>
      </c>
      <c r="F1488" s="21" t="s">
        <v>8169</v>
      </c>
      <c r="G1488" s="21" t="s">
        <v>8035</v>
      </c>
    </row>
    <row r="1489" customFormat="false" ht="15" hidden="false" customHeight="false" outlineLevel="0" collapsed="false">
      <c r="B1489" s="19" t="s">
        <v>9590</v>
      </c>
      <c r="C1489" s="20" t="n">
        <f aca="false">ROUND(10.4/FX,2)</f>
        <v>1.44</v>
      </c>
      <c r="D1489" s="21" t="s">
        <v>6549</v>
      </c>
      <c r="E1489" s="21" t="s">
        <v>8055</v>
      </c>
      <c r="F1489" s="21" t="s">
        <v>8169</v>
      </c>
      <c r="G1489" s="21" t="s">
        <v>8104</v>
      </c>
    </row>
    <row r="1490" customFormat="false" ht="15" hidden="false" customHeight="false" outlineLevel="0" collapsed="false">
      <c r="B1490" s="19" t="s">
        <v>9591</v>
      </c>
      <c r="C1490" s="20" t="n">
        <f aca="false">ROUND(10.4/FX,2)</f>
        <v>1.44</v>
      </c>
      <c r="D1490" s="21" t="s">
        <v>6549</v>
      </c>
      <c r="E1490" s="21" t="s">
        <v>8055</v>
      </c>
      <c r="F1490" s="21" t="s">
        <v>8169</v>
      </c>
      <c r="G1490" s="21" t="s">
        <v>8920</v>
      </c>
    </row>
    <row r="1491" customFormat="false" ht="15" hidden="false" customHeight="false" outlineLevel="0" collapsed="false">
      <c r="B1491" s="19" t="s">
        <v>9592</v>
      </c>
      <c r="C1491" s="20" t="n">
        <f aca="false">ROUND(10.4/FX,2)</f>
        <v>1.44</v>
      </c>
      <c r="D1491" s="21" t="s">
        <v>6549</v>
      </c>
      <c r="E1491" s="21" t="s">
        <v>8055</v>
      </c>
      <c r="F1491" s="21" t="s">
        <v>8169</v>
      </c>
      <c r="G1491" s="21" t="s">
        <v>8761</v>
      </c>
    </row>
    <row r="1492" customFormat="false" ht="15" hidden="false" customHeight="false" outlineLevel="0" collapsed="false">
      <c r="B1492" s="19" t="s">
        <v>9593</v>
      </c>
      <c r="C1492" s="20" t="n">
        <f aca="false">ROUND(10.4/FX,2)</f>
        <v>1.44</v>
      </c>
      <c r="D1492" s="21" t="s">
        <v>6549</v>
      </c>
      <c r="E1492" s="21" t="s">
        <v>8055</v>
      </c>
      <c r="F1492" s="21" t="s">
        <v>8169</v>
      </c>
      <c r="G1492" s="21" t="s">
        <v>8923</v>
      </c>
    </row>
    <row r="1493" customFormat="false" ht="15" hidden="false" customHeight="false" outlineLevel="0" collapsed="false">
      <c r="B1493" s="19" t="s">
        <v>9594</v>
      </c>
      <c r="C1493" s="20" t="n">
        <f aca="false">ROUND(10.4/FX,2)</f>
        <v>1.44</v>
      </c>
      <c r="D1493" s="21" t="s">
        <v>6549</v>
      </c>
      <c r="E1493" s="21" t="s">
        <v>8055</v>
      </c>
      <c r="F1493" s="21" t="s">
        <v>8169</v>
      </c>
      <c r="G1493" s="21" t="s">
        <v>8763</v>
      </c>
    </row>
    <row r="1494" customFormat="false" ht="15" hidden="false" customHeight="false" outlineLevel="0" collapsed="false">
      <c r="B1494" s="19" t="s">
        <v>9595</v>
      </c>
      <c r="C1494" s="20" t="n">
        <f aca="false">ROUND(10.4/FX,2)</f>
        <v>1.44</v>
      </c>
      <c r="D1494" s="21" t="s">
        <v>6549</v>
      </c>
      <c r="E1494" s="21" t="s">
        <v>8055</v>
      </c>
      <c r="F1494" s="21" t="s">
        <v>8169</v>
      </c>
      <c r="G1494" s="21" t="s">
        <v>7862</v>
      </c>
    </row>
    <row r="1495" customFormat="false" ht="15" hidden="false" customHeight="false" outlineLevel="0" collapsed="false">
      <c r="B1495" s="19" t="s">
        <v>9596</v>
      </c>
      <c r="C1495" s="20" t="n">
        <f aca="false">ROUND(10.4/FX,2)</f>
        <v>1.44</v>
      </c>
      <c r="D1495" s="21" t="s">
        <v>6549</v>
      </c>
      <c r="E1495" s="21" t="s">
        <v>8055</v>
      </c>
      <c r="F1495" s="21" t="s">
        <v>8169</v>
      </c>
      <c r="G1495" s="21" t="s">
        <v>7864</v>
      </c>
    </row>
    <row r="1496" customFormat="false" ht="15" hidden="false" customHeight="false" outlineLevel="0" collapsed="false">
      <c r="B1496" s="19" t="s">
        <v>9597</v>
      </c>
      <c r="C1496" s="20" t="n">
        <f aca="false">ROUND(10.4/FX,2)</f>
        <v>1.44</v>
      </c>
      <c r="D1496" s="21" t="s">
        <v>6549</v>
      </c>
      <c r="E1496" s="21" t="s">
        <v>8055</v>
      </c>
      <c r="F1496" s="21" t="s">
        <v>8169</v>
      </c>
      <c r="G1496" s="21" t="s">
        <v>7961</v>
      </c>
    </row>
    <row r="1497" customFormat="false" ht="15" hidden="false" customHeight="false" outlineLevel="0" collapsed="false">
      <c r="B1497" s="19" t="s">
        <v>9598</v>
      </c>
      <c r="C1497" s="20" t="n">
        <f aca="false">ROUND(10.4/FX,2)</f>
        <v>1.44</v>
      </c>
      <c r="D1497" s="21" t="s">
        <v>6549</v>
      </c>
      <c r="E1497" s="21" t="s">
        <v>8055</v>
      </c>
      <c r="F1497" s="21" t="s">
        <v>8169</v>
      </c>
      <c r="G1497" s="21" t="s">
        <v>7872</v>
      </c>
    </row>
    <row r="1498" customFormat="false" ht="15" hidden="false" customHeight="false" outlineLevel="0" collapsed="false">
      <c r="B1498" s="19" t="s">
        <v>9599</v>
      </c>
      <c r="C1498" s="20" t="n">
        <f aca="false">ROUND(10.4/FX,2)</f>
        <v>1.44</v>
      </c>
      <c r="D1498" s="21" t="s">
        <v>6549</v>
      </c>
      <c r="E1498" s="21" t="s">
        <v>8055</v>
      </c>
      <c r="F1498" s="21" t="s">
        <v>8169</v>
      </c>
      <c r="G1498" s="21" t="s">
        <v>8349</v>
      </c>
    </row>
    <row r="1499" customFormat="false" ht="15" hidden="false" customHeight="false" outlineLevel="0" collapsed="false">
      <c r="B1499" s="19" t="s">
        <v>9600</v>
      </c>
      <c r="C1499" s="20" t="n">
        <f aca="false">ROUND(10.4/FX,2)</f>
        <v>1.44</v>
      </c>
      <c r="D1499" s="21" t="s">
        <v>6549</v>
      </c>
      <c r="E1499" s="21" t="s">
        <v>8055</v>
      </c>
      <c r="F1499" s="21" t="s">
        <v>8169</v>
      </c>
      <c r="G1499" s="21" t="s">
        <v>7964</v>
      </c>
    </row>
    <row r="1500" customFormat="false" ht="15" hidden="false" customHeight="false" outlineLevel="0" collapsed="false">
      <c r="B1500" s="19" t="s">
        <v>9601</v>
      </c>
      <c r="C1500" s="20" t="n">
        <f aca="false">ROUND(10.4/FX,2)</f>
        <v>1.44</v>
      </c>
      <c r="D1500" s="21" t="s">
        <v>6549</v>
      </c>
      <c r="E1500" s="21" t="s">
        <v>8055</v>
      </c>
      <c r="F1500" s="21" t="s">
        <v>8169</v>
      </c>
      <c r="G1500" s="21" t="s">
        <v>7966</v>
      </c>
    </row>
    <row r="1501" customFormat="false" ht="15" hidden="false" customHeight="false" outlineLevel="0" collapsed="false">
      <c r="B1501" s="19" t="s">
        <v>9602</v>
      </c>
      <c r="C1501" s="20" t="n">
        <f aca="false">ROUND(10.4/FX,2)</f>
        <v>1.44</v>
      </c>
      <c r="D1501" s="21" t="s">
        <v>6549</v>
      </c>
      <c r="E1501" s="21" t="s">
        <v>8055</v>
      </c>
      <c r="F1501" s="21" t="s">
        <v>8169</v>
      </c>
      <c r="G1501" s="21" t="s">
        <v>8657</v>
      </c>
    </row>
    <row r="1502" customFormat="false" ht="15" hidden="false" customHeight="false" outlineLevel="0" collapsed="false">
      <c r="B1502" s="19" t="s">
        <v>9603</v>
      </c>
      <c r="C1502" s="20" t="n">
        <f aca="false">ROUND(10.4/FX,2)</f>
        <v>1.44</v>
      </c>
      <c r="D1502" s="21" t="s">
        <v>6549</v>
      </c>
      <c r="E1502" s="21" t="s">
        <v>8055</v>
      </c>
      <c r="F1502" s="21" t="s">
        <v>8169</v>
      </c>
      <c r="G1502" s="21" t="s">
        <v>8659</v>
      </c>
    </row>
    <row r="1503" customFormat="false" ht="15" hidden="false" customHeight="false" outlineLevel="0" collapsed="false">
      <c r="B1503" s="19" t="s">
        <v>9604</v>
      </c>
      <c r="C1503" s="20" t="n">
        <f aca="false">ROUND(10.4/FX,2)</f>
        <v>1.44</v>
      </c>
      <c r="D1503" s="21" t="s">
        <v>6549</v>
      </c>
      <c r="E1503" s="21" t="s">
        <v>8055</v>
      </c>
      <c r="F1503" s="21" t="s">
        <v>8169</v>
      </c>
      <c r="G1503" s="21" t="s">
        <v>8661</v>
      </c>
    </row>
    <row r="1504" customFormat="false" ht="15" hidden="false" customHeight="false" outlineLevel="0" collapsed="false">
      <c r="B1504" s="19" t="s">
        <v>9605</v>
      </c>
      <c r="C1504" s="20" t="n">
        <f aca="false">ROUND(10.4/FX,2)</f>
        <v>1.44</v>
      </c>
      <c r="D1504" s="21" t="s">
        <v>6549</v>
      </c>
      <c r="E1504" s="21" t="s">
        <v>8055</v>
      </c>
      <c r="F1504" s="21" t="s">
        <v>8169</v>
      </c>
      <c r="G1504" s="21" t="s">
        <v>8936</v>
      </c>
    </row>
    <row r="1505" customFormat="false" ht="15" hidden="false" customHeight="false" outlineLevel="0" collapsed="false">
      <c r="B1505" s="19" t="s">
        <v>9606</v>
      </c>
      <c r="C1505" s="20" t="n">
        <f aca="false">ROUND(10.4/FX,2)</f>
        <v>1.44</v>
      </c>
      <c r="D1505" s="21" t="s">
        <v>6549</v>
      </c>
      <c r="E1505" s="21" t="s">
        <v>8055</v>
      </c>
      <c r="F1505" s="21" t="s">
        <v>8169</v>
      </c>
      <c r="G1505" s="21" t="s">
        <v>8773</v>
      </c>
    </row>
    <row r="1506" customFormat="false" ht="15" hidden="false" customHeight="false" outlineLevel="0" collapsed="false">
      <c r="B1506" s="19" t="s">
        <v>9607</v>
      </c>
      <c r="C1506" s="20" t="n">
        <f aca="false">ROUND(10.4/FX,2)</f>
        <v>1.44</v>
      </c>
      <c r="D1506" s="21" t="s">
        <v>6549</v>
      </c>
      <c r="E1506" s="21" t="s">
        <v>8055</v>
      </c>
      <c r="F1506" s="21" t="s">
        <v>8169</v>
      </c>
      <c r="G1506" s="21" t="s">
        <v>8939</v>
      </c>
    </row>
    <row r="1507" customFormat="false" ht="15" hidden="false" customHeight="false" outlineLevel="0" collapsed="false">
      <c r="B1507" s="19" t="s">
        <v>9608</v>
      </c>
      <c r="C1507" s="20" t="n">
        <f aca="false">ROUND(10.4/FX,2)</f>
        <v>1.44</v>
      </c>
      <c r="D1507" s="21" t="s">
        <v>6549</v>
      </c>
      <c r="E1507" s="21" t="s">
        <v>8055</v>
      </c>
      <c r="F1507" s="21" t="s">
        <v>8169</v>
      </c>
      <c r="G1507" s="21" t="s">
        <v>8775</v>
      </c>
    </row>
    <row r="1508" customFormat="false" ht="15" hidden="false" customHeight="false" outlineLevel="0" collapsed="false">
      <c r="B1508" s="19" t="s">
        <v>9609</v>
      </c>
      <c r="C1508" s="20" t="n">
        <f aca="false">ROUND(10.4/FX,2)</f>
        <v>1.44</v>
      </c>
      <c r="D1508" s="21" t="s">
        <v>6549</v>
      </c>
      <c r="E1508" s="21" t="s">
        <v>8055</v>
      </c>
      <c r="F1508" s="21" t="s">
        <v>8169</v>
      </c>
      <c r="G1508" s="21" t="s">
        <v>7968</v>
      </c>
    </row>
    <row r="1509" customFormat="false" ht="15" hidden="false" customHeight="false" outlineLevel="0" collapsed="false">
      <c r="B1509" s="19" t="s">
        <v>9610</v>
      </c>
      <c r="C1509" s="20" t="n">
        <f aca="false">ROUND(10.4/FX,2)</f>
        <v>1.44</v>
      </c>
      <c r="D1509" s="21" t="s">
        <v>6549</v>
      </c>
      <c r="E1509" s="21" t="s">
        <v>8055</v>
      </c>
      <c r="F1509" s="21" t="s">
        <v>8169</v>
      </c>
      <c r="G1509" s="21" t="s">
        <v>8379</v>
      </c>
    </row>
    <row r="1510" customFormat="false" ht="15" hidden="false" customHeight="false" outlineLevel="0" collapsed="false">
      <c r="B1510" s="19" t="s">
        <v>9611</v>
      </c>
      <c r="C1510" s="20" t="n">
        <f aca="false">ROUND(10.4/FX,2)</f>
        <v>1.44</v>
      </c>
      <c r="D1510" s="21" t="s">
        <v>6549</v>
      </c>
      <c r="E1510" s="21" t="s">
        <v>8055</v>
      </c>
      <c r="F1510" s="21" t="s">
        <v>8169</v>
      </c>
      <c r="G1510" s="21" t="s">
        <v>8382</v>
      </c>
    </row>
    <row r="1511" customFormat="false" ht="15" hidden="false" customHeight="false" outlineLevel="0" collapsed="false">
      <c r="B1511" s="19" t="s">
        <v>9612</v>
      </c>
      <c r="C1511" s="20" t="n">
        <f aca="false">ROUND(10.4/FX,2)</f>
        <v>1.44</v>
      </c>
      <c r="D1511" s="21" t="s">
        <v>6549</v>
      </c>
      <c r="E1511" s="21" t="s">
        <v>8055</v>
      </c>
      <c r="F1511" s="21" t="s">
        <v>8169</v>
      </c>
      <c r="G1511" s="21" t="s">
        <v>8666</v>
      </c>
    </row>
    <row r="1512" customFormat="false" ht="15" hidden="false" customHeight="false" outlineLevel="0" collapsed="false">
      <c r="B1512" s="19" t="s">
        <v>9613</v>
      </c>
      <c r="C1512" s="20" t="n">
        <f aca="false">ROUND(10.4/FX,2)</f>
        <v>1.44</v>
      </c>
      <c r="D1512" s="21" t="s">
        <v>6549</v>
      </c>
      <c r="E1512" s="21" t="s">
        <v>8055</v>
      </c>
      <c r="F1512" s="21" t="s">
        <v>8169</v>
      </c>
      <c r="G1512" s="21" t="s">
        <v>7899</v>
      </c>
    </row>
    <row r="1513" customFormat="false" ht="15" hidden="false" customHeight="false" outlineLevel="0" collapsed="false">
      <c r="B1513" s="19" t="s">
        <v>9614</v>
      </c>
      <c r="C1513" s="20" t="n">
        <f aca="false">ROUND(10.4/FX,2)</f>
        <v>1.44</v>
      </c>
      <c r="D1513" s="21" t="s">
        <v>6549</v>
      </c>
      <c r="E1513" s="21" t="s">
        <v>8055</v>
      </c>
      <c r="F1513" s="21" t="s">
        <v>8169</v>
      </c>
      <c r="G1513" s="21" t="s">
        <v>8672</v>
      </c>
    </row>
    <row r="1514" customFormat="false" ht="15" hidden="false" customHeight="false" outlineLevel="0" collapsed="false">
      <c r="B1514" s="19" t="s">
        <v>9615</v>
      </c>
      <c r="C1514" s="20" t="n">
        <f aca="false">ROUND(10.4/FX,2)</f>
        <v>1.44</v>
      </c>
      <c r="D1514" s="21" t="s">
        <v>6549</v>
      </c>
      <c r="E1514" s="21" t="s">
        <v>8055</v>
      </c>
      <c r="F1514" s="21" t="s">
        <v>8169</v>
      </c>
      <c r="G1514" s="21" t="s">
        <v>7994</v>
      </c>
    </row>
    <row r="1515" customFormat="false" ht="15" hidden="false" customHeight="false" outlineLevel="0" collapsed="false">
      <c r="B1515" s="19" t="s">
        <v>9616</v>
      </c>
      <c r="C1515" s="20" t="n">
        <f aca="false">ROUND(10.4/FX,2)</f>
        <v>1.44</v>
      </c>
      <c r="D1515" s="21" t="s">
        <v>6549</v>
      </c>
      <c r="E1515" s="21" t="s">
        <v>8055</v>
      </c>
      <c r="F1515" s="21" t="s">
        <v>8169</v>
      </c>
      <c r="G1515" s="21" t="s">
        <v>8109</v>
      </c>
    </row>
    <row r="1516" customFormat="false" ht="15" hidden="false" customHeight="false" outlineLevel="0" collapsed="false">
      <c r="B1516" s="19" t="s">
        <v>9617</v>
      </c>
      <c r="C1516" s="20" t="n">
        <f aca="false">ROUND(10.4/FX,2)</f>
        <v>1.44</v>
      </c>
      <c r="D1516" s="21" t="s">
        <v>6549</v>
      </c>
      <c r="E1516" s="21" t="s">
        <v>8055</v>
      </c>
      <c r="F1516" s="21" t="s">
        <v>8169</v>
      </c>
      <c r="G1516" s="21" t="s">
        <v>8950</v>
      </c>
    </row>
    <row r="1517" customFormat="false" ht="15" hidden="false" customHeight="false" outlineLevel="0" collapsed="false">
      <c r="B1517" s="19" t="s">
        <v>9618</v>
      </c>
      <c r="C1517" s="20" t="n">
        <f aca="false">ROUND(10.4/FX,2)</f>
        <v>1.44</v>
      </c>
      <c r="D1517" s="21" t="s">
        <v>6549</v>
      </c>
      <c r="E1517" s="21" t="s">
        <v>8055</v>
      </c>
      <c r="F1517" s="21" t="s">
        <v>8169</v>
      </c>
      <c r="G1517" s="21" t="s">
        <v>8017</v>
      </c>
    </row>
    <row r="1518" customFormat="false" ht="15" hidden="false" customHeight="false" outlineLevel="0" collapsed="false">
      <c r="B1518" s="19" t="s">
        <v>9619</v>
      </c>
      <c r="C1518" s="20" t="n">
        <f aca="false">ROUND(10.4/FX,2)</f>
        <v>1.44</v>
      </c>
      <c r="D1518" s="21" t="s">
        <v>6549</v>
      </c>
      <c r="E1518" s="21" t="s">
        <v>8055</v>
      </c>
      <c r="F1518" s="21" t="s">
        <v>8169</v>
      </c>
      <c r="G1518" s="21" t="s">
        <v>8112</v>
      </c>
    </row>
    <row r="1519" customFormat="false" ht="15" hidden="false" customHeight="false" outlineLevel="0" collapsed="false">
      <c r="B1519" s="19" t="s">
        <v>9620</v>
      </c>
      <c r="C1519" s="20" t="n">
        <f aca="false">ROUND(10.4/FX,2)</f>
        <v>1.44</v>
      </c>
      <c r="D1519" s="21" t="s">
        <v>6549</v>
      </c>
      <c r="E1519" s="21" t="s">
        <v>8055</v>
      </c>
      <c r="F1519" s="21" t="s">
        <v>8169</v>
      </c>
      <c r="G1519" s="21" t="s">
        <v>8114</v>
      </c>
    </row>
    <row r="1520" customFormat="false" ht="15" hidden="false" customHeight="false" outlineLevel="0" collapsed="false">
      <c r="B1520" s="19" t="s">
        <v>9621</v>
      </c>
      <c r="C1520" s="20" t="n">
        <f aca="false">ROUND(10.4/FX,2)</f>
        <v>1.44</v>
      </c>
      <c r="D1520" s="21" t="s">
        <v>6549</v>
      </c>
      <c r="E1520" s="21" t="s">
        <v>8055</v>
      </c>
      <c r="F1520" s="21" t="s">
        <v>8169</v>
      </c>
      <c r="G1520" s="21" t="s">
        <v>7866</v>
      </c>
    </row>
    <row r="1521" customFormat="false" ht="15" hidden="false" customHeight="false" outlineLevel="0" collapsed="false">
      <c r="B1521" s="19" t="s">
        <v>9622</v>
      </c>
      <c r="C1521" s="20" t="n">
        <f aca="false">ROUND(10.4/FX,2)</f>
        <v>1.44</v>
      </c>
      <c r="D1521" s="21" t="s">
        <v>6549</v>
      </c>
      <c r="E1521" s="21" t="s">
        <v>8055</v>
      </c>
      <c r="F1521" s="21" t="s">
        <v>8169</v>
      </c>
      <c r="G1521" s="21" t="s">
        <v>8396</v>
      </c>
    </row>
    <row r="1522" customFormat="false" ht="15" hidden="false" customHeight="false" outlineLevel="0" collapsed="false">
      <c r="B1522" s="19" t="s">
        <v>9623</v>
      </c>
      <c r="C1522" s="20" t="n">
        <f aca="false">ROUND(10.4/FX,2)</f>
        <v>1.44</v>
      </c>
      <c r="D1522" s="21" t="s">
        <v>6549</v>
      </c>
      <c r="E1522" s="21" t="s">
        <v>8055</v>
      </c>
      <c r="F1522" s="21" t="s">
        <v>8169</v>
      </c>
      <c r="G1522" s="21" t="s">
        <v>8117</v>
      </c>
    </row>
    <row r="1523" customFormat="false" ht="15" hidden="false" customHeight="false" outlineLevel="0" collapsed="false">
      <c r="B1523" s="19" t="s">
        <v>9624</v>
      </c>
      <c r="C1523" s="20" t="n">
        <f aca="false">ROUND(10.4/FX,2)</f>
        <v>1.44</v>
      </c>
      <c r="D1523" s="21" t="s">
        <v>6549</v>
      </c>
      <c r="E1523" s="21" t="s">
        <v>8055</v>
      </c>
      <c r="F1523" s="21" t="s">
        <v>8169</v>
      </c>
      <c r="G1523" s="21" t="s">
        <v>8681</v>
      </c>
    </row>
    <row r="1524" customFormat="false" ht="15" hidden="false" customHeight="false" outlineLevel="0" collapsed="false">
      <c r="B1524" s="19" t="s">
        <v>9625</v>
      </c>
      <c r="C1524" s="20" t="n">
        <f aca="false">ROUND(10.4/FX,2)</f>
        <v>1.44</v>
      </c>
      <c r="D1524" s="21" t="s">
        <v>6549</v>
      </c>
      <c r="E1524" s="21" t="s">
        <v>8055</v>
      </c>
      <c r="F1524" s="21" t="s">
        <v>8169</v>
      </c>
      <c r="G1524" s="21" t="s">
        <v>8683</v>
      </c>
    </row>
    <row r="1525" customFormat="false" ht="15" hidden="false" customHeight="false" outlineLevel="0" collapsed="false">
      <c r="B1525" s="19" t="s">
        <v>9626</v>
      </c>
      <c r="C1525" s="20" t="n">
        <f aca="false">ROUND(10.4/FX,2)</f>
        <v>1.44</v>
      </c>
      <c r="D1525" s="21" t="s">
        <v>6549</v>
      </c>
      <c r="E1525" s="21" t="s">
        <v>8055</v>
      </c>
      <c r="F1525" s="21" t="s">
        <v>8169</v>
      </c>
      <c r="G1525" s="21" t="s">
        <v>8685</v>
      </c>
    </row>
    <row r="1526" customFormat="false" ht="15" hidden="false" customHeight="false" outlineLevel="0" collapsed="false">
      <c r="B1526" s="19" t="s">
        <v>9627</v>
      </c>
      <c r="C1526" s="20" t="n">
        <f aca="false">ROUND(10.4/FX,2)</f>
        <v>1.44</v>
      </c>
      <c r="D1526" s="21" t="s">
        <v>6549</v>
      </c>
      <c r="E1526" s="21" t="s">
        <v>8055</v>
      </c>
      <c r="F1526" s="21" t="s">
        <v>8169</v>
      </c>
      <c r="G1526" s="21" t="s">
        <v>8687</v>
      </c>
    </row>
    <row r="1527" customFormat="false" ht="15" hidden="false" customHeight="false" outlineLevel="0" collapsed="false">
      <c r="B1527" s="19" t="s">
        <v>9628</v>
      </c>
      <c r="C1527" s="20" t="n">
        <f aca="false">ROUND(10.4/FX,2)</f>
        <v>1.44</v>
      </c>
      <c r="D1527" s="21" t="s">
        <v>6549</v>
      </c>
      <c r="E1527" s="21" t="s">
        <v>8055</v>
      </c>
      <c r="F1527" s="21" t="s">
        <v>8169</v>
      </c>
      <c r="G1527" s="21" t="s">
        <v>8962</v>
      </c>
    </row>
    <row r="1528" customFormat="false" ht="15" hidden="false" customHeight="false" outlineLevel="0" collapsed="false">
      <c r="B1528" s="19" t="s">
        <v>9629</v>
      </c>
      <c r="C1528" s="20" t="n">
        <f aca="false">ROUND(10.4/FX,2)</f>
        <v>1.44</v>
      </c>
      <c r="D1528" s="21" t="s">
        <v>6549</v>
      </c>
      <c r="E1528" s="21" t="s">
        <v>8055</v>
      </c>
      <c r="F1528" s="21" t="s">
        <v>8169</v>
      </c>
      <c r="G1528" s="21" t="s">
        <v>8792</v>
      </c>
    </row>
    <row r="1529" customFormat="false" ht="15" hidden="false" customHeight="false" outlineLevel="0" collapsed="false">
      <c r="B1529" s="19" t="s">
        <v>9630</v>
      </c>
      <c r="C1529" s="20" t="n">
        <f aca="false">ROUND(10.4/FX,2)</f>
        <v>1.44</v>
      </c>
      <c r="D1529" s="21" t="s">
        <v>6549</v>
      </c>
      <c r="E1529" s="21" t="s">
        <v>8055</v>
      </c>
      <c r="F1529" s="21" t="s">
        <v>8169</v>
      </c>
      <c r="G1529" s="21" t="s">
        <v>8965</v>
      </c>
    </row>
    <row r="1530" customFormat="false" ht="15" hidden="false" customHeight="false" outlineLevel="0" collapsed="false">
      <c r="B1530" s="19" t="s">
        <v>9631</v>
      </c>
      <c r="C1530" s="20" t="n">
        <f aca="false">ROUND(10.4/FX,2)</f>
        <v>1.44</v>
      </c>
      <c r="D1530" s="21" t="s">
        <v>6549</v>
      </c>
      <c r="E1530" s="21" t="s">
        <v>8055</v>
      </c>
      <c r="F1530" s="21" t="s">
        <v>8169</v>
      </c>
      <c r="G1530" s="21" t="s">
        <v>8794</v>
      </c>
    </row>
    <row r="1531" customFormat="false" ht="15" hidden="false" customHeight="false" outlineLevel="0" collapsed="false">
      <c r="B1531" s="19" t="s">
        <v>9632</v>
      </c>
      <c r="C1531" s="20" t="n">
        <f aca="false">ROUND(10.4/FX,2)</f>
        <v>1.44</v>
      </c>
      <c r="D1531" s="21" t="s">
        <v>6549</v>
      </c>
      <c r="E1531" s="21" t="s">
        <v>8055</v>
      </c>
      <c r="F1531" s="21" t="s">
        <v>8169</v>
      </c>
      <c r="G1531" s="21" t="s">
        <v>7977</v>
      </c>
    </row>
    <row r="1532" customFormat="false" ht="15" hidden="false" customHeight="false" outlineLevel="0" collapsed="false">
      <c r="B1532" s="19" t="s">
        <v>9633</v>
      </c>
      <c r="C1532" s="20" t="n">
        <f aca="false">ROUND(10.4/FX,2)</f>
        <v>1.44</v>
      </c>
      <c r="D1532" s="21" t="s">
        <v>6549</v>
      </c>
      <c r="E1532" s="21" t="s">
        <v>8055</v>
      </c>
      <c r="F1532" s="21" t="s">
        <v>8169</v>
      </c>
      <c r="G1532" s="21" t="s">
        <v>8401</v>
      </c>
    </row>
    <row r="1533" customFormat="false" ht="15" hidden="false" customHeight="false" outlineLevel="0" collapsed="false">
      <c r="B1533" s="19" t="s">
        <v>9634</v>
      </c>
      <c r="C1533" s="20" t="n">
        <f aca="false">ROUND(10.4/FX,2)</f>
        <v>1.44</v>
      </c>
      <c r="D1533" s="21" t="s">
        <v>6549</v>
      </c>
      <c r="E1533" s="21" t="s">
        <v>8055</v>
      </c>
      <c r="F1533" s="21" t="s">
        <v>8169</v>
      </c>
      <c r="G1533" s="21" t="s">
        <v>8691</v>
      </c>
    </row>
    <row r="1534" customFormat="false" ht="15" hidden="false" customHeight="false" outlineLevel="0" collapsed="false">
      <c r="B1534" s="19" t="s">
        <v>9635</v>
      </c>
      <c r="C1534" s="20" t="n">
        <f aca="false">ROUND(10.4/FX,2)</f>
        <v>1.44</v>
      </c>
      <c r="D1534" s="21" t="s">
        <v>6549</v>
      </c>
      <c r="E1534" s="21" t="s">
        <v>8055</v>
      </c>
      <c r="F1534" s="21" t="s">
        <v>8169</v>
      </c>
      <c r="G1534" s="21" t="s">
        <v>8022</v>
      </c>
    </row>
    <row r="1535" customFormat="false" ht="15" hidden="false" customHeight="false" outlineLevel="0" collapsed="false">
      <c r="B1535" s="19" t="s">
        <v>9636</v>
      </c>
      <c r="C1535" s="20" t="n">
        <f aca="false">ROUND(10.4/FX,2)</f>
        <v>1.44</v>
      </c>
      <c r="D1535" s="21" t="s">
        <v>6549</v>
      </c>
      <c r="E1535" s="21" t="s">
        <v>8055</v>
      </c>
      <c r="F1535" s="21" t="s">
        <v>8169</v>
      </c>
      <c r="G1535" s="21" t="s">
        <v>8694</v>
      </c>
    </row>
    <row r="1536" customFormat="false" ht="15" hidden="false" customHeight="false" outlineLevel="0" collapsed="false">
      <c r="B1536" s="19" t="s">
        <v>9637</v>
      </c>
      <c r="C1536" s="20" t="n">
        <f aca="false">ROUND(10.4/FX,2)</f>
        <v>1.44</v>
      </c>
      <c r="D1536" s="21" t="s">
        <v>6549</v>
      </c>
      <c r="E1536" s="21" t="s">
        <v>8055</v>
      </c>
      <c r="F1536" s="21" t="s">
        <v>8169</v>
      </c>
      <c r="G1536" s="21" t="s">
        <v>8973</v>
      </c>
    </row>
    <row r="1537" customFormat="false" ht="15" hidden="false" customHeight="false" outlineLevel="0" collapsed="false">
      <c r="B1537" s="19" t="s">
        <v>9638</v>
      </c>
      <c r="C1537" s="20" t="n">
        <f aca="false">ROUND(10.4/FX,2)</f>
        <v>1.44</v>
      </c>
      <c r="D1537" s="21" t="s">
        <v>6549</v>
      </c>
      <c r="E1537" s="21" t="s">
        <v>8055</v>
      </c>
      <c r="F1537" s="21" t="s">
        <v>8169</v>
      </c>
      <c r="G1537" s="21" t="s">
        <v>8119</v>
      </c>
    </row>
    <row r="1538" customFormat="false" ht="15" hidden="false" customHeight="false" outlineLevel="0" collapsed="false">
      <c r="B1538" s="19" t="s">
        <v>9639</v>
      </c>
      <c r="C1538" s="20" t="n">
        <f aca="false">ROUND(10.4/FX,2)</f>
        <v>1.44</v>
      </c>
      <c r="D1538" s="21" t="s">
        <v>6549</v>
      </c>
      <c r="E1538" s="21" t="s">
        <v>8055</v>
      </c>
      <c r="F1538" s="21" t="s">
        <v>8169</v>
      </c>
      <c r="G1538" s="21" t="s">
        <v>8976</v>
      </c>
    </row>
    <row r="1539" customFormat="false" ht="15" hidden="false" customHeight="false" outlineLevel="0" collapsed="false">
      <c r="B1539" s="19" t="s">
        <v>9640</v>
      </c>
      <c r="C1539" s="20" t="n">
        <f aca="false">ROUND(10.4/FX,2)</f>
        <v>1.44</v>
      </c>
      <c r="D1539" s="21" t="s">
        <v>6549</v>
      </c>
      <c r="E1539" s="21" t="s">
        <v>8055</v>
      </c>
      <c r="F1539" s="21" t="s">
        <v>8169</v>
      </c>
      <c r="G1539" s="21" t="s">
        <v>8978</v>
      </c>
    </row>
    <row r="1540" customFormat="false" ht="15" hidden="false" customHeight="false" outlineLevel="0" collapsed="false">
      <c r="B1540" s="19" t="s">
        <v>9641</v>
      </c>
      <c r="C1540" s="20" t="n">
        <f aca="false">ROUND(10.4/FX,2)</f>
        <v>1.44</v>
      </c>
      <c r="D1540" s="21" t="s">
        <v>6549</v>
      </c>
      <c r="E1540" s="21" t="s">
        <v>8055</v>
      </c>
      <c r="F1540" s="21" t="s">
        <v>8169</v>
      </c>
      <c r="G1540" s="21" t="s">
        <v>8409</v>
      </c>
    </row>
    <row r="1541" customFormat="false" ht="15" hidden="false" customHeight="false" outlineLevel="0" collapsed="false">
      <c r="B1541" s="19" t="s">
        <v>9642</v>
      </c>
      <c r="C1541" s="20" t="n">
        <f aca="false">ROUND(10.4/FX,2)</f>
        <v>1.44</v>
      </c>
      <c r="D1541" s="21" t="s">
        <v>6549</v>
      </c>
      <c r="E1541" s="21" t="s">
        <v>8055</v>
      </c>
      <c r="F1541" s="21" t="s">
        <v>8169</v>
      </c>
      <c r="G1541" s="21" t="s">
        <v>8697</v>
      </c>
    </row>
    <row r="1542" customFormat="false" ht="15" hidden="false" customHeight="false" outlineLevel="0" collapsed="false">
      <c r="B1542" s="19" t="s">
        <v>9643</v>
      </c>
      <c r="C1542" s="20" t="n">
        <f aca="false">ROUND(16.25/FX,2)</f>
        <v>2.26</v>
      </c>
      <c r="D1542" s="21" t="s">
        <v>6549</v>
      </c>
      <c r="E1542" s="21" t="s">
        <v>8982</v>
      </c>
      <c r="F1542" s="21" t="s">
        <v>8169</v>
      </c>
      <c r="G1542" s="21" t="s">
        <v>7985</v>
      </c>
    </row>
    <row r="1543" customFormat="false" ht="15" hidden="false" customHeight="false" outlineLevel="0" collapsed="false">
      <c r="B1543" s="19" t="s">
        <v>9644</v>
      </c>
      <c r="C1543" s="20" t="n">
        <f aca="false">ROUND(19.5/FX,2)</f>
        <v>2.71</v>
      </c>
      <c r="D1543" s="21" t="s">
        <v>6549</v>
      </c>
      <c r="E1543" s="21" t="s">
        <v>8984</v>
      </c>
      <c r="F1543" s="21" t="s">
        <v>8169</v>
      </c>
      <c r="G1543" s="21" t="s">
        <v>7875</v>
      </c>
    </row>
    <row r="1544" customFormat="false" ht="15" hidden="false" customHeight="false" outlineLevel="0" collapsed="false">
      <c r="B1544" s="19" t="s">
        <v>9645</v>
      </c>
      <c r="C1544" s="20" t="n">
        <f aca="false">ROUND(13/FX,2)</f>
        <v>1.81</v>
      </c>
      <c r="D1544" s="21" t="s">
        <v>6549</v>
      </c>
      <c r="E1544" s="21" t="s">
        <v>8984</v>
      </c>
      <c r="F1544" s="21" t="s">
        <v>8169</v>
      </c>
      <c r="G1544" s="21" t="s">
        <v>8987</v>
      </c>
    </row>
    <row r="1545" customFormat="false" ht="15" hidden="false" customHeight="false" outlineLevel="0" collapsed="false">
      <c r="B1545" s="19" t="s">
        <v>9646</v>
      </c>
      <c r="C1545" s="20" t="n">
        <f aca="false">ROUND(19.5/FX,2)</f>
        <v>2.71</v>
      </c>
      <c r="D1545" s="21" t="s">
        <v>6549</v>
      </c>
      <c r="E1545" s="21" t="s">
        <v>8984</v>
      </c>
      <c r="F1545" s="21" t="s">
        <v>8169</v>
      </c>
      <c r="G1545" s="21" t="s">
        <v>8989</v>
      </c>
    </row>
    <row r="1546" customFormat="false" ht="15" hidden="false" customHeight="false" outlineLevel="0" collapsed="false">
      <c r="B1546" s="19" t="s">
        <v>9647</v>
      </c>
      <c r="C1546" s="20" t="n">
        <f aca="false">ROUND(16.25/FX,2)</f>
        <v>2.26</v>
      </c>
      <c r="D1546" s="21" t="s">
        <v>6549</v>
      </c>
      <c r="E1546" s="21" t="s">
        <v>9648</v>
      </c>
      <c r="F1546" s="21" t="s">
        <v>8169</v>
      </c>
      <c r="G1546" s="21" t="s">
        <v>7866</v>
      </c>
    </row>
    <row r="1547" customFormat="false" ht="15" hidden="false" customHeight="false" outlineLevel="0" collapsed="false">
      <c r="B1547" s="19" t="s">
        <v>9649</v>
      </c>
      <c r="C1547" s="20" t="n">
        <f aca="false">ROUND(19.5/FX,2)</f>
        <v>2.71</v>
      </c>
      <c r="D1547" s="21" t="s">
        <v>6549</v>
      </c>
      <c r="E1547" s="21" t="s">
        <v>9650</v>
      </c>
      <c r="F1547" s="21" t="s">
        <v>8169</v>
      </c>
      <c r="G1547" s="21" t="s">
        <v>7866</v>
      </c>
    </row>
    <row r="1548" customFormat="false" ht="15" hidden="false" customHeight="false" outlineLevel="0" collapsed="false">
      <c r="B1548" s="19" t="s">
        <v>9651</v>
      </c>
      <c r="C1548" s="20" t="n">
        <f aca="false">ROUND(14.95/FX,2)</f>
        <v>2.08</v>
      </c>
      <c r="D1548" s="21" t="s">
        <v>6549</v>
      </c>
      <c r="E1548" s="21" t="s">
        <v>8124</v>
      </c>
      <c r="F1548" s="21" t="s">
        <v>8169</v>
      </c>
      <c r="G1548" s="21" t="s">
        <v>7875</v>
      </c>
    </row>
    <row r="1549" customFormat="false" ht="15" hidden="false" customHeight="false" outlineLevel="0" collapsed="false">
      <c r="B1549" s="19" t="s">
        <v>9652</v>
      </c>
      <c r="C1549" s="20" t="n">
        <f aca="false">ROUND(14.95/FX,2)</f>
        <v>2.08</v>
      </c>
      <c r="D1549" s="21" t="s">
        <v>6549</v>
      </c>
      <c r="E1549" s="21" t="s">
        <v>8124</v>
      </c>
      <c r="F1549" s="21" t="s">
        <v>8169</v>
      </c>
      <c r="G1549" s="21" t="s">
        <v>7999</v>
      </c>
    </row>
    <row r="1550" customFormat="false" ht="15" hidden="false" customHeight="false" outlineLevel="0" collapsed="false">
      <c r="B1550" s="19" t="s">
        <v>9653</v>
      </c>
      <c r="C1550" s="20" t="n">
        <f aca="false">ROUND(14.95/FX,2)</f>
        <v>2.08</v>
      </c>
      <c r="D1550" s="21" t="s">
        <v>6549</v>
      </c>
      <c r="E1550" s="21" t="s">
        <v>8124</v>
      </c>
      <c r="F1550" s="21" t="s">
        <v>8169</v>
      </c>
      <c r="G1550" s="21" t="s">
        <v>8060</v>
      </c>
    </row>
    <row r="1551" customFormat="false" ht="15" hidden="false" customHeight="false" outlineLevel="0" collapsed="false">
      <c r="B1551" s="19" t="s">
        <v>9654</v>
      </c>
      <c r="C1551" s="20" t="n">
        <f aca="false">ROUND(14.95/FX,2)</f>
        <v>2.08</v>
      </c>
      <c r="D1551" s="21" t="s">
        <v>6549</v>
      </c>
      <c r="E1551" s="21" t="s">
        <v>8124</v>
      </c>
      <c r="F1551" s="21" t="s">
        <v>8169</v>
      </c>
      <c r="G1551" s="21" t="s">
        <v>8804</v>
      </c>
    </row>
    <row r="1552" customFormat="false" ht="15" hidden="false" customHeight="false" outlineLevel="0" collapsed="false">
      <c r="B1552" s="19" t="s">
        <v>9655</v>
      </c>
      <c r="C1552" s="20" t="n">
        <f aca="false">ROUND(14.95/FX,2)</f>
        <v>2.08</v>
      </c>
      <c r="D1552" s="21" t="s">
        <v>6549</v>
      </c>
      <c r="E1552" s="21" t="s">
        <v>8124</v>
      </c>
      <c r="F1552" s="21" t="s">
        <v>8169</v>
      </c>
      <c r="G1552" s="21" t="s">
        <v>8152</v>
      </c>
    </row>
    <row r="1553" customFormat="false" ht="15" hidden="false" customHeight="false" outlineLevel="0" collapsed="false">
      <c r="B1553" s="19" t="s">
        <v>9656</v>
      </c>
      <c r="C1553" s="20" t="n">
        <f aca="false">ROUND(14.95/FX,2)</f>
        <v>2.08</v>
      </c>
      <c r="D1553" s="21" t="s">
        <v>6549</v>
      </c>
      <c r="E1553" s="21" t="s">
        <v>8124</v>
      </c>
      <c r="F1553" s="21" t="s">
        <v>8169</v>
      </c>
      <c r="G1553" s="21" t="s">
        <v>8987</v>
      </c>
    </row>
    <row r="1554" customFormat="false" ht="15" hidden="false" customHeight="false" outlineLevel="0" collapsed="false">
      <c r="B1554" s="19" t="s">
        <v>9657</v>
      </c>
      <c r="C1554" s="20" t="n">
        <f aca="false">ROUND(14.95/FX,2)</f>
        <v>2.08</v>
      </c>
      <c r="D1554" s="21" t="s">
        <v>6549</v>
      </c>
      <c r="E1554" s="21" t="s">
        <v>8124</v>
      </c>
      <c r="F1554" s="21" t="s">
        <v>8169</v>
      </c>
      <c r="G1554" s="21" t="s">
        <v>9003</v>
      </c>
    </row>
    <row r="1555" customFormat="false" ht="15" hidden="false" customHeight="false" outlineLevel="0" collapsed="false">
      <c r="B1555" s="19" t="s">
        <v>9658</v>
      </c>
      <c r="C1555" s="20" t="n">
        <f aca="false">ROUND(14.95/FX,2)</f>
        <v>2.08</v>
      </c>
      <c r="D1555" s="21" t="s">
        <v>6549</v>
      </c>
      <c r="E1555" s="21" t="s">
        <v>8124</v>
      </c>
      <c r="F1555" s="21" t="s">
        <v>8169</v>
      </c>
      <c r="G1555" s="21" t="s">
        <v>9005</v>
      </c>
    </row>
    <row r="1556" customFormat="false" ht="15" hidden="false" customHeight="false" outlineLevel="0" collapsed="false">
      <c r="B1556" s="19" t="s">
        <v>9659</v>
      </c>
      <c r="C1556" s="20" t="n">
        <f aca="false">ROUND(14.95/FX,2)</f>
        <v>2.08</v>
      </c>
      <c r="D1556" s="21" t="s">
        <v>6549</v>
      </c>
      <c r="E1556" s="21" t="s">
        <v>8124</v>
      </c>
      <c r="F1556" s="21" t="s">
        <v>8169</v>
      </c>
      <c r="G1556" s="21" t="s">
        <v>7985</v>
      </c>
    </row>
    <row r="1557" customFormat="false" ht="15" hidden="false" customHeight="false" outlineLevel="0" collapsed="false">
      <c r="B1557" s="19" t="s">
        <v>9660</v>
      </c>
      <c r="C1557" s="20" t="n">
        <f aca="false">ROUND(14.95/FX,2)</f>
        <v>2.08</v>
      </c>
      <c r="D1557" s="21" t="s">
        <v>6549</v>
      </c>
      <c r="E1557" s="21" t="s">
        <v>8124</v>
      </c>
      <c r="F1557" s="21" t="s">
        <v>8169</v>
      </c>
      <c r="G1557" s="21" t="s">
        <v>8077</v>
      </c>
    </row>
    <row r="1558" customFormat="false" ht="15" hidden="false" customHeight="false" outlineLevel="0" collapsed="false">
      <c r="B1558" s="19" t="s">
        <v>9661</v>
      </c>
      <c r="C1558" s="20" t="n">
        <f aca="false">ROUND(14.95/FX,2)</f>
        <v>2.08</v>
      </c>
      <c r="D1558" s="21" t="s">
        <v>6549</v>
      </c>
      <c r="E1558" s="21" t="s">
        <v>8124</v>
      </c>
      <c r="F1558" s="21" t="s">
        <v>8169</v>
      </c>
      <c r="G1558" s="21" t="s">
        <v>8079</v>
      </c>
    </row>
    <row r="1559" customFormat="false" ht="15" hidden="false" customHeight="false" outlineLevel="0" collapsed="false">
      <c r="B1559" s="19" t="s">
        <v>9662</v>
      </c>
      <c r="C1559" s="20" t="n">
        <f aca="false">ROUND(14.95/FX,2)</f>
        <v>2.08</v>
      </c>
      <c r="D1559" s="21" t="s">
        <v>6549</v>
      </c>
      <c r="E1559" s="21" t="s">
        <v>8124</v>
      </c>
      <c r="F1559" s="21" t="s">
        <v>8169</v>
      </c>
      <c r="G1559" s="21" t="s">
        <v>8081</v>
      </c>
    </row>
    <row r="1560" customFormat="false" ht="15" hidden="false" customHeight="false" outlineLevel="0" collapsed="false">
      <c r="B1560" s="19" t="s">
        <v>9663</v>
      </c>
      <c r="C1560" s="20" t="n">
        <f aca="false">ROUND(14.95/FX,2)</f>
        <v>2.08</v>
      </c>
      <c r="D1560" s="21" t="s">
        <v>6549</v>
      </c>
      <c r="E1560" s="21" t="s">
        <v>8124</v>
      </c>
      <c r="F1560" s="21" t="s">
        <v>8169</v>
      </c>
      <c r="G1560" s="21" t="s">
        <v>9134</v>
      </c>
    </row>
    <row r="1561" customFormat="false" ht="15" hidden="false" customHeight="false" outlineLevel="0" collapsed="false">
      <c r="B1561" s="19" t="s">
        <v>9664</v>
      </c>
      <c r="C1561" s="20" t="n">
        <f aca="false">ROUND(14.95/FX,2)</f>
        <v>2.08</v>
      </c>
      <c r="D1561" s="21" t="s">
        <v>6549</v>
      </c>
      <c r="E1561" s="21" t="s">
        <v>8124</v>
      </c>
      <c r="F1561" s="21" t="s">
        <v>8169</v>
      </c>
      <c r="G1561" s="21" t="s">
        <v>8994</v>
      </c>
    </row>
    <row r="1562" customFormat="false" ht="15" hidden="false" customHeight="false" outlineLevel="0" collapsed="false">
      <c r="B1562" s="19" t="s">
        <v>9665</v>
      </c>
      <c r="C1562" s="20" t="n">
        <f aca="false">ROUND(14.95/FX,2)</f>
        <v>2.08</v>
      </c>
      <c r="D1562" s="21" t="s">
        <v>6549</v>
      </c>
      <c r="E1562" s="21" t="s">
        <v>8124</v>
      </c>
      <c r="F1562" s="21" t="s">
        <v>8169</v>
      </c>
      <c r="G1562" s="21" t="s">
        <v>8154</v>
      </c>
    </row>
    <row r="1563" customFormat="false" ht="15" hidden="false" customHeight="false" outlineLevel="0" collapsed="false">
      <c r="B1563" s="19" t="s">
        <v>9666</v>
      </c>
      <c r="C1563" s="20" t="n">
        <f aca="false">ROUND(14.95/FX,2)</f>
        <v>2.08</v>
      </c>
      <c r="D1563" s="21" t="s">
        <v>6549</v>
      </c>
      <c r="E1563" s="21" t="s">
        <v>8124</v>
      </c>
      <c r="F1563" s="21" t="s">
        <v>8169</v>
      </c>
      <c r="G1563" s="21" t="s">
        <v>9013</v>
      </c>
    </row>
    <row r="1564" customFormat="false" ht="15" hidden="false" customHeight="false" outlineLevel="0" collapsed="false">
      <c r="B1564" s="19" t="s">
        <v>9667</v>
      </c>
      <c r="C1564" s="20" t="n">
        <f aca="false">ROUND(14.95/FX,2)</f>
        <v>2.08</v>
      </c>
      <c r="D1564" s="21" t="s">
        <v>6549</v>
      </c>
      <c r="E1564" s="21" t="s">
        <v>8124</v>
      </c>
      <c r="F1564" s="21" t="s">
        <v>8169</v>
      </c>
      <c r="G1564" s="21" t="s">
        <v>8085</v>
      </c>
    </row>
    <row r="1565" customFormat="false" ht="15" hidden="false" customHeight="false" outlineLevel="0" collapsed="false">
      <c r="B1565" s="19" t="s">
        <v>9668</v>
      </c>
      <c r="C1565" s="20" t="n">
        <f aca="false">ROUND(14.95/FX,2)</f>
        <v>2.08</v>
      </c>
      <c r="D1565" s="21" t="s">
        <v>6549</v>
      </c>
      <c r="E1565" s="21" t="s">
        <v>8124</v>
      </c>
      <c r="F1565" s="21" t="s">
        <v>8169</v>
      </c>
      <c r="G1565" s="21" t="s">
        <v>8087</v>
      </c>
    </row>
    <row r="1566" customFormat="false" ht="15" hidden="false" customHeight="false" outlineLevel="0" collapsed="false">
      <c r="B1566" s="19" t="s">
        <v>9669</v>
      </c>
      <c r="C1566" s="20" t="n">
        <f aca="false">ROUND(14.95/FX,2)</f>
        <v>2.08</v>
      </c>
      <c r="D1566" s="21" t="s">
        <v>6549</v>
      </c>
      <c r="E1566" s="21" t="s">
        <v>8124</v>
      </c>
      <c r="F1566" s="21" t="s">
        <v>8169</v>
      </c>
      <c r="G1566" s="21" t="s">
        <v>8089</v>
      </c>
    </row>
    <row r="1567" customFormat="false" ht="15" hidden="false" customHeight="false" outlineLevel="0" collapsed="false">
      <c r="B1567" s="19" t="s">
        <v>9670</v>
      </c>
      <c r="C1567" s="20" t="n">
        <f aca="false">ROUND(14.95/FX,2)</f>
        <v>2.08</v>
      </c>
      <c r="D1567" s="21" t="s">
        <v>6549</v>
      </c>
      <c r="E1567" s="21" t="s">
        <v>8124</v>
      </c>
      <c r="F1567" s="21" t="s">
        <v>8169</v>
      </c>
      <c r="G1567" s="21" t="s">
        <v>9018</v>
      </c>
    </row>
    <row r="1568" customFormat="false" ht="15" hidden="false" customHeight="false" outlineLevel="0" collapsed="false">
      <c r="B1568" s="19" t="s">
        <v>9671</v>
      </c>
      <c r="C1568" s="20" t="n">
        <f aca="false">ROUND(14.95/FX,2)</f>
        <v>2.08</v>
      </c>
      <c r="D1568" s="21" t="s">
        <v>6549</v>
      </c>
      <c r="E1568" s="21" t="s">
        <v>8124</v>
      </c>
      <c r="F1568" s="21" t="s">
        <v>8169</v>
      </c>
      <c r="G1568" s="21" t="s">
        <v>9020</v>
      </c>
    </row>
    <row r="1569" customFormat="false" ht="15" hidden="false" customHeight="false" outlineLevel="0" collapsed="false">
      <c r="B1569" s="19" t="s">
        <v>9672</v>
      </c>
      <c r="C1569" s="20" t="n">
        <f aca="false">ROUND(14.95/FX,2)</f>
        <v>2.08</v>
      </c>
      <c r="D1569" s="21" t="s">
        <v>6549</v>
      </c>
      <c r="E1569" s="21" t="s">
        <v>8124</v>
      </c>
      <c r="F1569" s="21" t="s">
        <v>8169</v>
      </c>
      <c r="G1569" s="21" t="s">
        <v>9022</v>
      </c>
    </row>
    <row r="1570" customFormat="false" ht="15" hidden="false" customHeight="false" outlineLevel="0" collapsed="false">
      <c r="B1570" s="19" t="s">
        <v>9673</v>
      </c>
      <c r="C1570" s="20" t="n">
        <f aca="false">ROUND(14.95/FX,2)</f>
        <v>2.08</v>
      </c>
      <c r="D1570" s="21" t="s">
        <v>6549</v>
      </c>
      <c r="E1570" s="21" t="s">
        <v>8124</v>
      </c>
      <c r="F1570" s="21" t="s">
        <v>8169</v>
      </c>
      <c r="G1570" s="21" t="s">
        <v>8045</v>
      </c>
    </row>
    <row r="1571" customFormat="false" ht="15" hidden="false" customHeight="false" outlineLevel="0" collapsed="false">
      <c r="B1571" s="19" t="s">
        <v>9674</v>
      </c>
      <c r="C1571" s="20" t="n">
        <f aca="false">ROUND(14.95/FX,2)</f>
        <v>2.08</v>
      </c>
      <c r="D1571" s="21" t="s">
        <v>6549</v>
      </c>
      <c r="E1571" s="21" t="s">
        <v>8124</v>
      </c>
      <c r="F1571" s="21" t="s">
        <v>8169</v>
      </c>
      <c r="G1571" s="21" t="s">
        <v>8840</v>
      </c>
    </row>
    <row r="1572" customFormat="false" ht="15" hidden="false" customHeight="false" outlineLevel="0" collapsed="false">
      <c r="B1572" s="19" t="s">
        <v>9675</v>
      </c>
      <c r="C1572" s="20" t="n">
        <f aca="false">ROUND(14.95/FX,2)</f>
        <v>2.08</v>
      </c>
      <c r="D1572" s="21" t="s">
        <v>6549</v>
      </c>
      <c r="E1572" s="21" t="s">
        <v>8124</v>
      </c>
      <c r="F1572" s="21" t="s">
        <v>8169</v>
      </c>
      <c r="G1572" s="21" t="s">
        <v>9026</v>
      </c>
    </row>
    <row r="1573" customFormat="false" ht="15" hidden="false" customHeight="false" outlineLevel="0" collapsed="false">
      <c r="B1573" s="19" t="s">
        <v>9676</v>
      </c>
      <c r="C1573" s="20" t="n">
        <f aca="false">ROUND(14.95/FX,2)</f>
        <v>2.08</v>
      </c>
      <c r="D1573" s="21" t="s">
        <v>6549</v>
      </c>
      <c r="E1573" s="21" t="s">
        <v>8124</v>
      </c>
      <c r="F1573" s="21" t="s">
        <v>8169</v>
      </c>
      <c r="G1573" s="21" t="s">
        <v>9028</v>
      </c>
    </row>
    <row r="1574" customFormat="false" ht="15" hidden="false" customHeight="false" outlineLevel="0" collapsed="false">
      <c r="B1574" s="19" t="s">
        <v>9677</v>
      </c>
      <c r="C1574" s="20" t="n">
        <f aca="false">ROUND(14.95/FX,2)</f>
        <v>2.08</v>
      </c>
      <c r="D1574" s="21" t="s">
        <v>6549</v>
      </c>
      <c r="E1574" s="21" t="s">
        <v>8124</v>
      </c>
      <c r="F1574" s="21" t="s">
        <v>8169</v>
      </c>
      <c r="G1574" s="21" t="s">
        <v>9030</v>
      </c>
    </row>
    <row r="1575" customFormat="false" ht="15" hidden="false" customHeight="false" outlineLevel="0" collapsed="false">
      <c r="B1575" s="19" t="s">
        <v>9678</v>
      </c>
      <c r="C1575" s="20" t="n">
        <f aca="false">ROUND(14.95/FX,2)</f>
        <v>2.08</v>
      </c>
      <c r="D1575" s="21" t="s">
        <v>6549</v>
      </c>
      <c r="E1575" s="21" t="s">
        <v>8124</v>
      </c>
      <c r="F1575" s="21" t="s">
        <v>8169</v>
      </c>
      <c r="G1575" s="21" t="s">
        <v>8047</v>
      </c>
    </row>
    <row r="1576" customFormat="false" ht="15" hidden="false" customHeight="false" outlineLevel="0" collapsed="false">
      <c r="B1576" s="19" t="s">
        <v>9679</v>
      </c>
      <c r="C1576" s="20" t="n">
        <f aca="false">ROUND(14.95/FX,2)</f>
        <v>2.08</v>
      </c>
      <c r="D1576" s="21" t="s">
        <v>6549</v>
      </c>
      <c r="E1576" s="21" t="s">
        <v>8124</v>
      </c>
      <c r="F1576" s="21" t="s">
        <v>8169</v>
      </c>
      <c r="G1576" s="21" t="s">
        <v>8126</v>
      </c>
    </row>
    <row r="1577" customFormat="false" ht="15" hidden="false" customHeight="false" outlineLevel="0" collapsed="false">
      <c r="B1577" s="19" t="s">
        <v>9680</v>
      </c>
      <c r="C1577" s="20" t="n">
        <f aca="false">ROUND(14.95/FX,2)</f>
        <v>2.08</v>
      </c>
      <c r="D1577" s="21" t="s">
        <v>6549</v>
      </c>
      <c r="E1577" s="21" t="s">
        <v>8124</v>
      </c>
      <c r="F1577" s="21" t="s">
        <v>8169</v>
      </c>
      <c r="G1577" s="21" t="s">
        <v>9034</v>
      </c>
    </row>
    <row r="1578" customFormat="false" ht="15" hidden="false" customHeight="false" outlineLevel="0" collapsed="false">
      <c r="B1578" s="19" t="s">
        <v>9681</v>
      </c>
      <c r="C1578" s="20" t="n">
        <f aca="false">ROUND(14.95/FX,2)</f>
        <v>2.08</v>
      </c>
      <c r="D1578" s="21" t="s">
        <v>6549</v>
      </c>
      <c r="E1578" s="21" t="s">
        <v>8124</v>
      </c>
      <c r="F1578" s="21" t="s">
        <v>8169</v>
      </c>
      <c r="G1578" s="21" t="s">
        <v>9036</v>
      </c>
    </row>
    <row r="1579" customFormat="false" ht="15" hidden="false" customHeight="false" outlineLevel="0" collapsed="false">
      <c r="B1579" s="19" t="s">
        <v>9682</v>
      </c>
      <c r="C1579" s="20" t="n">
        <f aca="false">ROUND(14.95/FX,2)</f>
        <v>2.08</v>
      </c>
      <c r="D1579" s="21" t="s">
        <v>6549</v>
      </c>
      <c r="E1579" s="21" t="s">
        <v>8124</v>
      </c>
      <c r="F1579" s="21" t="s">
        <v>8169</v>
      </c>
      <c r="G1579" s="21" t="s">
        <v>9169</v>
      </c>
    </row>
    <row r="1580" customFormat="false" ht="15" hidden="false" customHeight="false" outlineLevel="0" collapsed="false">
      <c r="B1580" s="19" t="s">
        <v>9683</v>
      </c>
      <c r="C1580" s="20" t="n">
        <f aca="false">ROUND(14.95/FX,2)</f>
        <v>2.08</v>
      </c>
      <c r="D1580" s="21" t="s">
        <v>6549</v>
      </c>
      <c r="E1580" s="21" t="s">
        <v>8124</v>
      </c>
      <c r="F1580" s="21" t="s">
        <v>8169</v>
      </c>
      <c r="G1580" s="21" t="s">
        <v>8989</v>
      </c>
    </row>
    <row r="1581" customFormat="false" ht="15" hidden="false" customHeight="false" outlineLevel="0" collapsed="false">
      <c r="B1581" s="19" t="s">
        <v>9684</v>
      </c>
      <c r="C1581" s="20" t="n">
        <f aca="false">ROUND(14.95/FX,2)</f>
        <v>2.08</v>
      </c>
      <c r="D1581" s="21" t="s">
        <v>6549</v>
      </c>
      <c r="E1581" s="21" t="s">
        <v>8124</v>
      </c>
      <c r="F1581" s="21" t="s">
        <v>8169</v>
      </c>
      <c r="G1581" s="21" t="s">
        <v>8143</v>
      </c>
    </row>
    <row r="1582" customFormat="false" ht="15" hidden="false" customHeight="false" outlineLevel="0" collapsed="false">
      <c r="B1582" s="19" t="s">
        <v>9685</v>
      </c>
      <c r="C1582" s="20" t="n">
        <f aca="false">ROUND(14.95/FX,2)</f>
        <v>2.08</v>
      </c>
      <c r="D1582" s="21" t="s">
        <v>6549</v>
      </c>
      <c r="E1582" s="21" t="s">
        <v>8124</v>
      </c>
      <c r="F1582" s="21" t="s">
        <v>8169</v>
      </c>
      <c r="G1582" s="21" t="s">
        <v>9040</v>
      </c>
    </row>
    <row r="1583" customFormat="false" ht="15" hidden="false" customHeight="false" outlineLevel="0" collapsed="false">
      <c r="B1583" s="19" t="s">
        <v>9686</v>
      </c>
      <c r="C1583" s="20" t="n">
        <f aca="false">ROUND(14.95/FX,2)</f>
        <v>2.08</v>
      </c>
      <c r="D1583" s="21" t="s">
        <v>6549</v>
      </c>
      <c r="E1583" s="21" t="s">
        <v>8124</v>
      </c>
      <c r="F1583" s="21" t="s">
        <v>8169</v>
      </c>
      <c r="G1583" s="21" t="s">
        <v>8145</v>
      </c>
    </row>
    <row r="1584" customFormat="false" ht="15" hidden="false" customHeight="false" outlineLevel="0" collapsed="false">
      <c r="B1584" s="19" t="s">
        <v>9687</v>
      </c>
      <c r="C1584" s="20" t="n">
        <f aca="false">ROUND(14.95/FX,2)</f>
        <v>2.08</v>
      </c>
      <c r="D1584" s="21" t="s">
        <v>6549</v>
      </c>
      <c r="E1584" s="21" t="s">
        <v>8124</v>
      </c>
      <c r="F1584" s="21" t="s">
        <v>8169</v>
      </c>
      <c r="G1584" s="21" t="s">
        <v>9043</v>
      </c>
    </row>
    <row r="1585" customFormat="false" ht="15" hidden="false" customHeight="false" outlineLevel="0" collapsed="false">
      <c r="B1585" s="19" t="s">
        <v>9688</v>
      </c>
      <c r="C1585" s="20" t="n">
        <f aca="false">ROUND(14.95/FX,2)</f>
        <v>2.08</v>
      </c>
      <c r="D1585" s="21" t="s">
        <v>6549</v>
      </c>
      <c r="E1585" s="21" t="s">
        <v>8124</v>
      </c>
      <c r="F1585" s="21" t="s">
        <v>8169</v>
      </c>
      <c r="G1585" s="21" t="s">
        <v>9045</v>
      </c>
    </row>
    <row r="1586" customFormat="false" ht="15" hidden="false" customHeight="false" outlineLevel="0" collapsed="false">
      <c r="B1586" s="19" t="s">
        <v>9689</v>
      </c>
      <c r="C1586" s="20" t="n">
        <f aca="false">ROUND(14.95/FX,2)</f>
        <v>2.08</v>
      </c>
      <c r="D1586" s="21" t="s">
        <v>6549</v>
      </c>
      <c r="E1586" s="21" t="s">
        <v>8124</v>
      </c>
      <c r="F1586" s="21" t="s">
        <v>8169</v>
      </c>
      <c r="G1586" s="21" t="s">
        <v>7899</v>
      </c>
    </row>
    <row r="1587" customFormat="false" ht="15" hidden="false" customHeight="false" outlineLevel="0" collapsed="false">
      <c r="B1587" s="19" t="s">
        <v>9690</v>
      </c>
      <c r="C1587" s="20" t="n">
        <f aca="false">ROUND(14.95/FX,2)</f>
        <v>2.08</v>
      </c>
      <c r="D1587" s="21" t="s">
        <v>6549</v>
      </c>
      <c r="E1587" s="21" t="s">
        <v>8124</v>
      </c>
      <c r="F1587" s="21" t="s">
        <v>8169</v>
      </c>
      <c r="G1587" s="21" t="s">
        <v>7994</v>
      </c>
    </row>
    <row r="1588" customFormat="false" ht="15" hidden="false" customHeight="false" outlineLevel="0" collapsed="false">
      <c r="B1588" s="19" t="s">
        <v>9691</v>
      </c>
      <c r="C1588" s="20" t="n">
        <f aca="false">ROUND(14.95/FX,2)</f>
        <v>2.08</v>
      </c>
      <c r="D1588" s="21" t="s">
        <v>6549</v>
      </c>
      <c r="E1588" s="21" t="s">
        <v>8124</v>
      </c>
      <c r="F1588" s="21" t="s">
        <v>8169</v>
      </c>
      <c r="G1588" s="21" t="s">
        <v>8017</v>
      </c>
    </row>
    <row r="1589" customFormat="false" ht="15" hidden="false" customHeight="false" outlineLevel="0" collapsed="false">
      <c r="B1589" s="19" t="s">
        <v>9692</v>
      </c>
      <c r="C1589" s="20" t="n">
        <f aca="false">ROUND(14.95/FX,2)</f>
        <v>2.08</v>
      </c>
      <c r="D1589" s="21" t="s">
        <v>6549</v>
      </c>
      <c r="E1589" s="21" t="s">
        <v>8124</v>
      </c>
      <c r="F1589" s="21" t="s">
        <v>8169</v>
      </c>
      <c r="G1589" s="21" t="s">
        <v>8112</v>
      </c>
    </row>
    <row r="1590" customFormat="false" ht="15" hidden="false" customHeight="false" outlineLevel="0" collapsed="false">
      <c r="B1590" s="19" t="s">
        <v>9693</v>
      </c>
      <c r="C1590" s="20" t="n">
        <f aca="false">ROUND(14.95/FX,2)</f>
        <v>2.08</v>
      </c>
      <c r="D1590" s="21" t="s">
        <v>6549</v>
      </c>
      <c r="E1590" s="21" t="s">
        <v>8124</v>
      </c>
      <c r="F1590" s="21" t="s">
        <v>8169</v>
      </c>
      <c r="G1590" s="21" t="s">
        <v>8114</v>
      </c>
    </row>
    <row r="1591" customFormat="false" ht="15" hidden="false" customHeight="false" outlineLevel="0" collapsed="false">
      <c r="B1591" s="19" t="s">
        <v>9694</v>
      </c>
      <c r="C1591" s="20" t="n">
        <f aca="false">ROUND(14.95/FX,2)</f>
        <v>2.08</v>
      </c>
      <c r="D1591" s="21" t="s">
        <v>6549</v>
      </c>
      <c r="E1591" s="21" t="s">
        <v>8124</v>
      </c>
      <c r="F1591" s="21" t="s">
        <v>8169</v>
      </c>
      <c r="G1591" s="21" t="s">
        <v>9052</v>
      </c>
    </row>
    <row r="1592" customFormat="false" ht="15" hidden="false" customHeight="false" outlineLevel="0" collapsed="false">
      <c r="B1592" s="19" t="s">
        <v>9695</v>
      </c>
      <c r="C1592" s="20" t="n">
        <f aca="false">ROUND(14.95/FX,2)</f>
        <v>2.08</v>
      </c>
      <c r="D1592" s="21" t="s">
        <v>6549</v>
      </c>
      <c r="E1592" s="21" t="s">
        <v>8124</v>
      </c>
      <c r="F1592" s="21" t="s">
        <v>8169</v>
      </c>
      <c r="G1592" s="21" t="s">
        <v>8148</v>
      </c>
    </row>
    <row r="1593" customFormat="false" ht="15" hidden="false" customHeight="false" outlineLevel="0" collapsed="false">
      <c r="B1593" s="19" t="s">
        <v>9696</v>
      </c>
      <c r="C1593" s="20" t="n">
        <f aca="false">ROUND(14.95/FX,2)</f>
        <v>2.08</v>
      </c>
      <c r="D1593" s="21" t="s">
        <v>6549</v>
      </c>
      <c r="E1593" s="21" t="s">
        <v>8124</v>
      </c>
      <c r="F1593" s="21" t="s">
        <v>8169</v>
      </c>
      <c r="G1593" s="21" t="s">
        <v>9055</v>
      </c>
    </row>
    <row r="1594" customFormat="false" ht="15" hidden="false" customHeight="false" outlineLevel="0" collapsed="false">
      <c r="B1594" s="19" t="s">
        <v>9697</v>
      </c>
      <c r="C1594" s="20" t="n">
        <f aca="false">ROUND(14.95/FX,2)</f>
        <v>2.08</v>
      </c>
      <c r="D1594" s="21" t="s">
        <v>6549</v>
      </c>
      <c r="E1594" s="21" t="s">
        <v>8124</v>
      </c>
      <c r="F1594" s="21" t="s">
        <v>8169</v>
      </c>
      <c r="G1594" s="21" t="s">
        <v>7866</v>
      </c>
    </row>
    <row r="1595" customFormat="false" ht="15" hidden="false" customHeight="false" outlineLevel="0" collapsed="false">
      <c r="B1595" s="19" t="s">
        <v>9698</v>
      </c>
      <c r="C1595" s="20" t="n">
        <f aca="false">ROUND(14.95/FX,2)</f>
        <v>2.08</v>
      </c>
      <c r="D1595" s="21" t="s">
        <v>6549</v>
      </c>
      <c r="E1595" s="21" t="s">
        <v>8124</v>
      </c>
      <c r="F1595" s="21" t="s">
        <v>8169</v>
      </c>
      <c r="G1595" s="21" t="s">
        <v>8396</v>
      </c>
    </row>
    <row r="1596" customFormat="false" ht="15" hidden="false" customHeight="false" outlineLevel="0" collapsed="false">
      <c r="B1596" s="19" t="s">
        <v>9699</v>
      </c>
      <c r="C1596" s="20" t="n">
        <f aca="false">ROUND(14.95/FX,2)</f>
        <v>2.08</v>
      </c>
      <c r="D1596" s="21" t="s">
        <v>6549</v>
      </c>
      <c r="E1596" s="21" t="s">
        <v>8124</v>
      </c>
      <c r="F1596" s="21" t="s">
        <v>8169</v>
      </c>
      <c r="G1596" s="21" t="s">
        <v>8401</v>
      </c>
    </row>
    <row r="1597" customFormat="false" ht="15" hidden="false" customHeight="false" outlineLevel="0" collapsed="false">
      <c r="B1597" s="19" t="s">
        <v>9700</v>
      </c>
      <c r="C1597" s="20" t="n">
        <f aca="false">ROUND(14.95/FX,2)</f>
        <v>2.08</v>
      </c>
      <c r="D1597" s="21" t="s">
        <v>6549</v>
      </c>
      <c r="E1597" s="21" t="s">
        <v>8124</v>
      </c>
      <c r="F1597" s="21" t="s">
        <v>8169</v>
      </c>
      <c r="G1597" s="21" t="s">
        <v>8022</v>
      </c>
    </row>
    <row r="1598" customFormat="false" ht="15" hidden="false" customHeight="false" outlineLevel="0" collapsed="false">
      <c r="B1598" s="19" t="s">
        <v>9701</v>
      </c>
      <c r="C1598" s="20" t="n">
        <f aca="false">ROUND(14.95/FX,2)</f>
        <v>2.08</v>
      </c>
      <c r="D1598" s="21" t="s">
        <v>6549</v>
      </c>
      <c r="E1598" s="21" t="s">
        <v>8124</v>
      </c>
      <c r="F1598" s="21" t="s">
        <v>8169</v>
      </c>
      <c r="G1598" s="21" t="s">
        <v>8119</v>
      </c>
    </row>
    <row r="1599" customFormat="false" ht="15" hidden="false" customHeight="false" outlineLevel="0" collapsed="false">
      <c r="B1599" s="19" t="s">
        <v>9702</v>
      </c>
      <c r="C1599" s="20" t="n">
        <f aca="false">ROUND(14.95/FX,2)</f>
        <v>2.08</v>
      </c>
      <c r="D1599" s="21" t="s">
        <v>6549</v>
      </c>
      <c r="E1599" s="21" t="s">
        <v>8124</v>
      </c>
      <c r="F1599" s="21" t="s">
        <v>8169</v>
      </c>
      <c r="G1599" s="21" t="s">
        <v>8976</v>
      </c>
    </row>
    <row r="1600" customFormat="false" ht="15" hidden="false" customHeight="false" outlineLevel="0" collapsed="false">
      <c r="B1600" s="19" t="s">
        <v>9703</v>
      </c>
      <c r="C1600" s="20" t="n">
        <f aca="false">ROUND(14.95/FX,2)</f>
        <v>2.08</v>
      </c>
      <c r="D1600" s="21" t="s">
        <v>6549</v>
      </c>
      <c r="E1600" s="21" t="s">
        <v>8124</v>
      </c>
      <c r="F1600" s="21" t="s">
        <v>8169</v>
      </c>
      <c r="G1600" s="21" t="s">
        <v>8978</v>
      </c>
    </row>
    <row r="1601" customFormat="false" ht="15" hidden="false" customHeight="false" outlineLevel="0" collapsed="false">
      <c r="B1601" s="19" t="s">
        <v>9704</v>
      </c>
      <c r="C1601" s="20" t="n">
        <f aca="false">ROUND(14.95/FX,2)</f>
        <v>2.08</v>
      </c>
      <c r="D1601" s="21" t="s">
        <v>6549</v>
      </c>
      <c r="E1601" s="21" t="s">
        <v>8124</v>
      </c>
      <c r="F1601" s="21" t="s">
        <v>8169</v>
      </c>
      <c r="G1601" s="21" t="s">
        <v>9064</v>
      </c>
    </row>
    <row r="1602" customFormat="false" ht="15" hidden="false" customHeight="false" outlineLevel="0" collapsed="false">
      <c r="B1602" s="19" t="s">
        <v>9705</v>
      </c>
      <c r="C1602" s="20" t="n">
        <f aca="false">ROUND(14.95/FX,2)</f>
        <v>2.08</v>
      </c>
      <c r="D1602" s="21" t="s">
        <v>6549</v>
      </c>
      <c r="E1602" s="21" t="s">
        <v>8124</v>
      </c>
      <c r="F1602" s="21" t="s">
        <v>8169</v>
      </c>
      <c r="G1602" s="21" t="s">
        <v>9066</v>
      </c>
    </row>
    <row r="1603" customFormat="false" ht="15" hidden="false" customHeight="false" outlineLevel="0" collapsed="false">
      <c r="B1603" s="19" t="s">
        <v>9706</v>
      </c>
      <c r="C1603" s="20" t="n">
        <f aca="false">ROUND(14.95/FX,2)</f>
        <v>2.08</v>
      </c>
      <c r="D1603" s="21" t="s">
        <v>6549</v>
      </c>
      <c r="E1603" s="21" t="s">
        <v>8124</v>
      </c>
      <c r="F1603" s="21" t="s">
        <v>8169</v>
      </c>
      <c r="G1603" s="21" t="s">
        <v>9068</v>
      </c>
    </row>
    <row r="1604" customFormat="false" ht="15" hidden="false" customHeight="false" outlineLevel="0" collapsed="false">
      <c r="B1604" s="19" t="s">
        <v>9707</v>
      </c>
      <c r="C1604" s="20" t="n">
        <f aca="false">ROUND(14.95/FX,2)</f>
        <v>2.08</v>
      </c>
      <c r="D1604" s="21" t="s">
        <v>6549</v>
      </c>
      <c r="E1604" s="21" t="s">
        <v>8124</v>
      </c>
      <c r="F1604" s="21" t="s">
        <v>8169</v>
      </c>
      <c r="G1604" s="21" t="s">
        <v>8409</v>
      </c>
    </row>
    <row r="1605" customFormat="false" ht="15" hidden="false" customHeight="false" outlineLevel="0" collapsed="false">
      <c r="B1605" s="19" t="s">
        <v>9708</v>
      </c>
      <c r="C1605" s="20" t="n">
        <f aca="false">ROUND(15.6/FX,2)</f>
        <v>2.17</v>
      </c>
      <c r="D1605" s="21" t="s">
        <v>6549</v>
      </c>
      <c r="E1605" s="21" t="s">
        <v>8131</v>
      </c>
      <c r="F1605" s="21" t="s">
        <v>8169</v>
      </c>
      <c r="G1605" s="21" t="s">
        <v>7985</v>
      </c>
    </row>
    <row r="1606" customFormat="false" ht="15" hidden="false" customHeight="false" outlineLevel="0" collapsed="false">
      <c r="B1606" s="19" t="s">
        <v>9709</v>
      </c>
      <c r="C1606" s="20" t="n">
        <f aca="false">ROUND(15.6/FX,2)</f>
        <v>2.17</v>
      </c>
      <c r="D1606" s="21" t="s">
        <v>6549</v>
      </c>
      <c r="E1606" s="21" t="s">
        <v>8131</v>
      </c>
      <c r="F1606" s="21" t="s">
        <v>8169</v>
      </c>
      <c r="G1606" s="21" t="s">
        <v>8077</v>
      </c>
    </row>
    <row r="1607" customFormat="false" ht="15" hidden="false" customHeight="false" outlineLevel="0" collapsed="false">
      <c r="B1607" s="19" t="s">
        <v>9710</v>
      </c>
      <c r="C1607" s="20" t="n">
        <f aca="false">ROUND(15.6/FX,2)</f>
        <v>2.17</v>
      </c>
      <c r="D1607" s="21" t="s">
        <v>6549</v>
      </c>
      <c r="E1607" s="21" t="s">
        <v>8131</v>
      </c>
      <c r="F1607" s="21" t="s">
        <v>8169</v>
      </c>
      <c r="G1607" s="21" t="s">
        <v>8079</v>
      </c>
    </row>
    <row r="1608" customFormat="false" ht="15" hidden="false" customHeight="false" outlineLevel="0" collapsed="false">
      <c r="B1608" s="19" t="s">
        <v>9711</v>
      </c>
      <c r="C1608" s="20" t="n">
        <f aca="false">ROUND(15.6/FX,2)</f>
        <v>2.17</v>
      </c>
      <c r="D1608" s="21" t="s">
        <v>6549</v>
      </c>
      <c r="E1608" s="21" t="s">
        <v>8131</v>
      </c>
      <c r="F1608" s="21" t="s">
        <v>8169</v>
      </c>
      <c r="G1608" s="21" t="s">
        <v>8081</v>
      </c>
    </row>
    <row r="1609" customFormat="false" ht="15" hidden="false" customHeight="false" outlineLevel="0" collapsed="false">
      <c r="B1609" s="19" t="s">
        <v>9712</v>
      </c>
      <c r="C1609" s="20" t="n">
        <f aca="false">ROUND(15.6/FX,2)</f>
        <v>2.17</v>
      </c>
      <c r="D1609" s="21" t="s">
        <v>6549</v>
      </c>
      <c r="E1609" s="21" t="s">
        <v>8131</v>
      </c>
      <c r="F1609" s="21" t="s">
        <v>8169</v>
      </c>
      <c r="G1609" s="21" t="s">
        <v>8994</v>
      </c>
    </row>
    <row r="1610" customFormat="false" ht="15" hidden="false" customHeight="false" outlineLevel="0" collapsed="false">
      <c r="B1610" s="19" t="s">
        <v>9713</v>
      </c>
      <c r="C1610" s="20" t="n">
        <f aca="false">ROUND(15.6/FX,2)</f>
        <v>2.17</v>
      </c>
      <c r="D1610" s="21" t="s">
        <v>6549</v>
      </c>
      <c r="E1610" s="21" t="s">
        <v>8131</v>
      </c>
      <c r="F1610" s="21" t="s">
        <v>8169</v>
      </c>
      <c r="G1610" s="21" t="s">
        <v>9013</v>
      </c>
    </row>
    <row r="1611" customFormat="false" ht="15" hidden="false" customHeight="false" outlineLevel="0" collapsed="false">
      <c r="B1611" s="19" t="s">
        <v>9714</v>
      </c>
      <c r="C1611" s="20" t="n">
        <f aca="false">ROUND(15.6/FX,2)</f>
        <v>2.17</v>
      </c>
      <c r="D1611" s="21" t="s">
        <v>6549</v>
      </c>
      <c r="E1611" s="21" t="s">
        <v>8131</v>
      </c>
      <c r="F1611" s="21" t="s">
        <v>8169</v>
      </c>
      <c r="G1611" s="21" t="s">
        <v>8085</v>
      </c>
    </row>
    <row r="1612" customFormat="false" ht="15" hidden="false" customHeight="false" outlineLevel="0" collapsed="false">
      <c r="B1612" s="19" t="s">
        <v>9715</v>
      </c>
      <c r="C1612" s="20" t="n">
        <f aca="false">ROUND(15.6/FX,2)</f>
        <v>2.17</v>
      </c>
      <c r="D1612" s="21" t="s">
        <v>6549</v>
      </c>
      <c r="E1612" s="21" t="s">
        <v>8131</v>
      </c>
      <c r="F1612" s="21" t="s">
        <v>8169</v>
      </c>
      <c r="G1612" s="21" t="s">
        <v>8087</v>
      </c>
    </row>
    <row r="1613" customFormat="false" ht="15" hidden="false" customHeight="false" outlineLevel="0" collapsed="false">
      <c r="B1613" s="19" t="s">
        <v>9716</v>
      </c>
      <c r="C1613" s="20" t="n">
        <f aca="false">ROUND(15.6/FX,2)</f>
        <v>2.17</v>
      </c>
      <c r="D1613" s="21" t="s">
        <v>6549</v>
      </c>
      <c r="E1613" s="21" t="s">
        <v>8131</v>
      </c>
      <c r="F1613" s="21" t="s">
        <v>8169</v>
      </c>
      <c r="G1613" s="21" t="s">
        <v>8089</v>
      </c>
    </row>
    <row r="1614" customFormat="false" ht="15" hidden="false" customHeight="false" outlineLevel="0" collapsed="false">
      <c r="B1614" s="19" t="s">
        <v>9717</v>
      </c>
      <c r="C1614" s="20" t="n">
        <f aca="false">ROUND(15.6/FX,2)</f>
        <v>2.17</v>
      </c>
      <c r="D1614" s="21" t="s">
        <v>6549</v>
      </c>
      <c r="E1614" s="21" t="s">
        <v>8131</v>
      </c>
      <c r="F1614" s="21" t="s">
        <v>8169</v>
      </c>
      <c r="G1614" s="21" t="s">
        <v>9018</v>
      </c>
    </row>
    <row r="1615" customFormat="false" ht="15" hidden="false" customHeight="false" outlineLevel="0" collapsed="false">
      <c r="B1615" s="19" t="s">
        <v>9718</v>
      </c>
      <c r="C1615" s="20" t="n">
        <f aca="false">ROUND(15.6/FX,2)</f>
        <v>2.17</v>
      </c>
      <c r="D1615" s="21" t="s">
        <v>6549</v>
      </c>
      <c r="E1615" s="21" t="s">
        <v>8131</v>
      </c>
      <c r="F1615" s="21" t="s">
        <v>8169</v>
      </c>
      <c r="G1615" s="21" t="s">
        <v>9022</v>
      </c>
    </row>
    <row r="1616" customFormat="false" ht="15" hidden="false" customHeight="false" outlineLevel="0" collapsed="false">
      <c r="B1616" s="19" t="s">
        <v>9719</v>
      </c>
      <c r="C1616" s="20" t="n">
        <f aca="false">ROUND(15.6/FX,2)</f>
        <v>2.17</v>
      </c>
      <c r="D1616" s="21" t="s">
        <v>6549</v>
      </c>
      <c r="E1616" s="21" t="s">
        <v>8131</v>
      </c>
      <c r="F1616" s="21" t="s">
        <v>8169</v>
      </c>
      <c r="G1616" s="21" t="s">
        <v>8045</v>
      </c>
    </row>
    <row r="1617" customFormat="false" ht="15" hidden="false" customHeight="false" outlineLevel="0" collapsed="false">
      <c r="B1617" s="19" t="s">
        <v>9720</v>
      </c>
      <c r="C1617" s="20" t="n">
        <f aca="false">ROUND(15.6/FX,2)</f>
        <v>2.17</v>
      </c>
      <c r="D1617" s="21" t="s">
        <v>6549</v>
      </c>
      <c r="E1617" s="21" t="s">
        <v>8131</v>
      </c>
      <c r="F1617" s="21" t="s">
        <v>8169</v>
      </c>
      <c r="G1617" s="21" t="s">
        <v>8840</v>
      </c>
    </row>
    <row r="1618" customFormat="false" ht="15" hidden="false" customHeight="false" outlineLevel="0" collapsed="false">
      <c r="B1618" s="19" t="s">
        <v>9721</v>
      </c>
      <c r="C1618" s="20" t="n">
        <f aca="false">ROUND(15.6/FX,2)</f>
        <v>2.17</v>
      </c>
      <c r="D1618" s="21" t="s">
        <v>6549</v>
      </c>
      <c r="E1618" s="21" t="s">
        <v>8131</v>
      </c>
      <c r="F1618" s="21" t="s">
        <v>8169</v>
      </c>
      <c r="G1618" s="21" t="s">
        <v>9026</v>
      </c>
    </row>
    <row r="1619" customFormat="false" ht="15" hidden="false" customHeight="false" outlineLevel="0" collapsed="false">
      <c r="B1619" s="19" t="s">
        <v>9722</v>
      </c>
      <c r="C1619" s="20" t="n">
        <f aca="false">ROUND(15.6/FX,2)</f>
        <v>2.17</v>
      </c>
      <c r="D1619" s="21" t="s">
        <v>6549</v>
      </c>
      <c r="E1619" s="21" t="s">
        <v>8131</v>
      </c>
      <c r="F1619" s="21" t="s">
        <v>8169</v>
      </c>
      <c r="G1619" s="21" t="s">
        <v>9030</v>
      </c>
    </row>
    <row r="1620" customFormat="false" ht="15" hidden="false" customHeight="false" outlineLevel="0" collapsed="false">
      <c r="B1620" s="19" t="s">
        <v>9723</v>
      </c>
      <c r="C1620" s="20" t="n">
        <f aca="false">ROUND(15.6/FX,2)</f>
        <v>2.17</v>
      </c>
      <c r="D1620" s="21" t="s">
        <v>6549</v>
      </c>
      <c r="E1620" s="21" t="s">
        <v>8131</v>
      </c>
      <c r="F1620" s="21" t="s">
        <v>8169</v>
      </c>
      <c r="G1620" s="21" t="s">
        <v>8047</v>
      </c>
    </row>
    <row r="1621" customFormat="false" ht="15" hidden="false" customHeight="false" outlineLevel="0" collapsed="false">
      <c r="B1621" s="19" t="s">
        <v>9724</v>
      </c>
      <c r="C1621" s="20" t="n">
        <f aca="false">ROUND(15.6/FX,2)</f>
        <v>2.17</v>
      </c>
      <c r="D1621" s="21" t="s">
        <v>6549</v>
      </c>
      <c r="E1621" s="21" t="s">
        <v>8131</v>
      </c>
      <c r="F1621" s="21" t="s">
        <v>8169</v>
      </c>
      <c r="G1621" s="21" t="s">
        <v>8126</v>
      </c>
    </row>
    <row r="1622" customFormat="false" ht="15" hidden="false" customHeight="false" outlineLevel="0" collapsed="false">
      <c r="B1622" s="19" t="s">
        <v>9725</v>
      </c>
      <c r="C1622" s="20" t="n">
        <f aca="false">ROUND(15.6/FX,2)</f>
        <v>2.17</v>
      </c>
      <c r="D1622" s="21" t="s">
        <v>6549</v>
      </c>
      <c r="E1622" s="21" t="s">
        <v>8131</v>
      </c>
      <c r="F1622" s="21" t="s">
        <v>8169</v>
      </c>
      <c r="G1622" s="21" t="s">
        <v>9034</v>
      </c>
    </row>
    <row r="1623" customFormat="false" ht="15" hidden="false" customHeight="false" outlineLevel="0" collapsed="false">
      <c r="B1623" s="19" t="s">
        <v>9726</v>
      </c>
      <c r="C1623" s="20" t="n">
        <f aca="false">ROUND(15.6/FX,2)</f>
        <v>2.17</v>
      </c>
      <c r="D1623" s="21" t="s">
        <v>6549</v>
      </c>
      <c r="E1623" s="21" t="s">
        <v>8131</v>
      </c>
      <c r="F1623" s="21" t="s">
        <v>8169</v>
      </c>
      <c r="G1623" s="21" t="s">
        <v>9036</v>
      </c>
    </row>
    <row r="1624" customFormat="false" ht="15" hidden="false" customHeight="false" outlineLevel="0" collapsed="false">
      <c r="B1624" s="19" t="s">
        <v>9727</v>
      </c>
      <c r="C1624" s="20" t="n">
        <f aca="false">ROUND(15.6/FX,2)</f>
        <v>2.17</v>
      </c>
      <c r="D1624" s="21" t="s">
        <v>6549</v>
      </c>
      <c r="E1624" s="21" t="s">
        <v>8131</v>
      </c>
      <c r="F1624" s="21" t="s">
        <v>8169</v>
      </c>
      <c r="G1624" s="21" t="s">
        <v>9090</v>
      </c>
    </row>
    <row r="1625" customFormat="false" ht="15" hidden="false" customHeight="false" outlineLevel="0" collapsed="false">
      <c r="B1625" s="19" t="s">
        <v>9728</v>
      </c>
      <c r="C1625" s="20" t="n">
        <f aca="false">ROUND(15.6/FX,2)</f>
        <v>2.17</v>
      </c>
      <c r="D1625" s="21" t="s">
        <v>6549</v>
      </c>
      <c r="E1625" s="21" t="s">
        <v>8131</v>
      </c>
      <c r="F1625" s="21" t="s">
        <v>8169</v>
      </c>
      <c r="G1625" s="21" t="s">
        <v>8989</v>
      </c>
    </row>
    <row r="1626" customFormat="false" ht="15" hidden="false" customHeight="false" outlineLevel="0" collapsed="false">
      <c r="B1626" s="19" t="s">
        <v>9729</v>
      </c>
      <c r="C1626" s="20" t="n">
        <f aca="false">ROUND(15.6/FX,2)</f>
        <v>2.17</v>
      </c>
      <c r="D1626" s="21" t="s">
        <v>6549</v>
      </c>
      <c r="E1626" s="21" t="s">
        <v>8131</v>
      </c>
      <c r="F1626" s="21" t="s">
        <v>8169</v>
      </c>
      <c r="G1626" s="21" t="s">
        <v>9040</v>
      </c>
    </row>
    <row r="1627" customFormat="false" ht="15" hidden="false" customHeight="false" outlineLevel="0" collapsed="false">
      <c r="B1627" s="19" t="s">
        <v>9730</v>
      </c>
      <c r="C1627" s="20" t="n">
        <f aca="false">ROUND(15.6/FX,2)</f>
        <v>2.17</v>
      </c>
      <c r="D1627" s="21" t="s">
        <v>6549</v>
      </c>
      <c r="E1627" s="21" t="s">
        <v>8131</v>
      </c>
      <c r="F1627" s="21" t="s">
        <v>8169</v>
      </c>
      <c r="G1627" s="21" t="s">
        <v>9045</v>
      </c>
    </row>
    <row r="1628" customFormat="false" ht="15" hidden="false" customHeight="false" outlineLevel="0" collapsed="false">
      <c r="B1628" s="19" t="s">
        <v>9731</v>
      </c>
      <c r="C1628" s="20" t="n">
        <f aca="false">ROUND(15.6/FX,2)</f>
        <v>2.17</v>
      </c>
      <c r="D1628" s="21" t="s">
        <v>6549</v>
      </c>
      <c r="E1628" s="21" t="s">
        <v>8131</v>
      </c>
      <c r="F1628" s="21" t="s">
        <v>8169</v>
      </c>
      <c r="G1628" s="21" t="s">
        <v>7994</v>
      </c>
    </row>
    <row r="1629" customFormat="false" ht="15" hidden="false" customHeight="false" outlineLevel="0" collapsed="false">
      <c r="B1629" s="19" t="s">
        <v>9732</v>
      </c>
      <c r="C1629" s="20" t="n">
        <f aca="false">ROUND(15.6/FX,2)</f>
        <v>2.17</v>
      </c>
      <c r="D1629" s="21" t="s">
        <v>6549</v>
      </c>
      <c r="E1629" s="21" t="s">
        <v>8131</v>
      </c>
      <c r="F1629" s="21" t="s">
        <v>8169</v>
      </c>
      <c r="G1629" s="21" t="s">
        <v>8017</v>
      </c>
    </row>
    <row r="1630" customFormat="false" ht="15" hidden="false" customHeight="false" outlineLevel="0" collapsed="false">
      <c r="B1630" s="19" t="s">
        <v>9733</v>
      </c>
      <c r="C1630" s="20" t="n">
        <f aca="false">ROUND(15.6/FX,2)</f>
        <v>2.17</v>
      </c>
      <c r="D1630" s="21" t="s">
        <v>6549</v>
      </c>
      <c r="E1630" s="21" t="s">
        <v>8131</v>
      </c>
      <c r="F1630" s="21" t="s">
        <v>8169</v>
      </c>
      <c r="G1630" s="21" t="s">
        <v>8112</v>
      </c>
    </row>
    <row r="1631" customFormat="false" ht="15" hidden="false" customHeight="false" outlineLevel="0" collapsed="false">
      <c r="B1631" s="19" t="s">
        <v>9734</v>
      </c>
      <c r="C1631" s="20" t="n">
        <f aca="false">ROUND(15.6/FX,2)</f>
        <v>2.17</v>
      </c>
      <c r="D1631" s="21" t="s">
        <v>6549</v>
      </c>
      <c r="E1631" s="21" t="s">
        <v>8131</v>
      </c>
      <c r="F1631" s="21" t="s">
        <v>8169</v>
      </c>
      <c r="G1631" s="21" t="s">
        <v>8114</v>
      </c>
    </row>
    <row r="1632" customFormat="false" ht="15" hidden="false" customHeight="false" outlineLevel="0" collapsed="false">
      <c r="B1632" s="19" t="s">
        <v>9735</v>
      </c>
      <c r="C1632" s="20" t="n">
        <f aca="false">ROUND(15.6/FX,2)</f>
        <v>2.17</v>
      </c>
      <c r="D1632" s="21" t="s">
        <v>6549</v>
      </c>
      <c r="E1632" s="21" t="s">
        <v>8131</v>
      </c>
      <c r="F1632" s="21" t="s">
        <v>8169</v>
      </c>
      <c r="G1632" s="21" t="s">
        <v>9052</v>
      </c>
    </row>
    <row r="1633" customFormat="false" ht="15" hidden="false" customHeight="false" outlineLevel="0" collapsed="false">
      <c r="B1633" s="19" t="s">
        <v>9736</v>
      </c>
      <c r="C1633" s="20" t="n">
        <f aca="false">ROUND(15.6/FX,2)</f>
        <v>2.17</v>
      </c>
      <c r="D1633" s="21" t="s">
        <v>6549</v>
      </c>
      <c r="E1633" s="21" t="s">
        <v>8131</v>
      </c>
      <c r="F1633" s="21" t="s">
        <v>8169</v>
      </c>
      <c r="G1633" s="21" t="s">
        <v>9055</v>
      </c>
    </row>
    <row r="1634" customFormat="false" ht="15" hidden="false" customHeight="false" outlineLevel="0" collapsed="false">
      <c r="B1634" s="19" t="s">
        <v>9737</v>
      </c>
      <c r="C1634" s="20" t="n">
        <f aca="false">ROUND(15.6/FX,2)</f>
        <v>2.17</v>
      </c>
      <c r="D1634" s="21" t="s">
        <v>6549</v>
      </c>
      <c r="E1634" s="21" t="s">
        <v>8131</v>
      </c>
      <c r="F1634" s="21" t="s">
        <v>8169</v>
      </c>
      <c r="G1634" s="21" t="s">
        <v>7866</v>
      </c>
    </row>
    <row r="1635" customFormat="false" ht="15" hidden="false" customHeight="false" outlineLevel="0" collapsed="false">
      <c r="B1635" s="19" t="s">
        <v>9738</v>
      </c>
      <c r="C1635" s="20" t="n">
        <f aca="false">ROUND(16.25/FX,2)</f>
        <v>2.26</v>
      </c>
      <c r="D1635" s="21" t="s">
        <v>6549</v>
      </c>
      <c r="E1635" s="21" t="s">
        <v>9739</v>
      </c>
      <c r="F1635" s="21" t="s">
        <v>8169</v>
      </c>
      <c r="G1635" s="21" t="s">
        <v>7875</v>
      </c>
    </row>
    <row r="1636" customFormat="false" ht="15" hidden="false" customHeight="false" outlineLevel="0" collapsed="false">
      <c r="B1636" s="19" t="s">
        <v>9740</v>
      </c>
      <c r="C1636" s="20" t="n">
        <f aca="false">ROUND(16.25/FX,2)</f>
        <v>2.26</v>
      </c>
      <c r="D1636" s="21" t="s">
        <v>6549</v>
      </c>
      <c r="E1636" s="21" t="s">
        <v>9739</v>
      </c>
      <c r="F1636" s="21" t="s">
        <v>8169</v>
      </c>
      <c r="G1636" s="21" t="s">
        <v>7999</v>
      </c>
    </row>
    <row r="1637" customFormat="false" ht="15" hidden="false" customHeight="false" outlineLevel="0" collapsed="false">
      <c r="B1637" s="19" t="s">
        <v>9741</v>
      </c>
      <c r="C1637" s="20" t="n">
        <f aca="false">ROUND(16.25/FX,2)</f>
        <v>2.26</v>
      </c>
      <c r="D1637" s="21" t="s">
        <v>6549</v>
      </c>
      <c r="E1637" s="21" t="s">
        <v>9739</v>
      </c>
      <c r="F1637" s="21" t="s">
        <v>8169</v>
      </c>
      <c r="G1637" s="21" t="s">
        <v>8058</v>
      </c>
    </row>
    <row r="1638" customFormat="false" ht="15" hidden="false" customHeight="false" outlineLevel="0" collapsed="false">
      <c r="B1638" s="19" t="s">
        <v>9742</v>
      </c>
      <c r="C1638" s="20" t="n">
        <f aca="false">ROUND(16.25/FX,2)</f>
        <v>2.26</v>
      </c>
      <c r="D1638" s="21" t="s">
        <v>6549</v>
      </c>
      <c r="E1638" s="21" t="s">
        <v>9739</v>
      </c>
      <c r="F1638" s="21" t="s">
        <v>8169</v>
      </c>
      <c r="G1638" s="21" t="s">
        <v>8060</v>
      </c>
    </row>
    <row r="1639" customFormat="false" ht="15" hidden="false" customHeight="false" outlineLevel="0" collapsed="false">
      <c r="B1639" s="19" t="s">
        <v>9743</v>
      </c>
      <c r="C1639" s="20" t="n">
        <f aca="false">ROUND(16.25/FX,2)</f>
        <v>2.26</v>
      </c>
      <c r="D1639" s="21" t="s">
        <v>6549</v>
      </c>
      <c r="E1639" s="21" t="s">
        <v>9739</v>
      </c>
      <c r="F1639" s="21" t="s">
        <v>8169</v>
      </c>
      <c r="G1639" s="21" t="s">
        <v>8804</v>
      </c>
    </row>
    <row r="1640" customFormat="false" ht="15" hidden="false" customHeight="false" outlineLevel="0" collapsed="false">
      <c r="B1640" s="19" t="s">
        <v>9744</v>
      </c>
      <c r="C1640" s="20" t="n">
        <f aca="false">ROUND(16.25/FX,2)</f>
        <v>2.26</v>
      </c>
      <c r="D1640" s="21" t="s">
        <v>6549</v>
      </c>
      <c r="E1640" s="21" t="s">
        <v>9739</v>
      </c>
      <c r="F1640" s="21" t="s">
        <v>8169</v>
      </c>
      <c r="G1640" s="21" t="s">
        <v>8152</v>
      </c>
    </row>
    <row r="1641" customFormat="false" ht="15" hidden="false" customHeight="false" outlineLevel="0" collapsed="false">
      <c r="B1641" s="19" t="s">
        <v>9745</v>
      </c>
      <c r="C1641" s="20" t="n">
        <f aca="false">ROUND(16.25/FX,2)</f>
        <v>2.26</v>
      </c>
      <c r="D1641" s="21" t="s">
        <v>6549</v>
      </c>
      <c r="E1641" s="21" t="s">
        <v>9739</v>
      </c>
      <c r="F1641" s="21" t="s">
        <v>8169</v>
      </c>
      <c r="G1641" s="21" t="s">
        <v>9109</v>
      </c>
    </row>
    <row r="1642" customFormat="false" ht="15" hidden="false" customHeight="false" outlineLevel="0" collapsed="false">
      <c r="B1642" s="19" t="s">
        <v>9746</v>
      </c>
      <c r="C1642" s="20" t="n">
        <f aca="false">ROUND(16.25/FX,2)</f>
        <v>2.26</v>
      </c>
      <c r="D1642" s="21" t="s">
        <v>6549</v>
      </c>
      <c r="E1642" s="21" t="s">
        <v>9739</v>
      </c>
      <c r="F1642" s="21" t="s">
        <v>8169</v>
      </c>
      <c r="G1642" s="21" t="s">
        <v>9111</v>
      </c>
    </row>
    <row r="1643" customFormat="false" ht="15" hidden="false" customHeight="false" outlineLevel="0" collapsed="false">
      <c r="B1643" s="19" t="s">
        <v>9747</v>
      </c>
      <c r="C1643" s="20" t="n">
        <f aca="false">ROUND(16.25/FX,2)</f>
        <v>2.26</v>
      </c>
      <c r="D1643" s="21" t="s">
        <v>6549</v>
      </c>
      <c r="E1643" s="21" t="s">
        <v>9739</v>
      </c>
      <c r="F1643" s="21" t="s">
        <v>8169</v>
      </c>
      <c r="G1643" s="21" t="s">
        <v>8987</v>
      </c>
    </row>
    <row r="1644" customFormat="false" ht="15" hidden="false" customHeight="false" outlineLevel="0" collapsed="false">
      <c r="B1644" s="19" t="s">
        <v>9748</v>
      </c>
      <c r="C1644" s="20" t="n">
        <f aca="false">ROUND(16.25/FX,2)</f>
        <v>2.26</v>
      </c>
      <c r="D1644" s="21" t="s">
        <v>6549</v>
      </c>
      <c r="E1644" s="21" t="s">
        <v>9739</v>
      </c>
      <c r="F1644" s="21" t="s">
        <v>8169</v>
      </c>
      <c r="G1644" s="21" t="s">
        <v>9003</v>
      </c>
    </row>
    <row r="1645" customFormat="false" ht="15" hidden="false" customHeight="false" outlineLevel="0" collapsed="false">
      <c r="B1645" s="19" t="s">
        <v>9749</v>
      </c>
      <c r="C1645" s="20" t="n">
        <f aca="false">ROUND(16.25/FX,2)</f>
        <v>2.26</v>
      </c>
      <c r="D1645" s="21" t="s">
        <v>6549</v>
      </c>
      <c r="E1645" s="21" t="s">
        <v>9739</v>
      </c>
      <c r="F1645" s="21" t="s">
        <v>8169</v>
      </c>
      <c r="G1645" s="21" t="s">
        <v>8068</v>
      </c>
    </row>
    <row r="1646" customFormat="false" ht="15" hidden="false" customHeight="false" outlineLevel="0" collapsed="false">
      <c r="B1646" s="19" t="s">
        <v>9750</v>
      </c>
      <c r="C1646" s="20" t="n">
        <f aca="false">ROUND(16.25/FX,2)</f>
        <v>2.26</v>
      </c>
      <c r="D1646" s="21" t="s">
        <v>6549</v>
      </c>
      <c r="E1646" s="21" t="s">
        <v>9739</v>
      </c>
      <c r="F1646" s="21" t="s">
        <v>8169</v>
      </c>
      <c r="G1646" s="21" t="s">
        <v>8070</v>
      </c>
    </row>
    <row r="1647" customFormat="false" ht="15" hidden="false" customHeight="false" outlineLevel="0" collapsed="false">
      <c r="B1647" s="19" t="s">
        <v>9751</v>
      </c>
      <c r="C1647" s="20" t="n">
        <f aca="false">ROUND(16.25/FX,2)</f>
        <v>2.26</v>
      </c>
      <c r="D1647" s="21" t="s">
        <v>6549</v>
      </c>
      <c r="E1647" s="21" t="s">
        <v>9739</v>
      </c>
      <c r="F1647" s="21" t="s">
        <v>8169</v>
      </c>
      <c r="G1647" s="21" t="s">
        <v>8072</v>
      </c>
    </row>
    <row r="1648" customFormat="false" ht="15" hidden="false" customHeight="false" outlineLevel="0" collapsed="false">
      <c r="B1648" s="19" t="s">
        <v>9752</v>
      </c>
      <c r="C1648" s="20" t="n">
        <f aca="false">ROUND(16.25/FX,2)</f>
        <v>2.26</v>
      </c>
      <c r="D1648" s="21" t="s">
        <v>6549</v>
      </c>
      <c r="E1648" s="21" t="s">
        <v>9739</v>
      </c>
      <c r="F1648" s="21" t="s">
        <v>8169</v>
      </c>
      <c r="G1648" s="21" t="s">
        <v>8723</v>
      </c>
    </row>
    <row r="1649" customFormat="false" ht="15" hidden="false" customHeight="false" outlineLevel="0" collapsed="false">
      <c r="B1649" s="19" t="s">
        <v>9753</v>
      </c>
      <c r="C1649" s="20" t="n">
        <f aca="false">ROUND(16.25/FX,2)</f>
        <v>2.26</v>
      </c>
      <c r="D1649" s="21" t="s">
        <v>6549</v>
      </c>
      <c r="E1649" s="21" t="s">
        <v>9739</v>
      </c>
      <c r="F1649" s="21" t="s">
        <v>8169</v>
      </c>
      <c r="G1649" s="21" t="s">
        <v>9119</v>
      </c>
    </row>
    <row r="1650" customFormat="false" ht="15" hidden="false" customHeight="false" outlineLevel="0" collapsed="false">
      <c r="B1650" s="19" t="s">
        <v>9754</v>
      </c>
      <c r="C1650" s="20" t="n">
        <f aca="false">ROUND(16.25/FX,2)</f>
        <v>2.26</v>
      </c>
      <c r="D1650" s="21" t="s">
        <v>6549</v>
      </c>
      <c r="E1650" s="21" t="s">
        <v>9739</v>
      </c>
      <c r="F1650" s="21" t="s">
        <v>8169</v>
      </c>
      <c r="G1650" s="21" t="s">
        <v>9121</v>
      </c>
    </row>
    <row r="1651" customFormat="false" ht="15" hidden="false" customHeight="false" outlineLevel="0" collapsed="false">
      <c r="B1651" s="19" t="s">
        <v>9755</v>
      </c>
      <c r="C1651" s="20" t="n">
        <f aca="false">ROUND(16.25/FX,2)</f>
        <v>2.26</v>
      </c>
      <c r="D1651" s="21" t="s">
        <v>6549</v>
      </c>
      <c r="E1651" s="21" t="s">
        <v>9739</v>
      </c>
      <c r="F1651" s="21" t="s">
        <v>8169</v>
      </c>
      <c r="G1651" s="21" t="s">
        <v>9123</v>
      </c>
    </row>
    <row r="1652" customFormat="false" ht="15" hidden="false" customHeight="false" outlineLevel="0" collapsed="false">
      <c r="B1652" s="19" t="s">
        <v>9756</v>
      </c>
      <c r="C1652" s="20" t="n">
        <f aca="false">ROUND(16.25/FX,2)</f>
        <v>2.26</v>
      </c>
      <c r="D1652" s="21" t="s">
        <v>6549</v>
      </c>
      <c r="E1652" s="21" t="s">
        <v>9739</v>
      </c>
      <c r="F1652" s="21" t="s">
        <v>8169</v>
      </c>
      <c r="G1652" s="21" t="s">
        <v>9125</v>
      </c>
    </row>
    <row r="1653" customFormat="false" ht="15" hidden="false" customHeight="false" outlineLevel="0" collapsed="false">
      <c r="B1653" s="19" t="s">
        <v>9757</v>
      </c>
      <c r="C1653" s="20" t="n">
        <f aca="false">ROUND(16.25/FX,2)</f>
        <v>2.26</v>
      </c>
      <c r="D1653" s="21" t="s">
        <v>6549</v>
      </c>
      <c r="E1653" s="21" t="s">
        <v>9739</v>
      </c>
      <c r="F1653" s="21" t="s">
        <v>8169</v>
      </c>
      <c r="G1653" s="21" t="s">
        <v>7985</v>
      </c>
    </row>
    <row r="1654" customFormat="false" ht="15" hidden="false" customHeight="false" outlineLevel="0" collapsed="false">
      <c r="B1654" s="19" t="s">
        <v>9758</v>
      </c>
      <c r="C1654" s="20" t="n">
        <f aca="false">ROUND(16.25/FX,2)</f>
        <v>2.26</v>
      </c>
      <c r="D1654" s="21" t="s">
        <v>6549</v>
      </c>
      <c r="E1654" s="21" t="s">
        <v>9739</v>
      </c>
      <c r="F1654" s="21" t="s">
        <v>8169</v>
      </c>
      <c r="G1654" s="21" t="s">
        <v>8075</v>
      </c>
    </row>
    <row r="1655" customFormat="false" ht="15" hidden="false" customHeight="false" outlineLevel="0" collapsed="false">
      <c r="B1655" s="19" t="s">
        <v>9759</v>
      </c>
      <c r="C1655" s="20" t="n">
        <f aca="false">ROUND(16.25/FX,2)</f>
        <v>2.26</v>
      </c>
      <c r="D1655" s="21" t="s">
        <v>6549</v>
      </c>
      <c r="E1655" s="21" t="s">
        <v>9739</v>
      </c>
      <c r="F1655" s="21" t="s">
        <v>8169</v>
      </c>
      <c r="G1655" s="21" t="s">
        <v>8077</v>
      </c>
    </row>
    <row r="1656" customFormat="false" ht="15" hidden="false" customHeight="false" outlineLevel="0" collapsed="false">
      <c r="B1656" s="19" t="s">
        <v>9760</v>
      </c>
      <c r="C1656" s="20" t="n">
        <f aca="false">ROUND(16.25/FX,2)</f>
        <v>2.26</v>
      </c>
      <c r="D1656" s="21" t="s">
        <v>6549</v>
      </c>
      <c r="E1656" s="21" t="s">
        <v>9739</v>
      </c>
      <c r="F1656" s="21" t="s">
        <v>8169</v>
      </c>
      <c r="G1656" s="21" t="s">
        <v>8079</v>
      </c>
    </row>
    <row r="1657" customFormat="false" ht="15" hidden="false" customHeight="false" outlineLevel="0" collapsed="false">
      <c r="B1657" s="19" t="s">
        <v>9761</v>
      </c>
      <c r="C1657" s="20" t="n">
        <f aca="false">ROUND(16.25/FX,2)</f>
        <v>2.26</v>
      </c>
      <c r="D1657" s="21" t="s">
        <v>6549</v>
      </c>
      <c r="E1657" s="21" t="s">
        <v>9739</v>
      </c>
      <c r="F1657" s="21" t="s">
        <v>8169</v>
      </c>
      <c r="G1657" s="21" t="s">
        <v>8081</v>
      </c>
    </row>
    <row r="1658" customFormat="false" ht="15" hidden="false" customHeight="false" outlineLevel="0" collapsed="false">
      <c r="B1658" s="19" t="s">
        <v>9762</v>
      </c>
      <c r="C1658" s="20" t="n">
        <f aca="false">ROUND(16.25/FX,2)</f>
        <v>2.26</v>
      </c>
      <c r="D1658" s="21" t="s">
        <v>6549</v>
      </c>
      <c r="E1658" s="21" t="s">
        <v>9739</v>
      </c>
      <c r="F1658" s="21" t="s">
        <v>8169</v>
      </c>
      <c r="G1658" s="21" t="s">
        <v>9132</v>
      </c>
    </row>
    <row r="1659" customFormat="false" ht="15" hidden="false" customHeight="false" outlineLevel="0" collapsed="false">
      <c r="B1659" s="19" t="s">
        <v>9763</v>
      </c>
      <c r="C1659" s="20" t="n">
        <f aca="false">ROUND(16.25/FX,2)</f>
        <v>2.26</v>
      </c>
      <c r="D1659" s="21" t="s">
        <v>6549</v>
      </c>
      <c r="E1659" s="21" t="s">
        <v>9739</v>
      </c>
      <c r="F1659" s="21" t="s">
        <v>8169</v>
      </c>
      <c r="G1659" s="21" t="s">
        <v>9134</v>
      </c>
    </row>
    <row r="1660" customFormat="false" ht="15" hidden="false" customHeight="false" outlineLevel="0" collapsed="false">
      <c r="B1660" s="19" t="s">
        <v>9764</v>
      </c>
      <c r="C1660" s="20" t="n">
        <f aca="false">ROUND(16.25/FX,2)</f>
        <v>2.26</v>
      </c>
      <c r="D1660" s="21" t="s">
        <v>6549</v>
      </c>
      <c r="E1660" s="21" t="s">
        <v>9739</v>
      </c>
      <c r="F1660" s="21" t="s">
        <v>8169</v>
      </c>
      <c r="G1660" s="21" t="s">
        <v>8994</v>
      </c>
    </row>
    <row r="1661" customFormat="false" ht="15" hidden="false" customHeight="false" outlineLevel="0" collapsed="false">
      <c r="B1661" s="19" t="s">
        <v>9765</v>
      </c>
      <c r="C1661" s="20" t="n">
        <f aca="false">ROUND(16.25/FX,2)</f>
        <v>2.26</v>
      </c>
      <c r="D1661" s="21" t="s">
        <v>6549</v>
      </c>
      <c r="E1661" s="21" t="s">
        <v>9739</v>
      </c>
      <c r="F1661" s="21" t="s">
        <v>8169</v>
      </c>
      <c r="G1661" s="21" t="s">
        <v>8154</v>
      </c>
    </row>
    <row r="1662" customFormat="false" ht="15" hidden="false" customHeight="false" outlineLevel="0" collapsed="false">
      <c r="B1662" s="19" t="s">
        <v>9766</v>
      </c>
      <c r="C1662" s="20" t="n">
        <f aca="false">ROUND(16.25/FX,2)</f>
        <v>2.26</v>
      </c>
      <c r="D1662" s="21" t="s">
        <v>6549</v>
      </c>
      <c r="E1662" s="21" t="s">
        <v>9739</v>
      </c>
      <c r="F1662" s="21" t="s">
        <v>8169</v>
      </c>
      <c r="G1662" s="21" t="s">
        <v>8085</v>
      </c>
    </row>
    <row r="1663" customFormat="false" ht="15" hidden="false" customHeight="false" outlineLevel="0" collapsed="false">
      <c r="B1663" s="19" t="s">
        <v>9767</v>
      </c>
      <c r="C1663" s="20" t="n">
        <f aca="false">ROUND(16.25/FX,2)</f>
        <v>2.26</v>
      </c>
      <c r="D1663" s="21" t="s">
        <v>6549</v>
      </c>
      <c r="E1663" s="21" t="s">
        <v>9739</v>
      </c>
      <c r="F1663" s="21" t="s">
        <v>8169</v>
      </c>
      <c r="G1663" s="21" t="s">
        <v>8087</v>
      </c>
    </row>
    <row r="1664" customFormat="false" ht="15" hidden="false" customHeight="false" outlineLevel="0" collapsed="false">
      <c r="B1664" s="19" t="s">
        <v>9768</v>
      </c>
      <c r="C1664" s="20" t="n">
        <f aca="false">ROUND(16.25/FX,2)</f>
        <v>2.26</v>
      </c>
      <c r="D1664" s="21" t="s">
        <v>6549</v>
      </c>
      <c r="E1664" s="21" t="s">
        <v>9739</v>
      </c>
      <c r="F1664" s="21" t="s">
        <v>8169</v>
      </c>
      <c r="G1664" s="21" t="s">
        <v>8089</v>
      </c>
    </row>
    <row r="1665" customFormat="false" ht="15" hidden="false" customHeight="false" outlineLevel="0" collapsed="false">
      <c r="B1665" s="19" t="s">
        <v>9769</v>
      </c>
      <c r="C1665" s="20" t="n">
        <f aca="false">ROUND(16.25/FX,2)</f>
        <v>2.26</v>
      </c>
      <c r="D1665" s="21" t="s">
        <v>6549</v>
      </c>
      <c r="E1665" s="21" t="s">
        <v>9739</v>
      </c>
      <c r="F1665" s="21" t="s">
        <v>8169</v>
      </c>
      <c r="G1665" s="21" t="s">
        <v>8137</v>
      </c>
    </row>
    <row r="1666" customFormat="false" ht="15" hidden="false" customHeight="false" outlineLevel="0" collapsed="false">
      <c r="B1666" s="19" t="s">
        <v>9770</v>
      </c>
      <c r="C1666" s="20" t="n">
        <f aca="false">ROUND(16.25/FX,2)</f>
        <v>2.26</v>
      </c>
      <c r="D1666" s="21" t="s">
        <v>6549</v>
      </c>
      <c r="E1666" s="21" t="s">
        <v>9739</v>
      </c>
      <c r="F1666" s="21" t="s">
        <v>8169</v>
      </c>
      <c r="G1666" s="21" t="s">
        <v>9142</v>
      </c>
    </row>
    <row r="1667" customFormat="false" ht="15" hidden="false" customHeight="false" outlineLevel="0" collapsed="false">
      <c r="B1667" s="19" t="s">
        <v>9771</v>
      </c>
      <c r="C1667" s="20" t="n">
        <f aca="false">ROUND(16.25/FX,2)</f>
        <v>2.26</v>
      </c>
      <c r="D1667" s="21" t="s">
        <v>6549</v>
      </c>
      <c r="E1667" s="21" t="s">
        <v>9739</v>
      </c>
      <c r="F1667" s="21" t="s">
        <v>8169</v>
      </c>
      <c r="G1667" s="21" t="s">
        <v>9018</v>
      </c>
    </row>
    <row r="1668" customFormat="false" ht="15" hidden="false" customHeight="false" outlineLevel="0" collapsed="false">
      <c r="B1668" s="19" t="s">
        <v>9772</v>
      </c>
      <c r="C1668" s="20" t="n">
        <f aca="false">ROUND(16.25/FX,2)</f>
        <v>2.26</v>
      </c>
      <c r="D1668" s="21" t="s">
        <v>6549</v>
      </c>
      <c r="E1668" s="21" t="s">
        <v>9739</v>
      </c>
      <c r="F1668" s="21" t="s">
        <v>8169</v>
      </c>
      <c r="G1668" s="21" t="s">
        <v>9020</v>
      </c>
    </row>
    <row r="1669" customFormat="false" ht="15" hidden="false" customHeight="false" outlineLevel="0" collapsed="false">
      <c r="B1669" s="19" t="s">
        <v>9773</v>
      </c>
      <c r="C1669" s="20" t="n">
        <f aca="false">ROUND(16.25/FX,2)</f>
        <v>2.26</v>
      </c>
      <c r="D1669" s="21" t="s">
        <v>6549</v>
      </c>
      <c r="E1669" s="21" t="s">
        <v>9739</v>
      </c>
      <c r="F1669" s="21" t="s">
        <v>8169</v>
      </c>
      <c r="G1669" s="21" t="s">
        <v>8045</v>
      </c>
    </row>
    <row r="1670" customFormat="false" ht="15" hidden="false" customHeight="false" outlineLevel="0" collapsed="false">
      <c r="B1670" s="19" t="s">
        <v>9774</v>
      </c>
      <c r="C1670" s="20" t="n">
        <f aca="false">ROUND(16.25/FX,2)</f>
        <v>2.26</v>
      </c>
      <c r="D1670" s="21" t="s">
        <v>6549</v>
      </c>
      <c r="E1670" s="21" t="s">
        <v>9739</v>
      </c>
      <c r="F1670" s="21" t="s">
        <v>8169</v>
      </c>
      <c r="G1670" s="21" t="s">
        <v>8840</v>
      </c>
    </row>
    <row r="1671" customFormat="false" ht="15" hidden="false" customHeight="false" outlineLevel="0" collapsed="false">
      <c r="B1671" s="19" t="s">
        <v>9775</v>
      </c>
      <c r="C1671" s="20" t="n">
        <f aca="false">ROUND(16.25/FX,2)</f>
        <v>2.26</v>
      </c>
      <c r="D1671" s="21" t="s">
        <v>6549</v>
      </c>
      <c r="E1671" s="21" t="s">
        <v>9739</v>
      </c>
      <c r="F1671" s="21" t="s">
        <v>8169</v>
      </c>
      <c r="G1671" s="21" t="s">
        <v>9148</v>
      </c>
    </row>
    <row r="1672" customFormat="false" ht="15" hidden="false" customHeight="false" outlineLevel="0" collapsed="false">
      <c r="B1672" s="19" t="s">
        <v>9776</v>
      </c>
      <c r="C1672" s="20" t="n">
        <f aca="false">ROUND(16.25/FX,2)</f>
        <v>2.26</v>
      </c>
      <c r="D1672" s="21" t="s">
        <v>6549</v>
      </c>
      <c r="E1672" s="21" t="s">
        <v>9739</v>
      </c>
      <c r="F1672" s="21" t="s">
        <v>8169</v>
      </c>
      <c r="G1672" s="21" t="s">
        <v>9150</v>
      </c>
    </row>
    <row r="1673" customFormat="false" ht="15" hidden="false" customHeight="false" outlineLevel="0" collapsed="false">
      <c r="B1673" s="19" t="s">
        <v>9777</v>
      </c>
      <c r="C1673" s="20" t="n">
        <f aca="false">ROUND(16.25/FX,2)</f>
        <v>2.26</v>
      </c>
      <c r="D1673" s="21" t="s">
        <v>6549</v>
      </c>
      <c r="E1673" s="21" t="s">
        <v>9739</v>
      </c>
      <c r="F1673" s="21" t="s">
        <v>8169</v>
      </c>
      <c r="G1673" s="21" t="s">
        <v>9026</v>
      </c>
    </row>
    <row r="1674" customFormat="false" ht="15" hidden="false" customHeight="false" outlineLevel="0" collapsed="false">
      <c r="B1674" s="19" t="s">
        <v>9778</v>
      </c>
      <c r="C1674" s="20" t="n">
        <f aca="false">ROUND(16.25/FX,2)</f>
        <v>2.26</v>
      </c>
      <c r="D1674" s="21" t="s">
        <v>6549</v>
      </c>
      <c r="E1674" s="21" t="s">
        <v>9739</v>
      </c>
      <c r="F1674" s="21" t="s">
        <v>8169</v>
      </c>
      <c r="G1674" s="21" t="s">
        <v>9028</v>
      </c>
    </row>
    <row r="1675" customFormat="false" ht="15" hidden="false" customHeight="false" outlineLevel="0" collapsed="false">
      <c r="B1675" s="19" t="s">
        <v>9779</v>
      </c>
      <c r="C1675" s="20" t="n">
        <f aca="false">ROUND(16.25/FX,2)</f>
        <v>2.26</v>
      </c>
      <c r="D1675" s="21" t="s">
        <v>6549</v>
      </c>
      <c r="E1675" s="21" t="s">
        <v>9739</v>
      </c>
      <c r="F1675" s="21" t="s">
        <v>8169</v>
      </c>
      <c r="G1675" s="21" t="s">
        <v>8047</v>
      </c>
    </row>
    <row r="1676" customFormat="false" ht="15" hidden="false" customHeight="false" outlineLevel="0" collapsed="false">
      <c r="B1676" s="19" t="s">
        <v>9780</v>
      </c>
      <c r="C1676" s="20" t="n">
        <f aca="false">ROUND(16.25/FX,2)</f>
        <v>2.26</v>
      </c>
      <c r="D1676" s="21" t="s">
        <v>6549</v>
      </c>
      <c r="E1676" s="21" t="s">
        <v>9739</v>
      </c>
      <c r="F1676" s="21" t="s">
        <v>8169</v>
      </c>
      <c r="G1676" s="21" t="s">
        <v>9155</v>
      </c>
    </row>
    <row r="1677" customFormat="false" ht="15" hidden="false" customHeight="false" outlineLevel="0" collapsed="false">
      <c r="B1677" s="19" t="s">
        <v>9781</v>
      </c>
      <c r="C1677" s="20" t="n">
        <f aca="false">ROUND(16.25/FX,2)</f>
        <v>2.26</v>
      </c>
      <c r="D1677" s="21" t="s">
        <v>6549</v>
      </c>
      <c r="E1677" s="21" t="s">
        <v>9739</v>
      </c>
      <c r="F1677" s="21" t="s">
        <v>8169</v>
      </c>
      <c r="G1677" s="21" t="s">
        <v>9157</v>
      </c>
    </row>
    <row r="1678" customFormat="false" ht="15" hidden="false" customHeight="false" outlineLevel="0" collapsed="false">
      <c r="B1678" s="19" t="s">
        <v>9782</v>
      </c>
      <c r="C1678" s="20" t="n">
        <f aca="false">ROUND(16.25/FX,2)</f>
        <v>2.26</v>
      </c>
      <c r="D1678" s="21" t="s">
        <v>6549</v>
      </c>
      <c r="E1678" s="21" t="s">
        <v>9739</v>
      </c>
      <c r="F1678" s="21" t="s">
        <v>8169</v>
      </c>
      <c r="G1678" s="21" t="s">
        <v>8126</v>
      </c>
    </row>
    <row r="1679" customFormat="false" ht="15" hidden="false" customHeight="false" outlineLevel="0" collapsed="false">
      <c r="B1679" s="19" t="s">
        <v>9783</v>
      </c>
      <c r="C1679" s="20" t="n">
        <f aca="false">ROUND(16.25/FX,2)</f>
        <v>2.26</v>
      </c>
      <c r="D1679" s="21" t="s">
        <v>6549</v>
      </c>
      <c r="E1679" s="21" t="s">
        <v>9739</v>
      </c>
      <c r="F1679" s="21" t="s">
        <v>8169</v>
      </c>
      <c r="G1679" s="21" t="s">
        <v>9034</v>
      </c>
    </row>
    <row r="1680" customFormat="false" ht="15" hidden="false" customHeight="false" outlineLevel="0" collapsed="false">
      <c r="B1680" s="19" t="s">
        <v>9784</v>
      </c>
      <c r="C1680" s="20" t="n">
        <f aca="false">ROUND(16.25/FX,2)</f>
        <v>2.26</v>
      </c>
      <c r="D1680" s="21" t="s">
        <v>6549</v>
      </c>
      <c r="E1680" s="21" t="s">
        <v>9739</v>
      </c>
      <c r="F1680" s="21" t="s">
        <v>8169</v>
      </c>
      <c r="G1680" s="21" t="s">
        <v>8158</v>
      </c>
    </row>
    <row r="1681" customFormat="false" ht="15" hidden="false" customHeight="false" outlineLevel="0" collapsed="false">
      <c r="B1681" s="19" t="s">
        <v>9785</v>
      </c>
      <c r="C1681" s="20" t="n">
        <f aca="false">ROUND(16.25/FX,2)</f>
        <v>2.26</v>
      </c>
      <c r="D1681" s="21" t="s">
        <v>6549</v>
      </c>
      <c r="E1681" s="21" t="s">
        <v>9739</v>
      </c>
      <c r="F1681" s="21" t="s">
        <v>8169</v>
      </c>
      <c r="G1681" s="21" t="s">
        <v>8139</v>
      </c>
    </row>
    <row r="1682" customFormat="false" ht="15" hidden="false" customHeight="false" outlineLevel="0" collapsed="false">
      <c r="B1682" s="19" t="s">
        <v>9786</v>
      </c>
      <c r="C1682" s="20" t="n">
        <f aca="false">ROUND(16.25/FX,2)</f>
        <v>2.26</v>
      </c>
      <c r="D1682" s="21" t="s">
        <v>6549</v>
      </c>
      <c r="E1682" s="21" t="s">
        <v>9739</v>
      </c>
      <c r="F1682" s="21" t="s">
        <v>8169</v>
      </c>
      <c r="G1682" s="21" t="s">
        <v>9163</v>
      </c>
    </row>
    <row r="1683" customFormat="false" ht="15" hidden="false" customHeight="false" outlineLevel="0" collapsed="false">
      <c r="B1683" s="19" t="s">
        <v>9787</v>
      </c>
      <c r="C1683" s="20" t="n">
        <f aca="false">ROUND(16.25/FX,2)</f>
        <v>2.26</v>
      </c>
      <c r="D1683" s="21" t="s">
        <v>6549</v>
      </c>
      <c r="E1683" s="21" t="s">
        <v>9739</v>
      </c>
      <c r="F1683" s="21" t="s">
        <v>8169</v>
      </c>
      <c r="G1683" s="21" t="s">
        <v>8141</v>
      </c>
    </row>
    <row r="1684" customFormat="false" ht="15" hidden="false" customHeight="false" outlineLevel="0" collapsed="false">
      <c r="B1684" s="19" t="s">
        <v>9788</v>
      </c>
      <c r="C1684" s="20" t="n">
        <f aca="false">ROUND(16.25/FX,2)</f>
        <v>2.26</v>
      </c>
      <c r="D1684" s="21" t="s">
        <v>6549</v>
      </c>
      <c r="E1684" s="21" t="s">
        <v>9739</v>
      </c>
      <c r="F1684" s="21" t="s">
        <v>8169</v>
      </c>
      <c r="G1684" s="21" t="s">
        <v>9166</v>
      </c>
    </row>
    <row r="1685" customFormat="false" ht="15" hidden="false" customHeight="false" outlineLevel="0" collapsed="false">
      <c r="B1685" s="19" t="s">
        <v>9789</v>
      </c>
      <c r="C1685" s="20" t="n">
        <f aca="false">ROUND(16.25/FX,2)</f>
        <v>2.26</v>
      </c>
      <c r="D1685" s="21" t="s">
        <v>6549</v>
      </c>
      <c r="E1685" s="21" t="s">
        <v>9739</v>
      </c>
      <c r="F1685" s="21" t="s">
        <v>8169</v>
      </c>
      <c r="G1685" s="21" t="s">
        <v>9090</v>
      </c>
    </row>
    <row r="1686" customFormat="false" ht="15" hidden="false" customHeight="false" outlineLevel="0" collapsed="false">
      <c r="B1686" s="19" t="s">
        <v>9790</v>
      </c>
      <c r="C1686" s="20" t="n">
        <f aca="false">ROUND(16.25/FX,2)</f>
        <v>2.26</v>
      </c>
      <c r="D1686" s="21" t="s">
        <v>6549</v>
      </c>
      <c r="E1686" s="21" t="s">
        <v>9739</v>
      </c>
      <c r="F1686" s="21" t="s">
        <v>8169</v>
      </c>
      <c r="G1686" s="21" t="s">
        <v>9169</v>
      </c>
    </row>
    <row r="1687" customFormat="false" ht="15" hidden="false" customHeight="false" outlineLevel="0" collapsed="false">
      <c r="B1687" s="19" t="s">
        <v>9791</v>
      </c>
      <c r="C1687" s="20" t="n">
        <f aca="false">ROUND(16.25/FX,2)</f>
        <v>2.26</v>
      </c>
      <c r="D1687" s="21" t="s">
        <v>6549</v>
      </c>
      <c r="E1687" s="21" t="s">
        <v>9739</v>
      </c>
      <c r="F1687" s="21" t="s">
        <v>8169</v>
      </c>
      <c r="G1687" s="21" t="s">
        <v>8989</v>
      </c>
    </row>
    <row r="1688" customFormat="false" ht="15" hidden="false" customHeight="false" outlineLevel="0" collapsed="false">
      <c r="B1688" s="19" t="s">
        <v>9792</v>
      </c>
      <c r="C1688" s="20" t="n">
        <f aca="false">ROUND(16.25/FX,2)</f>
        <v>2.26</v>
      </c>
      <c r="D1688" s="21" t="s">
        <v>6549</v>
      </c>
      <c r="E1688" s="21" t="s">
        <v>9739</v>
      </c>
      <c r="F1688" s="21" t="s">
        <v>8169</v>
      </c>
      <c r="G1688" s="21" t="s">
        <v>8143</v>
      </c>
    </row>
    <row r="1689" customFormat="false" ht="15" hidden="false" customHeight="false" outlineLevel="0" collapsed="false">
      <c r="B1689" s="19" t="s">
        <v>9793</v>
      </c>
      <c r="C1689" s="20" t="n">
        <f aca="false">ROUND(16.25/FX,2)</f>
        <v>2.26</v>
      </c>
      <c r="D1689" s="21" t="s">
        <v>6549</v>
      </c>
      <c r="E1689" s="21" t="s">
        <v>9739</v>
      </c>
      <c r="F1689" s="21" t="s">
        <v>8169</v>
      </c>
      <c r="G1689" s="21" t="s">
        <v>8145</v>
      </c>
    </row>
    <row r="1690" customFormat="false" ht="15" hidden="false" customHeight="false" outlineLevel="0" collapsed="false">
      <c r="B1690" s="19" t="s">
        <v>9794</v>
      </c>
      <c r="C1690" s="20" t="n">
        <f aca="false">ROUND(16.25/FX,2)</f>
        <v>2.26</v>
      </c>
      <c r="D1690" s="21" t="s">
        <v>6549</v>
      </c>
      <c r="E1690" s="21" t="s">
        <v>9739</v>
      </c>
      <c r="F1690" s="21" t="s">
        <v>8169</v>
      </c>
      <c r="G1690" s="21" t="s">
        <v>8109</v>
      </c>
    </row>
    <row r="1691" customFormat="false" ht="15" hidden="false" customHeight="false" outlineLevel="0" collapsed="false">
      <c r="B1691" s="19" t="s">
        <v>9795</v>
      </c>
      <c r="C1691" s="20" t="n">
        <f aca="false">ROUND(22.1/FX,2)</f>
        <v>3.07</v>
      </c>
      <c r="D1691" s="21" t="s">
        <v>6549</v>
      </c>
      <c r="E1691" s="21" t="s">
        <v>8162</v>
      </c>
      <c r="F1691" s="21" t="s">
        <v>8169</v>
      </c>
      <c r="G1691" s="21" t="s">
        <v>9174</v>
      </c>
    </row>
    <row r="1692" customFormat="false" ht="15" hidden="false" customHeight="false" outlineLevel="0" collapsed="false">
      <c r="B1692" s="19" t="s">
        <v>9796</v>
      </c>
      <c r="C1692" s="20" t="n">
        <f aca="false">ROUND(23.4/FX,2)</f>
        <v>3.25</v>
      </c>
      <c r="D1692" s="21" t="s">
        <v>6549</v>
      </c>
      <c r="E1692" s="21" t="s">
        <v>9797</v>
      </c>
      <c r="F1692" s="21" t="s">
        <v>8169</v>
      </c>
      <c r="G1692" s="21" t="s">
        <v>8145</v>
      </c>
    </row>
    <row r="1693" customFormat="false" ht="15" hidden="false" customHeight="false" outlineLevel="0" collapsed="false">
      <c r="B1693" s="19" t="s">
        <v>9798</v>
      </c>
      <c r="C1693" s="20" t="n">
        <f aca="false">ROUND(23.4/FX,2)</f>
        <v>3.25</v>
      </c>
      <c r="D1693" s="21" t="s">
        <v>6549</v>
      </c>
      <c r="E1693" s="21" t="s">
        <v>9797</v>
      </c>
      <c r="F1693" s="21" t="s">
        <v>8169</v>
      </c>
      <c r="G1693" s="21" t="s">
        <v>9183</v>
      </c>
    </row>
    <row r="1694" customFormat="false" ht="15" hidden="false" customHeight="false" outlineLevel="0" collapsed="false">
      <c r="B1694" s="19" t="s">
        <v>9799</v>
      </c>
      <c r="C1694" s="20" t="n">
        <f aca="false">ROUND(32.5/FX,2)</f>
        <v>4.51</v>
      </c>
      <c r="D1694" s="21" t="s">
        <v>6549</v>
      </c>
      <c r="E1694" s="21" t="s">
        <v>9800</v>
      </c>
      <c r="F1694" s="21" t="s">
        <v>8169</v>
      </c>
      <c r="G1694" s="21" t="s">
        <v>7866</v>
      </c>
    </row>
    <row r="1695" customFormat="false" ht="15" hidden="false" customHeight="false" outlineLevel="0" collapsed="false">
      <c r="B1695" s="19" t="s">
        <v>9801</v>
      </c>
      <c r="C1695" s="20" t="n">
        <f aca="false">ROUND(33.8/FX,2)</f>
        <v>4.69</v>
      </c>
      <c r="D1695" s="21" t="s">
        <v>6549</v>
      </c>
      <c r="E1695" s="21" t="s">
        <v>9802</v>
      </c>
      <c r="F1695" s="21" t="s">
        <v>8169</v>
      </c>
      <c r="G1695" s="21" t="s">
        <v>8137</v>
      </c>
    </row>
    <row r="1696" customFormat="false" ht="15" hidden="false" customHeight="false" outlineLevel="0" collapsed="false">
      <c r="B1696" s="19" t="s">
        <v>9803</v>
      </c>
      <c r="C1696" s="20" t="n">
        <f aca="false">ROUND(33.8/FX,2)</f>
        <v>4.69</v>
      </c>
      <c r="D1696" s="21" t="s">
        <v>6549</v>
      </c>
      <c r="E1696" s="21" t="s">
        <v>9802</v>
      </c>
      <c r="F1696" s="21" t="s">
        <v>8169</v>
      </c>
      <c r="G1696" s="21" t="s">
        <v>7866</v>
      </c>
    </row>
    <row r="1697" customFormat="false" ht="15" hidden="false" customHeight="false" outlineLevel="0" collapsed="false">
      <c r="B1697" s="19" t="s">
        <v>9804</v>
      </c>
      <c r="C1697" s="20" t="n">
        <f aca="false">ROUND(36.4/FX,2)</f>
        <v>5.06</v>
      </c>
      <c r="D1697" s="21" t="s">
        <v>6549</v>
      </c>
      <c r="E1697" s="21" t="s">
        <v>9185</v>
      </c>
      <c r="F1697" s="21" t="s">
        <v>8169</v>
      </c>
      <c r="G1697" s="21" t="s">
        <v>9193</v>
      </c>
    </row>
    <row r="1698" customFormat="false" ht="15" hidden="false" customHeight="false" outlineLevel="0" collapsed="false">
      <c r="B1698" s="19" t="s">
        <v>9805</v>
      </c>
      <c r="C1698" s="20" t="n">
        <f aca="false">ROUND(36.4/FX,2)</f>
        <v>5.06</v>
      </c>
      <c r="D1698" s="21" t="s">
        <v>6549</v>
      </c>
      <c r="E1698" s="21" t="s">
        <v>9185</v>
      </c>
      <c r="F1698" s="21" t="s">
        <v>8169</v>
      </c>
      <c r="G1698" s="21" t="s">
        <v>7866</v>
      </c>
    </row>
    <row r="1699" customFormat="false" ht="15" hidden="false" customHeight="false" outlineLevel="0" collapsed="false">
      <c r="B1699" s="19" t="s">
        <v>9806</v>
      </c>
      <c r="C1699" s="20" t="n">
        <f aca="false">ROUND(48.1/FX,2)</f>
        <v>6.68</v>
      </c>
      <c r="D1699" s="21" t="s">
        <v>6549</v>
      </c>
      <c r="E1699" s="21" t="s">
        <v>9807</v>
      </c>
      <c r="F1699" s="21" t="s">
        <v>8169</v>
      </c>
      <c r="G1699" s="21" t="s">
        <v>8085</v>
      </c>
    </row>
    <row r="1700" customFormat="false" ht="15" hidden="false" customHeight="false" outlineLevel="0" collapsed="false">
      <c r="B1700" s="19" t="s">
        <v>9808</v>
      </c>
      <c r="C1700" s="20" t="n">
        <f aca="false">ROUND(48.1/FX,2)</f>
        <v>6.68</v>
      </c>
      <c r="D1700" s="21" t="s">
        <v>6549</v>
      </c>
      <c r="E1700" s="21" t="s">
        <v>9807</v>
      </c>
      <c r="F1700" s="21" t="s">
        <v>8169</v>
      </c>
      <c r="G1700" s="21" t="s">
        <v>8089</v>
      </c>
    </row>
    <row r="1701" customFormat="false" ht="15" hidden="false" customHeight="false" outlineLevel="0" collapsed="false">
      <c r="B1701" s="19" t="s">
        <v>9809</v>
      </c>
      <c r="C1701" s="20" t="n">
        <f aca="false">ROUND(48.1/FX,2)</f>
        <v>6.68</v>
      </c>
      <c r="D1701" s="21" t="s">
        <v>6549</v>
      </c>
      <c r="E1701" s="21" t="s">
        <v>9807</v>
      </c>
      <c r="F1701" s="21" t="s">
        <v>8169</v>
      </c>
      <c r="G1701" s="21" t="s">
        <v>9177</v>
      </c>
    </row>
    <row r="1702" customFormat="false" ht="15" hidden="false" customHeight="false" outlineLevel="0" collapsed="false">
      <c r="B1702" s="19" t="s">
        <v>9810</v>
      </c>
      <c r="C1702" s="20" t="n">
        <f aca="false">ROUND(48.1/FX,2)</f>
        <v>6.68</v>
      </c>
      <c r="D1702" s="21" t="s">
        <v>6549</v>
      </c>
      <c r="E1702" s="21" t="s">
        <v>9807</v>
      </c>
      <c r="F1702" s="21" t="s">
        <v>8169</v>
      </c>
      <c r="G1702" s="21" t="s">
        <v>8047</v>
      </c>
    </row>
    <row r="1703" customFormat="false" ht="15" hidden="false" customHeight="false" outlineLevel="0" collapsed="false">
      <c r="B1703" s="19" t="s">
        <v>9811</v>
      </c>
      <c r="C1703" s="20" t="n">
        <f aca="false">ROUND(48.1/FX,2)</f>
        <v>6.68</v>
      </c>
      <c r="D1703" s="21" t="s">
        <v>6549</v>
      </c>
      <c r="E1703" s="21" t="s">
        <v>9807</v>
      </c>
      <c r="F1703" s="21" t="s">
        <v>8169</v>
      </c>
      <c r="G1703" s="21" t="s">
        <v>9190</v>
      </c>
    </row>
    <row r="1704" customFormat="false" ht="15" hidden="false" customHeight="false" outlineLevel="0" collapsed="false">
      <c r="B1704" s="19" t="s">
        <v>9812</v>
      </c>
      <c r="C1704" s="20" t="n">
        <f aca="false">ROUND(48.1/FX,2)</f>
        <v>6.68</v>
      </c>
      <c r="D1704" s="21" t="s">
        <v>6549</v>
      </c>
      <c r="E1704" s="21" t="s">
        <v>9807</v>
      </c>
      <c r="F1704" s="21" t="s">
        <v>8169</v>
      </c>
      <c r="G1704" s="21" t="s">
        <v>9183</v>
      </c>
    </row>
    <row r="1705" customFormat="false" ht="15" hidden="false" customHeight="false" outlineLevel="0" collapsed="false">
      <c r="B1705" s="19" t="s">
        <v>9813</v>
      </c>
      <c r="C1705" s="20" t="n">
        <f aca="false">ROUND(62.4/FX,2)</f>
        <v>8.67</v>
      </c>
      <c r="D1705" s="21" t="s">
        <v>6549</v>
      </c>
      <c r="E1705" s="21" t="s">
        <v>9195</v>
      </c>
      <c r="F1705" s="21" t="s">
        <v>8169</v>
      </c>
      <c r="G1705" s="21" t="s">
        <v>8085</v>
      </c>
    </row>
    <row r="1706" customFormat="false" ht="15" hidden="false" customHeight="false" outlineLevel="0" collapsed="false">
      <c r="B1706" s="19" t="s">
        <v>9814</v>
      </c>
      <c r="C1706" s="20" t="n">
        <f aca="false">ROUND(62.4/FX,2)</f>
        <v>8.67</v>
      </c>
      <c r="D1706" s="21" t="s">
        <v>6549</v>
      </c>
      <c r="E1706" s="21" t="s">
        <v>9195</v>
      </c>
      <c r="F1706" s="21" t="s">
        <v>8169</v>
      </c>
      <c r="G1706" s="21" t="s">
        <v>9142</v>
      </c>
    </row>
    <row r="1707" customFormat="false" ht="15" hidden="false" customHeight="false" outlineLevel="0" collapsed="false">
      <c r="B1707" s="19" t="s">
        <v>9815</v>
      </c>
      <c r="C1707" s="20" t="n">
        <f aca="false">ROUND(62.4/FX,2)</f>
        <v>8.67</v>
      </c>
      <c r="D1707" s="21" t="s">
        <v>6549</v>
      </c>
      <c r="E1707" s="21" t="s">
        <v>9195</v>
      </c>
      <c r="F1707" s="21" t="s">
        <v>8169</v>
      </c>
      <c r="G1707" s="21" t="s">
        <v>9198</v>
      </c>
    </row>
    <row r="1708" customFormat="false" ht="15" hidden="false" customHeight="false" outlineLevel="0" collapsed="false">
      <c r="B1708" s="19" t="s">
        <v>9816</v>
      </c>
      <c r="C1708" s="20" t="n">
        <f aca="false">ROUND(62.4/FX,2)</f>
        <v>8.67</v>
      </c>
      <c r="D1708" s="21" t="s">
        <v>6549</v>
      </c>
      <c r="E1708" s="21" t="s">
        <v>9195</v>
      </c>
      <c r="F1708" s="21" t="s">
        <v>8169</v>
      </c>
      <c r="G1708" s="21" t="s">
        <v>9177</v>
      </c>
    </row>
    <row r="1709" customFormat="false" ht="15" hidden="false" customHeight="false" outlineLevel="0" collapsed="false">
      <c r="B1709" s="19" t="s">
        <v>9817</v>
      </c>
      <c r="C1709" s="20" t="n">
        <f aca="false">ROUND(62.4/FX,2)</f>
        <v>8.67</v>
      </c>
      <c r="D1709" s="21" t="s">
        <v>6549</v>
      </c>
      <c r="E1709" s="21" t="s">
        <v>9195</v>
      </c>
      <c r="F1709" s="21" t="s">
        <v>8169</v>
      </c>
      <c r="G1709" s="21" t="s">
        <v>9166</v>
      </c>
    </row>
    <row r="1710" customFormat="false" ht="15" hidden="false" customHeight="false" outlineLevel="0" collapsed="false">
      <c r="B1710" s="19" t="s">
        <v>9818</v>
      </c>
      <c r="C1710" s="20" t="n">
        <f aca="false">ROUND(62.4/FX,2)</f>
        <v>8.67</v>
      </c>
      <c r="D1710" s="21" t="s">
        <v>6549</v>
      </c>
      <c r="E1710" s="21" t="s">
        <v>9195</v>
      </c>
      <c r="F1710" s="21" t="s">
        <v>8169</v>
      </c>
      <c r="G1710" s="21" t="s">
        <v>9202</v>
      </c>
    </row>
    <row r="1711" customFormat="false" ht="15" hidden="false" customHeight="false" outlineLevel="0" collapsed="false">
      <c r="B1711" s="19" t="s">
        <v>9819</v>
      </c>
      <c r="C1711" s="20" t="n">
        <f aca="false">ROUND(62.4/FX,2)</f>
        <v>8.67</v>
      </c>
      <c r="D1711" s="21" t="s">
        <v>6549</v>
      </c>
      <c r="E1711" s="21" t="s">
        <v>9195</v>
      </c>
      <c r="F1711" s="21" t="s">
        <v>8169</v>
      </c>
      <c r="G1711" s="21" t="s">
        <v>9204</v>
      </c>
    </row>
    <row r="1712" customFormat="false" ht="15" hidden="false" customHeight="false" outlineLevel="0" collapsed="false">
      <c r="B1712" s="19" t="s">
        <v>9820</v>
      </c>
      <c r="C1712" s="20" t="n">
        <f aca="false">ROUND(62.4/FX,2)</f>
        <v>8.67</v>
      </c>
      <c r="D1712" s="21" t="s">
        <v>6549</v>
      </c>
      <c r="E1712" s="21" t="s">
        <v>9195</v>
      </c>
      <c r="F1712" s="21" t="s">
        <v>8169</v>
      </c>
      <c r="G1712" s="21" t="s">
        <v>9183</v>
      </c>
    </row>
    <row r="1713" customFormat="false" ht="15" hidden="false" customHeight="false" outlineLevel="0" collapsed="false">
      <c r="B1713" s="19" t="s">
        <v>9821</v>
      </c>
      <c r="C1713" s="20" t="n">
        <f aca="false">ROUND(62.4/FX,2)</f>
        <v>8.67</v>
      </c>
      <c r="D1713" s="21" t="s">
        <v>6549</v>
      </c>
      <c r="E1713" s="21" t="s">
        <v>9195</v>
      </c>
      <c r="F1713" s="21" t="s">
        <v>8169</v>
      </c>
      <c r="G1713" s="21" t="s">
        <v>9207</v>
      </c>
    </row>
    <row r="1716" customFormat="false" ht="61.5" hidden="false" customHeight="true" outlineLevel="0" collapsed="false">
      <c r="A1716" s="9"/>
      <c r="B1716" s="10" t="s">
        <v>9822</v>
      </c>
      <c r="C1716" s="10"/>
      <c r="D1716" s="10"/>
      <c r="E1716" s="10"/>
      <c r="F1716" s="10"/>
      <c r="G1716" s="10"/>
      <c r="H1716" s="10"/>
    </row>
    <row r="1717" customFormat="false" ht="15" hidden="false" customHeight="false" outlineLevel="0" collapsed="false">
      <c r="A1717" s="12" t="s">
        <v>700</v>
      </c>
      <c r="B1717" s="13" t="s">
        <v>701</v>
      </c>
      <c r="C1717" s="13" t="s">
        <v>702</v>
      </c>
      <c r="D1717" s="13" t="s">
        <v>722</v>
      </c>
      <c r="E1717" s="13" t="s">
        <v>723</v>
      </c>
      <c r="F1717" s="13" t="s">
        <v>6523</v>
      </c>
      <c r="G1717" s="13" t="s">
        <v>8167</v>
      </c>
      <c r="H1717" s="13" t="s">
        <v>7711</v>
      </c>
    </row>
    <row r="1718" customFormat="false" ht="30" hidden="false" customHeight="true" outlineLevel="0" collapsed="false">
      <c r="A1718" s="14" t="s">
        <v>706</v>
      </c>
      <c r="B1718" s="15" t="str">
        <f aca="false">IF(COUNTIFS($D$1721:$D$1964,IF(D1718="","*",D1718),$E$1721:$E$1964,IF(E1718="","*",E1718),$F$1721:$F$1964,IF(F1718="","*",F1718),$G$1721:$G$1964,IF(G1718="","*",G1718),$H$1721:$H$1964,IF(H1718="","*",H1718))=1,INDEX($B:$B,SUMPRODUCT(((D1718="")+($D$1721:$D$1964=D1718)&gt;0)*((E1718="")+($E$1721:$E$1964=E1718)&gt;0)*((F1718="")+($F$1721:$F$1964=F1718)&gt;0)*((G1718="")+($G$1721:$G$1964=G1718)&gt;0)*((H1718="")+($H$1721:$H$1964=H1718)&gt;0)*ROW($B$1721:$B$1964))),IF(COUNTIFS($D$1721:$D$1964,IF(D1718="","*",D1718),$E$1721:$E$1964,IF(E1718="","*",E1718),$F$1721:$F$1964,IF(F1718="","*",F1718),$G$1721:$G$1964,IF(G1718="","*",G1718),$H$1721:$H$1964,IF(H1718="","*",H1718))=0,"Not available",COUNTIFS($D$1721:$D$1964,IF(D1718="","*",D1718),$E$1721:$E$1964,IF(E1718="","*",E1718),$F$1721:$F$1964,IF(F1718="","*",F1718),$G$1721:$G$1964,IF(G1718="","*",G1718),$H$1721:$H$1964,IF(H1718="","*",H1718))&amp;" match, keep choosing"))</f>
        <v>XS-D14L22-3.175x3.175-SV</v>
      </c>
      <c r="C1718" s="16" t="n">
        <f aca="false">IF(COUNTIFS($D$1721:$D$1964,IF(D1718="","*",D1718),$E$1721:$E$1964,IF(E1718="","*",E1718),$F$1721:$F$1964,IF(F1718="","*",F1718),$G$1721:$G$1964,IF(G1718="","*",G1718),$H$1721:$H$1964,IF(H1718="","*",H1718))=1,INDEX($C:$C,SUMPRODUCT(((D1718="")+($D$1721:$D$1964=D1718)&gt;0)*((E1718="")+($E$1721:$E$1964=E1718)&gt;0)*((F1718="")+($F$1721:$F$1964=F1718)&gt;0)*((G1718="")+($G$1721:$G$1964=G1718)&gt;0)*((H1718="")+($H$1721:$H$1964=H1718)&gt;0)*ROW($B$1721:$B$1964))),"")</f>
        <v>1.08</v>
      </c>
      <c r="D1718" s="17" t="s">
        <v>6549</v>
      </c>
      <c r="E1718" s="17" t="s">
        <v>734</v>
      </c>
      <c r="F1718" s="17" t="s">
        <v>9823</v>
      </c>
      <c r="G1718" s="17" t="s">
        <v>8169</v>
      </c>
      <c r="H1718" s="17" t="s">
        <v>8188</v>
      </c>
    </row>
    <row r="1720" customFormat="false" ht="15" hidden="false" customHeight="false" outlineLevel="0" collapsed="false">
      <c r="B1720" s="18" t="s">
        <v>701</v>
      </c>
      <c r="C1720" s="18" t="s">
        <v>702</v>
      </c>
      <c r="D1720" s="18" t="s">
        <v>722</v>
      </c>
      <c r="E1720" s="18" t="s">
        <v>723</v>
      </c>
      <c r="F1720" s="18" t="s">
        <v>6523</v>
      </c>
      <c r="G1720" s="18" t="s">
        <v>8167</v>
      </c>
      <c r="H1720" s="18" t="s">
        <v>7711</v>
      </c>
    </row>
    <row r="1721" customFormat="false" ht="15" hidden="false" customHeight="false" outlineLevel="0" collapsed="false">
      <c r="B1721" s="19" t="s">
        <v>9824</v>
      </c>
      <c r="C1721" s="20" t="n">
        <f aca="false">ROUND(7.8/FX,2)</f>
        <v>1.08</v>
      </c>
      <c r="D1721" s="21" t="s">
        <v>6549</v>
      </c>
      <c r="E1721" s="21" t="s">
        <v>734</v>
      </c>
      <c r="F1721" s="21" t="s">
        <v>9823</v>
      </c>
      <c r="G1721" s="21" t="s">
        <v>8169</v>
      </c>
      <c r="H1721" s="21" t="s">
        <v>8188</v>
      </c>
    </row>
    <row r="1722" customFormat="false" ht="15" hidden="false" customHeight="false" outlineLevel="0" collapsed="false">
      <c r="B1722" s="19" t="s">
        <v>9825</v>
      </c>
      <c r="C1722" s="20" t="n">
        <f aca="false">ROUND(7.8/FX,2)</f>
        <v>1.08</v>
      </c>
      <c r="D1722" s="21" t="s">
        <v>6549</v>
      </c>
      <c r="E1722" s="21" t="s">
        <v>734</v>
      </c>
      <c r="F1722" s="21" t="s">
        <v>9823</v>
      </c>
      <c r="G1722" s="21" t="s">
        <v>8169</v>
      </c>
      <c r="H1722" s="21" t="s">
        <v>9826</v>
      </c>
    </row>
    <row r="1723" customFormat="false" ht="15" hidden="false" customHeight="false" outlineLevel="0" collapsed="false">
      <c r="B1723" s="19" t="s">
        <v>9827</v>
      </c>
      <c r="C1723" s="20" t="n">
        <f aca="false">ROUND(7.8/FX,2)</f>
        <v>1.08</v>
      </c>
      <c r="D1723" s="21" t="s">
        <v>6549</v>
      </c>
      <c r="E1723" s="21" t="s">
        <v>734</v>
      </c>
      <c r="F1723" s="21" t="s">
        <v>9823</v>
      </c>
      <c r="G1723" s="21" t="s">
        <v>8169</v>
      </c>
      <c r="H1723" s="21" t="s">
        <v>7912</v>
      </c>
    </row>
    <row r="1724" customFormat="false" ht="15" hidden="false" customHeight="false" outlineLevel="0" collapsed="false">
      <c r="B1724" s="19" t="s">
        <v>9828</v>
      </c>
      <c r="C1724" s="20" t="n">
        <f aca="false">ROUND(7.8/FX,2)</f>
        <v>1.08</v>
      </c>
      <c r="D1724" s="21" t="s">
        <v>6549</v>
      </c>
      <c r="E1724" s="21" t="s">
        <v>734</v>
      </c>
      <c r="F1724" s="21" t="s">
        <v>9823</v>
      </c>
      <c r="G1724" s="21" t="s">
        <v>8169</v>
      </c>
      <c r="H1724" s="21" t="s">
        <v>8193</v>
      </c>
    </row>
    <row r="1725" customFormat="false" ht="15" hidden="false" customHeight="false" outlineLevel="0" collapsed="false">
      <c r="B1725" s="19" t="s">
        <v>9829</v>
      </c>
      <c r="C1725" s="20" t="n">
        <f aca="false">ROUND(7.8/FX,2)</f>
        <v>1.08</v>
      </c>
      <c r="D1725" s="21" t="s">
        <v>6549</v>
      </c>
      <c r="E1725" s="21" t="s">
        <v>734</v>
      </c>
      <c r="F1725" s="21" t="s">
        <v>9823</v>
      </c>
      <c r="G1725" s="21" t="s">
        <v>8169</v>
      </c>
      <c r="H1725" s="21" t="s">
        <v>8196</v>
      </c>
    </row>
    <row r="1726" customFormat="false" ht="15" hidden="false" customHeight="false" outlineLevel="0" collapsed="false">
      <c r="B1726" s="19" t="s">
        <v>9830</v>
      </c>
      <c r="C1726" s="20" t="n">
        <f aca="false">ROUND(7.8/FX,2)</f>
        <v>1.08</v>
      </c>
      <c r="D1726" s="21" t="s">
        <v>6549</v>
      </c>
      <c r="E1726" s="21" t="s">
        <v>734</v>
      </c>
      <c r="F1726" s="21" t="s">
        <v>9823</v>
      </c>
      <c r="G1726" s="21" t="s">
        <v>8169</v>
      </c>
      <c r="H1726" s="21" t="s">
        <v>8199</v>
      </c>
    </row>
    <row r="1727" customFormat="false" ht="15" hidden="false" customHeight="false" outlineLevel="0" collapsed="false">
      <c r="B1727" s="19" t="s">
        <v>9831</v>
      </c>
      <c r="C1727" s="20" t="n">
        <f aca="false">ROUND(7.8/FX,2)</f>
        <v>1.08</v>
      </c>
      <c r="D1727" s="21" t="s">
        <v>6549</v>
      </c>
      <c r="E1727" s="21" t="s">
        <v>734</v>
      </c>
      <c r="F1727" s="21" t="s">
        <v>9823</v>
      </c>
      <c r="G1727" s="21" t="s">
        <v>8169</v>
      </c>
      <c r="H1727" s="21" t="s">
        <v>9832</v>
      </c>
    </row>
    <row r="1728" customFormat="false" ht="15" hidden="false" customHeight="false" outlineLevel="0" collapsed="false">
      <c r="B1728" s="19" t="s">
        <v>9833</v>
      </c>
      <c r="C1728" s="20" t="n">
        <f aca="false">ROUND(7.8/FX,2)</f>
        <v>1.08</v>
      </c>
      <c r="D1728" s="21" t="s">
        <v>6549</v>
      </c>
      <c r="E1728" s="21" t="s">
        <v>734</v>
      </c>
      <c r="F1728" s="21" t="s">
        <v>9823</v>
      </c>
      <c r="G1728" s="21" t="s">
        <v>8169</v>
      </c>
      <c r="H1728" s="21" t="s">
        <v>7845</v>
      </c>
    </row>
    <row r="1729" customFormat="false" ht="15" hidden="false" customHeight="false" outlineLevel="0" collapsed="false">
      <c r="B1729" s="19" t="s">
        <v>9834</v>
      </c>
      <c r="C1729" s="20" t="n">
        <f aca="false">ROUND(7.8/FX,2)</f>
        <v>1.08</v>
      </c>
      <c r="D1729" s="21" t="s">
        <v>6549</v>
      </c>
      <c r="E1729" s="21" t="s">
        <v>734</v>
      </c>
      <c r="F1729" s="21" t="s">
        <v>9823</v>
      </c>
      <c r="G1729" s="21" t="s">
        <v>8169</v>
      </c>
      <c r="H1729" s="21" t="s">
        <v>9835</v>
      </c>
    </row>
    <row r="1730" customFormat="false" ht="15" hidden="false" customHeight="false" outlineLevel="0" collapsed="false">
      <c r="B1730" s="19" t="s">
        <v>9836</v>
      </c>
      <c r="C1730" s="20" t="n">
        <f aca="false">ROUND(7.8/FX,2)</f>
        <v>1.08</v>
      </c>
      <c r="D1730" s="21" t="s">
        <v>6549</v>
      </c>
      <c r="E1730" s="21" t="s">
        <v>734</v>
      </c>
      <c r="F1730" s="21" t="s">
        <v>9823</v>
      </c>
      <c r="G1730" s="21" t="s">
        <v>8169</v>
      </c>
      <c r="H1730" s="21" t="s">
        <v>9837</v>
      </c>
    </row>
    <row r="1731" customFormat="false" ht="15" hidden="false" customHeight="false" outlineLevel="0" collapsed="false">
      <c r="B1731" s="19" t="s">
        <v>9838</v>
      </c>
      <c r="C1731" s="20" t="n">
        <f aca="false">ROUND(7.8/FX,2)</f>
        <v>1.08</v>
      </c>
      <c r="D1731" s="21" t="s">
        <v>6549</v>
      </c>
      <c r="E1731" s="21" t="s">
        <v>734</v>
      </c>
      <c r="F1731" s="21" t="s">
        <v>9823</v>
      </c>
      <c r="G1731" s="21" t="s">
        <v>8169</v>
      </c>
      <c r="H1731" s="21" t="s">
        <v>9839</v>
      </c>
    </row>
    <row r="1732" customFormat="false" ht="15" hidden="false" customHeight="false" outlineLevel="0" collapsed="false">
      <c r="B1732" s="19" t="s">
        <v>9840</v>
      </c>
      <c r="C1732" s="20" t="n">
        <f aca="false">ROUND(7.8/FX,2)</f>
        <v>1.08</v>
      </c>
      <c r="D1732" s="21" t="s">
        <v>6549</v>
      </c>
      <c r="E1732" s="21" t="s">
        <v>734</v>
      </c>
      <c r="F1732" s="21" t="s">
        <v>9823</v>
      </c>
      <c r="G1732" s="21" t="s">
        <v>8169</v>
      </c>
      <c r="H1732" s="21" t="s">
        <v>9841</v>
      </c>
    </row>
    <row r="1733" customFormat="false" ht="15" hidden="false" customHeight="false" outlineLevel="0" collapsed="false">
      <c r="B1733" s="19" t="s">
        <v>9842</v>
      </c>
      <c r="C1733" s="20" t="n">
        <f aca="false">ROUND(7.8/FX,2)</f>
        <v>1.08</v>
      </c>
      <c r="D1733" s="21" t="s">
        <v>6549</v>
      </c>
      <c r="E1733" s="21" t="s">
        <v>734</v>
      </c>
      <c r="F1733" s="21" t="s">
        <v>9823</v>
      </c>
      <c r="G1733" s="21" t="s">
        <v>8169</v>
      </c>
      <c r="H1733" s="21" t="s">
        <v>9843</v>
      </c>
    </row>
    <row r="1734" customFormat="false" ht="15" hidden="false" customHeight="false" outlineLevel="0" collapsed="false">
      <c r="B1734" s="19" t="s">
        <v>9844</v>
      </c>
      <c r="C1734" s="20" t="n">
        <f aca="false">ROUND(7.8/FX,2)</f>
        <v>1.08</v>
      </c>
      <c r="D1734" s="21" t="s">
        <v>6549</v>
      </c>
      <c r="E1734" s="21" t="s">
        <v>734</v>
      </c>
      <c r="F1734" s="21" t="s">
        <v>9823</v>
      </c>
      <c r="G1734" s="21" t="s">
        <v>8169</v>
      </c>
      <c r="H1734" s="21" t="s">
        <v>9845</v>
      </c>
    </row>
    <row r="1735" customFormat="false" ht="15" hidden="false" customHeight="false" outlineLevel="0" collapsed="false">
      <c r="B1735" s="19" t="s">
        <v>9846</v>
      </c>
      <c r="C1735" s="20" t="n">
        <f aca="false">ROUND(7.8/FX,2)</f>
        <v>1.08</v>
      </c>
      <c r="D1735" s="21" t="s">
        <v>6549</v>
      </c>
      <c r="E1735" s="21" t="s">
        <v>734</v>
      </c>
      <c r="F1735" s="21" t="s">
        <v>9823</v>
      </c>
      <c r="G1735" s="21" t="s">
        <v>8169</v>
      </c>
      <c r="H1735" s="21" t="s">
        <v>9847</v>
      </c>
    </row>
    <row r="1736" customFormat="false" ht="15" hidden="false" customHeight="false" outlineLevel="0" collapsed="false">
      <c r="B1736" s="19" t="s">
        <v>9848</v>
      </c>
      <c r="C1736" s="20" t="n">
        <f aca="false">ROUND(7.8/FX,2)</f>
        <v>1.08</v>
      </c>
      <c r="D1736" s="21" t="s">
        <v>6549</v>
      </c>
      <c r="E1736" s="21" t="s">
        <v>734</v>
      </c>
      <c r="F1736" s="21" t="s">
        <v>9823</v>
      </c>
      <c r="G1736" s="21" t="s">
        <v>8169</v>
      </c>
      <c r="H1736" s="21" t="s">
        <v>7916</v>
      </c>
    </row>
    <row r="1737" customFormat="false" ht="15" hidden="false" customHeight="false" outlineLevel="0" collapsed="false">
      <c r="B1737" s="19" t="s">
        <v>9849</v>
      </c>
      <c r="C1737" s="20" t="n">
        <f aca="false">ROUND(7.8/FX,2)</f>
        <v>1.08</v>
      </c>
      <c r="D1737" s="21" t="s">
        <v>6549</v>
      </c>
      <c r="E1737" s="21" t="s">
        <v>734</v>
      </c>
      <c r="F1737" s="21" t="s">
        <v>9823</v>
      </c>
      <c r="G1737" s="21" t="s">
        <v>8169</v>
      </c>
      <c r="H1737" s="21" t="s">
        <v>8220</v>
      </c>
    </row>
    <row r="1738" customFormat="false" ht="15" hidden="false" customHeight="false" outlineLevel="0" collapsed="false">
      <c r="B1738" s="19" t="s">
        <v>9850</v>
      </c>
      <c r="C1738" s="20" t="n">
        <f aca="false">ROUND(7.8/FX,2)</f>
        <v>1.08</v>
      </c>
      <c r="D1738" s="21" t="s">
        <v>6549</v>
      </c>
      <c r="E1738" s="21" t="s">
        <v>734</v>
      </c>
      <c r="F1738" s="21" t="s">
        <v>9823</v>
      </c>
      <c r="G1738" s="21" t="s">
        <v>8169</v>
      </c>
      <c r="H1738" s="21" t="s">
        <v>9851</v>
      </c>
    </row>
    <row r="1739" customFormat="false" ht="15" hidden="false" customHeight="false" outlineLevel="0" collapsed="false">
      <c r="B1739" s="19" t="s">
        <v>9852</v>
      </c>
      <c r="C1739" s="20" t="n">
        <f aca="false">ROUND(7.8/FX,2)</f>
        <v>1.08</v>
      </c>
      <c r="D1739" s="21" t="s">
        <v>6549</v>
      </c>
      <c r="E1739" s="21" t="s">
        <v>734</v>
      </c>
      <c r="F1739" s="21" t="s">
        <v>9823</v>
      </c>
      <c r="G1739" s="21" t="s">
        <v>8169</v>
      </c>
      <c r="H1739" s="21" t="s">
        <v>7918</v>
      </c>
    </row>
    <row r="1740" customFormat="false" ht="15" hidden="false" customHeight="false" outlineLevel="0" collapsed="false">
      <c r="B1740" s="19" t="s">
        <v>9853</v>
      </c>
      <c r="C1740" s="20" t="n">
        <f aca="false">ROUND(7.8/FX,2)</f>
        <v>1.08</v>
      </c>
      <c r="D1740" s="21" t="s">
        <v>6549</v>
      </c>
      <c r="E1740" s="21" t="s">
        <v>734</v>
      </c>
      <c r="F1740" s="21" t="s">
        <v>9823</v>
      </c>
      <c r="G1740" s="21" t="s">
        <v>8169</v>
      </c>
      <c r="H1740" s="21" t="s">
        <v>7847</v>
      </c>
    </row>
    <row r="1741" customFormat="false" ht="15" hidden="false" customHeight="false" outlineLevel="0" collapsed="false">
      <c r="B1741" s="19" t="s">
        <v>9854</v>
      </c>
      <c r="C1741" s="20" t="n">
        <f aca="false">ROUND(7.8/FX,2)</f>
        <v>1.08</v>
      </c>
      <c r="D1741" s="21" t="s">
        <v>6549</v>
      </c>
      <c r="E1741" s="21" t="s">
        <v>734</v>
      </c>
      <c r="F1741" s="21" t="s">
        <v>9823</v>
      </c>
      <c r="G1741" s="21" t="s">
        <v>8169</v>
      </c>
      <c r="H1741" s="21" t="s">
        <v>7849</v>
      </c>
    </row>
    <row r="1742" customFormat="false" ht="15" hidden="false" customHeight="false" outlineLevel="0" collapsed="false">
      <c r="B1742" s="19" t="s">
        <v>9855</v>
      </c>
      <c r="C1742" s="20" t="n">
        <f aca="false">ROUND(7.8/FX,2)</f>
        <v>1.08</v>
      </c>
      <c r="D1742" s="21" t="s">
        <v>6549</v>
      </c>
      <c r="E1742" s="21" t="s">
        <v>734</v>
      </c>
      <c r="F1742" s="21" t="s">
        <v>9823</v>
      </c>
      <c r="G1742" s="21" t="s">
        <v>8169</v>
      </c>
      <c r="H1742" s="21" t="s">
        <v>7922</v>
      </c>
    </row>
    <row r="1743" customFormat="false" ht="15" hidden="false" customHeight="false" outlineLevel="0" collapsed="false">
      <c r="B1743" s="19" t="s">
        <v>9856</v>
      </c>
      <c r="C1743" s="20" t="n">
        <f aca="false">ROUND(7.8/FX,2)</f>
        <v>1.08</v>
      </c>
      <c r="D1743" s="21" t="s">
        <v>6549</v>
      </c>
      <c r="E1743" s="21" t="s">
        <v>734</v>
      </c>
      <c r="F1743" s="21" t="s">
        <v>9823</v>
      </c>
      <c r="G1743" s="21" t="s">
        <v>8169</v>
      </c>
      <c r="H1743" s="21" t="s">
        <v>9857</v>
      </c>
    </row>
    <row r="1744" customFormat="false" ht="15" hidden="false" customHeight="false" outlineLevel="0" collapsed="false">
      <c r="B1744" s="19" t="s">
        <v>9858</v>
      </c>
      <c r="C1744" s="20" t="n">
        <f aca="false">ROUND(7.8/FX,2)</f>
        <v>1.08</v>
      </c>
      <c r="D1744" s="21" t="s">
        <v>6549</v>
      </c>
      <c r="E1744" s="21" t="s">
        <v>734</v>
      </c>
      <c r="F1744" s="21" t="s">
        <v>9823</v>
      </c>
      <c r="G1744" s="21" t="s">
        <v>8169</v>
      </c>
      <c r="H1744" s="21" t="s">
        <v>7851</v>
      </c>
    </row>
    <row r="1745" customFormat="false" ht="15" hidden="false" customHeight="false" outlineLevel="0" collapsed="false">
      <c r="B1745" s="19" t="s">
        <v>9859</v>
      </c>
      <c r="C1745" s="20" t="n">
        <f aca="false">ROUND(7.8/FX,2)</f>
        <v>1.08</v>
      </c>
      <c r="D1745" s="21" t="s">
        <v>6549</v>
      </c>
      <c r="E1745" s="21" t="s">
        <v>734</v>
      </c>
      <c r="F1745" s="21" t="s">
        <v>9823</v>
      </c>
      <c r="G1745" s="21" t="s">
        <v>8169</v>
      </c>
      <c r="H1745" s="21" t="s">
        <v>7827</v>
      </c>
    </row>
    <row r="1746" customFormat="false" ht="15" hidden="false" customHeight="false" outlineLevel="0" collapsed="false">
      <c r="B1746" s="19" t="s">
        <v>9860</v>
      </c>
      <c r="C1746" s="20" t="n">
        <f aca="false">ROUND(7.8/FX,2)</f>
        <v>1.08</v>
      </c>
      <c r="D1746" s="21" t="s">
        <v>6549</v>
      </c>
      <c r="E1746" s="21" t="s">
        <v>734</v>
      </c>
      <c r="F1746" s="21" t="s">
        <v>9823</v>
      </c>
      <c r="G1746" s="21" t="s">
        <v>8169</v>
      </c>
      <c r="H1746" s="21" t="s">
        <v>7853</v>
      </c>
    </row>
    <row r="1747" customFormat="false" ht="15" hidden="false" customHeight="false" outlineLevel="0" collapsed="false">
      <c r="B1747" s="19" t="s">
        <v>9861</v>
      </c>
      <c r="C1747" s="20" t="n">
        <f aca="false">ROUND(7.8/FX,2)</f>
        <v>1.08</v>
      </c>
      <c r="D1747" s="21" t="s">
        <v>6549</v>
      </c>
      <c r="E1747" s="21" t="s">
        <v>734</v>
      </c>
      <c r="F1747" s="21" t="s">
        <v>9823</v>
      </c>
      <c r="G1747" s="21" t="s">
        <v>8169</v>
      </c>
      <c r="H1747" s="21" t="s">
        <v>7869</v>
      </c>
    </row>
    <row r="1748" customFormat="false" ht="15" hidden="false" customHeight="false" outlineLevel="0" collapsed="false">
      <c r="B1748" s="19" t="s">
        <v>9862</v>
      </c>
      <c r="C1748" s="20" t="n">
        <f aca="false">ROUND(7.8/FX,2)</f>
        <v>1.08</v>
      </c>
      <c r="D1748" s="21" t="s">
        <v>6549</v>
      </c>
      <c r="E1748" s="21" t="s">
        <v>734</v>
      </c>
      <c r="F1748" s="21" t="s">
        <v>9823</v>
      </c>
      <c r="G1748" s="21" t="s">
        <v>8169</v>
      </c>
      <c r="H1748" s="21" t="s">
        <v>7855</v>
      </c>
    </row>
    <row r="1749" customFormat="false" ht="15" hidden="false" customHeight="false" outlineLevel="0" collapsed="false">
      <c r="B1749" s="19" t="s">
        <v>9863</v>
      </c>
      <c r="C1749" s="20" t="n">
        <f aca="false">ROUND(7.8/FX,2)</f>
        <v>1.08</v>
      </c>
      <c r="D1749" s="21" t="s">
        <v>6549</v>
      </c>
      <c r="E1749" s="21" t="s">
        <v>734</v>
      </c>
      <c r="F1749" s="21" t="s">
        <v>9823</v>
      </c>
      <c r="G1749" s="21" t="s">
        <v>8169</v>
      </c>
      <c r="H1749" s="21" t="s">
        <v>9864</v>
      </c>
    </row>
    <row r="1750" customFormat="false" ht="15" hidden="false" customHeight="false" outlineLevel="0" collapsed="false">
      <c r="B1750" s="19" t="s">
        <v>9865</v>
      </c>
      <c r="C1750" s="20" t="n">
        <f aca="false">ROUND(7.8/FX,2)</f>
        <v>1.08</v>
      </c>
      <c r="D1750" s="21" t="s">
        <v>6549</v>
      </c>
      <c r="E1750" s="21" t="s">
        <v>734</v>
      </c>
      <c r="F1750" s="21" t="s">
        <v>9823</v>
      </c>
      <c r="G1750" s="21" t="s">
        <v>8169</v>
      </c>
      <c r="H1750" s="21" t="s">
        <v>7933</v>
      </c>
    </row>
    <row r="1751" customFormat="false" ht="15" hidden="false" customHeight="false" outlineLevel="0" collapsed="false">
      <c r="B1751" s="19" t="s">
        <v>9866</v>
      </c>
      <c r="C1751" s="20" t="n">
        <f aca="false">ROUND(7.8/FX,2)</f>
        <v>1.08</v>
      </c>
      <c r="D1751" s="21" t="s">
        <v>6549</v>
      </c>
      <c r="E1751" s="21" t="s">
        <v>734</v>
      </c>
      <c r="F1751" s="21" t="s">
        <v>9823</v>
      </c>
      <c r="G1751" s="21" t="s">
        <v>8169</v>
      </c>
      <c r="H1751" s="21" t="s">
        <v>7829</v>
      </c>
    </row>
    <row r="1752" customFormat="false" ht="15" hidden="false" customHeight="false" outlineLevel="0" collapsed="false">
      <c r="B1752" s="19" t="s">
        <v>9867</v>
      </c>
      <c r="C1752" s="20" t="n">
        <f aca="false">ROUND(7.8/FX,2)</f>
        <v>1.08</v>
      </c>
      <c r="D1752" s="21" t="s">
        <v>6549</v>
      </c>
      <c r="E1752" s="21" t="s">
        <v>734</v>
      </c>
      <c r="F1752" s="21" t="s">
        <v>9823</v>
      </c>
      <c r="G1752" s="21" t="s">
        <v>8169</v>
      </c>
      <c r="H1752" s="21" t="s">
        <v>7831</v>
      </c>
    </row>
    <row r="1753" customFormat="false" ht="15" hidden="false" customHeight="false" outlineLevel="0" collapsed="false">
      <c r="B1753" s="19" t="s">
        <v>9868</v>
      </c>
      <c r="C1753" s="20" t="n">
        <f aca="false">ROUND(7.8/FX,2)</f>
        <v>1.08</v>
      </c>
      <c r="D1753" s="21" t="s">
        <v>6549</v>
      </c>
      <c r="E1753" s="21" t="s">
        <v>734</v>
      </c>
      <c r="F1753" s="21" t="s">
        <v>9823</v>
      </c>
      <c r="G1753" s="21" t="s">
        <v>8169</v>
      </c>
      <c r="H1753" s="21" t="s">
        <v>7944</v>
      </c>
    </row>
    <row r="1754" customFormat="false" ht="15" hidden="false" customHeight="false" outlineLevel="0" collapsed="false">
      <c r="B1754" s="19" t="s">
        <v>9869</v>
      </c>
      <c r="C1754" s="20" t="n">
        <f aca="false">ROUND(7.8/FX,2)</f>
        <v>1.08</v>
      </c>
      <c r="D1754" s="21" t="s">
        <v>6549</v>
      </c>
      <c r="E1754" s="21" t="s">
        <v>734</v>
      </c>
      <c r="F1754" s="21" t="s">
        <v>9823</v>
      </c>
      <c r="G1754" s="21" t="s">
        <v>8169</v>
      </c>
      <c r="H1754" s="21" t="s">
        <v>9870</v>
      </c>
    </row>
    <row r="1755" customFormat="false" ht="15" hidden="false" customHeight="false" outlineLevel="0" collapsed="false">
      <c r="B1755" s="19" t="s">
        <v>9871</v>
      </c>
      <c r="C1755" s="20" t="n">
        <f aca="false">ROUND(7.8/FX,2)</f>
        <v>1.08</v>
      </c>
      <c r="D1755" s="21" t="s">
        <v>6549</v>
      </c>
      <c r="E1755" s="21" t="s">
        <v>734</v>
      </c>
      <c r="F1755" s="21" t="s">
        <v>9823</v>
      </c>
      <c r="G1755" s="21" t="s">
        <v>8169</v>
      </c>
      <c r="H1755" s="21" t="s">
        <v>7833</v>
      </c>
    </row>
    <row r="1756" customFormat="false" ht="15" hidden="false" customHeight="false" outlineLevel="0" collapsed="false">
      <c r="B1756" s="19" t="s">
        <v>9872</v>
      </c>
      <c r="C1756" s="20" t="n">
        <f aca="false">ROUND(7.8/FX,2)</f>
        <v>1.08</v>
      </c>
      <c r="D1756" s="21" t="s">
        <v>6549</v>
      </c>
      <c r="E1756" s="21" t="s">
        <v>734</v>
      </c>
      <c r="F1756" s="21" t="s">
        <v>9823</v>
      </c>
      <c r="G1756" s="21" t="s">
        <v>8169</v>
      </c>
      <c r="H1756" s="21" t="s">
        <v>7860</v>
      </c>
    </row>
    <row r="1757" customFormat="false" ht="15" hidden="false" customHeight="false" outlineLevel="0" collapsed="false">
      <c r="B1757" s="19" t="s">
        <v>9873</v>
      </c>
      <c r="C1757" s="20" t="n">
        <f aca="false">ROUND(7.8/FX,2)</f>
        <v>1.08</v>
      </c>
      <c r="D1757" s="21" t="s">
        <v>6549</v>
      </c>
      <c r="E1757" s="21" t="s">
        <v>734</v>
      </c>
      <c r="F1757" s="21" t="s">
        <v>9823</v>
      </c>
      <c r="G1757" s="21" t="s">
        <v>8169</v>
      </c>
      <c r="H1757" s="21" t="s">
        <v>9874</v>
      </c>
    </row>
    <row r="1758" customFormat="false" ht="15" hidden="false" customHeight="false" outlineLevel="0" collapsed="false">
      <c r="B1758" s="19" t="s">
        <v>9875</v>
      </c>
      <c r="C1758" s="20" t="n">
        <f aca="false">ROUND(7.8/FX,2)</f>
        <v>1.08</v>
      </c>
      <c r="D1758" s="21" t="s">
        <v>6549</v>
      </c>
      <c r="E1758" s="21" t="s">
        <v>734</v>
      </c>
      <c r="F1758" s="21" t="s">
        <v>9823</v>
      </c>
      <c r="G1758" s="21" t="s">
        <v>8169</v>
      </c>
      <c r="H1758" s="21" t="s">
        <v>7893</v>
      </c>
    </row>
    <row r="1759" customFormat="false" ht="15" hidden="false" customHeight="false" outlineLevel="0" collapsed="false">
      <c r="B1759" s="19" t="s">
        <v>9876</v>
      </c>
      <c r="C1759" s="20" t="n">
        <f aca="false">ROUND(7.8/FX,2)</f>
        <v>1.08</v>
      </c>
      <c r="D1759" s="21" t="s">
        <v>6549</v>
      </c>
      <c r="E1759" s="21" t="s">
        <v>734</v>
      </c>
      <c r="F1759" s="21" t="s">
        <v>9823</v>
      </c>
      <c r="G1759" s="21" t="s">
        <v>8169</v>
      </c>
      <c r="H1759" s="21" t="s">
        <v>9877</v>
      </c>
    </row>
    <row r="1760" customFormat="false" ht="15" hidden="false" customHeight="false" outlineLevel="0" collapsed="false">
      <c r="B1760" s="19" t="s">
        <v>9878</v>
      </c>
      <c r="C1760" s="20" t="n">
        <f aca="false">ROUND(7.8/FX,2)</f>
        <v>1.08</v>
      </c>
      <c r="D1760" s="21" t="s">
        <v>6549</v>
      </c>
      <c r="E1760" s="21" t="s">
        <v>734</v>
      </c>
      <c r="F1760" s="21" t="s">
        <v>9823</v>
      </c>
      <c r="G1760" s="21" t="s">
        <v>8169</v>
      </c>
      <c r="H1760" s="21" t="s">
        <v>8010</v>
      </c>
    </row>
    <row r="1761" customFormat="false" ht="15" hidden="false" customHeight="false" outlineLevel="0" collapsed="false">
      <c r="B1761" s="19" t="s">
        <v>9879</v>
      </c>
      <c r="C1761" s="20" t="n">
        <f aca="false">ROUND(7.8/FX,2)</f>
        <v>1.08</v>
      </c>
      <c r="D1761" s="21" t="s">
        <v>6698</v>
      </c>
      <c r="E1761" s="21" t="s">
        <v>734</v>
      </c>
      <c r="F1761" s="21" t="s">
        <v>9823</v>
      </c>
      <c r="G1761" s="21" t="s">
        <v>8169</v>
      </c>
      <c r="H1761" s="21" t="s">
        <v>7862</v>
      </c>
    </row>
    <row r="1762" customFormat="false" ht="15" hidden="false" customHeight="false" outlineLevel="0" collapsed="false">
      <c r="B1762" s="19" t="s">
        <v>9880</v>
      </c>
      <c r="C1762" s="20" t="n">
        <f aca="false">ROUND(7.8/FX,2)</f>
        <v>1.08</v>
      </c>
      <c r="D1762" s="21" t="s">
        <v>6549</v>
      </c>
      <c r="E1762" s="21" t="s">
        <v>734</v>
      </c>
      <c r="F1762" s="21" t="s">
        <v>9823</v>
      </c>
      <c r="G1762" s="21" t="s">
        <v>8169</v>
      </c>
      <c r="H1762" s="21" t="s">
        <v>7864</v>
      </c>
    </row>
    <row r="1763" customFormat="false" ht="15" hidden="false" customHeight="false" outlineLevel="0" collapsed="false">
      <c r="B1763" s="19" t="s">
        <v>9881</v>
      </c>
      <c r="C1763" s="20" t="n">
        <f aca="false">ROUND(7.8/FX,2)</f>
        <v>1.08</v>
      </c>
      <c r="D1763" s="21" t="s">
        <v>6549</v>
      </c>
      <c r="E1763" s="21" t="s">
        <v>734</v>
      </c>
      <c r="F1763" s="21" t="s">
        <v>9823</v>
      </c>
      <c r="G1763" s="21" t="s">
        <v>8169</v>
      </c>
      <c r="H1763" s="21" t="s">
        <v>9882</v>
      </c>
    </row>
    <row r="1764" customFormat="false" ht="15" hidden="false" customHeight="false" outlineLevel="0" collapsed="false">
      <c r="B1764" s="19" t="s">
        <v>9883</v>
      </c>
      <c r="C1764" s="20" t="n">
        <f aca="false">ROUND(7.8/FX,2)</f>
        <v>1.08</v>
      </c>
      <c r="D1764" s="21" t="s">
        <v>6698</v>
      </c>
      <c r="E1764" s="21" t="s">
        <v>734</v>
      </c>
      <c r="F1764" s="21" t="s">
        <v>9823</v>
      </c>
      <c r="G1764" s="21" t="s">
        <v>8169</v>
      </c>
      <c r="H1764" s="21" t="s">
        <v>7872</v>
      </c>
    </row>
    <row r="1765" customFormat="false" ht="15" hidden="false" customHeight="false" outlineLevel="0" collapsed="false">
      <c r="B1765" s="19" t="s">
        <v>9884</v>
      </c>
      <c r="C1765" s="20" t="n">
        <f aca="false">ROUND(7.8/FX,2)</f>
        <v>1.08</v>
      </c>
      <c r="D1765" s="21" t="s">
        <v>6549</v>
      </c>
      <c r="E1765" s="21" t="s">
        <v>734</v>
      </c>
      <c r="F1765" s="21" t="s">
        <v>9823</v>
      </c>
      <c r="G1765" s="21" t="s">
        <v>8169</v>
      </c>
      <c r="H1765" s="21" t="s">
        <v>7866</v>
      </c>
    </row>
    <row r="1766" customFormat="false" ht="15" hidden="false" customHeight="false" outlineLevel="0" collapsed="false">
      <c r="B1766" s="19" t="s">
        <v>9885</v>
      </c>
      <c r="C1766" s="20" t="n">
        <f aca="false">ROUND(6.5/FX,2)</f>
        <v>0.9</v>
      </c>
      <c r="D1766" s="21" t="s">
        <v>6549</v>
      </c>
      <c r="E1766" s="21" t="s">
        <v>734</v>
      </c>
      <c r="F1766" s="21" t="s">
        <v>7902</v>
      </c>
      <c r="G1766" s="21" t="s">
        <v>8173</v>
      </c>
      <c r="H1766" s="21" t="s">
        <v>8170</v>
      </c>
    </row>
    <row r="1767" customFormat="false" ht="15" hidden="false" customHeight="false" outlineLevel="0" collapsed="false">
      <c r="B1767" s="19" t="s">
        <v>9886</v>
      </c>
      <c r="C1767" s="20" t="n">
        <f aca="false">ROUND(6.5/FX,2)</f>
        <v>0.9</v>
      </c>
      <c r="D1767" s="21" t="s">
        <v>6549</v>
      </c>
      <c r="E1767" s="21" t="s">
        <v>734</v>
      </c>
      <c r="F1767" s="21" t="s">
        <v>7902</v>
      </c>
      <c r="G1767" s="21" t="s">
        <v>8173</v>
      </c>
      <c r="H1767" s="21" t="s">
        <v>7875</v>
      </c>
    </row>
    <row r="1768" customFormat="false" ht="15" hidden="false" customHeight="false" outlineLevel="0" collapsed="false">
      <c r="B1768" s="19" t="s">
        <v>9887</v>
      </c>
      <c r="C1768" s="20" t="n">
        <f aca="false">ROUND(6.5/FX,2)</f>
        <v>0.9</v>
      </c>
      <c r="D1768" s="21" t="s">
        <v>6549</v>
      </c>
      <c r="E1768" s="21" t="s">
        <v>734</v>
      </c>
      <c r="F1768" s="21" t="s">
        <v>7902</v>
      </c>
      <c r="G1768" s="21" t="s">
        <v>8173</v>
      </c>
      <c r="H1768" s="21" t="s">
        <v>8180</v>
      </c>
    </row>
    <row r="1769" customFormat="false" ht="15" hidden="false" customHeight="false" outlineLevel="0" collapsed="false">
      <c r="B1769" s="19" t="s">
        <v>9888</v>
      </c>
      <c r="C1769" s="20" t="n">
        <f aca="false">ROUND(6.5/FX,2)</f>
        <v>0.9</v>
      </c>
      <c r="D1769" s="21" t="s">
        <v>6549</v>
      </c>
      <c r="E1769" s="21" t="s">
        <v>734</v>
      </c>
      <c r="F1769" s="21" t="s">
        <v>7902</v>
      </c>
      <c r="G1769" s="21" t="s">
        <v>8173</v>
      </c>
      <c r="H1769" s="21" t="s">
        <v>7910</v>
      </c>
    </row>
    <row r="1770" customFormat="false" ht="15" hidden="false" customHeight="false" outlineLevel="0" collapsed="false">
      <c r="B1770" s="19" t="s">
        <v>9889</v>
      </c>
      <c r="C1770" s="20" t="n">
        <f aca="false">ROUND(6.5/FX,2)</f>
        <v>0.9</v>
      </c>
      <c r="D1770" s="21" t="s">
        <v>6549</v>
      </c>
      <c r="E1770" s="21" t="s">
        <v>734</v>
      </c>
      <c r="F1770" s="21" t="s">
        <v>7902</v>
      </c>
      <c r="G1770" s="21" t="s">
        <v>8173</v>
      </c>
      <c r="H1770" s="21" t="s">
        <v>8185</v>
      </c>
    </row>
    <row r="1771" customFormat="false" ht="15" hidden="false" customHeight="false" outlineLevel="0" collapsed="false">
      <c r="B1771" s="19" t="s">
        <v>9890</v>
      </c>
      <c r="C1771" s="20" t="n">
        <f aca="false">ROUND(6.5/FX,2)</f>
        <v>0.9</v>
      </c>
      <c r="D1771" s="21" t="s">
        <v>6549</v>
      </c>
      <c r="E1771" s="21" t="s">
        <v>734</v>
      </c>
      <c r="F1771" s="21" t="s">
        <v>7902</v>
      </c>
      <c r="G1771" s="21" t="s">
        <v>8173</v>
      </c>
      <c r="H1771" s="21" t="s">
        <v>8188</v>
      </c>
    </row>
    <row r="1772" customFormat="false" ht="15" hidden="false" customHeight="false" outlineLevel="0" collapsed="false">
      <c r="B1772" s="19" t="s">
        <v>9891</v>
      </c>
      <c r="C1772" s="20" t="n">
        <f aca="false">ROUND(6.5/FX,2)</f>
        <v>0.9</v>
      </c>
      <c r="D1772" s="21" t="s">
        <v>6549</v>
      </c>
      <c r="E1772" s="21" t="s">
        <v>734</v>
      </c>
      <c r="F1772" s="21" t="s">
        <v>7902</v>
      </c>
      <c r="G1772" s="21" t="s">
        <v>8173</v>
      </c>
      <c r="H1772" s="21" t="s">
        <v>7912</v>
      </c>
    </row>
    <row r="1773" customFormat="false" ht="15" hidden="false" customHeight="false" outlineLevel="0" collapsed="false">
      <c r="B1773" s="19" t="s">
        <v>9892</v>
      </c>
      <c r="C1773" s="20" t="n">
        <f aca="false">ROUND(6.5/FX,2)</f>
        <v>0.9</v>
      </c>
      <c r="D1773" s="21" t="s">
        <v>6549</v>
      </c>
      <c r="E1773" s="21" t="s">
        <v>734</v>
      </c>
      <c r="F1773" s="21" t="s">
        <v>7902</v>
      </c>
      <c r="G1773" s="21" t="s">
        <v>8173</v>
      </c>
      <c r="H1773" s="21" t="s">
        <v>8193</v>
      </c>
    </row>
    <row r="1774" customFormat="false" ht="15" hidden="false" customHeight="false" outlineLevel="0" collapsed="false">
      <c r="B1774" s="19" t="s">
        <v>9893</v>
      </c>
      <c r="C1774" s="20" t="n">
        <f aca="false">ROUND(6.5/FX,2)</f>
        <v>0.9</v>
      </c>
      <c r="D1774" s="21" t="s">
        <v>6549</v>
      </c>
      <c r="E1774" s="21" t="s">
        <v>734</v>
      </c>
      <c r="F1774" s="21" t="s">
        <v>7902</v>
      </c>
      <c r="G1774" s="21" t="s">
        <v>8173</v>
      </c>
      <c r="H1774" s="21" t="s">
        <v>8196</v>
      </c>
    </row>
    <row r="1775" customFormat="false" ht="15" hidden="false" customHeight="false" outlineLevel="0" collapsed="false">
      <c r="B1775" s="19" t="s">
        <v>9894</v>
      </c>
      <c r="C1775" s="20" t="n">
        <f aca="false">ROUND(6.5/FX,2)</f>
        <v>0.9</v>
      </c>
      <c r="D1775" s="21" t="s">
        <v>6549</v>
      </c>
      <c r="E1775" s="21" t="s">
        <v>734</v>
      </c>
      <c r="F1775" s="21" t="s">
        <v>7902</v>
      </c>
      <c r="G1775" s="21" t="s">
        <v>8173</v>
      </c>
      <c r="H1775" s="21" t="s">
        <v>8199</v>
      </c>
    </row>
    <row r="1776" customFormat="false" ht="15" hidden="false" customHeight="false" outlineLevel="0" collapsed="false">
      <c r="B1776" s="19" t="s">
        <v>9895</v>
      </c>
      <c r="C1776" s="20" t="n">
        <f aca="false">ROUND(6.5/FX,2)</f>
        <v>0.9</v>
      </c>
      <c r="D1776" s="21" t="s">
        <v>6549</v>
      </c>
      <c r="E1776" s="21" t="s">
        <v>734</v>
      </c>
      <c r="F1776" s="21" t="s">
        <v>7902</v>
      </c>
      <c r="G1776" s="21" t="s">
        <v>8173</v>
      </c>
      <c r="H1776" s="21" t="s">
        <v>8202</v>
      </c>
    </row>
    <row r="1777" customFormat="false" ht="15" hidden="false" customHeight="false" outlineLevel="0" collapsed="false">
      <c r="B1777" s="19" t="s">
        <v>9896</v>
      </c>
      <c r="C1777" s="20" t="n">
        <f aca="false">ROUND(6.5/FX,2)</f>
        <v>0.9</v>
      </c>
      <c r="D1777" s="21" t="s">
        <v>6549</v>
      </c>
      <c r="E1777" s="21" t="s">
        <v>734</v>
      </c>
      <c r="F1777" s="21" t="s">
        <v>7902</v>
      </c>
      <c r="G1777" s="21" t="s">
        <v>8173</v>
      </c>
      <c r="H1777" s="21" t="s">
        <v>8205</v>
      </c>
    </row>
    <row r="1778" customFormat="false" ht="15" hidden="false" customHeight="false" outlineLevel="0" collapsed="false">
      <c r="B1778" s="19" t="s">
        <v>9897</v>
      </c>
      <c r="C1778" s="20" t="n">
        <f aca="false">ROUND(6.5/FX,2)</f>
        <v>0.9</v>
      </c>
      <c r="D1778" s="21" t="s">
        <v>6549</v>
      </c>
      <c r="E1778" s="21" t="s">
        <v>734</v>
      </c>
      <c r="F1778" s="21" t="s">
        <v>7902</v>
      </c>
      <c r="G1778" s="21" t="s">
        <v>8173</v>
      </c>
      <c r="H1778" s="21" t="s">
        <v>7845</v>
      </c>
    </row>
    <row r="1779" customFormat="false" ht="15" hidden="false" customHeight="false" outlineLevel="0" collapsed="false">
      <c r="B1779" s="19" t="s">
        <v>9898</v>
      </c>
      <c r="C1779" s="20" t="n">
        <f aca="false">ROUND(6.5/FX,2)</f>
        <v>0.9</v>
      </c>
      <c r="D1779" s="21" t="s">
        <v>6549</v>
      </c>
      <c r="E1779" s="21" t="s">
        <v>734</v>
      </c>
      <c r="F1779" s="21" t="s">
        <v>7902</v>
      </c>
      <c r="G1779" s="21" t="s">
        <v>8173</v>
      </c>
      <c r="H1779" s="21" t="s">
        <v>8210</v>
      </c>
    </row>
    <row r="1780" customFormat="false" ht="15" hidden="false" customHeight="false" outlineLevel="0" collapsed="false">
      <c r="B1780" s="19" t="s">
        <v>9899</v>
      </c>
      <c r="C1780" s="20" t="n">
        <f aca="false">ROUND(6.5/FX,2)</f>
        <v>0.9</v>
      </c>
      <c r="D1780" s="21" t="s">
        <v>6549</v>
      </c>
      <c r="E1780" s="21" t="s">
        <v>734</v>
      </c>
      <c r="F1780" s="21" t="s">
        <v>7902</v>
      </c>
      <c r="G1780" s="21" t="s">
        <v>8173</v>
      </c>
      <c r="H1780" s="21" t="s">
        <v>7914</v>
      </c>
    </row>
    <row r="1781" customFormat="false" ht="15" hidden="false" customHeight="false" outlineLevel="0" collapsed="false">
      <c r="B1781" s="19" t="s">
        <v>9900</v>
      </c>
      <c r="C1781" s="20" t="n">
        <f aca="false">ROUND(6.5/FX,2)</f>
        <v>0.9</v>
      </c>
      <c r="D1781" s="21" t="s">
        <v>6549</v>
      </c>
      <c r="E1781" s="21" t="s">
        <v>734</v>
      </c>
      <c r="F1781" s="21" t="s">
        <v>7902</v>
      </c>
      <c r="G1781" s="21" t="s">
        <v>8173</v>
      </c>
      <c r="H1781" s="21" t="s">
        <v>8215</v>
      </c>
    </row>
    <row r="1782" customFormat="false" ht="15" hidden="false" customHeight="false" outlineLevel="0" collapsed="false">
      <c r="B1782" s="19" t="s">
        <v>9901</v>
      </c>
      <c r="C1782" s="20" t="n">
        <f aca="false">ROUND(6.5/FX,2)</f>
        <v>0.9</v>
      </c>
      <c r="D1782" s="21" t="s">
        <v>6549</v>
      </c>
      <c r="E1782" s="21" t="s">
        <v>734</v>
      </c>
      <c r="F1782" s="21" t="s">
        <v>7902</v>
      </c>
      <c r="G1782" s="21" t="s">
        <v>8173</v>
      </c>
      <c r="H1782" s="21" t="s">
        <v>7916</v>
      </c>
    </row>
    <row r="1783" customFormat="false" ht="15" hidden="false" customHeight="false" outlineLevel="0" collapsed="false">
      <c r="B1783" s="19" t="s">
        <v>9902</v>
      </c>
      <c r="C1783" s="20" t="n">
        <f aca="false">ROUND(6.5/FX,2)</f>
        <v>0.9</v>
      </c>
      <c r="D1783" s="21" t="s">
        <v>6549</v>
      </c>
      <c r="E1783" s="21" t="s">
        <v>734</v>
      </c>
      <c r="F1783" s="21" t="s">
        <v>7902</v>
      </c>
      <c r="G1783" s="21" t="s">
        <v>8173</v>
      </c>
      <c r="H1783" s="21" t="s">
        <v>8220</v>
      </c>
    </row>
    <row r="1784" customFormat="false" ht="15" hidden="false" customHeight="false" outlineLevel="0" collapsed="false">
      <c r="B1784" s="19" t="s">
        <v>9903</v>
      </c>
      <c r="C1784" s="20" t="n">
        <f aca="false">ROUND(6.5/FX,2)</f>
        <v>0.9</v>
      </c>
      <c r="D1784" s="21" t="s">
        <v>6549</v>
      </c>
      <c r="E1784" s="21" t="s">
        <v>734</v>
      </c>
      <c r="F1784" s="21" t="s">
        <v>7902</v>
      </c>
      <c r="G1784" s="21" t="s">
        <v>8173</v>
      </c>
      <c r="H1784" s="21" t="s">
        <v>7918</v>
      </c>
    </row>
    <row r="1785" customFormat="false" ht="15" hidden="false" customHeight="false" outlineLevel="0" collapsed="false">
      <c r="B1785" s="19" t="s">
        <v>9904</v>
      </c>
      <c r="C1785" s="20" t="n">
        <f aca="false">ROUND(6.5/FX,2)</f>
        <v>0.9</v>
      </c>
      <c r="D1785" s="21" t="s">
        <v>6549</v>
      </c>
      <c r="E1785" s="21" t="s">
        <v>734</v>
      </c>
      <c r="F1785" s="21" t="s">
        <v>7902</v>
      </c>
      <c r="G1785" s="21" t="s">
        <v>8173</v>
      </c>
      <c r="H1785" s="21" t="s">
        <v>7847</v>
      </c>
    </row>
    <row r="1786" customFormat="false" ht="15" hidden="false" customHeight="false" outlineLevel="0" collapsed="false">
      <c r="B1786" s="19" t="s">
        <v>9905</v>
      </c>
      <c r="C1786" s="20" t="n">
        <f aca="false">ROUND(6.5/FX,2)</f>
        <v>0.9</v>
      </c>
      <c r="D1786" s="21" t="s">
        <v>6549</v>
      </c>
      <c r="E1786" s="21" t="s">
        <v>734</v>
      </c>
      <c r="F1786" s="21" t="s">
        <v>7902</v>
      </c>
      <c r="G1786" s="21" t="s">
        <v>8173</v>
      </c>
      <c r="H1786" s="21" t="s">
        <v>7849</v>
      </c>
    </row>
    <row r="1787" customFormat="false" ht="15" hidden="false" customHeight="false" outlineLevel="0" collapsed="false">
      <c r="B1787" s="19" t="s">
        <v>9906</v>
      </c>
      <c r="C1787" s="20" t="n">
        <f aca="false">ROUND(6.5/FX,2)</f>
        <v>0.9</v>
      </c>
      <c r="D1787" s="21" t="s">
        <v>6549</v>
      </c>
      <c r="E1787" s="21" t="s">
        <v>734</v>
      </c>
      <c r="F1787" s="21" t="s">
        <v>7902</v>
      </c>
      <c r="G1787" s="21" t="s">
        <v>8173</v>
      </c>
      <c r="H1787" s="21" t="s">
        <v>7922</v>
      </c>
    </row>
    <row r="1788" customFormat="false" ht="15" hidden="false" customHeight="false" outlineLevel="0" collapsed="false">
      <c r="B1788" s="19" t="s">
        <v>9907</v>
      </c>
      <c r="C1788" s="20" t="n">
        <f aca="false">ROUND(6.5/FX,2)</f>
        <v>0.9</v>
      </c>
      <c r="D1788" s="21" t="s">
        <v>6549</v>
      </c>
      <c r="E1788" s="21" t="s">
        <v>734</v>
      </c>
      <c r="F1788" s="21" t="s">
        <v>7902</v>
      </c>
      <c r="G1788" s="21" t="s">
        <v>8173</v>
      </c>
      <c r="H1788" s="21" t="s">
        <v>8231</v>
      </c>
    </row>
    <row r="1789" customFormat="false" ht="15" hidden="false" customHeight="false" outlineLevel="0" collapsed="false">
      <c r="B1789" s="19" t="s">
        <v>9908</v>
      </c>
      <c r="C1789" s="20" t="n">
        <f aca="false">ROUND(6.5/FX,2)</f>
        <v>0.9</v>
      </c>
      <c r="D1789" s="21" t="s">
        <v>6549</v>
      </c>
      <c r="E1789" s="21" t="s">
        <v>734</v>
      </c>
      <c r="F1789" s="21" t="s">
        <v>7902</v>
      </c>
      <c r="G1789" s="21" t="s">
        <v>8173</v>
      </c>
      <c r="H1789" s="21" t="s">
        <v>8234</v>
      </c>
    </row>
    <row r="1790" customFormat="false" ht="15" hidden="false" customHeight="false" outlineLevel="0" collapsed="false">
      <c r="B1790" s="19" t="s">
        <v>9909</v>
      </c>
      <c r="C1790" s="20" t="n">
        <f aca="false">ROUND(6.5/FX,2)</f>
        <v>0.9</v>
      </c>
      <c r="D1790" s="21" t="s">
        <v>6549</v>
      </c>
      <c r="E1790" s="21" t="s">
        <v>734</v>
      </c>
      <c r="F1790" s="21" t="s">
        <v>7902</v>
      </c>
      <c r="G1790" s="21" t="s">
        <v>8173</v>
      </c>
      <c r="H1790" s="21" t="s">
        <v>7851</v>
      </c>
    </row>
    <row r="1791" customFormat="false" ht="15" hidden="false" customHeight="false" outlineLevel="0" collapsed="false">
      <c r="B1791" s="19" t="s">
        <v>9910</v>
      </c>
      <c r="C1791" s="20" t="n">
        <f aca="false">ROUND(6.5/FX,2)</f>
        <v>0.9</v>
      </c>
      <c r="D1791" s="21" t="s">
        <v>6549</v>
      </c>
      <c r="E1791" s="21" t="s">
        <v>734</v>
      </c>
      <c r="F1791" s="21" t="s">
        <v>7902</v>
      </c>
      <c r="G1791" s="21" t="s">
        <v>8173</v>
      </c>
      <c r="H1791" s="21" t="s">
        <v>8239</v>
      </c>
    </row>
    <row r="1792" customFormat="false" ht="15" hidden="false" customHeight="false" outlineLevel="0" collapsed="false">
      <c r="B1792" s="19" t="s">
        <v>9911</v>
      </c>
      <c r="C1792" s="20" t="n">
        <f aca="false">ROUND(6.5/FX,2)</f>
        <v>0.9</v>
      </c>
      <c r="D1792" s="21" t="s">
        <v>6549</v>
      </c>
      <c r="E1792" s="21" t="s">
        <v>734</v>
      </c>
      <c r="F1792" s="21" t="s">
        <v>7902</v>
      </c>
      <c r="G1792" s="21" t="s">
        <v>8173</v>
      </c>
      <c r="H1792" s="21" t="s">
        <v>7927</v>
      </c>
    </row>
    <row r="1793" customFormat="false" ht="15" hidden="false" customHeight="false" outlineLevel="0" collapsed="false">
      <c r="B1793" s="19" t="s">
        <v>9912</v>
      </c>
      <c r="C1793" s="20" t="n">
        <f aca="false">ROUND(6.5/FX,2)</f>
        <v>0.9</v>
      </c>
      <c r="D1793" s="21" t="s">
        <v>6549</v>
      </c>
      <c r="E1793" s="21" t="s">
        <v>734</v>
      </c>
      <c r="F1793" s="21" t="s">
        <v>7902</v>
      </c>
      <c r="G1793" s="21" t="s">
        <v>8173</v>
      </c>
      <c r="H1793" s="21" t="s">
        <v>8244</v>
      </c>
    </row>
    <row r="1794" customFormat="false" ht="15" hidden="false" customHeight="false" outlineLevel="0" collapsed="false">
      <c r="B1794" s="19" t="s">
        <v>9913</v>
      </c>
      <c r="C1794" s="20" t="n">
        <f aca="false">ROUND(6.5/FX,2)</f>
        <v>0.9</v>
      </c>
      <c r="D1794" s="21" t="s">
        <v>6549</v>
      </c>
      <c r="E1794" s="21" t="s">
        <v>734</v>
      </c>
      <c r="F1794" s="21" t="s">
        <v>7902</v>
      </c>
      <c r="G1794" s="21" t="s">
        <v>8173</v>
      </c>
      <c r="H1794" s="21" t="s">
        <v>7827</v>
      </c>
    </row>
    <row r="1795" customFormat="false" ht="15" hidden="false" customHeight="false" outlineLevel="0" collapsed="false">
      <c r="B1795" s="19" t="s">
        <v>9914</v>
      </c>
      <c r="C1795" s="20" t="n">
        <f aca="false">ROUND(6.5/FX,2)</f>
        <v>0.9</v>
      </c>
      <c r="D1795" s="21" t="s">
        <v>6549</v>
      </c>
      <c r="E1795" s="21" t="s">
        <v>734</v>
      </c>
      <c r="F1795" s="21" t="s">
        <v>7902</v>
      </c>
      <c r="G1795" s="21" t="s">
        <v>8173</v>
      </c>
      <c r="H1795" s="21" t="s">
        <v>7853</v>
      </c>
    </row>
    <row r="1796" customFormat="false" ht="15" hidden="false" customHeight="false" outlineLevel="0" collapsed="false">
      <c r="B1796" s="19" t="s">
        <v>9915</v>
      </c>
      <c r="C1796" s="20" t="n">
        <f aca="false">ROUND(6.5/FX,2)</f>
        <v>0.9</v>
      </c>
      <c r="D1796" s="21" t="s">
        <v>6549</v>
      </c>
      <c r="E1796" s="21" t="s">
        <v>734</v>
      </c>
      <c r="F1796" s="21" t="s">
        <v>7902</v>
      </c>
      <c r="G1796" s="21" t="s">
        <v>8173</v>
      </c>
      <c r="H1796" s="21" t="s">
        <v>7869</v>
      </c>
    </row>
    <row r="1797" customFormat="false" ht="15" hidden="false" customHeight="false" outlineLevel="0" collapsed="false">
      <c r="B1797" s="19" t="s">
        <v>9916</v>
      </c>
      <c r="C1797" s="20" t="n">
        <f aca="false">ROUND(6.5/FX,2)</f>
        <v>0.9</v>
      </c>
      <c r="D1797" s="21" t="s">
        <v>6549</v>
      </c>
      <c r="E1797" s="21" t="s">
        <v>734</v>
      </c>
      <c r="F1797" s="21" t="s">
        <v>7902</v>
      </c>
      <c r="G1797" s="21" t="s">
        <v>8173</v>
      </c>
      <c r="H1797" s="21" t="s">
        <v>7855</v>
      </c>
    </row>
    <row r="1798" customFormat="false" ht="15" hidden="false" customHeight="false" outlineLevel="0" collapsed="false">
      <c r="B1798" s="19" t="s">
        <v>9917</v>
      </c>
      <c r="C1798" s="20" t="n">
        <f aca="false">ROUND(6.5/FX,2)</f>
        <v>0.9</v>
      </c>
      <c r="D1798" s="21" t="s">
        <v>6549</v>
      </c>
      <c r="E1798" s="21" t="s">
        <v>734</v>
      </c>
      <c r="F1798" s="21" t="s">
        <v>7902</v>
      </c>
      <c r="G1798" s="21" t="s">
        <v>8173</v>
      </c>
      <c r="H1798" s="21" t="s">
        <v>8255</v>
      </c>
    </row>
    <row r="1799" customFormat="false" ht="15" hidden="false" customHeight="false" outlineLevel="0" collapsed="false">
      <c r="B1799" s="19" t="s">
        <v>9918</v>
      </c>
      <c r="C1799" s="20" t="n">
        <f aca="false">ROUND(6.5/FX,2)</f>
        <v>0.9</v>
      </c>
      <c r="D1799" s="21" t="s">
        <v>6549</v>
      </c>
      <c r="E1799" s="21" t="s">
        <v>734</v>
      </c>
      <c r="F1799" s="21" t="s">
        <v>7902</v>
      </c>
      <c r="G1799" s="21" t="s">
        <v>8173</v>
      </c>
      <c r="H1799" s="21" t="s">
        <v>8258</v>
      </c>
    </row>
    <row r="1800" customFormat="false" ht="15" hidden="false" customHeight="false" outlineLevel="0" collapsed="false">
      <c r="B1800" s="19" t="s">
        <v>9919</v>
      </c>
      <c r="C1800" s="20" t="n">
        <f aca="false">ROUND(6.5/FX,2)</f>
        <v>0.9</v>
      </c>
      <c r="D1800" s="21" t="s">
        <v>6549</v>
      </c>
      <c r="E1800" s="21" t="s">
        <v>734</v>
      </c>
      <c r="F1800" s="21" t="s">
        <v>7902</v>
      </c>
      <c r="G1800" s="21" t="s">
        <v>8173</v>
      </c>
      <c r="H1800" s="21" t="s">
        <v>7933</v>
      </c>
    </row>
    <row r="1801" customFormat="false" ht="15" hidden="false" customHeight="false" outlineLevel="0" collapsed="false">
      <c r="B1801" s="19" t="s">
        <v>9920</v>
      </c>
      <c r="C1801" s="20" t="n">
        <f aca="false">ROUND(6.5/FX,2)</f>
        <v>0.9</v>
      </c>
      <c r="D1801" s="21" t="s">
        <v>6549</v>
      </c>
      <c r="E1801" s="21" t="s">
        <v>734</v>
      </c>
      <c r="F1801" s="21" t="s">
        <v>7902</v>
      </c>
      <c r="G1801" s="21" t="s">
        <v>8173</v>
      </c>
      <c r="H1801" s="21" t="s">
        <v>8263</v>
      </c>
    </row>
    <row r="1802" customFormat="false" ht="15" hidden="false" customHeight="false" outlineLevel="0" collapsed="false">
      <c r="B1802" s="19" t="s">
        <v>9921</v>
      </c>
      <c r="C1802" s="20" t="n">
        <f aca="false">ROUND(6.5/FX,2)</f>
        <v>0.9</v>
      </c>
      <c r="D1802" s="21" t="s">
        <v>6549</v>
      </c>
      <c r="E1802" s="21" t="s">
        <v>734</v>
      </c>
      <c r="F1802" s="21" t="s">
        <v>7902</v>
      </c>
      <c r="G1802" s="21" t="s">
        <v>8173</v>
      </c>
      <c r="H1802" s="21" t="s">
        <v>7881</v>
      </c>
    </row>
    <row r="1803" customFormat="false" ht="15" hidden="false" customHeight="false" outlineLevel="0" collapsed="false">
      <c r="B1803" s="19" t="s">
        <v>9922</v>
      </c>
      <c r="C1803" s="20" t="n">
        <f aca="false">ROUND(6.5/FX,2)</f>
        <v>0.9</v>
      </c>
      <c r="D1803" s="21" t="s">
        <v>6549</v>
      </c>
      <c r="E1803" s="21" t="s">
        <v>734</v>
      </c>
      <c r="F1803" s="21" t="s">
        <v>7902</v>
      </c>
      <c r="G1803" s="21" t="s">
        <v>8173</v>
      </c>
      <c r="H1803" s="21" t="s">
        <v>8270</v>
      </c>
    </row>
    <row r="1804" customFormat="false" ht="15" hidden="false" customHeight="false" outlineLevel="0" collapsed="false">
      <c r="B1804" s="19" t="s">
        <v>9923</v>
      </c>
      <c r="C1804" s="20" t="n">
        <f aca="false">ROUND(6.5/FX,2)</f>
        <v>0.9</v>
      </c>
      <c r="D1804" s="21" t="s">
        <v>6549</v>
      </c>
      <c r="E1804" s="21" t="s">
        <v>734</v>
      </c>
      <c r="F1804" s="21" t="s">
        <v>7902</v>
      </c>
      <c r="G1804" s="21" t="s">
        <v>8173</v>
      </c>
      <c r="H1804" s="21" t="s">
        <v>7829</v>
      </c>
    </row>
    <row r="1805" customFormat="false" ht="15" hidden="false" customHeight="false" outlineLevel="0" collapsed="false">
      <c r="B1805" s="19" t="s">
        <v>9924</v>
      </c>
      <c r="C1805" s="20" t="n">
        <f aca="false">ROUND(6.5/FX,2)</f>
        <v>0.9</v>
      </c>
      <c r="D1805" s="21" t="s">
        <v>6549</v>
      </c>
      <c r="E1805" s="21" t="s">
        <v>734</v>
      </c>
      <c r="F1805" s="21" t="s">
        <v>7902</v>
      </c>
      <c r="G1805" s="21" t="s">
        <v>8173</v>
      </c>
      <c r="H1805" s="21" t="s">
        <v>7831</v>
      </c>
    </row>
    <row r="1806" customFormat="false" ht="15" hidden="false" customHeight="false" outlineLevel="0" collapsed="false">
      <c r="B1806" s="19" t="s">
        <v>9925</v>
      </c>
      <c r="C1806" s="20" t="n">
        <f aca="false">ROUND(6.5/FX,2)</f>
        <v>0.9</v>
      </c>
      <c r="D1806" s="21" t="s">
        <v>6549</v>
      </c>
      <c r="E1806" s="21" t="s">
        <v>734</v>
      </c>
      <c r="F1806" s="21" t="s">
        <v>7902</v>
      </c>
      <c r="G1806" s="21" t="s">
        <v>8173</v>
      </c>
      <c r="H1806" s="21" t="s">
        <v>7944</v>
      </c>
    </row>
    <row r="1807" customFormat="false" ht="15" hidden="false" customHeight="false" outlineLevel="0" collapsed="false">
      <c r="B1807" s="19" t="s">
        <v>9926</v>
      </c>
      <c r="C1807" s="20" t="n">
        <f aca="false">ROUND(6.5/FX,2)</f>
        <v>0.9</v>
      </c>
      <c r="D1807" s="21" t="s">
        <v>6549</v>
      </c>
      <c r="E1807" s="21" t="s">
        <v>734</v>
      </c>
      <c r="F1807" s="21" t="s">
        <v>7902</v>
      </c>
      <c r="G1807" s="21" t="s">
        <v>8173</v>
      </c>
      <c r="H1807" s="21" t="s">
        <v>7946</v>
      </c>
    </row>
    <row r="1808" customFormat="false" ht="15" hidden="false" customHeight="false" outlineLevel="0" collapsed="false">
      <c r="B1808" s="19" t="s">
        <v>9927</v>
      </c>
      <c r="C1808" s="20" t="n">
        <f aca="false">ROUND(6.5/FX,2)</f>
        <v>0.9</v>
      </c>
      <c r="D1808" s="21" t="s">
        <v>6549</v>
      </c>
      <c r="E1808" s="21" t="s">
        <v>734</v>
      </c>
      <c r="F1808" s="21" t="s">
        <v>7902</v>
      </c>
      <c r="G1808" s="21" t="s">
        <v>8173</v>
      </c>
      <c r="H1808" s="21" t="s">
        <v>8287</v>
      </c>
    </row>
    <row r="1809" customFormat="false" ht="15" hidden="false" customHeight="false" outlineLevel="0" collapsed="false">
      <c r="B1809" s="19" t="s">
        <v>9928</v>
      </c>
      <c r="C1809" s="20" t="n">
        <f aca="false">ROUND(6.5/FX,2)</f>
        <v>0.9</v>
      </c>
      <c r="D1809" s="21" t="s">
        <v>6549</v>
      </c>
      <c r="E1809" s="21" t="s">
        <v>734</v>
      </c>
      <c r="F1809" s="21" t="s">
        <v>7902</v>
      </c>
      <c r="G1809" s="21" t="s">
        <v>8173</v>
      </c>
      <c r="H1809" s="21" t="s">
        <v>7833</v>
      </c>
    </row>
    <row r="1810" customFormat="false" ht="15" hidden="false" customHeight="false" outlineLevel="0" collapsed="false">
      <c r="B1810" s="19" t="s">
        <v>9929</v>
      </c>
      <c r="C1810" s="20" t="n">
        <f aca="false">ROUND(6.5/FX,2)</f>
        <v>0.9</v>
      </c>
      <c r="D1810" s="21" t="s">
        <v>6549</v>
      </c>
      <c r="E1810" s="21" t="s">
        <v>734</v>
      </c>
      <c r="F1810" s="21" t="s">
        <v>7902</v>
      </c>
      <c r="G1810" s="21" t="s">
        <v>8173</v>
      </c>
      <c r="H1810" s="21" t="s">
        <v>8294</v>
      </c>
    </row>
    <row r="1811" customFormat="false" ht="15" hidden="false" customHeight="false" outlineLevel="0" collapsed="false">
      <c r="B1811" s="19" t="s">
        <v>9930</v>
      </c>
      <c r="C1811" s="20" t="n">
        <f aca="false">ROUND(6.5/FX,2)</f>
        <v>0.9</v>
      </c>
      <c r="D1811" s="21" t="s">
        <v>6549</v>
      </c>
      <c r="E1811" s="21" t="s">
        <v>734</v>
      </c>
      <c r="F1811" s="21" t="s">
        <v>7902</v>
      </c>
      <c r="G1811" s="21" t="s">
        <v>8173</v>
      </c>
      <c r="H1811" s="21" t="s">
        <v>7891</v>
      </c>
    </row>
    <row r="1812" customFormat="false" ht="15" hidden="false" customHeight="false" outlineLevel="0" collapsed="false">
      <c r="B1812" s="19" t="s">
        <v>9931</v>
      </c>
      <c r="C1812" s="20" t="n">
        <f aca="false">ROUND(6.5/FX,2)</f>
        <v>0.9</v>
      </c>
      <c r="D1812" s="21" t="s">
        <v>6549</v>
      </c>
      <c r="E1812" s="21" t="s">
        <v>734</v>
      </c>
      <c r="F1812" s="21" t="s">
        <v>7902</v>
      </c>
      <c r="G1812" s="21" t="s">
        <v>8173</v>
      </c>
      <c r="H1812" s="21" t="s">
        <v>8303</v>
      </c>
    </row>
    <row r="1813" customFormat="false" ht="15" hidden="false" customHeight="false" outlineLevel="0" collapsed="false">
      <c r="B1813" s="19" t="s">
        <v>9932</v>
      </c>
      <c r="C1813" s="20" t="n">
        <f aca="false">ROUND(6.5/FX,2)</f>
        <v>0.9</v>
      </c>
      <c r="D1813" s="21" t="s">
        <v>6549</v>
      </c>
      <c r="E1813" s="21" t="s">
        <v>734</v>
      </c>
      <c r="F1813" s="21" t="s">
        <v>7902</v>
      </c>
      <c r="G1813" s="21" t="s">
        <v>8173</v>
      </c>
      <c r="H1813" s="21" t="s">
        <v>7860</v>
      </c>
    </row>
    <row r="1814" customFormat="false" ht="15" hidden="false" customHeight="false" outlineLevel="0" collapsed="false">
      <c r="B1814" s="19" t="s">
        <v>9933</v>
      </c>
      <c r="C1814" s="20" t="n">
        <f aca="false">ROUND(6.5/FX,2)</f>
        <v>0.9</v>
      </c>
      <c r="D1814" s="21" t="s">
        <v>6549</v>
      </c>
      <c r="E1814" s="21" t="s">
        <v>734</v>
      </c>
      <c r="F1814" s="21" t="s">
        <v>7902</v>
      </c>
      <c r="G1814" s="21" t="s">
        <v>8173</v>
      </c>
      <c r="H1814" s="21" t="s">
        <v>8310</v>
      </c>
    </row>
    <row r="1815" customFormat="false" ht="15" hidden="false" customHeight="false" outlineLevel="0" collapsed="false">
      <c r="B1815" s="19" t="s">
        <v>9934</v>
      </c>
      <c r="C1815" s="20" t="n">
        <f aca="false">ROUND(6.5/FX,2)</f>
        <v>0.9</v>
      </c>
      <c r="D1815" s="21" t="s">
        <v>6549</v>
      </c>
      <c r="E1815" s="21" t="s">
        <v>734</v>
      </c>
      <c r="F1815" s="21" t="s">
        <v>7902</v>
      </c>
      <c r="G1815" s="21" t="s">
        <v>8173</v>
      </c>
      <c r="H1815" s="21" t="s">
        <v>8313</v>
      </c>
    </row>
    <row r="1816" customFormat="false" ht="15" hidden="false" customHeight="false" outlineLevel="0" collapsed="false">
      <c r="B1816" s="19" t="s">
        <v>9935</v>
      </c>
      <c r="C1816" s="20" t="n">
        <f aca="false">ROUND(6.5/FX,2)</f>
        <v>0.9</v>
      </c>
      <c r="D1816" s="21" t="s">
        <v>6549</v>
      </c>
      <c r="E1816" s="21" t="s">
        <v>734</v>
      </c>
      <c r="F1816" s="21" t="s">
        <v>7902</v>
      </c>
      <c r="G1816" s="21" t="s">
        <v>8173</v>
      </c>
      <c r="H1816" s="21" t="s">
        <v>7893</v>
      </c>
    </row>
    <row r="1817" customFormat="false" ht="15" hidden="false" customHeight="false" outlineLevel="0" collapsed="false">
      <c r="B1817" s="19" t="s">
        <v>9936</v>
      </c>
      <c r="C1817" s="20" t="n">
        <f aca="false">ROUND(6.5/FX,2)</f>
        <v>0.9</v>
      </c>
      <c r="D1817" s="21" t="s">
        <v>6549</v>
      </c>
      <c r="E1817" s="21" t="s">
        <v>734</v>
      </c>
      <c r="F1817" s="21" t="s">
        <v>7902</v>
      </c>
      <c r="G1817" s="21" t="s">
        <v>8173</v>
      </c>
      <c r="H1817" s="21" t="s">
        <v>8320</v>
      </c>
    </row>
    <row r="1818" customFormat="false" ht="15" hidden="false" customHeight="false" outlineLevel="0" collapsed="false">
      <c r="B1818" s="19" t="s">
        <v>9937</v>
      </c>
      <c r="C1818" s="20" t="n">
        <f aca="false">ROUND(6.5/FX,2)</f>
        <v>0.9</v>
      </c>
      <c r="D1818" s="21" t="s">
        <v>6549</v>
      </c>
      <c r="E1818" s="21" t="s">
        <v>734</v>
      </c>
      <c r="F1818" s="21" t="s">
        <v>7902</v>
      </c>
      <c r="G1818" s="21" t="s">
        <v>8173</v>
      </c>
      <c r="H1818" s="21" t="s">
        <v>7895</v>
      </c>
    </row>
    <row r="1819" customFormat="false" ht="15" hidden="false" customHeight="false" outlineLevel="0" collapsed="false">
      <c r="B1819" s="19" t="s">
        <v>9938</v>
      </c>
      <c r="C1819" s="20" t="n">
        <f aca="false">ROUND(6.5/FX,2)</f>
        <v>0.9</v>
      </c>
      <c r="D1819" s="21" t="s">
        <v>6549</v>
      </c>
      <c r="E1819" s="21" t="s">
        <v>734</v>
      </c>
      <c r="F1819" s="21" t="s">
        <v>7902</v>
      </c>
      <c r="G1819" s="21" t="s">
        <v>8173</v>
      </c>
      <c r="H1819" s="21" t="s">
        <v>8329</v>
      </c>
    </row>
    <row r="1820" customFormat="false" ht="15" hidden="false" customHeight="false" outlineLevel="0" collapsed="false">
      <c r="B1820" s="19" t="s">
        <v>9939</v>
      </c>
      <c r="C1820" s="20" t="n">
        <f aca="false">ROUND(6.5/FX,2)</f>
        <v>0.9</v>
      </c>
      <c r="D1820" s="21" t="s">
        <v>6549</v>
      </c>
      <c r="E1820" s="21" t="s">
        <v>734</v>
      </c>
      <c r="F1820" s="21" t="s">
        <v>7902</v>
      </c>
      <c r="G1820" s="21" t="s">
        <v>8173</v>
      </c>
      <c r="H1820" s="21" t="s">
        <v>7862</v>
      </c>
    </row>
    <row r="1821" customFormat="false" ht="15" hidden="false" customHeight="false" outlineLevel="0" collapsed="false">
      <c r="B1821" s="19" t="s">
        <v>9940</v>
      </c>
      <c r="C1821" s="20" t="n">
        <f aca="false">ROUND(6.5/FX,2)</f>
        <v>0.9</v>
      </c>
      <c r="D1821" s="21" t="s">
        <v>6549</v>
      </c>
      <c r="E1821" s="21" t="s">
        <v>734</v>
      </c>
      <c r="F1821" s="21" t="s">
        <v>7902</v>
      </c>
      <c r="G1821" s="21" t="s">
        <v>8173</v>
      </c>
      <c r="H1821" s="21" t="s">
        <v>7864</v>
      </c>
    </row>
    <row r="1822" customFormat="false" ht="15" hidden="false" customHeight="false" outlineLevel="0" collapsed="false">
      <c r="B1822" s="19" t="s">
        <v>9941</v>
      </c>
      <c r="C1822" s="20" t="n">
        <f aca="false">ROUND(6.5/FX,2)</f>
        <v>0.9</v>
      </c>
      <c r="D1822" s="21" t="s">
        <v>6549</v>
      </c>
      <c r="E1822" s="21" t="s">
        <v>734</v>
      </c>
      <c r="F1822" s="21" t="s">
        <v>7902</v>
      </c>
      <c r="G1822" s="21" t="s">
        <v>8173</v>
      </c>
      <c r="H1822" s="21" t="s">
        <v>7961</v>
      </c>
    </row>
    <row r="1823" customFormat="false" ht="15" hidden="false" customHeight="false" outlineLevel="0" collapsed="false">
      <c r="B1823" s="19" t="s">
        <v>9942</v>
      </c>
      <c r="C1823" s="20" t="n">
        <f aca="false">ROUND(6.5/FX,2)</f>
        <v>0.9</v>
      </c>
      <c r="D1823" s="21" t="s">
        <v>6549</v>
      </c>
      <c r="E1823" s="21" t="s">
        <v>734</v>
      </c>
      <c r="F1823" s="21" t="s">
        <v>7902</v>
      </c>
      <c r="G1823" s="21" t="s">
        <v>8173</v>
      </c>
      <c r="H1823" s="21" t="s">
        <v>8342</v>
      </c>
    </row>
    <row r="1824" customFormat="false" ht="15" hidden="false" customHeight="false" outlineLevel="0" collapsed="false">
      <c r="B1824" s="19" t="s">
        <v>9943</v>
      </c>
      <c r="C1824" s="20" t="n">
        <f aca="false">ROUND(6.5/FX,2)</f>
        <v>0.9</v>
      </c>
      <c r="D1824" s="21" t="s">
        <v>6549</v>
      </c>
      <c r="E1824" s="21" t="s">
        <v>734</v>
      </c>
      <c r="F1824" s="21" t="s">
        <v>7902</v>
      </c>
      <c r="G1824" s="21" t="s">
        <v>8173</v>
      </c>
      <c r="H1824" s="21" t="s">
        <v>7872</v>
      </c>
    </row>
    <row r="1825" customFormat="false" ht="15" hidden="false" customHeight="false" outlineLevel="0" collapsed="false">
      <c r="B1825" s="19" t="s">
        <v>9944</v>
      </c>
      <c r="C1825" s="20" t="n">
        <f aca="false">ROUND(6.5/FX,2)</f>
        <v>0.9</v>
      </c>
      <c r="D1825" s="21" t="s">
        <v>6549</v>
      </c>
      <c r="E1825" s="21" t="s">
        <v>734</v>
      </c>
      <c r="F1825" s="21" t="s">
        <v>7902</v>
      </c>
      <c r="G1825" s="21" t="s">
        <v>8173</v>
      </c>
      <c r="H1825" s="21" t="s">
        <v>8349</v>
      </c>
    </row>
    <row r="1826" customFormat="false" ht="15" hidden="false" customHeight="false" outlineLevel="0" collapsed="false">
      <c r="B1826" s="19" t="s">
        <v>9945</v>
      </c>
      <c r="C1826" s="20" t="n">
        <f aca="false">ROUND(6.5/FX,2)</f>
        <v>0.9</v>
      </c>
      <c r="D1826" s="21" t="s">
        <v>6549</v>
      </c>
      <c r="E1826" s="21" t="s">
        <v>734</v>
      </c>
      <c r="F1826" s="21" t="s">
        <v>7902</v>
      </c>
      <c r="G1826" s="21" t="s">
        <v>8173</v>
      </c>
      <c r="H1826" s="21" t="s">
        <v>8354</v>
      </c>
    </row>
    <row r="1827" customFormat="false" ht="15" hidden="false" customHeight="false" outlineLevel="0" collapsed="false">
      <c r="B1827" s="19" t="s">
        <v>9946</v>
      </c>
      <c r="C1827" s="20" t="n">
        <f aca="false">ROUND(6.5/FX,2)</f>
        <v>0.9</v>
      </c>
      <c r="D1827" s="21" t="s">
        <v>6549</v>
      </c>
      <c r="E1827" s="21" t="s">
        <v>734</v>
      </c>
      <c r="F1827" s="21" t="s">
        <v>7902</v>
      </c>
      <c r="G1827" s="21" t="s">
        <v>8173</v>
      </c>
      <c r="H1827" s="21" t="s">
        <v>8357</v>
      </c>
    </row>
    <row r="1828" customFormat="false" ht="15" hidden="false" customHeight="false" outlineLevel="0" collapsed="false">
      <c r="B1828" s="19" t="s">
        <v>9947</v>
      </c>
      <c r="C1828" s="20" t="n">
        <f aca="false">ROUND(6.5/FX,2)</f>
        <v>0.9</v>
      </c>
      <c r="D1828" s="21" t="s">
        <v>6549</v>
      </c>
      <c r="E1828" s="21" t="s">
        <v>734</v>
      </c>
      <c r="F1828" s="21" t="s">
        <v>7902</v>
      </c>
      <c r="G1828" s="21" t="s">
        <v>8173</v>
      </c>
      <c r="H1828" s="21" t="s">
        <v>8360</v>
      </c>
    </row>
    <row r="1829" customFormat="false" ht="15" hidden="false" customHeight="false" outlineLevel="0" collapsed="false">
      <c r="B1829" s="19" t="s">
        <v>9948</v>
      </c>
      <c r="C1829" s="20" t="n">
        <f aca="false">ROUND(6.5/FX,2)</f>
        <v>0.9</v>
      </c>
      <c r="D1829" s="21" t="s">
        <v>6549</v>
      </c>
      <c r="E1829" s="21" t="s">
        <v>734</v>
      </c>
      <c r="F1829" s="21" t="s">
        <v>7902</v>
      </c>
      <c r="G1829" s="21" t="s">
        <v>8173</v>
      </c>
      <c r="H1829" s="21" t="s">
        <v>8363</v>
      </c>
    </row>
    <row r="1830" customFormat="false" ht="15" hidden="false" customHeight="false" outlineLevel="0" collapsed="false">
      <c r="B1830" s="19" t="s">
        <v>9949</v>
      </c>
      <c r="C1830" s="20" t="n">
        <f aca="false">ROUND(6.5/FX,2)</f>
        <v>0.9</v>
      </c>
      <c r="D1830" s="21" t="s">
        <v>6549</v>
      </c>
      <c r="E1830" s="21" t="s">
        <v>734</v>
      </c>
      <c r="F1830" s="21" t="s">
        <v>7902</v>
      </c>
      <c r="G1830" s="21" t="s">
        <v>8173</v>
      </c>
      <c r="H1830" s="21" t="s">
        <v>8366</v>
      </c>
    </row>
    <row r="1831" customFormat="false" ht="15" hidden="false" customHeight="false" outlineLevel="0" collapsed="false">
      <c r="B1831" s="19" t="s">
        <v>9950</v>
      </c>
      <c r="C1831" s="20" t="n">
        <f aca="false">ROUND(6.5/FX,2)</f>
        <v>0.9</v>
      </c>
      <c r="D1831" s="21" t="s">
        <v>6549</v>
      </c>
      <c r="E1831" s="21" t="s">
        <v>734</v>
      </c>
      <c r="F1831" s="21" t="s">
        <v>7902</v>
      </c>
      <c r="G1831" s="21" t="s">
        <v>8173</v>
      </c>
      <c r="H1831" s="21" t="s">
        <v>7966</v>
      </c>
    </row>
    <row r="1832" customFormat="false" ht="15" hidden="false" customHeight="false" outlineLevel="0" collapsed="false">
      <c r="B1832" s="19" t="s">
        <v>9951</v>
      </c>
      <c r="C1832" s="20" t="n">
        <f aca="false">ROUND(6.5/FX,2)</f>
        <v>0.9</v>
      </c>
      <c r="D1832" s="21" t="s">
        <v>6549</v>
      </c>
      <c r="E1832" s="21" t="s">
        <v>734</v>
      </c>
      <c r="F1832" s="21" t="s">
        <v>7902</v>
      </c>
      <c r="G1832" s="21" t="s">
        <v>8173</v>
      </c>
      <c r="H1832" s="21" t="s">
        <v>8371</v>
      </c>
    </row>
    <row r="1833" customFormat="false" ht="15" hidden="false" customHeight="false" outlineLevel="0" collapsed="false">
      <c r="B1833" s="19" t="s">
        <v>9952</v>
      </c>
      <c r="C1833" s="20" t="n">
        <f aca="false">ROUND(6.5/FX,2)</f>
        <v>0.9</v>
      </c>
      <c r="D1833" s="21" t="s">
        <v>6549</v>
      </c>
      <c r="E1833" s="21" t="s">
        <v>734</v>
      </c>
      <c r="F1833" s="21" t="s">
        <v>7902</v>
      </c>
      <c r="G1833" s="21" t="s">
        <v>8173</v>
      </c>
      <c r="H1833" s="21" t="s">
        <v>7968</v>
      </c>
    </row>
    <row r="1834" customFormat="false" ht="15" hidden="false" customHeight="false" outlineLevel="0" collapsed="false">
      <c r="B1834" s="19" t="s">
        <v>9953</v>
      </c>
      <c r="C1834" s="20" t="n">
        <f aca="false">ROUND(6.5/FX,2)</f>
        <v>0.9</v>
      </c>
      <c r="D1834" s="21" t="s">
        <v>6549</v>
      </c>
      <c r="E1834" s="21" t="s">
        <v>734</v>
      </c>
      <c r="F1834" s="21" t="s">
        <v>7902</v>
      </c>
      <c r="G1834" s="21" t="s">
        <v>8173</v>
      </c>
      <c r="H1834" s="21" t="s">
        <v>8376</v>
      </c>
    </row>
    <row r="1835" customFormat="false" ht="15" hidden="false" customHeight="false" outlineLevel="0" collapsed="false">
      <c r="B1835" s="19" t="s">
        <v>9954</v>
      </c>
      <c r="C1835" s="20" t="n">
        <f aca="false">ROUND(6.5/FX,2)</f>
        <v>0.9</v>
      </c>
      <c r="D1835" s="21" t="s">
        <v>6549</v>
      </c>
      <c r="E1835" s="21" t="s">
        <v>734</v>
      </c>
      <c r="F1835" s="21" t="s">
        <v>7902</v>
      </c>
      <c r="G1835" s="21" t="s">
        <v>8173</v>
      </c>
      <c r="H1835" s="21" t="s">
        <v>8379</v>
      </c>
    </row>
    <row r="1836" customFormat="false" ht="15" hidden="false" customHeight="false" outlineLevel="0" collapsed="false">
      <c r="B1836" s="19" t="s">
        <v>9955</v>
      </c>
      <c r="C1836" s="20" t="n">
        <f aca="false">ROUND(6.5/FX,2)</f>
        <v>0.9</v>
      </c>
      <c r="D1836" s="21" t="s">
        <v>6549</v>
      </c>
      <c r="E1836" s="21" t="s">
        <v>734</v>
      </c>
      <c r="F1836" s="21" t="s">
        <v>7902</v>
      </c>
      <c r="G1836" s="21" t="s">
        <v>8173</v>
      </c>
      <c r="H1836" s="21" t="s">
        <v>8382</v>
      </c>
    </row>
    <row r="1837" customFormat="false" ht="15" hidden="false" customHeight="false" outlineLevel="0" collapsed="false">
      <c r="B1837" s="19" t="s">
        <v>9956</v>
      </c>
      <c r="C1837" s="20" t="n">
        <f aca="false">ROUND(6.5/FX,2)</f>
        <v>0.9</v>
      </c>
      <c r="D1837" s="21" t="s">
        <v>6549</v>
      </c>
      <c r="E1837" s="21" t="s">
        <v>734</v>
      </c>
      <c r="F1837" s="21" t="s">
        <v>7902</v>
      </c>
      <c r="G1837" s="21" t="s">
        <v>8173</v>
      </c>
      <c r="H1837" s="21" t="s">
        <v>7899</v>
      </c>
    </row>
    <row r="1838" customFormat="false" ht="15" hidden="false" customHeight="false" outlineLevel="0" collapsed="false">
      <c r="B1838" s="19" t="s">
        <v>9957</v>
      </c>
      <c r="C1838" s="20" t="n">
        <f aca="false">ROUND(6.5/FX,2)</f>
        <v>0.9</v>
      </c>
      <c r="D1838" s="21" t="s">
        <v>6549</v>
      </c>
      <c r="E1838" s="21" t="s">
        <v>734</v>
      </c>
      <c r="F1838" s="21" t="s">
        <v>7902</v>
      </c>
      <c r="G1838" s="21" t="s">
        <v>8173</v>
      </c>
      <c r="H1838" s="21" t="s">
        <v>8389</v>
      </c>
    </row>
    <row r="1839" customFormat="false" ht="15" hidden="false" customHeight="false" outlineLevel="0" collapsed="false">
      <c r="B1839" s="19" t="s">
        <v>9958</v>
      </c>
      <c r="C1839" s="20" t="n">
        <f aca="false">ROUND(6.5/FX,2)</f>
        <v>0.9</v>
      </c>
      <c r="D1839" s="21" t="s">
        <v>6549</v>
      </c>
      <c r="E1839" s="21" t="s">
        <v>734</v>
      </c>
      <c r="F1839" s="21" t="s">
        <v>7902</v>
      </c>
      <c r="G1839" s="21" t="s">
        <v>8173</v>
      </c>
      <c r="H1839" s="21" t="s">
        <v>7866</v>
      </c>
    </row>
    <row r="1840" customFormat="false" ht="15" hidden="false" customHeight="false" outlineLevel="0" collapsed="false">
      <c r="B1840" s="19" t="s">
        <v>9959</v>
      </c>
      <c r="C1840" s="20" t="n">
        <f aca="false">ROUND(6.5/FX,2)</f>
        <v>0.9</v>
      </c>
      <c r="D1840" s="21" t="s">
        <v>6549</v>
      </c>
      <c r="E1840" s="21" t="s">
        <v>734</v>
      </c>
      <c r="F1840" s="21" t="s">
        <v>7902</v>
      </c>
      <c r="G1840" s="21" t="s">
        <v>8173</v>
      </c>
      <c r="H1840" s="21" t="s">
        <v>8396</v>
      </c>
    </row>
    <row r="1841" customFormat="false" ht="15" hidden="false" customHeight="false" outlineLevel="0" collapsed="false">
      <c r="B1841" s="19" t="s">
        <v>9960</v>
      </c>
      <c r="C1841" s="20" t="n">
        <f aca="false">ROUND(6.5/FX,2)</f>
        <v>0.9</v>
      </c>
      <c r="D1841" s="21" t="s">
        <v>6549</v>
      </c>
      <c r="E1841" s="21" t="s">
        <v>734</v>
      </c>
      <c r="F1841" s="21" t="s">
        <v>7902</v>
      </c>
      <c r="G1841" s="21" t="s">
        <v>8173</v>
      </c>
      <c r="H1841" s="21" t="s">
        <v>8401</v>
      </c>
    </row>
    <row r="1842" customFormat="false" ht="15" hidden="false" customHeight="false" outlineLevel="0" collapsed="false">
      <c r="B1842" s="19" t="s">
        <v>9961</v>
      </c>
      <c r="C1842" s="20" t="n">
        <f aca="false">ROUND(6.5/FX,2)</f>
        <v>0.9</v>
      </c>
      <c r="D1842" s="21" t="s">
        <v>6549</v>
      </c>
      <c r="E1842" s="21" t="s">
        <v>734</v>
      </c>
      <c r="F1842" s="21" t="s">
        <v>7902</v>
      </c>
      <c r="G1842" s="21" t="s">
        <v>8173</v>
      </c>
      <c r="H1842" s="21" t="s">
        <v>8406</v>
      </c>
    </row>
    <row r="1843" customFormat="false" ht="15" hidden="false" customHeight="false" outlineLevel="0" collapsed="false">
      <c r="B1843" s="19" t="s">
        <v>9962</v>
      </c>
      <c r="C1843" s="20" t="n">
        <f aca="false">ROUND(6.5/FX,2)</f>
        <v>0.9</v>
      </c>
      <c r="D1843" s="21" t="s">
        <v>6549</v>
      </c>
      <c r="E1843" s="21" t="s">
        <v>734</v>
      </c>
      <c r="F1843" s="21" t="s">
        <v>7902</v>
      </c>
      <c r="G1843" s="21" t="s">
        <v>8173</v>
      </c>
      <c r="H1843" s="21" t="s">
        <v>8409</v>
      </c>
    </row>
    <row r="1844" customFormat="false" ht="15" hidden="false" customHeight="false" outlineLevel="0" collapsed="false">
      <c r="B1844" s="19" t="s">
        <v>9963</v>
      </c>
      <c r="C1844" s="20" t="n">
        <f aca="false">ROUND(7.15/FX,2)</f>
        <v>0.99</v>
      </c>
      <c r="D1844" s="21" t="s">
        <v>6549</v>
      </c>
      <c r="E1844" s="21" t="s">
        <v>734</v>
      </c>
      <c r="F1844" s="21" t="s">
        <v>7979</v>
      </c>
      <c r="G1844" s="21" t="s">
        <v>8169</v>
      </c>
      <c r="H1844" s="21" t="s">
        <v>7875</v>
      </c>
    </row>
    <row r="1845" customFormat="false" ht="15" hidden="false" customHeight="false" outlineLevel="0" collapsed="false">
      <c r="B1845" s="19" t="s">
        <v>9964</v>
      </c>
      <c r="C1845" s="20" t="n">
        <f aca="false">ROUND(7.15/FX,2)</f>
        <v>0.99</v>
      </c>
      <c r="D1845" s="21" t="s">
        <v>6549</v>
      </c>
      <c r="E1845" s="21" t="s">
        <v>734</v>
      </c>
      <c r="F1845" s="21" t="s">
        <v>7979</v>
      </c>
      <c r="G1845" s="21" t="s">
        <v>8415</v>
      </c>
      <c r="H1845" s="21" t="s">
        <v>7875</v>
      </c>
    </row>
    <row r="1846" customFormat="false" ht="15" hidden="false" customHeight="false" outlineLevel="0" collapsed="false">
      <c r="B1846" s="19" t="s">
        <v>9965</v>
      </c>
      <c r="C1846" s="20" t="n">
        <f aca="false">ROUND(7.15/FX,2)</f>
        <v>0.99</v>
      </c>
      <c r="D1846" s="21" t="s">
        <v>6549</v>
      </c>
      <c r="E1846" s="21" t="s">
        <v>734</v>
      </c>
      <c r="F1846" s="21" t="s">
        <v>7979</v>
      </c>
      <c r="G1846" s="21" t="s">
        <v>8169</v>
      </c>
      <c r="H1846" s="21" t="s">
        <v>7910</v>
      </c>
    </row>
    <row r="1847" customFormat="false" ht="15" hidden="false" customHeight="false" outlineLevel="0" collapsed="false">
      <c r="B1847" s="19" t="s">
        <v>9966</v>
      </c>
      <c r="C1847" s="20" t="n">
        <f aca="false">ROUND(7.15/FX,2)</f>
        <v>0.99</v>
      </c>
      <c r="D1847" s="21" t="s">
        <v>6549</v>
      </c>
      <c r="E1847" s="21" t="s">
        <v>734</v>
      </c>
      <c r="F1847" s="21" t="s">
        <v>7979</v>
      </c>
      <c r="G1847" s="21" t="s">
        <v>8415</v>
      </c>
      <c r="H1847" s="21" t="s">
        <v>7910</v>
      </c>
    </row>
    <row r="1848" customFormat="false" ht="15" hidden="false" customHeight="false" outlineLevel="0" collapsed="false">
      <c r="B1848" s="19" t="s">
        <v>9967</v>
      </c>
      <c r="C1848" s="20" t="n">
        <f aca="false">ROUND(7.15/FX,2)</f>
        <v>0.99</v>
      </c>
      <c r="D1848" s="21" t="s">
        <v>6549</v>
      </c>
      <c r="E1848" s="21" t="s">
        <v>734</v>
      </c>
      <c r="F1848" s="21" t="s">
        <v>7979</v>
      </c>
      <c r="G1848" s="21" t="s">
        <v>8169</v>
      </c>
      <c r="H1848" s="21" t="s">
        <v>8188</v>
      </c>
    </row>
    <row r="1849" customFormat="false" ht="15" hidden="false" customHeight="false" outlineLevel="0" collapsed="false">
      <c r="B1849" s="19" t="s">
        <v>9968</v>
      </c>
      <c r="C1849" s="20" t="n">
        <f aca="false">ROUND(7.15/FX,2)</f>
        <v>0.99</v>
      </c>
      <c r="D1849" s="21" t="s">
        <v>6549</v>
      </c>
      <c r="E1849" s="21" t="s">
        <v>734</v>
      </c>
      <c r="F1849" s="21" t="s">
        <v>7979</v>
      </c>
      <c r="G1849" s="21" t="s">
        <v>8415</v>
      </c>
      <c r="H1849" s="21" t="s">
        <v>8188</v>
      </c>
    </row>
    <row r="1850" customFormat="false" ht="15" hidden="false" customHeight="false" outlineLevel="0" collapsed="false">
      <c r="B1850" s="19" t="s">
        <v>9969</v>
      </c>
      <c r="C1850" s="20" t="n">
        <f aca="false">ROUND(7.15/FX,2)</f>
        <v>0.99</v>
      </c>
      <c r="D1850" s="21" t="s">
        <v>6549</v>
      </c>
      <c r="E1850" s="21" t="s">
        <v>734</v>
      </c>
      <c r="F1850" s="21" t="s">
        <v>7979</v>
      </c>
      <c r="G1850" s="21" t="s">
        <v>8169</v>
      </c>
      <c r="H1850" s="21" t="s">
        <v>7912</v>
      </c>
    </row>
    <row r="1851" customFormat="false" ht="15" hidden="false" customHeight="false" outlineLevel="0" collapsed="false">
      <c r="B1851" s="19" t="s">
        <v>9970</v>
      </c>
      <c r="C1851" s="20" t="n">
        <f aca="false">ROUND(7.15/FX,2)</f>
        <v>0.99</v>
      </c>
      <c r="D1851" s="21" t="s">
        <v>6549</v>
      </c>
      <c r="E1851" s="21" t="s">
        <v>734</v>
      </c>
      <c r="F1851" s="21" t="s">
        <v>7979</v>
      </c>
      <c r="G1851" s="21" t="s">
        <v>8415</v>
      </c>
      <c r="H1851" s="21" t="s">
        <v>7912</v>
      </c>
    </row>
    <row r="1852" customFormat="false" ht="15" hidden="false" customHeight="false" outlineLevel="0" collapsed="false">
      <c r="B1852" s="19" t="s">
        <v>9971</v>
      </c>
      <c r="C1852" s="20" t="n">
        <f aca="false">ROUND(7.15/FX,2)</f>
        <v>0.99</v>
      </c>
      <c r="D1852" s="21" t="s">
        <v>6549</v>
      </c>
      <c r="E1852" s="21" t="s">
        <v>734</v>
      </c>
      <c r="F1852" s="21" t="s">
        <v>7979</v>
      </c>
      <c r="G1852" s="21" t="s">
        <v>8169</v>
      </c>
      <c r="H1852" s="21" t="s">
        <v>8193</v>
      </c>
    </row>
    <row r="1853" customFormat="false" ht="15" hidden="false" customHeight="false" outlineLevel="0" collapsed="false">
      <c r="B1853" s="19" t="s">
        <v>9972</v>
      </c>
      <c r="C1853" s="20" t="n">
        <f aca="false">ROUND(7.15/FX,2)</f>
        <v>0.99</v>
      </c>
      <c r="D1853" s="21" t="s">
        <v>6549</v>
      </c>
      <c r="E1853" s="21" t="s">
        <v>734</v>
      </c>
      <c r="F1853" s="21" t="s">
        <v>7979</v>
      </c>
      <c r="G1853" s="21" t="s">
        <v>8415</v>
      </c>
      <c r="H1853" s="21" t="s">
        <v>8193</v>
      </c>
    </row>
    <row r="1854" customFormat="false" ht="15" hidden="false" customHeight="false" outlineLevel="0" collapsed="false">
      <c r="B1854" s="19" t="s">
        <v>9973</v>
      </c>
      <c r="C1854" s="20" t="n">
        <f aca="false">ROUND(7.15/FX,2)</f>
        <v>0.99</v>
      </c>
      <c r="D1854" s="21" t="s">
        <v>6549</v>
      </c>
      <c r="E1854" s="21" t="s">
        <v>734</v>
      </c>
      <c r="F1854" s="21" t="s">
        <v>7979</v>
      </c>
      <c r="G1854" s="21" t="s">
        <v>8169</v>
      </c>
      <c r="H1854" s="21" t="s">
        <v>8196</v>
      </c>
    </row>
    <row r="1855" customFormat="false" ht="15" hidden="false" customHeight="false" outlineLevel="0" collapsed="false">
      <c r="B1855" s="19" t="s">
        <v>9974</v>
      </c>
      <c r="C1855" s="20" t="n">
        <f aca="false">ROUND(7.15/FX,2)</f>
        <v>0.99</v>
      </c>
      <c r="D1855" s="21" t="s">
        <v>6549</v>
      </c>
      <c r="E1855" s="21" t="s">
        <v>734</v>
      </c>
      <c r="F1855" s="21" t="s">
        <v>7979</v>
      </c>
      <c r="G1855" s="21" t="s">
        <v>8415</v>
      </c>
      <c r="H1855" s="21" t="s">
        <v>8196</v>
      </c>
    </row>
    <row r="1856" customFormat="false" ht="15" hidden="false" customHeight="false" outlineLevel="0" collapsed="false">
      <c r="B1856" s="19" t="s">
        <v>9975</v>
      </c>
      <c r="C1856" s="20" t="n">
        <f aca="false">ROUND(7.15/FX,2)</f>
        <v>0.99</v>
      </c>
      <c r="D1856" s="21" t="s">
        <v>6549</v>
      </c>
      <c r="E1856" s="21" t="s">
        <v>734</v>
      </c>
      <c r="F1856" s="21" t="s">
        <v>7979</v>
      </c>
      <c r="G1856" s="21" t="s">
        <v>8169</v>
      </c>
      <c r="H1856" s="21" t="s">
        <v>8199</v>
      </c>
    </row>
    <row r="1857" customFormat="false" ht="15" hidden="false" customHeight="false" outlineLevel="0" collapsed="false">
      <c r="B1857" s="19" t="s">
        <v>9976</v>
      </c>
      <c r="C1857" s="20" t="n">
        <f aca="false">ROUND(7.15/FX,2)</f>
        <v>0.99</v>
      </c>
      <c r="D1857" s="21" t="s">
        <v>6549</v>
      </c>
      <c r="E1857" s="21" t="s">
        <v>734</v>
      </c>
      <c r="F1857" s="21" t="s">
        <v>7979</v>
      </c>
      <c r="G1857" s="21" t="s">
        <v>8415</v>
      </c>
      <c r="H1857" s="21" t="s">
        <v>8199</v>
      </c>
    </row>
    <row r="1858" customFormat="false" ht="15" hidden="false" customHeight="false" outlineLevel="0" collapsed="false">
      <c r="B1858" s="19" t="s">
        <v>9977</v>
      </c>
      <c r="C1858" s="20" t="n">
        <f aca="false">ROUND(7.15/FX,2)</f>
        <v>0.99</v>
      </c>
      <c r="D1858" s="21" t="s">
        <v>6549</v>
      </c>
      <c r="E1858" s="21" t="s">
        <v>734</v>
      </c>
      <c r="F1858" s="21" t="s">
        <v>7979</v>
      </c>
      <c r="G1858" s="21" t="s">
        <v>8169</v>
      </c>
      <c r="H1858" s="21" t="s">
        <v>8202</v>
      </c>
    </row>
    <row r="1859" customFormat="false" ht="15" hidden="false" customHeight="false" outlineLevel="0" collapsed="false">
      <c r="B1859" s="19" t="s">
        <v>9978</v>
      </c>
      <c r="C1859" s="20" t="n">
        <f aca="false">ROUND(7.15/FX,2)</f>
        <v>0.99</v>
      </c>
      <c r="D1859" s="21" t="s">
        <v>6549</v>
      </c>
      <c r="E1859" s="21" t="s">
        <v>734</v>
      </c>
      <c r="F1859" s="21" t="s">
        <v>7979</v>
      </c>
      <c r="G1859" s="21" t="s">
        <v>8415</v>
      </c>
      <c r="H1859" s="21" t="s">
        <v>8202</v>
      </c>
    </row>
    <row r="1860" customFormat="false" ht="15" hidden="false" customHeight="false" outlineLevel="0" collapsed="false">
      <c r="B1860" s="19" t="s">
        <v>9979</v>
      </c>
      <c r="C1860" s="20" t="n">
        <f aca="false">ROUND(7.15/FX,2)</f>
        <v>0.99</v>
      </c>
      <c r="D1860" s="21" t="s">
        <v>6549</v>
      </c>
      <c r="E1860" s="21" t="s">
        <v>734</v>
      </c>
      <c r="F1860" s="21" t="s">
        <v>7979</v>
      </c>
      <c r="G1860" s="21" t="s">
        <v>8169</v>
      </c>
      <c r="H1860" s="21" t="s">
        <v>7845</v>
      </c>
    </row>
    <row r="1861" customFormat="false" ht="15" hidden="false" customHeight="false" outlineLevel="0" collapsed="false">
      <c r="B1861" s="19" t="s">
        <v>9980</v>
      </c>
      <c r="C1861" s="20" t="n">
        <f aca="false">ROUND(7.15/FX,2)</f>
        <v>0.99</v>
      </c>
      <c r="D1861" s="21" t="s">
        <v>6549</v>
      </c>
      <c r="E1861" s="21" t="s">
        <v>734</v>
      </c>
      <c r="F1861" s="21" t="s">
        <v>7979</v>
      </c>
      <c r="G1861" s="21" t="s">
        <v>8415</v>
      </c>
      <c r="H1861" s="21" t="s">
        <v>7845</v>
      </c>
    </row>
    <row r="1862" customFormat="false" ht="15" hidden="false" customHeight="false" outlineLevel="0" collapsed="false">
      <c r="B1862" s="19" t="s">
        <v>9981</v>
      </c>
      <c r="C1862" s="20" t="n">
        <f aca="false">ROUND(7.15/FX,2)</f>
        <v>0.99</v>
      </c>
      <c r="D1862" s="21" t="s">
        <v>6549</v>
      </c>
      <c r="E1862" s="21" t="s">
        <v>734</v>
      </c>
      <c r="F1862" s="21" t="s">
        <v>7979</v>
      </c>
      <c r="G1862" s="21" t="s">
        <v>8169</v>
      </c>
      <c r="H1862" s="21" t="s">
        <v>8210</v>
      </c>
    </row>
    <row r="1863" customFormat="false" ht="15" hidden="false" customHeight="false" outlineLevel="0" collapsed="false">
      <c r="B1863" s="19" t="s">
        <v>9982</v>
      </c>
      <c r="C1863" s="20" t="n">
        <f aca="false">ROUND(7.15/FX,2)</f>
        <v>0.99</v>
      </c>
      <c r="D1863" s="21" t="s">
        <v>6549</v>
      </c>
      <c r="E1863" s="21" t="s">
        <v>734</v>
      </c>
      <c r="F1863" s="21" t="s">
        <v>7979</v>
      </c>
      <c r="G1863" s="21" t="s">
        <v>8415</v>
      </c>
      <c r="H1863" s="21" t="s">
        <v>8210</v>
      </c>
    </row>
    <row r="1864" customFormat="false" ht="15" hidden="false" customHeight="false" outlineLevel="0" collapsed="false">
      <c r="B1864" s="19" t="s">
        <v>9983</v>
      </c>
      <c r="C1864" s="20" t="n">
        <f aca="false">ROUND(7.15/FX,2)</f>
        <v>0.99</v>
      </c>
      <c r="D1864" s="21" t="s">
        <v>6549</v>
      </c>
      <c r="E1864" s="21" t="s">
        <v>734</v>
      </c>
      <c r="F1864" s="21" t="s">
        <v>7979</v>
      </c>
      <c r="G1864" s="21" t="s">
        <v>8169</v>
      </c>
      <c r="H1864" s="21" t="s">
        <v>7914</v>
      </c>
    </row>
    <row r="1865" customFormat="false" ht="15" hidden="false" customHeight="false" outlineLevel="0" collapsed="false">
      <c r="B1865" s="19" t="s">
        <v>9984</v>
      </c>
      <c r="C1865" s="20" t="n">
        <f aca="false">ROUND(7.15/FX,2)</f>
        <v>0.99</v>
      </c>
      <c r="D1865" s="21" t="s">
        <v>6549</v>
      </c>
      <c r="E1865" s="21" t="s">
        <v>734</v>
      </c>
      <c r="F1865" s="21" t="s">
        <v>7979</v>
      </c>
      <c r="G1865" s="21" t="s">
        <v>8415</v>
      </c>
      <c r="H1865" s="21" t="s">
        <v>7914</v>
      </c>
    </row>
    <row r="1866" customFormat="false" ht="15" hidden="false" customHeight="false" outlineLevel="0" collapsed="false">
      <c r="B1866" s="19" t="s">
        <v>9985</v>
      </c>
      <c r="C1866" s="20" t="n">
        <f aca="false">ROUND(7.15/FX,2)</f>
        <v>0.99</v>
      </c>
      <c r="D1866" s="21" t="s">
        <v>6549</v>
      </c>
      <c r="E1866" s="21" t="s">
        <v>734</v>
      </c>
      <c r="F1866" s="21" t="s">
        <v>7979</v>
      </c>
      <c r="G1866" s="21" t="s">
        <v>8169</v>
      </c>
      <c r="H1866" s="21" t="s">
        <v>7916</v>
      </c>
    </row>
    <row r="1867" customFormat="false" ht="15" hidden="false" customHeight="false" outlineLevel="0" collapsed="false">
      <c r="B1867" s="19" t="s">
        <v>9986</v>
      </c>
      <c r="C1867" s="20" t="n">
        <f aca="false">ROUND(7.15/FX,2)</f>
        <v>0.99</v>
      </c>
      <c r="D1867" s="21" t="s">
        <v>6549</v>
      </c>
      <c r="E1867" s="21" t="s">
        <v>734</v>
      </c>
      <c r="F1867" s="21" t="s">
        <v>7979</v>
      </c>
      <c r="G1867" s="21" t="s">
        <v>8415</v>
      </c>
      <c r="H1867" s="21" t="s">
        <v>7916</v>
      </c>
    </row>
    <row r="1868" customFormat="false" ht="15" hidden="false" customHeight="false" outlineLevel="0" collapsed="false">
      <c r="B1868" s="19" t="s">
        <v>9987</v>
      </c>
      <c r="C1868" s="20" t="n">
        <f aca="false">ROUND(7.15/FX,2)</f>
        <v>0.99</v>
      </c>
      <c r="D1868" s="21" t="s">
        <v>6549</v>
      </c>
      <c r="E1868" s="21" t="s">
        <v>734</v>
      </c>
      <c r="F1868" s="21" t="s">
        <v>7979</v>
      </c>
      <c r="G1868" s="21" t="s">
        <v>8169</v>
      </c>
      <c r="H1868" s="21" t="s">
        <v>8220</v>
      </c>
    </row>
    <row r="1869" customFormat="false" ht="15" hidden="false" customHeight="false" outlineLevel="0" collapsed="false">
      <c r="B1869" s="19" t="s">
        <v>9988</v>
      </c>
      <c r="C1869" s="20" t="n">
        <f aca="false">ROUND(7.15/FX,2)</f>
        <v>0.99</v>
      </c>
      <c r="D1869" s="21" t="s">
        <v>6549</v>
      </c>
      <c r="E1869" s="21" t="s">
        <v>734</v>
      </c>
      <c r="F1869" s="21" t="s">
        <v>7979</v>
      </c>
      <c r="G1869" s="21" t="s">
        <v>8415</v>
      </c>
      <c r="H1869" s="21" t="s">
        <v>8220</v>
      </c>
    </row>
    <row r="1870" customFormat="false" ht="15" hidden="false" customHeight="false" outlineLevel="0" collapsed="false">
      <c r="B1870" s="19" t="s">
        <v>9989</v>
      </c>
      <c r="C1870" s="20" t="n">
        <f aca="false">ROUND(7.15/FX,2)</f>
        <v>0.99</v>
      </c>
      <c r="D1870" s="21" t="s">
        <v>6549</v>
      </c>
      <c r="E1870" s="21" t="s">
        <v>734</v>
      </c>
      <c r="F1870" s="21" t="s">
        <v>7979</v>
      </c>
      <c r="G1870" s="21" t="s">
        <v>8169</v>
      </c>
      <c r="H1870" s="21" t="s">
        <v>7918</v>
      </c>
    </row>
    <row r="1871" customFormat="false" ht="15" hidden="false" customHeight="false" outlineLevel="0" collapsed="false">
      <c r="B1871" s="19" t="s">
        <v>9990</v>
      </c>
      <c r="C1871" s="20" t="n">
        <f aca="false">ROUND(7.15/FX,2)</f>
        <v>0.99</v>
      </c>
      <c r="D1871" s="21" t="s">
        <v>6549</v>
      </c>
      <c r="E1871" s="21" t="s">
        <v>734</v>
      </c>
      <c r="F1871" s="21" t="s">
        <v>7979</v>
      </c>
      <c r="G1871" s="21" t="s">
        <v>8415</v>
      </c>
      <c r="H1871" s="21" t="s">
        <v>7918</v>
      </c>
    </row>
    <row r="1872" customFormat="false" ht="15" hidden="false" customHeight="false" outlineLevel="0" collapsed="false">
      <c r="B1872" s="19" t="s">
        <v>9991</v>
      </c>
      <c r="C1872" s="20" t="n">
        <f aca="false">ROUND(7.15/FX,2)</f>
        <v>0.99</v>
      </c>
      <c r="D1872" s="21" t="s">
        <v>6549</v>
      </c>
      <c r="E1872" s="21" t="s">
        <v>734</v>
      </c>
      <c r="F1872" s="21" t="s">
        <v>7979</v>
      </c>
      <c r="G1872" s="21" t="s">
        <v>8169</v>
      </c>
      <c r="H1872" s="21" t="s">
        <v>7847</v>
      </c>
    </row>
    <row r="1873" customFormat="false" ht="15" hidden="false" customHeight="false" outlineLevel="0" collapsed="false">
      <c r="B1873" s="19" t="s">
        <v>9992</v>
      </c>
      <c r="C1873" s="20" t="n">
        <f aca="false">ROUND(7.15/FX,2)</f>
        <v>0.99</v>
      </c>
      <c r="D1873" s="21" t="s">
        <v>6549</v>
      </c>
      <c r="E1873" s="21" t="s">
        <v>734</v>
      </c>
      <c r="F1873" s="21" t="s">
        <v>7979</v>
      </c>
      <c r="G1873" s="21" t="s">
        <v>8415</v>
      </c>
      <c r="H1873" s="21" t="s">
        <v>7847</v>
      </c>
    </row>
    <row r="1874" customFormat="false" ht="15" hidden="false" customHeight="false" outlineLevel="0" collapsed="false">
      <c r="B1874" s="19" t="s">
        <v>9993</v>
      </c>
      <c r="C1874" s="20" t="n">
        <f aca="false">ROUND(7.15/FX,2)</f>
        <v>0.99</v>
      </c>
      <c r="D1874" s="21" t="s">
        <v>6549</v>
      </c>
      <c r="E1874" s="21" t="s">
        <v>734</v>
      </c>
      <c r="F1874" s="21" t="s">
        <v>7979</v>
      </c>
      <c r="G1874" s="21" t="s">
        <v>8169</v>
      </c>
      <c r="H1874" s="21" t="s">
        <v>7849</v>
      </c>
    </row>
    <row r="1875" customFormat="false" ht="15" hidden="false" customHeight="false" outlineLevel="0" collapsed="false">
      <c r="B1875" s="19" t="s">
        <v>9994</v>
      </c>
      <c r="C1875" s="20" t="n">
        <f aca="false">ROUND(7.15/FX,2)</f>
        <v>0.99</v>
      </c>
      <c r="D1875" s="21" t="s">
        <v>6549</v>
      </c>
      <c r="E1875" s="21" t="s">
        <v>734</v>
      </c>
      <c r="F1875" s="21" t="s">
        <v>7979</v>
      </c>
      <c r="G1875" s="21" t="s">
        <v>8415</v>
      </c>
      <c r="H1875" s="21" t="s">
        <v>7849</v>
      </c>
    </row>
    <row r="1876" customFormat="false" ht="15" hidden="false" customHeight="false" outlineLevel="0" collapsed="false">
      <c r="B1876" s="19" t="s">
        <v>9995</v>
      </c>
      <c r="C1876" s="20" t="n">
        <f aca="false">ROUND(7.15/FX,2)</f>
        <v>0.99</v>
      </c>
      <c r="D1876" s="21" t="s">
        <v>6549</v>
      </c>
      <c r="E1876" s="21" t="s">
        <v>734</v>
      </c>
      <c r="F1876" s="21" t="s">
        <v>7979</v>
      </c>
      <c r="G1876" s="21" t="s">
        <v>8169</v>
      </c>
      <c r="H1876" s="21" t="s">
        <v>7922</v>
      </c>
    </row>
    <row r="1877" customFormat="false" ht="15" hidden="false" customHeight="false" outlineLevel="0" collapsed="false">
      <c r="B1877" s="19" t="s">
        <v>9996</v>
      </c>
      <c r="C1877" s="20" t="n">
        <f aca="false">ROUND(7.15/FX,2)</f>
        <v>0.99</v>
      </c>
      <c r="D1877" s="21" t="s">
        <v>6549</v>
      </c>
      <c r="E1877" s="21" t="s">
        <v>734</v>
      </c>
      <c r="F1877" s="21" t="s">
        <v>7979</v>
      </c>
      <c r="G1877" s="21" t="s">
        <v>8415</v>
      </c>
      <c r="H1877" s="21" t="s">
        <v>7922</v>
      </c>
    </row>
    <row r="1878" customFormat="false" ht="15" hidden="false" customHeight="false" outlineLevel="0" collapsed="false">
      <c r="B1878" s="19" t="s">
        <v>9997</v>
      </c>
      <c r="C1878" s="20" t="n">
        <f aca="false">ROUND(7.15/FX,2)</f>
        <v>0.99</v>
      </c>
      <c r="D1878" s="21" t="s">
        <v>6549</v>
      </c>
      <c r="E1878" s="21" t="s">
        <v>734</v>
      </c>
      <c r="F1878" s="21" t="s">
        <v>7979</v>
      </c>
      <c r="G1878" s="21" t="s">
        <v>8169</v>
      </c>
      <c r="H1878" s="21" t="s">
        <v>8231</v>
      </c>
    </row>
    <row r="1879" customFormat="false" ht="15" hidden="false" customHeight="false" outlineLevel="0" collapsed="false">
      <c r="B1879" s="19" t="s">
        <v>9998</v>
      </c>
      <c r="C1879" s="20" t="n">
        <f aca="false">ROUND(7.15/FX,2)</f>
        <v>0.99</v>
      </c>
      <c r="D1879" s="21" t="s">
        <v>6549</v>
      </c>
      <c r="E1879" s="21" t="s">
        <v>734</v>
      </c>
      <c r="F1879" s="21" t="s">
        <v>7979</v>
      </c>
      <c r="G1879" s="21" t="s">
        <v>8415</v>
      </c>
      <c r="H1879" s="21" t="s">
        <v>8231</v>
      </c>
    </row>
    <row r="1880" customFormat="false" ht="15" hidden="false" customHeight="false" outlineLevel="0" collapsed="false">
      <c r="B1880" s="19" t="s">
        <v>9999</v>
      </c>
      <c r="C1880" s="20" t="n">
        <f aca="false">ROUND(7.15/FX,2)</f>
        <v>0.99</v>
      </c>
      <c r="D1880" s="21" t="s">
        <v>6549</v>
      </c>
      <c r="E1880" s="21" t="s">
        <v>734</v>
      </c>
      <c r="F1880" s="21" t="s">
        <v>7979</v>
      </c>
      <c r="G1880" s="21" t="s">
        <v>8169</v>
      </c>
      <c r="H1880" s="21" t="s">
        <v>7851</v>
      </c>
    </row>
    <row r="1881" customFormat="false" ht="15" hidden="false" customHeight="false" outlineLevel="0" collapsed="false">
      <c r="B1881" s="19" t="s">
        <v>10000</v>
      </c>
      <c r="C1881" s="20" t="n">
        <f aca="false">ROUND(7.15/FX,2)</f>
        <v>0.99</v>
      </c>
      <c r="D1881" s="21" t="s">
        <v>6549</v>
      </c>
      <c r="E1881" s="21" t="s">
        <v>734</v>
      </c>
      <c r="F1881" s="21" t="s">
        <v>7979</v>
      </c>
      <c r="G1881" s="21" t="s">
        <v>8415</v>
      </c>
      <c r="H1881" s="21" t="s">
        <v>7851</v>
      </c>
    </row>
    <row r="1882" customFormat="false" ht="15" hidden="false" customHeight="false" outlineLevel="0" collapsed="false">
      <c r="B1882" s="19" t="s">
        <v>10001</v>
      </c>
      <c r="C1882" s="20" t="n">
        <f aca="false">ROUND(7.15/FX,2)</f>
        <v>0.99</v>
      </c>
      <c r="D1882" s="21" t="s">
        <v>6549</v>
      </c>
      <c r="E1882" s="21" t="s">
        <v>734</v>
      </c>
      <c r="F1882" s="21" t="s">
        <v>7979</v>
      </c>
      <c r="G1882" s="21" t="s">
        <v>8169</v>
      </c>
      <c r="H1882" s="21" t="s">
        <v>8239</v>
      </c>
    </row>
    <row r="1883" customFormat="false" ht="15" hidden="false" customHeight="false" outlineLevel="0" collapsed="false">
      <c r="B1883" s="19" t="s">
        <v>10002</v>
      </c>
      <c r="C1883" s="20" t="n">
        <f aca="false">ROUND(7.15/FX,2)</f>
        <v>0.99</v>
      </c>
      <c r="D1883" s="21" t="s">
        <v>6549</v>
      </c>
      <c r="E1883" s="21" t="s">
        <v>734</v>
      </c>
      <c r="F1883" s="21" t="s">
        <v>7979</v>
      </c>
      <c r="G1883" s="21" t="s">
        <v>8415</v>
      </c>
      <c r="H1883" s="21" t="s">
        <v>8239</v>
      </c>
    </row>
    <row r="1884" customFormat="false" ht="15" hidden="false" customHeight="false" outlineLevel="0" collapsed="false">
      <c r="B1884" s="19" t="s">
        <v>10003</v>
      </c>
      <c r="C1884" s="20" t="n">
        <f aca="false">ROUND(7.15/FX,2)</f>
        <v>0.99</v>
      </c>
      <c r="D1884" s="21" t="s">
        <v>6549</v>
      </c>
      <c r="E1884" s="21" t="s">
        <v>734</v>
      </c>
      <c r="F1884" s="21" t="s">
        <v>7979</v>
      </c>
      <c r="G1884" s="21" t="s">
        <v>8169</v>
      </c>
      <c r="H1884" s="21" t="s">
        <v>7927</v>
      </c>
    </row>
    <row r="1885" customFormat="false" ht="15" hidden="false" customHeight="false" outlineLevel="0" collapsed="false">
      <c r="B1885" s="19" t="s">
        <v>10004</v>
      </c>
      <c r="C1885" s="20" t="n">
        <f aca="false">ROUND(7.15/FX,2)</f>
        <v>0.99</v>
      </c>
      <c r="D1885" s="21" t="s">
        <v>6549</v>
      </c>
      <c r="E1885" s="21" t="s">
        <v>734</v>
      </c>
      <c r="F1885" s="21" t="s">
        <v>7979</v>
      </c>
      <c r="G1885" s="21" t="s">
        <v>8415</v>
      </c>
      <c r="H1885" s="21" t="s">
        <v>7927</v>
      </c>
    </row>
    <row r="1886" customFormat="false" ht="15" hidden="false" customHeight="false" outlineLevel="0" collapsed="false">
      <c r="B1886" s="19" t="s">
        <v>10005</v>
      </c>
      <c r="C1886" s="20" t="n">
        <f aca="false">ROUND(7.15/FX,2)</f>
        <v>0.99</v>
      </c>
      <c r="D1886" s="21" t="s">
        <v>6549</v>
      </c>
      <c r="E1886" s="21" t="s">
        <v>734</v>
      </c>
      <c r="F1886" s="21" t="s">
        <v>7979</v>
      </c>
      <c r="G1886" s="21" t="s">
        <v>8169</v>
      </c>
      <c r="H1886" s="21" t="s">
        <v>7827</v>
      </c>
    </row>
    <row r="1887" customFormat="false" ht="15" hidden="false" customHeight="false" outlineLevel="0" collapsed="false">
      <c r="B1887" s="19" t="s">
        <v>10006</v>
      </c>
      <c r="C1887" s="20" t="n">
        <f aca="false">ROUND(7.15/FX,2)</f>
        <v>0.99</v>
      </c>
      <c r="D1887" s="21" t="s">
        <v>6549</v>
      </c>
      <c r="E1887" s="21" t="s">
        <v>734</v>
      </c>
      <c r="F1887" s="21" t="s">
        <v>7979</v>
      </c>
      <c r="G1887" s="21" t="s">
        <v>8415</v>
      </c>
      <c r="H1887" s="21" t="s">
        <v>7827</v>
      </c>
    </row>
    <row r="1888" customFormat="false" ht="15" hidden="false" customHeight="false" outlineLevel="0" collapsed="false">
      <c r="B1888" s="19" t="s">
        <v>10007</v>
      </c>
      <c r="C1888" s="20" t="n">
        <f aca="false">ROUND(7.15/FX,2)</f>
        <v>0.99</v>
      </c>
      <c r="D1888" s="21" t="s">
        <v>6549</v>
      </c>
      <c r="E1888" s="21" t="s">
        <v>734</v>
      </c>
      <c r="F1888" s="21" t="s">
        <v>7979</v>
      </c>
      <c r="G1888" s="21" t="s">
        <v>8169</v>
      </c>
      <c r="H1888" s="21" t="s">
        <v>7853</v>
      </c>
    </row>
    <row r="1889" customFormat="false" ht="15" hidden="false" customHeight="false" outlineLevel="0" collapsed="false">
      <c r="B1889" s="19" t="s">
        <v>10008</v>
      </c>
      <c r="C1889" s="20" t="n">
        <f aca="false">ROUND(7.15/FX,2)</f>
        <v>0.99</v>
      </c>
      <c r="D1889" s="21" t="s">
        <v>6549</v>
      </c>
      <c r="E1889" s="21" t="s">
        <v>734</v>
      </c>
      <c r="F1889" s="21" t="s">
        <v>7979</v>
      </c>
      <c r="G1889" s="21" t="s">
        <v>8415</v>
      </c>
      <c r="H1889" s="21" t="s">
        <v>7853</v>
      </c>
    </row>
    <row r="1890" customFormat="false" ht="15" hidden="false" customHeight="false" outlineLevel="0" collapsed="false">
      <c r="B1890" s="19" t="s">
        <v>10009</v>
      </c>
      <c r="C1890" s="20" t="n">
        <f aca="false">ROUND(7.15/FX,2)</f>
        <v>0.99</v>
      </c>
      <c r="D1890" s="21" t="s">
        <v>6549</v>
      </c>
      <c r="E1890" s="21" t="s">
        <v>734</v>
      </c>
      <c r="F1890" s="21" t="s">
        <v>7979</v>
      </c>
      <c r="G1890" s="21" t="s">
        <v>8169</v>
      </c>
      <c r="H1890" s="21" t="s">
        <v>7869</v>
      </c>
    </row>
    <row r="1891" customFormat="false" ht="15" hidden="false" customHeight="false" outlineLevel="0" collapsed="false">
      <c r="B1891" s="19" t="s">
        <v>10010</v>
      </c>
      <c r="C1891" s="20" t="n">
        <f aca="false">ROUND(7.15/FX,2)</f>
        <v>0.99</v>
      </c>
      <c r="D1891" s="21" t="s">
        <v>6549</v>
      </c>
      <c r="E1891" s="21" t="s">
        <v>734</v>
      </c>
      <c r="F1891" s="21" t="s">
        <v>7979</v>
      </c>
      <c r="G1891" s="21" t="s">
        <v>8415</v>
      </c>
      <c r="H1891" s="21" t="s">
        <v>7869</v>
      </c>
    </row>
    <row r="1892" customFormat="false" ht="15" hidden="false" customHeight="false" outlineLevel="0" collapsed="false">
      <c r="B1892" s="19" t="s">
        <v>10011</v>
      </c>
      <c r="C1892" s="20" t="n">
        <f aca="false">ROUND(7.15/FX,2)</f>
        <v>0.99</v>
      </c>
      <c r="D1892" s="21" t="s">
        <v>6549</v>
      </c>
      <c r="E1892" s="21" t="s">
        <v>734</v>
      </c>
      <c r="F1892" s="21" t="s">
        <v>7979</v>
      </c>
      <c r="G1892" s="21" t="s">
        <v>8169</v>
      </c>
      <c r="H1892" s="21" t="s">
        <v>7855</v>
      </c>
    </row>
    <row r="1893" customFormat="false" ht="15" hidden="false" customHeight="false" outlineLevel="0" collapsed="false">
      <c r="B1893" s="19" t="s">
        <v>10012</v>
      </c>
      <c r="C1893" s="20" t="n">
        <f aca="false">ROUND(7.15/FX,2)</f>
        <v>0.99</v>
      </c>
      <c r="D1893" s="21" t="s">
        <v>6549</v>
      </c>
      <c r="E1893" s="21" t="s">
        <v>734</v>
      </c>
      <c r="F1893" s="21" t="s">
        <v>7979</v>
      </c>
      <c r="G1893" s="21" t="s">
        <v>8415</v>
      </c>
      <c r="H1893" s="21" t="s">
        <v>7855</v>
      </c>
    </row>
    <row r="1894" customFormat="false" ht="15" hidden="false" customHeight="false" outlineLevel="0" collapsed="false">
      <c r="B1894" s="19" t="s">
        <v>10013</v>
      </c>
      <c r="C1894" s="20" t="n">
        <f aca="false">ROUND(7.15/FX,2)</f>
        <v>0.99</v>
      </c>
      <c r="D1894" s="21" t="s">
        <v>6549</v>
      </c>
      <c r="E1894" s="21" t="s">
        <v>734</v>
      </c>
      <c r="F1894" s="21" t="s">
        <v>7979</v>
      </c>
      <c r="G1894" s="21" t="s">
        <v>8169</v>
      </c>
      <c r="H1894" s="21" t="s">
        <v>8255</v>
      </c>
    </row>
    <row r="1895" customFormat="false" ht="15" hidden="false" customHeight="false" outlineLevel="0" collapsed="false">
      <c r="B1895" s="19" t="s">
        <v>10014</v>
      </c>
      <c r="C1895" s="20" t="n">
        <f aca="false">ROUND(7.15/FX,2)</f>
        <v>0.99</v>
      </c>
      <c r="D1895" s="21" t="s">
        <v>6549</v>
      </c>
      <c r="E1895" s="21" t="s">
        <v>734</v>
      </c>
      <c r="F1895" s="21" t="s">
        <v>7979</v>
      </c>
      <c r="G1895" s="21" t="s">
        <v>8415</v>
      </c>
      <c r="H1895" s="21" t="s">
        <v>8255</v>
      </c>
    </row>
    <row r="1896" customFormat="false" ht="15" hidden="false" customHeight="false" outlineLevel="0" collapsed="false">
      <c r="B1896" s="19" t="s">
        <v>10015</v>
      </c>
      <c r="C1896" s="20" t="n">
        <f aca="false">ROUND(7.15/FX,2)</f>
        <v>0.99</v>
      </c>
      <c r="D1896" s="21" t="s">
        <v>6549</v>
      </c>
      <c r="E1896" s="21" t="s">
        <v>734</v>
      </c>
      <c r="F1896" s="21" t="s">
        <v>7979</v>
      </c>
      <c r="G1896" s="21" t="s">
        <v>8169</v>
      </c>
      <c r="H1896" s="21" t="s">
        <v>7933</v>
      </c>
    </row>
    <row r="1897" customFormat="false" ht="15" hidden="false" customHeight="false" outlineLevel="0" collapsed="false">
      <c r="B1897" s="19" t="s">
        <v>10016</v>
      </c>
      <c r="C1897" s="20" t="n">
        <f aca="false">ROUND(7.15/FX,2)</f>
        <v>0.99</v>
      </c>
      <c r="D1897" s="21" t="s">
        <v>6549</v>
      </c>
      <c r="E1897" s="21" t="s">
        <v>734</v>
      </c>
      <c r="F1897" s="21" t="s">
        <v>7979</v>
      </c>
      <c r="G1897" s="21" t="s">
        <v>8415</v>
      </c>
      <c r="H1897" s="21" t="s">
        <v>7933</v>
      </c>
    </row>
    <row r="1898" customFormat="false" ht="15" hidden="false" customHeight="false" outlineLevel="0" collapsed="false">
      <c r="B1898" s="19" t="s">
        <v>10017</v>
      </c>
      <c r="C1898" s="20" t="n">
        <f aca="false">ROUND(7.15/FX,2)</f>
        <v>0.99</v>
      </c>
      <c r="D1898" s="21" t="s">
        <v>6549</v>
      </c>
      <c r="E1898" s="21" t="s">
        <v>734</v>
      </c>
      <c r="F1898" s="21" t="s">
        <v>7979</v>
      </c>
      <c r="G1898" s="21" t="s">
        <v>8169</v>
      </c>
      <c r="H1898" s="21" t="s">
        <v>8263</v>
      </c>
    </row>
    <row r="1899" customFormat="false" ht="15" hidden="false" customHeight="false" outlineLevel="0" collapsed="false">
      <c r="B1899" s="19" t="s">
        <v>10018</v>
      </c>
      <c r="C1899" s="20" t="n">
        <f aca="false">ROUND(7.15/FX,2)</f>
        <v>0.99</v>
      </c>
      <c r="D1899" s="21" t="s">
        <v>6549</v>
      </c>
      <c r="E1899" s="21" t="s">
        <v>734</v>
      </c>
      <c r="F1899" s="21" t="s">
        <v>7979</v>
      </c>
      <c r="G1899" s="21" t="s">
        <v>8415</v>
      </c>
      <c r="H1899" s="21" t="s">
        <v>8263</v>
      </c>
    </row>
    <row r="1900" customFormat="false" ht="15" hidden="false" customHeight="false" outlineLevel="0" collapsed="false">
      <c r="B1900" s="19" t="s">
        <v>10019</v>
      </c>
      <c r="C1900" s="20" t="n">
        <f aca="false">ROUND(7.15/FX,2)</f>
        <v>0.99</v>
      </c>
      <c r="D1900" s="21" t="s">
        <v>6549</v>
      </c>
      <c r="E1900" s="21" t="s">
        <v>734</v>
      </c>
      <c r="F1900" s="21" t="s">
        <v>7979</v>
      </c>
      <c r="G1900" s="21" t="s">
        <v>8169</v>
      </c>
      <c r="H1900" s="21" t="s">
        <v>7881</v>
      </c>
    </row>
    <row r="1901" customFormat="false" ht="15" hidden="false" customHeight="false" outlineLevel="0" collapsed="false">
      <c r="B1901" s="19" t="s">
        <v>10020</v>
      </c>
      <c r="C1901" s="20" t="n">
        <f aca="false">ROUND(7.15/FX,2)</f>
        <v>0.99</v>
      </c>
      <c r="D1901" s="21" t="s">
        <v>6549</v>
      </c>
      <c r="E1901" s="21" t="s">
        <v>734</v>
      </c>
      <c r="F1901" s="21" t="s">
        <v>7979</v>
      </c>
      <c r="G1901" s="21" t="s">
        <v>8415</v>
      </c>
      <c r="H1901" s="21" t="s">
        <v>7881</v>
      </c>
    </row>
    <row r="1902" customFormat="false" ht="15" hidden="false" customHeight="false" outlineLevel="0" collapsed="false">
      <c r="B1902" s="19" t="s">
        <v>10021</v>
      </c>
      <c r="C1902" s="20" t="n">
        <f aca="false">ROUND(7.15/FX,2)</f>
        <v>0.99</v>
      </c>
      <c r="D1902" s="21" t="s">
        <v>6549</v>
      </c>
      <c r="E1902" s="21" t="s">
        <v>734</v>
      </c>
      <c r="F1902" s="21" t="s">
        <v>7979</v>
      </c>
      <c r="G1902" s="21" t="s">
        <v>8169</v>
      </c>
      <c r="H1902" s="21" t="s">
        <v>7829</v>
      </c>
    </row>
    <row r="1903" customFormat="false" ht="15" hidden="false" customHeight="false" outlineLevel="0" collapsed="false">
      <c r="B1903" s="19" t="s">
        <v>10022</v>
      </c>
      <c r="C1903" s="20" t="n">
        <f aca="false">ROUND(7.15/FX,2)</f>
        <v>0.99</v>
      </c>
      <c r="D1903" s="21" t="s">
        <v>6549</v>
      </c>
      <c r="E1903" s="21" t="s">
        <v>734</v>
      </c>
      <c r="F1903" s="21" t="s">
        <v>7979</v>
      </c>
      <c r="G1903" s="21" t="s">
        <v>8415</v>
      </c>
      <c r="H1903" s="21" t="s">
        <v>7829</v>
      </c>
    </row>
    <row r="1904" customFormat="false" ht="15" hidden="false" customHeight="false" outlineLevel="0" collapsed="false">
      <c r="B1904" s="19" t="s">
        <v>10023</v>
      </c>
      <c r="C1904" s="20" t="n">
        <f aca="false">ROUND(7.15/FX,2)</f>
        <v>0.99</v>
      </c>
      <c r="D1904" s="21" t="s">
        <v>6549</v>
      </c>
      <c r="E1904" s="21" t="s">
        <v>734</v>
      </c>
      <c r="F1904" s="21" t="s">
        <v>7979</v>
      </c>
      <c r="G1904" s="21" t="s">
        <v>8169</v>
      </c>
      <c r="H1904" s="21" t="s">
        <v>7831</v>
      </c>
    </row>
    <row r="1905" customFormat="false" ht="15" hidden="false" customHeight="false" outlineLevel="0" collapsed="false">
      <c r="B1905" s="19" t="s">
        <v>10024</v>
      </c>
      <c r="C1905" s="20" t="n">
        <f aca="false">ROUND(7.15/FX,2)</f>
        <v>0.99</v>
      </c>
      <c r="D1905" s="21" t="s">
        <v>6549</v>
      </c>
      <c r="E1905" s="21" t="s">
        <v>734</v>
      </c>
      <c r="F1905" s="21" t="s">
        <v>7979</v>
      </c>
      <c r="G1905" s="21" t="s">
        <v>8415</v>
      </c>
      <c r="H1905" s="21" t="s">
        <v>7831</v>
      </c>
    </row>
    <row r="1906" customFormat="false" ht="15" hidden="false" customHeight="false" outlineLevel="0" collapsed="false">
      <c r="B1906" s="19" t="s">
        <v>10025</v>
      </c>
      <c r="C1906" s="20" t="n">
        <f aca="false">ROUND(7.15/FX,2)</f>
        <v>0.99</v>
      </c>
      <c r="D1906" s="21" t="s">
        <v>6549</v>
      </c>
      <c r="E1906" s="21" t="s">
        <v>734</v>
      </c>
      <c r="F1906" s="21" t="s">
        <v>7979</v>
      </c>
      <c r="G1906" s="21" t="s">
        <v>8169</v>
      </c>
      <c r="H1906" s="21" t="s">
        <v>7944</v>
      </c>
    </row>
    <row r="1907" customFormat="false" ht="15" hidden="false" customHeight="false" outlineLevel="0" collapsed="false">
      <c r="B1907" s="19" t="s">
        <v>10026</v>
      </c>
      <c r="C1907" s="20" t="n">
        <f aca="false">ROUND(7.15/FX,2)</f>
        <v>0.99</v>
      </c>
      <c r="D1907" s="21" t="s">
        <v>6549</v>
      </c>
      <c r="E1907" s="21" t="s">
        <v>734</v>
      </c>
      <c r="F1907" s="21" t="s">
        <v>7979</v>
      </c>
      <c r="G1907" s="21" t="s">
        <v>8415</v>
      </c>
      <c r="H1907" s="21" t="s">
        <v>7944</v>
      </c>
    </row>
    <row r="1908" customFormat="false" ht="15" hidden="false" customHeight="false" outlineLevel="0" collapsed="false">
      <c r="B1908" s="19" t="s">
        <v>10027</v>
      </c>
      <c r="C1908" s="20" t="n">
        <f aca="false">ROUND(7.15/FX,2)</f>
        <v>0.99</v>
      </c>
      <c r="D1908" s="21" t="s">
        <v>6549</v>
      </c>
      <c r="E1908" s="21" t="s">
        <v>734</v>
      </c>
      <c r="F1908" s="21" t="s">
        <v>7979</v>
      </c>
      <c r="G1908" s="21" t="s">
        <v>8169</v>
      </c>
      <c r="H1908" s="21" t="s">
        <v>7946</v>
      </c>
    </row>
    <row r="1909" customFormat="false" ht="15" hidden="false" customHeight="false" outlineLevel="0" collapsed="false">
      <c r="B1909" s="19" t="s">
        <v>10028</v>
      </c>
      <c r="C1909" s="20" t="n">
        <f aca="false">ROUND(7.15/FX,2)</f>
        <v>0.99</v>
      </c>
      <c r="D1909" s="21" t="s">
        <v>6549</v>
      </c>
      <c r="E1909" s="21" t="s">
        <v>734</v>
      </c>
      <c r="F1909" s="21" t="s">
        <v>7979</v>
      </c>
      <c r="G1909" s="21" t="s">
        <v>8415</v>
      </c>
      <c r="H1909" s="21" t="s">
        <v>7946</v>
      </c>
    </row>
    <row r="1910" customFormat="false" ht="15" hidden="false" customHeight="false" outlineLevel="0" collapsed="false">
      <c r="B1910" s="19" t="s">
        <v>10029</v>
      </c>
      <c r="C1910" s="20" t="n">
        <f aca="false">ROUND(7.15/FX,2)</f>
        <v>0.99</v>
      </c>
      <c r="D1910" s="21" t="s">
        <v>6549</v>
      </c>
      <c r="E1910" s="21" t="s">
        <v>734</v>
      </c>
      <c r="F1910" s="21" t="s">
        <v>7979</v>
      </c>
      <c r="G1910" s="21" t="s">
        <v>8169</v>
      </c>
      <c r="H1910" s="21" t="s">
        <v>7833</v>
      </c>
    </row>
    <row r="1911" customFormat="false" ht="15" hidden="false" customHeight="false" outlineLevel="0" collapsed="false">
      <c r="B1911" s="19" t="s">
        <v>10030</v>
      </c>
      <c r="C1911" s="20" t="n">
        <f aca="false">ROUND(7.15/FX,2)</f>
        <v>0.99</v>
      </c>
      <c r="D1911" s="21" t="s">
        <v>6549</v>
      </c>
      <c r="E1911" s="21" t="s">
        <v>734</v>
      </c>
      <c r="F1911" s="21" t="s">
        <v>7979</v>
      </c>
      <c r="G1911" s="21" t="s">
        <v>8415</v>
      </c>
      <c r="H1911" s="21" t="s">
        <v>7833</v>
      </c>
    </row>
    <row r="1912" customFormat="false" ht="15" hidden="false" customHeight="false" outlineLevel="0" collapsed="false">
      <c r="B1912" s="19" t="s">
        <v>10031</v>
      </c>
      <c r="C1912" s="20" t="n">
        <f aca="false">ROUND(7.15/FX,2)</f>
        <v>0.99</v>
      </c>
      <c r="D1912" s="21" t="s">
        <v>6549</v>
      </c>
      <c r="E1912" s="21" t="s">
        <v>734</v>
      </c>
      <c r="F1912" s="21" t="s">
        <v>7979</v>
      </c>
      <c r="G1912" s="21" t="s">
        <v>8169</v>
      </c>
      <c r="H1912" s="21" t="s">
        <v>8294</v>
      </c>
    </row>
    <row r="1913" customFormat="false" ht="15" hidden="false" customHeight="false" outlineLevel="0" collapsed="false">
      <c r="B1913" s="19" t="s">
        <v>10032</v>
      </c>
      <c r="C1913" s="20" t="n">
        <f aca="false">ROUND(7.15/FX,2)</f>
        <v>0.99</v>
      </c>
      <c r="D1913" s="21" t="s">
        <v>6549</v>
      </c>
      <c r="E1913" s="21" t="s">
        <v>734</v>
      </c>
      <c r="F1913" s="21" t="s">
        <v>7979</v>
      </c>
      <c r="G1913" s="21" t="s">
        <v>8415</v>
      </c>
      <c r="H1913" s="21" t="s">
        <v>8294</v>
      </c>
    </row>
    <row r="1914" customFormat="false" ht="15" hidden="false" customHeight="false" outlineLevel="0" collapsed="false">
      <c r="B1914" s="19" t="s">
        <v>10033</v>
      </c>
      <c r="C1914" s="20" t="n">
        <f aca="false">ROUND(7.15/FX,2)</f>
        <v>0.99</v>
      </c>
      <c r="D1914" s="21" t="s">
        <v>6549</v>
      </c>
      <c r="E1914" s="21" t="s">
        <v>734</v>
      </c>
      <c r="F1914" s="21" t="s">
        <v>7979</v>
      </c>
      <c r="G1914" s="21" t="s">
        <v>8169</v>
      </c>
      <c r="H1914" s="21" t="s">
        <v>7891</v>
      </c>
    </row>
    <row r="1915" customFormat="false" ht="15" hidden="false" customHeight="false" outlineLevel="0" collapsed="false">
      <c r="B1915" s="19" t="s">
        <v>10034</v>
      </c>
      <c r="C1915" s="20" t="n">
        <f aca="false">ROUND(7.15/FX,2)</f>
        <v>0.99</v>
      </c>
      <c r="D1915" s="21" t="s">
        <v>6549</v>
      </c>
      <c r="E1915" s="21" t="s">
        <v>734</v>
      </c>
      <c r="F1915" s="21" t="s">
        <v>7979</v>
      </c>
      <c r="G1915" s="21" t="s">
        <v>8415</v>
      </c>
      <c r="H1915" s="21" t="s">
        <v>7891</v>
      </c>
    </row>
    <row r="1916" customFormat="false" ht="15" hidden="false" customHeight="false" outlineLevel="0" collapsed="false">
      <c r="B1916" s="19" t="s">
        <v>10035</v>
      </c>
      <c r="C1916" s="20" t="n">
        <f aca="false">ROUND(7.15/FX,2)</f>
        <v>0.99</v>
      </c>
      <c r="D1916" s="21" t="s">
        <v>6549</v>
      </c>
      <c r="E1916" s="21" t="s">
        <v>734</v>
      </c>
      <c r="F1916" s="21" t="s">
        <v>7979</v>
      </c>
      <c r="G1916" s="21" t="s">
        <v>8169</v>
      </c>
      <c r="H1916" s="21" t="s">
        <v>7860</v>
      </c>
    </row>
    <row r="1917" customFormat="false" ht="15" hidden="false" customHeight="false" outlineLevel="0" collapsed="false">
      <c r="B1917" s="19" t="s">
        <v>10036</v>
      </c>
      <c r="C1917" s="20" t="n">
        <f aca="false">ROUND(7.15/FX,2)</f>
        <v>0.99</v>
      </c>
      <c r="D1917" s="21" t="s">
        <v>6549</v>
      </c>
      <c r="E1917" s="21" t="s">
        <v>734</v>
      </c>
      <c r="F1917" s="21" t="s">
        <v>7979</v>
      </c>
      <c r="G1917" s="21" t="s">
        <v>8415</v>
      </c>
      <c r="H1917" s="21" t="s">
        <v>7860</v>
      </c>
    </row>
    <row r="1918" customFormat="false" ht="15" hidden="false" customHeight="false" outlineLevel="0" collapsed="false">
      <c r="B1918" s="19" t="s">
        <v>10037</v>
      </c>
      <c r="C1918" s="20" t="n">
        <f aca="false">ROUND(7.15/FX,2)</f>
        <v>0.99</v>
      </c>
      <c r="D1918" s="21" t="s">
        <v>6549</v>
      </c>
      <c r="E1918" s="21" t="s">
        <v>734</v>
      </c>
      <c r="F1918" s="21" t="s">
        <v>7979</v>
      </c>
      <c r="G1918" s="21" t="s">
        <v>8169</v>
      </c>
      <c r="H1918" s="21" t="s">
        <v>8310</v>
      </c>
    </row>
    <row r="1919" customFormat="false" ht="15" hidden="false" customHeight="false" outlineLevel="0" collapsed="false">
      <c r="B1919" s="19" t="s">
        <v>10038</v>
      </c>
      <c r="C1919" s="20" t="n">
        <f aca="false">ROUND(7.15/FX,2)</f>
        <v>0.99</v>
      </c>
      <c r="D1919" s="21" t="s">
        <v>6549</v>
      </c>
      <c r="E1919" s="21" t="s">
        <v>734</v>
      </c>
      <c r="F1919" s="21" t="s">
        <v>7979</v>
      </c>
      <c r="G1919" s="21" t="s">
        <v>8415</v>
      </c>
      <c r="H1919" s="21" t="s">
        <v>8310</v>
      </c>
    </row>
    <row r="1920" customFormat="false" ht="15" hidden="false" customHeight="false" outlineLevel="0" collapsed="false">
      <c r="B1920" s="19" t="s">
        <v>10039</v>
      </c>
      <c r="C1920" s="20" t="n">
        <f aca="false">ROUND(7.15/FX,2)</f>
        <v>0.99</v>
      </c>
      <c r="D1920" s="21" t="s">
        <v>6549</v>
      </c>
      <c r="E1920" s="21" t="s">
        <v>734</v>
      </c>
      <c r="F1920" s="21" t="s">
        <v>7979</v>
      </c>
      <c r="G1920" s="21" t="s">
        <v>8169</v>
      </c>
      <c r="H1920" s="21" t="s">
        <v>7893</v>
      </c>
    </row>
    <row r="1921" customFormat="false" ht="15" hidden="false" customHeight="false" outlineLevel="0" collapsed="false">
      <c r="B1921" s="19" t="s">
        <v>10040</v>
      </c>
      <c r="C1921" s="20" t="n">
        <f aca="false">ROUND(7.15/FX,2)</f>
        <v>0.99</v>
      </c>
      <c r="D1921" s="21" t="s">
        <v>6549</v>
      </c>
      <c r="E1921" s="21" t="s">
        <v>734</v>
      </c>
      <c r="F1921" s="21" t="s">
        <v>7979</v>
      </c>
      <c r="G1921" s="21" t="s">
        <v>8415</v>
      </c>
      <c r="H1921" s="21" t="s">
        <v>7893</v>
      </c>
    </row>
    <row r="1922" customFormat="false" ht="15" hidden="false" customHeight="false" outlineLevel="0" collapsed="false">
      <c r="B1922" s="19" t="s">
        <v>10041</v>
      </c>
      <c r="C1922" s="20" t="n">
        <f aca="false">ROUND(7.15/FX,2)</f>
        <v>0.99</v>
      </c>
      <c r="D1922" s="21" t="s">
        <v>6549</v>
      </c>
      <c r="E1922" s="21" t="s">
        <v>734</v>
      </c>
      <c r="F1922" s="21" t="s">
        <v>7979</v>
      </c>
      <c r="G1922" s="21" t="s">
        <v>8169</v>
      </c>
      <c r="H1922" s="21" t="s">
        <v>8320</v>
      </c>
    </row>
    <row r="1923" customFormat="false" ht="15" hidden="false" customHeight="false" outlineLevel="0" collapsed="false">
      <c r="B1923" s="19" t="s">
        <v>10042</v>
      </c>
      <c r="C1923" s="20" t="n">
        <f aca="false">ROUND(7.15/FX,2)</f>
        <v>0.99</v>
      </c>
      <c r="D1923" s="21" t="s">
        <v>6549</v>
      </c>
      <c r="E1923" s="21" t="s">
        <v>734</v>
      </c>
      <c r="F1923" s="21" t="s">
        <v>7979</v>
      </c>
      <c r="G1923" s="21" t="s">
        <v>8415</v>
      </c>
      <c r="H1923" s="21" t="s">
        <v>8320</v>
      </c>
    </row>
    <row r="1924" customFormat="false" ht="15" hidden="false" customHeight="false" outlineLevel="0" collapsed="false">
      <c r="B1924" s="19" t="s">
        <v>10043</v>
      </c>
      <c r="C1924" s="20" t="n">
        <f aca="false">ROUND(7.15/FX,2)</f>
        <v>0.99</v>
      </c>
      <c r="D1924" s="21" t="s">
        <v>6549</v>
      </c>
      <c r="E1924" s="21" t="s">
        <v>734</v>
      </c>
      <c r="F1924" s="21" t="s">
        <v>7979</v>
      </c>
      <c r="G1924" s="21" t="s">
        <v>8169</v>
      </c>
      <c r="H1924" s="21" t="s">
        <v>7895</v>
      </c>
    </row>
    <row r="1925" customFormat="false" ht="15" hidden="false" customHeight="false" outlineLevel="0" collapsed="false">
      <c r="B1925" s="19" t="s">
        <v>10044</v>
      </c>
      <c r="C1925" s="20" t="n">
        <f aca="false">ROUND(7.15/FX,2)</f>
        <v>0.99</v>
      </c>
      <c r="D1925" s="21" t="s">
        <v>6549</v>
      </c>
      <c r="E1925" s="21" t="s">
        <v>734</v>
      </c>
      <c r="F1925" s="21" t="s">
        <v>7979</v>
      </c>
      <c r="G1925" s="21" t="s">
        <v>8415</v>
      </c>
      <c r="H1925" s="21" t="s">
        <v>7895</v>
      </c>
    </row>
    <row r="1926" customFormat="false" ht="15" hidden="false" customHeight="false" outlineLevel="0" collapsed="false">
      <c r="B1926" s="19" t="s">
        <v>10045</v>
      </c>
      <c r="C1926" s="20" t="n">
        <f aca="false">ROUND(7.15/FX,2)</f>
        <v>0.99</v>
      </c>
      <c r="D1926" s="21" t="s">
        <v>6549</v>
      </c>
      <c r="E1926" s="21" t="s">
        <v>734</v>
      </c>
      <c r="F1926" s="21" t="s">
        <v>7979</v>
      </c>
      <c r="G1926" s="21" t="s">
        <v>8169</v>
      </c>
      <c r="H1926" s="21" t="s">
        <v>7862</v>
      </c>
    </row>
    <row r="1927" customFormat="false" ht="15" hidden="false" customHeight="false" outlineLevel="0" collapsed="false">
      <c r="B1927" s="19" t="s">
        <v>10046</v>
      </c>
      <c r="C1927" s="20" t="n">
        <f aca="false">ROUND(7.15/FX,2)</f>
        <v>0.99</v>
      </c>
      <c r="D1927" s="21" t="s">
        <v>6549</v>
      </c>
      <c r="E1927" s="21" t="s">
        <v>734</v>
      </c>
      <c r="F1927" s="21" t="s">
        <v>7979</v>
      </c>
      <c r="G1927" s="21" t="s">
        <v>8415</v>
      </c>
      <c r="H1927" s="21" t="s">
        <v>7862</v>
      </c>
    </row>
    <row r="1928" customFormat="false" ht="15" hidden="false" customHeight="false" outlineLevel="0" collapsed="false">
      <c r="B1928" s="19" t="s">
        <v>10047</v>
      </c>
      <c r="C1928" s="20" t="n">
        <f aca="false">ROUND(7.15/FX,2)</f>
        <v>0.99</v>
      </c>
      <c r="D1928" s="21" t="s">
        <v>6549</v>
      </c>
      <c r="E1928" s="21" t="s">
        <v>734</v>
      </c>
      <c r="F1928" s="21" t="s">
        <v>7979</v>
      </c>
      <c r="G1928" s="21" t="s">
        <v>8169</v>
      </c>
      <c r="H1928" s="21" t="s">
        <v>7864</v>
      </c>
    </row>
    <row r="1929" customFormat="false" ht="15" hidden="false" customHeight="false" outlineLevel="0" collapsed="false">
      <c r="B1929" s="19" t="s">
        <v>10048</v>
      </c>
      <c r="C1929" s="20" t="n">
        <f aca="false">ROUND(7.15/FX,2)</f>
        <v>0.99</v>
      </c>
      <c r="D1929" s="21" t="s">
        <v>6549</v>
      </c>
      <c r="E1929" s="21" t="s">
        <v>734</v>
      </c>
      <c r="F1929" s="21" t="s">
        <v>7979</v>
      </c>
      <c r="G1929" s="21" t="s">
        <v>8415</v>
      </c>
      <c r="H1929" s="21" t="s">
        <v>7864</v>
      </c>
    </row>
    <row r="1930" customFormat="false" ht="15" hidden="false" customHeight="false" outlineLevel="0" collapsed="false">
      <c r="B1930" s="19" t="s">
        <v>10049</v>
      </c>
      <c r="C1930" s="20" t="n">
        <f aca="false">ROUND(7.15/FX,2)</f>
        <v>0.99</v>
      </c>
      <c r="D1930" s="21" t="s">
        <v>6549</v>
      </c>
      <c r="E1930" s="21" t="s">
        <v>734</v>
      </c>
      <c r="F1930" s="21" t="s">
        <v>7979</v>
      </c>
      <c r="G1930" s="21" t="s">
        <v>8169</v>
      </c>
      <c r="H1930" s="21" t="s">
        <v>7961</v>
      </c>
    </row>
    <row r="1931" customFormat="false" ht="15" hidden="false" customHeight="false" outlineLevel="0" collapsed="false">
      <c r="B1931" s="19" t="s">
        <v>10050</v>
      </c>
      <c r="C1931" s="20" t="n">
        <f aca="false">ROUND(7.15/FX,2)</f>
        <v>0.99</v>
      </c>
      <c r="D1931" s="21" t="s">
        <v>6549</v>
      </c>
      <c r="E1931" s="21" t="s">
        <v>734</v>
      </c>
      <c r="F1931" s="21" t="s">
        <v>7979</v>
      </c>
      <c r="G1931" s="21" t="s">
        <v>8415</v>
      </c>
      <c r="H1931" s="21" t="s">
        <v>7961</v>
      </c>
    </row>
    <row r="1932" customFormat="false" ht="15" hidden="false" customHeight="false" outlineLevel="0" collapsed="false">
      <c r="B1932" s="19" t="s">
        <v>10051</v>
      </c>
      <c r="C1932" s="20" t="n">
        <f aca="false">ROUND(7.15/FX,2)</f>
        <v>0.99</v>
      </c>
      <c r="D1932" s="21" t="s">
        <v>6549</v>
      </c>
      <c r="E1932" s="21" t="s">
        <v>734</v>
      </c>
      <c r="F1932" s="21" t="s">
        <v>7979</v>
      </c>
      <c r="G1932" s="21" t="s">
        <v>8169</v>
      </c>
      <c r="H1932" s="21" t="s">
        <v>7872</v>
      </c>
    </row>
    <row r="1933" customFormat="false" ht="15" hidden="false" customHeight="false" outlineLevel="0" collapsed="false">
      <c r="B1933" s="19" t="s">
        <v>10052</v>
      </c>
      <c r="C1933" s="20" t="n">
        <f aca="false">ROUND(7.15/FX,2)</f>
        <v>0.99</v>
      </c>
      <c r="D1933" s="21" t="s">
        <v>6549</v>
      </c>
      <c r="E1933" s="21" t="s">
        <v>734</v>
      </c>
      <c r="F1933" s="21" t="s">
        <v>7979</v>
      </c>
      <c r="G1933" s="21" t="s">
        <v>8415</v>
      </c>
      <c r="H1933" s="21" t="s">
        <v>7872</v>
      </c>
    </row>
    <row r="1934" customFormat="false" ht="15" hidden="false" customHeight="false" outlineLevel="0" collapsed="false">
      <c r="B1934" s="19" t="s">
        <v>10053</v>
      </c>
      <c r="C1934" s="20" t="n">
        <f aca="false">ROUND(7.15/FX,2)</f>
        <v>0.99</v>
      </c>
      <c r="D1934" s="21" t="s">
        <v>6549</v>
      </c>
      <c r="E1934" s="21" t="s">
        <v>734</v>
      </c>
      <c r="F1934" s="21" t="s">
        <v>7979</v>
      </c>
      <c r="G1934" s="21" t="s">
        <v>8169</v>
      </c>
      <c r="H1934" s="21" t="s">
        <v>8349</v>
      </c>
    </row>
    <row r="1935" customFormat="false" ht="15" hidden="false" customHeight="false" outlineLevel="0" collapsed="false">
      <c r="B1935" s="19" t="s">
        <v>10054</v>
      </c>
      <c r="C1935" s="20" t="n">
        <f aca="false">ROUND(7.15/FX,2)</f>
        <v>0.99</v>
      </c>
      <c r="D1935" s="21" t="s">
        <v>6549</v>
      </c>
      <c r="E1935" s="21" t="s">
        <v>734</v>
      </c>
      <c r="F1935" s="21" t="s">
        <v>7979</v>
      </c>
      <c r="G1935" s="21" t="s">
        <v>8415</v>
      </c>
      <c r="H1935" s="21" t="s">
        <v>8349</v>
      </c>
    </row>
    <row r="1936" customFormat="false" ht="15" hidden="false" customHeight="false" outlineLevel="0" collapsed="false">
      <c r="B1936" s="19" t="s">
        <v>10055</v>
      </c>
      <c r="C1936" s="20" t="n">
        <f aca="false">ROUND(7.15/FX,2)</f>
        <v>0.99</v>
      </c>
      <c r="D1936" s="21" t="s">
        <v>6549</v>
      </c>
      <c r="E1936" s="21" t="s">
        <v>734</v>
      </c>
      <c r="F1936" s="21" t="s">
        <v>7979</v>
      </c>
      <c r="G1936" s="21" t="s">
        <v>8169</v>
      </c>
      <c r="H1936" s="21" t="s">
        <v>7966</v>
      </c>
    </row>
    <row r="1937" customFormat="false" ht="15" hidden="false" customHeight="false" outlineLevel="0" collapsed="false">
      <c r="B1937" s="19" t="s">
        <v>10056</v>
      </c>
      <c r="C1937" s="20" t="n">
        <f aca="false">ROUND(7.15/FX,2)</f>
        <v>0.99</v>
      </c>
      <c r="D1937" s="21" t="s">
        <v>6549</v>
      </c>
      <c r="E1937" s="21" t="s">
        <v>734</v>
      </c>
      <c r="F1937" s="21" t="s">
        <v>7979</v>
      </c>
      <c r="G1937" s="21" t="s">
        <v>8415</v>
      </c>
      <c r="H1937" s="21" t="s">
        <v>7966</v>
      </c>
    </row>
    <row r="1938" customFormat="false" ht="15" hidden="false" customHeight="false" outlineLevel="0" collapsed="false">
      <c r="B1938" s="19" t="s">
        <v>10057</v>
      </c>
      <c r="C1938" s="20" t="n">
        <f aca="false">ROUND(7.15/FX,2)</f>
        <v>0.99</v>
      </c>
      <c r="D1938" s="21" t="s">
        <v>6549</v>
      </c>
      <c r="E1938" s="21" t="s">
        <v>734</v>
      </c>
      <c r="F1938" s="21" t="s">
        <v>7979</v>
      </c>
      <c r="G1938" s="21" t="s">
        <v>8169</v>
      </c>
      <c r="H1938" s="21" t="s">
        <v>7968</v>
      </c>
    </row>
    <row r="1939" customFormat="false" ht="15" hidden="false" customHeight="false" outlineLevel="0" collapsed="false">
      <c r="B1939" s="19" t="s">
        <v>10058</v>
      </c>
      <c r="C1939" s="20" t="n">
        <f aca="false">ROUND(7.15/FX,2)</f>
        <v>0.99</v>
      </c>
      <c r="D1939" s="21" t="s">
        <v>6549</v>
      </c>
      <c r="E1939" s="21" t="s">
        <v>734</v>
      </c>
      <c r="F1939" s="21" t="s">
        <v>7979</v>
      </c>
      <c r="G1939" s="21" t="s">
        <v>8415</v>
      </c>
      <c r="H1939" s="21" t="s">
        <v>7968</v>
      </c>
    </row>
    <row r="1940" customFormat="false" ht="15" hidden="false" customHeight="false" outlineLevel="0" collapsed="false">
      <c r="B1940" s="19" t="s">
        <v>10059</v>
      </c>
      <c r="C1940" s="20" t="n">
        <f aca="false">ROUND(7.15/FX,2)</f>
        <v>0.99</v>
      </c>
      <c r="D1940" s="21" t="s">
        <v>6549</v>
      </c>
      <c r="E1940" s="21" t="s">
        <v>734</v>
      </c>
      <c r="F1940" s="21" t="s">
        <v>7979</v>
      </c>
      <c r="G1940" s="21" t="s">
        <v>8169</v>
      </c>
      <c r="H1940" s="21" t="s">
        <v>8379</v>
      </c>
    </row>
    <row r="1941" customFormat="false" ht="15" hidden="false" customHeight="false" outlineLevel="0" collapsed="false">
      <c r="B1941" s="19" t="s">
        <v>10060</v>
      </c>
      <c r="C1941" s="20" t="n">
        <f aca="false">ROUND(7.15/FX,2)</f>
        <v>0.99</v>
      </c>
      <c r="D1941" s="21" t="s">
        <v>6549</v>
      </c>
      <c r="E1941" s="21" t="s">
        <v>734</v>
      </c>
      <c r="F1941" s="21" t="s">
        <v>7979</v>
      </c>
      <c r="G1941" s="21" t="s">
        <v>8415</v>
      </c>
      <c r="H1941" s="21" t="s">
        <v>8379</v>
      </c>
    </row>
    <row r="1942" customFormat="false" ht="15" hidden="false" customHeight="false" outlineLevel="0" collapsed="false">
      <c r="B1942" s="19" t="s">
        <v>10061</v>
      </c>
      <c r="C1942" s="20" t="n">
        <f aca="false">ROUND(7.15/FX,2)</f>
        <v>0.99</v>
      </c>
      <c r="D1942" s="21" t="s">
        <v>6549</v>
      </c>
      <c r="E1942" s="21" t="s">
        <v>734</v>
      </c>
      <c r="F1942" s="21" t="s">
        <v>7979</v>
      </c>
      <c r="G1942" s="21" t="s">
        <v>8169</v>
      </c>
      <c r="H1942" s="21" t="s">
        <v>8382</v>
      </c>
    </row>
    <row r="1943" customFormat="false" ht="15" hidden="false" customHeight="false" outlineLevel="0" collapsed="false">
      <c r="B1943" s="19" t="s">
        <v>10062</v>
      </c>
      <c r="C1943" s="20" t="n">
        <f aca="false">ROUND(7.15/FX,2)</f>
        <v>0.99</v>
      </c>
      <c r="D1943" s="21" t="s">
        <v>6549</v>
      </c>
      <c r="E1943" s="21" t="s">
        <v>734</v>
      </c>
      <c r="F1943" s="21" t="s">
        <v>7979</v>
      </c>
      <c r="G1943" s="21" t="s">
        <v>8415</v>
      </c>
      <c r="H1943" s="21" t="s">
        <v>8382</v>
      </c>
    </row>
    <row r="1944" customFormat="false" ht="15" hidden="false" customHeight="false" outlineLevel="0" collapsed="false">
      <c r="B1944" s="19" t="s">
        <v>10063</v>
      </c>
      <c r="C1944" s="20" t="n">
        <f aca="false">ROUND(7.15/FX,2)</f>
        <v>0.99</v>
      </c>
      <c r="D1944" s="21" t="s">
        <v>6549</v>
      </c>
      <c r="E1944" s="21" t="s">
        <v>734</v>
      </c>
      <c r="F1944" s="21" t="s">
        <v>7979</v>
      </c>
      <c r="G1944" s="21" t="s">
        <v>8169</v>
      </c>
      <c r="H1944" s="21" t="s">
        <v>7899</v>
      </c>
    </row>
    <row r="1945" customFormat="false" ht="15" hidden="false" customHeight="false" outlineLevel="0" collapsed="false">
      <c r="B1945" s="19" t="s">
        <v>10064</v>
      </c>
      <c r="C1945" s="20" t="n">
        <f aca="false">ROUND(8.45/FX,2)</f>
        <v>1.17</v>
      </c>
      <c r="D1945" s="21" t="s">
        <v>6549</v>
      </c>
      <c r="E1945" s="21" t="s">
        <v>734</v>
      </c>
      <c r="F1945" s="21" t="s">
        <v>7979</v>
      </c>
      <c r="G1945" s="21" t="s">
        <v>8173</v>
      </c>
      <c r="H1945" s="21" t="s">
        <v>7899</v>
      </c>
    </row>
    <row r="1946" customFormat="false" ht="15" hidden="false" customHeight="false" outlineLevel="0" collapsed="false">
      <c r="B1946" s="19" t="s">
        <v>10065</v>
      </c>
      <c r="C1946" s="20" t="n">
        <f aca="false">ROUND(7.15/FX,2)</f>
        <v>0.99</v>
      </c>
      <c r="D1946" s="21" t="s">
        <v>6549</v>
      </c>
      <c r="E1946" s="21" t="s">
        <v>734</v>
      </c>
      <c r="F1946" s="21" t="s">
        <v>7979</v>
      </c>
      <c r="G1946" s="21" t="s">
        <v>8415</v>
      </c>
      <c r="H1946" s="21" t="s">
        <v>7899</v>
      </c>
    </row>
    <row r="1947" customFormat="false" ht="15" hidden="false" customHeight="false" outlineLevel="0" collapsed="false">
      <c r="B1947" s="19" t="s">
        <v>10066</v>
      </c>
      <c r="C1947" s="20" t="n">
        <f aca="false">ROUND(7.15/FX,2)</f>
        <v>0.99</v>
      </c>
      <c r="D1947" s="21" t="s">
        <v>6549</v>
      </c>
      <c r="E1947" s="21" t="s">
        <v>734</v>
      </c>
      <c r="F1947" s="21" t="s">
        <v>7979</v>
      </c>
      <c r="G1947" s="21" t="s">
        <v>8169</v>
      </c>
      <c r="H1947" s="21" t="s">
        <v>7866</v>
      </c>
    </row>
    <row r="1948" customFormat="false" ht="15" hidden="false" customHeight="false" outlineLevel="0" collapsed="false">
      <c r="B1948" s="19" t="s">
        <v>10067</v>
      </c>
      <c r="C1948" s="20" t="n">
        <f aca="false">ROUND(7.15/FX,2)</f>
        <v>0.99</v>
      </c>
      <c r="D1948" s="21" t="s">
        <v>6549</v>
      </c>
      <c r="E1948" s="21" t="s">
        <v>734</v>
      </c>
      <c r="F1948" s="21" t="s">
        <v>7979</v>
      </c>
      <c r="G1948" s="21" t="s">
        <v>8415</v>
      </c>
      <c r="H1948" s="21" t="s">
        <v>7866</v>
      </c>
    </row>
    <row r="1949" customFormat="false" ht="15" hidden="false" customHeight="false" outlineLevel="0" collapsed="false">
      <c r="B1949" s="19" t="s">
        <v>10068</v>
      </c>
      <c r="C1949" s="20" t="n">
        <f aca="false">ROUND(7.15/FX,2)</f>
        <v>0.99</v>
      </c>
      <c r="D1949" s="21" t="s">
        <v>6549</v>
      </c>
      <c r="E1949" s="21" t="s">
        <v>734</v>
      </c>
      <c r="F1949" s="21" t="s">
        <v>7979</v>
      </c>
      <c r="G1949" s="21" t="s">
        <v>8169</v>
      </c>
      <c r="H1949" s="21" t="s">
        <v>8396</v>
      </c>
    </row>
    <row r="1950" customFormat="false" ht="15" hidden="false" customHeight="false" outlineLevel="0" collapsed="false">
      <c r="B1950" s="19" t="s">
        <v>10069</v>
      </c>
      <c r="C1950" s="20" t="n">
        <f aca="false">ROUND(7.15/FX,2)</f>
        <v>0.99</v>
      </c>
      <c r="D1950" s="21" t="s">
        <v>6549</v>
      </c>
      <c r="E1950" s="21" t="s">
        <v>734</v>
      </c>
      <c r="F1950" s="21" t="s">
        <v>7979</v>
      </c>
      <c r="G1950" s="21" t="s">
        <v>8415</v>
      </c>
      <c r="H1950" s="21" t="s">
        <v>8396</v>
      </c>
    </row>
    <row r="1951" customFormat="false" ht="15" hidden="false" customHeight="false" outlineLevel="0" collapsed="false">
      <c r="B1951" s="19" t="s">
        <v>10070</v>
      </c>
      <c r="C1951" s="20" t="n">
        <f aca="false">ROUND(7.15/FX,2)</f>
        <v>0.99</v>
      </c>
      <c r="D1951" s="21" t="s">
        <v>6549</v>
      </c>
      <c r="E1951" s="21" t="s">
        <v>734</v>
      </c>
      <c r="F1951" s="21" t="s">
        <v>7979</v>
      </c>
      <c r="G1951" s="21" t="s">
        <v>8169</v>
      </c>
      <c r="H1951" s="21" t="s">
        <v>8401</v>
      </c>
    </row>
    <row r="1952" customFormat="false" ht="15" hidden="false" customHeight="false" outlineLevel="0" collapsed="false">
      <c r="B1952" s="19" t="s">
        <v>10071</v>
      </c>
      <c r="C1952" s="20" t="n">
        <f aca="false">ROUND(7.15/FX,2)</f>
        <v>0.99</v>
      </c>
      <c r="D1952" s="21" t="s">
        <v>6549</v>
      </c>
      <c r="E1952" s="21" t="s">
        <v>734</v>
      </c>
      <c r="F1952" s="21" t="s">
        <v>7979</v>
      </c>
      <c r="G1952" s="21" t="s">
        <v>8415</v>
      </c>
      <c r="H1952" s="21" t="s">
        <v>8401</v>
      </c>
    </row>
    <row r="1953" customFormat="false" ht="15" hidden="false" customHeight="false" outlineLevel="0" collapsed="false">
      <c r="B1953" s="19" t="s">
        <v>10072</v>
      </c>
      <c r="C1953" s="20" t="n">
        <f aca="false">ROUND(7.15/FX,2)</f>
        <v>0.99</v>
      </c>
      <c r="D1953" s="21" t="s">
        <v>6549</v>
      </c>
      <c r="E1953" s="21" t="s">
        <v>734</v>
      </c>
      <c r="F1953" s="21" t="s">
        <v>7979</v>
      </c>
      <c r="G1953" s="21" t="s">
        <v>8169</v>
      </c>
      <c r="H1953" s="21" t="s">
        <v>8409</v>
      </c>
    </row>
    <row r="1954" customFormat="false" ht="15" hidden="false" customHeight="false" outlineLevel="0" collapsed="false">
      <c r="B1954" s="19" t="s">
        <v>10073</v>
      </c>
      <c r="C1954" s="20" t="n">
        <f aca="false">ROUND(7.15/FX,2)</f>
        <v>0.99</v>
      </c>
      <c r="D1954" s="21" t="s">
        <v>6549</v>
      </c>
      <c r="E1954" s="21" t="s">
        <v>734</v>
      </c>
      <c r="F1954" s="21" t="s">
        <v>7979</v>
      </c>
      <c r="G1954" s="21" t="s">
        <v>8415</v>
      </c>
      <c r="H1954" s="21" t="s">
        <v>8409</v>
      </c>
    </row>
    <row r="1955" customFormat="false" ht="28.35" hidden="false" customHeight="false" outlineLevel="0" collapsed="false">
      <c r="B1955" s="19" t="s">
        <v>10074</v>
      </c>
      <c r="C1955" s="20" t="n">
        <f aca="false">ROUND(11.7/FX,2)</f>
        <v>1.63</v>
      </c>
      <c r="D1955" s="21" t="s">
        <v>6549</v>
      </c>
      <c r="E1955" s="21" t="s">
        <v>8710</v>
      </c>
      <c r="F1955" s="21" t="s">
        <v>8044</v>
      </c>
      <c r="G1955" s="21" t="s">
        <v>8169</v>
      </c>
      <c r="H1955" s="21" t="s">
        <v>7999</v>
      </c>
    </row>
    <row r="1956" customFormat="false" ht="28.35" hidden="false" customHeight="false" outlineLevel="0" collapsed="false">
      <c r="B1956" s="19" t="s">
        <v>10075</v>
      </c>
      <c r="C1956" s="20" t="n">
        <f aca="false">ROUND(13/FX,2)</f>
        <v>1.81</v>
      </c>
      <c r="D1956" s="21" t="s">
        <v>6549</v>
      </c>
      <c r="E1956" s="21" t="s">
        <v>10076</v>
      </c>
      <c r="F1956" s="21" t="s">
        <v>8055</v>
      </c>
      <c r="G1956" s="21" t="s">
        <v>8169</v>
      </c>
      <c r="H1956" s="21" t="s">
        <v>8060</v>
      </c>
    </row>
    <row r="1957" customFormat="false" ht="15" hidden="false" customHeight="false" outlineLevel="0" collapsed="false">
      <c r="B1957" s="19" t="s">
        <v>10077</v>
      </c>
      <c r="C1957" s="20" t="n">
        <f aca="false">ROUND(13.65/FX,2)</f>
        <v>1.9</v>
      </c>
      <c r="D1957" s="21" t="s">
        <v>6549</v>
      </c>
      <c r="E1957" s="21" t="s">
        <v>734</v>
      </c>
      <c r="F1957" s="21" t="s">
        <v>8991</v>
      </c>
      <c r="G1957" s="21" t="s">
        <v>8169</v>
      </c>
      <c r="H1957" s="21" t="s">
        <v>7875</v>
      </c>
    </row>
    <row r="1958" customFormat="false" ht="15" hidden="false" customHeight="false" outlineLevel="0" collapsed="false">
      <c r="B1958" s="19" t="s">
        <v>10078</v>
      </c>
      <c r="C1958" s="20" t="n">
        <f aca="false">ROUND(13.65/FX,2)</f>
        <v>1.9</v>
      </c>
      <c r="D1958" s="21" t="s">
        <v>6549</v>
      </c>
      <c r="E1958" s="21" t="s">
        <v>734</v>
      </c>
      <c r="F1958" s="21" t="s">
        <v>8991</v>
      </c>
      <c r="G1958" s="21" t="s">
        <v>8169</v>
      </c>
      <c r="H1958" s="21" t="s">
        <v>8987</v>
      </c>
    </row>
    <row r="1959" customFormat="false" ht="15" hidden="false" customHeight="false" outlineLevel="0" collapsed="false">
      <c r="B1959" s="19" t="s">
        <v>10079</v>
      </c>
      <c r="C1959" s="20" t="n">
        <f aca="false">ROUND(13.65/FX,2)</f>
        <v>1.9</v>
      </c>
      <c r="D1959" s="21" t="s">
        <v>6549</v>
      </c>
      <c r="E1959" s="21" t="s">
        <v>734</v>
      </c>
      <c r="F1959" s="21" t="s">
        <v>8991</v>
      </c>
      <c r="G1959" s="21" t="s">
        <v>8169</v>
      </c>
      <c r="H1959" s="21" t="s">
        <v>8994</v>
      </c>
    </row>
    <row r="1960" customFormat="false" ht="15" hidden="false" customHeight="false" outlineLevel="0" collapsed="false">
      <c r="B1960" s="19" t="s">
        <v>10080</v>
      </c>
      <c r="C1960" s="20" t="n">
        <f aca="false">ROUND(13.65/FX,2)</f>
        <v>1.9</v>
      </c>
      <c r="D1960" s="21" t="s">
        <v>6549</v>
      </c>
      <c r="E1960" s="21" t="s">
        <v>734</v>
      </c>
      <c r="F1960" s="21" t="s">
        <v>8991</v>
      </c>
      <c r="G1960" s="21" t="s">
        <v>8169</v>
      </c>
      <c r="H1960" s="21" t="s">
        <v>8989</v>
      </c>
    </row>
    <row r="1961" customFormat="false" ht="15" hidden="false" customHeight="false" outlineLevel="0" collapsed="false">
      <c r="B1961" s="19" t="s">
        <v>10081</v>
      </c>
      <c r="C1961" s="20" t="n">
        <f aca="false">ROUND(59.8/FX,2)</f>
        <v>8.31</v>
      </c>
      <c r="D1961" s="21" t="s">
        <v>6549</v>
      </c>
      <c r="E1961" s="21" t="s">
        <v>734</v>
      </c>
      <c r="F1961" s="21" t="s">
        <v>9195</v>
      </c>
      <c r="G1961" s="21" t="s">
        <v>8169</v>
      </c>
      <c r="H1961" s="21" t="s">
        <v>8047</v>
      </c>
    </row>
    <row r="1962" customFormat="false" ht="15" hidden="false" customHeight="false" outlineLevel="0" collapsed="false">
      <c r="B1962" s="19" t="s">
        <v>10082</v>
      </c>
      <c r="C1962" s="20" t="n">
        <f aca="false">ROUND(59.8/FX,2)</f>
        <v>8.31</v>
      </c>
      <c r="D1962" s="21" t="s">
        <v>6549</v>
      </c>
      <c r="E1962" s="21" t="s">
        <v>734</v>
      </c>
      <c r="F1962" s="21" t="s">
        <v>9195</v>
      </c>
      <c r="G1962" s="21" t="s">
        <v>8169</v>
      </c>
      <c r="H1962" s="21" t="s">
        <v>10083</v>
      </c>
    </row>
    <row r="1963" customFormat="false" ht="15" hidden="false" customHeight="false" outlineLevel="0" collapsed="false">
      <c r="B1963" s="19" t="s">
        <v>10084</v>
      </c>
      <c r="C1963" s="20" t="n">
        <f aca="false">ROUND(59.8/FX,2)</f>
        <v>8.31</v>
      </c>
      <c r="D1963" s="21" t="s">
        <v>6549</v>
      </c>
      <c r="E1963" s="21" t="s">
        <v>734</v>
      </c>
      <c r="F1963" s="21" t="s">
        <v>9195</v>
      </c>
      <c r="G1963" s="21" t="s">
        <v>8169</v>
      </c>
      <c r="H1963" s="21" t="s">
        <v>10085</v>
      </c>
    </row>
    <row r="1964" customFormat="false" ht="15" hidden="false" customHeight="false" outlineLevel="0" collapsed="false">
      <c r="B1964" s="19" t="s">
        <v>10086</v>
      </c>
      <c r="C1964" s="20" t="n">
        <f aca="false">ROUND(59.8/FX,2)</f>
        <v>8.31</v>
      </c>
      <c r="D1964" s="21" t="s">
        <v>6549</v>
      </c>
      <c r="E1964" s="21" t="s">
        <v>734</v>
      </c>
      <c r="F1964" s="21" t="s">
        <v>9195</v>
      </c>
      <c r="G1964" s="21" t="s">
        <v>8169</v>
      </c>
      <c r="H1964" s="21" t="s">
        <v>9207</v>
      </c>
    </row>
    <row r="1967" customFormat="false" ht="61.5" hidden="false" customHeight="true" outlineLevel="0" collapsed="false">
      <c r="A1967" s="9"/>
      <c r="B1967" s="10" t="s">
        <v>10087</v>
      </c>
      <c r="C1967" s="10"/>
      <c r="D1967" s="10"/>
      <c r="E1967" s="10"/>
    </row>
    <row r="1968" customFormat="false" ht="15" hidden="false" customHeight="false" outlineLevel="0" collapsed="false">
      <c r="A1968" s="12" t="s">
        <v>700</v>
      </c>
      <c r="B1968" s="13" t="s">
        <v>701</v>
      </c>
      <c r="C1968" s="13" t="s">
        <v>702</v>
      </c>
      <c r="D1968" s="13" t="s">
        <v>722</v>
      </c>
      <c r="E1968" s="13" t="s">
        <v>723</v>
      </c>
    </row>
    <row r="1969" customFormat="false" ht="30" hidden="false" customHeight="true" outlineLevel="0" collapsed="false">
      <c r="A1969" s="14" t="s">
        <v>706</v>
      </c>
      <c r="B1969" s="15" t="str">
        <f aca="false">IF(COUNTIFS($D$1972:$D$1978,IF(D1969="","*",D1969),$E$1972:$E$1978,IF(E1969="","*",E1969))=1,INDEX($B:$B,SUMPRODUCT(((D1969="")+($D$1972:$D$1978=D1969)&gt;0)*((E1969="")+($E$1972:$E$1978=E1969)&gt;0)*ROW($B$1972:$B$1978))),IF(COUNTIFS($D$1972:$D$1978,IF(D1969="","*",D1969),$E$1972:$E$1978,IF(E1969="","*",E1969))=0,"Not available",COUNTIFS($D$1972:$D$1978,IF(D1969="","*",D1969),$E$1972:$E$1978,IF(E1969="","*",E1969))&amp;" match, keep choosing"))</f>
        <v>CP-002-BK-YT</v>
      </c>
      <c r="C1969" s="16" t="n">
        <f aca="false">IF(COUNTIFS($D$1972:$D$1978,IF(D1969="","*",D1969),$E$1972:$E$1978,IF(E1969="","*",E1969))=1,INDEX($C:$C,SUMPRODUCT(((D1969="")+($D$1972:$D$1978=D1969)&gt;0)*((E1969="")+($E$1972:$E$1978=E1969)&gt;0)*ROW($B$1972:$B$1978))),"")</f>
        <v>1.26</v>
      </c>
      <c r="D1969" s="17" t="s">
        <v>724</v>
      </c>
      <c r="E1969" s="17" t="s">
        <v>10088</v>
      </c>
    </row>
    <row r="1971" customFormat="false" ht="15" hidden="false" customHeight="false" outlineLevel="0" collapsed="false">
      <c r="B1971" s="18" t="s">
        <v>701</v>
      </c>
      <c r="C1971" s="18" t="s">
        <v>702</v>
      </c>
      <c r="D1971" s="18" t="s">
        <v>722</v>
      </c>
      <c r="E1971" s="18" t="s">
        <v>723</v>
      </c>
    </row>
    <row r="1972" customFormat="false" ht="15" hidden="false" customHeight="false" outlineLevel="0" collapsed="false">
      <c r="B1972" s="19" t="s">
        <v>10089</v>
      </c>
      <c r="C1972" s="20" t="n">
        <f aca="false">ROUND(9.1/FX,2)</f>
        <v>1.26</v>
      </c>
      <c r="D1972" s="21" t="s">
        <v>724</v>
      </c>
      <c r="E1972" s="21" t="s">
        <v>10088</v>
      </c>
    </row>
    <row r="1973" customFormat="false" ht="15" hidden="false" customHeight="false" outlineLevel="0" collapsed="false">
      <c r="B1973" s="19" t="s">
        <v>10090</v>
      </c>
      <c r="C1973" s="20" t="n">
        <f aca="false">ROUND(9.1/FX,2)</f>
        <v>1.26</v>
      </c>
      <c r="D1973" s="21" t="s">
        <v>7884</v>
      </c>
      <c r="E1973" s="21" t="s">
        <v>10088</v>
      </c>
    </row>
    <row r="1974" customFormat="false" ht="15" hidden="false" customHeight="false" outlineLevel="0" collapsed="false">
      <c r="B1974" s="19" t="s">
        <v>10091</v>
      </c>
      <c r="C1974" s="20" t="n">
        <f aca="false">ROUND(9.1/FX,2)</f>
        <v>1.26</v>
      </c>
      <c r="D1974" s="21" t="s">
        <v>6336</v>
      </c>
      <c r="E1974" s="21" t="s">
        <v>10092</v>
      </c>
    </row>
    <row r="1975" customFormat="false" ht="15" hidden="false" customHeight="false" outlineLevel="0" collapsed="false">
      <c r="B1975" s="19" t="s">
        <v>10093</v>
      </c>
      <c r="C1975" s="20" t="n">
        <f aca="false">ROUND(9.1/FX,2)</f>
        <v>1.26</v>
      </c>
      <c r="D1975" s="21" t="s">
        <v>6362</v>
      </c>
      <c r="E1975" s="21" t="s">
        <v>10088</v>
      </c>
    </row>
    <row r="1976" customFormat="false" ht="15" hidden="false" customHeight="false" outlineLevel="0" collapsed="false">
      <c r="B1976" s="19" t="s">
        <v>10094</v>
      </c>
      <c r="C1976" s="20" t="n">
        <f aca="false">ROUND(18.2/FX,2)</f>
        <v>2.53</v>
      </c>
      <c r="D1976" s="21" t="s">
        <v>6549</v>
      </c>
      <c r="E1976" s="21" t="s">
        <v>10095</v>
      </c>
    </row>
    <row r="1977" customFormat="false" ht="15" hidden="false" customHeight="false" outlineLevel="0" collapsed="false">
      <c r="B1977" s="19" t="s">
        <v>10096</v>
      </c>
      <c r="C1977" s="20" t="n">
        <f aca="false">ROUND(9.1/FX,2)</f>
        <v>1.26</v>
      </c>
      <c r="D1977" s="21" t="s">
        <v>6549</v>
      </c>
      <c r="E1977" s="21" t="s">
        <v>10088</v>
      </c>
    </row>
    <row r="1978" customFormat="false" ht="15" hidden="false" customHeight="false" outlineLevel="0" collapsed="false">
      <c r="B1978" s="19" t="s">
        <v>10097</v>
      </c>
      <c r="C1978" s="20" t="n">
        <f aca="false">ROUND(9.1/FX,2)</f>
        <v>1.26</v>
      </c>
      <c r="D1978" s="21" t="s">
        <v>6336</v>
      </c>
      <c r="E1978" s="21" t="s">
        <v>10098</v>
      </c>
    </row>
    <row r="1981" customFormat="false" ht="61.5" hidden="false" customHeight="true" outlineLevel="0" collapsed="false">
      <c r="A1981" s="9"/>
      <c r="B1981" s="10" t="s">
        <v>10099</v>
      </c>
      <c r="C1981" s="10"/>
      <c r="D1981" s="10"/>
      <c r="E1981" s="10"/>
      <c r="F1981" s="10"/>
      <c r="G1981" s="10"/>
    </row>
    <row r="1982" customFormat="false" ht="15" hidden="false" customHeight="false" outlineLevel="0" collapsed="false">
      <c r="A1982" s="12" t="s">
        <v>700</v>
      </c>
      <c r="B1982" s="13" t="s">
        <v>701</v>
      </c>
      <c r="C1982" s="13" t="s">
        <v>702</v>
      </c>
      <c r="D1982" s="13" t="s">
        <v>722</v>
      </c>
      <c r="E1982" s="13" t="s">
        <v>704</v>
      </c>
      <c r="F1982" s="13" t="s">
        <v>723</v>
      </c>
      <c r="G1982" s="13" t="s">
        <v>6523</v>
      </c>
    </row>
    <row r="1983" customFormat="false" ht="30" hidden="false" customHeight="true" outlineLevel="0" collapsed="false">
      <c r="A1983" s="14" t="s">
        <v>706</v>
      </c>
      <c r="B1983" s="15" t="str">
        <f aca="false">IF(COUNTIFS($D$1986:$D$2017,IF(D1983="","*",D1983),$E$1986:$E$2017,IF(E1983="","*",E1983),$F$1986:$F$2017,IF(F1983="","*",F1983),$G$1986:$G$2017,IF(G1983="","*",G1983))=1,INDEX($B:$B,SUMPRODUCT(((D1983="")+($D$1986:$D$2017=D1983)&gt;0)*((E1983="")+($E$1986:$E$2017=E1983)&gt;0)*((F1983="")+($F$1986:$F$2017=F1983)&gt;0)*((G1983="")+($G$1986:$G$2017=G1983)&gt;0)*ROW($B$1986:$B$2017))),IF(COUNTIFS($D$1986:$D$2017,IF(D1983="","*",D1983),$E$1986:$E$2017,IF(E1983="","*",E1983),$F$1986:$F$2017,IF(F1983="","*",F1983),$G$1986:$G$2017,IF(G1983="","*",G1983))=0,"Not available",COUNTIFS($D$1986:$D$2017,IF(D1983="","*",D1983),$E$1986:$E$2017,IF(E1983="","*",E1983),$F$1986:$F$2017,IF(F1983="","*",F1983),$G$1986:$G$2017,IF(G1983="","*",G1983))&amp;" match, keep choosing"))</f>
        <v>CP-004-3x3-CS-NI-WJ7-Z42-55-NJ</v>
      </c>
      <c r="C1983" s="16" t="n">
        <f aca="false">IF(COUNTIFS($D$1986:$D$2017,IF(D1983="","*",D1983),$E$1986:$E$2017,IF(E1983="","*",E1983),$F$1986:$F$2017,IF(F1983="","*",F1983),$G$1986:$G$2017,IF(G1983="","*",G1983))=1,INDEX($C:$C,SUMPRODUCT(((D1983="")+($D$1986:$D$2017=D1983)&gt;0)*((E1983="")+($E$1986:$E$2017=E1983)&gt;0)*((F1983="")+($F$1986:$F$2017=F1983)&gt;0)*((G1983="")+($G$1986:$G$2017=G1983)&gt;0)*ROW($B$1986:$B$2017))),"")</f>
        <v>2.17</v>
      </c>
      <c r="D1983" s="17" t="s">
        <v>6336</v>
      </c>
      <c r="E1983" s="17" t="s">
        <v>10100</v>
      </c>
      <c r="F1983" s="17" t="s">
        <v>10101</v>
      </c>
      <c r="G1983" s="17" t="s">
        <v>7916</v>
      </c>
    </row>
    <row r="1985" customFormat="false" ht="15" hidden="false" customHeight="false" outlineLevel="0" collapsed="false">
      <c r="B1985" s="18" t="s">
        <v>701</v>
      </c>
      <c r="C1985" s="18" t="s">
        <v>702</v>
      </c>
      <c r="D1985" s="18" t="s">
        <v>722</v>
      </c>
      <c r="E1985" s="18" t="s">
        <v>704</v>
      </c>
      <c r="F1985" s="18" t="s">
        <v>723</v>
      </c>
      <c r="G1985" s="18" t="s">
        <v>6523</v>
      </c>
    </row>
    <row r="1986" customFormat="false" ht="28.35" hidden="false" customHeight="false" outlineLevel="0" collapsed="false">
      <c r="B1986" s="19" t="s">
        <v>10102</v>
      </c>
      <c r="C1986" s="20" t="n">
        <f aca="false">ROUND(15.6/FX,2)</f>
        <v>2.17</v>
      </c>
      <c r="D1986" s="21" t="s">
        <v>6336</v>
      </c>
      <c r="E1986" s="21" t="s">
        <v>10100</v>
      </c>
      <c r="F1986" s="21" t="s">
        <v>10101</v>
      </c>
      <c r="G1986" s="21" t="s">
        <v>7916</v>
      </c>
    </row>
    <row r="1987" customFormat="false" ht="28.35" hidden="false" customHeight="false" outlineLevel="0" collapsed="false">
      <c r="B1987" s="19" t="s">
        <v>10103</v>
      </c>
      <c r="C1987" s="20" t="n">
        <f aca="false">ROUND(15.6/FX,2)</f>
        <v>2.17</v>
      </c>
      <c r="D1987" s="21" t="s">
        <v>6336</v>
      </c>
      <c r="E1987" s="21" t="s">
        <v>10100</v>
      </c>
      <c r="F1987" s="21" t="s">
        <v>10104</v>
      </c>
      <c r="G1987" s="21" t="s">
        <v>7916</v>
      </c>
    </row>
    <row r="1988" customFormat="false" ht="28.35" hidden="false" customHeight="false" outlineLevel="0" collapsed="false">
      <c r="B1988" s="19" t="s">
        <v>10105</v>
      </c>
      <c r="C1988" s="20" t="n">
        <f aca="false">ROUND(15.6/FX,2)</f>
        <v>2.17</v>
      </c>
      <c r="D1988" s="21" t="s">
        <v>6336</v>
      </c>
      <c r="E1988" s="21" t="s">
        <v>10100</v>
      </c>
      <c r="F1988" s="21" t="s">
        <v>10106</v>
      </c>
      <c r="G1988" s="21" t="s">
        <v>7916</v>
      </c>
    </row>
    <row r="1989" customFormat="false" ht="28.35" hidden="false" customHeight="false" outlineLevel="0" collapsed="false">
      <c r="B1989" s="19" t="s">
        <v>10107</v>
      </c>
      <c r="C1989" s="20" t="n">
        <f aca="false">ROUND(16.9/FX,2)</f>
        <v>2.35</v>
      </c>
      <c r="D1989" s="21" t="s">
        <v>6336</v>
      </c>
      <c r="E1989" s="21" t="s">
        <v>10100</v>
      </c>
      <c r="F1989" s="21" t="s">
        <v>10104</v>
      </c>
      <c r="G1989" s="21" t="s">
        <v>7918</v>
      </c>
    </row>
    <row r="1990" customFormat="false" ht="28.35" hidden="false" customHeight="false" outlineLevel="0" collapsed="false">
      <c r="B1990" s="19" t="s">
        <v>10108</v>
      </c>
      <c r="C1990" s="20" t="n">
        <f aca="false">ROUND(16.9/FX,2)</f>
        <v>2.35</v>
      </c>
      <c r="D1990" s="21" t="s">
        <v>6336</v>
      </c>
      <c r="E1990" s="21" t="s">
        <v>10100</v>
      </c>
      <c r="F1990" s="21" t="s">
        <v>10109</v>
      </c>
      <c r="G1990" s="21" t="s">
        <v>7918</v>
      </c>
    </row>
    <row r="1991" customFormat="false" ht="28.35" hidden="false" customHeight="false" outlineLevel="0" collapsed="false">
      <c r="B1991" s="19" t="s">
        <v>10110</v>
      </c>
      <c r="C1991" s="20" t="n">
        <f aca="false">ROUND(16.9/FX,2)</f>
        <v>2.35</v>
      </c>
      <c r="D1991" s="21" t="s">
        <v>6336</v>
      </c>
      <c r="E1991" s="21" t="s">
        <v>10100</v>
      </c>
      <c r="F1991" s="21" t="s">
        <v>10106</v>
      </c>
      <c r="G1991" s="21" t="s">
        <v>7918</v>
      </c>
    </row>
    <row r="1992" customFormat="false" ht="28.35" hidden="false" customHeight="false" outlineLevel="0" collapsed="false">
      <c r="B1992" s="19" t="s">
        <v>10111</v>
      </c>
      <c r="C1992" s="20" t="n">
        <f aca="false">ROUND(16.9/FX,2)</f>
        <v>2.35</v>
      </c>
      <c r="D1992" s="21" t="s">
        <v>6336</v>
      </c>
      <c r="E1992" s="21" t="s">
        <v>10100</v>
      </c>
      <c r="F1992" s="21" t="s">
        <v>10112</v>
      </c>
      <c r="G1992" s="21" t="s">
        <v>10113</v>
      </c>
    </row>
    <row r="1993" customFormat="false" ht="28.35" hidden="false" customHeight="false" outlineLevel="0" collapsed="false">
      <c r="B1993" s="19" t="s">
        <v>10114</v>
      </c>
      <c r="C1993" s="20" t="n">
        <f aca="false">ROUND(22.1/FX,2)</f>
        <v>3.07</v>
      </c>
      <c r="D1993" s="21" t="s">
        <v>6336</v>
      </c>
      <c r="E1993" s="21" t="s">
        <v>10100</v>
      </c>
      <c r="F1993" s="21" t="s">
        <v>10115</v>
      </c>
      <c r="G1993" s="21" t="s">
        <v>7827</v>
      </c>
    </row>
    <row r="1994" customFormat="false" ht="28.35" hidden="false" customHeight="false" outlineLevel="0" collapsed="false">
      <c r="B1994" s="19" t="s">
        <v>10116</v>
      </c>
      <c r="C1994" s="20" t="n">
        <f aca="false">ROUND(22.1/FX,2)</f>
        <v>3.07</v>
      </c>
      <c r="D1994" s="21" t="s">
        <v>6336</v>
      </c>
      <c r="E1994" s="21" t="s">
        <v>10100</v>
      </c>
      <c r="F1994" s="21" t="s">
        <v>10117</v>
      </c>
      <c r="G1994" s="21" t="s">
        <v>7827</v>
      </c>
    </row>
    <row r="1995" customFormat="false" ht="28.35" hidden="false" customHeight="false" outlineLevel="0" collapsed="false">
      <c r="B1995" s="19" t="s">
        <v>10118</v>
      </c>
      <c r="C1995" s="20" t="n">
        <f aca="false">ROUND(16.9/FX,2)</f>
        <v>2.35</v>
      </c>
      <c r="D1995" s="21" t="s">
        <v>6336</v>
      </c>
      <c r="E1995" s="21" t="s">
        <v>10100</v>
      </c>
      <c r="F1995" s="21" t="s">
        <v>10101</v>
      </c>
      <c r="G1995" s="21" t="s">
        <v>7827</v>
      </c>
    </row>
    <row r="1996" customFormat="false" ht="28.35" hidden="false" customHeight="false" outlineLevel="0" collapsed="false">
      <c r="B1996" s="19" t="s">
        <v>10119</v>
      </c>
      <c r="C1996" s="20" t="n">
        <f aca="false">ROUND(16.9/FX,2)</f>
        <v>2.35</v>
      </c>
      <c r="D1996" s="21" t="s">
        <v>6336</v>
      </c>
      <c r="E1996" s="21" t="s">
        <v>10100</v>
      </c>
      <c r="F1996" s="21" t="s">
        <v>10104</v>
      </c>
      <c r="G1996" s="21" t="s">
        <v>7827</v>
      </c>
    </row>
    <row r="1997" customFormat="false" ht="28.35" hidden="false" customHeight="false" outlineLevel="0" collapsed="false">
      <c r="B1997" s="19" t="s">
        <v>10120</v>
      </c>
      <c r="C1997" s="20" t="n">
        <f aca="false">ROUND(16.9/FX,2)</f>
        <v>2.35</v>
      </c>
      <c r="D1997" s="21" t="s">
        <v>6336</v>
      </c>
      <c r="E1997" s="21" t="s">
        <v>10100</v>
      </c>
      <c r="F1997" s="21" t="s">
        <v>10109</v>
      </c>
      <c r="G1997" s="21" t="s">
        <v>7827</v>
      </c>
    </row>
    <row r="1998" customFormat="false" ht="28.35" hidden="false" customHeight="false" outlineLevel="0" collapsed="false">
      <c r="B1998" s="19" t="s">
        <v>10121</v>
      </c>
      <c r="C1998" s="20" t="n">
        <f aca="false">ROUND(16.9/FX,2)</f>
        <v>2.35</v>
      </c>
      <c r="D1998" s="21" t="s">
        <v>6336</v>
      </c>
      <c r="E1998" s="21" t="s">
        <v>10100</v>
      </c>
      <c r="F1998" s="21" t="s">
        <v>10106</v>
      </c>
      <c r="G1998" s="21" t="s">
        <v>7827</v>
      </c>
    </row>
    <row r="1999" customFormat="false" ht="28.35" hidden="false" customHeight="false" outlineLevel="0" collapsed="false">
      <c r="B1999" s="19" t="s">
        <v>10122</v>
      </c>
      <c r="C1999" s="20" t="n">
        <f aca="false">ROUND(22.1/FX,2)</f>
        <v>3.07</v>
      </c>
      <c r="D1999" s="21" t="s">
        <v>6336</v>
      </c>
      <c r="E1999" s="21" t="s">
        <v>10100</v>
      </c>
      <c r="F1999" s="21" t="s">
        <v>10115</v>
      </c>
      <c r="G1999" s="21" t="s">
        <v>7853</v>
      </c>
    </row>
    <row r="2000" customFormat="false" ht="28.35" hidden="false" customHeight="false" outlineLevel="0" collapsed="false">
      <c r="B2000" s="19" t="s">
        <v>10123</v>
      </c>
      <c r="C2000" s="20" t="n">
        <f aca="false">ROUND(22.1/FX,2)</f>
        <v>3.07</v>
      </c>
      <c r="D2000" s="21" t="s">
        <v>6336</v>
      </c>
      <c r="E2000" s="21" t="s">
        <v>10100</v>
      </c>
      <c r="F2000" s="21" t="s">
        <v>10117</v>
      </c>
      <c r="G2000" s="21" t="s">
        <v>7853</v>
      </c>
    </row>
    <row r="2001" customFormat="false" ht="28.35" hidden="false" customHeight="false" outlineLevel="0" collapsed="false">
      <c r="B2001" s="19" t="s">
        <v>10124</v>
      </c>
      <c r="C2001" s="20" t="n">
        <f aca="false">ROUND(22.1/FX,2)</f>
        <v>3.07</v>
      </c>
      <c r="D2001" s="21" t="s">
        <v>6336</v>
      </c>
      <c r="E2001" s="21" t="s">
        <v>10100</v>
      </c>
      <c r="F2001" s="21" t="s">
        <v>10115</v>
      </c>
      <c r="G2001" s="21" t="s">
        <v>7869</v>
      </c>
    </row>
    <row r="2002" customFormat="false" ht="28.35" hidden="false" customHeight="false" outlineLevel="0" collapsed="false">
      <c r="B2002" s="19" t="s">
        <v>10125</v>
      </c>
      <c r="C2002" s="20" t="n">
        <f aca="false">ROUND(22.1/FX,2)</f>
        <v>3.07</v>
      </c>
      <c r="D2002" s="21" t="s">
        <v>6336</v>
      </c>
      <c r="E2002" s="21" t="s">
        <v>10100</v>
      </c>
      <c r="F2002" s="21" t="s">
        <v>10117</v>
      </c>
      <c r="G2002" s="21" t="s">
        <v>7869</v>
      </c>
    </row>
    <row r="2003" customFormat="false" ht="28.35" hidden="false" customHeight="false" outlineLevel="0" collapsed="false">
      <c r="B2003" s="19" t="s">
        <v>10126</v>
      </c>
      <c r="C2003" s="20" t="n">
        <f aca="false">ROUND(22.1/FX,2)</f>
        <v>3.07</v>
      </c>
      <c r="D2003" s="21" t="s">
        <v>724</v>
      </c>
      <c r="E2003" s="21" t="s">
        <v>6336</v>
      </c>
      <c r="F2003" s="21" t="s">
        <v>10127</v>
      </c>
      <c r="G2003" s="21" t="s">
        <v>7829</v>
      </c>
    </row>
    <row r="2004" customFormat="false" ht="28.35" hidden="false" customHeight="false" outlineLevel="0" collapsed="false">
      <c r="B2004" s="19" t="s">
        <v>10128</v>
      </c>
      <c r="C2004" s="20" t="n">
        <f aca="false">ROUND(22.1/FX,2)</f>
        <v>3.07</v>
      </c>
      <c r="D2004" s="21" t="s">
        <v>724</v>
      </c>
      <c r="E2004" s="21" t="s">
        <v>6336</v>
      </c>
      <c r="F2004" s="21" t="s">
        <v>10129</v>
      </c>
      <c r="G2004" s="21" t="s">
        <v>7829</v>
      </c>
    </row>
    <row r="2005" customFormat="false" ht="28.35" hidden="false" customHeight="false" outlineLevel="0" collapsed="false">
      <c r="B2005" s="19" t="s">
        <v>10130</v>
      </c>
      <c r="C2005" s="20" t="n">
        <f aca="false">ROUND(22.1/FX,2)</f>
        <v>3.07</v>
      </c>
      <c r="D2005" s="21" t="s">
        <v>6336</v>
      </c>
      <c r="E2005" s="21" t="s">
        <v>10100</v>
      </c>
      <c r="F2005" s="21" t="s">
        <v>10131</v>
      </c>
      <c r="G2005" s="21" t="s">
        <v>7829</v>
      </c>
    </row>
    <row r="2006" customFormat="false" ht="28.35" hidden="false" customHeight="false" outlineLevel="0" collapsed="false">
      <c r="B2006" s="19" t="s">
        <v>10132</v>
      </c>
      <c r="C2006" s="20" t="n">
        <f aca="false">ROUND(22.1/FX,2)</f>
        <v>3.07</v>
      </c>
      <c r="D2006" s="21" t="s">
        <v>6336</v>
      </c>
      <c r="E2006" s="21" t="s">
        <v>10100</v>
      </c>
      <c r="F2006" s="21" t="s">
        <v>10115</v>
      </c>
      <c r="G2006" s="21" t="s">
        <v>7829</v>
      </c>
    </row>
    <row r="2007" customFormat="false" ht="28.35" hidden="false" customHeight="false" outlineLevel="0" collapsed="false">
      <c r="B2007" s="19" t="s">
        <v>10133</v>
      </c>
      <c r="C2007" s="20" t="n">
        <f aca="false">ROUND(22.1/FX,2)</f>
        <v>3.07</v>
      </c>
      <c r="D2007" s="21" t="s">
        <v>6336</v>
      </c>
      <c r="E2007" s="21" t="s">
        <v>10100</v>
      </c>
      <c r="F2007" s="21" t="s">
        <v>10117</v>
      </c>
      <c r="G2007" s="21" t="s">
        <v>7829</v>
      </c>
    </row>
    <row r="2008" customFormat="false" ht="28.35" hidden="false" customHeight="false" outlineLevel="0" collapsed="false">
      <c r="B2008" s="19" t="s">
        <v>10134</v>
      </c>
      <c r="C2008" s="20" t="n">
        <f aca="false">ROUND(22.1/FX,2)</f>
        <v>3.07</v>
      </c>
      <c r="D2008" s="21" t="s">
        <v>724</v>
      </c>
      <c r="E2008" s="21" t="s">
        <v>6336</v>
      </c>
      <c r="F2008" s="21" t="s">
        <v>10127</v>
      </c>
      <c r="G2008" s="21" t="s">
        <v>7831</v>
      </c>
    </row>
    <row r="2009" customFormat="false" ht="28.35" hidden="false" customHeight="false" outlineLevel="0" collapsed="false">
      <c r="B2009" s="19" t="s">
        <v>10135</v>
      </c>
      <c r="C2009" s="20" t="n">
        <f aca="false">ROUND(22.1/FX,2)</f>
        <v>3.07</v>
      </c>
      <c r="D2009" s="21" t="s">
        <v>6336</v>
      </c>
      <c r="E2009" s="21" t="s">
        <v>10100</v>
      </c>
      <c r="F2009" s="21" t="s">
        <v>10131</v>
      </c>
      <c r="G2009" s="21" t="s">
        <v>7831</v>
      </c>
    </row>
    <row r="2010" customFormat="false" ht="28.35" hidden="false" customHeight="false" outlineLevel="0" collapsed="false">
      <c r="B2010" s="19" t="s">
        <v>10136</v>
      </c>
      <c r="C2010" s="20" t="n">
        <f aca="false">ROUND(22.1/FX,2)</f>
        <v>3.07</v>
      </c>
      <c r="D2010" s="21" t="s">
        <v>6336</v>
      </c>
      <c r="E2010" s="21" t="s">
        <v>10100</v>
      </c>
      <c r="F2010" s="21" t="s">
        <v>10115</v>
      </c>
      <c r="G2010" s="21" t="s">
        <v>7831</v>
      </c>
    </row>
    <row r="2011" customFormat="false" ht="28.35" hidden="false" customHeight="false" outlineLevel="0" collapsed="false">
      <c r="B2011" s="19" t="s">
        <v>10137</v>
      </c>
      <c r="C2011" s="20" t="n">
        <f aca="false">ROUND(22.1/FX,2)</f>
        <v>3.07</v>
      </c>
      <c r="D2011" s="21" t="s">
        <v>6336</v>
      </c>
      <c r="E2011" s="21" t="s">
        <v>10100</v>
      </c>
      <c r="F2011" s="21" t="s">
        <v>10117</v>
      </c>
      <c r="G2011" s="21" t="s">
        <v>7831</v>
      </c>
    </row>
    <row r="2012" customFormat="false" ht="28.35" hidden="false" customHeight="false" outlineLevel="0" collapsed="false">
      <c r="B2012" s="19" t="s">
        <v>10138</v>
      </c>
      <c r="C2012" s="20" t="n">
        <f aca="false">ROUND(22.1/FX,2)</f>
        <v>3.07</v>
      </c>
      <c r="D2012" s="21" t="s">
        <v>724</v>
      </c>
      <c r="E2012" s="21" t="s">
        <v>6336</v>
      </c>
      <c r="F2012" s="21" t="s">
        <v>10127</v>
      </c>
      <c r="G2012" s="21" t="s">
        <v>7862</v>
      </c>
    </row>
    <row r="2013" customFormat="false" ht="41.75" hidden="false" customHeight="false" outlineLevel="0" collapsed="false">
      <c r="B2013" s="19" t="s">
        <v>10139</v>
      </c>
      <c r="C2013" s="20" t="n">
        <f aca="false">ROUND(22.2/FX,2)</f>
        <v>3.08</v>
      </c>
      <c r="D2013" s="21" t="s">
        <v>6336</v>
      </c>
      <c r="E2013" s="21" t="s">
        <v>10100</v>
      </c>
      <c r="F2013" s="21" t="s">
        <v>10140</v>
      </c>
      <c r="G2013" s="21" t="s">
        <v>7862</v>
      </c>
    </row>
    <row r="2014" customFormat="false" ht="41.75" hidden="false" customHeight="false" outlineLevel="0" collapsed="false">
      <c r="B2014" s="19" t="s">
        <v>10141</v>
      </c>
      <c r="C2014" s="20" t="n">
        <f aca="false">ROUND(22.1/FX,2)</f>
        <v>3.07</v>
      </c>
      <c r="D2014" s="21" t="s">
        <v>6336</v>
      </c>
      <c r="E2014" s="21" t="s">
        <v>10100</v>
      </c>
      <c r="F2014" s="21" t="s">
        <v>10142</v>
      </c>
      <c r="G2014" s="21" t="s">
        <v>7862</v>
      </c>
    </row>
    <row r="2015" customFormat="false" ht="28.35" hidden="false" customHeight="false" outlineLevel="0" collapsed="false">
      <c r="B2015" s="19" t="s">
        <v>10143</v>
      </c>
      <c r="C2015" s="20" t="n">
        <f aca="false">ROUND(22.1/FX,2)</f>
        <v>3.07</v>
      </c>
      <c r="D2015" s="21" t="s">
        <v>6336</v>
      </c>
      <c r="E2015" s="21" t="s">
        <v>10100</v>
      </c>
      <c r="F2015" s="21" t="s">
        <v>10115</v>
      </c>
      <c r="G2015" s="21" t="s">
        <v>7862</v>
      </c>
    </row>
    <row r="2016" customFormat="false" ht="28.35" hidden="false" customHeight="false" outlineLevel="0" collapsed="false">
      <c r="B2016" s="19" t="s">
        <v>10144</v>
      </c>
      <c r="C2016" s="20" t="n">
        <f aca="false">ROUND(22.1/FX,2)</f>
        <v>3.07</v>
      </c>
      <c r="D2016" s="21" t="s">
        <v>6336</v>
      </c>
      <c r="E2016" s="21" t="s">
        <v>10100</v>
      </c>
      <c r="F2016" s="21" t="s">
        <v>10117</v>
      </c>
      <c r="G2016" s="21" t="s">
        <v>7862</v>
      </c>
    </row>
    <row r="2017" customFormat="false" ht="28.35" hidden="false" customHeight="false" outlineLevel="0" collapsed="false">
      <c r="B2017" s="19" t="s">
        <v>10145</v>
      </c>
      <c r="C2017" s="20" t="n">
        <f aca="false">ROUND(22.1/FX,2)</f>
        <v>3.07</v>
      </c>
      <c r="D2017" s="21" t="s">
        <v>6336</v>
      </c>
      <c r="E2017" s="21" t="s">
        <v>10100</v>
      </c>
      <c r="F2017" s="21" t="s">
        <v>10115</v>
      </c>
      <c r="G2017" s="21" t="s">
        <v>7866</v>
      </c>
    </row>
    <row r="2020" customFormat="false" ht="61.5" hidden="false" customHeight="true" outlineLevel="0" collapsed="false">
      <c r="A2020" s="9"/>
      <c r="B2020" s="10" t="s">
        <v>10146</v>
      </c>
      <c r="C2020" s="10"/>
      <c r="D2020" s="10"/>
      <c r="E2020" s="10"/>
      <c r="F2020" s="10"/>
      <c r="G2020" s="10"/>
    </row>
    <row r="2021" customFormat="false" ht="15" hidden="false" customHeight="false" outlineLevel="0" collapsed="false">
      <c r="A2021" s="12" t="s">
        <v>700</v>
      </c>
      <c r="B2021" s="13" t="s">
        <v>701</v>
      </c>
      <c r="C2021" s="13" t="s">
        <v>702</v>
      </c>
      <c r="D2021" s="13" t="s">
        <v>722</v>
      </c>
      <c r="E2021" s="13" t="s">
        <v>704</v>
      </c>
      <c r="F2021" s="13" t="s">
        <v>723</v>
      </c>
      <c r="G2021" s="13" t="s">
        <v>6523</v>
      </c>
    </row>
    <row r="2022" customFormat="false" ht="30" hidden="false" customHeight="true" outlineLevel="0" collapsed="false">
      <c r="A2022" s="14" t="s">
        <v>706</v>
      </c>
      <c r="B2022" s="15" t="str">
        <f aca="false">IF(COUNTIFS($D$2025:$D$2062,IF(D2022="","*",D2022),$E$2025:$E$2062,IF(E2022="","*",E2022),$F$2025:$F$2062,IF(F2022="","*",F2022),$G$2025:$G$2062,IF(G2022="","*",G2022))=1,INDEX($B:$B,SUMPRODUCT(((D2022="")+($D$2025:$D$2062=D2022)&gt;0)*((E2022="")+($E$2025:$E$2062=E2022)&gt;0)*((F2022="")+($F$2025:$F$2062=F2022)&gt;0)*((G2022="")+($G$2025:$G$2062=G2022)&gt;0)*ROW($B$2025:$B$2062))),IF(COUNTIFS($D$2025:$D$2062,IF(D2022="","*",D2022),$E$2025:$E$2062,IF(E2022="","*",E2022),$F$2025:$F$2062,IF(F2022="","*",F2022),$G$2025:$G$2062,IF(G2022="","*",G2022))=0,"Not available",COUNTIFS($D$2025:$D$2062,IF(D2022="","*",D2022),$E$2025:$E$2062,IF(E2022="","*",E2022),$F$2025:$F$2062,IF(F2022="","*",F2022),$G$2025:$G$2062,IF(G2022="","*",G2022))&amp;" match, keep choosing"))</f>
        <v>CP-007-10x10-CS-SJ-D16-L35-NJ</v>
      </c>
      <c r="C2022" s="16" t="n">
        <f aca="false">IF(COUNTIFS($D$2025:$D$2062,IF(D2022="","*",D2022),$E$2025:$E$2062,IF(E2022="","*",E2022),$F$2025:$F$2062,IF(F2022="","*",F2022),$G$2025:$G$2062,IF(G2022="","*",G2022))=1,INDEX($C:$C,SUMPRODUCT(((D2022="")+($D$2025:$D$2062=D2022)&gt;0)*((E2022="")+($E$2025:$E$2062=E2022)&gt;0)*((F2022="")+($F$2025:$F$2062=F2022)&gt;0)*((G2022="")+($G$2025:$G$2062=G2022)&gt;0)*ROW($B$2025:$B$2062))),"")</f>
        <v>1.35</v>
      </c>
      <c r="D2022" s="17" t="s">
        <v>6336</v>
      </c>
      <c r="E2022" s="17" t="s">
        <v>10100</v>
      </c>
      <c r="F2022" s="17" t="s">
        <v>10147</v>
      </c>
      <c r="G2022" s="17" t="s">
        <v>7875</v>
      </c>
    </row>
    <row r="2024" customFormat="false" ht="15" hidden="false" customHeight="false" outlineLevel="0" collapsed="false">
      <c r="B2024" s="18" t="s">
        <v>701</v>
      </c>
      <c r="C2024" s="18" t="s">
        <v>702</v>
      </c>
      <c r="D2024" s="18" t="s">
        <v>722</v>
      </c>
      <c r="E2024" s="18" t="s">
        <v>704</v>
      </c>
      <c r="F2024" s="18" t="s">
        <v>723</v>
      </c>
      <c r="G2024" s="18" t="s">
        <v>6523</v>
      </c>
    </row>
    <row r="2025" customFormat="false" ht="15" hidden="false" customHeight="false" outlineLevel="0" collapsed="false">
      <c r="B2025" s="19" t="s">
        <v>10148</v>
      </c>
      <c r="C2025" s="20" t="n">
        <f aca="false">ROUND(9.75/FX,2)</f>
        <v>1.35</v>
      </c>
      <c r="D2025" s="21" t="s">
        <v>6336</v>
      </c>
      <c r="E2025" s="21" t="s">
        <v>10100</v>
      </c>
      <c r="F2025" s="21" t="s">
        <v>10147</v>
      </c>
      <c r="G2025" s="21" t="s">
        <v>7875</v>
      </c>
    </row>
    <row r="2026" customFormat="false" ht="15" hidden="false" customHeight="false" outlineLevel="0" collapsed="false">
      <c r="B2026" s="19" t="s">
        <v>10149</v>
      </c>
      <c r="C2026" s="20" t="n">
        <f aca="false">ROUND(20.8/FX,2)</f>
        <v>2.89</v>
      </c>
      <c r="D2026" s="21" t="s">
        <v>6336</v>
      </c>
      <c r="E2026" s="21" t="s">
        <v>10100</v>
      </c>
      <c r="F2026" s="21" t="s">
        <v>10150</v>
      </c>
      <c r="G2026" s="21" t="s">
        <v>7875</v>
      </c>
    </row>
    <row r="2027" customFormat="false" ht="15" hidden="false" customHeight="false" outlineLevel="0" collapsed="false">
      <c r="B2027" s="19" t="s">
        <v>10151</v>
      </c>
      <c r="C2027" s="20" t="n">
        <f aca="false">ROUND(13/FX,2)</f>
        <v>1.81</v>
      </c>
      <c r="D2027" s="21" t="s">
        <v>6336</v>
      </c>
      <c r="E2027" s="21" t="s">
        <v>10100</v>
      </c>
      <c r="F2027" s="21" t="s">
        <v>10152</v>
      </c>
      <c r="G2027" s="21" t="s">
        <v>7999</v>
      </c>
    </row>
    <row r="2028" customFormat="false" ht="15" hidden="false" customHeight="false" outlineLevel="0" collapsed="false">
      <c r="B2028" s="19" t="s">
        <v>10153</v>
      </c>
      <c r="C2028" s="20" t="n">
        <f aca="false">ROUND(13/FX,2)</f>
        <v>1.81</v>
      </c>
      <c r="D2028" s="21" t="s">
        <v>6336</v>
      </c>
      <c r="E2028" s="21" t="s">
        <v>10100</v>
      </c>
      <c r="F2028" s="21" t="s">
        <v>10152</v>
      </c>
      <c r="G2028" s="21" t="s">
        <v>7985</v>
      </c>
    </row>
    <row r="2029" customFormat="false" ht="15" hidden="false" customHeight="false" outlineLevel="0" collapsed="false">
      <c r="B2029" s="19" t="s">
        <v>10154</v>
      </c>
      <c r="C2029" s="20" t="n">
        <f aca="false">ROUND(4.55/FX,2)</f>
        <v>0.63</v>
      </c>
      <c r="D2029" s="21" t="s">
        <v>6336</v>
      </c>
      <c r="E2029" s="21" t="s">
        <v>10100</v>
      </c>
      <c r="F2029" s="21" t="s">
        <v>10155</v>
      </c>
      <c r="G2029" s="21" t="s">
        <v>10156</v>
      </c>
    </row>
    <row r="2030" customFormat="false" ht="15" hidden="false" customHeight="false" outlineLevel="0" collapsed="false">
      <c r="B2030" s="19" t="s">
        <v>10157</v>
      </c>
      <c r="C2030" s="20" t="n">
        <f aca="false">ROUND(4.55/FX,2)</f>
        <v>0.63</v>
      </c>
      <c r="D2030" s="21" t="s">
        <v>6336</v>
      </c>
      <c r="E2030" s="21" t="s">
        <v>10100</v>
      </c>
      <c r="F2030" s="21" t="s">
        <v>10158</v>
      </c>
      <c r="G2030" s="21" t="s">
        <v>10159</v>
      </c>
    </row>
    <row r="2031" customFormat="false" ht="15" hidden="false" customHeight="false" outlineLevel="0" collapsed="false">
      <c r="B2031" s="19" t="s">
        <v>10160</v>
      </c>
      <c r="C2031" s="20" t="n">
        <f aca="false">ROUND(4.55/FX,2)</f>
        <v>0.63</v>
      </c>
      <c r="D2031" s="21" t="s">
        <v>6336</v>
      </c>
      <c r="E2031" s="21" t="s">
        <v>10100</v>
      </c>
      <c r="F2031" s="21" t="s">
        <v>10158</v>
      </c>
      <c r="G2031" s="21" t="s">
        <v>10161</v>
      </c>
    </row>
    <row r="2032" customFormat="false" ht="15" hidden="false" customHeight="false" outlineLevel="0" collapsed="false">
      <c r="B2032" s="19" t="s">
        <v>10162</v>
      </c>
      <c r="C2032" s="20" t="n">
        <f aca="false">ROUND(3.25/FX,2)</f>
        <v>0.45</v>
      </c>
      <c r="D2032" s="21" t="s">
        <v>6336</v>
      </c>
      <c r="E2032" s="21" t="s">
        <v>10100</v>
      </c>
      <c r="F2032" s="21" t="s">
        <v>10155</v>
      </c>
      <c r="G2032" s="21" t="s">
        <v>7824</v>
      </c>
    </row>
    <row r="2033" customFormat="false" ht="15" hidden="false" customHeight="false" outlineLevel="0" collapsed="false">
      <c r="B2033" s="19" t="s">
        <v>10163</v>
      </c>
      <c r="C2033" s="20" t="n">
        <f aca="false">ROUND(3.9/FX,2)</f>
        <v>0.54</v>
      </c>
      <c r="D2033" s="21" t="s">
        <v>6336</v>
      </c>
      <c r="E2033" s="21" t="s">
        <v>10100</v>
      </c>
      <c r="F2033" s="21" t="s">
        <v>10155</v>
      </c>
      <c r="G2033" s="21" t="s">
        <v>10164</v>
      </c>
    </row>
    <row r="2034" customFormat="false" ht="15" hidden="false" customHeight="false" outlineLevel="0" collapsed="false">
      <c r="B2034" s="19" t="s">
        <v>10165</v>
      </c>
      <c r="C2034" s="20" t="n">
        <f aca="false">ROUND(4.55/FX,2)</f>
        <v>0.63</v>
      </c>
      <c r="D2034" s="21" t="s">
        <v>6336</v>
      </c>
      <c r="E2034" s="21" t="s">
        <v>10100</v>
      </c>
      <c r="F2034" s="21" t="s">
        <v>10158</v>
      </c>
      <c r="G2034" s="21" t="s">
        <v>7904</v>
      </c>
    </row>
    <row r="2035" customFormat="false" ht="15" hidden="false" customHeight="false" outlineLevel="0" collapsed="false">
      <c r="B2035" s="19" t="s">
        <v>10166</v>
      </c>
      <c r="C2035" s="20" t="n">
        <f aca="false">ROUND(2.6/FX,2)</f>
        <v>0.36</v>
      </c>
      <c r="D2035" s="21" t="s">
        <v>6336</v>
      </c>
      <c r="E2035" s="21" t="s">
        <v>10100</v>
      </c>
      <c r="F2035" s="21" t="s">
        <v>10158</v>
      </c>
      <c r="G2035" s="21" t="s">
        <v>7837</v>
      </c>
    </row>
    <row r="2036" customFormat="false" ht="15" hidden="false" customHeight="false" outlineLevel="0" collapsed="false">
      <c r="B2036" s="19" t="s">
        <v>10167</v>
      </c>
      <c r="C2036" s="20" t="n">
        <f aca="false">ROUND(4.55/FX,2)</f>
        <v>0.63</v>
      </c>
      <c r="D2036" s="21" t="s">
        <v>6336</v>
      </c>
      <c r="E2036" s="21" t="s">
        <v>10100</v>
      </c>
      <c r="F2036" s="21" t="s">
        <v>10158</v>
      </c>
      <c r="G2036" s="21" t="s">
        <v>10168</v>
      </c>
    </row>
    <row r="2037" customFormat="false" ht="15" hidden="false" customHeight="false" outlineLevel="0" collapsed="false">
      <c r="B2037" s="19" t="s">
        <v>10169</v>
      </c>
      <c r="C2037" s="20" t="n">
        <f aca="false">ROUND(4.55/FX,2)</f>
        <v>0.63</v>
      </c>
      <c r="D2037" s="21" t="s">
        <v>6336</v>
      </c>
      <c r="E2037" s="21" t="s">
        <v>10100</v>
      </c>
      <c r="F2037" s="21" t="s">
        <v>10158</v>
      </c>
      <c r="G2037" s="21" t="s">
        <v>10170</v>
      </c>
    </row>
    <row r="2038" customFormat="false" ht="15" hidden="false" customHeight="false" outlineLevel="0" collapsed="false">
      <c r="B2038" s="19" t="s">
        <v>10171</v>
      </c>
      <c r="C2038" s="20" t="n">
        <f aca="false">ROUND(2.86/FX,2)</f>
        <v>0.4</v>
      </c>
      <c r="D2038" s="21" t="s">
        <v>6336</v>
      </c>
      <c r="E2038" s="21" t="s">
        <v>10100</v>
      </c>
      <c r="F2038" s="21" t="s">
        <v>10172</v>
      </c>
      <c r="G2038" s="21" t="s">
        <v>10173</v>
      </c>
    </row>
    <row r="2039" customFormat="false" ht="28.35" hidden="false" customHeight="false" outlineLevel="0" collapsed="false">
      <c r="B2039" s="19" t="s">
        <v>10174</v>
      </c>
      <c r="C2039" s="20" t="n">
        <f aca="false">ROUND(4.22/FX,2)</f>
        <v>0.59</v>
      </c>
      <c r="D2039" s="21" t="s">
        <v>6336</v>
      </c>
      <c r="E2039" s="21" t="s">
        <v>6336</v>
      </c>
      <c r="F2039" s="21" t="s">
        <v>10175</v>
      </c>
      <c r="G2039" s="21" t="s">
        <v>7916</v>
      </c>
    </row>
    <row r="2040" customFormat="false" ht="15" hidden="false" customHeight="false" outlineLevel="0" collapsed="false">
      <c r="B2040" s="19" t="s">
        <v>10176</v>
      </c>
      <c r="C2040" s="20" t="n">
        <f aca="false">ROUND(4.55/FX,2)</f>
        <v>0.63</v>
      </c>
      <c r="D2040" s="21" t="s">
        <v>6336</v>
      </c>
      <c r="E2040" s="21" t="s">
        <v>10100</v>
      </c>
      <c r="F2040" s="21" t="s">
        <v>10158</v>
      </c>
      <c r="G2040" s="21" t="s">
        <v>7916</v>
      </c>
    </row>
    <row r="2041" customFormat="false" ht="15" hidden="false" customHeight="false" outlineLevel="0" collapsed="false">
      <c r="B2041" s="19" t="s">
        <v>10177</v>
      </c>
      <c r="C2041" s="20" t="n">
        <f aca="false">ROUND(4.55/FX,2)</f>
        <v>0.63</v>
      </c>
      <c r="D2041" s="21" t="s">
        <v>6336</v>
      </c>
      <c r="E2041" s="21" t="s">
        <v>10100</v>
      </c>
      <c r="F2041" s="21" t="s">
        <v>10158</v>
      </c>
      <c r="G2041" s="21" t="s">
        <v>10178</v>
      </c>
    </row>
    <row r="2042" customFormat="false" ht="15" hidden="false" customHeight="false" outlineLevel="0" collapsed="false">
      <c r="B2042" s="19" t="s">
        <v>10179</v>
      </c>
      <c r="C2042" s="20" t="n">
        <f aca="false">ROUND(4.55/FX,2)</f>
        <v>0.63</v>
      </c>
      <c r="D2042" s="21" t="s">
        <v>6336</v>
      </c>
      <c r="E2042" s="21" t="s">
        <v>10100</v>
      </c>
      <c r="F2042" s="21" t="s">
        <v>10158</v>
      </c>
      <c r="G2042" s="21" t="s">
        <v>7918</v>
      </c>
    </row>
    <row r="2043" customFormat="false" ht="15" hidden="false" customHeight="false" outlineLevel="0" collapsed="false">
      <c r="B2043" s="19" t="s">
        <v>10180</v>
      </c>
      <c r="C2043" s="20" t="n">
        <f aca="false">ROUND(2.86/FX,2)</f>
        <v>0.4</v>
      </c>
      <c r="D2043" s="21" t="s">
        <v>6336</v>
      </c>
      <c r="E2043" s="21" t="s">
        <v>10100</v>
      </c>
      <c r="F2043" s="21" t="s">
        <v>10172</v>
      </c>
      <c r="G2043" s="21" t="s">
        <v>7847</v>
      </c>
    </row>
    <row r="2044" customFormat="false" ht="15" hidden="false" customHeight="false" outlineLevel="0" collapsed="false">
      <c r="B2044" s="19" t="s">
        <v>10181</v>
      </c>
      <c r="C2044" s="20" t="n">
        <f aca="false">ROUND(3.25/FX,2)</f>
        <v>0.45</v>
      </c>
      <c r="D2044" s="21" t="s">
        <v>724</v>
      </c>
      <c r="E2044" s="21" t="s">
        <v>10100</v>
      </c>
      <c r="F2044" s="21" t="s">
        <v>10158</v>
      </c>
      <c r="G2044" s="21" t="s">
        <v>7827</v>
      </c>
    </row>
    <row r="2045" customFormat="false" ht="15" hidden="false" customHeight="false" outlineLevel="0" collapsed="false">
      <c r="B2045" s="19" t="s">
        <v>10182</v>
      </c>
      <c r="C2045" s="20" t="n">
        <f aca="false">ROUND(11.7/FX,2)</f>
        <v>1.63</v>
      </c>
      <c r="D2045" s="21" t="s">
        <v>6336</v>
      </c>
      <c r="E2045" s="21" t="s">
        <v>10100</v>
      </c>
      <c r="F2045" s="21" t="s">
        <v>10183</v>
      </c>
      <c r="G2045" s="21" t="s">
        <v>7827</v>
      </c>
    </row>
    <row r="2046" customFormat="false" ht="15" hidden="false" customHeight="false" outlineLevel="0" collapsed="false">
      <c r="B2046" s="19" t="s">
        <v>10184</v>
      </c>
      <c r="C2046" s="20" t="n">
        <f aca="false">ROUND(4.55/FX,2)</f>
        <v>0.63</v>
      </c>
      <c r="D2046" s="21" t="s">
        <v>6336</v>
      </c>
      <c r="E2046" s="21" t="s">
        <v>10100</v>
      </c>
      <c r="F2046" s="21" t="s">
        <v>10158</v>
      </c>
      <c r="G2046" s="21" t="s">
        <v>7827</v>
      </c>
    </row>
    <row r="2047" customFormat="false" ht="15" hidden="false" customHeight="false" outlineLevel="0" collapsed="false">
      <c r="B2047" s="19" t="s">
        <v>10185</v>
      </c>
      <c r="C2047" s="20" t="n">
        <f aca="false">ROUND(2.86/FX,2)</f>
        <v>0.4</v>
      </c>
      <c r="D2047" s="21" t="s">
        <v>6336</v>
      </c>
      <c r="E2047" s="21" t="s">
        <v>10100</v>
      </c>
      <c r="F2047" s="21" t="s">
        <v>10172</v>
      </c>
      <c r="G2047" s="21" t="s">
        <v>7853</v>
      </c>
    </row>
    <row r="2048" customFormat="false" ht="15" hidden="false" customHeight="false" outlineLevel="0" collapsed="false">
      <c r="B2048" s="19" t="s">
        <v>10186</v>
      </c>
      <c r="C2048" s="20" t="n">
        <f aca="false">ROUND(2.86/FX,2)</f>
        <v>0.4</v>
      </c>
      <c r="D2048" s="21" t="s">
        <v>6336</v>
      </c>
      <c r="E2048" s="21" t="s">
        <v>10100</v>
      </c>
      <c r="F2048" s="21" t="s">
        <v>10172</v>
      </c>
      <c r="G2048" s="21" t="s">
        <v>7869</v>
      </c>
    </row>
    <row r="2049" customFormat="false" ht="15" hidden="false" customHeight="false" outlineLevel="0" collapsed="false">
      <c r="B2049" s="19" t="s">
        <v>10187</v>
      </c>
      <c r="C2049" s="20" t="n">
        <f aca="false">ROUND(7.15/FX,2)</f>
        <v>0.99</v>
      </c>
      <c r="D2049" s="21" t="s">
        <v>6336</v>
      </c>
      <c r="E2049" s="21" t="s">
        <v>10100</v>
      </c>
      <c r="F2049" s="21" t="s">
        <v>10188</v>
      </c>
      <c r="G2049" s="21" t="s">
        <v>7933</v>
      </c>
    </row>
    <row r="2050" customFormat="false" ht="15" hidden="false" customHeight="false" outlineLevel="0" collapsed="false">
      <c r="B2050" s="19" t="s">
        <v>10189</v>
      </c>
      <c r="C2050" s="20" t="n">
        <f aca="false">ROUND(2.86/FX,2)</f>
        <v>0.4</v>
      </c>
      <c r="D2050" s="21" t="s">
        <v>724</v>
      </c>
      <c r="E2050" s="21" t="s">
        <v>10100</v>
      </c>
      <c r="F2050" s="21" t="s">
        <v>10172</v>
      </c>
      <c r="G2050" s="21" t="s">
        <v>7829</v>
      </c>
    </row>
    <row r="2051" customFormat="false" ht="15" hidden="false" customHeight="false" outlineLevel="0" collapsed="false">
      <c r="B2051" s="19" t="s">
        <v>10190</v>
      </c>
      <c r="C2051" s="20" t="n">
        <f aca="false">ROUND(2.86/FX,2)</f>
        <v>0.4</v>
      </c>
      <c r="D2051" s="21" t="s">
        <v>6336</v>
      </c>
      <c r="E2051" s="21" t="s">
        <v>10100</v>
      </c>
      <c r="F2051" s="21" t="s">
        <v>10172</v>
      </c>
      <c r="G2051" s="21" t="s">
        <v>7829</v>
      </c>
    </row>
    <row r="2052" customFormat="false" ht="15" hidden="false" customHeight="false" outlineLevel="0" collapsed="false">
      <c r="B2052" s="19" t="s">
        <v>10191</v>
      </c>
      <c r="C2052" s="20" t="n">
        <f aca="false">ROUND(20.8/FX,2)</f>
        <v>2.89</v>
      </c>
      <c r="D2052" s="21" t="s">
        <v>6336</v>
      </c>
      <c r="E2052" s="21" t="s">
        <v>10100</v>
      </c>
      <c r="F2052" s="21" t="s">
        <v>10183</v>
      </c>
      <c r="G2052" s="21" t="s">
        <v>7829</v>
      </c>
    </row>
    <row r="2053" customFormat="false" ht="15" hidden="false" customHeight="false" outlineLevel="0" collapsed="false">
      <c r="B2053" s="19" t="s">
        <v>10192</v>
      </c>
      <c r="C2053" s="20" t="n">
        <f aca="false">ROUND(2.6/FX,2)</f>
        <v>0.36</v>
      </c>
      <c r="D2053" s="21" t="s">
        <v>6336</v>
      </c>
      <c r="E2053" s="21" t="s">
        <v>10100</v>
      </c>
      <c r="F2053" s="21" t="s">
        <v>10172</v>
      </c>
      <c r="G2053" s="21" t="s">
        <v>7831</v>
      </c>
    </row>
    <row r="2054" customFormat="false" ht="15" hidden="false" customHeight="false" outlineLevel="0" collapsed="false">
      <c r="B2054" s="19" t="s">
        <v>10193</v>
      </c>
      <c r="C2054" s="20" t="n">
        <f aca="false">ROUND(7.15/FX,2)</f>
        <v>0.99</v>
      </c>
      <c r="D2054" s="21" t="s">
        <v>6336</v>
      </c>
      <c r="E2054" s="21" t="s">
        <v>10100</v>
      </c>
      <c r="F2054" s="21" t="s">
        <v>10188</v>
      </c>
      <c r="G2054" s="21" t="s">
        <v>7833</v>
      </c>
    </row>
    <row r="2055" customFormat="false" ht="15" hidden="false" customHeight="false" outlineLevel="0" collapsed="false">
      <c r="B2055" s="19" t="s">
        <v>10194</v>
      </c>
      <c r="C2055" s="20" t="n">
        <f aca="false">ROUND(2.86/FX,2)</f>
        <v>0.4</v>
      </c>
      <c r="D2055" s="21" t="s">
        <v>724</v>
      </c>
      <c r="E2055" s="21" t="s">
        <v>10100</v>
      </c>
      <c r="F2055" s="21" t="s">
        <v>10172</v>
      </c>
      <c r="G2055" s="21" t="s">
        <v>7862</v>
      </c>
    </row>
    <row r="2056" customFormat="false" ht="15" hidden="false" customHeight="false" outlineLevel="0" collapsed="false">
      <c r="B2056" s="19" t="s">
        <v>10195</v>
      </c>
      <c r="C2056" s="20" t="n">
        <f aca="false">ROUND(2.86/FX,2)</f>
        <v>0.4</v>
      </c>
      <c r="D2056" s="21" t="s">
        <v>6336</v>
      </c>
      <c r="E2056" s="21" t="s">
        <v>10100</v>
      </c>
      <c r="F2056" s="21" t="s">
        <v>10172</v>
      </c>
      <c r="G2056" s="21" t="s">
        <v>7862</v>
      </c>
    </row>
    <row r="2057" customFormat="false" ht="15" hidden="false" customHeight="false" outlineLevel="0" collapsed="false">
      <c r="B2057" s="19" t="s">
        <v>10196</v>
      </c>
      <c r="C2057" s="20" t="n">
        <f aca="false">ROUND(20.8/FX,2)</f>
        <v>2.89</v>
      </c>
      <c r="D2057" s="21" t="s">
        <v>6336</v>
      </c>
      <c r="E2057" s="21" t="s">
        <v>10100</v>
      </c>
      <c r="F2057" s="21" t="s">
        <v>10183</v>
      </c>
      <c r="G2057" s="21" t="s">
        <v>7862</v>
      </c>
    </row>
    <row r="2058" customFormat="false" ht="15" hidden="false" customHeight="false" outlineLevel="0" collapsed="false">
      <c r="B2058" s="19" t="s">
        <v>10197</v>
      </c>
      <c r="C2058" s="20" t="n">
        <f aca="false">ROUND(13/FX,2)</f>
        <v>1.81</v>
      </c>
      <c r="D2058" s="21" t="s">
        <v>6336</v>
      </c>
      <c r="E2058" s="21" t="s">
        <v>10100</v>
      </c>
      <c r="F2058" s="21" t="s">
        <v>10188</v>
      </c>
      <c r="G2058" s="21" t="s">
        <v>7872</v>
      </c>
    </row>
    <row r="2059" customFormat="false" ht="15" hidden="false" customHeight="false" outlineLevel="0" collapsed="false">
      <c r="B2059" s="19" t="s">
        <v>10198</v>
      </c>
      <c r="C2059" s="20" t="n">
        <f aca="false">ROUND(13/FX,2)</f>
        <v>1.81</v>
      </c>
      <c r="D2059" s="21" t="s">
        <v>6336</v>
      </c>
      <c r="E2059" s="21" t="s">
        <v>10100</v>
      </c>
      <c r="F2059" s="21" t="s">
        <v>10147</v>
      </c>
      <c r="G2059" s="21" t="s">
        <v>7899</v>
      </c>
    </row>
    <row r="2060" customFormat="false" ht="15" hidden="false" customHeight="false" outlineLevel="0" collapsed="false">
      <c r="B2060" s="19" t="s">
        <v>10199</v>
      </c>
      <c r="C2060" s="20" t="n">
        <f aca="false">ROUND(15.6/FX,2)</f>
        <v>2.17</v>
      </c>
      <c r="D2060" s="21" t="s">
        <v>6336</v>
      </c>
      <c r="E2060" s="21" t="s">
        <v>10100</v>
      </c>
      <c r="F2060" s="21" t="s">
        <v>10150</v>
      </c>
      <c r="G2060" s="21" t="s">
        <v>7899</v>
      </c>
    </row>
    <row r="2061" customFormat="false" ht="15" hidden="false" customHeight="false" outlineLevel="0" collapsed="false">
      <c r="B2061" s="19" t="s">
        <v>10200</v>
      </c>
      <c r="C2061" s="20" t="n">
        <f aca="false">ROUND(7.15/FX,2)</f>
        <v>0.99</v>
      </c>
      <c r="D2061" s="21" t="s">
        <v>6336</v>
      </c>
      <c r="E2061" s="21" t="s">
        <v>10100</v>
      </c>
      <c r="F2061" s="21" t="s">
        <v>10188</v>
      </c>
      <c r="G2061" s="21" t="s">
        <v>7866</v>
      </c>
    </row>
    <row r="2062" customFormat="false" ht="15" hidden="false" customHeight="false" outlineLevel="0" collapsed="false">
      <c r="B2062" s="19" t="s">
        <v>10201</v>
      </c>
      <c r="C2062" s="20" t="n">
        <f aca="false">ROUND(20.8/FX,2)</f>
        <v>2.89</v>
      </c>
      <c r="D2062" s="21" t="s">
        <v>6336</v>
      </c>
      <c r="E2062" s="21" t="s">
        <v>10100</v>
      </c>
      <c r="F2062" s="21" t="s">
        <v>10202</v>
      </c>
      <c r="G2062" s="21" t="s">
        <v>7866</v>
      </c>
    </row>
    <row r="2065" customFormat="false" ht="61.5" hidden="false" customHeight="true" outlineLevel="0" collapsed="false">
      <c r="A2065" s="9"/>
      <c r="B2065" s="10" t="s">
        <v>10203</v>
      </c>
      <c r="C2065" s="10"/>
      <c r="D2065" s="10"/>
      <c r="E2065" s="10"/>
      <c r="F2065" s="10"/>
      <c r="G2065" s="10"/>
      <c r="H2065" s="10"/>
    </row>
    <row r="2066" customFormat="false" ht="15" hidden="false" customHeight="false" outlineLevel="0" collapsed="false">
      <c r="A2066" s="12" t="s">
        <v>700</v>
      </c>
      <c r="B2066" s="13" t="s">
        <v>701</v>
      </c>
      <c r="C2066" s="13" t="s">
        <v>702</v>
      </c>
      <c r="D2066" s="13" t="s">
        <v>722</v>
      </c>
      <c r="E2066" s="13" t="s">
        <v>704</v>
      </c>
      <c r="F2066" s="13" t="s">
        <v>723</v>
      </c>
      <c r="G2066" s="13" t="s">
        <v>6523</v>
      </c>
      <c r="H2066" s="13" t="s">
        <v>7711</v>
      </c>
    </row>
    <row r="2067" customFormat="false" ht="30" hidden="false" customHeight="true" outlineLevel="0" collapsed="false">
      <c r="A2067" s="14" t="s">
        <v>706</v>
      </c>
      <c r="B2067" s="15" t="str">
        <f aca="false">IF(COUNTIFS($D$2070:$D$2632,IF(D2067="","*",D2067),$E$2070:$E$2632,IF(E2067="","*",E2067),$F$2070:$F$2632,IF(F2067="","*",F2067),$G$2070:$G$2632,IF(G2067="","*",G2067),$H$2070:$H$2632,IF(H2067="","*",H2067))=1,INDEX($B:$B,SUMPRODUCT(((D2067="")+($D$2070:$D$2632=D2067)&gt;0)*((E2067="")+($E$2070:$E$2632=E2067)&gt;0)*((F2067="")+($F$2070:$F$2632=F2067)&gt;0)*((G2067="")+($G$2070:$G$2632=G2067)&gt;0)*((H2067="")+($H$2070:$H$2632=H2067)&gt;0)*ROW($B$2070:$B$2632))),IF(COUNTIFS($D$2070:$D$2632,IF(D2067="","*",D2067),$E$2070:$E$2632,IF(E2067="","*",E2067),$F$2070:$F$2632,IF(F2067="","*",F2067),$G$2070:$G$2632,IF(G2067="","*",G2067),$H$2070:$H$2632,IF(H2067="","*",H2067))=0,"Not available",COUNTIFS($D$2070:$D$2632,IF(D2067="","*",D2067),$E$2070:$E$2632,IF(E2067="","*",E2067),$F$2070:$F$2632,IF(F2067="","*",F2067),$G$2070:$G$2632,IF(G2067="","*",G2067),$H$2070:$H$2632,IF(H2067="","*",H2067))&amp;" match, keep choosing"))</f>
        <v>RD-D10L20-2.3x2.3-SS303-SI-H180</v>
      </c>
      <c r="C2067" s="16" t="n">
        <f aca="false">IF(COUNTIFS($D$2070:$D$2632,IF(D2067="","*",D2067),$E$2070:$E$2632,IF(E2067="","*",E2067),$F$2070:$F$2632,IF(F2067="","*",F2067),$G$2070:$G$2632,IF(G2067="","*",G2067),$H$2070:$H$2632,IF(H2067="","*",H2067))=1,INDEX($C:$C,SUMPRODUCT(((D2067="")+($D$2070:$D$2632=D2067)&gt;0)*((E2067="")+($E$2070:$E$2632=E2067)&gt;0)*((F2067="")+($F$2070:$F$2632=F2067)&gt;0)*((G2067="")+($G$2070:$G$2632=G2067)&gt;0)*((H2067="")+($H$2070:$H$2632=H2067)&gt;0)*ROW($B$2070:$B$2632))),"")</f>
        <v>0.42</v>
      </c>
      <c r="D2067" s="17" t="s">
        <v>8668</v>
      </c>
      <c r="E2067" s="17" t="s">
        <v>10204</v>
      </c>
      <c r="F2067" s="17" t="s">
        <v>10205</v>
      </c>
      <c r="G2067" s="17" t="s">
        <v>10206</v>
      </c>
      <c r="H2067" s="17" t="s">
        <v>10156</v>
      </c>
    </row>
    <row r="2069" customFormat="false" ht="15" hidden="false" customHeight="false" outlineLevel="0" collapsed="false">
      <c r="B2069" s="18" t="s">
        <v>701</v>
      </c>
      <c r="C2069" s="18" t="s">
        <v>702</v>
      </c>
      <c r="D2069" s="18" t="s">
        <v>722</v>
      </c>
      <c r="E2069" s="18" t="s">
        <v>704</v>
      </c>
      <c r="F2069" s="18" t="s">
        <v>723</v>
      </c>
      <c r="G2069" s="18" t="s">
        <v>6523</v>
      </c>
      <c r="H2069" s="18" t="s">
        <v>7711</v>
      </c>
    </row>
    <row r="2070" customFormat="false" ht="28.35" hidden="false" customHeight="false" outlineLevel="0" collapsed="false">
      <c r="B2070" s="19" t="s">
        <v>10207</v>
      </c>
      <c r="C2070" s="20" t="n">
        <f aca="false">ROUND(2.99/FX,2)</f>
        <v>0.42</v>
      </c>
      <c r="D2070" s="21" t="s">
        <v>8668</v>
      </c>
      <c r="E2070" s="21" t="s">
        <v>10204</v>
      </c>
      <c r="F2070" s="21" t="s">
        <v>10205</v>
      </c>
      <c r="G2070" s="21" t="s">
        <v>10206</v>
      </c>
      <c r="H2070" s="21" t="s">
        <v>10156</v>
      </c>
    </row>
    <row r="2071" customFormat="false" ht="28.35" hidden="false" customHeight="false" outlineLevel="0" collapsed="false">
      <c r="B2071" s="19" t="s">
        <v>10208</v>
      </c>
      <c r="C2071" s="20" t="n">
        <f aca="false">ROUND(2.86/FX,2)</f>
        <v>0.4</v>
      </c>
      <c r="D2071" s="21" t="s">
        <v>8668</v>
      </c>
      <c r="E2071" s="21" t="s">
        <v>10204</v>
      </c>
      <c r="F2071" s="21" t="s">
        <v>10209</v>
      </c>
      <c r="G2071" s="21" t="s">
        <v>10206</v>
      </c>
      <c r="H2071" s="21" t="s">
        <v>10156</v>
      </c>
    </row>
    <row r="2072" customFormat="false" ht="28.35" hidden="false" customHeight="false" outlineLevel="0" collapsed="false">
      <c r="B2072" s="19" t="s">
        <v>10210</v>
      </c>
      <c r="C2072" s="20" t="n">
        <f aca="false">ROUND(2.99/FX,2)</f>
        <v>0.42</v>
      </c>
      <c r="D2072" s="21" t="s">
        <v>8668</v>
      </c>
      <c r="E2072" s="21" t="s">
        <v>10204</v>
      </c>
      <c r="F2072" s="21" t="s">
        <v>10205</v>
      </c>
      <c r="G2072" s="21" t="s">
        <v>10206</v>
      </c>
      <c r="H2072" s="21" t="s">
        <v>10159</v>
      </c>
    </row>
    <row r="2073" customFormat="false" ht="28.35" hidden="false" customHeight="false" outlineLevel="0" collapsed="false">
      <c r="B2073" s="19" t="s">
        <v>10211</v>
      </c>
      <c r="C2073" s="20" t="n">
        <f aca="false">ROUND(2.86/FX,2)</f>
        <v>0.4</v>
      </c>
      <c r="D2073" s="21" t="s">
        <v>8668</v>
      </c>
      <c r="E2073" s="21" t="s">
        <v>10204</v>
      </c>
      <c r="F2073" s="21" t="s">
        <v>10209</v>
      </c>
      <c r="G2073" s="21" t="s">
        <v>10206</v>
      </c>
      <c r="H2073" s="21" t="s">
        <v>10159</v>
      </c>
    </row>
    <row r="2074" customFormat="false" ht="28.35" hidden="false" customHeight="false" outlineLevel="0" collapsed="false">
      <c r="B2074" s="19" t="s">
        <v>10212</v>
      </c>
      <c r="C2074" s="20" t="n">
        <f aca="false">ROUND(2.99/FX,2)</f>
        <v>0.42</v>
      </c>
      <c r="D2074" s="21" t="s">
        <v>8668</v>
      </c>
      <c r="E2074" s="21" t="s">
        <v>10204</v>
      </c>
      <c r="F2074" s="21" t="s">
        <v>10205</v>
      </c>
      <c r="G2074" s="21" t="s">
        <v>10206</v>
      </c>
      <c r="H2074" s="21" t="s">
        <v>10213</v>
      </c>
    </row>
    <row r="2075" customFormat="false" ht="28.35" hidden="false" customHeight="false" outlineLevel="0" collapsed="false">
      <c r="B2075" s="19" t="s">
        <v>10214</v>
      </c>
      <c r="C2075" s="20" t="n">
        <f aca="false">ROUND(2.86/FX,2)</f>
        <v>0.4</v>
      </c>
      <c r="D2075" s="21" t="s">
        <v>8668</v>
      </c>
      <c r="E2075" s="21" t="s">
        <v>10204</v>
      </c>
      <c r="F2075" s="21" t="s">
        <v>10209</v>
      </c>
      <c r="G2075" s="21" t="s">
        <v>10206</v>
      </c>
      <c r="H2075" s="21" t="s">
        <v>10213</v>
      </c>
    </row>
    <row r="2076" customFormat="false" ht="28.35" hidden="false" customHeight="false" outlineLevel="0" collapsed="false">
      <c r="B2076" s="19" t="s">
        <v>10215</v>
      </c>
      <c r="C2076" s="20" t="n">
        <f aca="false">ROUND(2.99/FX,2)</f>
        <v>0.42</v>
      </c>
      <c r="D2076" s="21" t="s">
        <v>8668</v>
      </c>
      <c r="E2076" s="21" t="s">
        <v>10204</v>
      </c>
      <c r="F2076" s="21" t="s">
        <v>10205</v>
      </c>
      <c r="G2076" s="21" t="s">
        <v>10206</v>
      </c>
      <c r="H2076" s="21" t="s">
        <v>10161</v>
      </c>
    </row>
    <row r="2077" customFormat="false" ht="28.35" hidden="false" customHeight="false" outlineLevel="0" collapsed="false">
      <c r="B2077" s="19" t="s">
        <v>10216</v>
      </c>
      <c r="C2077" s="20" t="n">
        <f aca="false">ROUND(2.86/FX,2)</f>
        <v>0.4</v>
      </c>
      <c r="D2077" s="21" t="s">
        <v>8668</v>
      </c>
      <c r="E2077" s="21" t="s">
        <v>10204</v>
      </c>
      <c r="F2077" s="21" t="s">
        <v>10209</v>
      </c>
      <c r="G2077" s="21" t="s">
        <v>10206</v>
      </c>
      <c r="H2077" s="21" t="s">
        <v>10161</v>
      </c>
    </row>
    <row r="2078" customFormat="false" ht="28.35" hidden="false" customHeight="false" outlineLevel="0" collapsed="false">
      <c r="B2078" s="19" t="s">
        <v>10217</v>
      </c>
      <c r="C2078" s="20" t="n">
        <f aca="false">ROUND(2.99/FX,2)</f>
        <v>0.42</v>
      </c>
      <c r="D2078" s="21" t="s">
        <v>8668</v>
      </c>
      <c r="E2078" s="21" t="s">
        <v>10204</v>
      </c>
      <c r="F2078" s="21" t="s">
        <v>10205</v>
      </c>
      <c r="G2078" s="21" t="s">
        <v>10206</v>
      </c>
      <c r="H2078" s="21" t="s">
        <v>10218</v>
      </c>
    </row>
    <row r="2079" customFormat="false" ht="28.35" hidden="false" customHeight="false" outlineLevel="0" collapsed="false">
      <c r="B2079" s="19" t="s">
        <v>10219</v>
      </c>
      <c r="C2079" s="20" t="n">
        <f aca="false">ROUND(2.86/FX,2)</f>
        <v>0.4</v>
      </c>
      <c r="D2079" s="21" t="s">
        <v>8668</v>
      </c>
      <c r="E2079" s="21" t="s">
        <v>10204</v>
      </c>
      <c r="F2079" s="21" t="s">
        <v>10209</v>
      </c>
      <c r="G2079" s="21" t="s">
        <v>10206</v>
      </c>
      <c r="H2079" s="21" t="s">
        <v>10218</v>
      </c>
    </row>
    <row r="2080" customFormat="false" ht="28.35" hidden="false" customHeight="false" outlineLevel="0" collapsed="false">
      <c r="B2080" s="19" t="s">
        <v>10220</v>
      </c>
      <c r="C2080" s="20" t="n">
        <f aca="false">ROUND(2.99/FX,2)</f>
        <v>0.42</v>
      </c>
      <c r="D2080" s="21" t="s">
        <v>8668</v>
      </c>
      <c r="E2080" s="21" t="s">
        <v>10204</v>
      </c>
      <c r="F2080" s="21" t="s">
        <v>10205</v>
      </c>
      <c r="G2080" s="21" t="s">
        <v>10206</v>
      </c>
      <c r="H2080" s="21" t="s">
        <v>10221</v>
      </c>
    </row>
    <row r="2081" customFormat="false" ht="28.35" hidden="false" customHeight="false" outlineLevel="0" collapsed="false">
      <c r="B2081" s="19" t="s">
        <v>10222</v>
      </c>
      <c r="C2081" s="20" t="n">
        <f aca="false">ROUND(2.86/FX,2)</f>
        <v>0.4</v>
      </c>
      <c r="D2081" s="21" t="s">
        <v>8668</v>
      </c>
      <c r="E2081" s="21" t="s">
        <v>10204</v>
      </c>
      <c r="F2081" s="21" t="s">
        <v>10209</v>
      </c>
      <c r="G2081" s="21" t="s">
        <v>10206</v>
      </c>
      <c r="H2081" s="21" t="s">
        <v>10221</v>
      </c>
    </row>
    <row r="2082" customFormat="false" ht="28.35" hidden="false" customHeight="false" outlineLevel="0" collapsed="false">
      <c r="B2082" s="19" t="s">
        <v>10223</v>
      </c>
      <c r="C2082" s="20" t="n">
        <f aca="false">ROUND(2.99/FX,2)</f>
        <v>0.42</v>
      </c>
      <c r="D2082" s="21" t="s">
        <v>8668</v>
      </c>
      <c r="E2082" s="21" t="s">
        <v>10204</v>
      </c>
      <c r="F2082" s="21" t="s">
        <v>10205</v>
      </c>
      <c r="G2082" s="21" t="s">
        <v>10206</v>
      </c>
      <c r="H2082" s="21" t="s">
        <v>7824</v>
      </c>
    </row>
    <row r="2083" customFormat="false" ht="28.35" hidden="false" customHeight="false" outlineLevel="0" collapsed="false">
      <c r="B2083" s="19" t="s">
        <v>10224</v>
      </c>
      <c r="C2083" s="20" t="n">
        <f aca="false">ROUND(2.86/FX,2)</f>
        <v>0.4</v>
      </c>
      <c r="D2083" s="21" t="s">
        <v>8668</v>
      </c>
      <c r="E2083" s="21" t="s">
        <v>10204</v>
      </c>
      <c r="F2083" s="21" t="s">
        <v>10209</v>
      </c>
      <c r="G2083" s="21" t="s">
        <v>10206</v>
      </c>
      <c r="H2083" s="21" t="s">
        <v>7824</v>
      </c>
    </row>
    <row r="2084" customFormat="false" ht="28.35" hidden="false" customHeight="false" outlineLevel="0" collapsed="false">
      <c r="B2084" s="19" t="s">
        <v>10225</v>
      </c>
      <c r="C2084" s="20" t="n">
        <f aca="false">ROUND(2.99/FX,2)</f>
        <v>0.42</v>
      </c>
      <c r="D2084" s="21" t="s">
        <v>8668</v>
      </c>
      <c r="E2084" s="21" t="s">
        <v>10204</v>
      </c>
      <c r="F2084" s="21" t="s">
        <v>10205</v>
      </c>
      <c r="G2084" s="21" t="s">
        <v>10206</v>
      </c>
      <c r="H2084" s="21" t="s">
        <v>10164</v>
      </c>
    </row>
    <row r="2085" customFormat="false" ht="28.35" hidden="false" customHeight="false" outlineLevel="0" collapsed="false">
      <c r="B2085" s="19" t="s">
        <v>10226</v>
      </c>
      <c r="C2085" s="20" t="n">
        <f aca="false">ROUND(2.86/FX,2)</f>
        <v>0.4</v>
      </c>
      <c r="D2085" s="21" t="s">
        <v>8668</v>
      </c>
      <c r="E2085" s="21" t="s">
        <v>10204</v>
      </c>
      <c r="F2085" s="21" t="s">
        <v>10209</v>
      </c>
      <c r="G2085" s="21" t="s">
        <v>10206</v>
      </c>
      <c r="H2085" s="21" t="s">
        <v>10164</v>
      </c>
    </row>
    <row r="2086" customFormat="false" ht="28.35" hidden="false" customHeight="false" outlineLevel="0" collapsed="false">
      <c r="B2086" s="19" t="s">
        <v>10227</v>
      </c>
      <c r="C2086" s="20" t="n">
        <f aca="false">ROUND(2.99/FX,2)</f>
        <v>0.42</v>
      </c>
      <c r="D2086" s="21" t="s">
        <v>8668</v>
      </c>
      <c r="E2086" s="21" t="s">
        <v>10204</v>
      </c>
      <c r="F2086" s="21" t="s">
        <v>10205</v>
      </c>
      <c r="G2086" s="21" t="s">
        <v>10206</v>
      </c>
      <c r="H2086" s="21" t="s">
        <v>7904</v>
      </c>
    </row>
    <row r="2087" customFormat="false" ht="28.35" hidden="false" customHeight="false" outlineLevel="0" collapsed="false">
      <c r="B2087" s="19" t="s">
        <v>10228</v>
      </c>
      <c r="C2087" s="20" t="n">
        <f aca="false">ROUND(2.86/FX,2)</f>
        <v>0.4</v>
      </c>
      <c r="D2087" s="21" t="s">
        <v>8668</v>
      </c>
      <c r="E2087" s="21" t="s">
        <v>10204</v>
      </c>
      <c r="F2087" s="21" t="s">
        <v>10209</v>
      </c>
      <c r="G2087" s="21" t="s">
        <v>10206</v>
      </c>
      <c r="H2087" s="21" t="s">
        <v>7904</v>
      </c>
    </row>
    <row r="2088" customFormat="false" ht="28.35" hidden="false" customHeight="false" outlineLevel="0" collapsed="false">
      <c r="B2088" s="19" t="s">
        <v>10229</v>
      </c>
      <c r="C2088" s="20" t="n">
        <f aca="false">ROUND(2.99/FX,2)</f>
        <v>0.42</v>
      </c>
      <c r="D2088" s="21" t="s">
        <v>8668</v>
      </c>
      <c r="E2088" s="21" t="s">
        <v>10204</v>
      </c>
      <c r="F2088" s="21" t="s">
        <v>10205</v>
      </c>
      <c r="G2088" s="21" t="s">
        <v>10206</v>
      </c>
      <c r="H2088" s="21" t="s">
        <v>10230</v>
      </c>
    </row>
    <row r="2089" customFormat="false" ht="28.35" hidden="false" customHeight="false" outlineLevel="0" collapsed="false">
      <c r="B2089" s="19" t="s">
        <v>10231</v>
      </c>
      <c r="C2089" s="20" t="n">
        <f aca="false">ROUND(2.86/FX,2)</f>
        <v>0.4</v>
      </c>
      <c r="D2089" s="21" t="s">
        <v>8668</v>
      </c>
      <c r="E2089" s="21" t="s">
        <v>10204</v>
      </c>
      <c r="F2089" s="21" t="s">
        <v>10209</v>
      </c>
      <c r="G2089" s="21" t="s">
        <v>10206</v>
      </c>
      <c r="H2089" s="21" t="s">
        <v>10230</v>
      </c>
    </row>
    <row r="2090" customFormat="false" ht="28.35" hidden="false" customHeight="false" outlineLevel="0" collapsed="false">
      <c r="B2090" s="19" t="s">
        <v>10232</v>
      </c>
      <c r="C2090" s="20" t="n">
        <f aca="false">ROUND(2.99/FX,2)</f>
        <v>0.42</v>
      </c>
      <c r="D2090" s="21" t="s">
        <v>8668</v>
      </c>
      <c r="E2090" s="21" t="s">
        <v>10204</v>
      </c>
      <c r="F2090" s="21" t="s">
        <v>10205</v>
      </c>
      <c r="G2090" s="21" t="s">
        <v>10206</v>
      </c>
      <c r="H2090" s="21" t="s">
        <v>7837</v>
      </c>
    </row>
    <row r="2091" customFormat="false" ht="28.35" hidden="false" customHeight="false" outlineLevel="0" collapsed="false">
      <c r="B2091" s="19" t="s">
        <v>10233</v>
      </c>
      <c r="C2091" s="20" t="n">
        <f aca="false">ROUND(2.86/FX,2)</f>
        <v>0.4</v>
      </c>
      <c r="D2091" s="21" t="s">
        <v>8668</v>
      </c>
      <c r="E2091" s="21" t="s">
        <v>10204</v>
      </c>
      <c r="F2091" s="21" t="s">
        <v>10209</v>
      </c>
      <c r="G2091" s="21" t="s">
        <v>10206</v>
      </c>
      <c r="H2091" s="21" t="s">
        <v>7837</v>
      </c>
    </row>
    <row r="2092" customFormat="false" ht="28.35" hidden="false" customHeight="false" outlineLevel="0" collapsed="false">
      <c r="B2092" s="19" t="s">
        <v>10234</v>
      </c>
      <c r="C2092" s="20" t="n">
        <f aca="false">ROUND(2.99/FX,2)</f>
        <v>0.42</v>
      </c>
      <c r="D2092" s="21" t="s">
        <v>8668</v>
      </c>
      <c r="E2092" s="21" t="s">
        <v>10204</v>
      </c>
      <c r="F2092" s="21" t="s">
        <v>10205</v>
      </c>
      <c r="G2092" s="21" t="s">
        <v>10206</v>
      </c>
      <c r="H2092" s="21" t="s">
        <v>7839</v>
      </c>
    </row>
    <row r="2093" customFormat="false" ht="28.35" hidden="false" customHeight="false" outlineLevel="0" collapsed="false">
      <c r="B2093" s="19" t="s">
        <v>10235</v>
      </c>
      <c r="C2093" s="20" t="n">
        <f aca="false">ROUND(2.86/FX,2)</f>
        <v>0.4</v>
      </c>
      <c r="D2093" s="21" t="s">
        <v>8668</v>
      </c>
      <c r="E2093" s="21" t="s">
        <v>10204</v>
      </c>
      <c r="F2093" s="21" t="s">
        <v>10209</v>
      </c>
      <c r="G2093" s="21" t="s">
        <v>10206</v>
      </c>
      <c r="H2093" s="21" t="s">
        <v>7839</v>
      </c>
    </row>
    <row r="2094" customFormat="false" ht="28.35" hidden="false" customHeight="false" outlineLevel="0" collapsed="false">
      <c r="B2094" s="19" t="s">
        <v>10236</v>
      </c>
      <c r="C2094" s="20" t="n">
        <f aca="false">ROUND(2.99/FX,2)</f>
        <v>0.42</v>
      </c>
      <c r="D2094" s="21" t="s">
        <v>8668</v>
      </c>
      <c r="E2094" s="21" t="s">
        <v>10204</v>
      </c>
      <c r="F2094" s="21" t="s">
        <v>10205</v>
      </c>
      <c r="G2094" s="21" t="s">
        <v>10206</v>
      </c>
      <c r="H2094" s="21" t="s">
        <v>7841</v>
      </c>
    </row>
    <row r="2095" customFormat="false" ht="28.35" hidden="false" customHeight="false" outlineLevel="0" collapsed="false">
      <c r="B2095" s="19" t="s">
        <v>10237</v>
      </c>
      <c r="C2095" s="20" t="n">
        <f aca="false">ROUND(2.86/FX,2)</f>
        <v>0.4</v>
      </c>
      <c r="D2095" s="21" t="s">
        <v>8668</v>
      </c>
      <c r="E2095" s="21" t="s">
        <v>10204</v>
      </c>
      <c r="F2095" s="21" t="s">
        <v>10209</v>
      </c>
      <c r="G2095" s="21" t="s">
        <v>10206</v>
      </c>
      <c r="H2095" s="21" t="s">
        <v>7841</v>
      </c>
    </row>
    <row r="2096" customFormat="false" ht="28.35" hidden="false" customHeight="false" outlineLevel="0" collapsed="false">
      <c r="B2096" s="19" t="s">
        <v>10238</v>
      </c>
      <c r="C2096" s="20" t="n">
        <f aca="false">ROUND(2.99/FX,2)</f>
        <v>0.42</v>
      </c>
      <c r="D2096" s="21" t="s">
        <v>8668</v>
      </c>
      <c r="E2096" s="21" t="s">
        <v>10204</v>
      </c>
      <c r="F2096" s="21" t="s">
        <v>10205</v>
      </c>
      <c r="G2096" s="21" t="s">
        <v>10206</v>
      </c>
      <c r="H2096" s="21" t="s">
        <v>8188</v>
      </c>
    </row>
    <row r="2097" customFormat="false" ht="28.35" hidden="false" customHeight="false" outlineLevel="0" collapsed="false">
      <c r="B2097" s="19" t="s">
        <v>10239</v>
      </c>
      <c r="C2097" s="20" t="n">
        <f aca="false">ROUND(2.86/FX,2)</f>
        <v>0.4</v>
      </c>
      <c r="D2097" s="21" t="s">
        <v>8668</v>
      </c>
      <c r="E2097" s="21" t="s">
        <v>10204</v>
      </c>
      <c r="F2097" s="21" t="s">
        <v>10209</v>
      </c>
      <c r="G2097" s="21" t="s">
        <v>10206</v>
      </c>
      <c r="H2097" s="21" t="s">
        <v>8188</v>
      </c>
    </row>
    <row r="2098" customFormat="false" ht="28.35" hidden="false" customHeight="false" outlineLevel="0" collapsed="false">
      <c r="B2098" s="19" t="s">
        <v>10240</v>
      </c>
      <c r="C2098" s="20" t="n">
        <f aca="false">ROUND(2.99/FX,2)</f>
        <v>0.42</v>
      </c>
      <c r="D2098" s="21" t="s">
        <v>8668</v>
      </c>
      <c r="E2098" s="21" t="s">
        <v>10204</v>
      </c>
      <c r="F2098" s="21" t="s">
        <v>10205</v>
      </c>
      <c r="G2098" s="21" t="s">
        <v>10206</v>
      </c>
      <c r="H2098" s="21" t="s">
        <v>7912</v>
      </c>
    </row>
    <row r="2099" customFormat="false" ht="28.35" hidden="false" customHeight="false" outlineLevel="0" collapsed="false">
      <c r="B2099" s="19" t="s">
        <v>10241</v>
      </c>
      <c r="C2099" s="20" t="n">
        <f aca="false">ROUND(2.86/FX,2)</f>
        <v>0.4</v>
      </c>
      <c r="D2099" s="21" t="s">
        <v>8668</v>
      </c>
      <c r="E2099" s="21" t="s">
        <v>10204</v>
      </c>
      <c r="F2099" s="21" t="s">
        <v>10209</v>
      </c>
      <c r="G2099" s="21" t="s">
        <v>10206</v>
      </c>
      <c r="H2099" s="21" t="s">
        <v>7912</v>
      </c>
    </row>
    <row r="2100" customFormat="false" ht="28.35" hidden="false" customHeight="false" outlineLevel="0" collapsed="false">
      <c r="B2100" s="19" t="s">
        <v>10242</v>
      </c>
      <c r="C2100" s="20" t="n">
        <f aca="false">ROUND(2.99/FX,2)</f>
        <v>0.42</v>
      </c>
      <c r="D2100" s="21" t="s">
        <v>8668</v>
      </c>
      <c r="E2100" s="21" t="s">
        <v>10204</v>
      </c>
      <c r="F2100" s="21" t="s">
        <v>10205</v>
      </c>
      <c r="G2100" s="21" t="s">
        <v>10206</v>
      </c>
      <c r="H2100" s="21" t="s">
        <v>8193</v>
      </c>
    </row>
    <row r="2101" customFormat="false" ht="28.35" hidden="false" customHeight="false" outlineLevel="0" collapsed="false">
      <c r="B2101" s="19" t="s">
        <v>10243</v>
      </c>
      <c r="C2101" s="20" t="n">
        <f aca="false">ROUND(2.86/FX,2)</f>
        <v>0.4</v>
      </c>
      <c r="D2101" s="21" t="s">
        <v>8668</v>
      </c>
      <c r="E2101" s="21" t="s">
        <v>10204</v>
      </c>
      <c r="F2101" s="21" t="s">
        <v>10209</v>
      </c>
      <c r="G2101" s="21" t="s">
        <v>10206</v>
      </c>
      <c r="H2101" s="21" t="s">
        <v>8193</v>
      </c>
    </row>
    <row r="2102" customFormat="false" ht="28.35" hidden="false" customHeight="false" outlineLevel="0" collapsed="false">
      <c r="B2102" s="19" t="s">
        <v>10244</v>
      </c>
      <c r="C2102" s="20" t="n">
        <f aca="false">ROUND(2.99/FX,2)</f>
        <v>0.42</v>
      </c>
      <c r="D2102" s="21" t="s">
        <v>8668</v>
      </c>
      <c r="E2102" s="21" t="s">
        <v>10204</v>
      </c>
      <c r="F2102" s="21" t="s">
        <v>10205</v>
      </c>
      <c r="G2102" s="21" t="s">
        <v>10206</v>
      </c>
      <c r="H2102" s="21" t="s">
        <v>8196</v>
      </c>
    </row>
    <row r="2103" customFormat="false" ht="28.35" hidden="false" customHeight="false" outlineLevel="0" collapsed="false">
      <c r="B2103" s="19" t="s">
        <v>10245</v>
      </c>
      <c r="C2103" s="20" t="n">
        <f aca="false">ROUND(2.86/FX,2)</f>
        <v>0.4</v>
      </c>
      <c r="D2103" s="21" t="s">
        <v>8668</v>
      </c>
      <c r="E2103" s="21" t="s">
        <v>10204</v>
      </c>
      <c r="F2103" s="21" t="s">
        <v>10209</v>
      </c>
      <c r="G2103" s="21" t="s">
        <v>10206</v>
      </c>
      <c r="H2103" s="21" t="s">
        <v>8196</v>
      </c>
    </row>
    <row r="2104" customFormat="false" ht="28.35" hidden="false" customHeight="false" outlineLevel="0" collapsed="false">
      <c r="B2104" s="19" t="s">
        <v>10246</v>
      </c>
      <c r="C2104" s="20" t="n">
        <f aca="false">ROUND(2.99/FX,2)</f>
        <v>0.42</v>
      </c>
      <c r="D2104" s="21" t="s">
        <v>8668</v>
      </c>
      <c r="E2104" s="21" t="s">
        <v>10204</v>
      </c>
      <c r="F2104" s="21" t="s">
        <v>10205</v>
      </c>
      <c r="G2104" s="21" t="s">
        <v>10206</v>
      </c>
      <c r="H2104" s="21" t="s">
        <v>7916</v>
      </c>
    </row>
    <row r="2105" customFormat="false" ht="28.35" hidden="false" customHeight="false" outlineLevel="0" collapsed="false">
      <c r="B2105" s="19" t="s">
        <v>10247</v>
      </c>
      <c r="C2105" s="20" t="n">
        <f aca="false">ROUND(2.86/FX,2)</f>
        <v>0.4</v>
      </c>
      <c r="D2105" s="21" t="s">
        <v>8668</v>
      </c>
      <c r="E2105" s="21" t="s">
        <v>10204</v>
      </c>
      <c r="F2105" s="21" t="s">
        <v>10209</v>
      </c>
      <c r="G2105" s="21" t="s">
        <v>10206</v>
      </c>
      <c r="H2105" s="21" t="s">
        <v>7916</v>
      </c>
    </row>
    <row r="2106" customFormat="false" ht="28.35" hidden="false" customHeight="false" outlineLevel="0" collapsed="false">
      <c r="B2106" s="19" t="s">
        <v>10248</v>
      </c>
      <c r="C2106" s="20" t="n">
        <f aca="false">ROUND(2.99/FX,2)</f>
        <v>0.42</v>
      </c>
      <c r="D2106" s="21" t="s">
        <v>8668</v>
      </c>
      <c r="E2106" s="21" t="s">
        <v>10204</v>
      </c>
      <c r="F2106" s="21" t="s">
        <v>10205</v>
      </c>
      <c r="G2106" s="21" t="s">
        <v>10206</v>
      </c>
      <c r="H2106" s="21" t="s">
        <v>8220</v>
      </c>
    </row>
    <row r="2107" customFormat="false" ht="28.35" hidden="false" customHeight="false" outlineLevel="0" collapsed="false">
      <c r="B2107" s="19" t="s">
        <v>10249</v>
      </c>
      <c r="C2107" s="20" t="n">
        <f aca="false">ROUND(2.86/FX,2)</f>
        <v>0.4</v>
      </c>
      <c r="D2107" s="21" t="s">
        <v>8668</v>
      </c>
      <c r="E2107" s="21" t="s">
        <v>10204</v>
      </c>
      <c r="F2107" s="21" t="s">
        <v>10209</v>
      </c>
      <c r="G2107" s="21" t="s">
        <v>10206</v>
      </c>
      <c r="H2107" s="21" t="s">
        <v>8220</v>
      </c>
    </row>
    <row r="2108" customFormat="false" ht="28.35" hidden="false" customHeight="false" outlineLevel="0" collapsed="false">
      <c r="B2108" s="19" t="s">
        <v>10250</v>
      </c>
      <c r="C2108" s="20" t="n">
        <f aca="false">ROUND(2.99/FX,2)</f>
        <v>0.42</v>
      </c>
      <c r="D2108" s="21" t="s">
        <v>8668</v>
      </c>
      <c r="E2108" s="21" t="s">
        <v>10204</v>
      </c>
      <c r="F2108" s="21" t="s">
        <v>10205</v>
      </c>
      <c r="G2108" s="21" t="s">
        <v>10206</v>
      </c>
      <c r="H2108" s="21" t="s">
        <v>7918</v>
      </c>
    </row>
    <row r="2109" customFormat="false" ht="28.35" hidden="false" customHeight="false" outlineLevel="0" collapsed="false">
      <c r="B2109" s="19" t="s">
        <v>10251</v>
      </c>
      <c r="C2109" s="20" t="n">
        <f aca="false">ROUND(2.86/FX,2)</f>
        <v>0.4</v>
      </c>
      <c r="D2109" s="21" t="s">
        <v>8668</v>
      </c>
      <c r="E2109" s="21" t="s">
        <v>10204</v>
      </c>
      <c r="F2109" s="21" t="s">
        <v>10209</v>
      </c>
      <c r="G2109" s="21" t="s">
        <v>10206</v>
      </c>
      <c r="H2109" s="21" t="s">
        <v>7918</v>
      </c>
    </row>
    <row r="2110" customFormat="false" ht="28.35" hidden="false" customHeight="false" outlineLevel="0" collapsed="false">
      <c r="B2110" s="19" t="s">
        <v>10252</v>
      </c>
      <c r="C2110" s="20" t="n">
        <f aca="false">ROUND(2.99/FX,2)</f>
        <v>0.42</v>
      </c>
      <c r="D2110" s="21" t="s">
        <v>8668</v>
      </c>
      <c r="E2110" s="21" t="s">
        <v>10204</v>
      </c>
      <c r="F2110" s="21" t="s">
        <v>10205</v>
      </c>
      <c r="G2110" s="21" t="s">
        <v>10206</v>
      </c>
      <c r="H2110" s="21" t="s">
        <v>7847</v>
      </c>
    </row>
    <row r="2111" customFormat="false" ht="28.35" hidden="false" customHeight="false" outlineLevel="0" collapsed="false">
      <c r="B2111" s="19" t="s">
        <v>10253</v>
      </c>
      <c r="C2111" s="20" t="n">
        <f aca="false">ROUND(2.86/FX,2)</f>
        <v>0.4</v>
      </c>
      <c r="D2111" s="21" t="s">
        <v>8668</v>
      </c>
      <c r="E2111" s="21" t="s">
        <v>10204</v>
      </c>
      <c r="F2111" s="21" t="s">
        <v>10209</v>
      </c>
      <c r="G2111" s="21" t="s">
        <v>10206</v>
      </c>
      <c r="H2111" s="21" t="s">
        <v>7847</v>
      </c>
    </row>
    <row r="2112" customFormat="false" ht="28.35" hidden="false" customHeight="false" outlineLevel="0" collapsed="false">
      <c r="B2112" s="19" t="s">
        <v>10254</v>
      </c>
      <c r="C2112" s="20" t="n">
        <f aca="false">ROUND(2.99/FX,2)</f>
        <v>0.42</v>
      </c>
      <c r="D2112" s="21" t="s">
        <v>8668</v>
      </c>
      <c r="E2112" s="21" t="s">
        <v>10204</v>
      </c>
      <c r="F2112" s="21" t="s">
        <v>10205</v>
      </c>
      <c r="G2112" s="21" t="s">
        <v>10206</v>
      </c>
      <c r="H2112" s="21" t="s">
        <v>7849</v>
      </c>
    </row>
    <row r="2113" customFormat="false" ht="28.35" hidden="false" customHeight="false" outlineLevel="0" collapsed="false">
      <c r="B2113" s="19" t="s">
        <v>10255</v>
      </c>
      <c r="C2113" s="20" t="n">
        <f aca="false">ROUND(2.86/FX,2)</f>
        <v>0.4</v>
      </c>
      <c r="D2113" s="21" t="s">
        <v>8668</v>
      </c>
      <c r="E2113" s="21" t="s">
        <v>10204</v>
      </c>
      <c r="F2113" s="21" t="s">
        <v>10209</v>
      </c>
      <c r="G2113" s="21" t="s">
        <v>10206</v>
      </c>
      <c r="H2113" s="21" t="s">
        <v>7849</v>
      </c>
    </row>
    <row r="2114" customFormat="false" ht="28.35" hidden="false" customHeight="false" outlineLevel="0" collapsed="false">
      <c r="B2114" s="19" t="s">
        <v>10256</v>
      </c>
      <c r="C2114" s="20" t="n">
        <f aca="false">ROUND(2.99/FX,2)</f>
        <v>0.42</v>
      </c>
      <c r="D2114" s="21" t="s">
        <v>8668</v>
      </c>
      <c r="E2114" s="21" t="s">
        <v>10204</v>
      </c>
      <c r="F2114" s="21" t="s">
        <v>10205</v>
      </c>
      <c r="G2114" s="21" t="s">
        <v>10206</v>
      </c>
      <c r="H2114" s="21" t="s">
        <v>7827</v>
      </c>
    </row>
    <row r="2115" customFormat="false" ht="28.35" hidden="false" customHeight="false" outlineLevel="0" collapsed="false">
      <c r="B2115" s="19" t="s">
        <v>10257</v>
      </c>
      <c r="C2115" s="20" t="n">
        <f aca="false">ROUND(2.86/FX,2)</f>
        <v>0.4</v>
      </c>
      <c r="D2115" s="21" t="s">
        <v>8668</v>
      </c>
      <c r="E2115" s="21" t="s">
        <v>10204</v>
      </c>
      <c r="F2115" s="21" t="s">
        <v>10209</v>
      </c>
      <c r="G2115" s="21" t="s">
        <v>10206</v>
      </c>
      <c r="H2115" s="21" t="s">
        <v>7827</v>
      </c>
    </row>
    <row r="2116" customFormat="false" ht="28.35" hidden="false" customHeight="false" outlineLevel="0" collapsed="false">
      <c r="B2116" s="19" t="s">
        <v>10258</v>
      </c>
      <c r="C2116" s="20" t="n">
        <f aca="false">ROUND(2.99/FX,2)</f>
        <v>0.42</v>
      </c>
      <c r="D2116" s="21" t="s">
        <v>8668</v>
      </c>
      <c r="E2116" s="21" t="s">
        <v>10204</v>
      </c>
      <c r="F2116" s="21" t="s">
        <v>10205</v>
      </c>
      <c r="G2116" s="21" t="s">
        <v>10206</v>
      </c>
      <c r="H2116" s="21" t="s">
        <v>7853</v>
      </c>
    </row>
    <row r="2117" customFormat="false" ht="28.35" hidden="false" customHeight="false" outlineLevel="0" collapsed="false">
      <c r="B2117" s="19" t="s">
        <v>10259</v>
      </c>
      <c r="C2117" s="20" t="n">
        <f aca="false">ROUND(2.86/FX,2)</f>
        <v>0.4</v>
      </c>
      <c r="D2117" s="21" t="s">
        <v>8668</v>
      </c>
      <c r="E2117" s="21" t="s">
        <v>10204</v>
      </c>
      <c r="F2117" s="21" t="s">
        <v>10209</v>
      </c>
      <c r="G2117" s="21" t="s">
        <v>10206</v>
      </c>
      <c r="H2117" s="21" t="s">
        <v>7853</v>
      </c>
    </row>
    <row r="2118" customFormat="false" ht="28.35" hidden="false" customHeight="false" outlineLevel="0" collapsed="false">
      <c r="B2118" s="19" t="s">
        <v>10260</v>
      </c>
      <c r="C2118" s="20" t="n">
        <f aca="false">ROUND(2.99/FX,2)</f>
        <v>0.42</v>
      </c>
      <c r="D2118" s="21" t="s">
        <v>8668</v>
      </c>
      <c r="E2118" s="21" t="s">
        <v>10204</v>
      </c>
      <c r="F2118" s="21" t="s">
        <v>10205</v>
      </c>
      <c r="G2118" s="21" t="s">
        <v>10206</v>
      </c>
      <c r="H2118" s="21" t="s">
        <v>7869</v>
      </c>
    </row>
    <row r="2119" customFormat="false" ht="28.35" hidden="false" customHeight="false" outlineLevel="0" collapsed="false">
      <c r="B2119" s="19" t="s">
        <v>10261</v>
      </c>
      <c r="C2119" s="20" t="n">
        <f aca="false">ROUND(2.86/FX,2)</f>
        <v>0.4</v>
      </c>
      <c r="D2119" s="21" t="s">
        <v>8668</v>
      </c>
      <c r="E2119" s="21" t="s">
        <v>10204</v>
      </c>
      <c r="F2119" s="21" t="s">
        <v>10209</v>
      </c>
      <c r="G2119" s="21" t="s">
        <v>10206</v>
      </c>
      <c r="H2119" s="21" t="s">
        <v>7869</v>
      </c>
    </row>
    <row r="2120" customFormat="false" ht="28.35" hidden="false" customHeight="false" outlineLevel="0" collapsed="false">
      <c r="B2120" s="19" t="s">
        <v>10262</v>
      </c>
      <c r="C2120" s="20" t="n">
        <f aca="false">ROUND(2.99/FX,2)</f>
        <v>0.42</v>
      </c>
      <c r="D2120" s="21" t="s">
        <v>8668</v>
      </c>
      <c r="E2120" s="21" t="s">
        <v>10204</v>
      </c>
      <c r="F2120" s="21" t="s">
        <v>10205</v>
      </c>
      <c r="G2120" s="21" t="s">
        <v>10206</v>
      </c>
      <c r="H2120" s="21" t="s">
        <v>7829</v>
      </c>
    </row>
    <row r="2121" customFormat="false" ht="28.35" hidden="false" customHeight="false" outlineLevel="0" collapsed="false">
      <c r="B2121" s="19" t="s">
        <v>10263</v>
      </c>
      <c r="C2121" s="20" t="n">
        <f aca="false">ROUND(2.86/FX,2)</f>
        <v>0.4</v>
      </c>
      <c r="D2121" s="21" t="s">
        <v>8668</v>
      </c>
      <c r="E2121" s="21" t="s">
        <v>10204</v>
      </c>
      <c r="F2121" s="21" t="s">
        <v>10209</v>
      </c>
      <c r="G2121" s="21" t="s">
        <v>10206</v>
      </c>
      <c r="H2121" s="21" t="s">
        <v>7829</v>
      </c>
    </row>
    <row r="2122" customFormat="false" ht="28.35" hidden="false" customHeight="false" outlineLevel="0" collapsed="false">
      <c r="B2122" s="19" t="s">
        <v>10264</v>
      </c>
      <c r="C2122" s="20" t="n">
        <f aca="false">ROUND(2.99/FX,2)</f>
        <v>0.42</v>
      </c>
      <c r="D2122" s="21" t="s">
        <v>8668</v>
      </c>
      <c r="E2122" s="21" t="s">
        <v>10204</v>
      </c>
      <c r="F2122" s="21" t="s">
        <v>10205</v>
      </c>
      <c r="G2122" s="21" t="s">
        <v>10206</v>
      </c>
      <c r="H2122" s="21" t="s">
        <v>7831</v>
      </c>
    </row>
    <row r="2123" customFormat="false" ht="28.35" hidden="false" customHeight="false" outlineLevel="0" collapsed="false">
      <c r="B2123" s="19" t="s">
        <v>10265</v>
      </c>
      <c r="C2123" s="20" t="n">
        <f aca="false">ROUND(2.86/FX,2)</f>
        <v>0.4</v>
      </c>
      <c r="D2123" s="21" t="s">
        <v>8668</v>
      </c>
      <c r="E2123" s="21" t="s">
        <v>10204</v>
      </c>
      <c r="F2123" s="21" t="s">
        <v>10209</v>
      </c>
      <c r="G2123" s="21" t="s">
        <v>10206</v>
      </c>
      <c r="H2123" s="21" t="s">
        <v>7831</v>
      </c>
    </row>
    <row r="2124" customFormat="false" ht="28.35" hidden="false" customHeight="false" outlineLevel="0" collapsed="false">
      <c r="B2124" s="19" t="s">
        <v>10266</v>
      </c>
      <c r="C2124" s="20" t="n">
        <f aca="false">ROUND(2.99/FX,2)</f>
        <v>0.42</v>
      </c>
      <c r="D2124" s="21" t="s">
        <v>8668</v>
      </c>
      <c r="E2124" s="21" t="s">
        <v>10204</v>
      </c>
      <c r="F2124" s="21" t="s">
        <v>10205</v>
      </c>
      <c r="G2124" s="21" t="s">
        <v>10206</v>
      </c>
      <c r="H2124" s="21" t="s">
        <v>7862</v>
      </c>
    </row>
    <row r="2125" customFormat="false" ht="28.35" hidden="false" customHeight="false" outlineLevel="0" collapsed="false">
      <c r="B2125" s="19" t="s">
        <v>10267</v>
      </c>
      <c r="C2125" s="20" t="n">
        <f aca="false">ROUND(2.86/FX,2)</f>
        <v>0.4</v>
      </c>
      <c r="D2125" s="21" t="s">
        <v>8668</v>
      </c>
      <c r="E2125" s="21" t="s">
        <v>10204</v>
      </c>
      <c r="F2125" s="21" t="s">
        <v>10209</v>
      </c>
      <c r="G2125" s="21" t="s">
        <v>10206</v>
      </c>
      <c r="H2125" s="21" t="s">
        <v>7862</v>
      </c>
    </row>
    <row r="2126" customFormat="false" ht="15" hidden="false" customHeight="false" outlineLevel="0" collapsed="false">
      <c r="B2126" s="19" t="s">
        <v>10268</v>
      </c>
      <c r="C2126" s="20" t="n">
        <f aca="false">ROUND(1.56/FX,2)</f>
        <v>0.22</v>
      </c>
      <c r="D2126" s="21" t="s">
        <v>6356</v>
      </c>
      <c r="E2126" s="21" t="s">
        <v>8168</v>
      </c>
      <c r="F2126" s="21" t="s">
        <v>10269</v>
      </c>
      <c r="G2126" s="21" t="s">
        <v>10270</v>
      </c>
      <c r="H2126" s="21" t="s">
        <v>10159</v>
      </c>
    </row>
    <row r="2127" customFormat="false" ht="15" hidden="false" customHeight="false" outlineLevel="0" collapsed="false">
      <c r="B2127" s="19" t="s">
        <v>10271</v>
      </c>
      <c r="C2127" s="20" t="n">
        <f aca="false">ROUND(1.58/FX,2)</f>
        <v>0.22</v>
      </c>
      <c r="D2127" s="21" t="s">
        <v>6356</v>
      </c>
      <c r="E2127" s="21" t="s">
        <v>8168</v>
      </c>
      <c r="F2127" s="21" t="s">
        <v>10272</v>
      </c>
      <c r="G2127" s="21" t="s">
        <v>10270</v>
      </c>
      <c r="H2127" s="21" t="s">
        <v>10159</v>
      </c>
    </row>
    <row r="2128" customFormat="false" ht="15" hidden="false" customHeight="false" outlineLevel="0" collapsed="false">
      <c r="B2128" s="19" t="s">
        <v>10273</v>
      </c>
      <c r="C2128" s="20" t="n">
        <f aca="false">ROUND(1.48/FX,2)</f>
        <v>0.21</v>
      </c>
      <c r="D2128" s="21" t="s">
        <v>6356</v>
      </c>
      <c r="E2128" s="21" t="s">
        <v>8168</v>
      </c>
      <c r="F2128" s="21" t="s">
        <v>10274</v>
      </c>
      <c r="G2128" s="21" t="s">
        <v>10270</v>
      </c>
      <c r="H2128" s="21" t="s">
        <v>10159</v>
      </c>
    </row>
    <row r="2129" customFormat="false" ht="15" hidden="false" customHeight="false" outlineLevel="0" collapsed="false">
      <c r="B2129" s="19" t="s">
        <v>10275</v>
      </c>
      <c r="C2129" s="20" t="n">
        <f aca="false">ROUND(1.69/FX,2)</f>
        <v>0.23</v>
      </c>
      <c r="D2129" s="21" t="s">
        <v>6356</v>
      </c>
      <c r="E2129" s="21" t="s">
        <v>8168</v>
      </c>
      <c r="F2129" s="21" t="s">
        <v>734</v>
      </c>
      <c r="G2129" s="21" t="s">
        <v>10270</v>
      </c>
      <c r="H2129" s="21" t="s">
        <v>10213</v>
      </c>
    </row>
    <row r="2130" customFormat="false" ht="15" hidden="false" customHeight="false" outlineLevel="0" collapsed="false">
      <c r="B2130" s="19" t="s">
        <v>10276</v>
      </c>
      <c r="C2130" s="20" t="n">
        <f aca="false">ROUND(1.7/FX,2)</f>
        <v>0.24</v>
      </c>
      <c r="D2130" s="21" t="s">
        <v>10277</v>
      </c>
      <c r="E2130" s="21" t="s">
        <v>8168</v>
      </c>
      <c r="F2130" s="21" t="s">
        <v>734</v>
      </c>
      <c r="G2130" s="21" t="s">
        <v>10270</v>
      </c>
      <c r="H2130" s="21" t="s">
        <v>10161</v>
      </c>
    </row>
    <row r="2131" customFormat="false" ht="15" hidden="false" customHeight="false" outlineLevel="0" collapsed="false">
      <c r="B2131" s="19" t="s">
        <v>10278</v>
      </c>
      <c r="C2131" s="20" t="n">
        <f aca="false">ROUND(1.56/FX,2)</f>
        <v>0.22</v>
      </c>
      <c r="D2131" s="21" t="s">
        <v>10277</v>
      </c>
      <c r="E2131" s="21" t="s">
        <v>8168</v>
      </c>
      <c r="F2131" s="21" t="s">
        <v>734</v>
      </c>
      <c r="G2131" s="21" t="s">
        <v>10270</v>
      </c>
      <c r="H2131" s="21" t="s">
        <v>7912</v>
      </c>
    </row>
    <row r="2132" customFormat="false" ht="15" hidden="false" customHeight="false" outlineLevel="0" collapsed="false">
      <c r="B2132" s="19" t="s">
        <v>10279</v>
      </c>
      <c r="C2132" s="20" t="n">
        <f aca="false">ROUND(1.7/FX,2)</f>
        <v>0.24</v>
      </c>
      <c r="D2132" s="21" t="s">
        <v>10280</v>
      </c>
      <c r="E2132" s="21" t="s">
        <v>8168</v>
      </c>
      <c r="F2132" s="21" t="s">
        <v>734</v>
      </c>
      <c r="G2132" s="21" t="s">
        <v>10270</v>
      </c>
      <c r="H2132" s="21" t="s">
        <v>7916</v>
      </c>
    </row>
    <row r="2133" customFormat="false" ht="15" hidden="false" customHeight="false" outlineLevel="0" collapsed="false">
      <c r="B2133" s="19" t="s">
        <v>10281</v>
      </c>
      <c r="C2133" s="20" t="n">
        <f aca="false">ROUND(1.7/FX,2)</f>
        <v>0.24</v>
      </c>
      <c r="D2133" s="21" t="s">
        <v>6356</v>
      </c>
      <c r="E2133" s="21" t="s">
        <v>8168</v>
      </c>
      <c r="F2133" s="21" t="s">
        <v>734</v>
      </c>
      <c r="G2133" s="21" t="s">
        <v>10270</v>
      </c>
      <c r="H2133" s="21" t="s">
        <v>8220</v>
      </c>
    </row>
    <row r="2134" customFormat="false" ht="15" hidden="false" customHeight="false" outlineLevel="0" collapsed="false">
      <c r="B2134" s="19" t="s">
        <v>10282</v>
      </c>
      <c r="C2134" s="20" t="n">
        <f aca="false">ROUND(1.7/FX,2)</f>
        <v>0.24</v>
      </c>
      <c r="D2134" s="21" t="s">
        <v>6356</v>
      </c>
      <c r="E2134" s="21" t="s">
        <v>8168</v>
      </c>
      <c r="F2134" s="21" t="s">
        <v>734</v>
      </c>
      <c r="G2134" s="21" t="s">
        <v>10270</v>
      </c>
      <c r="H2134" s="21" t="s">
        <v>7847</v>
      </c>
    </row>
    <row r="2135" customFormat="false" ht="15" hidden="false" customHeight="false" outlineLevel="0" collapsed="false">
      <c r="B2135" s="19" t="s">
        <v>10283</v>
      </c>
      <c r="C2135" s="20" t="n">
        <f aca="false">ROUND(1.7/FX,2)</f>
        <v>0.24</v>
      </c>
      <c r="D2135" s="21" t="s">
        <v>10280</v>
      </c>
      <c r="E2135" s="21" t="s">
        <v>8168</v>
      </c>
      <c r="F2135" s="21" t="s">
        <v>734</v>
      </c>
      <c r="G2135" s="21" t="s">
        <v>10270</v>
      </c>
      <c r="H2135" s="21" t="s">
        <v>7827</v>
      </c>
    </row>
    <row r="2136" customFormat="false" ht="15" hidden="false" customHeight="false" outlineLevel="0" collapsed="false">
      <c r="B2136" s="19" t="s">
        <v>10284</v>
      </c>
      <c r="C2136" s="20" t="n">
        <f aca="false">ROUND(1.56/FX,2)</f>
        <v>0.22</v>
      </c>
      <c r="D2136" s="21" t="s">
        <v>10277</v>
      </c>
      <c r="E2136" s="21" t="s">
        <v>8168</v>
      </c>
      <c r="F2136" s="21" t="s">
        <v>734</v>
      </c>
      <c r="G2136" s="21" t="s">
        <v>10270</v>
      </c>
      <c r="H2136" s="21" t="s">
        <v>7853</v>
      </c>
    </row>
    <row r="2137" customFormat="false" ht="15" hidden="false" customHeight="false" outlineLevel="0" collapsed="false">
      <c r="B2137" s="19" t="s">
        <v>10285</v>
      </c>
      <c r="C2137" s="20" t="n">
        <f aca="false">ROUND(1.69/FX,2)</f>
        <v>0.23</v>
      </c>
      <c r="D2137" s="21" t="s">
        <v>10280</v>
      </c>
      <c r="E2137" s="21" t="s">
        <v>8168</v>
      </c>
      <c r="F2137" s="21" t="s">
        <v>734</v>
      </c>
      <c r="G2137" s="21" t="s">
        <v>10270</v>
      </c>
      <c r="H2137" s="21" t="s">
        <v>7829</v>
      </c>
    </row>
    <row r="2138" customFormat="false" ht="15" hidden="false" customHeight="false" outlineLevel="0" collapsed="false">
      <c r="B2138" s="19" t="s">
        <v>10286</v>
      </c>
      <c r="C2138" s="20" t="n">
        <f aca="false">ROUND(3.77/FX,2)</f>
        <v>0.52</v>
      </c>
      <c r="D2138" s="21" t="s">
        <v>8668</v>
      </c>
      <c r="E2138" s="21" t="s">
        <v>10204</v>
      </c>
      <c r="F2138" s="21" t="s">
        <v>10287</v>
      </c>
      <c r="G2138" s="21" t="s">
        <v>10288</v>
      </c>
      <c r="H2138" s="21" t="s">
        <v>7916</v>
      </c>
    </row>
    <row r="2139" customFormat="false" ht="15" hidden="false" customHeight="false" outlineLevel="0" collapsed="false">
      <c r="B2139" s="19" t="s">
        <v>10289</v>
      </c>
      <c r="C2139" s="20" t="n">
        <f aca="false">ROUND(3.77/FX,2)</f>
        <v>0.52</v>
      </c>
      <c r="D2139" s="21" t="s">
        <v>8668</v>
      </c>
      <c r="E2139" s="21" t="s">
        <v>10204</v>
      </c>
      <c r="F2139" s="21" t="s">
        <v>10287</v>
      </c>
      <c r="G2139" s="21" t="s">
        <v>10288</v>
      </c>
      <c r="H2139" s="21" t="s">
        <v>7918</v>
      </c>
    </row>
    <row r="2140" customFormat="false" ht="15" hidden="false" customHeight="false" outlineLevel="0" collapsed="false">
      <c r="B2140" s="19" t="s">
        <v>10290</v>
      </c>
      <c r="C2140" s="20" t="n">
        <f aca="false">ROUND(3.77/FX,2)</f>
        <v>0.52</v>
      </c>
      <c r="D2140" s="21" t="s">
        <v>8668</v>
      </c>
      <c r="E2140" s="21" t="s">
        <v>10204</v>
      </c>
      <c r="F2140" s="21" t="s">
        <v>10287</v>
      </c>
      <c r="G2140" s="21" t="s">
        <v>10288</v>
      </c>
      <c r="H2140" s="21" t="s">
        <v>7847</v>
      </c>
    </row>
    <row r="2141" customFormat="false" ht="15" hidden="false" customHeight="false" outlineLevel="0" collapsed="false">
      <c r="B2141" s="19" t="s">
        <v>10291</v>
      </c>
      <c r="C2141" s="20" t="n">
        <f aca="false">ROUND(3.77/FX,2)</f>
        <v>0.52</v>
      </c>
      <c r="D2141" s="21" t="s">
        <v>8668</v>
      </c>
      <c r="E2141" s="21" t="s">
        <v>10204</v>
      </c>
      <c r="F2141" s="21" t="s">
        <v>10287</v>
      </c>
      <c r="G2141" s="21" t="s">
        <v>10288</v>
      </c>
      <c r="H2141" s="21" t="s">
        <v>7849</v>
      </c>
    </row>
    <row r="2142" customFormat="false" ht="15" hidden="false" customHeight="false" outlineLevel="0" collapsed="false">
      <c r="B2142" s="19" t="s">
        <v>10292</v>
      </c>
      <c r="C2142" s="20" t="n">
        <f aca="false">ROUND(1.43/FX,2)</f>
        <v>0.2</v>
      </c>
      <c r="D2142" s="21" t="s">
        <v>6362</v>
      </c>
      <c r="E2142" s="21" t="s">
        <v>8168</v>
      </c>
      <c r="F2142" s="21" t="s">
        <v>734</v>
      </c>
      <c r="G2142" s="21" t="s">
        <v>10293</v>
      </c>
      <c r="H2142" s="21" t="s">
        <v>10159</v>
      </c>
    </row>
    <row r="2143" customFormat="false" ht="15" hidden="false" customHeight="false" outlineLevel="0" collapsed="false">
      <c r="B2143" s="19" t="s">
        <v>10294</v>
      </c>
      <c r="C2143" s="20" t="n">
        <f aca="false">ROUND(1.43/FX,2)</f>
        <v>0.2</v>
      </c>
      <c r="D2143" s="21" t="s">
        <v>6362</v>
      </c>
      <c r="E2143" s="21" t="s">
        <v>8168</v>
      </c>
      <c r="F2143" s="21" t="s">
        <v>734</v>
      </c>
      <c r="G2143" s="21" t="s">
        <v>10293</v>
      </c>
      <c r="H2143" s="21" t="s">
        <v>10161</v>
      </c>
    </row>
    <row r="2144" customFormat="false" ht="15" hidden="false" customHeight="false" outlineLevel="0" collapsed="false">
      <c r="B2144" s="19" t="s">
        <v>10295</v>
      </c>
      <c r="C2144" s="20" t="n">
        <f aca="false">ROUND(1.43/FX,2)</f>
        <v>0.2</v>
      </c>
      <c r="D2144" s="21" t="s">
        <v>6362</v>
      </c>
      <c r="E2144" s="21" t="s">
        <v>8168</v>
      </c>
      <c r="F2144" s="21" t="s">
        <v>734</v>
      </c>
      <c r="G2144" s="21" t="s">
        <v>10293</v>
      </c>
      <c r="H2144" s="21" t="s">
        <v>10218</v>
      </c>
    </row>
    <row r="2145" customFormat="false" ht="15" hidden="false" customHeight="false" outlineLevel="0" collapsed="false">
      <c r="B2145" s="19" t="s">
        <v>10296</v>
      </c>
      <c r="C2145" s="20" t="n">
        <f aca="false">ROUND(1.43/FX,2)</f>
        <v>0.2</v>
      </c>
      <c r="D2145" s="21" t="s">
        <v>7886</v>
      </c>
      <c r="E2145" s="21" t="s">
        <v>8168</v>
      </c>
      <c r="F2145" s="21" t="s">
        <v>734</v>
      </c>
      <c r="G2145" s="21" t="s">
        <v>10293</v>
      </c>
      <c r="H2145" s="21" t="s">
        <v>7824</v>
      </c>
    </row>
    <row r="2146" customFormat="false" ht="15" hidden="false" customHeight="false" outlineLevel="0" collapsed="false">
      <c r="B2146" s="19" t="s">
        <v>10297</v>
      </c>
      <c r="C2146" s="20" t="n">
        <f aca="false">ROUND(1.43/FX,2)</f>
        <v>0.2</v>
      </c>
      <c r="D2146" s="21" t="s">
        <v>6362</v>
      </c>
      <c r="E2146" s="21" t="s">
        <v>8168</v>
      </c>
      <c r="F2146" s="21" t="s">
        <v>734</v>
      </c>
      <c r="G2146" s="21" t="s">
        <v>10293</v>
      </c>
      <c r="H2146" s="21" t="s">
        <v>7824</v>
      </c>
    </row>
    <row r="2147" customFormat="false" ht="15" hidden="false" customHeight="false" outlineLevel="0" collapsed="false">
      <c r="B2147" s="19" t="s">
        <v>10298</v>
      </c>
      <c r="C2147" s="20" t="n">
        <f aca="false">ROUND(1.43/FX,2)</f>
        <v>0.2</v>
      </c>
      <c r="D2147" s="21" t="s">
        <v>6362</v>
      </c>
      <c r="E2147" s="21" t="s">
        <v>8168</v>
      </c>
      <c r="F2147" s="21" t="s">
        <v>734</v>
      </c>
      <c r="G2147" s="21" t="s">
        <v>10293</v>
      </c>
      <c r="H2147" s="21" t="s">
        <v>10164</v>
      </c>
    </row>
    <row r="2148" customFormat="false" ht="15" hidden="false" customHeight="false" outlineLevel="0" collapsed="false">
      <c r="B2148" s="19" t="s">
        <v>10299</v>
      </c>
      <c r="C2148" s="20" t="n">
        <f aca="false">ROUND(1.43/FX,2)</f>
        <v>0.2</v>
      </c>
      <c r="D2148" s="21" t="s">
        <v>7886</v>
      </c>
      <c r="E2148" s="21" t="s">
        <v>8168</v>
      </c>
      <c r="F2148" s="21" t="s">
        <v>734</v>
      </c>
      <c r="G2148" s="21" t="s">
        <v>10293</v>
      </c>
      <c r="H2148" s="21" t="s">
        <v>7904</v>
      </c>
    </row>
    <row r="2149" customFormat="false" ht="15" hidden="false" customHeight="false" outlineLevel="0" collapsed="false">
      <c r="B2149" s="19" t="s">
        <v>10300</v>
      </c>
      <c r="C2149" s="20" t="n">
        <f aca="false">ROUND(1.11/FX,2)</f>
        <v>0.15</v>
      </c>
      <c r="D2149" s="21" t="s">
        <v>6362</v>
      </c>
      <c r="E2149" s="21" t="s">
        <v>8168</v>
      </c>
      <c r="F2149" s="21" t="s">
        <v>10269</v>
      </c>
      <c r="G2149" s="21" t="s">
        <v>10293</v>
      </c>
      <c r="H2149" s="21" t="s">
        <v>7904</v>
      </c>
    </row>
    <row r="2150" customFormat="false" ht="15" hidden="false" customHeight="false" outlineLevel="0" collapsed="false">
      <c r="B2150" s="19" t="s">
        <v>10301</v>
      </c>
      <c r="C2150" s="20" t="n">
        <f aca="false">ROUND(1.26/FX,2)</f>
        <v>0.18</v>
      </c>
      <c r="D2150" s="21" t="s">
        <v>6362</v>
      </c>
      <c r="E2150" s="21" t="s">
        <v>8168</v>
      </c>
      <c r="F2150" s="21" t="s">
        <v>10272</v>
      </c>
      <c r="G2150" s="21" t="s">
        <v>10293</v>
      </c>
      <c r="H2150" s="21" t="s">
        <v>7904</v>
      </c>
    </row>
    <row r="2151" customFormat="false" ht="15" hidden="false" customHeight="false" outlineLevel="0" collapsed="false">
      <c r="B2151" s="19" t="s">
        <v>10302</v>
      </c>
      <c r="C2151" s="20" t="n">
        <f aca="false">ROUND(1.16/FX,2)</f>
        <v>0.16</v>
      </c>
      <c r="D2151" s="21" t="s">
        <v>6362</v>
      </c>
      <c r="E2151" s="21" t="s">
        <v>8168</v>
      </c>
      <c r="F2151" s="21" t="s">
        <v>10274</v>
      </c>
      <c r="G2151" s="21" t="s">
        <v>10293</v>
      </c>
      <c r="H2151" s="21" t="s">
        <v>7904</v>
      </c>
    </row>
    <row r="2152" customFormat="false" ht="15" hidden="false" customHeight="false" outlineLevel="0" collapsed="false">
      <c r="B2152" s="19" t="s">
        <v>10303</v>
      </c>
      <c r="C2152" s="20" t="n">
        <f aca="false">ROUND(1.43/FX,2)</f>
        <v>0.2</v>
      </c>
      <c r="D2152" s="21" t="s">
        <v>6362</v>
      </c>
      <c r="E2152" s="21" t="s">
        <v>8168</v>
      </c>
      <c r="F2152" s="21" t="s">
        <v>734</v>
      </c>
      <c r="G2152" s="21" t="s">
        <v>10293</v>
      </c>
      <c r="H2152" s="21" t="s">
        <v>10230</v>
      </c>
    </row>
    <row r="2153" customFormat="false" ht="15" hidden="false" customHeight="false" outlineLevel="0" collapsed="false">
      <c r="B2153" s="19" t="s">
        <v>10304</v>
      </c>
      <c r="C2153" s="20" t="n">
        <f aca="false">ROUND(1.43/FX,2)</f>
        <v>0.2</v>
      </c>
      <c r="D2153" s="21" t="s">
        <v>6362</v>
      </c>
      <c r="E2153" s="21" t="s">
        <v>8168</v>
      </c>
      <c r="F2153" s="21" t="s">
        <v>734</v>
      </c>
      <c r="G2153" s="21" t="s">
        <v>10293</v>
      </c>
      <c r="H2153" s="21" t="s">
        <v>7837</v>
      </c>
    </row>
    <row r="2154" customFormat="false" ht="15" hidden="false" customHeight="false" outlineLevel="0" collapsed="false">
      <c r="B2154" s="19" t="s">
        <v>10305</v>
      </c>
      <c r="C2154" s="20" t="n">
        <f aca="false">ROUND(1.3/FX,2)</f>
        <v>0.18</v>
      </c>
      <c r="D2154" s="21" t="s">
        <v>6362</v>
      </c>
      <c r="E2154" s="21" t="s">
        <v>8168</v>
      </c>
      <c r="F2154" s="21" t="s">
        <v>734</v>
      </c>
      <c r="G2154" s="21" t="s">
        <v>10293</v>
      </c>
      <c r="H2154" s="21" t="s">
        <v>7839</v>
      </c>
    </row>
    <row r="2155" customFormat="false" ht="15" hidden="false" customHeight="false" outlineLevel="0" collapsed="false">
      <c r="B2155" s="19" t="s">
        <v>10306</v>
      </c>
      <c r="C2155" s="20" t="n">
        <f aca="false">ROUND(1.43/FX,2)</f>
        <v>0.2</v>
      </c>
      <c r="D2155" s="21" t="s">
        <v>6362</v>
      </c>
      <c r="E2155" s="21" t="s">
        <v>8168</v>
      </c>
      <c r="F2155" s="21" t="s">
        <v>734</v>
      </c>
      <c r="G2155" s="21" t="s">
        <v>10293</v>
      </c>
      <c r="H2155" s="21" t="s">
        <v>7841</v>
      </c>
    </row>
    <row r="2156" customFormat="false" ht="15" hidden="false" customHeight="false" outlineLevel="0" collapsed="false">
      <c r="B2156" s="19" t="s">
        <v>10307</v>
      </c>
      <c r="C2156" s="20" t="n">
        <f aca="false">ROUND(1.43/FX,2)</f>
        <v>0.2</v>
      </c>
      <c r="D2156" s="21" t="s">
        <v>7886</v>
      </c>
      <c r="E2156" s="21" t="s">
        <v>8168</v>
      </c>
      <c r="F2156" s="21" t="s">
        <v>734</v>
      </c>
      <c r="G2156" s="21" t="s">
        <v>10293</v>
      </c>
      <c r="H2156" s="21" t="s">
        <v>8188</v>
      </c>
    </row>
    <row r="2157" customFormat="false" ht="15" hidden="false" customHeight="false" outlineLevel="0" collapsed="false">
      <c r="B2157" s="19" t="s">
        <v>10308</v>
      </c>
      <c r="C2157" s="20" t="n">
        <f aca="false">ROUND(1.43/FX,2)</f>
        <v>0.2</v>
      </c>
      <c r="D2157" s="21" t="s">
        <v>6362</v>
      </c>
      <c r="E2157" s="21" t="s">
        <v>8168</v>
      </c>
      <c r="F2157" s="21" t="s">
        <v>734</v>
      </c>
      <c r="G2157" s="21" t="s">
        <v>10293</v>
      </c>
      <c r="H2157" s="21" t="s">
        <v>8188</v>
      </c>
    </row>
    <row r="2158" customFormat="false" ht="15" hidden="false" customHeight="false" outlineLevel="0" collapsed="false">
      <c r="B2158" s="19" t="s">
        <v>10309</v>
      </c>
      <c r="C2158" s="20" t="n">
        <f aca="false">ROUND(1.3/FX,2)</f>
        <v>0.18</v>
      </c>
      <c r="D2158" s="21" t="s">
        <v>6362</v>
      </c>
      <c r="E2158" s="21" t="s">
        <v>8168</v>
      </c>
      <c r="F2158" s="21" t="s">
        <v>734</v>
      </c>
      <c r="G2158" s="21" t="s">
        <v>10293</v>
      </c>
      <c r="H2158" s="21" t="s">
        <v>7912</v>
      </c>
    </row>
    <row r="2159" customFormat="false" ht="15" hidden="false" customHeight="false" outlineLevel="0" collapsed="false">
      <c r="B2159" s="19" t="s">
        <v>10310</v>
      </c>
      <c r="C2159" s="20" t="n">
        <f aca="false">ROUND(1.43/FX,2)</f>
        <v>0.2</v>
      </c>
      <c r="D2159" s="21" t="s">
        <v>7886</v>
      </c>
      <c r="E2159" s="21" t="s">
        <v>8168</v>
      </c>
      <c r="F2159" s="21" t="s">
        <v>734</v>
      </c>
      <c r="G2159" s="21" t="s">
        <v>10293</v>
      </c>
      <c r="H2159" s="21" t="s">
        <v>8193</v>
      </c>
    </row>
    <row r="2160" customFormat="false" ht="15" hidden="false" customHeight="false" outlineLevel="0" collapsed="false">
      <c r="B2160" s="19" t="s">
        <v>10311</v>
      </c>
      <c r="C2160" s="20" t="n">
        <f aca="false">ROUND(1.43/FX,2)</f>
        <v>0.2</v>
      </c>
      <c r="D2160" s="21" t="s">
        <v>6362</v>
      </c>
      <c r="E2160" s="21" t="s">
        <v>8168</v>
      </c>
      <c r="F2160" s="21" t="s">
        <v>734</v>
      </c>
      <c r="G2160" s="21" t="s">
        <v>10293</v>
      </c>
      <c r="H2160" s="21" t="s">
        <v>8193</v>
      </c>
    </row>
    <row r="2161" customFormat="false" ht="15" hidden="false" customHeight="false" outlineLevel="0" collapsed="false">
      <c r="B2161" s="19" t="s">
        <v>10312</v>
      </c>
      <c r="C2161" s="20" t="n">
        <f aca="false">ROUND(1.43/FX,2)</f>
        <v>0.2</v>
      </c>
      <c r="D2161" s="21" t="s">
        <v>6362</v>
      </c>
      <c r="E2161" s="21" t="s">
        <v>8168</v>
      </c>
      <c r="F2161" s="21" t="s">
        <v>734</v>
      </c>
      <c r="G2161" s="21" t="s">
        <v>10293</v>
      </c>
      <c r="H2161" s="21" t="s">
        <v>8196</v>
      </c>
    </row>
    <row r="2162" customFormat="false" ht="15" hidden="false" customHeight="false" outlineLevel="0" collapsed="false">
      <c r="B2162" s="19" t="s">
        <v>10313</v>
      </c>
      <c r="C2162" s="20" t="n">
        <f aca="false">ROUND(1.43/FX,2)</f>
        <v>0.2</v>
      </c>
      <c r="D2162" s="21" t="s">
        <v>7886</v>
      </c>
      <c r="E2162" s="21" t="s">
        <v>8168</v>
      </c>
      <c r="F2162" s="21" t="s">
        <v>734</v>
      </c>
      <c r="G2162" s="21" t="s">
        <v>10293</v>
      </c>
      <c r="H2162" s="21" t="s">
        <v>7916</v>
      </c>
    </row>
    <row r="2163" customFormat="false" ht="15" hidden="false" customHeight="false" outlineLevel="0" collapsed="false">
      <c r="B2163" s="19" t="s">
        <v>10314</v>
      </c>
      <c r="C2163" s="20" t="n">
        <f aca="false">ROUND(1.3/FX,2)</f>
        <v>0.18</v>
      </c>
      <c r="D2163" s="21" t="s">
        <v>6362</v>
      </c>
      <c r="E2163" s="21" t="s">
        <v>8168</v>
      </c>
      <c r="F2163" s="21" t="s">
        <v>10272</v>
      </c>
      <c r="G2163" s="21" t="s">
        <v>10293</v>
      </c>
      <c r="H2163" s="21" t="s">
        <v>7916</v>
      </c>
    </row>
    <row r="2164" customFormat="false" ht="15" hidden="false" customHeight="false" outlineLevel="0" collapsed="false">
      <c r="B2164" s="19" t="s">
        <v>10315</v>
      </c>
      <c r="C2164" s="20" t="n">
        <f aca="false">ROUND(1.17/FX,2)</f>
        <v>0.16</v>
      </c>
      <c r="D2164" s="21" t="s">
        <v>6362</v>
      </c>
      <c r="E2164" s="21" t="s">
        <v>8168</v>
      </c>
      <c r="F2164" s="21" t="s">
        <v>10274</v>
      </c>
      <c r="G2164" s="21" t="s">
        <v>10293</v>
      </c>
      <c r="H2164" s="21" t="s">
        <v>7916</v>
      </c>
    </row>
    <row r="2165" customFormat="false" ht="15" hidden="false" customHeight="false" outlineLevel="0" collapsed="false">
      <c r="B2165" s="19" t="s">
        <v>10316</v>
      </c>
      <c r="C2165" s="20" t="n">
        <f aca="false">ROUND(1.43/FX,2)</f>
        <v>0.2</v>
      </c>
      <c r="D2165" s="21" t="s">
        <v>6362</v>
      </c>
      <c r="E2165" s="21" t="s">
        <v>8168</v>
      </c>
      <c r="F2165" s="21" t="s">
        <v>734</v>
      </c>
      <c r="G2165" s="21" t="s">
        <v>10293</v>
      </c>
      <c r="H2165" s="21" t="s">
        <v>8220</v>
      </c>
    </row>
    <row r="2166" customFormat="false" ht="15" hidden="false" customHeight="false" outlineLevel="0" collapsed="false">
      <c r="B2166" s="19" t="s">
        <v>10317</v>
      </c>
      <c r="C2166" s="20" t="n">
        <f aca="false">ROUND(1.43/FX,2)</f>
        <v>0.2</v>
      </c>
      <c r="D2166" s="21" t="s">
        <v>6362</v>
      </c>
      <c r="E2166" s="21" t="s">
        <v>8168</v>
      </c>
      <c r="F2166" s="21" t="s">
        <v>734</v>
      </c>
      <c r="G2166" s="21" t="s">
        <v>10293</v>
      </c>
      <c r="H2166" s="21" t="s">
        <v>7918</v>
      </c>
    </row>
    <row r="2167" customFormat="false" ht="15" hidden="false" customHeight="false" outlineLevel="0" collapsed="false">
      <c r="B2167" s="19" t="s">
        <v>10318</v>
      </c>
      <c r="C2167" s="20" t="n">
        <f aca="false">ROUND(1.43/FX,2)</f>
        <v>0.2</v>
      </c>
      <c r="D2167" s="21" t="s">
        <v>6362</v>
      </c>
      <c r="E2167" s="21" t="s">
        <v>8168</v>
      </c>
      <c r="F2167" s="21" t="s">
        <v>734</v>
      </c>
      <c r="G2167" s="21" t="s">
        <v>10293</v>
      </c>
      <c r="H2167" s="21" t="s">
        <v>7847</v>
      </c>
    </row>
    <row r="2168" customFormat="false" ht="15" hidden="false" customHeight="false" outlineLevel="0" collapsed="false">
      <c r="B2168" s="19" t="s">
        <v>10319</v>
      </c>
      <c r="C2168" s="20" t="n">
        <f aca="false">ROUND(1.11/FX,2)</f>
        <v>0.15</v>
      </c>
      <c r="D2168" s="21" t="s">
        <v>6362</v>
      </c>
      <c r="E2168" s="21" t="s">
        <v>8168</v>
      </c>
      <c r="F2168" s="21" t="s">
        <v>10269</v>
      </c>
      <c r="G2168" s="21" t="s">
        <v>10293</v>
      </c>
      <c r="H2168" s="21" t="s">
        <v>7849</v>
      </c>
    </row>
    <row r="2169" customFormat="false" ht="15" hidden="false" customHeight="false" outlineLevel="0" collapsed="false">
      <c r="B2169" s="19" t="s">
        <v>10320</v>
      </c>
      <c r="C2169" s="20" t="n">
        <f aca="false">ROUND(1.26/FX,2)</f>
        <v>0.18</v>
      </c>
      <c r="D2169" s="21" t="s">
        <v>6362</v>
      </c>
      <c r="E2169" s="21" t="s">
        <v>8168</v>
      </c>
      <c r="F2169" s="21" t="s">
        <v>10272</v>
      </c>
      <c r="G2169" s="21" t="s">
        <v>10293</v>
      </c>
      <c r="H2169" s="21" t="s">
        <v>7849</v>
      </c>
    </row>
    <row r="2170" customFormat="false" ht="15" hidden="false" customHeight="false" outlineLevel="0" collapsed="false">
      <c r="B2170" s="19" t="s">
        <v>10321</v>
      </c>
      <c r="C2170" s="20" t="n">
        <f aca="false">ROUND(1.16/FX,2)</f>
        <v>0.16</v>
      </c>
      <c r="D2170" s="21" t="s">
        <v>6362</v>
      </c>
      <c r="E2170" s="21" t="s">
        <v>8168</v>
      </c>
      <c r="F2170" s="21" t="s">
        <v>10274</v>
      </c>
      <c r="G2170" s="21" t="s">
        <v>10293</v>
      </c>
      <c r="H2170" s="21" t="s">
        <v>7849</v>
      </c>
    </row>
    <row r="2171" customFormat="false" ht="15" hidden="false" customHeight="false" outlineLevel="0" collapsed="false">
      <c r="B2171" s="19" t="s">
        <v>10322</v>
      </c>
      <c r="C2171" s="20" t="n">
        <f aca="false">ROUND(1.3/FX,2)</f>
        <v>0.18</v>
      </c>
      <c r="D2171" s="21" t="s">
        <v>6362</v>
      </c>
      <c r="E2171" s="21" t="s">
        <v>8168</v>
      </c>
      <c r="F2171" s="21" t="s">
        <v>734</v>
      </c>
      <c r="G2171" s="21" t="s">
        <v>10293</v>
      </c>
      <c r="H2171" s="21" t="s">
        <v>7827</v>
      </c>
    </row>
    <row r="2172" customFormat="false" ht="15" hidden="false" customHeight="false" outlineLevel="0" collapsed="false">
      <c r="B2172" s="19" t="s">
        <v>10323</v>
      </c>
      <c r="C2172" s="20" t="n">
        <f aca="false">ROUND(1.3/FX,2)</f>
        <v>0.18</v>
      </c>
      <c r="D2172" s="21" t="s">
        <v>6362</v>
      </c>
      <c r="E2172" s="21" t="s">
        <v>8168</v>
      </c>
      <c r="F2172" s="21" t="s">
        <v>734</v>
      </c>
      <c r="G2172" s="21" t="s">
        <v>10293</v>
      </c>
      <c r="H2172" s="21" t="s">
        <v>7853</v>
      </c>
    </row>
    <row r="2173" customFormat="false" ht="15" hidden="false" customHeight="false" outlineLevel="0" collapsed="false">
      <c r="B2173" s="19" t="s">
        <v>10324</v>
      </c>
      <c r="C2173" s="20" t="n">
        <f aca="false">ROUND(1.11/FX,2)</f>
        <v>0.15</v>
      </c>
      <c r="D2173" s="21" t="s">
        <v>6362</v>
      </c>
      <c r="E2173" s="21" t="s">
        <v>8168</v>
      </c>
      <c r="F2173" s="21" t="s">
        <v>10269</v>
      </c>
      <c r="G2173" s="21" t="s">
        <v>10293</v>
      </c>
      <c r="H2173" s="21" t="s">
        <v>7869</v>
      </c>
    </row>
    <row r="2174" customFormat="false" ht="15" hidden="false" customHeight="false" outlineLevel="0" collapsed="false">
      <c r="B2174" s="19" t="s">
        <v>10325</v>
      </c>
      <c r="C2174" s="20" t="n">
        <f aca="false">ROUND(1.26/FX,2)</f>
        <v>0.18</v>
      </c>
      <c r="D2174" s="21" t="s">
        <v>6362</v>
      </c>
      <c r="E2174" s="21" t="s">
        <v>8168</v>
      </c>
      <c r="F2174" s="21" t="s">
        <v>10272</v>
      </c>
      <c r="G2174" s="21" t="s">
        <v>10293</v>
      </c>
      <c r="H2174" s="21" t="s">
        <v>7869</v>
      </c>
    </row>
    <row r="2175" customFormat="false" ht="15" hidden="false" customHeight="false" outlineLevel="0" collapsed="false">
      <c r="B2175" s="19" t="s">
        <v>10326</v>
      </c>
      <c r="C2175" s="20" t="n">
        <f aca="false">ROUND(1.16/FX,2)</f>
        <v>0.16</v>
      </c>
      <c r="D2175" s="21" t="s">
        <v>6362</v>
      </c>
      <c r="E2175" s="21" t="s">
        <v>8168</v>
      </c>
      <c r="F2175" s="21" t="s">
        <v>10274</v>
      </c>
      <c r="G2175" s="21" t="s">
        <v>10293</v>
      </c>
      <c r="H2175" s="21" t="s">
        <v>7869</v>
      </c>
    </row>
    <row r="2176" customFormat="false" ht="15" hidden="false" customHeight="false" outlineLevel="0" collapsed="false">
      <c r="B2176" s="19" t="s">
        <v>10327</v>
      </c>
      <c r="C2176" s="20" t="n">
        <f aca="false">ROUND(1.3/FX,2)</f>
        <v>0.18</v>
      </c>
      <c r="D2176" s="21" t="s">
        <v>6362</v>
      </c>
      <c r="E2176" s="21" t="s">
        <v>8168</v>
      </c>
      <c r="F2176" s="21" t="s">
        <v>734</v>
      </c>
      <c r="G2176" s="21" t="s">
        <v>10293</v>
      </c>
      <c r="H2176" s="21" t="s">
        <v>7829</v>
      </c>
    </row>
    <row r="2177" customFormat="false" ht="15" hidden="false" customHeight="false" outlineLevel="0" collapsed="false">
      <c r="B2177" s="19" t="s">
        <v>10328</v>
      </c>
      <c r="C2177" s="20" t="n">
        <f aca="false">ROUND(1.3/FX,2)</f>
        <v>0.18</v>
      </c>
      <c r="D2177" s="21" t="s">
        <v>6362</v>
      </c>
      <c r="E2177" s="21" t="s">
        <v>8168</v>
      </c>
      <c r="F2177" s="21" t="s">
        <v>734</v>
      </c>
      <c r="G2177" s="21" t="s">
        <v>10293</v>
      </c>
      <c r="H2177" s="21" t="s">
        <v>7831</v>
      </c>
    </row>
    <row r="2178" customFormat="false" ht="15" hidden="false" customHeight="false" outlineLevel="0" collapsed="false">
      <c r="B2178" s="19" t="s">
        <v>10329</v>
      </c>
      <c r="C2178" s="20" t="n">
        <f aca="false">ROUND(1.27/FX,2)</f>
        <v>0.18</v>
      </c>
      <c r="D2178" s="21" t="s">
        <v>6362</v>
      </c>
      <c r="E2178" s="21" t="s">
        <v>8168</v>
      </c>
      <c r="F2178" s="21" t="s">
        <v>10272</v>
      </c>
      <c r="G2178" s="21" t="s">
        <v>10293</v>
      </c>
      <c r="H2178" s="21" t="s">
        <v>7862</v>
      </c>
    </row>
    <row r="2179" customFormat="false" ht="15" hidden="false" customHeight="false" outlineLevel="0" collapsed="false">
      <c r="B2179" s="19" t="s">
        <v>10330</v>
      </c>
      <c r="C2179" s="20" t="n">
        <f aca="false">ROUND(1.17/FX,2)</f>
        <v>0.16</v>
      </c>
      <c r="D2179" s="21" t="s">
        <v>6362</v>
      </c>
      <c r="E2179" s="21" t="s">
        <v>8168</v>
      </c>
      <c r="F2179" s="21" t="s">
        <v>10274</v>
      </c>
      <c r="G2179" s="21" t="s">
        <v>10293</v>
      </c>
      <c r="H2179" s="21" t="s">
        <v>7862</v>
      </c>
    </row>
    <row r="2180" customFormat="false" ht="15" hidden="false" customHeight="false" outlineLevel="0" collapsed="false">
      <c r="B2180" s="19" t="s">
        <v>10331</v>
      </c>
      <c r="C2180" s="20" t="n">
        <f aca="false">ROUND(1.3/FX,2)</f>
        <v>0.18</v>
      </c>
      <c r="D2180" s="21" t="s">
        <v>724</v>
      </c>
      <c r="E2180" s="21" t="s">
        <v>8168</v>
      </c>
      <c r="F2180" s="21" t="s">
        <v>10272</v>
      </c>
      <c r="G2180" s="21" t="s">
        <v>10332</v>
      </c>
      <c r="H2180" s="21" t="s">
        <v>7833</v>
      </c>
    </row>
    <row r="2181" customFormat="false" ht="15" hidden="false" customHeight="false" outlineLevel="0" collapsed="false">
      <c r="B2181" s="19" t="s">
        <v>10333</v>
      </c>
      <c r="C2181" s="20" t="n">
        <f aca="false">ROUND(1.17/FX,2)</f>
        <v>0.16</v>
      </c>
      <c r="D2181" s="21" t="s">
        <v>724</v>
      </c>
      <c r="E2181" s="21" t="s">
        <v>8168</v>
      </c>
      <c r="F2181" s="21" t="s">
        <v>10274</v>
      </c>
      <c r="G2181" s="21" t="s">
        <v>10332</v>
      </c>
      <c r="H2181" s="21" t="s">
        <v>7833</v>
      </c>
    </row>
    <row r="2182" customFormat="false" ht="28.35" hidden="false" customHeight="false" outlineLevel="0" collapsed="false">
      <c r="B2182" s="19" t="s">
        <v>10334</v>
      </c>
      <c r="C2182" s="20" t="n">
        <f aca="false">ROUND(2.73/FX,2)</f>
        <v>0.38</v>
      </c>
      <c r="D2182" s="21" t="s">
        <v>8668</v>
      </c>
      <c r="E2182" s="21" t="s">
        <v>10335</v>
      </c>
      <c r="F2182" s="21" t="s">
        <v>10336</v>
      </c>
      <c r="G2182" s="21" t="s">
        <v>9823</v>
      </c>
      <c r="H2182" s="21" t="s">
        <v>8188</v>
      </c>
    </row>
    <row r="2183" customFormat="false" ht="28.35" hidden="false" customHeight="false" outlineLevel="0" collapsed="false">
      <c r="B2183" s="19" t="s">
        <v>10337</v>
      </c>
      <c r="C2183" s="20" t="n">
        <f aca="false">ROUND(2.6/FX,2)</f>
        <v>0.36</v>
      </c>
      <c r="D2183" s="21" t="s">
        <v>8668</v>
      </c>
      <c r="E2183" s="21" t="s">
        <v>10335</v>
      </c>
      <c r="F2183" s="21" t="s">
        <v>10338</v>
      </c>
      <c r="G2183" s="21" t="s">
        <v>9823</v>
      </c>
      <c r="H2183" s="21" t="s">
        <v>8188</v>
      </c>
    </row>
    <row r="2184" customFormat="false" ht="28.35" hidden="false" customHeight="false" outlineLevel="0" collapsed="false">
      <c r="B2184" s="19" t="s">
        <v>10339</v>
      </c>
      <c r="C2184" s="20" t="n">
        <f aca="false">ROUND(4.42/FX,2)</f>
        <v>0.61</v>
      </c>
      <c r="D2184" s="21" t="s">
        <v>8668</v>
      </c>
      <c r="E2184" s="21" t="s">
        <v>10204</v>
      </c>
      <c r="F2184" s="21" t="s">
        <v>10336</v>
      </c>
      <c r="G2184" s="21" t="s">
        <v>9823</v>
      </c>
      <c r="H2184" s="21" t="s">
        <v>8188</v>
      </c>
    </row>
    <row r="2185" customFormat="false" ht="28.35" hidden="false" customHeight="false" outlineLevel="0" collapsed="false">
      <c r="B2185" s="19" t="s">
        <v>10340</v>
      </c>
      <c r="C2185" s="20" t="n">
        <f aca="false">ROUND(4.29/FX,2)</f>
        <v>0.6</v>
      </c>
      <c r="D2185" s="21" t="s">
        <v>8668</v>
      </c>
      <c r="E2185" s="21" t="s">
        <v>10204</v>
      </c>
      <c r="F2185" s="21" t="s">
        <v>10338</v>
      </c>
      <c r="G2185" s="21" t="s">
        <v>9823</v>
      </c>
      <c r="H2185" s="21" t="s">
        <v>8188</v>
      </c>
    </row>
    <row r="2186" customFormat="false" ht="28.35" hidden="false" customHeight="false" outlineLevel="0" collapsed="false">
      <c r="B2186" s="19" t="s">
        <v>10341</v>
      </c>
      <c r="C2186" s="20" t="n">
        <f aca="false">ROUND(4.42/FX,2)</f>
        <v>0.61</v>
      </c>
      <c r="D2186" s="21" t="s">
        <v>8668</v>
      </c>
      <c r="E2186" s="21" t="s">
        <v>10204</v>
      </c>
      <c r="F2186" s="21" t="s">
        <v>10336</v>
      </c>
      <c r="G2186" s="21" t="s">
        <v>9823</v>
      </c>
      <c r="H2186" s="21" t="s">
        <v>7912</v>
      </c>
    </row>
    <row r="2187" customFormat="false" ht="28.35" hidden="false" customHeight="false" outlineLevel="0" collapsed="false">
      <c r="B2187" s="19" t="s">
        <v>10342</v>
      </c>
      <c r="C2187" s="20" t="n">
        <f aca="false">ROUND(4.29/FX,2)</f>
        <v>0.6</v>
      </c>
      <c r="D2187" s="21" t="s">
        <v>8668</v>
      </c>
      <c r="E2187" s="21" t="s">
        <v>10204</v>
      </c>
      <c r="F2187" s="21" t="s">
        <v>10338</v>
      </c>
      <c r="G2187" s="21" t="s">
        <v>9823</v>
      </c>
      <c r="H2187" s="21" t="s">
        <v>7912</v>
      </c>
    </row>
    <row r="2188" customFormat="false" ht="28.35" hidden="false" customHeight="false" outlineLevel="0" collapsed="false">
      <c r="B2188" s="19" t="s">
        <v>10343</v>
      </c>
      <c r="C2188" s="20" t="n">
        <f aca="false">ROUND(4.42/FX,2)</f>
        <v>0.61</v>
      </c>
      <c r="D2188" s="21" t="s">
        <v>8668</v>
      </c>
      <c r="E2188" s="21" t="s">
        <v>10204</v>
      </c>
      <c r="F2188" s="21" t="s">
        <v>10336</v>
      </c>
      <c r="G2188" s="21" t="s">
        <v>9823</v>
      </c>
      <c r="H2188" s="21" t="s">
        <v>10344</v>
      </c>
    </row>
    <row r="2189" customFormat="false" ht="28.35" hidden="false" customHeight="false" outlineLevel="0" collapsed="false">
      <c r="B2189" s="19" t="s">
        <v>10345</v>
      </c>
      <c r="C2189" s="20" t="n">
        <f aca="false">ROUND(4.29/FX,2)</f>
        <v>0.6</v>
      </c>
      <c r="D2189" s="21" t="s">
        <v>8668</v>
      </c>
      <c r="E2189" s="21" t="s">
        <v>10204</v>
      </c>
      <c r="F2189" s="21" t="s">
        <v>10338</v>
      </c>
      <c r="G2189" s="21" t="s">
        <v>9823</v>
      </c>
      <c r="H2189" s="21" t="s">
        <v>10344</v>
      </c>
    </row>
    <row r="2190" customFormat="false" ht="28.35" hidden="false" customHeight="false" outlineLevel="0" collapsed="false">
      <c r="B2190" s="19" t="s">
        <v>10346</v>
      </c>
      <c r="C2190" s="20" t="n">
        <f aca="false">ROUND(4.42/FX,2)</f>
        <v>0.61</v>
      </c>
      <c r="D2190" s="21" t="s">
        <v>8668</v>
      </c>
      <c r="E2190" s="21" t="s">
        <v>10204</v>
      </c>
      <c r="F2190" s="21" t="s">
        <v>10336</v>
      </c>
      <c r="G2190" s="21" t="s">
        <v>9823</v>
      </c>
      <c r="H2190" s="21" t="s">
        <v>8193</v>
      </c>
    </row>
    <row r="2191" customFormat="false" ht="28.35" hidden="false" customHeight="false" outlineLevel="0" collapsed="false">
      <c r="B2191" s="19" t="s">
        <v>10347</v>
      </c>
      <c r="C2191" s="20" t="n">
        <f aca="false">ROUND(4.29/FX,2)</f>
        <v>0.6</v>
      </c>
      <c r="D2191" s="21" t="s">
        <v>8668</v>
      </c>
      <c r="E2191" s="21" t="s">
        <v>10204</v>
      </c>
      <c r="F2191" s="21" t="s">
        <v>10338</v>
      </c>
      <c r="G2191" s="21" t="s">
        <v>9823</v>
      </c>
      <c r="H2191" s="21" t="s">
        <v>8193</v>
      </c>
    </row>
    <row r="2192" customFormat="false" ht="28.35" hidden="false" customHeight="false" outlineLevel="0" collapsed="false">
      <c r="B2192" s="19" t="s">
        <v>10348</v>
      </c>
      <c r="C2192" s="20" t="n">
        <f aca="false">ROUND(4.42/FX,2)</f>
        <v>0.61</v>
      </c>
      <c r="D2192" s="21" t="s">
        <v>8668</v>
      </c>
      <c r="E2192" s="21" t="s">
        <v>10204</v>
      </c>
      <c r="F2192" s="21" t="s">
        <v>10336</v>
      </c>
      <c r="G2192" s="21" t="s">
        <v>9823</v>
      </c>
      <c r="H2192" s="21" t="s">
        <v>10349</v>
      </c>
    </row>
    <row r="2193" customFormat="false" ht="28.35" hidden="false" customHeight="false" outlineLevel="0" collapsed="false">
      <c r="B2193" s="19" t="s">
        <v>10350</v>
      </c>
      <c r="C2193" s="20" t="n">
        <f aca="false">ROUND(4.29/FX,2)</f>
        <v>0.6</v>
      </c>
      <c r="D2193" s="21" t="s">
        <v>8668</v>
      </c>
      <c r="E2193" s="21" t="s">
        <v>10204</v>
      </c>
      <c r="F2193" s="21" t="s">
        <v>10338</v>
      </c>
      <c r="G2193" s="21" t="s">
        <v>9823</v>
      </c>
      <c r="H2193" s="21" t="s">
        <v>10349</v>
      </c>
    </row>
    <row r="2194" customFormat="false" ht="28.35" hidden="false" customHeight="false" outlineLevel="0" collapsed="false">
      <c r="B2194" s="19" t="s">
        <v>10351</v>
      </c>
      <c r="C2194" s="20" t="n">
        <f aca="false">ROUND(4.42/FX,2)</f>
        <v>0.61</v>
      </c>
      <c r="D2194" s="21" t="s">
        <v>8668</v>
      </c>
      <c r="E2194" s="21" t="s">
        <v>10204</v>
      </c>
      <c r="F2194" s="21" t="s">
        <v>10336</v>
      </c>
      <c r="G2194" s="21" t="s">
        <v>9823</v>
      </c>
      <c r="H2194" s="21" t="s">
        <v>8196</v>
      </c>
    </row>
    <row r="2195" customFormat="false" ht="28.35" hidden="false" customHeight="false" outlineLevel="0" collapsed="false">
      <c r="B2195" s="19" t="s">
        <v>10352</v>
      </c>
      <c r="C2195" s="20" t="n">
        <f aca="false">ROUND(4.29/FX,2)</f>
        <v>0.6</v>
      </c>
      <c r="D2195" s="21" t="s">
        <v>8668</v>
      </c>
      <c r="E2195" s="21" t="s">
        <v>10204</v>
      </c>
      <c r="F2195" s="21" t="s">
        <v>10338</v>
      </c>
      <c r="G2195" s="21" t="s">
        <v>9823</v>
      </c>
      <c r="H2195" s="21" t="s">
        <v>8196</v>
      </c>
    </row>
    <row r="2196" customFormat="false" ht="28.35" hidden="false" customHeight="false" outlineLevel="0" collapsed="false">
      <c r="B2196" s="19" t="s">
        <v>10353</v>
      </c>
      <c r="C2196" s="20" t="n">
        <f aca="false">ROUND(4.42/FX,2)</f>
        <v>0.61</v>
      </c>
      <c r="D2196" s="21" t="s">
        <v>8668</v>
      </c>
      <c r="E2196" s="21" t="s">
        <v>10204</v>
      </c>
      <c r="F2196" s="21" t="s">
        <v>10336</v>
      </c>
      <c r="G2196" s="21" t="s">
        <v>9823</v>
      </c>
      <c r="H2196" s="21" t="s">
        <v>8199</v>
      </c>
    </row>
    <row r="2197" customFormat="false" ht="28.35" hidden="false" customHeight="false" outlineLevel="0" collapsed="false">
      <c r="B2197" s="19" t="s">
        <v>10354</v>
      </c>
      <c r="C2197" s="20" t="n">
        <f aca="false">ROUND(4.29/FX,2)</f>
        <v>0.6</v>
      </c>
      <c r="D2197" s="21" t="s">
        <v>8668</v>
      </c>
      <c r="E2197" s="21" t="s">
        <v>10204</v>
      </c>
      <c r="F2197" s="21" t="s">
        <v>10338</v>
      </c>
      <c r="G2197" s="21" t="s">
        <v>9823</v>
      </c>
      <c r="H2197" s="21" t="s">
        <v>8199</v>
      </c>
    </row>
    <row r="2198" customFormat="false" ht="28.35" hidden="false" customHeight="false" outlineLevel="0" collapsed="false">
      <c r="B2198" s="19" t="s">
        <v>10355</v>
      </c>
      <c r="C2198" s="20" t="n">
        <f aca="false">ROUND(4.13/FX,2)</f>
        <v>0.57</v>
      </c>
      <c r="D2198" s="21" t="s">
        <v>8668</v>
      </c>
      <c r="E2198" s="21" t="s">
        <v>10204</v>
      </c>
      <c r="F2198" s="21" t="s">
        <v>10336</v>
      </c>
      <c r="G2198" s="21" t="s">
        <v>9823</v>
      </c>
      <c r="H2198" s="21" t="s">
        <v>8202</v>
      </c>
    </row>
    <row r="2199" customFormat="false" ht="28.35" hidden="false" customHeight="false" outlineLevel="0" collapsed="false">
      <c r="B2199" s="19" t="s">
        <v>10356</v>
      </c>
      <c r="C2199" s="20" t="n">
        <f aca="false">ROUND(4.03/FX,2)</f>
        <v>0.56</v>
      </c>
      <c r="D2199" s="21" t="s">
        <v>8668</v>
      </c>
      <c r="E2199" s="21" t="s">
        <v>10204</v>
      </c>
      <c r="F2199" s="21" t="s">
        <v>10338</v>
      </c>
      <c r="G2199" s="21" t="s">
        <v>9823</v>
      </c>
      <c r="H2199" s="21" t="s">
        <v>8202</v>
      </c>
    </row>
    <row r="2200" customFormat="false" ht="28.35" hidden="false" customHeight="false" outlineLevel="0" collapsed="false">
      <c r="B2200" s="19" t="s">
        <v>10357</v>
      </c>
      <c r="C2200" s="20" t="n">
        <f aca="false">ROUND(4.42/FX,2)</f>
        <v>0.61</v>
      </c>
      <c r="D2200" s="21" t="s">
        <v>8668</v>
      </c>
      <c r="E2200" s="21" t="s">
        <v>10204</v>
      </c>
      <c r="F2200" s="21" t="s">
        <v>10336</v>
      </c>
      <c r="G2200" s="21" t="s">
        <v>9823</v>
      </c>
      <c r="H2200" s="21" t="s">
        <v>7845</v>
      </c>
    </row>
    <row r="2201" customFormat="false" ht="28.35" hidden="false" customHeight="false" outlineLevel="0" collapsed="false">
      <c r="B2201" s="19" t="s">
        <v>10358</v>
      </c>
      <c r="C2201" s="20" t="n">
        <f aca="false">ROUND(4.29/FX,2)</f>
        <v>0.6</v>
      </c>
      <c r="D2201" s="21" t="s">
        <v>8668</v>
      </c>
      <c r="E2201" s="21" t="s">
        <v>10204</v>
      </c>
      <c r="F2201" s="21" t="s">
        <v>10338</v>
      </c>
      <c r="G2201" s="21" t="s">
        <v>9823</v>
      </c>
      <c r="H2201" s="21" t="s">
        <v>7845</v>
      </c>
    </row>
    <row r="2202" customFormat="false" ht="28.35" hidden="false" customHeight="false" outlineLevel="0" collapsed="false">
      <c r="B2202" s="19" t="s">
        <v>10359</v>
      </c>
      <c r="C2202" s="20" t="n">
        <f aca="false">ROUND(4.42/FX,2)</f>
        <v>0.61</v>
      </c>
      <c r="D2202" s="21" t="s">
        <v>8668</v>
      </c>
      <c r="E2202" s="21" t="s">
        <v>10204</v>
      </c>
      <c r="F2202" s="21" t="s">
        <v>10336</v>
      </c>
      <c r="G2202" s="21" t="s">
        <v>9823</v>
      </c>
      <c r="H2202" s="21" t="s">
        <v>10360</v>
      </c>
    </row>
    <row r="2203" customFormat="false" ht="28.35" hidden="false" customHeight="false" outlineLevel="0" collapsed="false">
      <c r="B2203" s="19" t="s">
        <v>10361</v>
      </c>
      <c r="C2203" s="20" t="n">
        <f aca="false">ROUND(4.29/FX,2)</f>
        <v>0.6</v>
      </c>
      <c r="D2203" s="21" t="s">
        <v>8668</v>
      </c>
      <c r="E2203" s="21" t="s">
        <v>10204</v>
      </c>
      <c r="F2203" s="21" t="s">
        <v>10338</v>
      </c>
      <c r="G2203" s="21" t="s">
        <v>9823</v>
      </c>
      <c r="H2203" s="21" t="s">
        <v>10360</v>
      </c>
    </row>
    <row r="2204" customFormat="false" ht="28.35" hidden="false" customHeight="false" outlineLevel="0" collapsed="false">
      <c r="B2204" s="19" t="s">
        <v>10362</v>
      </c>
      <c r="C2204" s="20" t="n">
        <f aca="false">ROUND(4.42/FX,2)</f>
        <v>0.61</v>
      </c>
      <c r="D2204" s="21" t="s">
        <v>8668</v>
      </c>
      <c r="E2204" s="21" t="s">
        <v>10204</v>
      </c>
      <c r="F2204" s="21" t="s">
        <v>10336</v>
      </c>
      <c r="G2204" s="21" t="s">
        <v>9823</v>
      </c>
      <c r="H2204" s="21" t="s">
        <v>10363</v>
      </c>
    </row>
    <row r="2205" customFormat="false" ht="28.35" hidden="false" customHeight="false" outlineLevel="0" collapsed="false">
      <c r="B2205" s="19" t="s">
        <v>10364</v>
      </c>
      <c r="C2205" s="20" t="n">
        <f aca="false">ROUND(4.29/FX,2)</f>
        <v>0.6</v>
      </c>
      <c r="D2205" s="21" t="s">
        <v>8668</v>
      </c>
      <c r="E2205" s="21" t="s">
        <v>10204</v>
      </c>
      <c r="F2205" s="21" t="s">
        <v>10338</v>
      </c>
      <c r="G2205" s="21" t="s">
        <v>9823</v>
      </c>
      <c r="H2205" s="21" t="s">
        <v>10363</v>
      </c>
    </row>
    <row r="2206" customFormat="false" ht="28.35" hidden="false" customHeight="false" outlineLevel="0" collapsed="false">
      <c r="B2206" s="19" t="s">
        <v>10365</v>
      </c>
      <c r="C2206" s="20" t="n">
        <f aca="false">ROUND(4.42/FX,2)</f>
        <v>0.61</v>
      </c>
      <c r="D2206" s="21" t="s">
        <v>8668</v>
      </c>
      <c r="E2206" s="21" t="s">
        <v>10204</v>
      </c>
      <c r="F2206" s="21" t="s">
        <v>10336</v>
      </c>
      <c r="G2206" s="21" t="s">
        <v>9823</v>
      </c>
      <c r="H2206" s="21" t="s">
        <v>10366</v>
      </c>
    </row>
    <row r="2207" customFormat="false" ht="28.35" hidden="false" customHeight="false" outlineLevel="0" collapsed="false">
      <c r="B2207" s="19" t="s">
        <v>10367</v>
      </c>
      <c r="C2207" s="20" t="n">
        <f aca="false">ROUND(4.29/FX,2)</f>
        <v>0.6</v>
      </c>
      <c r="D2207" s="21" t="s">
        <v>8668</v>
      </c>
      <c r="E2207" s="21" t="s">
        <v>10204</v>
      </c>
      <c r="F2207" s="21" t="s">
        <v>10338</v>
      </c>
      <c r="G2207" s="21" t="s">
        <v>9823</v>
      </c>
      <c r="H2207" s="21" t="s">
        <v>10366</v>
      </c>
    </row>
    <row r="2208" customFormat="false" ht="28.35" hidden="false" customHeight="false" outlineLevel="0" collapsed="false">
      <c r="B2208" s="19" t="s">
        <v>10368</v>
      </c>
      <c r="C2208" s="20" t="n">
        <f aca="false">ROUND(4.42/FX,2)</f>
        <v>0.61</v>
      </c>
      <c r="D2208" s="21" t="s">
        <v>8668</v>
      </c>
      <c r="E2208" s="21" t="s">
        <v>10204</v>
      </c>
      <c r="F2208" s="21" t="s">
        <v>10336</v>
      </c>
      <c r="G2208" s="21" t="s">
        <v>9823</v>
      </c>
      <c r="H2208" s="21" t="s">
        <v>10369</v>
      </c>
    </row>
    <row r="2209" customFormat="false" ht="28.35" hidden="false" customHeight="false" outlineLevel="0" collapsed="false">
      <c r="B2209" s="19" t="s">
        <v>10370</v>
      </c>
      <c r="C2209" s="20" t="n">
        <f aca="false">ROUND(4.29/FX,2)</f>
        <v>0.6</v>
      </c>
      <c r="D2209" s="21" t="s">
        <v>8668</v>
      </c>
      <c r="E2209" s="21" t="s">
        <v>10204</v>
      </c>
      <c r="F2209" s="21" t="s">
        <v>10338</v>
      </c>
      <c r="G2209" s="21" t="s">
        <v>9823</v>
      </c>
      <c r="H2209" s="21" t="s">
        <v>10369</v>
      </c>
    </row>
    <row r="2210" customFormat="false" ht="28.35" hidden="false" customHeight="false" outlineLevel="0" collapsed="false">
      <c r="B2210" s="19" t="s">
        <v>10371</v>
      </c>
      <c r="C2210" s="20" t="n">
        <f aca="false">ROUND(4.42/FX,2)</f>
        <v>0.61</v>
      </c>
      <c r="D2210" s="21" t="s">
        <v>8668</v>
      </c>
      <c r="E2210" s="21" t="s">
        <v>10204</v>
      </c>
      <c r="F2210" s="21" t="s">
        <v>10336</v>
      </c>
      <c r="G2210" s="21" t="s">
        <v>9823</v>
      </c>
      <c r="H2210" s="21" t="s">
        <v>10372</v>
      </c>
    </row>
    <row r="2211" customFormat="false" ht="28.35" hidden="false" customHeight="false" outlineLevel="0" collapsed="false">
      <c r="B2211" s="19" t="s">
        <v>10373</v>
      </c>
      <c r="C2211" s="20" t="n">
        <f aca="false">ROUND(4.29/FX,2)</f>
        <v>0.6</v>
      </c>
      <c r="D2211" s="21" t="s">
        <v>8668</v>
      </c>
      <c r="E2211" s="21" t="s">
        <v>10204</v>
      </c>
      <c r="F2211" s="21" t="s">
        <v>10338</v>
      </c>
      <c r="G2211" s="21" t="s">
        <v>9823</v>
      </c>
      <c r="H2211" s="21" t="s">
        <v>10372</v>
      </c>
    </row>
    <row r="2212" customFormat="false" ht="28.35" hidden="false" customHeight="false" outlineLevel="0" collapsed="false">
      <c r="B2212" s="19" t="s">
        <v>10374</v>
      </c>
      <c r="C2212" s="20" t="n">
        <f aca="false">ROUND(4.42/FX,2)</f>
        <v>0.61</v>
      </c>
      <c r="D2212" s="21" t="s">
        <v>8668</v>
      </c>
      <c r="E2212" s="21" t="s">
        <v>10204</v>
      </c>
      <c r="F2212" s="21" t="s">
        <v>10336</v>
      </c>
      <c r="G2212" s="21" t="s">
        <v>9823</v>
      </c>
      <c r="H2212" s="21" t="s">
        <v>10375</v>
      </c>
    </row>
    <row r="2213" customFormat="false" ht="28.35" hidden="false" customHeight="false" outlineLevel="0" collapsed="false">
      <c r="B2213" s="19" t="s">
        <v>10376</v>
      </c>
      <c r="C2213" s="20" t="n">
        <f aca="false">ROUND(4.29/FX,2)</f>
        <v>0.6</v>
      </c>
      <c r="D2213" s="21" t="s">
        <v>8668</v>
      </c>
      <c r="E2213" s="21" t="s">
        <v>10204</v>
      </c>
      <c r="F2213" s="21" t="s">
        <v>10338</v>
      </c>
      <c r="G2213" s="21" t="s">
        <v>9823</v>
      </c>
      <c r="H2213" s="21" t="s">
        <v>10375</v>
      </c>
    </row>
    <row r="2214" customFormat="false" ht="28.35" hidden="false" customHeight="false" outlineLevel="0" collapsed="false">
      <c r="B2214" s="19" t="s">
        <v>10377</v>
      </c>
      <c r="C2214" s="20" t="n">
        <f aca="false">ROUND(4.03/FX,2)</f>
        <v>0.56</v>
      </c>
      <c r="D2214" s="21" t="s">
        <v>8668</v>
      </c>
      <c r="E2214" s="21" t="s">
        <v>10335</v>
      </c>
      <c r="F2214" s="21" t="s">
        <v>10336</v>
      </c>
      <c r="G2214" s="21" t="s">
        <v>9823</v>
      </c>
      <c r="H2214" s="21" t="s">
        <v>7827</v>
      </c>
    </row>
    <row r="2215" customFormat="false" ht="28.35" hidden="false" customHeight="false" outlineLevel="0" collapsed="false">
      <c r="B2215" s="19" t="s">
        <v>10378</v>
      </c>
      <c r="C2215" s="20" t="n">
        <f aca="false">ROUND(3.9/FX,2)</f>
        <v>0.54</v>
      </c>
      <c r="D2215" s="21" t="s">
        <v>8668</v>
      </c>
      <c r="E2215" s="21" t="s">
        <v>10335</v>
      </c>
      <c r="F2215" s="21" t="s">
        <v>10338</v>
      </c>
      <c r="G2215" s="21" t="s">
        <v>9823</v>
      </c>
      <c r="H2215" s="21" t="s">
        <v>7827</v>
      </c>
    </row>
    <row r="2216" customFormat="false" ht="28.35" hidden="false" customHeight="false" outlineLevel="0" collapsed="false">
      <c r="B2216" s="19" t="s">
        <v>10379</v>
      </c>
      <c r="C2216" s="20" t="n">
        <f aca="false">ROUND(4.42/FX,2)</f>
        <v>0.61</v>
      </c>
      <c r="D2216" s="21" t="s">
        <v>8668</v>
      </c>
      <c r="E2216" s="21" t="s">
        <v>10204</v>
      </c>
      <c r="F2216" s="21" t="s">
        <v>10336</v>
      </c>
      <c r="G2216" s="21" t="s">
        <v>9823</v>
      </c>
      <c r="H2216" s="21" t="s">
        <v>7827</v>
      </c>
    </row>
    <row r="2217" customFormat="false" ht="28.35" hidden="false" customHeight="false" outlineLevel="0" collapsed="false">
      <c r="B2217" s="19" t="s">
        <v>10380</v>
      </c>
      <c r="C2217" s="20" t="n">
        <f aca="false">ROUND(4.29/FX,2)</f>
        <v>0.6</v>
      </c>
      <c r="D2217" s="21" t="s">
        <v>8668</v>
      </c>
      <c r="E2217" s="21" t="s">
        <v>10204</v>
      </c>
      <c r="F2217" s="21" t="s">
        <v>10338</v>
      </c>
      <c r="G2217" s="21" t="s">
        <v>9823</v>
      </c>
      <c r="H2217" s="21" t="s">
        <v>7827</v>
      </c>
    </row>
    <row r="2218" customFormat="false" ht="28.35" hidden="false" customHeight="false" outlineLevel="0" collapsed="false">
      <c r="B2218" s="19" t="s">
        <v>10381</v>
      </c>
      <c r="C2218" s="20" t="n">
        <f aca="false">ROUND(4.42/FX,2)</f>
        <v>0.61</v>
      </c>
      <c r="D2218" s="21" t="s">
        <v>8668</v>
      </c>
      <c r="E2218" s="21" t="s">
        <v>10204</v>
      </c>
      <c r="F2218" s="21" t="s">
        <v>10336</v>
      </c>
      <c r="G2218" s="21" t="s">
        <v>9823</v>
      </c>
      <c r="H2218" s="21" t="s">
        <v>10382</v>
      </c>
    </row>
    <row r="2219" customFormat="false" ht="28.35" hidden="false" customHeight="false" outlineLevel="0" collapsed="false">
      <c r="B2219" s="19" t="s">
        <v>10383</v>
      </c>
      <c r="C2219" s="20" t="n">
        <f aca="false">ROUND(4.29/FX,2)</f>
        <v>0.6</v>
      </c>
      <c r="D2219" s="21" t="s">
        <v>8668</v>
      </c>
      <c r="E2219" s="21" t="s">
        <v>10204</v>
      </c>
      <c r="F2219" s="21" t="s">
        <v>10338</v>
      </c>
      <c r="G2219" s="21" t="s">
        <v>9823</v>
      </c>
      <c r="H2219" s="21" t="s">
        <v>10382</v>
      </c>
    </row>
    <row r="2220" customFormat="false" ht="28.35" hidden="false" customHeight="false" outlineLevel="0" collapsed="false">
      <c r="B2220" s="19" t="s">
        <v>10384</v>
      </c>
      <c r="C2220" s="20" t="n">
        <f aca="false">ROUND(2.73/FX,2)</f>
        <v>0.38</v>
      </c>
      <c r="D2220" s="21" t="s">
        <v>8668</v>
      </c>
      <c r="E2220" s="21" t="s">
        <v>10335</v>
      </c>
      <c r="F2220" s="21" t="s">
        <v>10336</v>
      </c>
      <c r="G2220" s="21" t="s">
        <v>9823</v>
      </c>
      <c r="H2220" s="21" t="s">
        <v>7853</v>
      </c>
    </row>
    <row r="2221" customFormat="false" ht="28.35" hidden="false" customHeight="false" outlineLevel="0" collapsed="false">
      <c r="B2221" s="19" t="s">
        <v>10385</v>
      </c>
      <c r="C2221" s="20" t="n">
        <f aca="false">ROUND(2.6/FX,2)</f>
        <v>0.36</v>
      </c>
      <c r="D2221" s="21" t="s">
        <v>8668</v>
      </c>
      <c r="E2221" s="21" t="s">
        <v>10335</v>
      </c>
      <c r="F2221" s="21" t="s">
        <v>10338</v>
      </c>
      <c r="G2221" s="21" t="s">
        <v>9823</v>
      </c>
      <c r="H2221" s="21" t="s">
        <v>7853</v>
      </c>
    </row>
    <row r="2222" customFormat="false" ht="28.35" hidden="false" customHeight="false" outlineLevel="0" collapsed="false">
      <c r="B2222" s="19" t="s">
        <v>10386</v>
      </c>
      <c r="C2222" s="20" t="n">
        <f aca="false">ROUND(4.42/FX,2)</f>
        <v>0.61</v>
      </c>
      <c r="D2222" s="21" t="s">
        <v>8668</v>
      </c>
      <c r="E2222" s="21" t="s">
        <v>10204</v>
      </c>
      <c r="F2222" s="21" t="s">
        <v>10336</v>
      </c>
      <c r="G2222" s="21" t="s">
        <v>9823</v>
      </c>
      <c r="H2222" s="21" t="s">
        <v>7853</v>
      </c>
    </row>
    <row r="2223" customFormat="false" ht="28.35" hidden="false" customHeight="false" outlineLevel="0" collapsed="false">
      <c r="B2223" s="19" t="s">
        <v>10387</v>
      </c>
      <c r="C2223" s="20" t="n">
        <f aca="false">ROUND(4.29/FX,2)</f>
        <v>0.6</v>
      </c>
      <c r="D2223" s="21" t="s">
        <v>8668</v>
      </c>
      <c r="E2223" s="21" t="s">
        <v>10204</v>
      </c>
      <c r="F2223" s="21" t="s">
        <v>10338</v>
      </c>
      <c r="G2223" s="21" t="s">
        <v>9823</v>
      </c>
      <c r="H2223" s="21" t="s">
        <v>7853</v>
      </c>
    </row>
    <row r="2224" customFormat="false" ht="28.35" hidden="false" customHeight="false" outlineLevel="0" collapsed="false">
      <c r="B2224" s="19" t="s">
        <v>10388</v>
      </c>
      <c r="C2224" s="20" t="n">
        <f aca="false">ROUND(4.42/FX,2)</f>
        <v>0.61</v>
      </c>
      <c r="D2224" s="21" t="s">
        <v>8668</v>
      </c>
      <c r="E2224" s="21" t="s">
        <v>10204</v>
      </c>
      <c r="F2224" s="21" t="s">
        <v>10336</v>
      </c>
      <c r="G2224" s="21" t="s">
        <v>9823</v>
      </c>
      <c r="H2224" s="21" t="s">
        <v>10389</v>
      </c>
    </row>
    <row r="2225" customFormat="false" ht="28.35" hidden="false" customHeight="false" outlineLevel="0" collapsed="false">
      <c r="B2225" s="19" t="s">
        <v>10390</v>
      </c>
      <c r="C2225" s="20" t="n">
        <f aca="false">ROUND(4.29/FX,2)</f>
        <v>0.6</v>
      </c>
      <c r="D2225" s="21" t="s">
        <v>8668</v>
      </c>
      <c r="E2225" s="21" t="s">
        <v>10204</v>
      </c>
      <c r="F2225" s="21" t="s">
        <v>10338</v>
      </c>
      <c r="G2225" s="21" t="s">
        <v>9823</v>
      </c>
      <c r="H2225" s="21" t="s">
        <v>10389</v>
      </c>
    </row>
    <row r="2226" customFormat="false" ht="28.35" hidden="false" customHeight="false" outlineLevel="0" collapsed="false">
      <c r="B2226" s="19" t="s">
        <v>10391</v>
      </c>
      <c r="C2226" s="20" t="n">
        <f aca="false">ROUND(2.73/FX,2)</f>
        <v>0.38</v>
      </c>
      <c r="D2226" s="21" t="s">
        <v>8668</v>
      </c>
      <c r="E2226" s="21" t="s">
        <v>10335</v>
      </c>
      <c r="F2226" s="21" t="s">
        <v>10336</v>
      </c>
      <c r="G2226" s="21" t="s">
        <v>9823</v>
      </c>
      <c r="H2226" s="21" t="s">
        <v>7869</v>
      </c>
    </row>
    <row r="2227" customFormat="false" ht="28.35" hidden="false" customHeight="false" outlineLevel="0" collapsed="false">
      <c r="B2227" s="19" t="s">
        <v>10392</v>
      </c>
      <c r="C2227" s="20" t="n">
        <f aca="false">ROUND(2.6/FX,2)</f>
        <v>0.36</v>
      </c>
      <c r="D2227" s="21" t="s">
        <v>8668</v>
      </c>
      <c r="E2227" s="21" t="s">
        <v>10335</v>
      </c>
      <c r="F2227" s="21" t="s">
        <v>10338</v>
      </c>
      <c r="G2227" s="21" t="s">
        <v>9823</v>
      </c>
      <c r="H2227" s="21" t="s">
        <v>7869</v>
      </c>
    </row>
    <row r="2228" customFormat="false" ht="28.35" hidden="false" customHeight="false" outlineLevel="0" collapsed="false">
      <c r="B2228" s="19" t="s">
        <v>10393</v>
      </c>
      <c r="C2228" s="20" t="n">
        <f aca="false">ROUND(4.42/FX,2)</f>
        <v>0.61</v>
      </c>
      <c r="D2228" s="21" t="s">
        <v>8668</v>
      </c>
      <c r="E2228" s="21" t="s">
        <v>10204</v>
      </c>
      <c r="F2228" s="21" t="s">
        <v>10336</v>
      </c>
      <c r="G2228" s="21" t="s">
        <v>9823</v>
      </c>
      <c r="H2228" s="21" t="s">
        <v>7869</v>
      </c>
    </row>
    <row r="2229" customFormat="false" ht="28.35" hidden="false" customHeight="false" outlineLevel="0" collapsed="false">
      <c r="B2229" s="19" t="s">
        <v>10394</v>
      </c>
      <c r="C2229" s="20" t="n">
        <f aca="false">ROUND(4.29/FX,2)</f>
        <v>0.6</v>
      </c>
      <c r="D2229" s="21" t="s">
        <v>8668</v>
      </c>
      <c r="E2229" s="21" t="s">
        <v>10204</v>
      </c>
      <c r="F2229" s="21" t="s">
        <v>10338</v>
      </c>
      <c r="G2229" s="21" t="s">
        <v>9823</v>
      </c>
      <c r="H2229" s="21" t="s">
        <v>7869</v>
      </c>
    </row>
    <row r="2230" customFormat="false" ht="28.35" hidden="false" customHeight="false" outlineLevel="0" collapsed="false">
      <c r="B2230" s="19" t="s">
        <v>10395</v>
      </c>
      <c r="C2230" s="20" t="n">
        <f aca="false">ROUND(4.42/FX,2)</f>
        <v>0.61</v>
      </c>
      <c r="D2230" s="21" t="s">
        <v>8668</v>
      </c>
      <c r="E2230" s="21" t="s">
        <v>10204</v>
      </c>
      <c r="F2230" s="21" t="s">
        <v>10336</v>
      </c>
      <c r="G2230" s="21" t="s">
        <v>9823</v>
      </c>
      <c r="H2230" s="21" t="s">
        <v>7855</v>
      </c>
    </row>
    <row r="2231" customFormat="false" ht="28.35" hidden="false" customHeight="false" outlineLevel="0" collapsed="false">
      <c r="B2231" s="19" t="s">
        <v>10396</v>
      </c>
      <c r="C2231" s="20" t="n">
        <f aca="false">ROUND(4.29/FX,2)</f>
        <v>0.6</v>
      </c>
      <c r="D2231" s="21" t="s">
        <v>8668</v>
      </c>
      <c r="E2231" s="21" t="s">
        <v>10204</v>
      </c>
      <c r="F2231" s="21" t="s">
        <v>10338</v>
      </c>
      <c r="G2231" s="21" t="s">
        <v>9823</v>
      </c>
      <c r="H2231" s="21" t="s">
        <v>7855</v>
      </c>
    </row>
    <row r="2232" customFormat="false" ht="28.35" hidden="false" customHeight="false" outlineLevel="0" collapsed="false">
      <c r="B2232" s="19" t="s">
        <v>10397</v>
      </c>
      <c r="C2232" s="20" t="n">
        <f aca="false">ROUND(4.42/FX,2)</f>
        <v>0.61</v>
      </c>
      <c r="D2232" s="21" t="s">
        <v>8668</v>
      </c>
      <c r="E2232" s="21" t="s">
        <v>10204</v>
      </c>
      <c r="F2232" s="21" t="s">
        <v>10336</v>
      </c>
      <c r="G2232" s="21" t="s">
        <v>9823</v>
      </c>
      <c r="H2232" s="21" t="s">
        <v>8255</v>
      </c>
    </row>
    <row r="2233" customFormat="false" ht="28.35" hidden="false" customHeight="false" outlineLevel="0" collapsed="false">
      <c r="B2233" s="19" t="s">
        <v>10398</v>
      </c>
      <c r="C2233" s="20" t="n">
        <f aca="false">ROUND(4.29/FX,2)</f>
        <v>0.6</v>
      </c>
      <c r="D2233" s="21" t="s">
        <v>8668</v>
      </c>
      <c r="E2233" s="21" t="s">
        <v>10204</v>
      </c>
      <c r="F2233" s="21" t="s">
        <v>10338</v>
      </c>
      <c r="G2233" s="21" t="s">
        <v>9823</v>
      </c>
      <c r="H2233" s="21" t="s">
        <v>8255</v>
      </c>
    </row>
    <row r="2234" customFormat="false" ht="28.35" hidden="false" customHeight="false" outlineLevel="0" collapsed="false">
      <c r="B2234" s="19" t="s">
        <v>10399</v>
      </c>
      <c r="C2234" s="20" t="n">
        <f aca="false">ROUND(4.42/FX,2)</f>
        <v>0.61</v>
      </c>
      <c r="D2234" s="21" t="s">
        <v>8668</v>
      </c>
      <c r="E2234" s="21" t="s">
        <v>10204</v>
      </c>
      <c r="F2234" s="21" t="s">
        <v>10336</v>
      </c>
      <c r="G2234" s="21" t="s">
        <v>9823</v>
      </c>
      <c r="H2234" s="21" t="s">
        <v>7933</v>
      </c>
    </row>
    <row r="2235" customFormat="false" ht="28.35" hidden="false" customHeight="false" outlineLevel="0" collapsed="false">
      <c r="B2235" s="19" t="s">
        <v>10400</v>
      </c>
      <c r="C2235" s="20" t="n">
        <f aca="false">ROUND(4.29/FX,2)</f>
        <v>0.6</v>
      </c>
      <c r="D2235" s="21" t="s">
        <v>8668</v>
      </c>
      <c r="E2235" s="21" t="s">
        <v>10204</v>
      </c>
      <c r="F2235" s="21" t="s">
        <v>10338</v>
      </c>
      <c r="G2235" s="21" t="s">
        <v>9823</v>
      </c>
      <c r="H2235" s="21" t="s">
        <v>7933</v>
      </c>
    </row>
    <row r="2236" customFormat="false" ht="28.35" hidden="false" customHeight="false" outlineLevel="0" collapsed="false">
      <c r="B2236" s="19" t="s">
        <v>10401</v>
      </c>
      <c r="C2236" s="20" t="n">
        <f aca="false">ROUND(4.42/FX,2)</f>
        <v>0.61</v>
      </c>
      <c r="D2236" s="21" t="s">
        <v>8668</v>
      </c>
      <c r="E2236" s="21" t="s">
        <v>10204</v>
      </c>
      <c r="F2236" s="21" t="s">
        <v>10336</v>
      </c>
      <c r="G2236" s="21" t="s">
        <v>9823</v>
      </c>
      <c r="H2236" s="21" t="s">
        <v>10402</v>
      </c>
    </row>
    <row r="2237" customFormat="false" ht="28.35" hidden="false" customHeight="false" outlineLevel="0" collapsed="false">
      <c r="B2237" s="19" t="s">
        <v>10403</v>
      </c>
      <c r="C2237" s="20" t="n">
        <f aca="false">ROUND(4.29/FX,2)</f>
        <v>0.6</v>
      </c>
      <c r="D2237" s="21" t="s">
        <v>8668</v>
      </c>
      <c r="E2237" s="21" t="s">
        <v>10204</v>
      </c>
      <c r="F2237" s="21" t="s">
        <v>10338</v>
      </c>
      <c r="G2237" s="21" t="s">
        <v>9823</v>
      </c>
      <c r="H2237" s="21" t="s">
        <v>10402</v>
      </c>
    </row>
    <row r="2238" customFormat="false" ht="28.35" hidden="false" customHeight="false" outlineLevel="0" collapsed="false">
      <c r="B2238" s="19" t="s">
        <v>10404</v>
      </c>
      <c r="C2238" s="20" t="n">
        <f aca="false">ROUND(4.42/FX,2)</f>
        <v>0.61</v>
      </c>
      <c r="D2238" s="21" t="s">
        <v>8668</v>
      </c>
      <c r="E2238" s="21" t="s">
        <v>10204</v>
      </c>
      <c r="F2238" s="21" t="s">
        <v>10336</v>
      </c>
      <c r="G2238" s="21" t="s">
        <v>9823</v>
      </c>
      <c r="H2238" s="21" t="s">
        <v>10405</v>
      </c>
    </row>
    <row r="2239" customFormat="false" ht="28.35" hidden="false" customHeight="false" outlineLevel="0" collapsed="false">
      <c r="B2239" s="19" t="s">
        <v>10406</v>
      </c>
      <c r="C2239" s="20" t="n">
        <f aca="false">ROUND(4.29/FX,2)</f>
        <v>0.6</v>
      </c>
      <c r="D2239" s="21" t="s">
        <v>8668</v>
      </c>
      <c r="E2239" s="21" t="s">
        <v>10204</v>
      </c>
      <c r="F2239" s="21" t="s">
        <v>10338</v>
      </c>
      <c r="G2239" s="21" t="s">
        <v>9823</v>
      </c>
      <c r="H2239" s="21" t="s">
        <v>10405</v>
      </c>
    </row>
    <row r="2240" customFormat="false" ht="28.35" hidden="false" customHeight="false" outlineLevel="0" collapsed="false">
      <c r="B2240" s="19" t="s">
        <v>10407</v>
      </c>
      <c r="C2240" s="20" t="n">
        <f aca="false">ROUND(4.42/FX,2)</f>
        <v>0.61</v>
      </c>
      <c r="D2240" s="21" t="s">
        <v>8668</v>
      </c>
      <c r="E2240" s="21" t="s">
        <v>10204</v>
      </c>
      <c r="F2240" s="21" t="s">
        <v>10336</v>
      </c>
      <c r="G2240" s="21" t="s">
        <v>9823</v>
      </c>
      <c r="H2240" s="21" t="s">
        <v>10408</v>
      </c>
    </row>
    <row r="2241" customFormat="false" ht="28.35" hidden="false" customHeight="false" outlineLevel="0" collapsed="false">
      <c r="B2241" s="19" t="s">
        <v>10409</v>
      </c>
      <c r="C2241" s="20" t="n">
        <f aca="false">ROUND(4.29/FX,2)</f>
        <v>0.6</v>
      </c>
      <c r="D2241" s="21" t="s">
        <v>8668</v>
      </c>
      <c r="E2241" s="21" t="s">
        <v>10204</v>
      </c>
      <c r="F2241" s="21" t="s">
        <v>10338</v>
      </c>
      <c r="G2241" s="21" t="s">
        <v>9823</v>
      </c>
      <c r="H2241" s="21" t="s">
        <v>10408</v>
      </c>
    </row>
    <row r="2242" customFormat="false" ht="28.35" hidden="false" customHeight="false" outlineLevel="0" collapsed="false">
      <c r="B2242" s="19" t="s">
        <v>10410</v>
      </c>
      <c r="C2242" s="20" t="n">
        <f aca="false">ROUND(4.42/FX,2)</f>
        <v>0.61</v>
      </c>
      <c r="D2242" s="21" t="s">
        <v>8668</v>
      </c>
      <c r="E2242" s="21" t="s">
        <v>10204</v>
      </c>
      <c r="F2242" s="21" t="s">
        <v>10336</v>
      </c>
      <c r="G2242" s="21" t="s">
        <v>9823</v>
      </c>
      <c r="H2242" s="21" t="s">
        <v>10411</v>
      </c>
    </row>
    <row r="2243" customFormat="false" ht="28.35" hidden="false" customHeight="false" outlineLevel="0" collapsed="false">
      <c r="B2243" s="19" t="s">
        <v>10412</v>
      </c>
      <c r="C2243" s="20" t="n">
        <f aca="false">ROUND(4.29/FX,2)</f>
        <v>0.6</v>
      </c>
      <c r="D2243" s="21" t="s">
        <v>8668</v>
      </c>
      <c r="E2243" s="21" t="s">
        <v>10204</v>
      </c>
      <c r="F2243" s="21" t="s">
        <v>10338</v>
      </c>
      <c r="G2243" s="21" t="s">
        <v>9823</v>
      </c>
      <c r="H2243" s="21" t="s">
        <v>10411</v>
      </c>
    </row>
    <row r="2244" customFormat="false" ht="28.35" hidden="false" customHeight="false" outlineLevel="0" collapsed="false">
      <c r="B2244" s="19" t="s">
        <v>10413</v>
      </c>
      <c r="C2244" s="20" t="n">
        <f aca="false">ROUND(4.42/FX,2)</f>
        <v>0.61</v>
      </c>
      <c r="D2244" s="21" t="s">
        <v>8668</v>
      </c>
      <c r="E2244" s="21" t="s">
        <v>10204</v>
      </c>
      <c r="F2244" s="21" t="s">
        <v>10336</v>
      </c>
      <c r="G2244" s="21" t="s">
        <v>9823</v>
      </c>
      <c r="H2244" s="21" t="s">
        <v>10414</v>
      </c>
    </row>
    <row r="2245" customFormat="false" ht="28.35" hidden="false" customHeight="false" outlineLevel="0" collapsed="false">
      <c r="B2245" s="19" t="s">
        <v>10415</v>
      </c>
      <c r="C2245" s="20" t="n">
        <f aca="false">ROUND(4.29/FX,2)</f>
        <v>0.6</v>
      </c>
      <c r="D2245" s="21" t="s">
        <v>8668</v>
      </c>
      <c r="E2245" s="21" t="s">
        <v>10204</v>
      </c>
      <c r="F2245" s="21" t="s">
        <v>10338</v>
      </c>
      <c r="G2245" s="21" t="s">
        <v>9823</v>
      </c>
      <c r="H2245" s="21" t="s">
        <v>10414</v>
      </c>
    </row>
    <row r="2246" customFormat="false" ht="28.35" hidden="false" customHeight="false" outlineLevel="0" collapsed="false">
      <c r="B2246" s="19" t="s">
        <v>10416</v>
      </c>
      <c r="C2246" s="20" t="n">
        <f aca="false">ROUND(2.73/FX,2)</f>
        <v>0.38</v>
      </c>
      <c r="D2246" s="21" t="s">
        <v>8668</v>
      </c>
      <c r="E2246" s="21" t="s">
        <v>10335</v>
      </c>
      <c r="F2246" s="21" t="s">
        <v>10336</v>
      </c>
      <c r="G2246" s="21" t="s">
        <v>9823</v>
      </c>
      <c r="H2246" s="21" t="s">
        <v>7829</v>
      </c>
    </row>
    <row r="2247" customFormat="false" ht="28.35" hidden="false" customHeight="false" outlineLevel="0" collapsed="false">
      <c r="B2247" s="19" t="s">
        <v>10417</v>
      </c>
      <c r="C2247" s="20" t="n">
        <f aca="false">ROUND(2.6/FX,2)</f>
        <v>0.36</v>
      </c>
      <c r="D2247" s="21" t="s">
        <v>8668</v>
      </c>
      <c r="E2247" s="21" t="s">
        <v>10335</v>
      </c>
      <c r="F2247" s="21" t="s">
        <v>10338</v>
      </c>
      <c r="G2247" s="21" t="s">
        <v>9823</v>
      </c>
      <c r="H2247" s="21" t="s">
        <v>7829</v>
      </c>
    </row>
    <row r="2248" customFormat="false" ht="28.35" hidden="false" customHeight="false" outlineLevel="0" collapsed="false">
      <c r="B2248" s="19" t="s">
        <v>10418</v>
      </c>
      <c r="C2248" s="20" t="n">
        <f aca="false">ROUND(3.77/FX,2)</f>
        <v>0.52</v>
      </c>
      <c r="D2248" s="21" t="s">
        <v>8668</v>
      </c>
      <c r="E2248" s="21" t="s">
        <v>10204</v>
      </c>
      <c r="F2248" s="21" t="s">
        <v>10336</v>
      </c>
      <c r="G2248" s="21" t="s">
        <v>9823</v>
      </c>
      <c r="H2248" s="21" t="s">
        <v>7829</v>
      </c>
    </row>
    <row r="2249" customFormat="false" ht="28.35" hidden="false" customHeight="false" outlineLevel="0" collapsed="false">
      <c r="B2249" s="19" t="s">
        <v>10419</v>
      </c>
      <c r="C2249" s="20" t="n">
        <f aca="false">ROUND(3.64/FX,2)</f>
        <v>0.51</v>
      </c>
      <c r="D2249" s="21" t="s">
        <v>8668</v>
      </c>
      <c r="E2249" s="21" t="s">
        <v>10204</v>
      </c>
      <c r="F2249" s="21" t="s">
        <v>10338</v>
      </c>
      <c r="G2249" s="21" t="s">
        <v>9823</v>
      </c>
      <c r="H2249" s="21" t="s">
        <v>7829</v>
      </c>
    </row>
    <row r="2250" customFormat="false" ht="28.35" hidden="false" customHeight="false" outlineLevel="0" collapsed="false">
      <c r="B2250" s="19" t="s">
        <v>10420</v>
      </c>
      <c r="C2250" s="20" t="n">
        <f aca="false">ROUND(4.42/FX,2)</f>
        <v>0.61</v>
      </c>
      <c r="D2250" s="21" t="s">
        <v>8668</v>
      </c>
      <c r="E2250" s="21" t="s">
        <v>10204</v>
      </c>
      <c r="F2250" s="21" t="s">
        <v>10336</v>
      </c>
      <c r="G2250" s="21" t="s">
        <v>9823</v>
      </c>
      <c r="H2250" s="21" t="s">
        <v>10421</v>
      </c>
    </row>
    <row r="2251" customFormat="false" ht="28.35" hidden="false" customHeight="false" outlineLevel="0" collapsed="false">
      <c r="B2251" s="19" t="s">
        <v>10422</v>
      </c>
      <c r="C2251" s="20" t="n">
        <f aca="false">ROUND(4.29/FX,2)</f>
        <v>0.6</v>
      </c>
      <c r="D2251" s="21" t="s">
        <v>8668</v>
      </c>
      <c r="E2251" s="21" t="s">
        <v>10204</v>
      </c>
      <c r="F2251" s="21" t="s">
        <v>10338</v>
      </c>
      <c r="G2251" s="21" t="s">
        <v>9823</v>
      </c>
      <c r="H2251" s="21" t="s">
        <v>10421</v>
      </c>
    </row>
    <row r="2252" customFormat="false" ht="28.35" hidden="false" customHeight="false" outlineLevel="0" collapsed="false">
      <c r="B2252" s="19" t="s">
        <v>10423</v>
      </c>
      <c r="C2252" s="20" t="n">
        <f aca="false">ROUND(2.73/FX,2)</f>
        <v>0.38</v>
      </c>
      <c r="D2252" s="21" t="s">
        <v>8668</v>
      </c>
      <c r="E2252" s="21" t="s">
        <v>10335</v>
      </c>
      <c r="F2252" s="21" t="s">
        <v>10336</v>
      </c>
      <c r="G2252" s="21" t="s">
        <v>9823</v>
      </c>
      <c r="H2252" s="21" t="s">
        <v>7831</v>
      </c>
    </row>
    <row r="2253" customFormat="false" ht="28.35" hidden="false" customHeight="false" outlineLevel="0" collapsed="false">
      <c r="B2253" s="19" t="s">
        <v>10424</v>
      </c>
      <c r="C2253" s="20" t="n">
        <f aca="false">ROUND(2.6/FX,2)</f>
        <v>0.36</v>
      </c>
      <c r="D2253" s="21" t="s">
        <v>8668</v>
      </c>
      <c r="E2253" s="21" t="s">
        <v>10335</v>
      </c>
      <c r="F2253" s="21" t="s">
        <v>10338</v>
      </c>
      <c r="G2253" s="21" t="s">
        <v>9823</v>
      </c>
      <c r="H2253" s="21" t="s">
        <v>7831</v>
      </c>
    </row>
    <row r="2254" customFormat="false" ht="28.35" hidden="false" customHeight="false" outlineLevel="0" collapsed="false">
      <c r="B2254" s="19" t="s">
        <v>10425</v>
      </c>
      <c r="C2254" s="20" t="n">
        <f aca="false">ROUND(3.77/FX,2)</f>
        <v>0.52</v>
      </c>
      <c r="D2254" s="21" t="s">
        <v>8668</v>
      </c>
      <c r="E2254" s="21" t="s">
        <v>10204</v>
      </c>
      <c r="F2254" s="21" t="s">
        <v>10336</v>
      </c>
      <c r="G2254" s="21" t="s">
        <v>9823</v>
      </c>
      <c r="H2254" s="21" t="s">
        <v>7831</v>
      </c>
    </row>
    <row r="2255" customFormat="false" ht="28.35" hidden="false" customHeight="false" outlineLevel="0" collapsed="false">
      <c r="B2255" s="19" t="s">
        <v>10426</v>
      </c>
      <c r="C2255" s="20" t="n">
        <f aca="false">ROUND(3.64/FX,2)</f>
        <v>0.51</v>
      </c>
      <c r="D2255" s="21" t="s">
        <v>8668</v>
      </c>
      <c r="E2255" s="21" t="s">
        <v>10204</v>
      </c>
      <c r="F2255" s="21" t="s">
        <v>10338</v>
      </c>
      <c r="G2255" s="21" t="s">
        <v>9823</v>
      </c>
      <c r="H2255" s="21" t="s">
        <v>7831</v>
      </c>
    </row>
    <row r="2256" customFormat="false" ht="28.35" hidden="false" customHeight="false" outlineLevel="0" collapsed="false">
      <c r="B2256" s="19" t="s">
        <v>10427</v>
      </c>
      <c r="C2256" s="20" t="n">
        <f aca="false">ROUND(3.77/FX,2)</f>
        <v>0.52</v>
      </c>
      <c r="D2256" s="21" t="s">
        <v>8668</v>
      </c>
      <c r="E2256" s="21" t="s">
        <v>10204</v>
      </c>
      <c r="F2256" s="21" t="s">
        <v>10336</v>
      </c>
      <c r="G2256" s="21" t="s">
        <v>9823</v>
      </c>
      <c r="H2256" s="21" t="s">
        <v>7944</v>
      </c>
    </row>
    <row r="2257" customFormat="false" ht="28.35" hidden="false" customHeight="false" outlineLevel="0" collapsed="false">
      <c r="B2257" s="19" t="s">
        <v>10428</v>
      </c>
      <c r="C2257" s="20" t="n">
        <f aca="false">ROUND(3.64/FX,2)</f>
        <v>0.51</v>
      </c>
      <c r="D2257" s="21" t="s">
        <v>8668</v>
      </c>
      <c r="E2257" s="21" t="s">
        <v>10204</v>
      </c>
      <c r="F2257" s="21" t="s">
        <v>10338</v>
      </c>
      <c r="G2257" s="21" t="s">
        <v>9823</v>
      </c>
      <c r="H2257" s="21" t="s">
        <v>7944</v>
      </c>
    </row>
    <row r="2258" customFormat="false" ht="28.35" hidden="false" customHeight="false" outlineLevel="0" collapsed="false">
      <c r="B2258" s="19" t="s">
        <v>10429</v>
      </c>
      <c r="C2258" s="20" t="n">
        <f aca="false">ROUND(4.42/FX,2)</f>
        <v>0.61</v>
      </c>
      <c r="D2258" s="21" t="s">
        <v>8668</v>
      </c>
      <c r="E2258" s="21" t="s">
        <v>10204</v>
      </c>
      <c r="F2258" s="21" t="s">
        <v>10336</v>
      </c>
      <c r="G2258" s="21" t="s">
        <v>9823</v>
      </c>
      <c r="H2258" s="21" t="s">
        <v>7946</v>
      </c>
    </row>
    <row r="2259" customFormat="false" ht="28.35" hidden="false" customHeight="false" outlineLevel="0" collapsed="false">
      <c r="B2259" s="19" t="s">
        <v>10430</v>
      </c>
      <c r="C2259" s="20" t="n">
        <f aca="false">ROUND(4.29/FX,2)</f>
        <v>0.6</v>
      </c>
      <c r="D2259" s="21" t="s">
        <v>8668</v>
      </c>
      <c r="E2259" s="21" t="s">
        <v>10204</v>
      </c>
      <c r="F2259" s="21" t="s">
        <v>10338</v>
      </c>
      <c r="G2259" s="21" t="s">
        <v>9823</v>
      </c>
      <c r="H2259" s="21" t="s">
        <v>7946</v>
      </c>
    </row>
    <row r="2260" customFormat="false" ht="28.35" hidden="false" customHeight="false" outlineLevel="0" collapsed="false">
      <c r="B2260" s="19" t="s">
        <v>10431</v>
      </c>
      <c r="C2260" s="20" t="n">
        <f aca="false">ROUND(2.73/FX,2)</f>
        <v>0.38</v>
      </c>
      <c r="D2260" s="21" t="s">
        <v>8668</v>
      </c>
      <c r="E2260" s="21" t="s">
        <v>10335</v>
      </c>
      <c r="F2260" s="21" t="s">
        <v>10336</v>
      </c>
      <c r="G2260" s="21" t="s">
        <v>9823</v>
      </c>
      <c r="H2260" s="21" t="s">
        <v>7833</v>
      </c>
    </row>
    <row r="2261" customFormat="false" ht="28.35" hidden="false" customHeight="false" outlineLevel="0" collapsed="false">
      <c r="B2261" s="19" t="s">
        <v>10432</v>
      </c>
      <c r="C2261" s="20" t="n">
        <f aca="false">ROUND(2.6/FX,2)</f>
        <v>0.36</v>
      </c>
      <c r="D2261" s="21" t="s">
        <v>8668</v>
      </c>
      <c r="E2261" s="21" t="s">
        <v>10335</v>
      </c>
      <c r="F2261" s="21" t="s">
        <v>10338</v>
      </c>
      <c r="G2261" s="21" t="s">
        <v>9823</v>
      </c>
      <c r="H2261" s="21" t="s">
        <v>7833</v>
      </c>
    </row>
    <row r="2262" customFormat="false" ht="28.35" hidden="false" customHeight="false" outlineLevel="0" collapsed="false">
      <c r="B2262" s="19" t="s">
        <v>10433</v>
      </c>
      <c r="C2262" s="20" t="n">
        <f aca="false">ROUND(3.77/FX,2)</f>
        <v>0.52</v>
      </c>
      <c r="D2262" s="21" t="s">
        <v>8668</v>
      </c>
      <c r="E2262" s="21" t="s">
        <v>10204</v>
      </c>
      <c r="F2262" s="21" t="s">
        <v>10336</v>
      </c>
      <c r="G2262" s="21" t="s">
        <v>9823</v>
      </c>
      <c r="H2262" s="21" t="s">
        <v>7833</v>
      </c>
    </row>
    <row r="2263" customFormat="false" ht="28.35" hidden="false" customHeight="false" outlineLevel="0" collapsed="false">
      <c r="B2263" s="19" t="s">
        <v>10434</v>
      </c>
      <c r="C2263" s="20" t="n">
        <f aca="false">ROUND(3.64/FX,2)</f>
        <v>0.51</v>
      </c>
      <c r="D2263" s="21" t="s">
        <v>8668</v>
      </c>
      <c r="E2263" s="21" t="s">
        <v>10204</v>
      </c>
      <c r="F2263" s="21" t="s">
        <v>10338</v>
      </c>
      <c r="G2263" s="21" t="s">
        <v>9823</v>
      </c>
      <c r="H2263" s="21" t="s">
        <v>7833</v>
      </c>
    </row>
    <row r="2264" customFormat="false" ht="28.35" hidden="false" customHeight="false" outlineLevel="0" collapsed="false">
      <c r="B2264" s="19" t="s">
        <v>10435</v>
      </c>
      <c r="C2264" s="20" t="n">
        <f aca="false">ROUND(3.77/FX,2)</f>
        <v>0.52</v>
      </c>
      <c r="D2264" s="21" t="s">
        <v>8668</v>
      </c>
      <c r="E2264" s="21" t="s">
        <v>10204</v>
      </c>
      <c r="F2264" s="21" t="s">
        <v>10336</v>
      </c>
      <c r="G2264" s="21" t="s">
        <v>9823</v>
      </c>
      <c r="H2264" s="21" t="s">
        <v>7860</v>
      </c>
    </row>
    <row r="2265" customFormat="false" ht="28.35" hidden="false" customHeight="false" outlineLevel="0" collapsed="false">
      <c r="B2265" s="19" t="s">
        <v>10436</v>
      </c>
      <c r="C2265" s="20" t="n">
        <f aca="false">ROUND(3.64/FX,2)</f>
        <v>0.51</v>
      </c>
      <c r="D2265" s="21" t="s">
        <v>8668</v>
      </c>
      <c r="E2265" s="21" t="s">
        <v>10204</v>
      </c>
      <c r="F2265" s="21" t="s">
        <v>10338</v>
      </c>
      <c r="G2265" s="21" t="s">
        <v>9823</v>
      </c>
      <c r="H2265" s="21" t="s">
        <v>7860</v>
      </c>
    </row>
    <row r="2266" customFormat="false" ht="28.35" hidden="false" customHeight="false" outlineLevel="0" collapsed="false">
      <c r="B2266" s="19" t="s">
        <v>10437</v>
      </c>
      <c r="C2266" s="20" t="n">
        <f aca="false">ROUND(4.42/FX,2)</f>
        <v>0.61</v>
      </c>
      <c r="D2266" s="21" t="s">
        <v>8668</v>
      </c>
      <c r="E2266" s="21" t="s">
        <v>10204</v>
      </c>
      <c r="F2266" s="21" t="s">
        <v>10336</v>
      </c>
      <c r="G2266" s="21" t="s">
        <v>9823</v>
      </c>
      <c r="H2266" s="21" t="s">
        <v>8310</v>
      </c>
    </row>
    <row r="2267" customFormat="false" ht="28.35" hidden="false" customHeight="false" outlineLevel="0" collapsed="false">
      <c r="B2267" s="19" t="s">
        <v>10438</v>
      </c>
      <c r="C2267" s="20" t="n">
        <f aca="false">ROUND(4.29/FX,2)</f>
        <v>0.6</v>
      </c>
      <c r="D2267" s="21" t="s">
        <v>8668</v>
      </c>
      <c r="E2267" s="21" t="s">
        <v>10204</v>
      </c>
      <c r="F2267" s="21" t="s">
        <v>10338</v>
      </c>
      <c r="G2267" s="21" t="s">
        <v>9823</v>
      </c>
      <c r="H2267" s="21" t="s">
        <v>8310</v>
      </c>
    </row>
    <row r="2268" customFormat="false" ht="28.35" hidden="false" customHeight="false" outlineLevel="0" collapsed="false">
      <c r="B2268" s="19" t="s">
        <v>10439</v>
      </c>
      <c r="C2268" s="20" t="n">
        <f aca="false">ROUND(3.77/FX,2)</f>
        <v>0.52</v>
      </c>
      <c r="D2268" s="21" t="s">
        <v>8668</v>
      </c>
      <c r="E2268" s="21" t="s">
        <v>10204</v>
      </c>
      <c r="F2268" s="21" t="s">
        <v>10336</v>
      </c>
      <c r="G2268" s="21" t="s">
        <v>9823</v>
      </c>
      <c r="H2268" s="21" t="s">
        <v>7893</v>
      </c>
    </row>
    <row r="2269" customFormat="false" ht="28.35" hidden="false" customHeight="false" outlineLevel="0" collapsed="false">
      <c r="B2269" s="19" t="s">
        <v>10440</v>
      </c>
      <c r="C2269" s="20" t="n">
        <f aca="false">ROUND(3.64/FX,2)</f>
        <v>0.51</v>
      </c>
      <c r="D2269" s="21" t="s">
        <v>8668</v>
      </c>
      <c r="E2269" s="21" t="s">
        <v>10204</v>
      </c>
      <c r="F2269" s="21" t="s">
        <v>10338</v>
      </c>
      <c r="G2269" s="21" t="s">
        <v>9823</v>
      </c>
      <c r="H2269" s="21" t="s">
        <v>7893</v>
      </c>
    </row>
    <row r="2270" customFormat="false" ht="28.35" hidden="false" customHeight="false" outlineLevel="0" collapsed="false">
      <c r="B2270" s="19" t="s">
        <v>10441</v>
      </c>
      <c r="C2270" s="20" t="n">
        <f aca="false">ROUND(2.73/FX,2)</f>
        <v>0.38</v>
      </c>
      <c r="D2270" s="21" t="s">
        <v>8668</v>
      </c>
      <c r="E2270" s="21" t="s">
        <v>10335</v>
      </c>
      <c r="F2270" s="21" t="s">
        <v>10336</v>
      </c>
      <c r="G2270" s="21" t="s">
        <v>9823</v>
      </c>
      <c r="H2270" s="21" t="s">
        <v>7862</v>
      </c>
    </row>
    <row r="2271" customFormat="false" ht="28.35" hidden="false" customHeight="false" outlineLevel="0" collapsed="false">
      <c r="B2271" s="19" t="s">
        <v>10442</v>
      </c>
      <c r="C2271" s="20" t="n">
        <f aca="false">ROUND(2.6/FX,2)</f>
        <v>0.36</v>
      </c>
      <c r="D2271" s="21" t="s">
        <v>8668</v>
      </c>
      <c r="E2271" s="21" t="s">
        <v>10335</v>
      </c>
      <c r="F2271" s="21" t="s">
        <v>10338</v>
      </c>
      <c r="G2271" s="21" t="s">
        <v>9823</v>
      </c>
      <c r="H2271" s="21" t="s">
        <v>7862</v>
      </c>
    </row>
    <row r="2272" customFormat="false" ht="28.35" hidden="false" customHeight="false" outlineLevel="0" collapsed="false">
      <c r="B2272" s="19" t="s">
        <v>10443</v>
      </c>
      <c r="C2272" s="20" t="n">
        <f aca="false">ROUND(3.77/FX,2)</f>
        <v>0.52</v>
      </c>
      <c r="D2272" s="21" t="s">
        <v>8668</v>
      </c>
      <c r="E2272" s="21" t="s">
        <v>10204</v>
      </c>
      <c r="F2272" s="21" t="s">
        <v>10336</v>
      </c>
      <c r="G2272" s="21" t="s">
        <v>9823</v>
      </c>
      <c r="H2272" s="21" t="s">
        <v>7862</v>
      </c>
    </row>
    <row r="2273" customFormat="false" ht="28.35" hidden="false" customHeight="false" outlineLevel="0" collapsed="false">
      <c r="B2273" s="19" t="s">
        <v>10444</v>
      </c>
      <c r="C2273" s="20" t="n">
        <f aca="false">ROUND(3.64/FX,2)</f>
        <v>0.51</v>
      </c>
      <c r="D2273" s="21" t="s">
        <v>8668</v>
      </c>
      <c r="E2273" s="21" t="s">
        <v>10204</v>
      </c>
      <c r="F2273" s="21" t="s">
        <v>10338</v>
      </c>
      <c r="G2273" s="21" t="s">
        <v>9823</v>
      </c>
      <c r="H2273" s="21" t="s">
        <v>7862</v>
      </c>
    </row>
    <row r="2274" customFormat="false" ht="28.35" hidden="false" customHeight="false" outlineLevel="0" collapsed="false">
      <c r="B2274" s="19" t="s">
        <v>10445</v>
      </c>
      <c r="C2274" s="20" t="n">
        <f aca="false">ROUND(3.77/FX,2)</f>
        <v>0.52</v>
      </c>
      <c r="D2274" s="21" t="s">
        <v>8668</v>
      </c>
      <c r="E2274" s="21" t="s">
        <v>10204</v>
      </c>
      <c r="F2274" s="21" t="s">
        <v>10336</v>
      </c>
      <c r="G2274" s="21" t="s">
        <v>9823</v>
      </c>
      <c r="H2274" s="21" t="s">
        <v>7864</v>
      </c>
    </row>
    <row r="2275" customFormat="false" ht="28.35" hidden="false" customHeight="false" outlineLevel="0" collapsed="false">
      <c r="B2275" s="19" t="s">
        <v>10446</v>
      </c>
      <c r="C2275" s="20" t="n">
        <f aca="false">ROUND(3.64/FX,2)</f>
        <v>0.51</v>
      </c>
      <c r="D2275" s="21" t="s">
        <v>8668</v>
      </c>
      <c r="E2275" s="21" t="s">
        <v>10204</v>
      </c>
      <c r="F2275" s="21" t="s">
        <v>10338</v>
      </c>
      <c r="G2275" s="21" t="s">
        <v>9823</v>
      </c>
      <c r="H2275" s="21" t="s">
        <v>7864</v>
      </c>
    </row>
    <row r="2276" customFormat="false" ht="28.35" hidden="false" customHeight="false" outlineLevel="0" collapsed="false">
      <c r="B2276" s="19" t="s">
        <v>10447</v>
      </c>
      <c r="C2276" s="20" t="n">
        <f aca="false">ROUND(4.42/FX,2)</f>
        <v>0.61</v>
      </c>
      <c r="D2276" s="21" t="s">
        <v>8668</v>
      </c>
      <c r="E2276" s="21" t="s">
        <v>10204</v>
      </c>
      <c r="F2276" s="21" t="s">
        <v>10336</v>
      </c>
      <c r="G2276" s="21" t="s">
        <v>9823</v>
      </c>
      <c r="H2276" s="21" t="s">
        <v>7961</v>
      </c>
    </row>
    <row r="2277" customFormat="false" ht="28.35" hidden="false" customHeight="false" outlineLevel="0" collapsed="false">
      <c r="B2277" s="19" t="s">
        <v>10448</v>
      </c>
      <c r="C2277" s="20" t="n">
        <f aca="false">ROUND(4.29/FX,2)</f>
        <v>0.6</v>
      </c>
      <c r="D2277" s="21" t="s">
        <v>8668</v>
      </c>
      <c r="E2277" s="21" t="s">
        <v>10204</v>
      </c>
      <c r="F2277" s="21" t="s">
        <v>10338</v>
      </c>
      <c r="G2277" s="21" t="s">
        <v>9823</v>
      </c>
      <c r="H2277" s="21" t="s">
        <v>7961</v>
      </c>
    </row>
    <row r="2278" customFormat="false" ht="28.35" hidden="false" customHeight="false" outlineLevel="0" collapsed="false">
      <c r="B2278" s="19" t="s">
        <v>10449</v>
      </c>
      <c r="C2278" s="20" t="n">
        <f aca="false">ROUND(2.73/FX,2)</f>
        <v>0.38</v>
      </c>
      <c r="D2278" s="21" t="s">
        <v>8668</v>
      </c>
      <c r="E2278" s="21" t="s">
        <v>10335</v>
      </c>
      <c r="F2278" s="21" t="s">
        <v>10336</v>
      </c>
      <c r="G2278" s="21" t="s">
        <v>9823</v>
      </c>
      <c r="H2278" s="21" t="s">
        <v>7872</v>
      </c>
    </row>
    <row r="2279" customFormat="false" ht="28.35" hidden="false" customHeight="false" outlineLevel="0" collapsed="false">
      <c r="B2279" s="19" t="s">
        <v>10450</v>
      </c>
      <c r="C2279" s="20" t="n">
        <f aca="false">ROUND(2.6/FX,2)</f>
        <v>0.36</v>
      </c>
      <c r="D2279" s="21" t="s">
        <v>8668</v>
      </c>
      <c r="E2279" s="21" t="s">
        <v>10335</v>
      </c>
      <c r="F2279" s="21" t="s">
        <v>10338</v>
      </c>
      <c r="G2279" s="21" t="s">
        <v>9823</v>
      </c>
      <c r="H2279" s="21" t="s">
        <v>7872</v>
      </c>
    </row>
    <row r="2280" customFormat="false" ht="28.35" hidden="false" customHeight="false" outlineLevel="0" collapsed="false">
      <c r="B2280" s="19" t="s">
        <v>10451</v>
      </c>
      <c r="C2280" s="20" t="n">
        <f aca="false">ROUND(3.77/FX,2)</f>
        <v>0.52</v>
      </c>
      <c r="D2280" s="21" t="s">
        <v>8668</v>
      </c>
      <c r="E2280" s="21" t="s">
        <v>10204</v>
      </c>
      <c r="F2280" s="21" t="s">
        <v>10336</v>
      </c>
      <c r="G2280" s="21" t="s">
        <v>9823</v>
      </c>
      <c r="H2280" s="21" t="s">
        <v>7872</v>
      </c>
    </row>
    <row r="2281" customFormat="false" ht="28.35" hidden="false" customHeight="false" outlineLevel="0" collapsed="false">
      <c r="B2281" s="19" t="s">
        <v>10452</v>
      </c>
      <c r="C2281" s="20" t="n">
        <f aca="false">ROUND(3.64/FX,2)</f>
        <v>0.51</v>
      </c>
      <c r="D2281" s="21" t="s">
        <v>8668</v>
      </c>
      <c r="E2281" s="21" t="s">
        <v>10204</v>
      </c>
      <c r="F2281" s="21" t="s">
        <v>10338</v>
      </c>
      <c r="G2281" s="21" t="s">
        <v>9823</v>
      </c>
      <c r="H2281" s="21" t="s">
        <v>7872</v>
      </c>
    </row>
    <row r="2282" customFormat="false" ht="28.35" hidden="false" customHeight="false" outlineLevel="0" collapsed="false">
      <c r="B2282" s="19" t="s">
        <v>10453</v>
      </c>
      <c r="C2282" s="20" t="n">
        <f aca="false">ROUND(4.42/FX,2)</f>
        <v>0.61</v>
      </c>
      <c r="D2282" s="21" t="s">
        <v>8668</v>
      </c>
      <c r="E2282" s="21" t="s">
        <v>10204</v>
      </c>
      <c r="F2282" s="21" t="s">
        <v>10336</v>
      </c>
      <c r="G2282" s="21" t="s">
        <v>9823</v>
      </c>
      <c r="H2282" s="21" t="s">
        <v>7968</v>
      </c>
    </row>
    <row r="2283" customFormat="false" ht="28.35" hidden="false" customHeight="false" outlineLevel="0" collapsed="false">
      <c r="B2283" s="19" t="s">
        <v>10454</v>
      </c>
      <c r="C2283" s="20" t="n">
        <f aca="false">ROUND(4.29/FX,2)</f>
        <v>0.6</v>
      </c>
      <c r="D2283" s="21" t="s">
        <v>8668</v>
      </c>
      <c r="E2283" s="21" t="s">
        <v>10204</v>
      </c>
      <c r="F2283" s="21" t="s">
        <v>10338</v>
      </c>
      <c r="G2283" s="21" t="s">
        <v>9823</v>
      </c>
      <c r="H2283" s="21" t="s">
        <v>7968</v>
      </c>
    </row>
    <row r="2284" customFormat="false" ht="28.35" hidden="false" customHeight="false" outlineLevel="0" collapsed="false">
      <c r="B2284" s="19" t="s">
        <v>10455</v>
      </c>
      <c r="C2284" s="20" t="n">
        <f aca="false">ROUND(4.42/FX,2)</f>
        <v>0.61</v>
      </c>
      <c r="D2284" s="21" t="s">
        <v>8668</v>
      </c>
      <c r="E2284" s="21" t="s">
        <v>10204</v>
      </c>
      <c r="F2284" s="21" t="s">
        <v>10336</v>
      </c>
      <c r="G2284" s="21" t="s">
        <v>9823</v>
      </c>
      <c r="H2284" s="21" t="s">
        <v>8379</v>
      </c>
    </row>
    <row r="2285" customFormat="false" ht="28.35" hidden="false" customHeight="false" outlineLevel="0" collapsed="false">
      <c r="B2285" s="19" t="s">
        <v>10456</v>
      </c>
      <c r="C2285" s="20" t="n">
        <f aca="false">ROUND(4.29/FX,2)</f>
        <v>0.6</v>
      </c>
      <c r="D2285" s="21" t="s">
        <v>8668</v>
      </c>
      <c r="E2285" s="21" t="s">
        <v>10204</v>
      </c>
      <c r="F2285" s="21" t="s">
        <v>10338</v>
      </c>
      <c r="G2285" s="21" t="s">
        <v>9823</v>
      </c>
      <c r="H2285" s="21" t="s">
        <v>8379</v>
      </c>
    </row>
    <row r="2286" customFormat="false" ht="28.35" hidden="false" customHeight="false" outlineLevel="0" collapsed="false">
      <c r="B2286" s="19" t="s">
        <v>10457</v>
      </c>
      <c r="C2286" s="20" t="n">
        <f aca="false">ROUND(1.69/FX,2)</f>
        <v>0.23</v>
      </c>
      <c r="D2286" s="21" t="s">
        <v>8668</v>
      </c>
      <c r="E2286" s="21" t="s">
        <v>10335</v>
      </c>
      <c r="F2286" s="21" t="s">
        <v>10205</v>
      </c>
      <c r="G2286" s="21" t="s">
        <v>9823</v>
      </c>
      <c r="H2286" s="21" t="s">
        <v>7866</v>
      </c>
    </row>
    <row r="2287" customFormat="false" ht="28.35" hidden="false" customHeight="false" outlineLevel="0" collapsed="false">
      <c r="B2287" s="19" t="s">
        <v>10458</v>
      </c>
      <c r="C2287" s="20" t="n">
        <f aca="false">ROUND(2.73/FX,2)</f>
        <v>0.38</v>
      </c>
      <c r="D2287" s="21" t="s">
        <v>8668</v>
      </c>
      <c r="E2287" s="21" t="s">
        <v>10335</v>
      </c>
      <c r="F2287" s="21" t="s">
        <v>10336</v>
      </c>
      <c r="G2287" s="21" t="s">
        <v>9823</v>
      </c>
      <c r="H2287" s="21" t="s">
        <v>7866</v>
      </c>
    </row>
    <row r="2288" customFormat="false" ht="28.35" hidden="false" customHeight="false" outlineLevel="0" collapsed="false">
      <c r="B2288" s="19" t="s">
        <v>10459</v>
      </c>
      <c r="C2288" s="20" t="n">
        <f aca="false">ROUND(1.56/FX,2)</f>
        <v>0.22</v>
      </c>
      <c r="D2288" s="21" t="s">
        <v>8668</v>
      </c>
      <c r="E2288" s="21" t="s">
        <v>10335</v>
      </c>
      <c r="F2288" s="21" t="s">
        <v>10209</v>
      </c>
      <c r="G2288" s="21" t="s">
        <v>9823</v>
      </c>
      <c r="H2288" s="21" t="s">
        <v>7866</v>
      </c>
    </row>
    <row r="2289" customFormat="false" ht="28.35" hidden="false" customHeight="false" outlineLevel="0" collapsed="false">
      <c r="B2289" s="19" t="s">
        <v>10460</v>
      </c>
      <c r="C2289" s="20" t="n">
        <f aca="false">ROUND(2.6/FX,2)</f>
        <v>0.36</v>
      </c>
      <c r="D2289" s="21" t="s">
        <v>8668</v>
      </c>
      <c r="E2289" s="21" t="s">
        <v>10335</v>
      </c>
      <c r="F2289" s="21" t="s">
        <v>10338</v>
      </c>
      <c r="G2289" s="21" t="s">
        <v>9823</v>
      </c>
      <c r="H2289" s="21" t="s">
        <v>7866</v>
      </c>
    </row>
    <row r="2290" customFormat="false" ht="28.35" hidden="false" customHeight="false" outlineLevel="0" collapsed="false">
      <c r="B2290" s="19" t="s">
        <v>10461</v>
      </c>
      <c r="C2290" s="20" t="n">
        <f aca="false">ROUND(3.77/FX,2)</f>
        <v>0.52</v>
      </c>
      <c r="D2290" s="21" t="s">
        <v>8668</v>
      </c>
      <c r="E2290" s="21" t="s">
        <v>10204</v>
      </c>
      <c r="F2290" s="21" t="s">
        <v>10336</v>
      </c>
      <c r="G2290" s="21" t="s">
        <v>9823</v>
      </c>
      <c r="H2290" s="21" t="s">
        <v>7866</v>
      </c>
    </row>
    <row r="2291" customFormat="false" ht="28.35" hidden="false" customHeight="false" outlineLevel="0" collapsed="false">
      <c r="B2291" s="19" t="s">
        <v>10462</v>
      </c>
      <c r="C2291" s="20" t="n">
        <f aca="false">ROUND(3.64/FX,2)</f>
        <v>0.51</v>
      </c>
      <c r="D2291" s="21" t="s">
        <v>8668</v>
      </c>
      <c r="E2291" s="21" t="s">
        <v>10204</v>
      </c>
      <c r="F2291" s="21" t="s">
        <v>10338</v>
      </c>
      <c r="G2291" s="21" t="s">
        <v>9823</v>
      </c>
      <c r="H2291" s="21" t="s">
        <v>7866</v>
      </c>
    </row>
    <row r="2292" customFormat="false" ht="15" hidden="false" customHeight="false" outlineLevel="0" collapsed="false">
      <c r="B2292" s="19" t="s">
        <v>10463</v>
      </c>
      <c r="C2292" s="20" t="n">
        <f aca="false">ROUND(1.83/FX,2)</f>
        <v>0.25</v>
      </c>
      <c r="D2292" s="21" t="s">
        <v>6362</v>
      </c>
      <c r="E2292" s="21" t="s">
        <v>8168</v>
      </c>
      <c r="F2292" s="21" t="s">
        <v>734</v>
      </c>
      <c r="G2292" s="21" t="s">
        <v>10464</v>
      </c>
      <c r="H2292" s="21" t="s">
        <v>8196</v>
      </c>
    </row>
    <row r="2293" customFormat="false" ht="15" hidden="false" customHeight="false" outlineLevel="0" collapsed="false">
      <c r="B2293" s="19" t="s">
        <v>10465</v>
      </c>
      <c r="C2293" s="20" t="n">
        <f aca="false">ROUND(1.24/FX,2)</f>
        <v>0.17</v>
      </c>
      <c r="D2293" s="21" t="s">
        <v>7884</v>
      </c>
      <c r="E2293" s="21" t="s">
        <v>8168</v>
      </c>
      <c r="F2293" s="21" t="s">
        <v>10269</v>
      </c>
      <c r="G2293" s="21" t="s">
        <v>10464</v>
      </c>
      <c r="H2293" s="21" t="s">
        <v>7847</v>
      </c>
    </row>
    <row r="2294" customFormat="false" ht="15" hidden="false" customHeight="false" outlineLevel="0" collapsed="false">
      <c r="B2294" s="19" t="s">
        <v>10466</v>
      </c>
      <c r="C2294" s="20" t="n">
        <f aca="false">ROUND(1.38/FX,2)</f>
        <v>0.19</v>
      </c>
      <c r="D2294" s="21" t="s">
        <v>7884</v>
      </c>
      <c r="E2294" s="21" t="s">
        <v>8168</v>
      </c>
      <c r="F2294" s="21" t="s">
        <v>10272</v>
      </c>
      <c r="G2294" s="21" t="s">
        <v>10464</v>
      </c>
      <c r="H2294" s="21" t="s">
        <v>7847</v>
      </c>
    </row>
    <row r="2295" customFormat="false" ht="15" hidden="false" customHeight="false" outlineLevel="0" collapsed="false">
      <c r="B2295" s="19" t="s">
        <v>10467</v>
      </c>
      <c r="C2295" s="20" t="n">
        <f aca="false">ROUND(1.28/FX,2)</f>
        <v>0.18</v>
      </c>
      <c r="D2295" s="21" t="s">
        <v>7884</v>
      </c>
      <c r="E2295" s="21" t="s">
        <v>8168</v>
      </c>
      <c r="F2295" s="21" t="s">
        <v>10274</v>
      </c>
      <c r="G2295" s="21" t="s">
        <v>10464</v>
      </c>
      <c r="H2295" s="21" t="s">
        <v>7847</v>
      </c>
    </row>
    <row r="2296" customFormat="false" ht="15" hidden="false" customHeight="false" outlineLevel="0" collapsed="false">
      <c r="B2296" s="19" t="s">
        <v>10468</v>
      </c>
      <c r="C2296" s="20" t="n">
        <f aca="false">ROUND(1.62/FX,2)</f>
        <v>0.23</v>
      </c>
      <c r="D2296" s="21" t="s">
        <v>7884</v>
      </c>
      <c r="E2296" s="21" t="s">
        <v>8168</v>
      </c>
      <c r="F2296" s="21" t="s">
        <v>734</v>
      </c>
      <c r="G2296" s="21" t="s">
        <v>10464</v>
      </c>
      <c r="H2296" s="21" t="s">
        <v>7849</v>
      </c>
    </row>
    <row r="2297" customFormat="false" ht="15" hidden="false" customHeight="false" outlineLevel="0" collapsed="false">
      <c r="B2297" s="19" t="s">
        <v>10469</v>
      </c>
      <c r="C2297" s="20" t="n">
        <f aca="false">ROUND(1.56/FX,2)</f>
        <v>0.22</v>
      </c>
      <c r="D2297" s="21" t="s">
        <v>6362</v>
      </c>
      <c r="E2297" s="21" t="s">
        <v>8168</v>
      </c>
      <c r="F2297" s="21" t="s">
        <v>734</v>
      </c>
      <c r="G2297" s="21" t="s">
        <v>10464</v>
      </c>
      <c r="H2297" s="21" t="s">
        <v>7849</v>
      </c>
    </row>
    <row r="2298" customFormat="false" ht="15" hidden="false" customHeight="false" outlineLevel="0" collapsed="false">
      <c r="B2298" s="19" t="s">
        <v>10470</v>
      </c>
      <c r="C2298" s="20" t="n">
        <f aca="false">ROUND(1.62/FX,2)</f>
        <v>0.23</v>
      </c>
      <c r="D2298" s="21" t="s">
        <v>7884</v>
      </c>
      <c r="E2298" s="21" t="s">
        <v>8168</v>
      </c>
      <c r="F2298" s="21" t="s">
        <v>734</v>
      </c>
      <c r="G2298" s="21" t="s">
        <v>10464</v>
      </c>
      <c r="H2298" s="21" t="s">
        <v>7851</v>
      </c>
    </row>
    <row r="2299" customFormat="false" ht="15" hidden="false" customHeight="false" outlineLevel="0" collapsed="false">
      <c r="B2299" s="19" t="s">
        <v>10471</v>
      </c>
      <c r="C2299" s="20" t="n">
        <f aca="false">ROUND(1.43/FX,2)</f>
        <v>0.2</v>
      </c>
      <c r="D2299" s="21" t="s">
        <v>724</v>
      </c>
      <c r="E2299" s="21" t="s">
        <v>8168</v>
      </c>
      <c r="F2299" s="21" t="s">
        <v>10272</v>
      </c>
      <c r="G2299" s="21" t="s">
        <v>10464</v>
      </c>
      <c r="H2299" s="21" t="s">
        <v>7827</v>
      </c>
    </row>
    <row r="2300" customFormat="false" ht="15" hidden="false" customHeight="false" outlineLevel="0" collapsed="false">
      <c r="B2300" s="19" t="s">
        <v>10472</v>
      </c>
      <c r="C2300" s="20" t="n">
        <f aca="false">ROUND(1.24/FX,2)</f>
        <v>0.17</v>
      </c>
      <c r="D2300" s="21" t="s">
        <v>7884</v>
      </c>
      <c r="E2300" s="21" t="s">
        <v>8168</v>
      </c>
      <c r="F2300" s="21" t="s">
        <v>10269</v>
      </c>
      <c r="G2300" s="21" t="s">
        <v>10464</v>
      </c>
      <c r="H2300" s="21" t="s">
        <v>7827</v>
      </c>
    </row>
    <row r="2301" customFormat="false" ht="15" hidden="false" customHeight="false" outlineLevel="0" collapsed="false">
      <c r="B2301" s="19" t="s">
        <v>10473</v>
      </c>
      <c r="C2301" s="20" t="n">
        <f aca="false">ROUND(1.43/FX,2)</f>
        <v>0.2</v>
      </c>
      <c r="D2301" s="21" t="s">
        <v>7884</v>
      </c>
      <c r="E2301" s="21" t="s">
        <v>8168</v>
      </c>
      <c r="F2301" s="21" t="s">
        <v>10272</v>
      </c>
      <c r="G2301" s="21" t="s">
        <v>10464</v>
      </c>
      <c r="H2301" s="21" t="s">
        <v>7827</v>
      </c>
    </row>
    <row r="2302" customFormat="false" ht="15" hidden="false" customHeight="false" outlineLevel="0" collapsed="false">
      <c r="B2302" s="19" t="s">
        <v>10474</v>
      </c>
      <c r="C2302" s="20" t="n">
        <f aca="false">ROUND(1.28/FX,2)</f>
        <v>0.18</v>
      </c>
      <c r="D2302" s="21" t="s">
        <v>7884</v>
      </c>
      <c r="E2302" s="21" t="s">
        <v>8168</v>
      </c>
      <c r="F2302" s="21" t="s">
        <v>10274</v>
      </c>
      <c r="G2302" s="21" t="s">
        <v>10464</v>
      </c>
      <c r="H2302" s="21" t="s">
        <v>7827</v>
      </c>
    </row>
    <row r="2303" customFormat="false" ht="15" hidden="false" customHeight="false" outlineLevel="0" collapsed="false">
      <c r="B2303" s="19" t="s">
        <v>10475</v>
      </c>
      <c r="C2303" s="20" t="n">
        <f aca="false">ROUND(1.62/FX,2)</f>
        <v>0.23</v>
      </c>
      <c r="D2303" s="21" t="s">
        <v>7884</v>
      </c>
      <c r="E2303" s="21" t="s">
        <v>8168</v>
      </c>
      <c r="F2303" s="21" t="s">
        <v>734</v>
      </c>
      <c r="G2303" s="21" t="s">
        <v>10464</v>
      </c>
      <c r="H2303" s="21" t="s">
        <v>7853</v>
      </c>
    </row>
    <row r="2304" customFormat="false" ht="15" hidden="false" customHeight="false" outlineLevel="0" collapsed="false">
      <c r="B2304" s="19" t="s">
        <v>10476</v>
      </c>
      <c r="C2304" s="20" t="n">
        <f aca="false">ROUND(1.6/FX,2)</f>
        <v>0.22</v>
      </c>
      <c r="D2304" s="21" t="s">
        <v>7884</v>
      </c>
      <c r="E2304" s="21" t="s">
        <v>8168</v>
      </c>
      <c r="F2304" s="21" t="s">
        <v>10272</v>
      </c>
      <c r="G2304" s="21" t="s">
        <v>10464</v>
      </c>
      <c r="H2304" s="21" t="s">
        <v>7869</v>
      </c>
    </row>
    <row r="2305" customFormat="false" ht="15" hidden="false" customHeight="false" outlineLevel="0" collapsed="false">
      <c r="B2305" s="19" t="s">
        <v>10477</v>
      </c>
      <c r="C2305" s="20" t="n">
        <f aca="false">ROUND(1.48/FX,2)</f>
        <v>0.21</v>
      </c>
      <c r="D2305" s="21" t="s">
        <v>7884</v>
      </c>
      <c r="E2305" s="21" t="s">
        <v>8168</v>
      </c>
      <c r="F2305" s="21" t="s">
        <v>10274</v>
      </c>
      <c r="G2305" s="21" t="s">
        <v>10464</v>
      </c>
      <c r="H2305" s="21" t="s">
        <v>7869</v>
      </c>
    </row>
    <row r="2306" customFormat="false" ht="15" hidden="false" customHeight="false" outlineLevel="0" collapsed="false">
      <c r="B2306" s="19" t="s">
        <v>10478</v>
      </c>
      <c r="C2306" s="20" t="n">
        <f aca="false">ROUND(1.62/FX,2)</f>
        <v>0.23</v>
      </c>
      <c r="D2306" s="21" t="s">
        <v>7884</v>
      </c>
      <c r="E2306" s="21" t="s">
        <v>8168</v>
      </c>
      <c r="F2306" s="21" t="s">
        <v>734</v>
      </c>
      <c r="G2306" s="21" t="s">
        <v>10464</v>
      </c>
      <c r="H2306" s="21" t="s">
        <v>8255</v>
      </c>
    </row>
    <row r="2307" customFormat="false" ht="15" hidden="false" customHeight="false" outlineLevel="0" collapsed="false">
      <c r="B2307" s="19" t="s">
        <v>10479</v>
      </c>
      <c r="C2307" s="20" t="n">
        <f aca="false">ROUND(1.48/FX,2)</f>
        <v>0.21</v>
      </c>
      <c r="D2307" s="21" t="s">
        <v>7884</v>
      </c>
      <c r="E2307" s="21" t="s">
        <v>8168</v>
      </c>
      <c r="F2307" s="21" t="s">
        <v>734</v>
      </c>
      <c r="G2307" s="21" t="s">
        <v>10464</v>
      </c>
      <c r="H2307" s="21" t="s">
        <v>7933</v>
      </c>
    </row>
    <row r="2308" customFormat="false" ht="15" hidden="false" customHeight="false" outlineLevel="0" collapsed="false">
      <c r="B2308" s="19" t="s">
        <v>10480</v>
      </c>
      <c r="C2308" s="20" t="n">
        <f aca="false">ROUND(1.24/FX,2)</f>
        <v>0.17</v>
      </c>
      <c r="D2308" s="21" t="s">
        <v>724</v>
      </c>
      <c r="E2308" s="21" t="s">
        <v>8168</v>
      </c>
      <c r="F2308" s="21" t="s">
        <v>10269</v>
      </c>
      <c r="G2308" s="21" t="s">
        <v>10464</v>
      </c>
      <c r="H2308" s="21" t="s">
        <v>7829</v>
      </c>
    </row>
    <row r="2309" customFormat="false" ht="15" hidden="false" customHeight="false" outlineLevel="0" collapsed="false">
      <c r="B2309" s="19" t="s">
        <v>10481</v>
      </c>
      <c r="C2309" s="20" t="n">
        <f aca="false">ROUND(1.38/FX,2)</f>
        <v>0.19</v>
      </c>
      <c r="D2309" s="21" t="s">
        <v>724</v>
      </c>
      <c r="E2309" s="21" t="s">
        <v>8168</v>
      </c>
      <c r="F2309" s="21" t="s">
        <v>10272</v>
      </c>
      <c r="G2309" s="21" t="s">
        <v>10464</v>
      </c>
      <c r="H2309" s="21" t="s">
        <v>7829</v>
      </c>
    </row>
    <row r="2310" customFormat="false" ht="28.35" hidden="false" customHeight="false" outlineLevel="0" collapsed="false">
      <c r="B2310" s="19" t="s">
        <v>10482</v>
      </c>
      <c r="C2310" s="20" t="n">
        <f aca="false">ROUND(13.8/FX,2)</f>
        <v>1.92</v>
      </c>
      <c r="D2310" s="21" t="s">
        <v>724</v>
      </c>
      <c r="E2310" s="21" t="s">
        <v>8168</v>
      </c>
      <c r="F2310" s="21" t="s">
        <v>10483</v>
      </c>
      <c r="G2310" s="21" t="s">
        <v>10464</v>
      </c>
      <c r="H2310" s="21" t="s">
        <v>7829</v>
      </c>
    </row>
    <row r="2311" customFormat="false" ht="15" hidden="false" customHeight="false" outlineLevel="0" collapsed="false">
      <c r="B2311" s="19" t="s">
        <v>10484</v>
      </c>
      <c r="C2311" s="20" t="n">
        <f aca="false">ROUND(1.28/FX,2)</f>
        <v>0.18</v>
      </c>
      <c r="D2311" s="21" t="s">
        <v>724</v>
      </c>
      <c r="E2311" s="21" t="s">
        <v>8168</v>
      </c>
      <c r="F2311" s="21" t="s">
        <v>10274</v>
      </c>
      <c r="G2311" s="21" t="s">
        <v>10464</v>
      </c>
      <c r="H2311" s="21" t="s">
        <v>7829</v>
      </c>
    </row>
    <row r="2312" customFormat="false" ht="15" hidden="false" customHeight="false" outlineLevel="0" collapsed="false">
      <c r="B2312" s="19" t="s">
        <v>10485</v>
      </c>
      <c r="C2312" s="20" t="n">
        <f aca="false">ROUND(1.62/FX,2)</f>
        <v>0.23</v>
      </c>
      <c r="D2312" s="21" t="s">
        <v>7884</v>
      </c>
      <c r="E2312" s="21" t="s">
        <v>8168</v>
      </c>
      <c r="F2312" s="21" t="s">
        <v>734</v>
      </c>
      <c r="G2312" s="21" t="s">
        <v>10464</v>
      </c>
      <c r="H2312" s="21" t="s">
        <v>7829</v>
      </c>
    </row>
    <row r="2313" customFormat="false" ht="28.35" hidden="false" customHeight="false" outlineLevel="0" collapsed="false">
      <c r="B2313" s="19" t="s">
        <v>10486</v>
      </c>
      <c r="C2313" s="20" t="n">
        <f aca="false">ROUND(16.2/FX,2)</f>
        <v>2.25</v>
      </c>
      <c r="D2313" s="21" t="s">
        <v>7884</v>
      </c>
      <c r="E2313" s="21" t="s">
        <v>8168</v>
      </c>
      <c r="F2313" s="21" t="s">
        <v>10483</v>
      </c>
      <c r="G2313" s="21" t="s">
        <v>10464</v>
      </c>
      <c r="H2313" s="21" t="s">
        <v>7829</v>
      </c>
    </row>
    <row r="2314" customFormat="false" ht="15" hidden="false" customHeight="false" outlineLevel="0" collapsed="false">
      <c r="B2314" s="19" t="s">
        <v>10487</v>
      </c>
      <c r="C2314" s="20" t="n">
        <f aca="false">ROUND(1.62/FX,2)</f>
        <v>0.23</v>
      </c>
      <c r="D2314" s="21" t="s">
        <v>7884</v>
      </c>
      <c r="E2314" s="21" t="s">
        <v>8168</v>
      </c>
      <c r="F2314" s="21" t="s">
        <v>734</v>
      </c>
      <c r="G2314" s="21" t="s">
        <v>10464</v>
      </c>
      <c r="H2314" s="21" t="s">
        <v>7831</v>
      </c>
    </row>
    <row r="2315" customFormat="false" ht="15" hidden="false" customHeight="false" outlineLevel="0" collapsed="false">
      <c r="B2315" s="19" t="s">
        <v>10488</v>
      </c>
      <c r="C2315" s="20" t="n">
        <f aca="false">ROUND(1.62/FX,2)</f>
        <v>0.23</v>
      </c>
      <c r="D2315" s="21" t="s">
        <v>7884</v>
      </c>
      <c r="E2315" s="21" t="s">
        <v>8168</v>
      </c>
      <c r="F2315" s="21" t="s">
        <v>734</v>
      </c>
      <c r="G2315" s="21" t="s">
        <v>10464</v>
      </c>
      <c r="H2315" s="21" t="s">
        <v>7944</v>
      </c>
    </row>
    <row r="2316" customFormat="false" ht="15" hidden="false" customHeight="false" outlineLevel="0" collapsed="false">
      <c r="B2316" s="19" t="s">
        <v>10489</v>
      </c>
      <c r="C2316" s="20" t="n">
        <f aca="false">ROUND(1.62/FX,2)</f>
        <v>0.23</v>
      </c>
      <c r="D2316" s="21" t="s">
        <v>7884</v>
      </c>
      <c r="E2316" s="21" t="s">
        <v>8168</v>
      </c>
      <c r="F2316" s="21" t="s">
        <v>734</v>
      </c>
      <c r="G2316" s="21" t="s">
        <v>10464</v>
      </c>
      <c r="H2316" s="21" t="s">
        <v>7946</v>
      </c>
    </row>
    <row r="2317" customFormat="false" ht="15" hidden="false" customHeight="false" outlineLevel="0" collapsed="false">
      <c r="B2317" s="19" t="s">
        <v>10490</v>
      </c>
      <c r="C2317" s="20" t="n">
        <f aca="false">ROUND(1.56/FX,2)</f>
        <v>0.22</v>
      </c>
      <c r="D2317" s="21" t="s">
        <v>724</v>
      </c>
      <c r="E2317" s="21" t="s">
        <v>8168</v>
      </c>
      <c r="F2317" s="21" t="s">
        <v>10272</v>
      </c>
      <c r="G2317" s="21" t="s">
        <v>10464</v>
      </c>
      <c r="H2317" s="21" t="s">
        <v>7833</v>
      </c>
    </row>
    <row r="2318" customFormat="false" ht="28.35" hidden="false" customHeight="false" outlineLevel="0" collapsed="false">
      <c r="B2318" s="19" t="s">
        <v>10491</v>
      </c>
      <c r="C2318" s="20" t="n">
        <f aca="false">ROUND(15.6/FX,2)</f>
        <v>2.17</v>
      </c>
      <c r="D2318" s="21" t="s">
        <v>724</v>
      </c>
      <c r="E2318" s="21" t="s">
        <v>8168</v>
      </c>
      <c r="F2318" s="21" t="s">
        <v>10483</v>
      </c>
      <c r="G2318" s="21" t="s">
        <v>10464</v>
      </c>
      <c r="H2318" s="21" t="s">
        <v>7833</v>
      </c>
    </row>
    <row r="2319" customFormat="false" ht="15" hidden="false" customHeight="false" outlineLevel="0" collapsed="false">
      <c r="B2319" s="19" t="s">
        <v>10492</v>
      </c>
      <c r="C2319" s="20" t="n">
        <f aca="false">ROUND(1.43/FX,2)</f>
        <v>0.2</v>
      </c>
      <c r="D2319" s="21" t="s">
        <v>724</v>
      </c>
      <c r="E2319" s="21" t="s">
        <v>8168</v>
      </c>
      <c r="F2319" s="21" t="s">
        <v>10274</v>
      </c>
      <c r="G2319" s="21" t="s">
        <v>10464</v>
      </c>
      <c r="H2319" s="21" t="s">
        <v>7833</v>
      </c>
    </row>
    <row r="2320" customFormat="false" ht="15" hidden="false" customHeight="false" outlineLevel="0" collapsed="false">
      <c r="B2320" s="19" t="s">
        <v>10493</v>
      </c>
      <c r="C2320" s="20" t="n">
        <f aca="false">ROUND(1.24/FX,2)</f>
        <v>0.17</v>
      </c>
      <c r="D2320" s="21" t="s">
        <v>7884</v>
      </c>
      <c r="E2320" s="21" t="s">
        <v>8168</v>
      </c>
      <c r="F2320" s="21" t="s">
        <v>10269</v>
      </c>
      <c r="G2320" s="21" t="s">
        <v>10464</v>
      </c>
      <c r="H2320" s="21" t="s">
        <v>7833</v>
      </c>
    </row>
    <row r="2321" customFormat="false" ht="15" hidden="false" customHeight="false" outlineLevel="0" collapsed="false">
      <c r="B2321" s="19" t="s">
        <v>10494</v>
      </c>
      <c r="C2321" s="20" t="n">
        <f aca="false">ROUND(1.43/FX,2)</f>
        <v>0.2</v>
      </c>
      <c r="D2321" s="21" t="s">
        <v>7884</v>
      </c>
      <c r="E2321" s="21" t="s">
        <v>8168</v>
      </c>
      <c r="F2321" s="21" t="s">
        <v>10272</v>
      </c>
      <c r="G2321" s="21" t="s">
        <v>10464</v>
      </c>
      <c r="H2321" s="21" t="s">
        <v>7833</v>
      </c>
    </row>
    <row r="2322" customFormat="false" ht="28.35" hidden="false" customHeight="false" outlineLevel="0" collapsed="false">
      <c r="B2322" s="19" t="s">
        <v>10495</v>
      </c>
      <c r="C2322" s="20" t="n">
        <f aca="false">ROUND(14.3/FX,2)</f>
        <v>1.99</v>
      </c>
      <c r="D2322" s="21" t="s">
        <v>7884</v>
      </c>
      <c r="E2322" s="21" t="s">
        <v>8168</v>
      </c>
      <c r="F2322" s="21" t="s">
        <v>10483</v>
      </c>
      <c r="G2322" s="21" t="s">
        <v>10464</v>
      </c>
      <c r="H2322" s="21" t="s">
        <v>7833</v>
      </c>
    </row>
    <row r="2323" customFormat="false" ht="15" hidden="false" customHeight="false" outlineLevel="0" collapsed="false">
      <c r="B2323" s="19" t="s">
        <v>10496</v>
      </c>
      <c r="C2323" s="20" t="n">
        <f aca="false">ROUND(1.28/FX,2)</f>
        <v>0.18</v>
      </c>
      <c r="D2323" s="21" t="s">
        <v>7884</v>
      </c>
      <c r="E2323" s="21" t="s">
        <v>8168</v>
      </c>
      <c r="F2323" s="21" t="s">
        <v>10274</v>
      </c>
      <c r="G2323" s="21" t="s">
        <v>10464</v>
      </c>
      <c r="H2323" s="21" t="s">
        <v>7833</v>
      </c>
    </row>
    <row r="2324" customFormat="false" ht="15" hidden="false" customHeight="false" outlineLevel="0" collapsed="false">
      <c r="B2324" s="19" t="s">
        <v>10497</v>
      </c>
      <c r="C2324" s="20" t="n">
        <f aca="false">ROUND(1.62/FX,2)</f>
        <v>0.23</v>
      </c>
      <c r="D2324" s="21" t="s">
        <v>6362</v>
      </c>
      <c r="E2324" s="21" t="s">
        <v>8168</v>
      </c>
      <c r="F2324" s="21" t="s">
        <v>734</v>
      </c>
      <c r="G2324" s="21" t="s">
        <v>10464</v>
      </c>
      <c r="H2324" s="21" t="s">
        <v>7833</v>
      </c>
    </row>
    <row r="2325" customFormat="false" ht="15" hidden="false" customHeight="false" outlineLevel="0" collapsed="false">
      <c r="B2325" s="19" t="s">
        <v>10498</v>
      </c>
      <c r="C2325" s="20" t="n">
        <f aca="false">ROUND(1.62/FX,2)</f>
        <v>0.23</v>
      </c>
      <c r="D2325" s="21" t="s">
        <v>7884</v>
      </c>
      <c r="E2325" s="21" t="s">
        <v>8168</v>
      </c>
      <c r="F2325" s="21" t="s">
        <v>734</v>
      </c>
      <c r="G2325" s="21" t="s">
        <v>10464</v>
      </c>
      <c r="H2325" s="21" t="s">
        <v>7860</v>
      </c>
    </row>
    <row r="2326" customFormat="false" ht="15" hidden="false" customHeight="false" outlineLevel="0" collapsed="false">
      <c r="B2326" s="19" t="s">
        <v>10499</v>
      </c>
      <c r="C2326" s="20" t="n">
        <f aca="false">ROUND(1.43/FX,2)</f>
        <v>0.2</v>
      </c>
      <c r="D2326" s="21" t="s">
        <v>724</v>
      </c>
      <c r="E2326" s="21" t="s">
        <v>8168</v>
      </c>
      <c r="F2326" s="21" t="s">
        <v>10272</v>
      </c>
      <c r="G2326" s="21" t="s">
        <v>10464</v>
      </c>
      <c r="H2326" s="21" t="s">
        <v>7893</v>
      </c>
    </row>
    <row r="2327" customFormat="false" ht="15" hidden="false" customHeight="false" outlineLevel="0" collapsed="false">
      <c r="B2327" s="19" t="s">
        <v>10500</v>
      </c>
      <c r="C2327" s="20" t="n">
        <f aca="false">ROUND(1.58/FX,2)</f>
        <v>0.22</v>
      </c>
      <c r="D2327" s="21" t="s">
        <v>7884</v>
      </c>
      <c r="E2327" s="21" t="s">
        <v>8168</v>
      </c>
      <c r="F2327" s="21" t="s">
        <v>10272</v>
      </c>
      <c r="G2327" s="21" t="s">
        <v>10464</v>
      </c>
      <c r="H2327" s="21" t="s">
        <v>7893</v>
      </c>
    </row>
    <row r="2328" customFormat="false" ht="15" hidden="false" customHeight="false" outlineLevel="0" collapsed="false">
      <c r="B2328" s="19" t="s">
        <v>10501</v>
      </c>
      <c r="C2328" s="20" t="n">
        <f aca="false">ROUND(1.48/FX,2)</f>
        <v>0.21</v>
      </c>
      <c r="D2328" s="21" t="s">
        <v>7884</v>
      </c>
      <c r="E2328" s="21" t="s">
        <v>8168</v>
      </c>
      <c r="F2328" s="21" t="s">
        <v>10274</v>
      </c>
      <c r="G2328" s="21" t="s">
        <v>10464</v>
      </c>
      <c r="H2328" s="21" t="s">
        <v>7893</v>
      </c>
    </row>
    <row r="2329" customFormat="false" ht="15" hidden="false" customHeight="false" outlineLevel="0" collapsed="false">
      <c r="B2329" s="19" t="s">
        <v>10502</v>
      </c>
      <c r="C2329" s="20" t="n">
        <f aca="false">ROUND(1.48/FX,2)</f>
        <v>0.21</v>
      </c>
      <c r="D2329" s="21" t="s">
        <v>6362</v>
      </c>
      <c r="E2329" s="21" t="s">
        <v>8168</v>
      </c>
      <c r="F2329" s="21" t="s">
        <v>734</v>
      </c>
      <c r="G2329" s="21" t="s">
        <v>10464</v>
      </c>
      <c r="H2329" s="21" t="s">
        <v>7893</v>
      </c>
    </row>
    <row r="2330" customFormat="false" ht="15" hidden="false" customHeight="false" outlineLevel="0" collapsed="false">
      <c r="B2330" s="19" t="s">
        <v>10503</v>
      </c>
      <c r="C2330" s="20" t="n">
        <f aca="false">ROUND(1.6/FX,2)</f>
        <v>0.22</v>
      </c>
      <c r="D2330" s="21" t="s">
        <v>7884</v>
      </c>
      <c r="E2330" s="21" t="s">
        <v>8168</v>
      </c>
      <c r="F2330" s="21" t="s">
        <v>10272</v>
      </c>
      <c r="G2330" s="21" t="s">
        <v>10464</v>
      </c>
      <c r="H2330" s="21" t="s">
        <v>7862</v>
      </c>
    </row>
    <row r="2331" customFormat="false" ht="15" hidden="false" customHeight="false" outlineLevel="0" collapsed="false">
      <c r="B2331" s="19" t="s">
        <v>10504</v>
      </c>
      <c r="C2331" s="20" t="n">
        <f aca="false">ROUND(1.48/FX,2)</f>
        <v>0.21</v>
      </c>
      <c r="D2331" s="21" t="s">
        <v>7884</v>
      </c>
      <c r="E2331" s="21" t="s">
        <v>8168</v>
      </c>
      <c r="F2331" s="21" t="s">
        <v>10274</v>
      </c>
      <c r="G2331" s="21" t="s">
        <v>10464</v>
      </c>
      <c r="H2331" s="21" t="s">
        <v>7862</v>
      </c>
    </row>
    <row r="2332" customFormat="false" ht="15" hidden="false" customHeight="false" outlineLevel="0" collapsed="false">
      <c r="B2332" s="19" t="s">
        <v>10505</v>
      </c>
      <c r="C2332" s="20" t="n">
        <f aca="false">ROUND(1.62/FX,2)</f>
        <v>0.23</v>
      </c>
      <c r="D2332" s="21" t="s">
        <v>7884</v>
      </c>
      <c r="E2332" s="21" t="s">
        <v>8168</v>
      </c>
      <c r="F2332" s="21" t="s">
        <v>734</v>
      </c>
      <c r="G2332" s="21" t="s">
        <v>10464</v>
      </c>
      <c r="H2332" s="21" t="s">
        <v>7864</v>
      </c>
    </row>
    <row r="2333" customFormat="false" ht="15" hidden="false" customHeight="false" outlineLevel="0" collapsed="false">
      <c r="B2333" s="19" t="s">
        <v>10506</v>
      </c>
      <c r="C2333" s="20" t="n">
        <f aca="false">ROUND(1.62/FX,2)</f>
        <v>0.23</v>
      </c>
      <c r="D2333" s="21" t="s">
        <v>7884</v>
      </c>
      <c r="E2333" s="21" t="s">
        <v>8168</v>
      </c>
      <c r="F2333" s="21" t="s">
        <v>734</v>
      </c>
      <c r="G2333" s="21" t="s">
        <v>10464</v>
      </c>
      <c r="H2333" s="21" t="s">
        <v>7961</v>
      </c>
    </row>
    <row r="2334" customFormat="false" ht="15" hidden="false" customHeight="false" outlineLevel="0" collapsed="false">
      <c r="B2334" s="19" t="s">
        <v>10507</v>
      </c>
      <c r="C2334" s="20" t="n">
        <f aca="false">ROUND(1.43/FX,2)</f>
        <v>0.2</v>
      </c>
      <c r="D2334" s="21" t="s">
        <v>7884</v>
      </c>
      <c r="E2334" s="21" t="s">
        <v>8168</v>
      </c>
      <c r="F2334" s="21" t="s">
        <v>10272</v>
      </c>
      <c r="G2334" s="21" t="s">
        <v>10464</v>
      </c>
      <c r="H2334" s="21" t="s">
        <v>7872</v>
      </c>
    </row>
    <row r="2335" customFormat="false" ht="15" hidden="false" customHeight="false" outlineLevel="0" collapsed="false">
      <c r="B2335" s="19" t="s">
        <v>10508</v>
      </c>
      <c r="C2335" s="20" t="n">
        <f aca="false">ROUND(1.43/FX,2)</f>
        <v>0.2</v>
      </c>
      <c r="D2335" s="21" t="s">
        <v>7884</v>
      </c>
      <c r="E2335" s="21" t="s">
        <v>8168</v>
      </c>
      <c r="F2335" s="21" t="s">
        <v>734</v>
      </c>
      <c r="G2335" s="21" t="s">
        <v>10464</v>
      </c>
      <c r="H2335" s="21" t="s">
        <v>7968</v>
      </c>
    </row>
    <row r="2336" customFormat="false" ht="15" hidden="false" customHeight="false" outlineLevel="0" collapsed="false">
      <c r="B2336" s="19" t="s">
        <v>10509</v>
      </c>
      <c r="C2336" s="20" t="n">
        <f aca="false">ROUND(1.62/FX,2)</f>
        <v>0.23</v>
      </c>
      <c r="D2336" s="21" t="s">
        <v>7884</v>
      </c>
      <c r="E2336" s="21" t="s">
        <v>8168</v>
      </c>
      <c r="F2336" s="21" t="s">
        <v>734</v>
      </c>
      <c r="G2336" s="21" t="s">
        <v>10464</v>
      </c>
      <c r="H2336" s="21" t="s">
        <v>8379</v>
      </c>
    </row>
    <row r="2337" customFormat="false" ht="15" hidden="false" customHeight="false" outlineLevel="0" collapsed="false">
      <c r="B2337" s="19" t="s">
        <v>10510</v>
      </c>
      <c r="C2337" s="20" t="n">
        <f aca="false">ROUND(1.43/FX,2)</f>
        <v>0.2</v>
      </c>
      <c r="D2337" s="21" t="s">
        <v>724</v>
      </c>
      <c r="E2337" s="21" t="s">
        <v>8168</v>
      </c>
      <c r="F2337" s="21" t="s">
        <v>10272</v>
      </c>
      <c r="G2337" s="21" t="s">
        <v>10464</v>
      </c>
      <c r="H2337" s="21" t="s">
        <v>7866</v>
      </c>
    </row>
    <row r="2338" customFormat="false" ht="15" hidden="false" customHeight="false" outlineLevel="0" collapsed="false">
      <c r="B2338" s="19" t="s">
        <v>10511</v>
      </c>
      <c r="C2338" s="20" t="n">
        <f aca="false">ROUND(1.3/FX,2)</f>
        <v>0.18</v>
      </c>
      <c r="D2338" s="21" t="s">
        <v>724</v>
      </c>
      <c r="E2338" s="21" t="s">
        <v>8168</v>
      </c>
      <c r="F2338" s="21" t="s">
        <v>10274</v>
      </c>
      <c r="G2338" s="21" t="s">
        <v>10464</v>
      </c>
      <c r="H2338" s="21" t="s">
        <v>7866</v>
      </c>
    </row>
    <row r="2339" customFormat="false" ht="15" hidden="false" customHeight="false" outlineLevel="0" collapsed="false">
      <c r="B2339" s="19" t="s">
        <v>10512</v>
      </c>
      <c r="C2339" s="20" t="n">
        <f aca="false">ROUND(1.24/FX,2)</f>
        <v>0.17</v>
      </c>
      <c r="D2339" s="21" t="s">
        <v>7884</v>
      </c>
      <c r="E2339" s="21" t="s">
        <v>8168</v>
      </c>
      <c r="F2339" s="21" t="s">
        <v>10269</v>
      </c>
      <c r="G2339" s="21" t="s">
        <v>10464</v>
      </c>
      <c r="H2339" s="21" t="s">
        <v>7866</v>
      </c>
    </row>
    <row r="2340" customFormat="false" ht="15" hidden="false" customHeight="false" outlineLevel="0" collapsed="false">
      <c r="B2340" s="19" t="s">
        <v>10513</v>
      </c>
      <c r="C2340" s="20" t="n">
        <f aca="false">ROUND(1.43/FX,2)</f>
        <v>0.2</v>
      </c>
      <c r="D2340" s="21" t="s">
        <v>7884</v>
      </c>
      <c r="E2340" s="21" t="s">
        <v>8168</v>
      </c>
      <c r="F2340" s="21" t="s">
        <v>10272</v>
      </c>
      <c r="G2340" s="21" t="s">
        <v>10464</v>
      </c>
      <c r="H2340" s="21" t="s">
        <v>7866</v>
      </c>
    </row>
    <row r="2341" customFormat="false" ht="15" hidden="false" customHeight="false" outlineLevel="0" collapsed="false">
      <c r="B2341" s="19" t="s">
        <v>10514</v>
      </c>
      <c r="C2341" s="20" t="n">
        <f aca="false">ROUND(1.28/FX,2)</f>
        <v>0.18</v>
      </c>
      <c r="D2341" s="21" t="s">
        <v>7884</v>
      </c>
      <c r="E2341" s="21" t="s">
        <v>8168</v>
      </c>
      <c r="F2341" s="21" t="s">
        <v>10274</v>
      </c>
      <c r="G2341" s="21" t="s">
        <v>10464</v>
      </c>
      <c r="H2341" s="21" t="s">
        <v>7866</v>
      </c>
    </row>
    <row r="2342" customFormat="false" ht="15" hidden="false" customHeight="false" outlineLevel="0" collapsed="false">
      <c r="B2342" s="19" t="s">
        <v>10515</v>
      </c>
      <c r="C2342" s="20" t="n">
        <f aca="false">ROUND(3.3/FX,2)</f>
        <v>0.46</v>
      </c>
      <c r="D2342" s="21" t="s">
        <v>8668</v>
      </c>
      <c r="E2342" s="21" t="s">
        <v>10335</v>
      </c>
      <c r="F2342" s="21" t="s">
        <v>10287</v>
      </c>
      <c r="G2342" s="21" t="s">
        <v>10516</v>
      </c>
      <c r="H2342" s="21" t="s">
        <v>7875</v>
      </c>
    </row>
    <row r="2343" customFormat="false" ht="15" hidden="false" customHeight="false" outlineLevel="0" collapsed="false">
      <c r="B2343" s="19" t="s">
        <v>10517</v>
      </c>
      <c r="C2343" s="20" t="n">
        <f aca="false">ROUND(4.94/FX,2)</f>
        <v>0.69</v>
      </c>
      <c r="D2343" s="21" t="s">
        <v>8668</v>
      </c>
      <c r="E2343" s="21" t="s">
        <v>10204</v>
      </c>
      <c r="F2343" s="21" t="s">
        <v>10287</v>
      </c>
      <c r="G2343" s="21" t="s">
        <v>10516</v>
      </c>
      <c r="H2343" s="21" t="s">
        <v>7875</v>
      </c>
    </row>
    <row r="2344" customFormat="false" ht="15" hidden="false" customHeight="false" outlineLevel="0" collapsed="false">
      <c r="B2344" s="19" t="s">
        <v>10518</v>
      </c>
      <c r="C2344" s="20" t="n">
        <f aca="false">ROUND(4.94/FX,2)</f>
        <v>0.69</v>
      </c>
      <c r="D2344" s="21" t="s">
        <v>8668</v>
      </c>
      <c r="E2344" s="21" t="s">
        <v>10204</v>
      </c>
      <c r="F2344" s="21" t="s">
        <v>10287</v>
      </c>
      <c r="G2344" s="21" t="s">
        <v>10516</v>
      </c>
      <c r="H2344" s="21" t="s">
        <v>8263</v>
      </c>
    </row>
    <row r="2345" customFormat="false" ht="15" hidden="false" customHeight="false" outlineLevel="0" collapsed="false">
      <c r="B2345" s="19" t="s">
        <v>10519</v>
      </c>
      <c r="C2345" s="20" t="n">
        <f aca="false">ROUND(3.3/FX,2)</f>
        <v>0.46</v>
      </c>
      <c r="D2345" s="21" t="s">
        <v>8668</v>
      </c>
      <c r="E2345" s="21" t="s">
        <v>10335</v>
      </c>
      <c r="F2345" s="21" t="s">
        <v>10287</v>
      </c>
      <c r="G2345" s="21" t="s">
        <v>10516</v>
      </c>
      <c r="H2345" s="21" t="s">
        <v>7881</v>
      </c>
    </row>
    <row r="2346" customFormat="false" ht="15" hidden="false" customHeight="false" outlineLevel="0" collapsed="false">
      <c r="B2346" s="19" t="s">
        <v>10520</v>
      </c>
      <c r="C2346" s="20" t="n">
        <f aca="false">ROUND(4.94/FX,2)</f>
        <v>0.69</v>
      </c>
      <c r="D2346" s="21" t="s">
        <v>8668</v>
      </c>
      <c r="E2346" s="21" t="s">
        <v>10204</v>
      </c>
      <c r="F2346" s="21" t="s">
        <v>10287</v>
      </c>
      <c r="G2346" s="21" t="s">
        <v>10516</v>
      </c>
      <c r="H2346" s="21" t="s">
        <v>7881</v>
      </c>
    </row>
    <row r="2347" customFormat="false" ht="15" hidden="false" customHeight="false" outlineLevel="0" collapsed="false">
      <c r="B2347" s="19" t="s">
        <v>10521</v>
      </c>
      <c r="C2347" s="20" t="n">
        <f aca="false">ROUND(3.3/FX,2)</f>
        <v>0.46</v>
      </c>
      <c r="D2347" s="21" t="s">
        <v>8668</v>
      </c>
      <c r="E2347" s="21" t="s">
        <v>10335</v>
      </c>
      <c r="F2347" s="21" t="s">
        <v>10287</v>
      </c>
      <c r="G2347" s="21" t="s">
        <v>10516</v>
      </c>
      <c r="H2347" s="21" t="s">
        <v>7833</v>
      </c>
    </row>
    <row r="2348" customFormat="false" ht="15" hidden="false" customHeight="false" outlineLevel="0" collapsed="false">
      <c r="B2348" s="19" t="s">
        <v>10522</v>
      </c>
      <c r="C2348" s="20" t="n">
        <f aca="false">ROUND(4.94/FX,2)</f>
        <v>0.69</v>
      </c>
      <c r="D2348" s="21" t="s">
        <v>8668</v>
      </c>
      <c r="E2348" s="21" t="s">
        <v>10204</v>
      </c>
      <c r="F2348" s="21" t="s">
        <v>10287</v>
      </c>
      <c r="G2348" s="21" t="s">
        <v>10516</v>
      </c>
      <c r="H2348" s="21" t="s">
        <v>8294</v>
      </c>
    </row>
    <row r="2349" customFormat="false" ht="15" hidden="false" customHeight="false" outlineLevel="0" collapsed="false">
      <c r="B2349" s="19" t="s">
        <v>10523</v>
      </c>
      <c r="C2349" s="20" t="n">
        <f aca="false">ROUND(4.94/FX,2)</f>
        <v>0.69</v>
      </c>
      <c r="D2349" s="21" t="s">
        <v>8668</v>
      </c>
      <c r="E2349" s="21" t="s">
        <v>10204</v>
      </c>
      <c r="F2349" s="21" t="s">
        <v>10287</v>
      </c>
      <c r="G2349" s="21" t="s">
        <v>10516</v>
      </c>
      <c r="H2349" s="21" t="s">
        <v>7891</v>
      </c>
    </row>
    <row r="2350" customFormat="false" ht="15" hidden="false" customHeight="false" outlineLevel="0" collapsed="false">
      <c r="B2350" s="19" t="s">
        <v>10524</v>
      </c>
      <c r="C2350" s="20" t="n">
        <f aca="false">ROUND(4.94/FX,2)</f>
        <v>0.69</v>
      </c>
      <c r="D2350" s="21" t="s">
        <v>8668</v>
      </c>
      <c r="E2350" s="21" t="s">
        <v>10204</v>
      </c>
      <c r="F2350" s="21" t="s">
        <v>10287</v>
      </c>
      <c r="G2350" s="21" t="s">
        <v>10516</v>
      </c>
      <c r="H2350" s="21" t="s">
        <v>8320</v>
      </c>
    </row>
    <row r="2351" customFormat="false" ht="15" hidden="false" customHeight="false" outlineLevel="0" collapsed="false">
      <c r="B2351" s="19" t="s">
        <v>10525</v>
      </c>
      <c r="C2351" s="20" t="n">
        <f aca="false">ROUND(3.9/FX,2)</f>
        <v>0.54</v>
      </c>
      <c r="D2351" s="21" t="s">
        <v>8668</v>
      </c>
      <c r="E2351" s="21" t="s">
        <v>10335</v>
      </c>
      <c r="F2351" s="21" t="s">
        <v>10287</v>
      </c>
      <c r="G2351" s="21" t="s">
        <v>10516</v>
      </c>
      <c r="H2351" s="21" t="s">
        <v>7895</v>
      </c>
    </row>
    <row r="2352" customFormat="false" ht="15" hidden="false" customHeight="false" outlineLevel="0" collapsed="false">
      <c r="B2352" s="19" t="s">
        <v>10526</v>
      </c>
      <c r="C2352" s="20" t="n">
        <f aca="false">ROUND(4.94/FX,2)</f>
        <v>0.69</v>
      </c>
      <c r="D2352" s="21" t="s">
        <v>8668</v>
      </c>
      <c r="E2352" s="21" t="s">
        <v>10204</v>
      </c>
      <c r="F2352" s="21" t="s">
        <v>10287</v>
      </c>
      <c r="G2352" s="21" t="s">
        <v>10516</v>
      </c>
      <c r="H2352" s="21" t="s">
        <v>7895</v>
      </c>
    </row>
    <row r="2353" customFormat="false" ht="15" hidden="false" customHeight="false" outlineLevel="0" collapsed="false">
      <c r="B2353" s="19" t="s">
        <v>10527</v>
      </c>
      <c r="C2353" s="20" t="n">
        <f aca="false">ROUND(4.94/FX,2)</f>
        <v>0.69</v>
      </c>
      <c r="D2353" s="21" t="s">
        <v>8668</v>
      </c>
      <c r="E2353" s="21" t="s">
        <v>10204</v>
      </c>
      <c r="F2353" s="21" t="s">
        <v>10287</v>
      </c>
      <c r="G2353" s="21" t="s">
        <v>10516</v>
      </c>
      <c r="H2353" s="21" t="s">
        <v>8349</v>
      </c>
    </row>
    <row r="2354" customFormat="false" ht="15" hidden="false" customHeight="false" outlineLevel="0" collapsed="false">
      <c r="B2354" s="19" t="s">
        <v>10528</v>
      </c>
      <c r="C2354" s="20" t="n">
        <f aca="false">ROUND(4.94/FX,2)</f>
        <v>0.69</v>
      </c>
      <c r="D2354" s="21" t="s">
        <v>8668</v>
      </c>
      <c r="E2354" s="21" t="s">
        <v>10204</v>
      </c>
      <c r="F2354" s="21" t="s">
        <v>10287</v>
      </c>
      <c r="G2354" s="21" t="s">
        <v>10516</v>
      </c>
      <c r="H2354" s="21" t="s">
        <v>7966</v>
      </c>
    </row>
    <row r="2355" customFormat="false" ht="15" hidden="false" customHeight="false" outlineLevel="0" collapsed="false">
      <c r="B2355" s="19" t="s">
        <v>10529</v>
      </c>
      <c r="C2355" s="20" t="n">
        <f aca="false">ROUND(4.94/FX,2)</f>
        <v>0.69</v>
      </c>
      <c r="D2355" s="21" t="s">
        <v>8668</v>
      </c>
      <c r="E2355" s="21" t="s">
        <v>10204</v>
      </c>
      <c r="F2355" s="21" t="s">
        <v>10287</v>
      </c>
      <c r="G2355" s="21" t="s">
        <v>10516</v>
      </c>
      <c r="H2355" s="21" t="s">
        <v>8382</v>
      </c>
    </row>
    <row r="2356" customFormat="false" ht="15" hidden="false" customHeight="false" outlineLevel="0" collapsed="false">
      <c r="B2356" s="19" t="s">
        <v>10530</v>
      </c>
      <c r="C2356" s="20" t="n">
        <f aca="false">ROUND(3.9/FX,2)</f>
        <v>0.54</v>
      </c>
      <c r="D2356" s="21" t="s">
        <v>8668</v>
      </c>
      <c r="E2356" s="21" t="s">
        <v>10335</v>
      </c>
      <c r="F2356" s="21" t="s">
        <v>10287</v>
      </c>
      <c r="G2356" s="21" t="s">
        <v>10516</v>
      </c>
      <c r="H2356" s="21" t="s">
        <v>7899</v>
      </c>
    </row>
    <row r="2357" customFormat="false" ht="15" hidden="false" customHeight="false" outlineLevel="0" collapsed="false">
      <c r="B2357" s="19" t="s">
        <v>10531</v>
      </c>
      <c r="C2357" s="20" t="n">
        <f aca="false">ROUND(4.94/FX,2)</f>
        <v>0.69</v>
      </c>
      <c r="D2357" s="21" t="s">
        <v>8668</v>
      </c>
      <c r="E2357" s="21" t="s">
        <v>10204</v>
      </c>
      <c r="F2357" s="21" t="s">
        <v>10287</v>
      </c>
      <c r="G2357" s="21" t="s">
        <v>10516</v>
      </c>
      <c r="H2357" s="21" t="s">
        <v>7899</v>
      </c>
    </row>
    <row r="2358" customFormat="false" ht="15" hidden="false" customHeight="false" outlineLevel="0" collapsed="false">
      <c r="B2358" s="19" t="s">
        <v>10532</v>
      </c>
      <c r="C2358" s="20" t="n">
        <f aca="false">ROUND(3.3/FX,2)</f>
        <v>0.46</v>
      </c>
      <c r="D2358" s="21" t="s">
        <v>8668</v>
      </c>
      <c r="E2358" s="21" t="s">
        <v>10335</v>
      </c>
      <c r="F2358" s="21" t="s">
        <v>10287</v>
      </c>
      <c r="G2358" s="21" t="s">
        <v>10516</v>
      </c>
      <c r="H2358" s="21" t="s">
        <v>7866</v>
      </c>
    </row>
    <row r="2359" customFormat="false" ht="15" hidden="false" customHeight="false" outlineLevel="0" collapsed="false">
      <c r="B2359" s="19" t="s">
        <v>10533</v>
      </c>
      <c r="C2359" s="20" t="n">
        <f aca="false">ROUND(4.94/FX,2)</f>
        <v>0.69</v>
      </c>
      <c r="D2359" s="21" t="s">
        <v>8668</v>
      </c>
      <c r="E2359" s="21" t="s">
        <v>10204</v>
      </c>
      <c r="F2359" s="21" t="s">
        <v>10287</v>
      </c>
      <c r="G2359" s="21" t="s">
        <v>10516</v>
      </c>
      <c r="H2359" s="21" t="s">
        <v>8396</v>
      </c>
    </row>
    <row r="2360" customFormat="false" ht="15" hidden="false" customHeight="false" outlineLevel="0" collapsed="false">
      <c r="B2360" s="19" t="s">
        <v>10534</v>
      </c>
      <c r="C2360" s="20" t="n">
        <f aca="false">ROUND(4.94/FX,2)</f>
        <v>0.69</v>
      </c>
      <c r="D2360" s="21" t="s">
        <v>8668</v>
      </c>
      <c r="E2360" s="21" t="s">
        <v>10204</v>
      </c>
      <c r="F2360" s="21" t="s">
        <v>10287</v>
      </c>
      <c r="G2360" s="21" t="s">
        <v>10516</v>
      </c>
      <c r="H2360" s="21" t="s">
        <v>8401</v>
      </c>
    </row>
    <row r="2361" customFormat="false" ht="15" hidden="false" customHeight="false" outlineLevel="0" collapsed="false">
      <c r="B2361" s="19" t="s">
        <v>10535</v>
      </c>
      <c r="C2361" s="20" t="n">
        <f aca="false">ROUND(4.94/FX,2)</f>
        <v>0.69</v>
      </c>
      <c r="D2361" s="21" t="s">
        <v>8668</v>
      </c>
      <c r="E2361" s="21" t="s">
        <v>10204</v>
      </c>
      <c r="F2361" s="21" t="s">
        <v>10287</v>
      </c>
      <c r="G2361" s="21" t="s">
        <v>10516</v>
      </c>
      <c r="H2361" s="21" t="s">
        <v>8409</v>
      </c>
    </row>
    <row r="2362" customFormat="false" ht="15" hidden="false" customHeight="false" outlineLevel="0" collapsed="false">
      <c r="B2362" s="19" t="s">
        <v>10536</v>
      </c>
      <c r="C2362" s="20" t="n">
        <f aca="false">ROUND(1.56/FX,2)</f>
        <v>0.22</v>
      </c>
      <c r="D2362" s="21" t="s">
        <v>7884</v>
      </c>
      <c r="E2362" s="21" t="s">
        <v>8168</v>
      </c>
      <c r="F2362" s="21" t="s">
        <v>10272</v>
      </c>
      <c r="G2362" s="21" t="s">
        <v>10537</v>
      </c>
      <c r="H2362" s="21" t="s">
        <v>7833</v>
      </c>
    </row>
    <row r="2363" customFormat="false" ht="15" hidden="false" customHeight="false" outlineLevel="0" collapsed="false">
      <c r="B2363" s="19" t="s">
        <v>10538</v>
      </c>
      <c r="C2363" s="20" t="n">
        <f aca="false">ROUND(1.43/FX,2)</f>
        <v>0.2</v>
      </c>
      <c r="D2363" s="21" t="s">
        <v>7884</v>
      </c>
      <c r="E2363" s="21" t="s">
        <v>8168</v>
      </c>
      <c r="F2363" s="21" t="s">
        <v>10274</v>
      </c>
      <c r="G2363" s="21" t="s">
        <v>10537</v>
      </c>
      <c r="H2363" s="21" t="s">
        <v>7833</v>
      </c>
    </row>
    <row r="2364" customFormat="false" ht="15" hidden="false" customHeight="false" outlineLevel="0" collapsed="false">
      <c r="B2364" s="19" t="s">
        <v>10539</v>
      </c>
      <c r="C2364" s="20" t="n">
        <f aca="false">ROUND(2.08/FX,2)</f>
        <v>0.29</v>
      </c>
      <c r="D2364" s="21" t="s">
        <v>7884</v>
      </c>
      <c r="E2364" s="21" t="s">
        <v>8168</v>
      </c>
      <c r="F2364" s="21" t="s">
        <v>10272</v>
      </c>
      <c r="G2364" s="21" t="s">
        <v>10537</v>
      </c>
      <c r="H2364" s="21" t="s">
        <v>7891</v>
      </c>
    </row>
    <row r="2365" customFormat="false" ht="15" hidden="false" customHeight="false" outlineLevel="0" collapsed="false">
      <c r="B2365" s="19" t="s">
        <v>10540</v>
      </c>
      <c r="C2365" s="20" t="n">
        <f aca="false">ROUND(1.95/FX,2)</f>
        <v>0.27</v>
      </c>
      <c r="D2365" s="21" t="s">
        <v>7884</v>
      </c>
      <c r="E2365" s="21" t="s">
        <v>8168</v>
      </c>
      <c r="F2365" s="21" t="s">
        <v>10274</v>
      </c>
      <c r="G2365" s="21" t="s">
        <v>10537</v>
      </c>
      <c r="H2365" s="21" t="s">
        <v>7891</v>
      </c>
    </row>
    <row r="2366" customFormat="false" ht="15" hidden="false" customHeight="false" outlineLevel="0" collapsed="false">
      <c r="B2366" s="19" t="s">
        <v>10541</v>
      </c>
      <c r="C2366" s="20" t="n">
        <f aca="false">ROUND(1.56/FX,2)</f>
        <v>0.22</v>
      </c>
      <c r="D2366" s="21" t="s">
        <v>7884</v>
      </c>
      <c r="E2366" s="21" t="s">
        <v>8168</v>
      </c>
      <c r="F2366" s="21" t="s">
        <v>10272</v>
      </c>
      <c r="G2366" s="21" t="s">
        <v>10537</v>
      </c>
      <c r="H2366" s="21" t="s">
        <v>7893</v>
      </c>
    </row>
    <row r="2367" customFormat="false" ht="15" hidden="false" customHeight="false" outlineLevel="0" collapsed="false">
      <c r="B2367" s="19" t="s">
        <v>10542</v>
      </c>
      <c r="C2367" s="20" t="n">
        <f aca="false">ROUND(1.43/FX,2)</f>
        <v>0.2</v>
      </c>
      <c r="D2367" s="21" t="s">
        <v>7884</v>
      </c>
      <c r="E2367" s="21" t="s">
        <v>8168</v>
      </c>
      <c r="F2367" s="21" t="s">
        <v>10274</v>
      </c>
      <c r="G2367" s="21" t="s">
        <v>10537</v>
      </c>
      <c r="H2367" s="21" t="s">
        <v>7893</v>
      </c>
    </row>
    <row r="2368" customFormat="false" ht="15" hidden="false" customHeight="false" outlineLevel="0" collapsed="false">
      <c r="B2368" s="19" t="s">
        <v>10543</v>
      </c>
      <c r="C2368" s="20" t="n">
        <f aca="false">ROUND(2.08/FX,2)</f>
        <v>0.29</v>
      </c>
      <c r="D2368" s="21" t="s">
        <v>7884</v>
      </c>
      <c r="E2368" s="21" t="s">
        <v>8168</v>
      </c>
      <c r="F2368" s="21" t="s">
        <v>10272</v>
      </c>
      <c r="G2368" s="21" t="s">
        <v>10537</v>
      </c>
      <c r="H2368" s="21" t="s">
        <v>7895</v>
      </c>
    </row>
    <row r="2369" customFormat="false" ht="15" hidden="false" customHeight="false" outlineLevel="0" collapsed="false">
      <c r="B2369" s="19" t="s">
        <v>10544</v>
      </c>
      <c r="C2369" s="20" t="n">
        <f aca="false">ROUND(1.95/FX,2)</f>
        <v>0.27</v>
      </c>
      <c r="D2369" s="21" t="s">
        <v>7884</v>
      </c>
      <c r="E2369" s="21" t="s">
        <v>8168</v>
      </c>
      <c r="F2369" s="21" t="s">
        <v>10274</v>
      </c>
      <c r="G2369" s="21" t="s">
        <v>10537</v>
      </c>
      <c r="H2369" s="21" t="s">
        <v>7895</v>
      </c>
    </row>
    <row r="2370" customFormat="false" ht="15" hidden="false" customHeight="false" outlineLevel="0" collapsed="false">
      <c r="B2370" s="19" t="s">
        <v>10545</v>
      </c>
      <c r="C2370" s="20" t="n">
        <f aca="false">ROUND(2.08/FX,2)</f>
        <v>0.29</v>
      </c>
      <c r="D2370" s="21" t="s">
        <v>7884</v>
      </c>
      <c r="E2370" s="21" t="s">
        <v>8168</v>
      </c>
      <c r="F2370" s="21" t="s">
        <v>10272</v>
      </c>
      <c r="G2370" s="21" t="s">
        <v>10537</v>
      </c>
      <c r="H2370" s="21" t="s">
        <v>7899</v>
      </c>
    </row>
    <row r="2371" customFormat="false" ht="15" hidden="false" customHeight="false" outlineLevel="0" collapsed="false">
      <c r="B2371" s="19" t="s">
        <v>10546</v>
      </c>
      <c r="C2371" s="20" t="n">
        <f aca="false">ROUND(1.95/FX,2)</f>
        <v>0.27</v>
      </c>
      <c r="D2371" s="21" t="s">
        <v>7884</v>
      </c>
      <c r="E2371" s="21" t="s">
        <v>8168</v>
      </c>
      <c r="F2371" s="21" t="s">
        <v>10274</v>
      </c>
      <c r="G2371" s="21" t="s">
        <v>10537</v>
      </c>
      <c r="H2371" s="21" t="s">
        <v>7899</v>
      </c>
    </row>
    <row r="2372" customFormat="false" ht="15" hidden="false" customHeight="false" outlineLevel="0" collapsed="false">
      <c r="B2372" s="19" t="s">
        <v>10547</v>
      </c>
      <c r="C2372" s="20" t="n">
        <f aca="false">ROUND(5.46/FX,2)</f>
        <v>0.76</v>
      </c>
      <c r="D2372" s="21" t="s">
        <v>8668</v>
      </c>
      <c r="E2372" s="21" t="s">
        <v>10204</v>
      </c>
      <c r="F2372" s="21" t="s">
        <v>10287</v>
      </c>
      <c r="G2372" s="21" t="s">
        <v>10548</v>
      </c>
      <c r="H2372" s="21" t="s">
        <v>7999</v>
      </c>
    </row>
    <row r="2373" customFormat="false" ht="15" hidden="false" customHeight="false" outlineLevel="0" collapsed="false">
      <c r="B2373" s="19" t="s">
        <v>10549</v>
      </c>
      <c r="C2373" s="20" t="n">
        <f aca="false">ROUND(5.46/FX,2)</f>
        <v>0.76</v>
      </c>
      <c r="D2373" s="21" t="s">
        <v>8668</v>
      </c>
      <c r="E2373" s="21" t="s">
        <v>10204</v>
      </c>
      <c r="F2373" s="21" t="s">
        <v>10287</v>
      </c>
      <c r="G2373" s="21" t="s">
        <v>10548</v>
      </c>
      <c r="H2373" s="21" t="s">
        <v>7985</v>
      </c>
    </row>
    <row r="2374" customFormat="false" ht="15" hidden="false" customHeight="false" outlineLevel="0" collapsed="false">
      <c r="B2374" s="19" t="s">
        <v>10550</v>
      </c>
      <c r="C2374" s="20" t="n">
        <f aca="false">ROUND(5.46/FX,2)</f>
        <v>0.76</v>
      </c>
      <c r="D2374" s="21" t="s">
        <v>8668</v>
      </c>
      <c r="E2374" s="21" t="s">
        <v>10204</v>
      </c>
      <c r="F2374" s="21" t="s">
        <v>10287</v>
      </c>
      <c r="G2374" s="21" t="s">
        <v>10548</v>
      </c>
      <c r="H2374" s="21" t="s">
        <v>8610</v>
      </c>
    </row>
    <row r="2375" customFormat="false" ht="15" hidden="false" customHeight="false" outlineLevel="0" collapsed="false">
      <c r="B2375" s="19" t="s">
        <v>10551</v>
      </c>
      <c r="C2375" s="20" t="n">
        <f aca="false">ROUND(5.46/FX,2)</f>
        <v>0.76</v>
      </c>
      <c r="D2375" s="21" t="s">
        <v>8668</v>
      </c>
      <c r="E2375" s="21" t="s">
        <v>10204</v>
      </c>
      <c r="F2375" s="21" t="s">
        <v>10287</v>
      </c>
      <c r="G2375" s="21" t="s">
        <v>10548</v>
      </c>
      <c r="H2375" s="21" t="s">
        <v>7989</v>
      </c>
    </row>
    <row r="2376" customFormat="false" ht="15" hidden="false" customHeight="false" outlineLevel="0" collapsed="false">
      <c r="B2376" s="19" t="s">
        <v>10552</v>
      </c>
      <c r="C2376" s="20" t="n">
        <f aca="false">ROUND(5.46/FX,2)</f>
        <v>0.76</v>
      </c>
      <c r="D2376" s="21" t="s">
        <v>8668</v>
      </c>
      <c r="E2376" s="21" t="s">
        <v>10204</v>
      </c>
      <c r="F2376" s="21" t="s">
        <v>10287</v>
      </c>
      <c r="G2376" s="21" t="s">
        <v>10548</v>
      </c>
      <c r="H2376" s="21" t="s">
        <v>7992</v>
      </c>
    </row>
    <row r="2377" customFormat="false" ht="15" hidden="false" customHeight="false" outlineLevel="0" collapsed="false">
      <c r="B2377" s="19" t="s">
        <v>10553</v>
      </c>
      <c r="C2377" s="20" t="n">
        <f aca="false">ROUND(5.46/FX,2)</f>
        <v>0.76</v>
      </c>
      <c r="D2377" s="21" t="s">
        <v>8668</v>
      </c>
      <c r="E2377" s="21" t="s">
        <v>10204</v>
      </c>
      <c r="F2377" s="21" t="s">
        <v>10287</v>
      </c>
      <c r="G2377" s="21" t="s">
        <v>10548</v>
      </c>
      <c r="H2377" s="21" t="s">
        <v>8035</v>
      </c>
    </row>
    <row r="2378" customFormat="false" ht="15" hidden="false" customHeight="false" outlineLevel="0" collapsed="false">
      <c r="B2378" s="19" t="s">
        <v>10554</v>
      </c>
      <c r="C2378" s="20" t="n">
        <f aca="false">ROUND(5.46/FX,2)</f>
        <v>0.76</v>
      </c>
      <c r="D2378" s="21" t="s">
        <v>8668</v>
      </c>
      <c r="E2378" s="21" t="s">
        <v>10204</v>
      </c>
      <c r="F2378" s="21" t="s">
        <v>10287</v>
      </c>
      <c r="G2378" s="21" t="s">
        <v>10548</v>
      </c>
      <c r="H2378" s="21" t="s">
        <v>8659</v>
      </c>
    </row>
    <row r="2379" customFormat="false" ht="15" hidden="false" customHeight="false" outlineLevel="0" collapsed="false">
      <c r="B2379" s="19" t="s">
        <v>10555</v>
      </c>
      <c r="C2379" s="20" t="n">
        <f aca="false">ROUND(5.46/FX,2)</f>
        <v>0.76</v>
      </c>
      <c r="D2379" s="21" t="s">
        <v>8668</v>
      </c>
      <c r="E2379" s="21" t="s">
        <v>10204</v>
      </c>
      <c r="F2379" s="21" t="s">
        <v>10287</v>
      </c>
      <c r="G2379" s="21" t="s">
        <v>10548</v>
      </c>
      <c r="H2379" s="21" t="s">
        <v>7994</v>
      </c>
    </row>
    <row r="2380" customFormat="false" ht="15" hidden="false" customHeight="false" outlineLevel="0" collapsed="false">
      <c r="B2380" s="19" t="s">
        <v>10556</v>
      </c>
      <c r="C2380" s="20" t="n">
        <f aca="false">ROUND(5.46/FX,2)</f>
        <v>0.76</v>
      </c>
      <c r="D2380" s="21" t="s">
        <v>8668</v>
      </c>
      <c r="E2380" s="21" t="s">
        <v>10204</v>
      </c>
      <c r="F2380" s="21" t="s">
        <v>10287</v>
      </c>
      <c r="G2380" s="21" t="s">
        <v>10548</v>
      </c>
      <c r="H2380" s="21" t="s">
        <v>8022</v>
      </c>
    </row>
    <row r="2381" customFormat="false" ht="15" hidden="false" customHeight="false" outlineLevel="0" collapsed="false">
      <c r="B2381" s="19" t="s">
        <v>10557</v>
      </c>
      <c r="C2381" s="20" t="n">
        <f aca="false">ROUND(2.22/FX,2)</f>
        <v>0.31</v>
      </c>
      <c r="D2381" s="21" t="s">
        <v>6549</v>
      </c>
      <c r="E2381" s="21" t="s">
        <v>8168</v>
      </c>
      <c r="F2381" s="21" t="s">
        <v>10558</v>
      </c>
      <c r="G2381" s="21" t="s">
        <v>7868</v>
      </c>
      <c r="H2381" s="21" t="s">
        <v>7875</v>
      </c>
    </row>
    <row r="2382" customFormat="false" ht="15" hidden="false" customHeight="false" outlineLevel="0" collapsed="false">
      <c r="B2382" s="19" t="s">
        <v>10559</v>
      </c>
      <c r="C2382" s="20" t="n">
        <f aca="false">ROUND(2.22/FX,2)</f>
        <v>0.31</v>
      </c>
      <c r="D2382" s="21" t="s">
        <v>6549</v>
      </c>
      <c r="E2382" s="21" t="s">
        <v>8168</v>
      </c>
      <c r="F2382" s="21" t="s">
        <v>10560</v>
      </c>
      <c r="G2382" s="21" t="s">
        <v>7868</v>
      </c>
      <c r="H2382" s="21" t="s">
        <v>7875</v>
      </c>
    </row>
    <row r="2383" customFormat="false" ht="15" hidden="false" customHeight="false" outlineLevel="0" collapsed="false">
      <c r="B2383" s="19" t="s">
        <v>10561</v>
      </c>
      <c r="C2383" s="20" t="n">
        <f aca="false">ROUND(2.22/FX,2)</f>
        <v>0.31</v>
      </c>
      <c r="D2383" s="21" t="s">
        <v>6549</v>
      </c>
      <c r="E2383" s="21" t="s">
        <v>8168</v>
      </c>
      <c r="F2383" s="21" t="s">
        <v>734</v>
      </c>
      <c r="G2383" s="21" t="s">
        <v>7868</v>
      </c>
      <c r="H2383" s="21" t="s">
        <v>7849</v>
      </c>
    </row>
    <row r="2384" customFormat="false" ht="15" hidden="false" customHeight="false" outlineLevel="0" collapsed="false">
      <c r="B2384" s="19" t="s">
        <v>10562</v>
      </c>
      <c r="C2384" s="20" t="n">
        <f aca="false">ROUND(2.22/FX,2)</f>
        <v>0.31</v>
      </c>
      <c r="D2384" s="21" t="s">
        <v>6549</v>
      </c>
      <c r="E2384" s="21" t="s">
        <v>8168</v>
      </c>
      <c r="F2384" s="21" t="s">
        <v>734</v>
      </c>
      <c r="G2384" s="21" t="s">
        <v>7868</v>
      </c>
      <c r="H2384" s="21" t="s">
        <v>7851</v>
      </c>
    </row>
    <row r="2385" customFormat="false" ht="15" hidden="false" customHeight="false" outlineLevel="0" collapsed="false">
      <c r="B2385" s="19" t="s">
        <v>10563</v>
      </c>
      <c r="C2385" s="20" t="n">
        <f aca="false">ROUND(2.22/FX,2)</f>
        <v>0.31</v>
      </c>
      <c r="D2385" s="21" t="s">
        <v>6549</v>
      </c>
      <c r="E2385" s="21" t="s">
        <v>8168</v>
      </c>
      <c r="F2385" s="21" t="s">
        <v>734</v>
      </c>
      <c r="G2385" s="21" t="s">
        <v>7868</v>
      </c>
      <c r="H2385" s="21" t="s">
        <v>7853</v>
      </c>
    </row>
    <row r="2386" customFormat="false" ht="15" hidden="false" customHeight="false" outlineLevel="0" collapsed="false">
      <c r="B2386" s="19" t="s">
        <v>10564</v>
      </c>
      <c r="C2386" s="20" t="n">
        <f aca="false">ROUND(2.22/FX,2)</f>
        <v>0.31</v>
      </c>
      <c r="D2386" s="21" t="s">
        <v>6549</v>
      </c>
      <c r="E2386" s="21" t="s">
        <v>8168</v>
      </c>
      <c r="F2386" s="21" t="s">
        <v>734</v>
      </c>
      <c r="G2386" s="21" t="s">
        <v>7868</v>
      </c>
      <c r="H2386" s="21" t="s">
        <v>7869</v>
      </c>
    </row>
    <row r="2387" customFormat="false" ht="15" hidden="false" customHeight="false" outlineLevel="0" collapsed="false">
      <c r="B2387" s="19" t="s">
        <v>10565</v>
      </c>
      <c r="C2387" s="20" t="n">
        <f aca="false">ROUND(2.08/FX,2)</f>
        <v>0.29</v>
      </c>
      <c r="D2387" s="21" t="s">
        <v>6549</v>
      </c>
      <c r="E2387" s="21" t="s">
        <v>8168</v>
      </c>
      <c r="F2387" s="21" t="s">
        <v>734</v>
      </c>
      <c r="G2387" s="21" t="s">
        <v>7868</v>
      </c>
      <c r="H2387" s="21" t="s">
        <v>8255</v>
      </c>
    </row>
    <row r="2388" customFormat="false" ht="15" hidden="false" customHeight="false" outlineLevel="0" collapsed="false">
      <c r="B2388" s="19" t="s">
        <v>10566</v>
      </c>
      <c r="C2388" s="20" t="n">
        <f aca="false">ROUND(2.22/FX,2)</f>
        <v>0.31</v>
      </c>
      <c r="D2388" s="21" t="s">
        <v>6549</v>
      </c>
      <c r="E2388" s="21" t="s">
        <v>8168</v>
      </c>
      <c r="F2388" s="21" t="s">
        <v>734</v>
      </c>
      <c r="G2388" s="21" t="s">
        <v>7868</v>
      </c>
      <c r="H2388" s="21" t="s">
        <v>7933</v>
      </c>
    </row>
    <row r="2389" customFormat="false" ht="15" hidden="false" customHeight="false" outlineLevel="0" collapsed="false">
      <c r="B2389" s="19" t="s">
        <v>10567</v>
      </c>
      <c r="C2389" s="20" t="n">
        <f aca="false">ROUND(2.22/FX,2)</f>
        <v>0.31</v>
      </c>
      <c r="D2389" s="21" t="s">
        <v>6549</v>
      </c>
      <c r="E2389" s="21" t="s">
        <v>8168</v>
      </c>
      <c r="F2389" s="21" t="s">
        <v>734</v>
      </c>
      <c r="G2389" s="21" t="s">
        <v>7868</v>
      </c>
      <c r="H2389" s="21" t="s">
        <v>7829</v>
      </c>
    </row>
    <row r="2390" customFormat="false" ht="15" hidden="false" customHeight="false" outlineLevel="0" collapsed="false">
      <c r="B2390" s="19" t="s">
        <v>10568</v>
      </c>
      <c r="C2390" s="20" t="n">
        <f aca="false">ROUND(2.22/FX,2)</f>
        <v>0.31</v>
      </c>
      <c r="D2390" s="21" t="s">
        <v>6549</v>
      </c>
      <c r="E2390" s="21" t="s">
        <v>8168</v>
      </c>
      <c r="F2390" s="21" t="s">
        <v>734</v>
      </c>
      <c r="G2390" s="21" t="s">
        <v>7868</v>
      </c>
      <c r="H2390" s="21" t="s">
        <v>7831</v>
      </c>
    </row>
    <row r="2391" customFormat="false" ht="15" hidden="false" customHeight="false" outlineLevel="0" collapsed="false">
      <c r="B2391" s="19" t="s">
        <v>10569</v>
      </c>
      <c r="C2391" s="20" t="n">
        <f aca="false">ROUND(2.22/FX,2)</f>
        <v>0.31</v>
      </c>
      <c r="D2391" s="21" t="s">
        <v>6549</v>
      </c>
      <c r="E2391" s="21" t="s">
        <v>8168</v>
      </c>
      <c r="F2391" s="21" t="s">
        <v>734</v>
      </c>
      <c r="G2391" s="21" t="s">
        <v>7868</v>
      </c>
      <c r="H2391" s="21" t="s">
        <v>7944</v>
      </c>
    </row>
    <row r="2392" customFormat="false" ht="15" hidden="false" customHeight="false" outlineLevel="0" collapsed="false">
      <c r="B2392" s="19" t="s">
        <v>10570</v>
      </c>
      <c r="C2392" s="20" t="n">
        <f aca="false">ROUND(2.22/FX,2)</f>
        <v>0.31</v>
      </c>
      <c r="D2392" s="21" t="s">
        <v>6549</v>
      </c>
      <c r="E2392" s="21" t="s">
        <v>8168</v>
      </c>
      <c r="F2392" s="21" t="s">
        <v>734</v>
      </c>
      <c r="G2392" s="21" t="s">
        <v>7868</v>
      </c>
      <c r="H2392" s="21" t="s">
        <v>7946</v>
      </c>
    </row>
    <row r="2393" customFormat="false" ht="28.35" hidden="false" customHeight="false" outlineLevel="0" collapsed="false">
      <c r="B2393" s="19" t="s">
        <v>10571</v>
      </c>
      <c r="C2393" s="20" t="n">
        <f aca="false">ROUND(2.33/FX,2)</f>
        <v>0.32</v>
      </c>
      <c r="D2393" s="21" t="s">
        <v>6549</v>
      </c>
      <c r="E2393" s="21" t="s">
        <v>8168</v>
      </c>
      <c r="F2393" s="21" t="s">
        <v>10336</v>
      </c>
      <c r="G2393" s="21" t="s">
        <v>7868</v>
      </c>
      <c r="H2393" s="21" t="s">
        <v>7833</v>
      </c>
    </row>
    <row r="2394" customFormat="false" ht="28.35" hidden="false" customHeight="false" outlineLevel="0" collapsed="false">
      <c r="B2394" s="19" t="s">
        <v>10572</v>
      </c>
      <c r="C2394" s="20" t="n">
        <f aca="false">ROUND(2.22/FX,2)</f>
        <v>0.31</v>
      </c>
      <c r="D2394" s="21" t="s">
        <v>6549</v>
      </c>
      <c r="E2394" s="21" t="s">
        <v>8168</v>
      </c>
      <c r="F2394" s="21" t="s">
        <v>10338</v>
      </c>
      <c r="G2394" s="21" t="s">
        <v>7868</v>
      </c>
      <c r="H2394" s="21" t="s">
        <v>7833</v>
      </c>
    </row>
    <row r="2395" customFormat="false" ht="15" hidden="false" customHeight="false" outlineLevel="0" collapsed="false">
      <c r="B2395" s="19" t="s">
        <v>10573</v>
      </c>
      <c r="C2395" s="20" t="n">
        <f aca="false">ROUND(2.22/FX,2)</f>
        <v>0.31</v>
      </c>
      <c r="D2395" s="21" t="s">
        <v>6549</v>
      </c>
      <c r="E2395" s="21" t="s">
        <v>8168</v>
      </c>
      <c r="F2395" s="21" t="s">
        <v>734</v>
      </c>
      <c r="G2395" s="21" t="s">
        <v>7868</v>
      </c>
      <c r="H2395" s="21" t="s">
        <v>7860</v>
      </c>
    </row>
    <row r="2396" customFormat="false" ht="15" hidden="false" customHeight="false" outlineLevel="0" collapsed="false">
      <c r="B2396" s="19" t="s">
        <v>10574</v>
      </c>
      <c r="C2396" s="20" t="n">
        <f aca="false">ROUND(2.22/FX,2)</f>
        <v>0.31</v>
      </c>
      <c r="D2396" s="21" t="s">
        <v>6549</v>
      </c>
      <c r="E2396" s="21" t="s">
        <v>8168</v>
      </c>
      <c r="F2396" s="21" t="s">
        <v>734</v>
      </c>
      <c r="G2396" s="21" t="s">
        <v>7868</v>
      </c>
      <c r="H2396" s="21" t="s">
        <v>7893</v>
      </c>
    </row>
    <row r="2397" customFormat="false" ht="15" hidden="false" customHeight="false" outlineLevel="0" collapsed="false">
      <c r="B2397" s="19" t="s">
        <v>10575</v>
      </c>
      <c r="C2397" s="20" t="n">
        <f aca="false">ROUND(2.22/FX,2)</f>
        <v>0.31</v>
      </c>
      <c r="D2397" s="21" t="s">
        <v>6549</v>
      </c>
      <c r="E2397" s="21" t="s">
        <v>8168</v>
      </c>
      <c r="F2397" s="21" t="s">
        <v>734</v>
      </c>
      <c r="G2397" s="21" t="s">
        <v>7868</v>
      </c>
      <c r="H2397" s="21" t="s">
        <v>7862</v>
      </c>
    </row>
    <row r="2398" customFormat="false" ht="28.35" hidden="false" customHeight="false" outlineLevel="0" collapsed="false">
      <c r="B2398" s="19" t="s">
        <v>10576</v>
      </c>
      <c r="C2398" s="20" t="n">
        <f aca="false">ROUND(2.08/FX,2)</f>
        <v>0.29</v>
      </c>
      <c r="D2398" s="21" t="s">
        <v>6549</v>
      </c>
      <c r="E2398" s="21" t="s">
        <v>8168</v>
      </c>
      <c r="F2398" s="21" t="s">
        <v>10577</v>
      </c>
      <c r="G2398" s="21" t="s">
        <v>7868</v>
      </c>
      <c r="H2398" s="21" t="s">
        <v>7961</v>
      </c>
    </row>
    <row r="2399" customFormat="false" ht="28.35" hidden="false" customHeight="false" outlineLevel="0" collapsed="false">
      <c r="B2399" s="19" t="s">
        <v>10578</v>
      </c>
      <c r="C2399" s="20" t="n">
        <f aca="false">ROUND(2.23/FX,2)</f>
        <v>0.31</v>
      </c>
      <c r="D2399" s="21" t="s">
        <v>6549</v>
      </c>
      <c r="E2399" s="21" t="s">
        <v>8168</v>
      </c>
      <c r="F2399" s="21" t="s">
        <v>10336</v>
      </c>
      <c r="G2399" s="21" t="s">
        <v>7868</v>
      </c>
      <c r="H2399" s="21" t="s">
        <v>7961</v>
      </c>
    </row>
    <row r="2400" customFormat="false" ht="28.35" hidden="false" customHeight="false" outlineLevel="0" collapsed="false">
      <c r="B2400" s="19" t="s">
        <v>10579</v>
      </c>
      <c r="C2400" s="20" t="n">
        <f aca="false">ROUND(2.13/FX,2)</f>
        <v>0.3</v>
      </c>
      <c r="D2400" s="21" t="s">
        <v>6549</v>
      </c>
      <c r="E2400" s="21" t="s">
        <v>8168</v>
      </c>
      <c r="F2400" s="21" t="s">
        <v>10338</v>
      </c>
      <c r="G2400" s="21" t="s">
        <v>7868</v>
      </c>
      <c r="H2400" s="21" t="s">
        <v>7961</v>
      </c>
    </row>
    <row r="2401" customFormat="false" ht="15" hidden="false" customHeight="false" outlineLevel="0" collapsed="false">
      <c r="B2401" s="19" t="s">
        <v>10580</v>
      </c>
      <c r="C2401" s="20" t="n">
        <f aca="false">ROUND(2.22/FX,2)</f>
        <v>0.31</v>
      </c>
      <c r="D2401" s="21" t="s">
        <v>6549</v>
      </c>
      <c r="E2401" s="21" t="s">
        <v>8168</v>
      </c>
      <c r="F2401" s="21" t="s">
        <v>10560</v>
      </c>
      <c r="G2401" s="21" t="s">
        <v>7868</v>
      </c>
      <c r="H2401" s="21" t="s">
        <v>7872</v>
      </c>
    </row>
    <row r="2402" customFormat="false" ht="28.35" hidden="false" customHeight="false" outlineLevel="0" collapsed="false">
      <c r="B2402" s="19" t="s">
        <v>10581</v>
      </c>
      <c r="C2402" s="20" t="n">
        <f aca="false">ROUND(2/FX,2)</f>
        <v>0.28</v>
      </c>
      <c r="D2402" s="21" t="s">
        <v>6549</v>
      </c>
      <c r="E2402" s="21" t="s">
        <v>8168</v>
      </c>
      <c r="F2402" s="21" t="s">
        <v>10205</v>
      </c>
      <c r="G2402" s="21" t="s">
        <v>7868</v>
      </c>
      <c r="H2402" s="21" t="s">
        <v>7899</v>
      </c>
    </row>
    <row r="2403" customFormat="false" ht="28.35" hidden="false" customHeight="false" outlineLevel="0" collapsed="false">
      <c r="B2403" s="19" t="s">
        <v>10582</v>
      </c>
      <c r="C2403" s="20" t="n">
        <f aca="false">ROUND(1.87/FX,2)</f>
        <v>0.26</v>
      </c>
      <c r="D2403" s="21" t="s">
        <v>6549</v>
      </c>
      <c r="E2403" s="21" t="s">
        <v>8168</v>
      </c>
      <c r="F2403" s="21" t="s">
        <v>10209</v>
      </c>
      <c r="G2403" s="21" t="s">
        <v>7868</v>
      </c>
      <c r="H2403" s="21" t="s">
        <v>7899</v>
      </c>
    </row>
    <row r="2404" customFormat="false" ht="15" hidden="false" customHeight="false" outlineLevel="0" collapsed="false">
      <c r="B2404" s="19" t="s">
        <v>10583</v>
      </c>
      <c r="C2404" s="20" t="n">
        <f aca="false">ROUND(2.22/FX,2)</f>
        <v>0.31</v>
      </c>
      <c r="D2404" s="21" t="s">
        <v>6549</v>
      </c>
      <c r="E2404" s="21" t="s">
        <v>8168</v>
      </c>
      <c r="F2404" s="21" t="s">
        <v>10558</v>
      </c>
      <c r="G2404" s="21" t="s">
        <v>7868</v>
      </c>
      <c r="H2404" s="21" t="s">
        <v>7866</v>
      </c>
    </row>
    <row r="2405" customFormat="false" ht="15" hidden="false" customHeight="false" outlineLevel="0" collapsed="false">
      <c r="B2405" s="19" t="s">
        <v>10584</v>
      </c>
      <c r="C2405" s="20" t="n">
        <f aca="false">ROUND(2.22/FX,2)</f>
        <v>0.31</v>
      </c>
      <c r="D2405" s="21" t="s">
        <v>6549</v>
      </c>
      <c r="E2405" s="21" t="s">
        <v>8168</v>
      </c>
      <c r="F2405" s="21" t="s">
        <v>10560</v>
      </c>
      <c r="G2405" s="21" t="s">
        <v>7868</v>
      </c>
      <c r="H2405" s="21" t="s">
        <v>7866</v>
      </c>
    </row>
    <row r="2406" customFormat="false" ht="15" hidden="false" customHeight="false" outlineLevel="0" collapsed="false">
      <c r="B2406" s="19" t="s">
        <v>10585</v>
      </c>
      <c r="C2406" s="20" t="n">
        <f aca="false">ROUND(4.55/FX,2)</f>
        <v>0.63</v>
      </c>
      <c r="D2406" s="21" t="s">
        <v>6549</v>
      </c>
      <c r="E2406" s="21" t="s">
        <v>8168</v>
      </c>
      <c r="F2406" s="21" t="s">
        <v>734</v>
      </c>
      <c r="G2406" s="21" t="s">
        <v>10586</v>
      </c>
      <c r="H2406" s="21" t="s">
        <v>7999</v>
      </c>
    </row>
    <row r="2407" customFormat="false" ht="15" hidden="false" customHeight="false" outlineLevel="0" collapsed="false">
      <c r="B2407" s="19" t="s">
        <v>10587</v>
      </c>
      <c r="C2407" s="20" t="n">
        <f aca="false">ROUND(4.55/FX,2)</f>
        <v>0.63</v>
      </c>
      <c r="D2407" s="21" t="s">
        <v>6549</v>
      </c>
      <c r="E2407" s="21" t="s">
        <v>8168</v>
      </c>
      <c r="F2407" s="21" t="s">
        <v>734</v>
      </c>
      <c r="G2407" s="21" t="s">
        <v>10586</v>
      </c>
      <c r="H2407" s="21" t="s">
        <v>7985</v>
      </c>
    </row>
    <row r="2408" customFormat="false" ht="15" hidden="false" customHeight="false" outlineLevel="0" collapsed="false">
      <c r="B2408" s="19" t="s">
        <v>10588</v>
      </c>
      <c r="C2408" s="20" t="n">
        <f aca="false">ROUND(4.55/FX,2)</f>
        <v>0.63</v>
      </c>
      <c r="D2408" s="21" t="s">
        <v>6549</v>
      </c>
      <c r="E2408" s="21" t="s">
        <v>8168</v>
      </c>
      <c r="F2408" s="21" t="s">
        <v>734</v>
      </c>
      <c r="G2408" s="21" t="s">
        <v>10586</v>
      </c>
      <c r="H2408" s="21" t="s">
        <v>7994</v>
      </c>
    </row>
    <row r="2409" customFormat="false" ht="15" hidden="false" customHeight="false" outlineLevel="0" collapsed="false">
      <c r="B2409" s="19" t="s">
        <v>10589</v>
      </c>
      <c r="C2409" s="20" t="n">
        <f aca="false">ROUND(8.84/FX,2)</f>
        <v>1.23</v>
      </c>
      <c r="D2409" s="21" t="s">
        <v>8668</v>
      </c>
      <c r="E2409" s="21" t="s">
        <v>10204</v>
      </c>
      <c r="F2409" s="21" t="s">
        <v>10590</v>
      </c>
      <c r="G2409" s="21" t="s">
        <v>7902</v>
      </c>
      <c r="H2409" s="21" t="s">
        <v>7875</v>
      </c>
    </row>
    <row r="2410" customFormat="false" ht="15" hidden="false" customHeight="false" outlineLevel="0" collapsed="false">
      <c r="B2410" s="19" t="s">
        <v>10591</v>
      </c>
      <c r="C2410" s="20" t="n">
        <f aca="false">ROUND(8.84/FX,2)</f>
        <v>1.23</v>
      </c>
      <c r="D2410" s="21" t="s">
        <v>8668</v>
      </c>
      <c r="E2410" s="21" t="s">
        <v>10204</v>
      </c>
      <c r="F2410" s="21" t="s">
        <v>10287</v>
      </c>
      <c r="G2410" s="21" t="s">
        <v>7902</v>
      </c>
      <c r="H2410" s="21" t="s">
        <v>7875</v>
      </c>
    </row>
    <row r="2411" customFormat="false" ht="15" hidden="false" customHeight="false" outlineLevel="0" collapsed="false">
      <c r="B2411" s="19" t="s">
        <v>10592</v>
      </c>
      <c r="C2411" s="20" t="n">
        <f aca="false">ROUND(2.5/FX,2)</f>
        <v>0.35</v>
      </c>
      <c r="D2411" s="21" t="s">
        <v>6549</v>
      </c>
      <c r="E2411" s="21" t="s">
        <v>8168</v>
      </c>
      <c r="F2411" s="21" t="s">
        <v>10272</v>
      </c>
      <c r="G2411" s="21" t="s">
        <v>7902</v>
      </c>
      <c r="H2411" s="21" t="s">
        <v>7875</v>
      </c>
    </row>
    <row r="2412" customFormat="false" ht="15" hidden="false" customHeight="false" outlineLevel="0" collapsed="false">
      <c r="B2412" s="19" t="s">
        <v>10593</v>
      </c>
      <c r="C2412" s="20" t="n">
        <f aca="false">ROUND(8.84/FX,2)</f>
        <v>1.23</v>
      </c>
      <c r="D2412" s="21" t="s">
        <v>8668</v>
      </c>
      <c r="E2412" s="21" t="s">
        <v>10204</v>
      </c>
      <c r="F2412" s="21" t="s">
        <v>10287</v>
      </c>
      <c r="G2412" s="21" t="s">
        <v>7902</v>
      </c>
      <c r="H2412" s="21" t="s">
        <v>8580</v>
      </c>
    </row>
    <row r="2413" customFormat="false" ht="15" hidden="false" customHeight="false" outlineLevel="0" collapsed="false">
      <c r="B2413" s="19" t="s">
        <v>10594</v>
      </c>
      <c r="C2413" s="20" t="n">
        <f aca="false">ROUND(8.84/FX,2)</f>
        <v>1.23</v>
      </c>
      <c r="D2413" s="21" t="s">
        <v>8668</v>
      </c>
      <c r="E2413" s="21" t="s">
        <v>10204</v>
      </c>
      <c r="F2413" s="21" t="s">
        <v>10590</v>
      </c>
      <c r="G2413" s="21" t="s">
        <v>7902</v>
      </c>
      <c r="H2413" s="21" t="s">
        <v>7999</v>
      </c>
    </row>
    <row r="2414" customFormat="false" ht="15" hidden="false" customHeight="false" outlineLevel="0" collapsed="false">
      <c r="B2414" s="19" t="s">
        <v>10595</v>
      </c>
      <c r="C2414" s="20" t="n">
        <f aca="false">ROUND(8.84/FX,2)</f>
        <v>1.23</v>
      </c>
      <c r="D2414" s="21" t="s">
        <v>8668</v>
      </c>
      <c r="E2414" s="21" t="s">
        <v>10204</v>
      </c>
      <c r="F2414" s="21" t="s">
        <v>10287</v>
      </c>
      <c r="G2414" s="21" t="s">
        <v>7902</v>
      </c>
      <c r="H2414" s="21" t="s">
        <v>7999</v>
      </c>
    </row>
    <row r="2415" customFormat="false" ht="15" hidden="false" customHeight="false" outlineLevel="0" collapsed="false">
      <c r="B2415" s="19" t="s">
        <v>10596</v>
      </c>
      <c r="C2415" s="20" t="n">
        <f aca="false">ROUND(2.5/FX,2)</f>
        <v>0.35</v>
      </c>
      <c r="D2415" s="21" t="s">
        <v>6549</v>
      </c>
      <c r="E2415" s="21" t="s">
        <v>8168</v>
      </c>
      <c r="F2415" s="21" t="s">
        <v>10272</v>
      </c>
      <c r="G2415" s="21" t="s">
        <v>7902</v>
      </c>
      <c r="H2415" s="21" t="s">
        <v>7999</v>
      </c>
    </row>
    <row r="2416" customFormat="false" ht="15" hidden="false" customHeight="false" outlineLevel="0" collapsed="false">
      <c r="B2416" s="19" t="s">
        <v>10597</v>
      </c>
      <c r="C2416" s="20" t="n">
        <f aca="false">ROUND(8.84/FX,2)</f>
        <v>1.23</v>
      </c>
      <c r="D2416" s="21" t="s">
        <v>8668</v>
      </c>
      <c r="E2416" s="21" t="s">
        <v>10204</v>
      </c>
      <c r="F2416" s="21" t="s">
        <v>10287</v>
      </c>
      <c r="G2416" s="21" t="s">
        <v>7902</v>
      </c>
      <c r="H2416" s="21" t="s">
        <v>8058</v>
      </c>
    </row>
    <row r="2417" customFormat="false" ht="15" hidden="false" customHeight="false" outlineLevel="0" collapsed="false">
      <c r="B2417" s="19" t="s">
        <v>10598</v>
      </c>
      <c r="C2417" s="20" t="n">
        <f aca="false">ROUND(8.84/FX,2)</f>
        <v>1.23</v>
      </c>
      <c r="D2417" s="21" t="s">
        <v>8668</v>
      </c>
      <c r="E2417" s="21" t="s">
        <v>10204</v>
      </c>
      <c r="F2417" s="21" t="s">
        <v>10590</v>
      </c>
      <c r="G2417" s="21" t="s">
        <v>7902</v>
      </c>
      <c r="H2417" s="21" t="s">
        <v>8060</v>
      </c>
    </row>
    <row r="2418" customFormat="false" ht="15" hidden="false" customHeight="false" outlineLevel="0" collapsed="false">
      <c r="B2418" s="19" t="s">
        <v>10599</v>
      </c>
      <c r="C2418" s="20" t="n">
        <f aca="false">ROUND(2.5/FX,2)</f>
        <v>0.35</v>
      </c>
      <c r="D2418" s="21" t="s">
        <v>6549</v>
      </c>
      <c r="E2418" s="21" t="s">
        <v>8168</v>
      </c>
      <c r="F2418" s="21" t="s">
        <v>10272</v>
      </c>
      <c r="G2418" s="21" t="s">
        <v>7902</v>
      </c>
      <c r="H2418" s="21" t="s">
        <v>8060</v>
      </c>
    </row>
    <row r="2419" customFormat="false" ht="15" hidden="false" customHeight="false" outlineLevel="0" collapsed="false">
      <c r="B2419" s="19" t="s">
        <v>10600</v>
      </c>
      <c r="C2419" s="20" t="n">
        <f aca="false">ROUND(8.84/FX,2)</f>
        <v>1.23</v>
      </c>
      <c r="D2419" s="21" t="s">
        <v>8668</v>
      </c>
      <c r="E2419" s="21" t="s">
        <v>10204</v>
      </c>
      <c r="F2419" s="21" t="s">
        <v>10287</v>
      </c>
      <c r="G2419" s="21" t="s">
        <v>7902</v>
      </c>
      <c r="H2419" s="21" t="s">
        <v>8062</v>
      </c>
    </row>
    <row r="2420" customFormat="false" ht="15" hidden="false" customHeight="false" outlineLevel="0" collapsed="false">
      <c r="B2420" s="19" t="s">
        <v>10601</v>
      </c>
      <c r="C2420" s="20" t="n">
        <f aca="false">ROUND(8.84/FX,2)</f>
        <v>1.23</v>
      </c>
      <c r="D2420" s="21" t="s">
        <v>8668</v>
      </c>
      <c r="E2420" s="21" t="s">
        <v>10204</v>
      </c>
      <c r="F2420" s="21" t="s">
        <v>10287</v>
      </c>
      <c r="G2420" s="21" t="s">
        <v>7902</v>
      </c>
      <c r="H2420" s="21" t="s">
        <v>8064</v>
      </c>
    </row>
    <row r="2421" customFormat="false" ht="15" hidden="false" customHeight="false" outlineLevel="0" collapsed="false">
      <c r="B2421" s="19" t="s">
        <v>10602</v>
      </c>
      <c r="C2421" s="20" t="n">
        <f aca="false">ROUND(8.84/FX,2)</f>
        <v>1.23</v>
      </c>
      <c r="D2421" s="21" t="s">
        <v>8668</v>
      </c>
      <c r="E2421" s="21" t="s">
        <v>10204</v>
      </c>
      <c r="F2421" s="21" t="s">
        <v>10287</v>
      </c>
      <c r="G2421" s="21" t="s">
        <v>7902</v>
      </c>
      <c r="H2421" s="21" t="s">
        <v>8586</v>
      </c>
    </row>
    <row r="2422" customFormat="false" ht="15" hidden="false" customHeight="false" outlineLevel="0" collapsed="false">
      <c r="B2422" s="19" t="s">
        <v>10603</v>
      </c>
      <c r="C2422" s="20" t="n">
        <f aca="false">ROUND(8.84/FX,2)</f>
        <v>1.23</v>
      </c>
      <c r="D2422" s="21" t="s">
        <v>8668</v>
      </c>
      <c r="E2422" s="21" t="s">
        <v>10204</v>
      </c>
      <c r="F2422" s="21" t="s">
        <v>10287</v>
      </c>
      <c r="G2422" s="21" t="s">
        <v>7902</v>
      </c>
      <c r="H2422" s="21" t="s">
        <v>8068</v>
      </c>
    </row>
    <row r="2423" customFormat="false" ht="15" hidden="false" customHeight="false" outlineLevel="0" collapsed="false">
      <c r="B2423" s="19" t="s">
        <v>10604</v>
      </c>
      <c r="C2423" s="20" t="n">
        <f aca="false">ROUND(8.84/FX,2)</f>
        <v>1.23</v>
      </c>
      <c r="D2423" s="21" t="s">
        <v>8668</v>
      </c>
      <c r="E2423" s="21" t="s">
        <v>10204</v>
      </c>
      <c r="F2423" s="21" t="s">
        <v>10590</v>
      </c>
      <c r="G2423" s="21" t="s">
        <v>7902</v>
      </c>
      <c r="H2423" s="21" t="s">
        <v>7985</v>
      </c>
    </row>
    <row r="2424" customFormat="false" ht="15" hidden="false" customHeight="false" outlineLevel="0" collapsed="false">
      <c r="B2424" s="19" t="s">
        <v>10605</v>
      </c>
      <c r="C2424" s="20" t="n">
        <f aca="false">ROUND(8.84/FX,2)</f>
        <v>1.23</v>
      </c>
      <c r="D2424" s="21" t="s">
        <v>8668</v>
      </c>
      <c r="E2424" s="21" t="s">
        <v>10204</v>
      </c>
      <c r="F2424" s="21" t="s">
        <v>10287</v>
      </c>
      <c r="G2424" s="21" t="s">
        <v>7902</v>
      </c>
      <c r="H2424" s="21" t="s">
        <v>7985</v>
      </c>
    </row>
    <row r="2425" customFormat="false" ht="15" hidden="false" customHeight="false" outlineLevel="0" collapsed="false">
      <c r="B2425" s="19" t="s">
        <v>10606</v>
      </c>
      <c r="C2425" s="20" t="n">
        <f aca="false">ROUND(2.5/FX,2)</f>
        <v>0.35</v>
      </c>
      <c r="D2425" s="21" t="s">
        <v>6549</v>
      </c>
      <c r="E2425" s="21" t="s">
        <v>8168</v>
      </c>
      <c r="F2425" s="21" t="s">
        <v>10272</v>
      </c>
      <c r="G2425" s="21" t="s">
        <v>7902</v>
      </c>
      <c r="H2425" s="21" t="s">
        <v>7985</v>
      </c>
    </row>
    <row r="2426" customFormat="false" ht="15" hidden="false" customHeight="false" outlineLevel="0" collapsed="false">
      <c r="B2426" s="19" t="s">
        <v>10607</v>
      </c>
      <c r="C2426" s="20" t="n">
        <f aca="false">ROUND(8.84/FX,2)</f>
        <v>1.23</v>
      </c>
      <c r="D2426" s="21" t="s">
        <v>8668</v>
      </c>
      <c r="E2426" s="21" t="s">
        <v>10204</v>
      </c>
      <c r="F2426" s="21" t="s">
        <v>10590</v>
      </c>
      <c r="G2426" s="21" t="s">
        <v>7902</v>
      </c>
      <c r="H2426" s="21" t="s">
        <v>8077</v>
      </c>
    </row>
    <row r="2427" customFormat="false" ht="15" hidden="false" customHeight="false" outlineLevel="0" collapsed="false">
      <c r="B2427" s="19" t="s">
        <v>10608</v>
      </c>
      <c r="C2427" s="20" t="n">
        <f aca="false">ROUND(2.5/FX,2)</f>
        <v>0.35</v>
      </c>
      <c r="D2427" s="21" t="s">
        <v>6549</v>
      </c>
      <c r="E2427" s="21" t="s">
        <v>8168</v>
      </c>
      <c r="F2427" s="21" t="s">
        <v>10272</v>
      </c>
      <c r="G2427" s="21" t="s">
        <v>7902</v>
      </c>
      <c r="H2427" s="21" t="s">
        <v>8077</v>
      </c>
    </row>
    <row r="2428" customFormat="false" ht="15" hidden="false" customHeight="false" outlineLevel="0" collapsed="false">
      <c r="B2428" s="19" t="s">
        <v>10609</v>
      </c>
      <c r="C2428" s="20" t="n">
        <f aca="false">ROUND(8.84/FX,2)</f>
        <v>1.23</v>
      </c>
      <c r="D2428" s="21" t="s">
        <v>8668</v>
      </c>
      <c r="E2428" s="21" t="s">
        <v>10204</v>
      </c>
      <c r="F2428" s="21" t="s">
        <v>10590</v>
      </c>
      <c r="G2428" s="21" t="s">
        <v>7902</v>
      </c>
      <c r="H2428" s="21" t="s">
        <v>8085</v>
      </c>
    </row>
    <row r="2429" customFormat="false" ht="15" hidden="false" customHeight="false" outlineLevel="0" collapsed="false">
      <c r="B2429" s="19" t="s">
        <v>10610</v>
      </c>
      <c r="C2429" s="20" t="n">
        <f aca="false">ROUND(2.5/FX,2)</f>
        <v>0.35</v>
      </c>
      <c r="D2429" s="21" t="s">
        <v>6549</v>
      </c>
      <c r="E2429" s="21" t="s">
        <v>8168</v>
      </c>
      <c r="F2429" s="21" t="s">
        <v>10272</v>
      </c>
      <c r="G2429" s="21" t="s">
        <v>7902</v>
      </c>
      <c r="H2429" s="21" t="s">
        <v>8085</v>
      </c>
    </row>
    <row r="2430" customFormat="false" ht="15" hidden="false" customHeight="false" outlineLevel="0" collapsed="false">
      <c r="B2430" s="19" t="s">
        <v>10611</v>
      </c>
      <c r="C2430" s="20" t="n">
        <f aca="false">ROUND(2.5/FX,2)</f>
        <v>0.35</v>
      </c>
      <c r="D2430" s="21" t="s">
        <v>6549</v>
      </c>
      <c r="E2430" s="21" t="s">
        <v>8168</v>
      </c>
      <c r="F2430" s="21" t="s">
        <v>10272</v>
      </c>
      <c r="G2430" s="21" t="s">
        <v>7902</v>
      </c>
      <c r="H2430" s="21" t="s">
        <v>7853</v>
      </c>
    </row>
    <row r="2431" customFormat="false" ht="15" hidden="false" customHeight="false" outlineLevel="0" collapsed="false">
      <c r="B2431" s="19" t="s">
        <v>10612</v>
      </c>
      <c r="C2431" s="20" t="n">
        <f aca="false">ROUND(2.5/FX,2)</f>
        <v>0.35</v>
      </c>
      <c r="D2431" s="21" t="s">
        <v>6549</v>
      </c>
      <c r="E2431" s="21" t="s">
        <v>8168</v>
      </c>
      <c r="F2431" s="21" t="s">
        <v>10272</v>
      </c>
      <c r="G2431" s="21" t="s">
        <v>7902</v>
      </c>
      <c r="H2431" s="21" t="s">
        <v>7881</v>
      </c>
    </row>
    <row r="2432" customFormat="false" ht="15" hidden="false" customHeight="false" outlineLevel="0" collapsed="false">
      <c r="B2432" s="19" t="s">
        <v>10613</v>
      </c>
      <c r="C2432" s="20" t="n">
        <f aca="false">ROUND(2.5/FX,2)</f>
        <v>0.35</v>
      </c>
      <c r="D2432" s="21" t="s">
        <v>6549</v>
      </c>
      <c r="E2432" s="21" t="s">
        <v>8168</v>
      </c>
      <c r="F2432" s="21" t="s">
        <v>10272</v>
      </c>
      <c r="G2432" s="21" t="s">
        <v>7902</v>
      </c>
      <c r="H2432" s="21" t="s">
        <v>7989</v>
      </c>
    </row>
    <row r="2433" customFormat="false" ht="15" hidden="false" customHeight="false" outlineLevel="0" collapsed="false">
      <c r="B2433" s="19" t="s">
        <v>10614</v>
      </c>
      <c r="C2433" s="20" t="n">
        <f aca="false">ROUND(2.5/FX,2)</f>
        <v>0.35</v>
      </c>
      <c r="D2433" s="21" t="s">
        <v>6549</v>
      </c>
      <c r="E2433" s="21" t="s">
        <v>8168</v>
      </c>
      <c r="F2433" s="21" t="s">
        <v>10272</v>
      </c>
      <c r="G2433" s="21" t="s">
        <v>7902</v>
      </c>
      <c r="H2433" s="21" t="s">
        <v>7829</v>
      </c>
    </row>
    <row r="2434" customFormat="false" ht="15" hidden="false" customHeight="false" outlineLevel="0" collapsed="false">
      <c r="B2434" s="19" t="s">
        <v>10615</v>
      </c>
      <c r="C2434" s="20" t="n">
        <f aca="false">ROUND(2.5/FX,2)</f>
        <v>0.35</v>
      </c>
      <c r="D2434" s="21" t="s">
        <v>6549</v>
      </c>
      <c r="E2434" s="21" t="s">
        <v>8168</v>
      </c>
      <c r="F2434" s="21" t="s">
        <v>10272</v>
      </c>
      <c r="G2434" s="21" t="s">
        <v>7902</v>
      </c>
      <c r="H2434" s="21" t="s">
        <v>7831</v>
      </c>
    </row>
    <row r="2435" customFormat="false" ht="15" hidden="false" customHeight="false" outlineLevel="0" collapsed="false">
      <c r="B2435" s="19" t="s">
        <v>10616</v>
      </c>
      <c r="C2435" s="20" t="n">
        <f aca="false">ROUND(2.21/FX,2)</f>
        <v>0.31</v>
      </c>
      <c r="D2435" s="21" t="s">
        <v>6549</v>
      </c>
      <c r="E2435" s="21" t="s">
        <v>8168</v>
      </c>
      <c r="F2435" s="21" t="s">
        <v>10269</v>
      </c>
      <c r="G2435" s="21" t="s">
        <v>7902</v>
      </c>
      <c r="H2435" s="21" t="s">
        <v>7833</v>
      </c>
    </row>
    <row r="2436" customFormat="false" ht="15" hidden="false" customHeight="false" outlineLevel="0" collapsed="false">
      <c r="B2436" s="19" t="s">
        <v>10617</v>
      </c>
      <c r="C2436" s="20" t="n">
        <f aca="false">ROUND(2.35/FX,2)</f>
        <v>0.33</v>
      </c>
      <c r="D2436" s="21" t="s">
        <v>6549</v>
      </c>
      <c r="E2436" s="21" t="s">
        <v>8168</v>
      </c>
      <c r="F2436" s="21" t="s">
        <v>10272</v>
      </c>
      <c r="G2436" s="21" t="s">
        <v>7902</v>
      </c>
      <c r="H2436" s="21" t="s">
        <v>7833</v>
      </c>
    </row>
    <row r="2437" customFormat="false" ht="15" hidden="false" customHeight="false" outlineLevel="0" collapsed="false">
      <c r="B2437" s="19" t="s">
        <v>10618</v>
      </c>
      <c r="C2437" s="20" t="n">
        <f aca="false">ROUND(2.25/FX,2)</f>
        <v>0.31</v>
      </c>
      <c r="D2437" s="21" t="s">
        <v>6549</v>
      </c>
      <c r="E2437" s="21" t="s">
        <v>8168</v>
      </c>
      <c r="F2437" s="21" t="s">
        <v>10274</v>
      </c>
      <c r="G2437" s="21" t="s">
        <v>7902</v>
      </c>
      <c r="H2437" s="21" t="s">
        <v>7833</v>
      </c>
    </row>
    <row r="2438" customFormat="false" ht="15" hidden="false" customHeight="false" outlineLevel="0" collapsed="false">
      <c r="B2438" s="19" t="s">
        <v>10619</v>
      </c>
      <c r="C2438" s="20" t="n">
        <f aca="false">ROUND(8.84/FX,2)</f>
        <v>1.23</v>
      </c>
      <c r="D2438" s="21" t="s">
        <v>8668</v>
      </c>
      <c r="E2438" s="21" t="s">
        <v>10204</v>
      </c>
      <c r="F2438" s="21" t="s">
        <v>10287</v>
      </c>
      <c r="G2438" s="21" t="s">
        <v>7902</v>
      </c>
      <c r="H2438" s="21" t="s">
        <v>7891</v>
      </c>
    </row>
    <row r="2439" customFormat="false" ht="15" hidden="false" customHeight="false" outlineLevel="0" collapsed="false">
      <c r="B2439" s="19" t="s">
        <v>10620</v>
      </c>
      <c r="C2439" s="20" t="n">
        <f aca="false">ROUND(2.5/FX,2)</f>
        <v>0.35</v>
      </c>
      <c r="D2439" s="21" t="s">
        <v>6549</v>
      </c>
      <c r="E2439" s="21" t="s">
        <v>8168</v>
      </c>
      <c r="F2439" s="21" t="s">
        <v>10272</v>
      </c>
      <c r="G2439" s="21" t="s">
        <v>7902</v>
      </c>
      <c r="H2439" s="21" t="s">
        <v>7891</v>
      </c>
    </row>
    <row r="2440" customFormat="false" ht="15" hidden="false" customHeight="false" outlineLevel="0" collapsed="false">
      <c r="B2440" s="19" t="s">
        <v>10621</v>
      </c>
      <c r="C2440" s="20" t="n">
        <f aca="false">ROUND(8.84/FX,2)</f>
        <v>1.23</v>
      </c>
      <c r="D2440" s="21" t="s">
        <v>8668</v>
      </c>
      <c r="E2440" s="21" t="s">
        <v>10204</v>
      </c>
      <c r="F2440" s="21" t="s">
        <v>10287</v>
      </c>
      <c r="G2440" s="21" t="s">
        <v>7902</v>
      </c>
      <c r="H2440" s="21" t="s">
        <v>8636</v>
      </c>
    </row>
    <row r="2441" customFormat="false" ht="15" hidden="false" customHeight="false" outlineLevel="0" collapsed="false">
      <c r="B2441" s="19" t="s">
        <v>10622</v>
      </c>
      <c r="C2441" s="20" t="n">
        <f aca="false">ROUND(8.84/FX,2)</f>
        <v>1.23</v>
      </c>
      <c r="D2441" s="21" t="s">
        <v>8668</v>
      </c>
      <c r="E2441" s="21" t="s">
        <v>10204</v>
      </c>
      <c r="F2441" s="21" t="s">
        <v>10287</v>
      </c>
      <c r="G2441" s="21" t="s">
        <v>7902</v>
      </c>
      <c r="H2441" s="21" t="s">
        <v>7992</v>
      </c>
    </row>
    <row r="2442" customFormat="false" ht="15" hidden="false" customHeight="false" outlineLevel="0" collapsed="false">
      <c r="B2442" s="19" t="s">
        <v>10623</v>
      </c>
      <c r="C2442" s="20" t="n">
        <f aca="false">ROUND(2.2/FX,2)</f>
        <v>0.31</v>
      </c>
      <c r="D2442" s="21" t="s">
        <v>6549</v>
      </c>
      <c r="E2442" s="21" t="s">
        <v>8168</v>
      </c>
      <c r="F2442" s="21" t="s">
        <v>10272</v>
      </c>
      <c r="G2442" s="21" t="s">
        <v>7902</v>
      </c>
      <c r="H2442" s="21" t="s">
        <v>7992</v>
      </c>
    </row>
    <row r="2443" customFormat="false" ht="15" hidden="false" customHeight="false" outlineLevel="0" collapsed="false">
      <c r="B2443" s="19" t="s">
        <v>10624</v>
      </c>
      <c r="C2443" s="20" t="n">
        <f aca="false">ROUND(8.84/FX,2)</f>
        <v>1.23</v>
      </c>
      <c r="D2443" s="21" t="s">
        <v>8668</v>
      </c>
      <c r="E2443" s="21" t="s">
        <v>10204</v>
      </c>
      <c r="F2443" s="21" t="s">
        <v>10287</v>
      </c>
      <c r="G2443" s="21" t="s">
        <v>7902</v>
      </c>
      <c r="H2443" s="21" t="s">
        <v>8099</v>
      </c>
    </row>
    <row r="2444" customFormat="false" ht="15" hidden="false" customHeight="false" outlineLevel="0" collapsed="false">
      <c r="B2444" s="19" t="s">
        <v>10625</v>
      </c>
      <c r="C2444" s="20" t="n">
        <f aca="false">ROUND(8.84/FX,2)</f>
        <v>1.23</v>
      </c>
      <c r="D2444" s="21" t="s">
        <v>8668</v>
      </c>
      <c r="E2444" s="21" t="s">
        <v>10204</v>
      </c>
      <c r="F2444" s="21" t="s">
        <v>10287</v>
      </c>
      <c r="G2444" s="21" t="s">
        <v>7902</v>
      </c>
      <c r="H2444" s="21" t="s">
        <v>7860</v>
      </c>
    </row>
    <row r="2445" customFormat="false" ht="15" hidden="false" customHeight="false" outlineLevel="0" collapsed="false">
      <c r="B2445" s="19" t="s">
        <v>10626</v>
      </c>
      <c r="C2445" s="20" t="n">
        <f aca="false">ROUND(2.5/FX,2)</f>
        <v>0.35</v>
      </c>
      <c r="D2445" s="21" t="s">
        <v>6549</v>
      </c>
      <c r="E2445" s="21" t="s">
        <v>8168</v>
      </c>
      <c r="F2445" s="21" t="s">
        <v>10272</v>
      </c>
      <c r="G2445" s="21" t="s">
        <v>7902</v>
      </c>
      <c r="H2445" s="21" t="s">
        <v>7860</v>
      </c>
    </row>
    <row r="2446" customFormat="false" ht="15" hidden="false" customHeight="false" outlineLevel="0" collapsed="false">
      <c r="B2446" s="19" t="s">
        <v>10627</v>
      </c>
      <c r="C2446" s="20" t="n">
        <f aca="false">ROUND(8.84/FX,2)</f>
        <v>1.23</v>
      </c>
      <c r="D2446" s="21" t="s">
        <v>8668</v>
      </c>
      <c r="E2446" s="21" t="s">
        <v>10204</v>
      </c>
      <c r="F2446" s="21" t="s">
        <v>10287</v>
      </c>
      <c r="G2446" s="21" t="s">
        <v>7902</v>
      </c>
      <c r="H2446" s="21" t="s">
        <v>8310</v>
      </c>
    </row>
    <row r="2447" customFormat="false" ht="15" hidden="false" customHeight="false" outlineLevel="0" collapsed="false">
      <c r="B2447" s="19" t="s">
        <v>10628</v>
      </c>
      <c r="C2447" s="20" t="n">
        <f aca="false">ROUND(8.84/FX,2)</f>
        <v>1.23</v>
      </c>
      <c r="D2447" s="21" t="s">
        <v>8668</v>
      </c>
      <c r="E2447" s="21" t="s">
        <v>10204</v>
      </c>
      <c r="F2447" s="21" t="s">
        <v>10287</v>
      </c>
      <c r="G2447" s="21" t="s">
        <v>7902</v>
      </c>
      <c r="H2447" s="21" t="s">
        <v>7893</v>
      </c>
    </row>
    <row r="2448" customFormat="false" ht="15" hidden="false" customHeight="false" outlineLevel="0" collapsed="false">
      <c r="B2448" s="19" t="s">
        <v>10629</v>
      </c>
      <c r="C2448" s="20" t="n">
        <f aca="false">ROUND(2.21/FX,2)</f>
        <v>0.31</v>
      </c>
      <c r="D2448" s="21" t="s">
        <v>6549</v>
      </c>
      <c r="E2448" s="21" t="s">
        <v>8168</v>
      </c>
      <c r="F2448" s="21" t="s">
        <v>10269</v>
      </c>
      <c r="G2448" s="21" t="s">
        <v>7902</v>
      </c>
      <c r="H2448" s="21" t="s">
        <v>7893</v>
      </c>
    </row>
    <row r="2449" customFormat="false" ht="15" hidden="false" customHeight="false" outlineLevel="0" collapsed="false">
      <c r="B2449" s="19" t="s">
        <v>10630</v>
      </c>
      <c r="C2449" s="20" t="n">
        <f aca="false">ROUND(2.35/FX,2)</f>
        <v>0.33</v>
      </c>
      <c r="D2449" s="21" t="s">
        <v>6549</v>
      </c>
      <c r="E2449" s="21" t="s">
        <v>8168</v>
      </c>
      <c r="F2449" s="21" t="s">
        <v>10272</v>
      </c>
      <c r="G2449" s="21" t="s">
        <v>7902</v>
      </c>
      <c r="H2449" s="21" t="s">
        <v>7893</v>
      </c>
    </row>
    <row r="2450" customFormat="false" ht="15" hidden="false" customHeight="false" outlineLevel="0" collapsed="false">
      <c r="B2450" s="19" t="s">
        <v>10631</v>
      </c>
      <c r="C2450" s="20" t="n">
        <f aca="false">ROUND(2.25/FX,2)</f>
        <v>0.31</v>
      </c>
      <c r="D2450" s="21" t="s">
        <v>6549</v>
      </c>
      <c r="E2450" s="21" t="s">
        <v>8168</v>
      </c>
      <c r="F2450" s="21" t="s">
        <v>10274</v>
      </c>
      <c r="G2450" s="21" t="s">
        <v>7902</v>
      </c>
      <c r="H2450" s="21" t="s">
        <v>7893</v>
      </c>
    </row>
    <row r="2451" customFormat="false" ht="15" hidden="false" customHeight="false" outlineLevel="0" collapsed="false">
      <c r="B2451" s="19" t="s">
        <v>10632</v>
      </c>
      <c r="C2451" s="20" t="n">
        <f aca="false">ROUND(8.84/FX,2)</f>
        <v>1.23</v>
      </c>
      <c r="D2451" s="21" t="s">
        <v>8668</v>
      </c>
      <c r="E2451" s="21" t="s">
        <v>10204</v>
      </c>
      <c r="F2451" s="21" t="s">
        <v>10287</v>
      </c>
      <c r="G2451" s="21" t="s">
        <v>7902</v>
      </c>
      <c r="H2451" s="21" t="s">
        <v>8320</v>
      </c>
    </row>
    <row r="2452" customFormat="false" ht="15" hidden="false" customHeight="false" outlineLevel="0" collapsed="false">
      <c r="B2452" s="19" t="s">
        <v>10633</v>
      </c>
      <c r="C2452" s="20" t="n">
        <f aca="false">ROUND(8.84/FX,2)</f>
        <v>1.23</v>
      </c>
      <c r="D2452" s="21" t="s">
        <v>8668</v>
      </c>
      <c r="E2452" s="21" t="s">
        <v>10204</v>
      </c>
      <c r="F2452" s="21" t="s">
        <v>10287</v>
      </c>
      <c r="G2452" s="21" t="s">
        <v>7902</v>
      </c>
      <c r="H2452" s="21" t="s">
        <v>10634</v>
      </c>
    </row>
    <row r="2453" customFormat="false" ht="15" hidden="false" customHeight="false" outlineLevel="0" collapsed="false">
      <c r="B2453" s="19" t="s">
        <v>10635</v>
      </c>
      <c r="C2453" s="20" t="n">
        <f aca="false">ROUND(8.84/FX,2)</f>
        <v>1.23</v>
      </c>
      <c r="D2453" s="21" t="s">
        <v>8668</v>
      </c>
      <c r="E2453" s="21" t="s">
        <v>10204</v>
      </c>
      <c r="F2453" s="21" t="s">
        <v>10287</v>
      </c>
      <c r="G2453" s="21" t="s">
        <v>7902</v>
      </c>
      <c r="H2453" s="21" t="s">
        <v>7895</v>
      </c>
    </row>
    <row r="2454" customFormat="false" ht="15" hidden="false" customHeight="false" outlineLevel="0" collapsed="false">
      <c r="B2454" s="19" t="s">
        <v>10636</v>
      </c>
      <c r="C2454" s="20" t="n">
        <f aca="false">ROUND(2.5/FX,2)</f>
        <v>0.35</v>
      </c>
      <c r="D2454" s="21" t="s">
        <v>6549</v>
      </c>
      <c r="E2454" s="21" t="s">
        <v>8168</v>
      </c>
      <c r="F2454" s="21" t="s">
        <v>10272</v>
      </c>
      <c r="G2454" s="21" t="s">
        <v>7902</v>
      </c>
      <c r="H2454" s="21" t="s">
        <v>7895</v>
      </c>
    </row>
    <row r="2455" customFormat="false" ht="15" hidden="false" customHeight="false" outlineLevel="0" collapsed="false">
      <c r="B2455" s="19" t="s">
        <v>10637</v>
      </c>
      <c r="C2455" s="20" t="n">
        <f aca="false">ROUND(8.84/FX,2)</f>
        <v>1.23</v>
      </c>
      <c r="D2455" s="21" t="s">
        <v>8668</v>
      </c>
      <c r="E2455" s="21" t="s">
        <v>10204</v>
      </c>
      <c r="F2455" s="21" t="s">
        <v>10287</v>
      </c>
      <c r="G2455" s="21" t="s">
        <v>7902</v>
      </c>
      <c r="H2455" s="21" t="s">
        <v>8646</v>
      </c>
    </row>
    <row r="2456" customFormat="false" ht="15" hidden="false" customHeight="false" outlineLevel="0" collapsed="false">
      <c r="B2456" s="19" t="s">
        <v>10638</v>
      </c>
      <c r="C2456" s="20" t="n">
        <f aca="false">ROUND(8.84/FX,2)</f>
        <v>1.23</v>
      </c>
      <c r="D2456" s="21" t="s">
        <v>8668</v>
      </c>
      <c r="E2456" s="21" t="s">
        <v>10204</v>
      </c>
      <c r="F2456" s="21" t="s">
        <v>10287</v>
      </c>
      <c r="G2456" s="21" t="s">
        <v>7902</v>
      </c>
      <c r="H2456" s="21" t="s">
        <v>8035</v>
      </c>
    </row>
    <row r="2457" customFormat="false" ht="15" hidden="false" customHeight="false" outlineLevel="0" collapsed="false">
      <c r="B2457" s="19" t="s">
        <v>10639</v>
      </c>
      <c r="C2457" s="20" t="n">
        <f aca="false">ROUND(2.5/FX,2)</f>
        <v>0.35</v>
      </c>
      <c r="D2457" s="21" t="s">
        <v>6549</v>
      </c>
      <c r="E2457" s="21" t="s">
        <v>8168</v>
      </c>
      <c r="F2457" s="21" t="s">
        <v>10272</v>
      </c>
      <c r="G2457" s="21" t="s">
        <v>7902</v>
      </c>
      <c r="H2457" s="21" t="s">
        <v>8035</v>
      </c>
    </row>
    <row r="2458" customFormat="false" ht="15" hidden="false" customHeight="false" outlineLevel="0" collapsed="false">
      <c r="B2458" s="19" t="s">
        <v>10640</v>
      </c>
      <c r="C2458" s="20" t="n">
        <f aca="false">ROUND(8.84/FX,2)</f>
        <v>1.23</v>
      </c>
      <c r="D2458" s="21" t="s">
        <v>8668</v>
      </c>
      <c r="E2458" s="21" t="s">
        <v>10204</v>
      </c>
      <c r="F2458" s="21" t="s">
        <v>10287</v>
      </c>
      <c r="G2458" s="21" t="s">
        <v>7902</v>
      </c>
      <c r="H2458" s="21" t="s">
        <v>7862</v>
      </c>
    </row>
    <row r="2459" customFormat="false" ht="15" hidden="false" customHeight="false" outlineLevel="0" collapsed="false">
      <c r="B2459" s="19" t="s">
        <v>10641</v>
      </c>
      <c r="C2459" s="20" t="n">
        <f aca="false">ROUND(2.5/FX,2)</f>
        <v>0.35</v>
      </c>
      <c r="D2459" s="21" t="s">
        <v>6549</v>
      </c>
      <c r="E2459" s="21" t="s">
        <v>8168</v>
      </c>
      <c r="F2459" s="21" t="s">
        <v>10272</v>
      </c>
      <c r="G2459" s="21" t="s">
        <v>7902</v>
      </c>
      <c r="H2459" s="21" t="s">
        <v>7862</v>
      </c>
    </row>
    <row r="2460" customFormat="false" ht="15" hidden="false" customHeight="false" outlineLevel="0" collapsed="false">
      <c r="B2460" s="19" t="s">
        <v>10642</v>
      </c>
      <c r="C2460" s="20" t="n">
        <f aca="false">ROUND(8.84/FX,2)</f>
        <v>1.23</v>
      </c>
      <c r="D2460" s="21" t="s">
        <v>8668</v>
      </c>
      <c r="E2460" s="21" t="s">
        <v>10204</v>
      </c>
      <c r="F2460" s="21" t="s">
        <v>10287</v>
      </c>
      <c r="G2460" s="21" t="s">
        <v>7902</v>
      </c>
      <c r="H2460" s="21" t="s">
        <v>7864</v>
      </c>
    </row>
    <row r="2461" customFormat="false" ht="15" hidden="false" customHeight="false" outlineLevel="0" collapsed="false">
      <c r="B2461" s="19" t="s">
        <v>10643</v>
      </c>
      <c r="C2461" s="20" t="n">
        <f aca="false">ROUND(2.5/FX,2)</f>
        <v>0.35</v>
      </c>
      <c r="D2461" s="21" t="s">
        <v>6549</v>
      </c>
      <c r="E2461" s="21" t="s">
        <v>8168</v>
      </c>
      <c r="F2461" s="21" t="s">
        <v>10272</v>
      </c>
      <c r="G2461" s="21" t="s">
        <v>7902</v>
      </c>
      <c r="H2461" s="21" t="s">
        <v>7864</v>
      </c>
    </row>
    <row r="2462" customFormat="false" ht="15" hidden="false" customHeight="false" outlineLevel="0" collapsed="false">
      <c r="B2462" s="19" t="s">
        <v>10644</v>
      </c>
      <c r="C2462" s="20" t="n">
        <f aca="false">ROUND(8.84/FX,2)</f>
        <v>1.23</v>
      </c>
      <c r="D2462" s="21" t="s">
        <v>8668</v>
      </c>
      <c r="E2462" s="21" t="s">
        <v>10204</v>
      </c>
      <c r="F2462" s="21" t="s">
        <v>10287</v>
      </c>
      <c r="G2462" s="21" t="s">
        <v>7902</v>
      </c>
      <c r="H2462" s="21" t="s">
        <v>7961</v>
      </c>
    </row>
    <row r="2463" customFormat="false" ht="15" hidden="false" customHeight="false" outlineLevel="0" collapsed="false">
      <c r="B2463" s="19" t="s">
        <v>10645</v>
      </c>
      <c r="C2463" s="20" t="n">
        <f aca="false">ROUND(2.5/FX,2)</f>
        <v>0.35</v>
      </c>
      <c r="D2463" s="21" t="s">
        <v>6549</v>
      </c>
      <c r="E2463" s="21" t="s">
        <v>8168</v>
      </c>
      <c r="F2463" s="21" t="s">
        <v>10272</v>
      </c>
      <c r="G2463" s="21" t="s">
        <v>7902</v>
      </c>
      <c r="H2463" s="21" t="s">
        <v>7872</v>
      </c>
    </row>
    <row r="2464" customFormat="false" ht="15" hidden="false" customHeight="false" outlineLevel="0" collapsed="false">
      <c r="B2464" s="19" t="s">
        <v>10646</v>
      </c>
      <c r="C2464" s="20" t="n">
        <f aca="false">ROUND(8.84/FX,2)</f>
        <v>1.23</v>
      </c>
      <c r="D2464" s="21" t="s">
        <v>8668</v>
      </c>
      <c r="E2464" s="21" t="s">
        <v>10204</v>
      </c>
      <c r="F2464" s="21" t="s">
        <v>10287</v>
      </c>
      <c r="G2464" s="21" t="s">
        <v>7902</v>
      </c>
      <c r="H2464" s="21" t="s">
        <v>8349</v>
      </c>
    </row>
    <row r="2465" customFormat="false" ht="15" hidden="false" customHeight="false" outlineLevel="0" collapsed="false">
      <c r="B2465" s="19" t="s">
        <v>10647</v>
      </c>
      <c r="C2465" s="20" t="n">
        <f aca="false">ROUND(8.84/FX,2)</f>
        <v>1.23</v>
      </c>
      <c r="D2465" s="21" t="s">
        <v>8668</v>
      </c>
      <c r="E2465" s="21" t="s">
        <v>10204</v>
      </c>
      <c r="F2465" s="21" t="s">
        <v>10287</v>
      </c>
      <c r="G2465" s="21" t="s">
        <v>7902</v>
      </c>
      <c r="H2465" s="21" t="s">
        <v>10648</v>
      </c>
    </row>
    <row r="2466" customFormat="false" ht="15" hidden="false" customHeight="false" outlineLevel="0" collapsed="false">
      <c r="B2466" s="19" t="s">
        <v>10649</v>
      </c>
      <c r="C2466" s="20" t="n">
        <f aca="false">ROUND(8.84/FX,2)</f>
        <v>1.23</v>
      </c>
      <c r="D2466" s="21" t="s">
        <v>8668</v>
      </c>
      <c r="E2466" s="21" t="s">
        <v>10204</v>
      </c>
      <c r="F2466" s="21" t="s">
        <v>10287</v>
      </c>
      <c r="G2466" s="21" t="s">
        <v>7902</v>
      </c>
      <c r="H2466" s="21" t="s">
        <v>7966</v>
      </c>
    </row>
    <row r="2467" customFormat="false" ht="15" hidden="false" customHeight="false" outlineLevel="0" collapsed="false">
      <c r="B2467" s="19" t="s">
        <v>10650</v>
      </c>
      <c r="C2467" s="20" t="n">
        <f aca="false">ROUND(2.25/FX,2)</f>
        <v>0.31</v>
      </c>
      <c r="D2467" s="21" t="s">
        <v>6549</v>
      </c>
      <c r="E2467" s="21" t="s">
        <v>8168</v>
      </c>
      <c r="F2467" s="21" t="s">
        <v>10272</v>
      </c>
      <c r="G2467" s="21" t="s">
        <v>7902</v>
      </c>
      <c r="H2467" s="21" t="s">
        <v>7966</v>
      </c>
    </row>
    <row r="2468" customFormat="false" ht="15" hidden="false" customHeight="false" outlineLevel="0" collapsed="false">
      <c r="B2468" s="19" t="s">
        <v>10651</v>
      </c>
      <c r="C2468" s="20" t="n">
        <f aca="false">ROUND(8.84/FX,2)</f>
        <v>1.23</v>
      </c>
      <c r="D2468" s="21" t="s">
        <v>8668</v>
      </c>
      <c r="E2468" s="21" t="s">
        <v>10204</v>
      </c>
      <c r="F2468" s="21" t="s">
        <v>10287</v>
      </c>
      <c r="G2468" s="21" t="s">
        <v>7902</v>
      </c>
      <c r="H2468" s="21" t="s">
        <v>8657</v>
      </c>
    </row>
    <row r="2469" customFormat="false" ht="15" hidden="false" customHeight="false" outlineLevel="0" collapsed="false">
      <c r="B2469" s="19" t="s">
        <v>10652</v>
      </c>
      <c r="C2469" s="20" t="n">
        <f aca="false">ROUND(8.84/FX,2)</f>
        <v>1.23</v>
      </c>
      <c r="D2469" s="21" t="s">
        <v>8668</v>
      </c>
      <c r="E2469" s="21" t="s">
        <v>10204</v>
      </c>
      <c r="F2469" s="21" t="s">
        <v>10287</v>
      </c>
      <c r="G2469" s="21" t="s">
        <v>7902</v>
      </c>
      <c r="H2469" s="21" t="s">
        <v>8659</v>
      </c>
    </row>
    <row r="2470" customFormat="false" ht="15" hidden="false" customHeight="false" outlineLevel="0" collapsed="false">
      <c r="B2470" s="19" t="s">
        <v>10653</v>
      </c>
      <c r="C2470" s="20" t="n">
        <f aca="false">ROUND(8.84/FX,2)</f>
        <v>1.23</v>
      </c>
      <c r="D2470" s="21" t="s">
        <v>8668</v>
      </c>
      <c r="E2470" s="21" t="s">
        <v>10204</v>
      </c>
      <c r="F2470" s="21" t="s">
        <v>10287</v>
      </c>
      <c r="G2470" s="21" t="s">
        <v>7902</v>
      </c>
      <c r="H2470" s="21" t="s">
        <v>8661</v>
      </c>
    </row>
    <row r="2471" customFormat="false" ht="15" hidden="false" customHeight="false" outlineLevel="0" collapsed="false">
      <c r="B2471" s="19" t="s">
        <v>10654</v>
      </c>
      <c r="C2471" s="20" t="n">
        <f aca="false">ROUND(8.84/FX,2)</f>
        <v>1.23</v>
      </c>
      <c r="D2471" s="21" t="s">
        <v>8668</v>
      </c>
      <c r="E2471" s="21" t="s">
        <v>10204</v>
      </c>
      <c r="F2471" s="21" t="s">
        <v>10287</v>
      </c>
      <c r="G2471" s="21" t="s">
        <v>7902</v>
      </c>
      <c r="H2471" s="21" t="s">
        <v>7968</v>
      </c>
    </row>
    <row r="2472" customFormat="false" ht="15" hidden="false" customHeight="false" outlineLevel="0" collapsed="false">
      <c r="B2472" s="19" t="s">
        <v>10655</v>
      </c>
      <c r="C2472" s="20" t="n">
        <f aca="false">ROUND(8.84/FX,2)</f>
        <v>1.23</v>
      </c>
      <c r="D2472" s="21" t="s">
        <v>8668</v>
      </c>
      <c r="E2472" s="21" t="s">
        <v>10204</v>
      </c>
      <c r="F2472" s="21" t="s">
        <v>10287</v>
      </c>
      <c r="G2472" s="21" t="s">
        <v>7902</v>
      </c>
      <c r="H2472" s="21" t="s">
        <v>8379</v>
      </c>
    </row>
    <row r="2473" customFormat="false" ht="15" hidden="false" customHeight="false" outlineLevel="0" collapsed="false">
      <c r="B2473" s="19" t="s">
        <v>10656</v>
      </c>
      <c r="C2473" s="20" t="n">
        <f aca="false">ROUND(8.84/FX,2)</f>
        <v>1.23</v>
      </c>
      <c r="D2473" s="21" t="s">
        <v>8668</v>
      </c>
      <c r="E2473" s="21" t="s">
        <v>10204</v>
      </c>
      <c r="F2473" s="21" t="s">
        <v>10287</v>
      </c>
      <c r="G2473" s="21" t="s">
        <v>7902</v>
      </c>
      <c r="H2473" s="21" t="s">
        <v>8382</v>
      </c>
    </row>
    <row r="2474" customFormat="false" ht="15" hidden="false" customHeight="false" outlineLevel="0" collapsed="false">
      <c r="B2474" s="19" t="s">
        <v>10657</v>
      </c>
      <c r="C2474" s="20" t="n">
        <f aca="false">ROUND(8.84/FX,2)</f>
        <v>1.23</v>
      </c>
      <c r="D2474" s="21" t="s">
        <v>8668</v>
      </c>
      <c r="E2474" s="21" t="s">
        <v>10204</v>
      </c>
      <c r="F2474" s="21" t="s">
        <v>10287</v>
      </c>
      <c r="G2474" s="21" t="s">
        <v>7902</v>
      </c>
      <c r="H2474" s="21" t="s">
        <v>10658</v>
      </c>
    </row>
    <row r="2475" customFormat="false" ht="15" hidden="false" customHeight="false" outlineLevel="0" collapsed="false">
      <c r="B2475" s="19" t="s">
        <v>10659</v>
      </c>
      <c r="C2475" s="20" t="n">
        <f aca="false">ROUND(8.84/FX,2)</f>
        <v>1.23</v>
      </c>
      <c r="D2475" s="21" t="s">
        <v>8668</v>
      </c>
      <c r="E2475" s="21" t="s">
        <v>10204</v>
      </c>
      <c r="F2475" s="21" t="s">
        <v>10590</v>
      </c>
      <c r="G2475" s="21" t="s">
        <v>7902</v>
      </c>
      <c r="H2475" s="21" t="s">
        <v>7899</v>
      </c>
    </row>
    <row r="2476" customFormat="false" ht="15" hidden="false" customHeight="false" outlineLevel="0" collapsed="false">
      <c r="B2476" s="19" t="s">
        <v>10660</v>
      </c>
      <c r="C2476" s="20" t="n">
        <f aca="false">ROUND(8.84/FX,2)</f>
        <v>1.23</v>
      </c>
      <c r="D2476" s="21" t="s">
        <v>8668</v>
      </c>
      <c r="E2476" s="21" t="s">
        <v>10204</v>
      </c>
      <c r="F2476" s="21" t="s">
        <v>10287</v>
      </c>
      <c r="G2476" s="21" t="s">
        <v>7902</v>
      </c>
      <c r="H2476" s="21" t="s">
        <v>7899</v>
      </c>
    </row>
    <row r="2477" customFormat="false" ht="15" hidden="false" customHeight="false" outlineLevel="0" collapsed="false">
      <c r="B2477" s="19" t="s">
        <v>10661</v>
      </c>
      <c r="C2477" s="20" t="n">
        <f aca="false">ROUND(2.5/FX,2)</f>
        <v>0.35</v>
      </c>
      <c r="D2477" s="21" t="s">
        <v>6549</v>
      </c>
      <c r="E2477" s="21" t="s">
        <v>8168</v>
      </c>
      <c r="F2477" s="21" t="s">
        <v>10272</v>
      </c>
      <c r="G2477" s="21" t="s">
        <v>7902</v>
      </c>
      <c r="H2477" s="21" t="s">
        <v>7899</v>
      </c>
    </row>
    <row r="2478" customFormat="false" ht="15" hidden="false" customHeight="false" outlineLevel="0" collapsed="false">
      <c r="B2478" s="19" t="s">
        <v>10662</v>
      </c>
      <c r="C2478" s="20" t="n">
        <f aca="false">ROUND(8.84/FX,2)</f>
        <v>1.23</v>
      </c>
      <c r="D2478" s="21" t="s">
        <v>8668</v>
      </c>
      <c r="E2478" s="21" t="s">
        <v>10204</v>
      </c>
      <c r="F2478" s="21" t="s">
        <v>10287</v>
      </c>
      <c r="G2478" s="21" t="s">
        <v>7902</v>
      </c>
      <c r="H2478" s="21" t="s">
        <v>8672</v>
      </c>
    </row>
    <row r="2479" customFormat="false" ht="15" hidden="false" customHeight="false" outlineLevel="0" collapsed="false">
      <c r="B2479" s="19" t="s">
        <v>10663</v>
      </c>
      <c r="C2479" s="20" t="n">
        <f aca="false">ROUND(8.84/FX,2)</f>
        <v>1.23</v>
      </c>
      <c r="D2479" s="21" t="s">
        <v>8668</v>
      </c>
      <c r="E2479" s="21" t="s">
        <v>10204</v>
      </c>
      <c r="F2479" s="21" t="s">
        <v>10590</v>
      </c>
      <c r="G2479" s="21" t="s">
        <v>7902</v>
      </c>
      <c r="H2479" s="21" t="s">
        <v>7994</v>
      </c>
    </row>
    <row r="2480" customFormat="false" ht="15" hidden="false" customHeight="false" outlineLevel="0" collapsed="false">
      <c r="B2480" s="19" t="s">
        <v>10664</v>
      </c>
      <c r="C2480" s="20" t="n">
        <f aca="false">ROUND(8.84/FX,2)</f>
        <v>1.23</v>
      </c>
      <c r="D2480" s="21" t="s">
        <v>8668</v>
      </c>
      <c r="E2480" s="21" t="s">
        <v>10204</v>
      </c>
      <c r="F2480" s="21" t="s">
        <v>10287</v>
      </c>
      <c r="G2480" s="21" t="s">
        <v>7902</v>
      </c>
      <c r="H2480" s="21" t="s">
        <v>7994</v>
      </c>
    </row>
    <row r="2481" customFormat="false" ht="15" hidden="false" customHeight="false" outlineLevel="0" collapsed="false">
      <c r="B2481" s="19" t="s">
        <v>10665</v>
      </c>
      <c r="C2481" s="20" t="n">
        <f aca="false">ROUND(2.21/FX,2)</f>
        <v>0.31</v>
      </c>
      <c r="D2481" s="21" t="s">
        <v>6549</v>
      </c>
      <c r="E2481" s="21" t="s">
        <v>8168</v>
      </c>
      <c r="F2481" s="21" t="s">
        <v>10269</v>
      </c>
      <c r="G2481" s="21" t="s">
        <v>7902</v>
      </c>
      <c r="H2481" s="21" t="s">
        <v>7994</v>
      </c>
    </row>
    <row r="2482" customFormat="false" ht="15" hidden="false" customHeight="false" outlineLevel="0" collapsed="false">
      <c r="B2482" s="19" t="s">
        <v>10666</v>
      </c>
      <c r="C2482" s="20" t="n">
        <f aca="false">ROUND(2.35/FX,2)</f>
        <v>0.33</v>
      </c>
      <c r="D2482" s="21" t="s">
        <v>6549</v>
      </c>
      <c r="E2482" s="21" t="s">
        <v>8168</v>
      </c>
      <c r="F2482" s="21" t="s">
        <v>10272</v>
      </c>
      <c r="G2482" s="21" t="s">
        <v>7902</v>
      </c>
      <c r="H2482" s="21" t="s">
        <v>7994</v>
      </c>
    </row>
    <row r="2483" customFormat="false" ht="15" hidden="false" customHeight="false" outlineLevel="0" collapsed="false">
      <c r="B2483" s="19" t="s">
        <v>10667</v>
      </c>
      <c r="C2483" s="20" t="n">
        <f aca="false">ROUND(2.25/FX,2)</f>
        <v>0.31</v>
      </c>
      <c r="D2483" s="21" t="s">
        <v>6549</v>
      </c>
      <c r="E2483" s="21" t="s">
        <v>8168</v>
      </c>
      <c r="F2483" s="21" t="s">
        <v>10274</v>
      </c>
      <c r="G2483" s="21" t="s">
        <v>7902</v>
      </c>
      <c r="H2483" s="21" t="s">
        <v>7994</v>
      </c>
    </row>
    <row r="2484" customFormat="false" ht="15" hidden="false" customHeight="false" outlineLevel="0" collapsed="false">
      <c r="B2484" s="19" t="s">
        <v>10668</v>
      </c>
      <c r="C2484" s="20" t="n">
        <f aca="false">ROUND(8.84/FX,2)</f>
        <v>1.23</v>
      </c>
      <c r="D2484" s="21" t="s">
        <v>8668</v>
      </c>
      <c r="E2484" s="21" t="s">
        <v>10204</v>
      </c>
      <c r="F2484" s="21" t="s">
        <v>10287</v>
      </c>
      <c r="G2484" s="21" t="s">
        <v>7902</v>
      </c>
      <c r="H2484" s="21" t="s">
        <v>8109</v>
      </c>
    </row>
    <row r="2485" customFormat="false" ht="15" hidden="false" customHeight="false" outlineLevel="0" collapsed="false">
      <c r="B2485" s="19" t="s">
        <v>10669</v>
      </c>
      <c r="C2485" s="20" t="n">
        <f aca="false">ROUND(8.84/FX,2)</f>
        <v>1.23</v>
      </c>
      <c r="D2485" s="21" t="s">
        <v>8668</v>
      </c>
      <c r="E2485" s="21" t="s">
        <v>10204</v>
      </c>
      <c r="F2485" s="21" t="s">
        <v>10590</v>
      </c>
      <c r="G2485" s="21" t="s">
        <v>7902</v>
      </c>
      <c r="H2485" s="21" t="s">
        <v>8017</v>
      </c>
    </row>
    <row r="2486" customFormat="false" ht="15" hidden="false" customHeight="false" outlineLevel="0" collapsed="false">
      <c r="B2486" s="19" t="s">
        <v>10670</v>
      </c>
      <c r="C2486" s="20" t="n">
        <f aca="false">ROUND(2.5/FX,2)</f>
        <v>0.35</v>
      </c>
      <c r="D2486" s="21" t="s">
        <v>6549</v>
      </c>
      <c r="E2486" s="21" t="s">
        <v>8168</v>
      </c>
      <c r="F2486" s="21" t="s">
        <v>10272</v>
      </c>
      <c r="G2486" s="21" t="s">
        <v>7902</v>
      </c>
      <c r="H2486" s="21" t="s">
        <v>8017</v>
      </c>
    </row>
    <row r="2487" customFormat="false" ht="15" hidden="false" customHeight="false" outlineLevel="0" collapsed="false">
      <c r="B2487" s="19" t="s">
        <v>10671</v>
      </c>
      <c r="C2487" s="20" t="n">
        <f aca="false">ROUND(8.84/FX,2)</f>
        <v>1.23</v>
      </c>
      <c r="D2487" s="21" t="s">
        <v>8668</v>
      </c>
      <c r="E2487" s="21" t="s">
        <v>10204</v>
      </c>
      <c r="F2487" s="21" t="s">
        <v>10590</v>
      </c>
      <c r="G2487" s="21" t="s">
        <v>7902</v>
      </c>
      <c r="H2487" s="21" t="s">
        <v>7866</v>
      </c>
    </row>
    <row r="2488" customFormat="false" ht="15" hidden="false" customHeight="false" outlineLevel="0" collapsed="false">
      <c r="B2488" s="19" t="s">
        <v>10672</v>
      </c>
      <c r="C2488" s="20" t="n">
        <f aca="false">ROUND(8.84/FX,2)</f>
        <v>1.23</v>
      </c>
      <c r="D2488" s="21" t="s">
        <v>8668</v>
      </c>
      <c r="E2488" s="21" t="s">
        <v>10204</v>
      </c>
      <c r="F2488" s="21" t="s">
        <v>10287</v>
      </c>
      <c r="G2488" s="21" t="s">
        <v>7902</v>
      </c>
      <c r="H2488" s="21" t="s">
        <v>7866</v>
      </c>
    </row>
    <row r="2489" customFormat="false" ht="15" hidden="false" customHeight="false" outlineLevel="0" collapsed="false">
      <c r="B2489" s="19" t="s">
        <v>10673</v>
      </c>
      <c r="C2489" s="20" t="n">
        <f aca="false">ROUND(2.5/FX,2)</f>
        <v>0.35</v>
      </c>
      <c r="D2489" s="21" t="s">
        <v>6549</v>
      </c>
      <c r="E2489" s="21" t="s">
        <v>8168</v>
      </c>
      <c r="F2489" s="21" t="s">
        <v>10272</v>
      </c>
      <c r="G2489" s="21" t="s">
        <v>7902</v>
      </c>
      <c r="H2489" s="21" t="s">
        <v>7866</v>
      </c>
    </row>
    <row r="2490" customFormat="false" ht="15" hidden="false" customHeight="false" outlineLevel="0" collapsed="false">
      <c r="B2490" s="19" t="s">
        <v>10674</v>
      </c>
      <c r="C2490" s="20" t="n">
        <f aca="false">ROUND(8.84/FX,2)</f>
        <v>1.23</v>
      </c>
      <c r="D2490" s="21" t="s">
        <v>8668</v>
      </c>
      <c r="E2490" s="21" t="s">
        <v>10204</v>
      </c>
      <c r="F2490" s="21" t="s">
        <v>10287</v>
      </c>
      <c r="G2490" s="21" t="s">
        <v>7902</v>
      </c>
      <c r="H2490" s="21" t="s">
        <v>8396</v>
      </c>
    </row>
    <row r="2491" customFormat="false" ht="15" hidden="false" customHeight="false" outlineLevel="0" collapsed="false">
      <c r="B2491" s="19" t="s">
        <v>10675</v>
      </c>
      <c r="C2491" s="20" t="n">
        <f aca="false">ROUND(8.84/FX,2)</f>
        <v>1.23</v>
      </c>
      <c r="D2491" s="21" t="s">
        <v>8668</v>
      </c>
      <c r="E2491" s="21" t="s">
        <v>10204</v>
      </c>
      <c r="F2491" s="21" t="s">
        <v>10287</v>
      </c>
      <c r="G2491" s="21" t="s">
        <v>7902</v>
      </c>
      <c r="H2491" s="21" t="s">
        <v>8679</v>
      </c>
    </row>
    <row r="2492" customFormat="false" ht="15" hidden="false" customHeight="false" outlineLevel="0" collapsed="false">
      <c r="B2492" s="19" t="s">
        <v>10676</v>
      </c>
      <c r="C2492" s="20" t="n">
        <f aca="false">ROUND(8.84/FX,2)</f>
        <v>1.23</v>
      </c>
      <c r="D2492" s="21" t="s">
        <v>8668</v>
      </c>
      <c r="E2492" s="21" t="s">
        <v>10204</v>
      </c>
      <c r="F2492" s="21" t="s">
        <v>10287</v>
      </c>
      <c r="G2492" s="21" t="s">
        <v>7902</v>
      </c>
      <c r="H2492" s="21" t="s">
        <v>10677</v>
      </c>
    </row>
    <row r="2493" customFormat="false" ht="15" hidden="false" customHeight="false" outlineLevel="0" collapsed="false">
      <c r="B2493" s="19" t="s">
        <v>10678</v>
      </c>
      <c r="C2493" s="20" t="n">
        <f aca="false">ROUND(8.84/FX,2)</f>
        <v>1.23</v>
      </c>
      <c r="D2493" s="21" t="s">
        <v>8668</v>
      </c>
      <c r="E2493" s="21" t="s">
        <v>10204</v>
      </c>
      <c r="F2493" s="21" t="s">
        <v>10287</v>
      </c>
      <c r="G2493" s="21" t="s">
        <v>7902</v>
      </c>
      <c r="H2493" s="21" t="s">
        <v>8020</v>
      </c>
    </row>
    <row r="2494" customFormat="false" ht="15" hidden="false" customHeight="false" outlineLevel="0" collapsed="false">
      <c r="B2494" s="19" t="s">
        <v>10679</v>
      </c>
      <c r="C2494" s="20" t="n">
        <f aca="false">ROUND(8.84/FX,2)</f>
        <v>1.23</v>
      </c>
      <c r="D2494" s="21" t="s">
        <v>8668</v>
      </c>
      <c r="E2494" s="21" t="s">
        <v>10204</v>
      </c>
      <c r="F2494" s="21" t="s">
        <v>10287</v>
      </c>
      <c r="G2494" s="21" t="s">
        <v>7902</v>
      </c>
      <c r="H2494" s="21" t="s">
        <v>10680</v>
      </c>
    </row>
    <row r="2495" customFormat="false" ht="15" hidden="false" customHeight="false" outlineLevel="0" collapsed="false">
      <c r="B2495" s="19" t="s">
        <v>10681</v>
      </c>
      <c r="C2495" s="20" t="n">
        <f aca="false">ROUND(8.84/FX,2)</f>
        <v>1.23</v>
      </c>
      <c r="D2495" s="21" t="s">
        <v>8668</v>
      </c>
      <c r="E2495" s="21" t="s">
        <v>10204</v>
      </c>
      <c r="F2495" s="21" t="s">
        <v>10287</v>
      </c>
      <c r="G2495" s="21" t="s">
        <v>7902</v>
      </c>
      <c r="H2495" s="21" t="s">
        <v>10682</v>
      </c>
    </row>
    <row r="2496" customFormat="false" ht="15" hidden="false" customHeight="false" outlineLevel="0" collapsed="false">
      <c r="B2496" s="19" t="s">
        <v>10683</v>
      </c>
      <c r="C2496" s="20" t="n">
        <f aca="false">ROUND(8.84/FX,2)</f>
        <v>1.23</v>
      </c>
      <c r="D2496" s="21" t="s">
        <v>8668</v>
      </c>
      <c r="E2496" s="21" t="s">
        <v>10204</v>
      </c>
      <c r="F2496" s="21" t="s">
        <v>10287</v>
      </c>
      <c r="G2496" s="21" t="s">
        <v>7902</v>
      </c>
      <c r="H2496" s="21" t="s">
        <v>8401</v>
      </c>
    </row>
    <row r="2497" customFormat="false" ht="15" hidden="false" customHeight="false" outlineLevel="0" collapsed="false">
      <c r="B2497" s="19" t="s">
        <v>10684</v>
      </c>
      <c r="C2497" s="20" t="n">
        <f aca="false">ROUND(8.84/FX,2)</f>
        <v>1.23</v>
      </c>
      <c r="D2497" s="21" t="s">
        <v>8668</v>
      </c>
      <c r="E2497" s="21" t="s">
        <v>10204</v>
      </c>
      <c r="F2497" s="21" t="s">
        <v>10287</v>
      </c>
      <c r="G2497" s="21" t="s">
        <v>7902</v>
      </c>
      <c r="H2497" s="21" t="s">
        <v>8691</v>
      </c>
    </row>
    <row r="2498" customFormat="false" ht="15" hidden="false" customHeight="false" outlineLevel="0" collapsed="false">
      <c r="B2498" s="19" t="s">
        <v>10685</v>
      </c>
      <c r="C2498" s="20" t="n">
        <f aca="false">ROUND(8.84/FX,2)</f>
        <v>1.23</v>
      </c>
      <c r="D2498" s="21" t="s">
        <v>8668</v>
      </c>
      <c r="E2498" s="21" t="s">
        <v>10204</v>
      </c>
      <c r="F2498" s="21" t="s">
        <v>10287</v>
      </c>
      <c r="G2498" s="21" t="s">
        <v>7902</v>
      </c>
      <c r="H2498" s="21" t="s">
        <v>8022</v>
      </c>
    </row>
    <row r="2499" customFormat="false" ht="15" hidden="false" customHeight="false" outlineLevel="0" collapsed="false">
      <c r="B2499" s="19" t="s">
        <v>10686</v>
      </c>
      <c r="C2499" s="20" t="n">
        <f aca="false">ROUND(8.84/FX,2)</f>
        <v>1.23</v>
      </c>
      <c r="D2499" s="21" t="s">
        <v>8668</v>
      </c>
      <c r="E2499" s="21" t="s">
        <v>10204</v>
      </c>
      <c r="F2499" s="21" t="s">
        <v>10287</v>
      </c>
      <c r="G2499" s="21" t="s">
        <v>7902</v>
      </c>
      <c r="H2499" s="21" t="s">
        <v>8694</v>
      </c>
    </row>
    <row r="2500" customFormat="false" ht="15" hidden="false" customHeight="false" outlineLevel="0" collapsed="false">
      <c r="B2500" s="19" t="s">
        <v>10687</v>
      </c>
      <c r="C2500" s="20" t="n">
        <f aca="false">ROUND(8.84/FX,2)</f>
        <v>1.23</v>
      </c>
      <c r="D2500" s="21" t="s">
        <v>8668</v>
      </c>
      <c r="E2500" s="21" t="s">
        <v>10204</v>
      </c>
      <c r="F2500" s="21" t="s">
        <v>10287</v>
      </c>
      <c r="G2500" s="21" t="s">
        <v>7902</v>
      </c>
      <c r="H2500" s="21" t="s">
        <v>8409</v>
      </c>
    </row>
    <row r="2501" customFormat="false" ht="15" hidden="false" customHeight="false" outlineLevel="0" collapsed="false">
      <c r="B2501" s="19" t="s">
        <v>10688</v>
      </c>
      <c r="C2501" s="20" t="n">
        <f aca="false">ROUND(8.84/FX,2)</f>
        <v>1.23</v>
      </c>
      <c r="D2501" s="21" t="s">
        <v>8668</v>
      </c>
      <c r="E2501" s="21" t="s">
        <v>10204</v>
      </c>
      <c r="F2501" s="21" t="s">
        <v>10287</v>
      </c>
      <c r="G2501" s="21" t="s">
        <v>7902</v>
      </c>
      <c r="H2501" s="21" t="s">
        <v>10689</v>
      </c>
    </row>
    <row r="2502" customFormat="false" ht="15" hidden="false" customHeight="false" outlineLevel="0" collapsed="false">
      <c r="B2502" s="19" t="s">
        <v>10690</v>
      </c>
      <c r="C2502" s="20" t="n">
        <f aca="false">ROUND(11.83/FX,2)</f>
        <v>1.64</v>
      </c>
      <c r="D2502" s="21" t="s">
        <v>8668</v>
      </c>
      <c r="E2502" s="21" t="s">
        <v>10204</v>
      </c>
      <c r="F2502" s="21" t="s">
        <v>10287</v>
      </c>
      <c r="G2502" s="21" t="s">
        <v>7997</v>
      </c>
      <c r="H2502" s="21" t="s">
        <v>7875</v>
      </c>
    </row>
    <row r="2503" customFormat="false" ht="15" hidden="false" customHeight="false" outlineLevel="0" collapsed="false">
      <c r="B2503" s="19" t="s">
        <v>10691</v>
      </c>
      <c r="C2503" s="20" t="n">
        <f aca="false">ROUND(11.83/FX,2)</f>
        <v>1.64</v>
      </c>
      <c r="D2503" s="21" t="s">
        <v>8668</v>
      </c>
      <c r="E2503" s="21" t="s">
        <v>10204</v>
      </c>
      <c r="F2503" s="21" t="s">
        <v>10287</v>
      </c>
      <c r="G2503" s="21" t="s">
        <v>7997</v>
      </c>
      <c r="H2503" s="21" t="s">
        <v>8580</v>
      </c>
    </row>
    <row r="2504" customFormat="false" ht="15" hidden="false" customHeight="false" outlineLevel="0" collapsed="false">
      <c r="B2504" s="19" t="s">
        <v>10692</v>
      </c>
      <c r="C2504" s="20" t="n">
        <f aca="false">ROUND(11.83/FX,2)</f>
        <v>1.64</v>
      </c>
      <c r="D2504" s="21" t="s">
        <v>8668</v>
      </c>
      <c r="E2504" s="21" t="s">
        <v>10204</v>
      </c>
      <c r="F2504" s="21" t="s">
        <v>10287</v>
      </c>
      <c r="G2504" s="21" t="s">
        <v>7997</v>
      </c>
      <c r="H2504" s="21" t="s">
        <v>7999</v>
      </c>
    </row>
    <row r="2505" customFormat="false" ht="15" hidden="false" customHeight="false" outlineLevel="0" collapsed="false">
      <c r="B2505" s="19" t="s">
        <v>10693</v>
      </c>
      <c r="C2505" s="20" t="n">
        <f aca="false">ROUND(11.83/FX,2)</f>
        <v>1.64</v>
      </c>
      <c r="D2505" s="21" t="s">
        <v>8668</v>
      </c>
      <c r="E2505" s="21" t="s">
        <v>10204</v>
      </c>
      <c r="F2505" s="21" t="s">
        <v>10287</v>
      </c>
      <c r="G2505" s="21" t="s">
        <v>7997</v>
      </c>
      <c r="H2505" s="21" t="s">
        <v>8058</v>
      </c>
    </row>
    <row r="2506" customFormat="false" ht="15" hidden="false" customHeight="false" outlineLevel="0" collapsed="false">
      <c r="B2506" s="19" t="s">
        <v>10694</v>
      </c>
      <c r="C2506" s="20" t="n">
        <f aca="false">ROUND(11.83/FX,2)</f>
        <v>1.64</v>
      </c>
      <c r="D2506" s="21" t="s">
        <v>8668</v>
      </c>
      <c r="E2506" s="21" t="s">
        <v>10204</v>
      </c>
      <c r="F2506" s="21" t="s">
        <v>10287</v>
      </c>
      <c r="G2506" s="21" t="s">
        <v>7997</v>
      </c>
      <c r="H2506" s="21" t="s">
        <v>8801</v>
      </c>
    </row>
    <row r="2507" customFormat="false" ht="15" hidden="false" customHeight="false" outlineLevel="0" collapsed="false">
      <c r="B2507" s="19" t="s">
        <v>10695</v>
      </c>
      <c r="C2507" s="20" t="n">
        <f aca="false">ROUND(11.83/FX,2)</f>
        <v>1.64</v>
      </c>
      <c r="D2507" s="21" t="s">
        <v>8668</v>
      </c>
      <c r="E2507" s="21" t="s">
        <v>10204</v>
      </c>
      <c r="F2507" s="21" t="s">
        <v>10287</v>
      </c>
      <c r="G2507" s="21" t="s">
        <v>7997</v>
      </c>
      <c r="H2507" s="21" t="s">
        <v>8060</v>
      </c>
    </row>
    <row r="2508" customFormat="false" ht="15" hidden="false" customHeight="false" outlineLevel="0" collapsed="false">
      <c r="B2508" s="19" t="s">
        <v>10696</v>
      </c>
      <c r="C2508" s="20" t="n">
        <f aca="false">ROUND(11.83/FX,2)</f>
        <v>1.64</v>
      </c>
      <c r="D2508" s="21" t="s">
        <v>8668</v>
      </c>
      <c r="E2508" s="21" t="s">
        <v>10204</v>
      </c>
      <c r="F2508" s="21" t="s">
        <v>10287</v>
      </c>
      <c r="G2508" s="21" t="s">
        <v>7997</v>
      </c>
      <c r="H2508" s="21" t="s">
        <v>8804</v>
      </c>
    </row>
    <row r="2509" customFormat="false" ht="15" hidden="false" customHeight="false" outlineLevel="0" collapsed="false">
      <c r="B2509" s="19" t="s">
        <v>10697</v>
      </c>
      <c r="C2509" s="20" t="n">
        <f aca="false">ROUND(11.83/FX,2)</f>
        <v>1.64</v>
      </c>
      <c r="D2509" s="21" t="s">
        <v>8668</v>
      </c>
      <c r="E2509" s="21" t="s">
        <v>10204</v>
      </c>
      <c r="F2509" s="21" t="s">
        <v>10287</v>
      </c>
      <c r="G2509" s="21" t="s">
        <v>7997</v>
      </c>
      <c r="H2509" s="21" t="s">
        <v>8062</v>
      </c>
    </row>
    <row r="2510" customFormat="false" ht="15" hidden="false" customHeight="false" outlineLevel="0" collapsed="false">
      <c r="B2510" s="19" t="s">
        <v>10698</v>
      </c>
      <c r="C2510" s="20" t="n">
        <f aca="false">ROUND(11.83/FX,2)</f>
        <v>1.64</v>
      </c>
      <c r="D2510" s="21" t="s">
        <v>8668</v>
      </c>
      <c r="E2510" s="21" t="s">
        <v>10204</v>
      </c>
      <c r="F2510" s="21" t="s">
        <v>10287</v>
      </c>
      <c r="G2510" s="21" t="s">
        <v>7997</v>
      </c>
      <c r="H2510" s="21" t="s">
        <v>8064</v>
      </c>
    </row>
    <row r="2511" customFormat="false" ht="15" hidden="false" customHeight="false" outlineLevel="0" collapsed="false">
      <c r="B2511" s="19" t="s">
        <v>10699</v>
      </c>
      <c r="C2511" s="20" t="n">
        <f aca="false">ROUND(11.83/FX,2)</f>
        <v>1.64</v>
      </c>
      <c r="D2511" s="21" t="s">
        <v>8668</v>
      </c>
      <c r="E2511" s="21" t="s">
        <v>10204</v>
      </c>
      <c r="F2511" s="21" t="s">
        <v>10287</v>
      </c>
      <c r="G2511" s="21" t="s">
        <v>7997</v>
      </c>
      <c r="H2511" s="21" t="s">
        <v>8586</v>
      </c>
    </row>
    <row r="2512" customFormat="false" ht="15" hidden="false" customHeight="false" outlineLevel="0" collapsed="false">
      <c r="B2512" s="19" t="s">
        <v>10700</v>
      </c>
      <c r="C2512" s="20" t="n">
        <f aca="false">ROUND(11.83/FX,2)</f>
        <v>1.64</v>
      </c>
      <c r="D2512" s="21" t="s">
        <v>8668</v>
      </c>
      <c r="E2512" s="21" t="s">
        <v>10204</v>
      </c>
      <c r="F2512" s="21" t="s">
        <v>10287</v>
      </c>
      <c r="G2512" s="21" t="s">
        <v>7997</v>
      </c>
      <c r="H2512" s="21" t="s">
        <v>8810</v>
      </c>
    </row>
    <row r="2513" customFormat="false" ht="15" hidden="false" customHeight="false" outlineLevel="0" collapsed="false">
      <c r="B2513" s="19" t="s">
        <v>10701</v>
      </c>
      <c r="C2513" s="20" t="n">
        <f aca="false">ROUND(11.83/FX,2)</f>
        <v>1.64</v>
      </c>
      <c r="D2513" s="21" t="s">
        <v>8668</v>
      </c>
      <c r="E2513" s="21" t="s">
        <v>10204</v>
      </c>
      <c r="F2513" s="21" t="s">
        <v>10287</v>
      </c>
      <c r="G2513" s="21" t="s">
        <v>7997</v>
      </c>
      <c r="H2513" s="21" t="s">
        <v>8066</v>
      </c>
    </row>
    <row r="2514" customFormat="false" ht="15" hidden="false" customHeight="false" outlineLevel="0" collapsed="false">
      <c r="B2514" s="19" t="s">
        <v>10702</v>
      </c>
      <c r="C2514" s="20" t="n">
        <f aca="false">ROUND(11.83/FX,2)</f>
        <v>1.64</v>
      </c>
      <c r="D2514" s="21" t="s">
        <v>8668</v>
      </c>
      <c r="E2514" s="21" t="s">
        <v>10204</v>
      </c>
      <c r="F2514" s="21" t="s">
        <v>10287</v>
      </c>
      <c r="G2514" s="21" t="s">
        <v>7997</v>
      </c>
      <c r="H2514" s="21" t="s">
        <v>8813</v>
      </c>
    </row>
    <row r="2515" customFormat="false" ht="15" hidden="false" customHeight="false" outlineLevel="0" collapsed="false">
      <c r="B2515" s="19" t="s">
        <v>10703</v>
      </c>
      <c r="C2515" s="20" t="n">
        <f aca="false">ROUND(11.83/FX,2)</f>
        <v>1.64</v>
      </c>
      <c r="D2515" s="21" t="s">
        <v>8668</v>
      </c>
      <c r="E2515" s="21" t="s">
        <v>10204</v>
      </c>
      <c r="F2515" s="21" t="s">
        <v>10287</v>
      </c>
      <c r="G2515" s="21" t="s">
        <v>7997</v>
      </c>
      <c r="H2515" s="21" t="s">
        <v>8068</v>
      </c>
    </row>
    <row r="2516" customFormat="false" ht="15" hidden="false" customHeight="false" outlineLevel="0" collapsed="false">
      <c r="B2516" s="19" t="s">
        <v>10704</v>
      </c>
      <c r="C2516" s="20" t="n">
        <f aca="false">ROUND(11.83/FX,2)</f>
        <v>1.64</v>
      </c>
      <c r="D2516" s="21" t="s">
        <v>8668</v>
      </c>
      <c r="E2516" s="21" t="s">
        <v>10204</v>
      </c>
      <c r="F2516" s="21" t="s">
        <v>10287</v>
      </c>
      <c r="G2516" s="21" t="s">
        <v>7997</v>
      </c>
      <c r="H2516" s="21" t="s">
        <v>8817</v>
      </c>
    </row>
    <row r="2517" customFormat="false" ht="15" hidden="false" customHeight="false" outlineLevel="0" collapsed="false">
      <c r="B2517" s="19" t="s">
        <v>10705</v>
      </c>
      <c r="C2517" s="20" t="n">
        <f aca="false">ROUND(11.83/FX,2)</f>
        <v>1.64</v>
      </c>
      <c r="D2517" s="21" t="s">
        <v>8668</v>
      </c>
      <c r="E2517" s="21" t="s">
        <v>10204</v>
      </c>
      <c r="F2517" s="21" t="s">
        <v>10287</v>
      </c>
      <c r="G2517" s="21" t="s">
        <v>7997</v>
      </c>
      <c r="H2517" s="21" t="s">
        <v>8070</v>
      </c>
    </row>
    <row r="2518" customFormat="false" ht="15" hidden="false" customHeight="false" outlineLevel="0" collapsed="false">
      <c r="B2518" s="19" t="s">
        <v>10706</v>
      </c>
      <c r="C2518" s="20" t="n">
        <f aca="false">ROUND(11.83/FX,2)</f>
        <v>1.64</v>
      </c>
      <c r="D2518" s="21" t="s">
        <v>8668</v>
      </c>
      <c r="E2518" s="21" t="s">
        <v>10204</v>
      </c>
      <c r="F2518" s="21" t="s">
        <v>10287</v>
      </c>
      <c r="G2518" s="21" t="s">
        <v>7997</v>
      </c>
      <c r="H2518" s="21" t="s">
        <v>8072</v>
      </c>
    </row>
    <row r="2519" customFormat="false" ht="15" hidden="false" customHeight="false" outlineLevel="0" collapsed="false">
      <c r="B2519" s="19" t="s">
        <v>10707</v>
      </c>
      <c r="C2519" s="20" t="n">
        <f aca="false">ROUND(11.83/FX,2)</f>
        <v>1.64</v>
      </c>
      <c r="D2519" s="21" t="s">
        <v>8668</v>
      </c>
      <c r="E2519" s="21" t="s">
        <v>10204</v>
      </c>
      <c r="F2519" s="21" t="s">
        <v>10287</v>
      </c>
      <c r="G2519" s="21" t="s">
        <v>7997</v>
      </c>
      <c r="H2519" s="21" t="s">
        <v>7985</v>
      </c>
    </row>
    <row r="2520" customFormat="false" ht="15" hidden="false" customHeight="false" outlineLevel="0" collapsed="false">
      <c r="B2520" s="19" t="s">
        <v>10708</v>
      </c>
      <c r="C2520" s="20" t="n">
        <f aca="false">ROUND(11.83/FX,2)</f>
        <v>1.64</v>
      </c>
      <c r="D2520" s="21" t="s">
        <v>8668</v>
      </c>
      <c r="E2520" s="21" t="s">
        <v>10204</v>
      </c>
      <c r="F2520" s="21" t="s">
        <v>10287</v>
      </c>
      <c r="G2520" s="21" t="s">
        <v>7997</v>
      </c>
      <c r="H2520" s="21" t="s">
        <v>8075</v>
      </c>
    </row>
    <row r="2521" customFormat="false" ht="15" hidden="false" customHeight="false" outlineLevel="0" collapsed="false">
      <c r="B2521" s="19" t="s">
        <v>10709</v>
      </c>
      <c r="C2521" s="20" t="n">
        <f aca="false">ROUND(11.83/FX,2)</f>
        <v>1.64</v>
      </c>
      <c r="D2521" s="21" t="s">
        <v>8668</v>
      </c>
      <c r="E2521" s="21" t="s">
        <v>10204</v>
      </c>
      <c r="F2521" s="21" t="s">
        <v>10287</v>
      </c>
      <c r="G2521" s="21" t="s">
        <v>7997</v>
      </c>
      <c r="H2521" s="21" t="s">
        <v>8824</v>
      </c>
    </row>
    <row r="2522" customFormat="false" ht="15" hidden="false" customHeight="false" outlineLevel="0" collapsed="false">
      <c r="B2522" s="19" t="s">
        <v>10710</v>
      </c>
      <c r="C2522" s="20" t="n">
        <f aca="false">ROUND(11.83/FX,2)</f>
        <v>1.64</v>
      </c>
      <c r="D2522" s="21" t="s">
        <v>8668</v>
      </c>
      <c r="E2522" s="21" t="s">
        <v>10204</v>
      </c>
      <c r="F2522" s="21" t="s">
        <v>10287</v>
      </c>
      <c r="G2522" s="21" t="s">
        <v>7997</v>
      </c>
      <c r="H2522" s="21" t="s">
        <v>8077</v>
      </c>
    </row>
    <row r="2523" customFormat="false" ht="15" hidden="false" customHeight="false" outlineLevel="0" collapsed="false">
      <c r="B2523" s="19" t="s">
        <v>10711</v>
      </c>
      <c r="C2523" s="20" t="n">
        <f aca="false">ROUND(11.83/FX,2)</f>
        <v>1.64</v>
      </c>
      <c r="D2523" s="21" t="s">
        <v>8668</v>
      </c>
      <c r="E2523" s="21" t="s">
        <v>10204</v>
      </c>
      <c r="F2523" s="21" t="s">
        <v>10287</v>
      </c>
      <c r="G2523" s="21" t="s">
        <v>7997</v>
      </c>
      <c r="H2523" s="21" t="s">
        <v>8079</v>
      </c>
    </row>
    <row r="2524" customFormat="false" ht="15" hidden="false" customHeight="false" outlineLevel="0" collapsed="false">
      <c r="B2524" s="19" t="s">
        <v>10712</v>
      </c>
      <c r="C2524" s="20" t="n">
        <f aca="false">ROUND(11.83/FX,2)</f>
        <v>1.64</v>
      </c>
      <c r="D2524" s="21" t="s">
        <v>8668</v>
      </c>
      <c r="E2524" s="21" t="s">
        <v>10204</v>
      </c>
      <c r="F2524" s="21" t="s">
        <v>10287</v>
      </c>
      <c r="G2524" s="21" t="s">
        <v>7997</v>
      </c>
      <c r="H2524" s="21" t="s">
        <v>8829</v>
      </c>
    </row>
    <row r="2525" customFormat="false" ht="15" hidden="false" customHeight="false" outlineLevel="0" collapsed="false">
      <c r="B2525" s="19" t="s">
        <v>10713</v>
      </c>
      <c r="C2525" s="20" t="n">
        <f aca="false">ROUND(11.83/FX,2)</f>
        <v>1.64</v>
      </c>
      <c r="D2525" s="21" t="s">
        <v>8668</v>
      </c>
      <c r="E2525" s="21" t="s">
        <v>10204</v>
      </c>
      <c r="F2525" s="21" t="s">
        <v>10287</v>
      </c>
      <c r="G2525" s="21" t="s">
        <v>7997</v>
      </c>
      <c r="H2525" s="21" t="s">
        <v>8831</v>
      </c>
    </row>
    <row r="2526" customFormat="false" ht="15" hidden="false" customHeight="false" outlineLevel="0" collapsed="false">
      <c r="B2526" s="19" t="s">
        <v>10714</v>
      </c>
      <c r="C2526" s="20" t="n">
        <f aca="false">ROUND(11.83/FX,2)</f>
        <v>1.64</v>
      </c>
      <c r="D2526" s="21" t="s">
        <v>8668</v>
      </c>
      <c r="E2526" s="21" t="s">
        <v>10204</v>
      </c>
      <c r="F2526" s="21" t="s">
        <v>10287</v>
      </c>
      <c r="G2526" s="21" t="s">
        <v>7997</v>
      </c>
      <c r="H2526" s="21" t="s">
        <v>8083</v>
      </c>
    </row>
    <row r="2527" customFormat="false" ht="15" hidden="false" customHeight="false" outlineLevel="0" collapsed="false">
      <c r="B2527" s="19" t="s">
        <v>10715</v>
      </c>
      <c r="C2527" s="20" t="n">
        <f aca="false">ROUND(11.83/FX,2)</f>
        <v>1.64</v>
      </c>
      <c r="D2527" s="21" t="s">
        <v>8668</v>
      </c>
      <c r="E2527" s="21" t="s">
        <v>10204</v>
      </c>
      <c r="F2527" s="21" t="s">
        <v>10287</v>
      </c>
      <c r="G2527" s="21" t="s">
        <v>7997</v>
      </c>
      <c r="H2527" s="21" t="s">
        <v>8085</v>
      </c>
    </row>
    <row r="2528" customFormat="false" ht="15" hidden="false" customHeight="false" outlineLevel="0" collapsed="false">
      <c r="B2528" s="19" t="s">
        <v>10716</v>
      </c>
      <c r="C2528" s="20" t="n">
        <f aca="false">ROUND(11.83/FX,2)</f>
        <v>1.64</v>
      </c>
      <c r="D2528" s="21" t="s">
        <v>8668</v>
      </c>
      <c r="E2528" s="21" t="s">
        <v>10204</v>
      </c>
      <c r="F2528" s="21" t="s">
        <v>10287</v>
      </c>
      <c r="G2528" s="21" t="s">
        <v>7997</v>
      </c>
      <c r="H2528" s="21" t="s">
        <v>8087</v>
      </c>
    </row>
    <row r="2529" customFormat="false" ht="15" hidden="false" customHeight="false" outlineLevel="0" collapsed="false">
      <c r="B2529" s="19" t="s">
        <v>10717</v>
      </c>
      <c r="C2529" s="20" t="n">
        <f aca="false">ROUND(11.83/FX,2)</f>
        <v>1.64</v>
      </c>
      <c r="D2529" s="21" t="s">
        <v>8668</v>
      </c>
      <c r="E2529" s="21" t="s">
        <v>10204</v>
      </c>
      <c r="F2529" s="21" t="s">
        <v>10287</v>
      </c>
      <c r="G2529" s="21" t="s">
        <v>7997</v>
      </c>
      <c r="H2529" s="21" t="s">
        <v>8045</v>
      </c>
    </row>
    <row r="2530" customFormat="false" ht="15" hidden="false" customHeight="false" outlineLevel="0" collapsed="false">
      <c r="B2530" s="19" t="s">
        <v>10718</v>
      </c>
      <c r="C2530" s="20" t="n">
        <f aca="false">ROUND(11.83/FX,2)</f>
        <v>1.64</v>
      </c>
      <c r="D2530" s="21" t="s">
        <v>8668</v>
      </c>
      <c r="E2530" s="21" t="s">
        <v>10204</v>
      </c>
      <c r="F2530" s="21" t="s">
        <v>10287</v>
      </c>
      <c r="G2530" s="21" t="s">
        <v>7997</v>
      </c>
      <c r="H2530" s="21" t="s">
        <v>7899</v>
      </c>
    </row>
    <row r="2531" customFormat="false" ht="15" hidden="false" customHeight="false" outlineLevel="0" collapsed="false">
      <c r="B2531" s="19" t="s">
        <v>10719</v>
      </c>
      <c r="C2531" s="20" t="n">
        <f aca="false">ROUND(11.83/FX,2)</f>
        <v>1.64</v>
      </c>
      <c r="D2531" s="21" t="s">
        <v>8668</v>
      </c>
      <c r="E2531" s="21" t="s">
        <v>10204</v>
      </c>
      <c r="F2531" s="21" t="s">
        <v>10287</v>
      </c>
      <c r="G2531" s="21" t="s">
        <v>7997</v>
      </c>
      <c r="H2531" s="21" t="s">
        <v>8672</v>
      </c>
    </row>
    <row r="2532" customFormat="false" ht="15" hidden="false" customHeight="false" outlineLevel="0" collapsed="false">
      <c r="B2532" s="19" t="s">
        <v>10720</v>
      </c>
      <c r="C2532" s="20" t="n">
        <f aca="false">ROUND(11.83/FX,2)</f>
        <v>1.64</v>
      </c>
      <c r="D2532" s="21" t="s">
        <v>8668</v>
      </c>
      <c r="E2532" s="21" t="s">
        <v>10204</v>
      </c>
      <c r="F2532" s="21" t="s">
        <v>10287</v>
      </c>
      <c r="G2532" s="21" t="s">
        <v>7997</v>
      </c>
      <c r="H2532" s="21" t="s">
        <v>7994</v>
      </c>
    </row>
    <row r="2533" customFormat="false" ht="15" hidden="false" customHeight="false" outlineLevel="0" collapsed="false">
      <c r="B2533" s="19" t="s">
        <v>10721</v>
      </c>
      <c r="C2533" s="20" t="n">
        <f aca="false">ROUND(11.83/FX,2)</f>
        <v>1.64</v>
      </c>
      <c r="D2533" s="21" t="s">
        <v>8668</v>
      </c>
      <c r="E2533" s="21" t="s">
        <v>10204</v>
      </c>
      <c r="F2533" s="21" t="s">
        <v>10287</v>
      </c>
      <c r="G2533" s="21" t="s">
        <v>7997</v>
      </c>
      <c r="H2533" s="21" t="s">
        <v>8109</v>
      </c>
    </row>
    <row r="2534" customFormat="false" ht="15" hidden="false" customHeight="false" outlineLevel="0" collapsed="false">
      <c r="B2534" s="19" t="s">
        <v>10722</v>
      </c>
      <c r="C2534" s="20" t="n">
        <f aca="false">ROUND(11.83/FX,2)</f>
        <v>1.64</v>
      </c>
      <c r="D2534" s="21" t="s">
        <v>8668</v>
      </c>
      <c r="E2534" s="21" t="s">
        <v>10204</v>
      </c>
      <c r="F2534" s="21" t="s">
        <v>10287</v>
      </c>
      <c r="G2534" s="21" t="s">
        <v>7997</v>
      </c>
      <c r="H2534" s="21" t="s">
        <v>8950</v>
      </c>
    </row>
    <row r="2535" customFormat="false" ht="15" hidden="false" customHeight="false" outlineLevel="0" collapsed="false">
      <c r="B2535" s="19" t="s">
        <v>10723</v>
      </c>
      <c r="C2535" s="20" t="n">
        <f aca="false">ROUND(11.83/FX,2)</f>
        <v>1.64</v>
      </c>
      <c r="D2535" s="21" t="s">
        <v>8668</v>
      </c>
      <c r="E2535" s="21" t="s">
        <v>10204</v>
      </c>
      <c r="F2535" s="21" t="s">
        <v>10287</v>
      </c>
      <c r="G2535" s="21" t="s">
        <v>7997</v>
      </c>
      <c r="H2535" s="21" t="s">
        <v>8017</v>
      </c>
    </row>
    <row r="2536" customFormat="false" ht="15" hidden="false" customHeight="false" outlineLevel="0" collapsed="false">
      <c r="B2536" s="19" t="s">
        <v>10724</v>
      </c>
      <c r="C2536" s="20" t="n">
        <f aca="false">ROUND(11.83/FX,2)</f>
        <v>1.64</v>
      </c>
      <c r="D2536" s="21" t="s">
        <v>8668</v>
      </c>
      <c r="E2536" s="21" t="s">
        <v>10204</v>
      </c>
      <c r="F2536" s="21" t="s">
        <v>10287</v>
      </c>
      <c r="G2536" s="21" t="s">
        <v>7997</v>
      </c>
      <c r="H2536" s="21" t="s">
        <v>8112</v>
      </c>
    </row>
    <row r="2537" customFormat="false" ht="15" hidden="false" customHeight="false" outlineLevel="0" collapsed="false">
      <c r="B2537" s="19" t="s">
        <v>10725</v>
      </c>
      <c r="C2537" s="20" t="n">
        <f aca="false">ROUND(11.83/FX,2)</f>
        <v>1.64</v>
      </c>
      <c r="D2537" s="21" t="s">
        <v>8668</v>
      </c>
      <c r="E2537" s="21" t="s">
        <v>10204</v>
      </c>
      <c r="F2537" s="21" t="s">
        <v>10287</v>
      </c>
      <c r="G2537" s="21" t="s">
        <v>7997</v>
      </c>
      <c r="H2537" s="21" t="s">
        <v>7866</v>
      </c>
    </row>
    <row r="2538" customFormat="false" ht="15" hidden="false" customHeight="false" outlineLevel="0" collapsed="false">
      <c r="B2538" s="19" t="s">
        <v>10726</v>
      </c>
      <c r="C2538" s="20" t="n">
        <f aca="false">ROUND(11.83/FX,2)</f>
        <v>1.64</v>
      </c>
      <c r="D2538" s="21" t="s">
        <v>8668</v>
      </c>
      <c r="E2538" s="21" t="s">
        <v>10204</v>
      </c>
      <c r="F2538" s="21" t="s">
        <v>10287</v>
      </c>
      <c r="G2538" s="21" t="s">
        <v>7997</v>
      </c>
      <c r="H2538" s="21" t="s">
        <v>8396</v>
      </c>
    </row>
    <row r="2539" customFormat="false" ht="15" hidden="false" customHeight="false" outlineLevel="0" collapsed="false">
      <c r="B2539" s="19" t="s">
        <v>10727</v>
      </c>
      <c r="C2539" s="20" t="n">
        <f aca="false">ROUND(11.83/FX,2)</f>
        <v>1.64</v>
      </c>
      <c r="D2539" s="21" t="s">
        <v>8668</v>
      </c>
      <c r="E2539" s="21" t="s">
        <v>10204</v>
      </c>
      <c r="F2539" s="21" t="s">
        <v>10287</v>
      </c>
      <c r="G2539" s="21" t="s">
        <v>7997</v>
      </c>
      <c r="H2539" s="21" t="s">
        <v>8679</v>
      </c>
    </row>
    <row r="2540" customFormat="false" ht="15" hidden="false" customHeight="false" outlineLevel="0" collapsed="false">
      <c r="B2540" s="19" t="s">
        <v>10728</v>
      </c>
      <c r="C2540" s="20" t="n">
        <f aca="false">ROUND(11.83/FX,2)</f>
        <v>1.64</v>
      </c>
      <c r="D2540" s="21" t="s">
        <v>8668</v>
      </c>
      <c r="E2540" s="21" t="s">
        <v>10204</v>
      </c>
      <c r="F2540" s="21" t="s">
        <v>10287</v>
      </c>
      <c r="G2540" s="21" t="s">
        <v>7997</v>
      </c>
      <c r="H2540" s="21" t="s">
        <v>10677</v>
      </c>
    </row>
    <row r="2541" customFormat="false" ht="15" hidden="false" customHeight="false" outlineLevel="0" collapsed="false">
      <c r="B2541" s="19" t="s">
        <v>10729</v>
      </c>
      <c r="C2541" s="20" t="n">
        <f aca="false">ROUND(11.83/FX,2)</f>
        <v>1.64</v>
      </c>
      <c r="D2541" s="21" t="s">
        <v>8668</v>
      </c>
      <c r="E2541" s="21" t="s">
        <v>10204</v>
      </c>
      <c r="F2541" s="21" t="s">
        <v>10287</v>
      </c>
      <c r="G2541" s="21" t="s">
        <v>7997</v>
      </c>
      <c r="H2541" s="21" t="s">
        <v>10730</v>
      </c>
    </row>
    <row r="2542" customFormat="false" ht="15" hidden="false" customHeight="false" outlineLevel="0" collapsed="false">
      <c r="B2542" s="19" t="s">
        <v>10731</v>
      </c>
      <c r="C2542" s="20" t="n">
        <f aca="false">ROUND(11.83/FX,2)</f>
        <v>1.64</v>
      </c>
      <c r="D2542" s="21" t="s">
        <v>8668</v>
      </c>
      <c r="E2542" s="21" t="s">
        <v>10204</v>
      </c>
      <c r="F2542" s="21" t="s">
        <v>10287</v>
      </c>
      <c r="G2542" s="21" t="s">
        <v>7997</v>
      </c>
      <c r="H2542" s="21" t="s">
        <v>8020</v>
      </c>
    </row>
    <row r="2543" customFormat="false" ht="15" hidden="false" customHeight="false" outlineLevel="0" collapsed="false">
      <c r="B2543" s="19" t="s">
        <v>10732</v>
      </c>
      <c r="C2543" s="20" t="n">
        <f aca="false">ROUND(11.83/FX,2)</f>
        <v>1.64</v>
      </c>
      <c r="D2543" s="21" t="s">
        <v>8668</v>
      </c>
      <c r="E2543" s="21" t="s">
        <v>10204</v>
      </c>
      <c r="F2543" s="21" t="s">
        <v>10287</v>
      </c>
      <c r="G2543" s="21" t="s">
        <v>7997</v>
      </c>
      <c r="H2543" s="21" t="s">
        <v>10680</v>
      </c>
    </row>
    <row r="2544" customFormat="false" ht="15" hidden="false" customHeight="false" outlineLevel="0" collapsed="false">
      <c r="B2544" s="19" t="s">
        <v>10733</v>
      </c>
      <c r="C2544" s="20" t="n">
        <f aca="false">ROUND(11.83/FX,2)</f>
        <v>1.64</v>
      </c>
      <c r="D2544" s="21" t="s">
        <v>8668</v>
      </c>
      <c r="E2544" s="21" t="s">
        <v>10204</v>
      </c>
      <c r="F2544" s="21" t="s">
        <v>10287</v>
      </c>
      <c r="G2544" s="21" t="s">
        <v>7997</v>
      </c>
      <c r="H2544" s="21" t="s">
        <v>10734</v>
      </c>
    </row>
    <row r="2545" customFormat="false" ht="15" hidden="false" customHeight="false" outlineLevel="0" collapsed="false">
      <c r="B2545" s="19" t="s">
        <v>10735</v>
      </c>
      <c r="C2545" s="20" t="n">
        <f aca="false">ROUND(11.83/FX,2)</f>
        <v>1.64</v>
      </c>
      <c r="D2545" s="21" t="s">
        <v>8668</v>
      </c>
      <c r="E2545" s="21" t="s">
        <v>10204</v>
      </c>
      <c r="F2545" s="21" t="s">
        <v>10287</v>
      </c>
      <c r="G2545" s="21" t="s">
        <v>7997</v>
      </c>
      <c r="H2545" s="21" t="s">
        <v>10736</v>
      </c>
    </row>
    <row r="2546" customFormat="false" ht="15" hidden="false" customHeight="false" outlineLevel="0" collapsed="false">
      <c r="B2546" s="19" t="s">
        <v>10737</v>
      </c>
      <c r="C2546" s="20" t="n">
        <f aca="false">ROUND(11.83/FX,2)</f>
        <v>1.64</v>
      </c>
      <c r="D2546" s="21" t="s">
        <v>8668</v>
      </c>
      <c r="E2546" s="21" t="s">
        <v>10204</v>
      </c>
      <c r="F2546" s="21" t="s">
        <v>10287</v>
      </c>
      <c r="G2546" s="21" t="s">
        <v>7997</v>
      </c>
      <c r="H2546" s="21" t="s">
        <v>10738</v>
      </c>
    </row>
    <row r="2547" customFormat="false" ht="15" hidden="false" customHeight="false" outlineLevel="0" collapsed="false">
      <c r="B2547" s="19" t="s">
        <v>10739</v>
      </c>
      <c r="C2547" s="20" t="n">
        <f aca="false">ROUND(11.83/FX,2)</f>
        <v>1.64</v>
      </c>
      <c r="D2547" s="21" t="s">
        <v>8668</v>
      </c>
      <c r="E2547" s="21" t="s">
        <v>10204</v>
      </c>
      <c r="F2547" s="21" t="s">
        <v>10287</v>
      </c>
      <c r="G2547" s="21" t="s">
        <v>7997</v>
      </c>
      <c r="H2547" s="21" t="s">
        <v>10682</v>
      </c>
    </row>
    <row r="2548" customFormat="false" ht="15" hidden="false" customHeight="false" outlineLevel="0" collapsed="false">
      <c r="B2548" s="19" t="s">
        <v>10740</v>
      </c>
      <c r="C2548" s="20" t="n">
        <f aca="false">ROUND(11.83/FX,2)</f>
        <v>1.64</v>
      </c>
      <c r="D2548" s="21" t="s">
        <v>8668</v>
      </c>
      <c r="E2548" s="21" t="s">
        <v>10204</v>
      </c>
      <c r="F2548" s="21" t="s">
        <v>10287</v>
      </c>
      <c r="G2548" s="21" t="s">
        <v>7997</v>
      </c>
      <c r="H2548" s="21" t="s">
        <v>8401</v>
      </c>
    </row>
    <row r="2549" customFormat="false" ht="15" hidden="false" customHeight="false" outlineLevel="0" collapsed="false">
      <c r="B2549" s="19" t="s">
        <v>10741</v>
      </c>
      <c r="C2549" s="20" t="n">
        <f aca="false">ROUND(11.83/FX,2)</f>
        <v>1.64</v>
      </c>
      <c r="D2549" s="21" t="s">
        <v>8668</v>
      </c>
      <c r="E2549" s="21" t="s">
        <v>10204</v>
      </c>
      <c r="F2549" s="21" t="s">
        <v>10287</v>
      </c>
      <c r="G2549" s="21" t="s">
        <v>7997</v>
      </c>
      <c r="H2549" s="21" t="s">
        <v>8691</v>
      </c>
    </row>
    <row r="2550" customFormat="false" ht="15" hidden="false" customHeight="false" outlineLevel="0" collapsed="false">
      <c r="B2550" s="19" t="s">
        <v>10742</v>
      </c>
      <c r="C2550" s="20" t="n">
        <f aca="false">ROUND(11.83/FX,2)</f>
        <v>1.64</v>
      </c>
      <c r="D2550" s="21" t="s">
        <v>8668</v>
      </c>
      <c r="E2550" s="21" t="s">
        <v>10204</v>
      </c>
      <c r="F2550" s="21" t="s">
        <v>10287</v>
      </c>
      <c r="G2550" s="21" t="s">
        <v>7997</v>
      </c>
      <c r="H2550" s="21" t="s">
        <v>8022</v>
      </c>
    </row>
    <row r="2551" customFormat="false" ht="15" hidden="false" customHeight="false" outlineLevel="0" collapsed="false">
      <c r="B2551" s="19" t="s">
        <v>10743</v>
      </c>
      <c r="C2551" s="20" t="n">
        <f aca="false">ROUND(11.83/FX,2)</f>
        <v>1.64</v>
      </c>
      <c r="D2551" s="21" t="s">
        <v>8668</v>
      </c>
      <c r="E2551" s="21" t="s">
        <v>10204</v>
      </c>
      <c r="F2551" s="21" t="s">
        <v>10287</v>
      </c>
      <c r="G2551" s="21" t="s">
        <v>7997</v>
      </c>
      <c r="H2551" s="21" t="s">
        <v>8694</v>
      </c>
    </row>
    <row r="2552" customFormat="false" ht="15" hidden="false" customHeight="false" outlineLevel="0" collapsed="false">
      <c r="B2552" s="19" t="s">
        <v>10744</v>
      </c>
      <c r="C2552" s="20" t="n">
        <f aca="false">ROUND(11.83/FX,2)</f>
        <v>1.64</v>
      </c>
      <c r="D2552" s="21" t="s">
        <v>8668</v>
      </c>
      <c r="E2552" s="21" t="s">
        <v>10204</v>
      </c>
      <c r="F2552" s="21" t="s">
        <v>10287</v>
      </c>
      <c r="G2552" s="21" t="s">
        <v>7997</v>
      </c>
      <c r="H2552" s="21" t="s">
        <v>8973</v>
      </c>
    </row>
    <row r="2553" customFormat="false" ht="15" hidden="false" customHeight="false" outlineLevel="0" collapsed="false">
      <c r="B2553" s="19" t="s">
        <v>10745</v>
      </c>
      <c r="C2553" s="20" t="n">
        <f aca="false">ROUND(11.83/FX,2)</f>
        <v>1.64</v>
      </c>
      <c r="D2553" s="21" t="s">
        <v>8668</v>
      </c>
      <c r="E2553" s="21" t="s">
        <v>10204</v>
      </c>
      <c r="F2553" s="21" t="s">
        <v>10287</v>
      </c>
      <c r="G2553" s="21" t="s">
        <v>7997</v>
      </c>
      <c r="H2553" s="21" t="s">
        <v>8119</v>
      </c>
    </row>
    <row r="2554" customFormat="false" ht="15" hidden="false" customHeight="false" outlineLevel="0" collapsed="false">
      <c r="B2554" s="19" t="s">
        <v>10746</v>
      </c>
      <c r="C2554" s="20" t="n">
        <f aca="false">ROUND(11.83/FX,2)</f>
        <v>1.64</v>
      </c>
      <c r="D2554" s="21" t="s">
        <v>8668</v>
      </c>
      <c r="E2554" s="21" t="s">
        <v>10204</v>
      </c>
      <c r="F2554" s="21" t="s">
        <v>10287</v>
      </c>
      <c r="G2554" s="21" t="s">
        <v>7997</v>
      </c>
      <c r="H2554" s="21" t="s">
        <v>8976</v>
      </c>
    </row>
    <row r="2555" customFormat="false" ht="15" hidden="false" customHeight="false" outlineLevel="0" collapsed="false">
      <c r="B2555" s="19" t="s">
        <v>10747</v>
      </c>
      <c r="C2555" s="20" t="n">
        <f aca="false">ROUND(11.83/FX,2)</f>
        <v>1.64</v>
      </c>
      <c r="D2555" s="21" t="s">
        <v>8668</v>
      </c>
      <c r="E2555" s="21" t="s">
        <v>10204</v>
      </c>
      <c r="F2555" s="21" t="s">
        <v>10287</v>
      </c>
      <c r="G2555" s="21" t="s">
        <v>7997</v>
      </c>
      <c r="H2555" s="21" t="s">
        <v>8409</v>
      </c>
    </row>
    <row r="2556" customFormat="false" ht="15" hidden="false" customHeight="false" outlineLevel="0" collapsed="false">
      <c r="B2556" s="19" t="s">
        <v>10748</v>
      </c>
      <c r="C2556" s="20" t="n">
        <f aca="false">ROUND(11.83/FX,2)</f>
        <v>1.64</v>
      </c>
      <c r="D2556" s="21" t="s">
        <v>8668</v>
      </c>
      <c r="E2556" s="21" t="s">
        <v>10204</v>
      </c>
      <c r="F2556" s="21" t="s">
        <v>10287</v>
      </c>
      <c r="G2556" s="21" t="s">
        <v>7997</v>
      </c>
      <c r="H2556" s="21" t="s">
        <v>10689</v>
      </c>
    </row>
    <row r="2557" customFormat="false" ht="15" hidden="false" customHeight="false" outlineLevel="0" collapsed="false">
      <c r="B2557" s="19" t="s">
        <v>10749</v>
      </c>
      <c r="C2557" s="20" t="n">
        <f aca="false">ROUND(19.5/FX,2)</f>
        <v>2.71</v>
      </c>
      <c r="D2557" s="21" t="s">
        <v>8668</v>
      </c>
      <c r="E2557" s="21" t="s">
        <v>10204</v>
      </c>
      <c r="F2557" s="21" t="s">
        <v>10590</v>
      </c>
      <c r="G2557" s="21" t="s">
        <v>10750</v>
      </c>
      <c r="H2557" s="21" t="s">
        <v>8045</v>
      </c>
    </row>
    <row r="2558" customFormat="false" ht="15" hidden="false" customHeight="false" outlineLevel="0" collapsed="false">
      <c r="B2558" s="19" t="s">
        <v>10751</v>
      </c>
      <c r="C2558" s="20" t="n">
        <f aca="false">ROUND(19.5/FX,2)</f>
        <v>2.71</v>
      </c>
      <c r="D2558" s="21" t="s">
        <v>8668</v>
      </c>
      <c r="E2558" s="21" t="s">
        <v>10204</v>
      </c>
      <c r="F2558" s="21" t="s">
        <v>10590</v>
      </c>
      <c r="G2558" s="21" t="s">
        <v>10750</v>
      </c>
      <c r="H2558" s="21" t="s">
        <v>8840</v>
      </c>
    </row>
    <row r="2559" customFormat="false" ht="15" hidden="false" customHeight="false" outlineLevel="0" collapsed="false">
      <c r="B2559" s="19" t="s">
        <v>10752</v>
      </c>
      <c r="C2559" s="20" t="n">
        <f aca="false">ROUND(19.5/FX,2)</f>
        <v>2.71</v>
      </c>
      <c r="D2559" s="21" t="s">
        <v>8668</v>
      </c>
      <c r="E2559" s="21" t="s">
        <v>10204</v>
      </c>
      <c r="F2559" s="21" t="s">
        <v>10590</v>
      </c>
      <c r="G2559" s="21" t="s">
        <v>10750</v>
      </c>
      <c r="H2559" s="21" t="s">
        <v>9150</v>
      </c>
    </row>
    <row r="2560" customFormat="false" ht="15" hidden="false" customHeight="false" outlineLevel="0" collapsed="false">
      <c r="B2560" s="19" t="s">
        <v>10753</v>
      </c>
      <c r="C2560" s="20" t="n">
        <f aca="false">ROUND(19.5/FX,2)</f>
        <v>2.71</v>
      </c>
      <c r="D2560" s="21" t="s">
        <v>8668</v>
      </c>
      <c r="E2560" s="21" t="s">
        <v>10204</v>
      </c>
      <c r="F2560" s="21" t="s">
        <v>10590</v>
      </c>
      <c r="G2560" s="21" t="s">
        <v>10750</v>
      </c>
      <c r="H2560" s="21" t="s">
        <v>9028</v>
      </c>
    </row>
    <row r="2561" customFormat="false" ht="15" hidden="false" customHeight="false" outlineLevel="0" collapsed="false">
      <c r="B2561" s="19" t="s">
        <v>10754</v>
      </c>
      <c r="C2561" s="20" t="n">
        <f aca="false">ROUND(19.5/FX,2)</f>
        <v>2.71</v>
      </c>
      <c r="D2561" s="21" t="s">
        <v>8668</v>
      </c>
      <c r="E2561" s="21" t="s">
        <v>10204</v>
      </c>
      <c r="F2561" s="21" t="s">
        <v>10590</v>
      </c>
      <c r="G2561" s="21" t="s">
        <v>10750</v>
      </c>
      <c r="H2561" s="21" t="s">
        <v>8047</v>
      </c>
    </row>
    <row r="2562" customFormat="false" ht="15" hidden="false" customHeight="false" outlineLevel="0" collapsed="false">
      <c r="B2562" s="19" t="s">
        <v>10755</v>
      </c>
      <c r="C2562" s="20" t="n">
        <f aca="false">ROUND(19.5/FX,2)</f>
        <v>2.71</v>
      </c>
      <c r="D2562" s="21" t="s">
        <v>8668</v>
      </c>
      <c r="E2562" s="21" t="s">
        <v>10204</v>
      </c>
      <c r="F2562" s="21" t="s">
        <v>10590</v>
      </c>
      <c r="G2562" s="21" t="s">
        <v>10750</v>
      </c>
      <c r="H2562" s="21" t="s">
        <v>9157</v>
      </c>
    </row>
    <row r="2563" customFormat="false" ht="15" hidden="false" customHeight="false" outlineLevel="0" collapsed="false">
      <c r="B2563" s="19" t="s">
        <v>10756</v>
      </c>
      <c r="C2563" s="20" t="n">
        <f aca="false">ROUND(19.5/FX,2)</f>
        <v>2.71</v>
      </c>
      <c r="D2563" s="21" t="s">
        <v>8668</v>
      </c>
      <c r="E2563" s="21" t="s">
        <v>10204</v>
      </c>
      <c r="F2563" s="21" t="s">
        <v>10590</v>
      </c>
      <c r="G2563" s="21" t="s">
        <v>10750</v>
      </c>
      <c r="H2563" s="21" t="s">
        <v>9034</v>
      </c>
    </row>
    <row r="2564" customFormat="false" ht="15" hidden="false" customHeight="false" outlineLevel="0" collapsed="false">
      <c r="B2564" s="19" t="s">
        <v>10757</v>
      </c>
      <c r="C2564" s="20" t="n">
        <f aca="false">ROUND(19.5/FX,2)</f>
        <v>2.71</v>
      </c>
      <c r="D2564" s="21" t="s">
        <v>8668</v>
      </c>
      <c r="E2564" s="21" t="s">
        <v>10204</v>
      </c>
      <c r="F2564" s="21" t="s">
        <v>10590</v>
      </c>
      <c r="G2564" s="21" t="s">
        <v>10750</v>
      </c>
      <c r="H2564" s="21" t="s">
        <v>9166</v>
      </c>
    </row>
    <row r="2565" customFormat="false" ht="15" hidden="false" customHeight="false" outlineLevel="0" collapsed="false">
      <c r="B2565" s="19" t="s">
        <v>10758</v>
      </c>
      <c r="C2565" s="20" t="n">
        <f aca="false">ROUND(19.5/FX,2)</f>
        <v>2.71</v>
      </c>
      <c r="D2565" s="21" t="s">
        <v>8668</v>
      </c>
      <c r="E2565" s="21" t="s">
        <v>10204</v>
      </c>
      <c r="F2565" s="21" t="s">
        <v>10590</v>
      </c>
      <c r="G2565" s="21" t="s">
        <v>10750</v>
      </c>
      <c r="H2565" s="21" t="s">
        <v>9169</v>
      </c>
    </row>
    <row r="2566" customFormat="false" ht="15" hidden="false" customHeight="false" outlineLevel="0" collapsed="false">
      <c r="B2566" s="19" t="s">
        <v>10759</v>
      </c>
      <c r="C2566" s="20" t="n">
        <f aca="false">ROUND(19.5/FX,2)</f>
        <v>2.71</v>
      </c>
      <c r="D2566" s="21" t="s">
        <v>8668</v>
      </c>
      <c r="E2566" s="21" t="s">
        <v>10204</v>
      </c>
      <c r="F2566" s="21" t="s">
        <v>10590</v>
      </c>
      <c r="G2566" s="21" t="s">
        <v>10750</v>
      </c>
      <c r="H2566" s="21" t="s">
        <v>8145</v>
      </c>
    </row>
    <row r="2567" customFormat="false" ht="15" hidden="false" customHeight="false" outlineLevel="0" collapsed="false">
      <c r="B2567" s="19" t="s">
        <v>10760</v>
      </c>
      <c r="C2567" s="20" t="n">
        <f aca="false">ROUND(18.59/FX,2)</f>
        <v>2.58</v>
      </c>
      <c r="D2567" s="21" t="s">
        <v>8668</v>
      </c>
      <c r="E2567" s="21" t="s">
        <v>10204</v>
      </c>
      <c r="F2567" s="21" t="s">
        <v>734</v>
      </c>
      <c r="G2567" s="21" t="s">
        <v>8055</v>
      </c>
      <c r="H2567" s="21" t="s">
        <v>7875</v>
      </c>
    </row>
    <row r="2568" customFormat="false" ht="15" hidden="false" customHeight="false" outlineLevel="0" collapsed="false">
      <c r="B2568" s="19" t="s">
        <v>10761</v>
      </c>
      <c r="C2568" s="20" t="n">
        <f aca="false">ROUND(18.59/FX,2)</f>
        <v>2.58</v>
      </c>
      <c r="D2568" s="21" t="s">
        <v>8668</v>
      </c>
      <c r="E2568" s="21" t="s">
        <v>10204</v>
      </c>
      <c r="F2568" s="21" t="s">
        <v>734</v>
      </c>
      <c r="G2568" s="21" t="s">
        <v>8055</v>
      </c>
      <c r="H2568" s="21" t="s">
        <v>8580</v>
      </c>
    </row>
    <row r="2569" customFormat="false" ht="15" hidden="false" customHeight="false" outlineLevel="0" collapsed="false">
      <c r="B2569" s="19" t="s">
        <v>10762</v>
      </c>
      <c r="C2569" s="20" t="n">
        <f aca="false">ROUND(18.59/FX,2)</f>
        <v>2.58</v>
      </c>
      <c r="D2569" s="21" t="s">
        <v>8668</v>
      </c>
      <c r="E2569" s="21" t="s">
        <v>10204</v>
      </c>
      <c r="F2569" s="21" t="s">
        <v>734</v>
      </c>
      <c r="G2569" s="21" t="s">
        <v>8055</v>
      </c>
      <c r="H2569" s="21" t="s">
        <v>7999</v>
      </c>
    </row>
    <row r="2570" customFormat="false" ht="15" hidden="false" customHeight="false" outlineLevel="0" collapsed="false">
      <c r="B2570" s="19" t="s">
        <v>10763</v>
      </c>
      <c r="C2570" s="20" t="n">
        <f aca="false">ROUND(18.59/FX,2)</f>
        <v>2.58</v>
      </c>
      <c r="D2570" s="21" t="s">
        <v>8668</v>
      </c>
      <c r="E2570" s="21" t="s">
        <v>10204</v>
      </c>
      <c r="F2570" s="21" t="s">
        <v>734</v>
      </c>
      <c r="G2570" s="21" t="s">
        <v>8055</v>
      </c>
      <c r="H2570" s="21" t="s">
        <v>8058</v>
      </c>
    </row>
    <row r="2571" customFormat="false" ht="15" hidden="false" customHeight="false" outlineLevel="0" collapsed="false">
      <c r="B2571" s="19" t="s">
        <v>10764</v>
      </c>
      <c r="C2571" s="20" t="n">
        <f aca="false">ROUND(18.59/FX,2)</f>
        <v>2.58</v>
      </c>
      <c r="D2571" s="21" t="s">
        <v>8668</v>
      </c>
      <c r="E2571" s="21" t="s">
        <v>10204</v>
      </c>
      <c r="F2571" s="21" t="s">
        <v>734</v>
      </c>
      <c r="G2571" s="21" t="s">
        <v>8055</v>
      </c>
      <c r="H2571" s="21" t="s">
        <v>8801</v>
      </c>
    </row>
    <row r="2572" customFormat="false" ht="15" hidden="false" customHeight="false" outlineLevel="0" collapsed="false">
      <c r="B2572" s="19" t="s">
        <v>10765</v>
      </c>
      <c r="C2572" s="20" t="n">
        <f aca="false">ROUND(18.59/FX,2)</f>
        <v>2.58</v>
      </c>
      <c r="D2572" s="21" t="s">
        <v>8668</v>
      </c>
      <c r="E2572" s="21" t="s">
        <v>10204</v>
      </c>
      <c r="F2572" s="21" t="s">
        <v>734</v>
      </c>
      <c r="G2572" s="21" t="s">
        <v>8055</v>
      </c>
      <c r="H2572" s="21" t="s">
        <v>8060</v>
      </c>
    </row>
    <row r="2573" customFormat="false" ht="15" hidden="false" customHeight="false" outlineLevel="0" collapsed="false">
      <c r="B2573" s="19" t="s">
        <v>10766</v>
      </c>
      <c r="C2573" s="20" t="n">
        <f aca="false">ROUND(18.59/FX,2)</f>
        <v>2.58</v>
      </c>
      <c r="D2573" s="21" t="s">
        <v>8668</v>
      </c>
      <c r="E2573" s="21" t="s">
        <v>10204</v>
      </c>
      <c r="F2573" s="21" t="s">
        <v>734</v>
      </c>
      <c r="G2573" s="21" t="s">
        <v>8055</v>
      </c>
      <c r="H2573" s="21" t="s">
        <v>8804</v>
      </c>
    </row>
    <row r="2574" customFormat="false" ht="15" hidden="false" customHeight="false" outlineLevel="0" collapsed="false">
      <c r="B2574" s="19" t="s">
        <v>10767</v>
      </c>
      <c r="C2574" s="20" t="n">
        <f aca="false">ROUND(18.59/FX,2)</f>
        <v>2.58</v>
      </c>
      <c r="D2574" s="21" t="s">
        <v>8668</v>
      </c>
      <c r="E2574" s="21" t="s">
        <v>10204</v>
      </c>
      <c r="F2574" s="21" t="s">
        <v>734</v>
      </c>
      <c r="G2574" s="21" t="s">
        <v>8055</v>
      </c>
      <c r="H2574" s="21" t="s">
        <v>8152</v>
      </c>
    </row>
    <row r="2575" customFormat="false" ht="15" hidden="false" customHeight="false" outlineLevel="0" collapsed="false">
      <c r="B2575" s="19" t="s">
        <v>10768</v>
      </c>
      <c r="C2575" s="20" t="n">
        <f aca="false">ROUND(18.59/FX,2)</f>
        <v>2.58</v>
      </c>
      <c r="D2575" s="21" t="s">
        <v>8668</v>
      </c>
      <c r="E2575" s="21" t="s">
        <v>10204</v>
      </c>
      <c r="F2575" s="21" t="s">
        <v>734</v>
      </c>
      <c r="G2575" s="21" t="s">
        <v>8055</v>
      </c>
      <c r="H2575" s="21" t="s">
        <v>9111</v>
      </c>
    </row>
    <row r="2576" customFormat="false" ht="15" hidden="false" customHeight="false" outlineLevel="0" collapsed="false">
      <c r="B2576" s="19" t="s">
        <v>10769</v>
      </c>
      <c r="C2576" s="20" t="n">
        <f aca="false">ROUND(18.59/FX,2)</f>
        <v>2.58</v>
      </c>
      <c r="D2576" s="21" t="s">
        <v>8668</v>
      </c>
      <c r="E2576" s="21" t="s">
        <v>10204</v>
      </c>
      <c r="F2576" s="21" t="s">
        <v>734</v>
      </c>
      <c r="G2576" s="21" t="s">
        <v>8055</v>
      </c>
      <c r="H2576" s="21" t="s">
        <v>8062</v>
      </c>
    </row>
    <row r="2577" customFormat="false" ht="15" hidden="false" customHeight="false" outlineLevel="0" collapsed="false">
      <c r="B2577" s="19" t="s">
        <v>10770</v>
      </c>
      <c r="C2577" s="20" t="n">
        <f aca="false">ROUND(18.59/FX,2)</f>
        <v>2.58</v>
      </c>
      <c r="D2577" s="21" t="s">
        <v>8668</v>
      </c>
      <c r="E2577" s="21" t="s">
        <v>10204</v>
      </c>
      <c r="F2577" s="21" t="s">
        <v>734</v>
      </c>
      <c r="G2577" s="21" t="s">
        <v>8055</v>
      </c>
      <c r="H2577" s="21" t="s">
        <v>8064</v>
      </c>
    </row>
    <row r="2578" customFormat="false" ht="15" hidden="false" customHeight="false" outlineLevel="0" collapsed="false">
      <c r="B2578" s="19" t="s">
        <v>10771</v>
      </c>
      <c r="C2578" s="20" t="n">
        <f aca="false">ROUND(18.59/FX,2)</f>
        <v>2.58</v>
      </c>
      <c r="D2578" s="21" t="s">
        <v>8668</v>
      </c>
      <c r="E2578" s="21" t="s">
        <v>10204</v>
      </c>
      <c r="F2578" s="21" t="s">
        <v>734</v>
      </c>
      <c r="G2578" s="21" t="s">
        <v>8055</v>
      </c>
      <c r="H2578" s="21" t="s">
        <v>8586</v>
      </c>
    </row>
    <row r="2579" customFormat="false" ht="15" hidden="false" customHeight="false" outlineLevel="0" collapsed="false">
      <c r="B2579" s="19" t="s">
        <v>10772</v>
      </c>
      <c r="C2579" s="20" t="n">
        <f aca="false">ROUND(18.59/FX,2)</f>
        <v>2.58</v>
      </c>
      <c r="D2579" s="21" t="s">
        <v>8668</v>
      </c>
      <c r="E2579" s="21" t="s">
        <v>10204</v>
      </c>
      <c r="F2579" s="21" t="s">
        <v>734</v>
      </c>
      <c r="G2579" s="21" t="s">
        <v>8055</v>
      </c>
      <c r="H2579" s="21" t="s">
        <v>8810</v>
      </c>
    </row>
    <row r="2580" customFormat="false" ht="15" hidden="false" customHeight="false" outlineLevel="0" collapsed="false">
      <c r="B2580" s="19" t="s">
        <v>10773</v>
      </c>
      <c r="C2580" s="20" t="n">
        <f aca="false">ROUND(18.59/FX,2)</f>
        <v>2.58</v>
      </c>
      <c r="D2580" s="21" t="s">
        <v>8668</v>
      </c>
      <c r="E2580" s="21" t="s">
        <v>10204</v>
      </c>
      <c r="F2580" s="21" t="s">
        <v>734</v>
      </c>
      <c r="G2580" s="21" t="s">
        <v>8055</v>
      </c>
      <c r="H2580" s="21" t="s">
        <v>8066</v>
      </c>
    </row>
    <row r="2581" customFormat="false" ht="15" hidden="false" customHeight="false" outlineLevel="0" collapsed="false">
      <c r="B2581" s="19" t="s">
        <v>10774</v>
      </c>
      <c r="C2581" s="20" t="n">
        <f aca="false">ROUND(18.59/FX,2)</f>
        <v>2.58</v>
      </c>
      <c r="D2581" s="21" t="s">
        <v>8668</v>
      </c>
      <c r="E2581" s="21" t="s">
        <v>10204</v>
      </c>
      <c r="F2581" s="21" t="s">
        <v>734</v>
      </c>
      <c r="G2581" s="21" t="s">
        <v>8055</v>
      </c>
      <c r="H2581" s="21" t="s">
        <v>8813</v>
      </c>
    </row>
    <row r="2582" customFormat="false" ht="15" hidden="false" customHeight="false" outlineLevel="0" collapsed="false">
      <c r="B2582" s="19" t="s">
        <v>10775</v>
      </c>
      <c r="C2582" s="20" t="n">
        <f aca="false">ROUND(18.59/FX,2)</f>
        <v>2.58</v>
      </c>
      <c r="D2582" s="21" t="s">
        <v>8668</v>
      </c>
      <c r="E2582" s="21" t="s">
        <v>10204</v>
      </c>
      <c r="F2582" s="21" t="s">
        <v>734</v>
      </c>
      <c r="G2582" s="21" t="s">
        <v>8055</v>
      </c>
      <c r="H2582" s="21" t="s">
        <v>8719</v>
      </c>
    </row>
    <row r="2583" customFormat="false" ht="15" hidden="false" customHeight="false" outlineLevel="0" collapsed="false">
      <c r="B2583" s="19" t="s">
        <v>10776</v>
      </c>
      <c r="C2583" s="20" t="n">
        <f aca="false">ROUND(18.59/FX,2)</f>
        <v>2.58</v>
      </c>
      <c r="D2583" s="21" t="s">
        <v>8668</v>
      </c>
      <c r="E2583" s="21" t="s">
        <v>10204</v>
      </c>
      <c r="F2583" s="21" t="s">
        <v>734</v>
      </c>
      <c r="G2583" s="21" t="s">
        <v>8055</v>
      </c>
      <c r="H2583" s="21" t="s">
        <v>10777</v>
      </c>
    </row>
    <row r="2584" customFormat="false" ht="15" hidden="false" customHeight="false" outlineLevel="0" collapsed="false">
      <c r="B2584" s="19" t="s">
        <v>10778</v>
      </c>
      <c r="C2584" s="20" t="n">
        <f aca="false">ROUND(18.59/FX,2)</f>
        <v>2.58</v>
      </c>
      <c r="D2584" s="21" t="s">
        <v>8668</v>
      </c>
      <c r="E2584" s="21" t="s">
        <v>10204</v>
      </c>
      <c r="F2584" s="21" t="s">
        <v>734</v>
      </c>
      <c r="G2584" s="21" t="s">
        <v>8055</v>
      </c>
      <c r="H2584" s="21" t="s">
        <v>8068</v>
      </c>
    </row>
    <row r="2585" customFormat="false" ht="15" hidden="false" customHeight="false" outlineLevel="0" collapsed="false">
      <c r="B2585" s="19" t="s">
        <v>10779</v>
      </c>
      <c r="C2585" s="20" t="n">
        <f aca="false">ROUND(18.59/FX,2)</f>
        <v>2.58</v>
      </c>
      <c r="D2585" s="21" t="s">
        <v>8668</v>
      </c>
      <c r="E2585" s="21" t="s">
        <v>10204</v>
      </c>
      <c r="F2585" s="21" t="s">
        <v>734</v>
      </c>
      <c r="G2585" s="21" t="s">
        <v>8055</v>
      </c>
      <c r="H2585" s="21" t="s">
        <v>8817</v>
      </c>
    </row>
    <row r="2586" customFormat="false" ht="15" hidden="false" customHeight="false" outlineLevel="0" collapsed="false">
      <c r="B2586" s="19" t="s">
        <v>10780</v>
      </c>
      <c r="C2586" s="20" t="n">
        <f aca="false">ROUND(18.59/FX,2)</f>
        <v>2.58</v>
      </c>
      <c r="D2586" s="21" t="s">
        <v>8668</v>
      </c>
      <c r="E2586" s="21" t="s">
        <v>10204</v>
      </c>
      <c r="F2586" s="21" t="s">
        <v>734</v>
      </c>
      <c r="G2586" s="21" t="s">
        <v>8055</v>
      </c>
      <c r="H2586" s="21" t="s">
        <v>8070</v>
      </c>
    </row>
    <row r="2587" customFormat="false" ht="15" hidden="false" customHeight="false" outlineLevel="0" collapsed="false">
      <c r="B2587" s="19" t="s">
        <v>10781</v>
      </c>
      <c r="C2587" s="20" t="n">
        <f aca="false">ROUND(18.59/FX,2)</f>
        <v>2.58</v>
      </c>
      <c r="D2587" s="21" t="s">
        <v>8668</v>
      </c>
      <c r="E2587" s="21" t="s">
        <v>10204</v>
      </c>
      <c r="F2587" s="21" t="s">
        <v>734</v>
      </c>
      <c r="G2587" s="21" t="s">
        <v>8055</v>
      </c>
      <c r="H2587" s="21" t="s">
        <v>8072</v>
      </c>
    </row>
    <row r="2588" customFormat="false" ht="15" hidden="false" customHeight="false" outlineLevel="0" collapsed="false">
      <c r="B2588" s="19" t="s">
        <v>10782</v>
      </c>
      <c r="C2588" s="20" t="n">
        <f aca="false">ROUND(18.59/FX,2)</f>
        <v>2.58</v>
      </c>
      <c r="D2588" s="21" t="s">
        <v>8668</v>
      </c>
      <c r="E2588" s="21" t="s">
        <v>10204</v>
      </c>
      <c r="F2588" s="21" t="s">
        <v>734</v>
      </c>
      <c r="G2588" s="21" t="s">
        <v>8055</v>
      </c>
      <c r="H2588" s="21" t="s">
        <v>8723</v>
      </c>
    </row>
    <row r="2589" customFormat="false" ht="15" hidden="false" customHeight="false" outlineLevel="0" collapsed="false">
      <c r="B2589" s="19" t="s">
        <v>10783</v>
      </c>
      <c r="C2589" s="20" t="n">
        <f aca="false">ROUND(18.59/FX,2)</f>
        <v>2.58</v>
      </c>
      <c r="D2589" s="21" t="s">
        <v>8668</v>
      </c>
      <c r="E2589" s="21" t="s">
        <v>10204</v>
      </c>
      <c r="F2589" s="21" t="s">
        <v>734</v>
      </c>
      <c r="G2589" s="21" t="s">
        <v>8055</v>
      </c>
      <c r="H2589" s="21" t="s">
        <v>9121</v>
      </c>
    </row>
    <row r="2590" customFormat="false" ht="15" hidden="false" customHeight="false" outlineLevel="0" collapsed="false">
      <c r="B2590" s="19" t="s">
        <v>10784</v>
      </c>
      <c r="C2590" s="20" t="n">
        <f aca="false">ROUND(18.59/FX,2)</f>
        <v>2.58</v>
      </c>
      <c r="D2590" s="21" t="s">
        <v>8668</v>
      </c>
      <c r="E2590" s="21" t="s">
        <v>10204</v>
      </c>
      <c r="F2590" s="21" t="s">
        <v>734</v>
      </c>
      <c r="G2590" s="21" t="s">
        <v>8055</v>
      </c>
      <c r="H2590" s="21" t="s">
        <v>7985</v>
      </c>
    </row>
    <row r="2591" customFormat="false" ht="15" hidden="false" customHeight="false" outlineLevel="0" collapsed="false">
      <c r="B2591" s="19" t="s">
        <v>10785</v>
      </c>
      <c r="C2591" s="20" t="n">
        <f aca="false">ROUND(18.59/FX,2)</f>
        <v>2.58</v>
      </c>
      <c r="D2591" s="21" t="s">
        <v>8668</v>
      </c>
      <c r="E2591" s="21" t="s">
        <v>10204</v>
      </c>
      <c r="F2591" s="21" t="s">
        <v>734</v>
      </c>
      <c r="G2591" s="21" t="s">
        <v>8055</v>
      </c>
      <c r="H2591" s="21" t="s">
        <v>8075</v>
      </c>
    </row>
    <row r="2592" customFormat="false" ht="15" hidden="false" customHeight="false" outlineLevel="0" collapsed="false">
      <c r="B2592" s="19" t="s">
        <v>10786</v>
      </c>
      <c r="C2592" s="20" t="n">
        <f aca="false">ROUND(18.59/FX,2)</f>
        <v>2.58</v>
      </c>
      <c r="D2592" s="21" t="s">
        <v>8668</v>
      </c>
      <c r="E2592" s="21" t="s">
        <v>10204</v>
      </c>
      <c r="F2592" s="21" t="s">
        <v>734</v>
      </c>
      <c r="G2592" s="21" t="s">
        <v>8055</v>
      </c>
      <c r="H2592" s="21" t="s">
        <v>8824</v>
      </c>
    </row>
    <row r="2593" customFormat="false" ht="15" hidden="false" customHeight="false" outlineLevel="0" collapsed="false">
      <c r="B2593" s="19" t="s">
        <v>10787</v>
      </c>
      <c r="C2593" s="20" t="n">
        <f aca="false">ROUND(18.59/FX,2)</f>
        <v>2.58</v>
      </c>
      <c r="D2593" s="21" t="s">
        <v>8668</v>
      </c>
      <c r="E2593" s="21" t="s">
        <v>10204</v>
      </c>
      <c r="F2593" s="21" t="s">
        <v>734</v>
      </c>
      <c r="G2593" s="21" t="s">
        <v>8055</v>
      </c>
      <c r="H2593" s="21" t="s">
        <v>8077</v>
      </c>
    </row>
    <row r="2594" customFormat="false" ht="15" hidden="false" customHeight="false" outlineLevel="0" collapsed="false">
      <c r="B2594" s="19" t="s">
        <v>10788</v>
      </c>
      <c r="C2594" s="20" t="n">
        <f aca="false">ROUND(18.59/FX,2)</f>
        <v>2.58</v>
      </c>
      <c r="D2594" s="21" t="s">
        <v>8668</v>
      </c>
      <c r="E2594" s="21" t="s">
        <v>10204</v>
      </c>
      <c r="F2594" s="21" t="s">
        <v>734</v>
      </c>
      <c r="G2594" s="21" t="s">
        <v>8055</v>
      </c>
      <c r="H2594" s="21" t="s">
        <v>8079</v>
      </c>
    </row>
    <row r="2595" customFormat="false" ht="15" hidden="false" customHeight="false" outlineLevel="0" collapsed="false">
      <c r="B2595" s="19" t="s">
        <v>10789</v>
      </c>
      <c r="C2595" s="20" t="n">
        <f aca="false">ROUND(18.59/FX,2)</f>
        <v>2.58</v>
      </c>
      <c r="D2595" s="21" t="s">
        <v>8668</v>
      </c>
      <c r="E2595" s="21" t="s">
        <v>10204</v>
      </c>
      <c r="F2595" s="21" t="s">
        <v>734</v>
      </c>
      <c r="G2595" s="21" t="s">
        <v>8055</v>
      </c>
      <c r="H2595" s="21" t="s">
        <v>8081</v>
      </c>
    </row>
    <row r="2596" customFormat="false" ht="15" hidden="false" customHeight="false" outlineLevel="0" collapsed="false">
      <c r="B2596" s="19" t="s">
        <v>10790</v>
      </c>
      <c r="C2596" s="20" t="n">
        <f aca="false">ROUND(18.59/FX,2)</f>
        <v>2.58</v>
      </c>
      <c r="D2596" s="21" t="s">
        <v>8668</v>
      </c>
      <c r="E2596" s="21" t="s">
        <v>10204</v>
      </c>
      <c r="F2596" s="21" t="s">
        <v>734</v>
      </c>
      <c r="G2596" s="21" t="s">
        <v>8055</v>
      </c>
      <c r="H2596" s="21" t="s">
        <v>9134</v>
      </c>
    </row>
    <row r="2597" customFormat="false" ht="15" hidden="false" customHeight="false" outlineLevel="0" collapsed="false">
      <c r="B2597" s="19" t="s">
        <v>10791</v>
      </c>
      <c r="C2597" s="20" t="n">
        <f aca="false">ROUND(18.59/FX,2)</f>
        <v>2.58</v>
      </c>
      <c r="D2597" s="21" t="s">
        <v>8668</v>
      </c>
      <c r="E2597" s="21" t="s">
        <v>10204</v>
      </c>
      <c r="F2597" s="21" t="s">
        <v>734</v>
      </c>
      <c r="G2597" s="21" t="s">
        <v>8055</v>
      </c>
      <c r="H2597" s="21" t="s">
        <v>8829</v>
      </c>
    </row>
    <row r="2598" customFormat="false" ht="15" hidden="false" customHeight="false" outlineLevel="0" collapsed="false">
      <c r="B2598" s="19" t="s">
        <v>10792</v>
      </c>
      <c r="C2598" s="20" t="n">
        <f aca="false">ROUND(18.59/FX,2)</f>
        <v>2.58</v>
      </c>
      <c r="D2598" s="21" t="s">
        <v>8668</v>
      </c>
      <c r="E2598" s="21" t="s">
        <v>10204</v>
      </c>
      <c r="F2598" s="21" t="s">
        <v>734</v>
      </c>
      <c r="G2598" s="21" t="s">
        <v>8055</v>
      </c>
      <c r="H2598" s="21" t="s">
        <v>8831</v>
      </c>
    </row>
    <row r="2599" customFormat="false" ht="15" hidden="false" customHeight="false" outlineLevel="0" collapsed="false">
      <c r="B2599" s="19" t="s">
        <v>10793</v>
      </c>
      <c r="C2599" s="20" t="n">
        <f aca="false">ROUND(18.59/FX,2)</f>
        <v>2.58</v>
      </c>
      <c r="D2599" s="21" t="s">
        <v>8668</v>
      </c>
      <c r="E2599" s="21" t="s">
        <v>10204</v>
      </c>
      <c r="F2599" s="21" t="s">
        <v>734</v>
      </c>
      <c r="G2599" s="21" t="s">
        <v>8055</v>
      </c>
      <c r="H2599" s="21" t="s">
        <v>8083</v>
      </c>
    </row>
    <row r="2600" customFormat="false" ht="15" hidden="false" customHeight="false" outlineLevel="0" collapsed="false">
      <c r="B2600" s="19" t="s">
        <v>10794</v>
      </c>
      <c r="C2600" s="20" t="n">
        <f aca="false">ROUND(18.59/FX,2)</f>
        <v>2.58</v>
      </c>
      <c r="D2600" s="21" t="s">
        <v>8668</v>
      </c>
      <c r="E2600" s="21" t="s">
        <v>10204</v>
      </c>
      <c r="F2600" s="21" t="s">
        <v>734</v>
      </c>
      <c r="G2600" s="21" t="s">
        <v>8055</v>
      </c>
      <c r="H2600" s="21" t="s">
        <v>8834</v>
      </c>
    </row>
    <row r="2601" customFormat="false" ht="15" hidden="false" customHeight="false" outlineLevel="0" collapsed="false">
      <c r="B2601" s="19" t="s">
        <v>10795</v>
      </c>
      <c r="C2601" s="20" t="n">
        <f aca="false">ROUND(18.59/FX,2)</f>
        <v>2.58</v>
      </c>
      <c r="D2601" s="21" t="s">
        <v>8668</v>
      </c>
      <c r="E2601" s="21" t="s">
        <v>10204</v>
      </c>
      <c r="F2601" s="21" t="s">
        <v>734</v>
      </c>
      <c r="G2601" s="21" t="s">
        <v>8055</v>
      </c>
      <c r="H2601" s="21" t="s">
        <v>10796</v>
      </c>
    </row>
    <row r="2602" customFormat="false" ht="15" hidden="false" customHeight="false" outlineLevel="0" collapsed="false">
      <c r="B2602" s="19" t="s">
        <v>10797</v>
      </c>
      <c r="C2602" s="20" t="n">
        <f aca="false">ROUND(18.59/FX,2)</f>
        <v>2.58</v>
      </c>
      <c r="D2602" s="21" t="s">
        <v>8668</v>
      </c>
      <c r="E2602" s="21" t="s">
        <v>10204</v>
      </c>
      <c r="F2602" s="21" t="s">
        <v>734</v>
      </c>
      <c r="G2602" s="21" t="s">
        <v>8055</v>
      </c>
      <c r="H2602" s="21" t="s">
        <v>8085</v>
      </c>
    </row>
    <row r="2603" customFormat="false" ht="15" hidden="false" customHeight="false" outlineLevel="0" collapsed="false">
      <c r="B2603" s="19" t="s">
        <v>10798</v>
      </c>
      <c r="C2603" s="20" t="n">
        <f aca="false">ROUND(18.59/FX,2)</f>
        <v>2.58</v>
      </c>
      <c r="D2603" s="21" t="s">
        <v>8668</v>
      </c>
      <c r="E2603" s="21" t="s">
        <v>10204</v>
      </c>
      <c r="F2603" s="21" t="s">
        <v>734</v>
      </c>
      <c r="G2603" s="21" t="s">
        <v>8055</v>
      </c>
      <c r="H2603" s="21" t="s">
        <v>8087</v>
      </c>
    </row>
    <row r="2604" customFormat="false" ht="15" hidden="false" customHeight="false" outlineLevel="0" collapsed="false">
      <c r="B2604" s="19" t="s">
        <v>10799</v>
      </c>
      <c r="C2604" s="20" t="n">
        <f aca="false">ROUND(18.59/FX,2)</f>
        <v>2.58</v>
      </c>
      <c r="D2604" s="21" t="s">
        <v>8668</v>
      </c>
      <c r="E2604" s="21" t="s">
        <v>10204</v>
      </c>
      <c r="F2604" s="21" t="s">
        <v>734</v>
      </c>
      <c r="G2604" s="21" t="s">
        <v>8055</v>
      </c>
      <c r="H2604" s="21" t="s">
        <v>8089</v>
      </c>
    </row>
    <row r="2605" customFormat="false" ht="15" hidden="false" customHeight="false" outlineLevel="0" collapsed="false">
      <c r="B2605" s="19" t="s">
        <v>10800</v>
      </c>
      <c r="C2605" s="20" t="n">
        <f aca="false">ROUND(18.59/FX,2)</f>
        <v>2.58</v>
      </c>
      <c r="D2605" s="21" t="s">
        <v>8668</v>
      </c>
      <c r="E2605" s="21" t="s">
        <v>10204</v>
      </c>
      <c r="F2605" s="21" t="s">
        <v>734</v>
      </c>
      <c r="G2605" s="21" t="s">
        <v>8055</v>
      </c>
      <c r="H2605" s="21" t="s">
        <v>9142</v>
      </c>
    </row>
    <row r="2606" customFormat="false" ht="15" hidden="false" customHeight="false" outlineLevel="0" collapsed="false">
      <c r="B2606" s="19" t="s">
        <v>10801</v>
      </c>
      <c r="C2606" s="20" t="n">
        <f aca="false">ROUND(18.59/FX,2)</f>
        <v>2.58</v>
      </c>
      <c r="D2606" s="21" t="s">
        <v>8668</v>
      </c>
      <c r="E2606" s="21" t="s">
        <v>10204</v>
      </c>
      <c r="F2606" s="21" t="s">
        <v>734</v>
      </c>
      <c r="G2606" s="21" t="s">
        <v>8055</v>
      </c>
      <c r="H2606" s="21" t="s">
        <v>8045</v>
      </c>
    </row>
    <row r="2607" customFormat="false" ht="15" hidden="false" customHeight="false" outlineLevel="0" collapsed="false">
      <c r="B2607" s="19" t="s">
        <v>10802</v>
      </c>
      <c r="C2607" s="20" t="n">
        <f aca="false">ROUND(18.59/FX,2)</f>
        <v>2.58</v>
      </c>
      <c r="D2607" s="21" t="s">
        <v>8668</v>
      </c>
      <c r="E2607" s="21" t="s">
        <v>10204</v>
      </c>
      <c r="F2607" s="21" t="s">
        <v>734</v>
      </c>
      <c r="G2607" s="21" t="s">
        <v>8055</v>
      </c>
      <c r="H2607" s="21" t="s">
        <v>8840</v>
      </c>
    </row>
    <row r="2608" customFormat="false" ht="15" hidden="false" customHeight="false" outlineLevel="0" collapsed="false">
      <c r="B2608" s="19" t="s">
        <v>10803</v>
      </c>
      <c r="C2608" s="20" t="n">
        <f aca="false">ROUND(18.59/FX,2)</f>
        <v>2.58</v>
      </c>
      <c r="D2608" s="21" t="s">
        <v>8668</v>
      </c>
      <c r="E2608" s="21" t="s">
        <v>10204</v>
      </c>
      <c r="F2608" s="21" t="s">
        <v>734</v>
      </c>
      <c r="G2608" s="21" t="s">
        <v>8055</v>
      </c>
      <c r="H2608" s="21" t="s">
        <v>9150</v>
      </c>
    </row>
    <row r="2609" customFormat="false" ht="15" hidden="false" customHeight="false" outlineLevel="0" collapsed="false">
      <c r="B2609" s="19" t="s">
        <v>10804</v>
      </c>
      <c r="C2609" s="20" t="n">
        <f aca="false">ROUND(18.59/FX,2)</f>
        <v>2.58</v>
      </c>
      <c r="D2609" s="21" t="s">
        <v>8668</v>
      </c>
      <c r="E2609" s="21" t="s">
        <v>10204</v>
      </c>
      <c r="F2609" s="21" t="s">
        <v>734</v>
      </c>
      <c r="G2609" s="21" t="s">
        <v>8055</v>
      </c>
      <c r="H2609" s="21" t="s">
        <v>8047</v>
      </c>
    </row>
    <row r="2610" customFormat="false" ht="15" hidden="false" customHeight="false" outlineLevel="0" collapsed="false">
      <c r="B2610" s="19" t="s">
        <v>10805</v>
      </c>
      <c r="C2610" s="20" t="n">
        <f aca="false">ROUND(18.59/FX,2)</f>
        <v>2.58</v>
      </c>
      <c r="D2610" s="21" t="s">
        <v>8668</v>
      </c>
      <c r="E2610" s="21" t="s">
        <v>10204</v>
      </c>
      <c r="F2610" s="21" t="s">
        <v>734</v>
      </c>
      <c r="G2610" s="21" t="s">
        <v>8055</v>
      </c>
      <c r="H2610" s="21" t="s">
        <v>9157</v>
      </c>
    </row>
    <row r="2611" customFormat="false" ht="15" hidden="false" customHeight="false" outlineLevel="0" collapsed="false">
      <c r="B2611" s="19" t="s">
        <v>10806</v>
      </c>
      <c r="C2611" s="20" t="n">
        <f aca="false">ROUND(18.59/FX,2)</f>
        <v>2.58</v>
      </c>
      <c r="D2611" s="21" t="s">
        <v>8668</v>
      </c>
      <c r="E2611" s="21" t="s">
        <v>10204</v>
      </c>
      <c r="F2611" s="21" t="s">
        <v>734</v>
      </c>
      <c r="G2611" s="21" t="s">
        <v>8055</v>
      </c>
      <c r="H2611" s="21" t="s">
        <v>9166</v>
      </c>
    </row>
    <row r="2612" customFormat="false" ht="15" hidden="false" customHeight="false" outlineLevel="0" collapsed="false">
      <c r="B2612" s="19" t="s">
        <v>10807</v>
      </c>
      <c r="C2612" s="20" t="n">
        <f aca="false">ROUND(25.22/FX,2)</f>
        <v>3.5</v>
      </c>
      <c r="D2612" s="21" t="s">
        <v>8668</v>
      </c>
      <c r="E2612" s="21" t="s">
        <v>10204</v>
      </c>
      <c r="F2612" s="21" t="s">
        <v>10287</v>
      </c>
      <c r="G2612" s="21" t="s">
        <v>8984</v>
      </c>
      <c r="H2612" s="21" t="s">
        <v>8068</v>
      </c>
    </row>
    <row r="2613" customFormat="false" ht="15" hidden="false" customHeight="false" outlineLevel="0" collapsed="false">
      <c r="B2613" s="19" t="s">
        <v>10808</v>
      </c>
      <c r="C2613" s="20" t="n">
        <f aca="false">ROUND(25.22/FX,2)</f>
        <v>3.5</v>
      </c>
      <c r="D2613" s="21" t="s">
        <v>8668</v>
      </c>
      <c r="E2613" s="21" t="s">
        <v>10204</v>
      </c>
      <c r="F2613" s="21" t="s">
        <v>10287</v>
      </c>
      <c r="G2613" s="21" t="s">
        <v>8984</v>
      </c>
      <c r="H2613" s="21" t="s">
        <v>8829</v>
      </c>
    </row>
    <row r="2614" customFormat="false" ht="15" hidden="false" customHeight="false" outlineLevel="0" collapsed="false">
      <c r="B2614" s="19" t="s">
        <v>10809</v>
      </c>
      <c r="C2614" s="20" t="n">
        <f aca="false">ROUND(25.22/FX,2)</f>
        <v>3.5</v>
      </c>
      <c r="D2614" s="21" t="s">
        <v>8668</v>
      </c>
      <c r="E2614" s="21" t="s">
        <v>10204</v>
      </c>
      <c r="F2614" s="21" t="s">
        <v>10287</v>
      </c>
      <c r="G2614" s="21" t="s">
        <v>8984</v>
      </c>
      <c r="H2614" s="21" t="s">
        <v>8831</v>
      </c>
    </row>
    <row r="2615" customFormat="false" ht="15" hidden="false" customHeight="false" outlineLevel="0" collapsed="false">
      <c r="B2615" s="19" t="s">
        <v>10810</v>
      </c>
      <c r="C2615" s="20" t="n">
        <f aca="false">ROUND(25.22/FX,2)</f>
        <v>3.5</v>
      </c>
      <c r="D2615" s="21" t="s">
        <v>8668</v>
      </c>
      <c r="E2615" s="21" t="s">
        <v>10204</v>
      </c>
      <c r="F2615" s="21" t="s">
        <v>10287</v>
      </c>
      <c r="G2615" s="21" t="s">
        <v>8984</v>
      </c>
      <c r="H2615" s="21" t="s">
        <v>8083</v>
      </c>
    </row>
    <row r="2616" customFormat="false" ht="15" hidden="false" customHeight="false" outlineLevel="0" collapsed="false">
      <c r="B2616" s="19" t="s">
        <v>10811</v>
      </c>
      <c r="C2616" s="20" t="n">
        <f aca="false">ROUND(25.22/FX,2)</f>
        <v>3.5</v>
      </c>
      <c r="D2616" s="21" t="s">
        <v>8668</v>
      </c>
      <c r="E2616" s="21" t="s">
        <v>10204</v>
      </c>
      <c r="F2616" s="21" t="s">
        <v>10287</v>
      </c>
      <c r="G2616" s="21" t="s">
        <v>8984</v>
      </c>
      <c r="H2616" s="21" t="s">
        <v>8834</v>
      </c>
    </row>
    <row r="2617" customFormat="false" ht="15" hidden="false" customHeight="false" outlineLevel="0" collapsed="false">
      <c r="B2617" s="19" t="s">
        <v>10812</v>
      </c>
      <c r="C2617" s="20" t="n">
        <f aca="false">ROUND(25.22/FX,2)</f>
        <v>3.5</v>
      </c>
      <c r="D2617" s="21" t="s">
        <v>8668</v>
      </c>
      <c r="E2617" s="21" t="s">
        <v>10204</v>
      </c>
      <c r="F2617" s="21" t="s">
        <v>10287</v>
      </c>
      <c r="G2617" s="21" t="s">
        <v>8984</v>
      </c>
      <c r="H2617" s="21" t="s">
        <v>10796</v>
      </c>
    </row>
    <row r="2618" customFormat="false" ht="15" hidden="false" customHeight="false" outlineLevel="0" collapsed="false">
      <c r="B2618" s="19" t="s">
        <v>10813</v>
      </c>
      <c r="C2618" s="20" t="n">
        <f aca="false">ROUND(25.22/FX,2)</f>
        <v>3.5</v>
      </c>
      <c r="D2618" s="21" t="s">
        <v>8668</v>
      </c>
      <c r="E2618" s="21" t="s">
        <v>10204</v>
      </c>
      <c r="F2618" s="21" t="s">
        <v>10287</v>
      </c>
      <c r="G2618" s="21" t="s">
        <v>8984</v>
      </c>
      <c r="H2618" s="21" t="s">
        <v>10814</v>
      </c>
    </row>
    <row r="2619" customFormat="false" ht="15" hidden="false" customHeight="false" outlineLevel="0" collapsed="false">
      <c r="B2619" s="19" t="s">
        <v>10815</v>
      </c>
      <c r="C2619" s="20" t="n">
        <f aca="false">ROUND(25.22/FX,2)</f>
        <v>3.5</v>
      </c>
      <c r="D2619" s="21" t="s">
        <v>8668</v>
      </c>
      <c r="E2619" s="21" t="s">
        <v>10204</v>
      </c>
      <c r="F2619" s="21" t="s">
        <v>10287</v>
      </c>
      <c r="G2619" s="21" t="s">
        <v>8984</v>
      </c>
      <c r="H2619" s="21" t="s">
        <v>10816</v>
      </c>
    </row>
    <row r="2620" customFormat="false" ht="15" hidden="false" customHeight="false" outlineLevel="0" collapsed="false">
      <c r="B2620" s="19" t="s">
        <v>10817</v>
      </c>
      <c r="C2620" s="20" t="n">
        <f aca="false">ROUND(25.22/FX,2)</f>
        <v>3.5</v>
      </c>
      <c r="D2620" s="21" t="s">
        <v>8668</v>
      </c>
      <c r="E2620" s="21" t="s">
        <v>10204</v>
      </c>
      <c r="F2620" s="21" t="s">
        <v>10287</v>
      </c>
      <c r="G2620" s="21" t="s">
        <v>8984</v>
      </c>
      <c r="H2620" s="21" t="s">
        <v>8085</v>
      </c>
    </row>
    <row r="2621" customFormat="false" ht="15" hidden="false" customHeight="false" outlineLevel="0" collapsed="false">
      <c r="B2621" s="19" t="s">
        <v>10818</v>
      </c>
      <c r="C2621" s="20" t="n">
        <f aca="false">ROUND(25.22/FX,2)</f>
        <v>3.5</v>
      </c>
      <c r="D2621" s="21" t="s">
        <v>8668</v>
      </c>
      <c r="E2621" s="21" t="s">
        <v>10204</v>
      </c>
      <c r="F2621" s="21" t="s">
        <v>10287</v>
      </c>
      <c r="G2621" s="21" t="s">
        <v>8984</v>
      </c>
      <c r="H2621" s="21" t="s">
        <v>8087</v>
      </c>
    </row>
    <row r="2622" customFormat="false" ht="15" hidden="false" customHeight="false" outlineLevel="0" collapsed="false">
      <c r="B2622" s="19" t="s">
        <v>10819</v>
      </c>
      <c r="C2622" s="20" t="n">
        <f aca="false">ROUND(25.22/FX,2)</f>
        <v>3.5</v>
      </c>
      <c r="D2622" s="21" t="s">
        <v>8668</v>
      </c>
      <c r="E2622" s="21" t="s">
        <v>10204</v>
      </c>
      <c r="F2622" s="21" t="s">
        <v>10287</v>
      </c>
      <c r="G2622" s="21" t="s">
        <v>8984</v>
      </c>
      <c r="H2622" s="21" t="s">
        <v>8089</v>
      </c>
    </row>
    <row r="2623" customFormat="false" ht="15" hidden="false" customHeight="false" outlineLevel="0" collapsed="false">
      <c r="B2623" s="19" t="s">
        <v>10820</v>
      </c>
      <c r="C2623" s="20" t="n">
        <f aca="false">ROUND(25.22/FX,2)</f>
        <v>3.5</v>
      </c>
      <c r="D2623" s="21" t="s">
        <v>8668</v>
      </c>
      <c r="E2623" s="21" t="s">
        <v>10204</v>
      </c>
      <c r="F2623" s="21" t="s">
        <v>10287</v>
      </c>
      <c r="G2623" s="21" t="s">
        <v>8984</v>
      </c>
      <c r="H2623" s="21" t="s">
        <v>9142</v>
      </c>
    </row>
    <row r="2624" customFormat="false" ht="15" hidden="false" customHeight="false" outlineLevel="0" collapsed="false">
      <c r="B2624" s="19" t="s">
        <v>10821</v>
      </c>
      <c r="C2624" s="20" t="n">
        <f aca="false">ROUND(25.22/FX,2)</f>
        <v>3.5</v>
      </c>
      <c r="D2624" s="21" t="s">
        <v>8668</v>
      </c>
      <c r="E2624" s="21" t="s">
        <v>10204</v>
      </c>
      <c r="F2624" s="21" t="s">
        <v>10287</v>
      </c>
      <c r="G2624" s="21" t="s">
        <v>8984</v>
      </c>
      <c r="H2624" s="21" t="s">
        <v>9020</v>
      </c>
    </row>
    <row r="2625" customFormat="false" ht="15" hidden="false" customHeight="false" outlineLevel="0" collapsed="false">
      <c r="B2625" s="19" t="s">
        <v>10822</v>
      </c>
      <c r="C2625" s="20" t="n">
        <f aca="false">ROUND(25.22/FX,2)</f>
        <v>3.5</v>
      </c>
      <c r="D2625" s="21" t="s">
        <v>8668</v>
      </c>
      <c r="E2625" s="21" t="s">
        <v>10204</v>
      </c>
      <c r="F2625" s="21" t="s">
        <v>10287</v>
      </c>
      <c r="G2625" s="21" t="s">
        <v>8984</v>
      </c>
      <c r="H2625" s="21" t="s">
        <v>9022</v>
      </c>
    </row>
    <row r="2626" customFormat="false" ht="15" hidden="false" customHeight="false" outlineLevel="0" collapsed="false">
      <c r="B2626" s="19" t="s">
        <v>10823</v>
      </c>
      <c r="C2626" s="20" t="n">
        <f aca="false">ROUND(25.22/FX,2)</f>
        <v>3.5</v>
      </c>
      <c r="D2626" s="21" t="s">
        <v>8668</v>
      </c>
      <c r="E2626" s="21" t="s">
        <v>10204</v>
      </c>
      <c r="F2626" s="21" t="s">
        <v>10287</v>
      </c>
      <c r="G2626" s="21" t="s">
        <v>8984</v>
      </c>
      <c r="H2626" s="21" t="s">
        <v>8045</v>
      </c>
    </row>
    <row r="2627" customFormat="false" ht="15" hidden="false" customHeight="false" outlineLevel="0" collapsed="false">
      <c r="B2627" s="19" t="s">
        <v>10824</v>
      </c>
      <c r="C2627" s="20" t="n">
        <f aca="false">ROUND(25.22/FX,2)</f>
        <v>3.5</v>
      </c>
      <c r="D2627" s="21" t="s">
        <v>8668</v>
      </c>
      <c r="E2627" s="21" t="s">
        <v>10204</v>
      </c>
      <c r="F2627" s="21" t="s">
        <v>10287</v>
      </c>
      <c r="G2627" s="21" t="s">
        <v>8984</v>
      </c>
      <c r="H2627" s="21" t="s">
        <v>8840</v>
      </c>
    </row>
    <row r="2628" customFormat="false" ht="15" hidden="false" customHeight="false" outlineLevel="0" collapsed="false">
      <c r="B2628" s="19" t="s">
        <v>10825</v>
      </c>
      <c r="C2628" s="20" t="n">
        <f aca="false">ROUND(25.22/FX,2)</f>
        <v>3.5</v>
      </c>
      <c r="D2628" s="21" t="s">
        <v>8668</v>
      </c>
      <c r="E2628" s="21" t="s">
        <v>10204</v>
      </c>
      <c r="F2628" s="21" t="s">
        <v>10287</v>
      </c>
      <c r="G2628" s="21" t="s">
        <v>8984</v>
      </c>
      <c r="H2628" s="21" t="s">
        <v>9150</v>
      </c>
    </row>
    <row r="2629" customFormat="false" ht="15" hidden="false" customHeight="false" outlineLevel="0" collapsed="false">
      <c r="B2629" s="19" t="s">
        <v>10826</v>
      </c>
      <c r="C2629" s="20" t="n">
        <f aca="false">ROUND(25.22/FX,2)</f>
        <v>3.5</v>
      </c>
      <c r="D2629" s="21" t="s">
        <v>8668</v>
      </c>
      <c r="E2629" s="21" t="s">
        <v>10204</v>
      </c>
      <c r="F2629" s="21" t="s">
        <v>10287</v>
      </c>
      <c r="G2629" s="21" t="s">
        <v>8984</v>
      </c>
      <c r="H2629" s="21" t="s">
        <v>9028</v>
      </c>
    </row>
    <row r="2630" customFormat="false" ht="15" hidden="false" customHeight="false" outlineLevel="0" collapsed="false">
      <c r="B2630" s="19" t="s">
        <v>10827</v>
      </c>
      <c r="C2630" s="20" t="n">
        <f aca="false">ROUND(25.22/FX,2)</f>
        <v>3.5</v>
      </c>
      <c r="D2630" s="21" t="s">
        <v>8668</v>
      </c>
      <c r="E2630" s="21" t="s">
        <v>10204</v>
      </c>
      <c r="F2630" s="21" t="s">
        <v>10287</v>
      </c>
      <c r="G2630" s="21" t="s">
        <v>8984</v>
      </c>
      <c r="H2630" s="21" t="s">
        <v>9030</v>
      </c>
    </row>
    <row r="2631" customFormat="false" ht="15" hidden="false" customHeight="false" outlineLevel="0" collapsed="false">
      <c r="B2631" s="19" t="s">
        <v>10828</v>
      </c>
      <c r="C2631" s="20" t="n">
        <f aca="false">ROUND(25.22/FX,2)</f>
        <v>3.5</v>
      </c>
      <c r="D2631" s="21" t="s">
        <v>8668</v>
      </c>
      <c r="E2631" s="21" t="s">
        <v>10204</v>
      </c>
      <c r="F2631" s="21" t="s">
        <v>10287</v>
      </c>
      <c r="G2631" s="21" t="s">
        <v>8984</v>
      </c>
      <c r="H2631" s="21" t="s">
        <v>8047</v>
      </c>
    </row>
    <row r="2632" customFormat="false" ht="15" hidden="false" customHeight="false" outlineLevel="0" collapsed="false">
      <c r="B2632" s="19" t="s">
        <v>10829</v>
      </c>
      <c r="C2632" s="20" t="n">
        <f aca="false">ROUND(25.22/FX,2)</f>
        <v>3.5</v>
      </c>
      <c r="D2632" s="21" t="s">
        <v>8668</v>
      </c>
      <c r="E2632" s="21" t="s">
        <v>10204</v>
      </c>
      <c r="F2632" s="21" t="s">
        <v>10287</v>
      </c>
      <c r="G2632" s="21" t="s">
        <v>8984</v>
      </c>
      <c r="H2632" s="21" t="s">
        <v>9157</v>
      </c>
    </row>
    <row r="2635" customFormat="false" ht="61.5" hidden="false" customHeight="true" outlineLevel="0" collapsed="false">
      <c r="A2635" s="9"/>
      <c r="B2635" s="10" t="s">
        <v>10830</v>
      </c>
      <c r="C2635" s="10"/>
      <c r="D2635" s="10"/>
    </row>
    <row r="2636" customFormat="false" ht="15" hidden="false" customHeight="false" outlineLevel="0" collapsed="false">
      <c r="A2636" s="12" t="s">
        <v>700</v>
      </c>
      <c r="B2636" s="13" t="s">
        <v>701</v>
      </c>
      <c r="C2636" s="13" t="s">
        <v>702</v>
      </c>
      <c r="D2636" s="13" t="s">
        <v>723</v>
      </c>
    </row>
    <row r="2637" customFormat="false" ht="30" hidden="false" customHeight="true" outlineLevel="0" collapsed="false">
      <c r="A2637" s="14" t="s">
        <v>706</v>
      </c>
      <c r="B2637" s="15" t="str">
        <f aca="false">IF(COUNTIFS($D$2640:$D$2641,IF(D2637="","*",D2637))=1,INDEX($B:$B,SUMPRODUCT(((D2637="")+($D$2640:$D$2641=D2637)&gt;0)*ROW($B$2640:$B$2641))),IF(COUNTIFS($D$2640:$D$2641,IF(D2637="","*",D2637))=0,"Not available",COUNTIFS($D$2640:$D$2641,IF(D2637="","*",D2637))&amp;" match, keep choosing"))</f>
        <v>ZC-T8-A</v>
      </c>
      <c r="C2637" s="16" t="n">
        <f aca="false">IF(COUNTIFS($D$2640:$D$2641,IF(D2637="","*",D2637))=1,INDEX($C:$C,SUMPRODUCT(((D2637="")+($D$2640:$D$2641=D2637)&gt;0)*ROW($B$2640:$B$2641))),"")</f>
        <v>1.17</v>
      </c>
      <c r="D2637" s="17" t="s">
        <v>7941</v>
      </c>
    </row>
    <row r="2639" customFormat="false" ht="15" hidden="false" customHeight="false" outlineLevel="0" collapsed="false">
      <c r="B2639" s="18" t="s">
        <v>701</v>
      </c>
      <c r="C2639" s="18" t="s">
        <v>702</v>
      </c>
      <c r="D2639" s="18" t="s">
        <v>723</v>
      </c>
    </row>
    <row r="2640" customFormat="false" ht="15" hidden="false" customHeight="false" outlineLevel="0" collapsed="false">
      <c r="B2640" s="19" t="s">
        <v>10831</v>
      </c>
      <c r="C2640" s="20" t="n">
        <f aca="false">ROUND(8.45/FX,2)</f>
        <v>1.17</v>
      </c>
      <c r="D2640" s="21" t="s">
        <v>7941</v>
      </c>
    </row>
    <row r="2641" customFormat="false" ht="15" hidden="false" customHeight="false" outlineLevel="0" collapsed="false">
      <c r="B2641" s="19" t="s">
        <v>10832</v>
      </c>
      <c r="C2641" s="20" t="n">
        <f aca="false">ROUND(14.24/FX,2)</f>
        <v>1.98</v>
      </c>
      <c r="D2641" s="21" t="s">
        <v>7939</v>
      </c>
    </row>
    <row r="2644" customFormat="false" ht="61.5" hidden="false" customHeight="true" outlineLevel="0" collapsed="false">
      <c r="A2644" s="9"/>
      <c r="B2644" s="10" t="s">
        <v>10833</v>
      </c>
      <c r="C2644" s="10"/>
      <c r="D2644" s="10"/>
      <c r="E2644" s="10"/>
    </row>
    <row r="2645" customFormat="false" ht="15" hidden="false" customHeight="false" outlineLevel="0" collapsed="false">
      <c r="A2645" s="12" t="s">
        <v>700</v>
      </c>
      <c r="B2645" s="13" t="s">
        <v>701</v>
      </c>
      <c r="C2645" s="13" t="s">
        <v>702</v>
      </c>
      <c r="D2645" s="13" t="s">
        <v>6523</v>
      </c>
      <c r="E2645" s="13" t="s">
        <v>7711</v>
      </c>
    </row>
    <row r="2646" customFormat="false" ht="30" hidden="false" customHeight="true" outlineLevel="0" collapsed="false">
      <c r="A2646" s="14" t="s">
        <v>706</v>
      </c>
      <c r="B2646" s="15" t="str">
        <f aca="false">IF(COUNTIFS($D$2649:$D$2651,IF(D2646="","*",D2646),$E$2649:$E$2651,IF(E2646="","*",E2646))=1,INDEX($B:$B,SUMPRODUCT(((D2646="")+($D$2649:$D$2651=D2646)&gt;0)*((E2646="")+($E$2649:$E$2651=E2646)&gt;0)*ROW($B$2649:$B$2651))),IF(COUNTIFS($D$2649:$D$2651,IF(D2646="","*",D2646),$E$2649:$E$2651,IF(E2646="","*",E2646))=0,"Not available",COUNTIFS($D$2649:$D$2651,IF(D2646="","*",D2646),$E$2649:$E$2651,IF(E2646="","*",E2646))&amp;" match, keep choosing"))</f>
        <v>OL-D20L23-5x8-SV</v>
      </c>
      <c r="C2646" s="16" t="n">
        <f aca="false">IF(COUNTIFS($D$2649:$D$2651,IF(D2646="","*",D2646),$E$2649:$E$2651,IF(E2646="","*",E2646))=1,INDEX($C:$C,SUMPRODUCT(((D2646="")+($D$2649:$D$2651=D2646)&gt;0)*((E2646="")+($E$2649:$E$2651=E2646)&gt;0)*ROW($B$2649:$B$2651))),"")</f>
        <v>2.53</v>
      </c>
      <c r="D2646" s="17" t="s">
        <v>10834</v>
      </c>
      <c r="E2646" s="17" t="s">
        <v>7833</v>
      </c>
    </row>
    <row r="2648" customFormat="false" ht="15" hidden="false" customHeight="false" outlineLevel="0" collapsed="false">
      <c r="B2648" s="18" t="s">
        <v>701</v>
      </c>
      <c r="C2648" s="18" t="s">
        <v>702</v>
      </c>
      <c r="D2648" s="18" t="s">
        <v>6523</v>
      </c>
      <c r="E2648" s="18" t="s">
        <v>7711</v>
      </c>
    </row>
    <row r="2649" customFormat="false" ht="15" hidden="false" customHeight="false" outlineLevel="0" collapsed="false">
      <c r="B2649" s="19" t="s">
        <v>10835</v>
      </c>
      <c r="C2649" s="20" t="n">
        <f aca="false">ROUND(18.2/FX,2)</f>
        <v>2.53</v>
      </c>
      <c r="D2649" s="21" t="s">
        <v>10834</v>
      </c>
      <c r="E2649" s="21" t="s">
        <v>7833</v>
      </c>
    </row>
    <row r="2650" customFormat="false" ht="15" hidden="false" customHeight="false" outlineLevel="0" collapsed="false">
      <c r="B2650" s="19" t="s">
        <v>10836</v>
      </c>
      <c r="C2650" s="20" t="n">
        <f aca="false">ROUND(14.04/FX,2)</f>
        <v>1.95</v>
      </c>
      <c r="D2650" s="21" t="s">
        <v>10837</v>
      </c>
      <c r="E2650" s="21" t="s">
        <v>7833</v>
      </c>
    </row>
    <row r="2651" customFormat="false" ht="15" hidden="false" customHeight="false" outlineLevel="0" collapsed="false">
      <c r="B2651" s="19" t="s">
        <v>10838</v>
      </c>
      <c r="C2651" s="20" t="n">
        <f aca="false">ROUND(13/FX,2)</f>
        <v>1.81</v>
      </c>
      <c r="D2651" s="21" t="s">
        <v>10839</v>
      </c>
      <c r="E2651" s="21" t="s">
        <v>7833</v>
      </c>
    </row>
    <row r="2654" customFormat="false" ht="61.5" hidden="false" customHeight="true" outlineLevel="0" collapsed="false">
      <c r="A2654" s="9"/>
      <c r="B2654" s="10" t="s">
        <v>10840</v>
      </c>
      <c r="C2654" s="10"/>
      <c r="D2654" s="10"/>
      <c r="E2654" s="10"/>
      <c r="F2654" s="10"/>
    </row>
    <row r="2655" customFormat="false" ht="15" hidden="false" customHeight="false" outlineLevel="0" collapsed="false">
      <c r="A2655" s="12" t="s">
        <v>700</v>
      </c>
      <c r="B2655" s="13" t="s">
        <v>701</v>
      </c>
      <c r="C2655" s="13" t="s">
        <v>702</v>
      </c>
      <c r="D2655" s="13" t="s">
        <v>722</v>
      </c>
      <c r="E2655" s="13" t="s">
        <v>6523</v>
      </c>
      <c r="F2655" s="13" t="s">
        <v>7711</v>
      </c>
    </row>
    <row r="2656" customFormat="false" ht="30" hidden="false" customHeight="true" outlineLevel="0" collapsed="false">
      <c r="A2656" s="14" t="s">
        <v>706</v>
      </c>
      <c r="B2656" s="15" t="str">
        <f aca="false">IF(COUNTIFS($D$2659:$D$2831,IF(D2656="","*",D2656),$E$2659:$E$2831,IF(E2656="","*",E2656),$F$2659:$F$2831,IF(F2656="","*",F2656))=1,INDEX($B:$B,SUMPRODUCT(((D2656="")+($D$2659:$D$2831=D2656)&gt;0)*((E2656="")+($E$2659:$E$2831=E2656)&gt;0)*((F2656="")+($F$2659:$F$2831=F2656)&gt;0)*ROW($B$2659:$B$2831))),IF(COUNTIFS($D$2659:$D$2831,IF(D2656="","*",D2656),$E$2659:$E$2831,IF(E2656="","*",E2656),$F$2659:$F$2831,IF(F2656="","*",F2656))=0,"Not available",COUNTIFS($D$2659:$D$2831,IF(D2656="","*",D2656),$E$2659:$E$2831,IF(E2656="","*",E2656),$F$2659:$F$2831,IF(F2656="","*",F2656))&amp;" match, keep choosing"))</f>
        <v>EC-D15L20-3.175x5-SV</v>
      </c>
      <c r="C2656" s="16" t="n">
        <f aca="false">IF(COUNTIFS($D$2659:$D$2831,IF(D2656="","*",D2656),$E$2659:$E$2831,IF(E2656="","*",E2656),$F$2659:$F$2831,IF(F2656="","*",F2656))=1,INDEX($C:$C,SUMPRODUCT(((D2656="")+($D$2659:$D$2831=D2656)&gt;0)*((E2656="")+($E$2659:$E$2831=E2656)&gt;0)*((F2656="")+($F$2659:$F$2831=F2656)&gt;0)*ROW($B$2659:$B$2831))),"")</f>
        <v>0.81</v>
      </c>
      <c r="D2656" s="17" t="s">
        <v>6549</v>
      </c>
      <c r="E2656" s="17" t="s">
        <v>7823</v>
      </c>
      <c r="F2656" s="17" t="s">
        <v>8193</v>
      </c>
    </row>
    <row r="2658" customFormat="false" ht="15" hidden="false" customHeight="false" outlineLevel="0" collapsed="false">
      <c r="B2658" s="18" t="s">
        <v>701</v>
      </c>
      <c r="C2658" s="18" t="s">
        <v>702</v>
      </c>
      <c r="D2658" s="18" t="s">
        <v>722</v>
      </c>
      <c r="E2658" s="18" t="s">
        <v>6523</v>
      </c>
      <c r="F2658" s="18" t="s">
        <v>7711</v>
      </c>
    </row>
    <row r="2659" customFormat="false" ht="15" hidden="false" customHeight="false" outlineLevel="0" collapsed="false">
      <c r="B2659" s="19" t="s">
        <v>10841</v>
      </c>
      <c r="C2659" s="20" t="n">
        <f aca="false">ROUND(5.85/FX,2)</f>
        <v>0.81</v>
      </c>
      <c r="D2659" s="21" t="s">
        <v>6549</v>
      </c>
      <c r="E2659" s="21" t="s">
        <v>7823</v>
      </c>
      <c r="F2659" s="21" t="s">
        <v>8193</v>
      </c>
    </row>
    <row r="2660" customFormat="false" ht="15" hidden="false" customHeight="false" outlineLevel="0" collapsed="false">
      <c r="B2660" s="19" t="s">
        <v>10842</v>
      </c>
      <c r="C2660" s="20" t="n">
        <f aca="false">ROUND(5.85/FX,2)</f>
        <v>0.81</v>
      </c>
      <c r="D2660" s="21" t="s">
        <v>6549</v>
      </c>
      <c r="E2660" s="21" t="s">
        <v>7823</v>
      </c>
      <c r="F2660" s="21" t="s">
        <v>8196</v>
      </c>
    </row>
    <row r="2661" customFormat="false" ht="15" hidden="false" customHeight="false" outlineLevel="0" collapsed="false">
      <c r="B2661" s="19" t="s">
        <v>10843</v>
      </c>
      <c r="C2661" s="20" t="n">
        <f aca="false">ROUND(5.85/FX,2)</f>
        <v>0.81</v>
      </c>
      <c r="D2661" s="21" t="s">
        <v>6549</v>
      </c>
      <c r="E2661" s="21" t="s">
        <v>7823</v>
      </c>
      <c r="F2661" s="21" t="s">
        <v>7916</v>
      </c>
    </row>
    <row r="2662" customFormat="false" ht="15" hidden="false" customHeight="false" outlineLevel="0" collapsed="false">
      <c r="B2662" s="19" t="s">
        <v>10844</v>
      </c>
      <c r="C2662" s="20" t="n">
        <f aca="false">ROUND(5.85/FX,2)</f>
        <v>0.81</v>
      </c>
      <c r="D2662" s="21" t="s">
        <v>6549</v>
      </c>
      <c r="E2662" s="21" t="s">
        <v>7823</v>
      </c>
      <c r="F2662" s="21" t="s">
        <v>7918</v>
      </c>
    </row>
    <row r="2663" customFormat="false" ht="15" hidden="false" customHeight="false" outlineLevel="0" collapsed="false">
      <c r="B2663" s="19" t="s">
        <v>10845</v>
      </c>
      <c r="C2663" s="20" t="n">
        <f aca="false">ROUND(5.85/FX,2)</f>
        <v>0.81</v>
      </c>
      <c r="D2663" s="21" t="s">
        <v>6549</v>
      </c>
      <c r="E2663" s="21" t="s">
        <v>7823</v>
      </c>
      <c r="F2663" s="21" t="s">
        <v>7847</v>
      </c>
    </row>
    <row r="2664" customFormat="false" ht="15" hidden="false" customHeight="false" outlineLevel="0" collapsed="false">
      <c r="B2664" s="19" t="s">
        <v>10846</v>
      </c>
      <c r="C2664" s="20" t="n">
        <f aca="false">ROUND(5.85/FX,2)</f>
        <v>0.81</v>
      </c>
      <c r="D2664" s="21" t="s">
        <v>6549</v>
      </c>
      <c r="E2664" s="21" t="s">
        <v>7823</v>
      </c>
      <c r="F2664" s="21" t="s">
        <v>7849</v>
      </c>
    </row>
    <row r="2665" customFormat="false" ht="15" hidden="false" customHeight="false" outlineLevel="0" collapsed="false">
      <c r="B2665" s="19" t="s">
        <v>10847</v>
      </c>
      <c r="C2665" s="20" t="n">
        <f aca="false">ROUND(5.85/FX,2)</f>
        <v>0.81</v>
      </c>
      <c r="D2665" s="21" t="s">
        <v>6549</v>
      </c>
      <c r="E2665" s="21" t="s">
        <v>7823</v>
      </c>
      <c r="F2665" s="21" t="s">
        <v>7851</v>
      </c>
    </row>
    <row r="2666" customFormat="false" ht="15" hidden="false" customHeight="false" outlineLevel="0" collapsed="false">
      <c r="B2666" s="19" t="s">
        <v>10848</v>
      </c>
      <c r="C2666" s="20" t="n">
        <f aca="false">ROUND(5.85/FX,2)</f>
        <v>0.81</v>
      </c>
      <c r="D2666" s="21" t="s">
        <v>6549</v>
      </c>
      <c r="E2666" s="21" t="s">
        <v>7823</v>
      </c>
      <c r="F2666" s="21" t="s">
        <v>7827</v>
      </c>
    </row>
    <row r="2667" customFormat="false" ht="15" hidden="false" customHeight="false" outlineLevel="0" collapsed="false">
      <c r="B2667" s="19" t="s">
        <v>10849</v>
      </c>
      <c r="C2667" s="20" t="n">
        <f aca="false">ROUND(5.85/FX,2)</f>
        <v>0.81</v>
      </c>
      <c r="D2667" s="21" t="s">
        <v>6549</v>
      </c>
      <c r="E2667" s="21" t="s">
        <v>7823</v>
      </c>
      <c r="F2667" s="21" t="s">
        <v>7853</v>
      </c>
    </row>
    <row r="2668" customFormat="false" ht="15" hidden="false" customHeight="false" outlineLevel="0" collapsed="false">
      <c r="B2668" s="19" t="s">
        <v>10850</v>
      </c>
      <c r="C2668" s="20" t="n">
        <f aca="false">ROUND(5.85/FX,2)</f>
        <v>0.81</v>
      </c>
      <c r="D2668" s="21" t="s">
        <v>6549</v>
      </c>
      <c r="E2668" s="21" t="s">
        <v>7823</v>
      </c>
      <c r="F2668" s="21" t="s">
        <v>7869</v>
      </c>
    </row>
    <row r="2669" customFormat="false" ht="15" hidden="false" customHeight="false" outlineLevel="0" collapsed="false">
      <c r="B2669" s="19" t="s">
        <v>10851</v>
      </c>
      <c r="C2669" s="20" t="n">
        <f aca="false">ROUND(5.85/FX,2)</f>
        <v>0.81</v>
      </c>
      <c r="D2669" s="21" t="s">
        <v>6549</v>
      </c>
      <c r="E2669" s="21" t="s">
        <v>7823</v>
      </c>
      <c r="F2669" s="21" t="s">
        <v>7855</v>
      </c>
    </row>
    <row r="2670" customFormat="false" ht="15" hidden="false" customHeight="false" outlineLevel="0" collapsed="false">
      <c r="B2670" s="19" t="s">
        <v>10852</v>
      </c>
      <c r="C2670" s="20" t="n">
        <f aca="false">ROUND(5.85/FX,2)</f>
        <v>0.81</v>
      </c>
      <c r="D2670" s="21" t="s">
        <v>6549</v>
      </c>
      <c r="E2670" s="21" t="s">
        <v>7823</v>
      </c>
      <c r="F2670" s="21" t="s">
        <v>7933</v>
      </c>
    </row>
    <row r="2671" customFormat="false" ht="15" hidden="false" customHeight="false" outlineLevel="0" collapsed="false">
      <c r="B2671" s="19" t="s">
        <v>10853</v>
      </c>
      <c r="C2671" s="20" t="n">
        <f aca="false">ROUND(5.85/FX,2)</f>
        <v>0.81</v>
      </c>
      <c r="D2671" s="21" t="s">
        <v>6549</v>
      </c>
      <c r="E2671" s="21" t="s">
        <v>7823</v>
      </c>
      <c r="F2671" s="21" t="s">
        <v>7829</v>
      </c>
    </row>
    <row r="2672" customFormat="false" ht="15" hidden="false" customHeight="false" outlineLevel="0" collapsed="false">
      <c r="B2672" s="19" t="s">
        <v>10854</v>
      </c>
      <c r="C2672" s="20" t="n">
        <f aca="false">ROUND(5.85/FX,2)</f>
        <v>0.81</v>
      </c>
      <c r="D2672" s="21" t="s">
        <v>6549</v>
      </c>
      <c r="E2672" s="21" t="s">
        <v>7823</v>
      </c>
      <c r="F2672" s="21" t="s">
        <v>7831</v>
      </c>
    </row>
    <row r="2673" customFormat="false" ht="15" hidden="false" customHeight="false" outlineLevel="0" collapsed="false">
      <c r="B2673" s="19" t="s">
        <v>10855</v>
      </c>
      <c r="C2673" s="20" t="n">
        <f aca="false">ROUND(5.85/FX,2)</f>
        <v>0.81</v>
      </c>
      <c r="D2673" s="21" t="s">
        <v>6549</v>
      </c>
      <c r="E2673" s="21" t="s">
        <v>7823</v>
      </c>
      <c r="F2673" s="21" t="s">
        <v>7944</v>
      </c>
    </row>
    <row r="2674" customFormat="false" ht="15" hidden="false" customHeight="false" outlineLevel="0" collapsed="false">
      <c r="B2674" s="19" t="s">
        <v>10856</v>
      </c>
      <c r="C2674" s="20" t="n">
        <f aca="false">ROUND(5.85/FX,2)</f>
        <v>0.81</v>
      </c>
      <c r="D2674" s="21" t="s">
        <v>6549</v>
      </c>
      <c r="E2674" s="21" t="s">
        <v>7823</v>
      </c>
      <c r="F2674" s="21" t="s">
        <v>7946</v>
      </c>
    </row>
    <row r="2675" customFormat="false" ht="15" hidden="false" customHeight="false" outlineLevel="0" collapsed="false">
      <c r="B2675" s="19" t="s">
        <v>10857</v>
      </c>
      <c r="C2675" s="20" t="n">
        <f aca="false">ROUND(5.85/FX,2)</f>
        <v>0.81</v>
      </c>
      <c r="D2675" s="21" t="s">
        <v>6549</v>
      </c>
      <c r="E2675" s="21" t="s">
        <v>7823</v>
      </c>
      <c r="F2675" s="21" t="s">
        <v>7833</v>
      </c>
    </row>
    <row r="2676" customFormat="false" ht="15" hidden="false" customHeight="false" outlineLevel="0" collapsed="false">
      <c r="B2676" s="19" t="s">
        <v>10858</v>
      </c>
      <c r="C2676" s="20" t="n">
        <f aca="false">ROUND(5.85/FX,2)</f>
        <v>0.81</v>
      </c>
      <c r="D2676" s="21" t="s">
        <v>6549</v>
      </c>
      <c r="E2676" s="21" t="s">
        <v>7823</v>
      </c>
      <c r="F2676" s="21" t="s">
        <v>7893</v>
      </c>
    </row>
    <row r="2677" customFormat="false" ht="15" hidden="false" customHeight="false" outlineLevel="0" collapsed="false">
      <c r="B2677" s="19" t="s">
        <v>10859</v>
      </c>
      <c r="C2677" s="20" t="n">
        <f aca="false">ROUND(5.85/FX,2)</f>
        <v>0.81</v>
      </c>
      <c r="D2677" s="21" t="s">
        <v>6549</v>
      </c>
      <c r="E2677" s="21" t="s">
        <v>7823</v>
      </c>
      <c r="F2677" s="21" t="s">
        <v>7862</v>
      </c>
    </row>
    <row r="2678" customFormat="false" ht="15" hidden="false" customHeight="false" outlineLevel="0" collapsed="false">
      <c r="B2678" s="19" t="s">
        <v>10860</v>
      </c>
      <c r="C2678" s="20" t="n">
        <f aca="false">ROUND(5.85/FX,2)</f>
        <v>0.81</v>
      </c>
      <c r="D2678" s="21" t="s">
        <v>6549</v>
      </c>
      <c r="E2678" s="21" t="s">
        <v>7823</v>
      </c>
      <c r="F2678" s="21" t="s">
        <v>7864</v>
      </c>
    </row>
    <row r="2679" customFormat="false" ht="15" hidden="false" customHeight="false" outlineLevel="0" collapsed="false">
      <c r="B2679" s="19" t="s">
        <v>10861</v>
      </c>
      <c r="C2679" s="20" t="n">
        <f aca="false">ROUND(5.85/FX,2)</f>
        <v>0.81</v>
      </c>
      <c r="D2679" s="21" t="s">
        <v>6549</v>
      </c>
      <c r="E2679" s="21" t="s">
        <v>7823</v>
      </c>
      <c r="F2679" s="21" t="s">
        <v>7872</v>
      </c>
    </row>
    <row r="2680" customFormat="false" ht="15" hidden="false" customHeight="false" outlineLevel="0" collapsed="false">
      <c r="B2680" s="19" t="s">
        <v>10862</v>
      </c>
      <c r="C2680" s="20" t="n">
        <f aca="false">ROUND(5.85/FX,2)</f>
        <v>0.81</v>
      </c>
      <c r="D2680" s="21" t="s">
        <v>6549</v>
      </c>
      <c r="E2680" s="21" t="s">
        <v>7823</v>
      </c>
      <c r="F2680" s="21" t="s">
        <v>7866</v>
      </c>
    </row>
    <row r="2681" customFormat="false" ht="15" hidden="false" customHeight="false" outlineLevel="0" collapsed="false">
      <c r="B2681" s="19" t="s">
        <v>10863</v>
      </c>
      <c r="C2681" s="20" t="n">
        <f aca="false">ROUND(5.2/FX,2)</f>
        <v>0.72</v>
      </c>
      <c r="D2681" s="21" t="s">
        <v>6549</v>
      </c>
      <c r="E2681" s="21" t="s">
        <v>10864</v>
      </c>
      <c r="F2681" s="21" t="s">
        <v>7843</v>
      </c>
    </row>
    <row r="2682" customFormat="false" ht="15" hidden="false" customHeight="false" outlineLevel="0" collapsed="false">
      <c r="B2682" s="19" t="s">
        <v>10865</v>
      </c>
      <c r="C2682" s="20" t="n">
        <f aca="false">ROUND(5.2/FX,2)</f>
        <v>0.72</v>
      </c>
      <c r="D2682" s="21" t="s">
        <v>6549</v>
      </c>
      <c r="E2682" s="21" t="s">
        <v>7868</v>
      </c>
      <c r="F2682" s="21" t="s">
        <v>7837</v>
      </c>
    </row>
    <row r="2683" customFormat="false" ht="15" hidden="false" customHeight="false" outlineLevel="0" collapsed="false">
      <c r="B2683" s="19" t="s">
        <v>10866</v>
      </c>
      <c r="C2683" s="20" t="n">
        <f aca="false">ROUND(5.2/FX,2)</f>
        <v>0.72</v>
      </c>
      <c r="D2683" s="21" t="s">
        <v>6549</v>
      </c>
      <c r="E2683" s="21" t="s">
        <v>7868</v>
      </c>
      <c r="F2683" s="21" t="s">
        <v>7916</v>
      </c>
    </row>
    <row r="2684" customFormat="false" ht="15" hidden="false" customHeight="false" outlineLevel="0" collapsed="false">
      <c r="B2684" s="19" t="s">
        <v>10867</v>
      </c>
      <c r="C2684" s="20" t="n">
        <f aca="false">ROUND(5.2/FX,2)</f>
        <v>0.72</v>
      </c>
      <c r="D2684" s="21" t="s">
        <v>6549</v>
      </c>
      <c r="E2684" s="21" t="s">
        <v>7868</v>
      </c>
      <c r="F2684" s="21" t="s">
        <v>7918</v>
      </c>
    </row>
    <row r="2685" customFormat="false" ht="15" hidden="false" customHeight="false" outlineLevel="0" collapsed="false">
      <c r="B2685" s="19" t="s">
        <v>10868</v>
      </c>
      <c r="C2685" s="20" t="n">
        <f aca="false">ROUND(5.2/FX,2)</f>
        <v>0.72</v>
      </c>
      <c r="D2685" s="21" t="s">
        <v>6549</v>
      </c>
      <c r="E2685" s="21" t="s">
        <v>7868</v>
      </c>
      <c r="F2685" s="21" t="s">
        <v>7847</v>
      </c>
    </row>
    <row r="2686" customFormat="false" ht="15" hidden="false" customHeight="false" outlineLevel="0" collapsed="false">
      <c r="B2686" s="19" t="s">
        <v>10869</v>
      </c>
      <c r="C2686" s="20" t="n">
        <f aca="false">ROUND(5.2/FX,2)</f>
        <v>0.72</v>
      </c>
      <c r="D2686" s="21" t="s">
        <v>6549</v>
      </c>
      <c r="E2686" s="21" t="s">
        <v>7868</v>
      </c>
      <c r="F2686" s="21" t="s">
        <v>7849</v>
      </c>
    </row>
    <row r="2687" customFormat="false" ht="15" hidden="false" customHeight="false" outlineLevel="0" collapsed="false">
      <c r="B2687" s="19" t="s">
        <v>10870</v>
      </c>
      <c r="C2687" s="20" t="n">
        <f aca="false">ROUND(5.2/FX,2)</f>
        <v>0.72</v>
      </c>
      <c r="D2687" s="21" t="s">
        <v>6549</v>
      </c>
      <c r="E2687" s="21" t="s">
        <v>7868</v>
      </c>
      <c r="F2687" s="21" t="s">
        <v>7853</v>
      </c>
    </row>
    <row r="2688" customFormat="false" ht="15" hidden="false" customHeight="false" outlineLevel="0" collapsed="false">
      <c r="B2688" s="19" t="s">
        <v>10871</v>
      </c>
      <c r="C2688" s="20" t="n">
        <f aca="false">ROUND(5.2/FX,2)</f>
        <v>0.72</v>
      </c>
      <c r="D2688" s="21" t="s">
        <v>6549</v>
      </c>
      <c r="E2688" s="21" t="s">
        <v>7868</v>
      </c>
      <c r="F2688" s="21" t="s">
        <v>7869</v>
      </c>
    </row>
    <row r="2689" customFormat="false" ht="15" hidden="false" customHeight="false" outlineLevel="0" collapsed="false">
      <c r="B2689" s="19" t="s">
        <v>10872</v>
      </c>
      <c r="C2689" s="20" t="n">
        <f aca="false">ROUND(5.2/FX,2)</f>
        <v>0.72</v>
      </c>
      <c r="D2689" s="21" t="s">
        <v>6549</v>
      </c>
      <c r="E2689" s="21" t="s">
        <v>7868</v>
      </c>
      <c r="F2689" s="21" t="s">
        <v>7933</v>
      </c>
    </row>
    <row r="2690" customFormat="false" ht="15" hidden="false" customHeight="false" outlineLevel="0" collapsed="false">
      <c r="B2690" s="19" t="s">
        <v>10873</v>
      </c>
      <c r="C2690" s="20" t="n">
        <f aca="false">ROUND(5.2/FX,2)</f>
        <v>0.72</v>
      </c>
      <c r="D2690" s="21" t="s">
        <v>6549</v>
      </c>
      <c r="E2690" s="21" t="s">
        <v>7868</v>
      </c>
      <c r="F2690" s="21" t="s">
        <v>7881</v>
      </c>
    </row>
    <row r="2691" customFormat="false" ht="15" hidden="false" customHeight="false" outlineLevel="0" collapsed="false">
      <c r="B2691" s="19" t="s">
        <v>10874</v>
      </c>
      <c r="C2691" s="20" t="n">
        <f aca="false">ROUND(5.2/FX,2)</f>
        <v>0.72</v>
      </c>
      <c r="D2691" s="21" t="s">
        <v>6549</v>
      </c>
      <c r="E2691" s="21" t="s">
        <v>7868</v>
      </c>
      <c r="F2691" s="21" t="s">
        <v>7829</v>
      </c>
    </row>
    <row r="2692" customFormat="false" ht="15" hidden="false" customHeight="false" outlineLevel="0" collapsed="false">
      <c r="B2692" s="19" t="s">
        <v>10875</v>
      </c>
      <c r="C2692" s="20" t="n">
        <f aca="false">ROUND(5.85/FX,2)</f>
        <v>0.81</v>
      </c>
      <c r="D2692" s="21" t="s">
        <v>6549</v>
      </c>
      <c r="E2692" s="21" t="s">
        <v>7868</v>
      </c>
      <c r="F2692" s="21" t="s">
        <v>7831</v>
      </c>
    </row>
    <row r="2693" customFormat="false" ht="15" hidden="false" customHeight="false" outlineLevel="0" collapsed="false">
      <c r="B2693" s="19" t="s">
        <v>10876</v>
      </c>
      <c r="C2693" s="20" t="n">
        <f aca="false">ROUND(5.2/FX,2)</f>
        <v>0.72</v>
      </c>
      <c r="D2693" s="21" t="s">
        <v>6549</v>
      </c>
      <c r="E2693" s="21" t="s">
        <v>7868</v>
      </c>
      <c r="F2693" s="21" t="s">
        <v>7944</v>
      </c>
    </row>
    <row r="2694" customFormat="false" ht="15" hidden="false" customHeight="false" outlineLevel="0" collapsed="false">
      <c r="B2694" s="19" t="s">
        <v>10877</v>
      </c>
      <c r="C2694" s="20" t="n">
        <f aca="false">ROUND(5.2/FX,2)</f>
        <v>0.72</v>
      </c>
      <c r="D2694" s="21" t="s">
        <v>6549</v>
      </c>
      <c r="E2694" s="21" t="s">
        <v>7868</v>
      </c>
      <c r="F2694" s="21" t="s">
        <v>7946</v>
      </c>
    </row>
    <row r="2695" customFormat="false" ht="15" hidden="false" customHeight="false" outlineLevel="0" collapsed="false">
      <c r="B2695" s="19" t="s">
        <v>10878</v>
      </c>
      <c r="C2695" s="20" t="n">
        <f aca="false">ROUND(5.2/FX,2)</f>
        <v>0.72</v>
      </c>
      <c r="D2695" s="21" t="s">
        <v>6549</v>
      </c>
      <c r="E2695" s="21" t="s">
        <v>7868</v>
      </c>
      <c r="F2695" s="21" t="s">
        <v>7891</v>
      </c>
    </row>
    <row r="2696" customFormat="false" ht="15" hidden="false" customHeight="false" outlineLevel="0" collapsed="false">
      <c r="B2696" s="19" t="s">
        <v>10879</v>
      </c>
      <c r="C2696" s="20" t="n">
        <f aca="false">ROUND(5.2/FX,2)</f>
        <v>0.72</v>
      </c>
      <c r="D2696" s="21" t="s">
        <v>6549</v>
      </c>
      <c r="E2696" s="21" t="s">
        <v>7868</v>
      </c>
      <c r="F2696" s="21" t="s">
        <v>7895</v>
      </c>
    </row>
    <row r="2697" customFormat="false" ht="15" hidden="false" customHeight="false" outlineLevel="0" collapsed="false">
      <c r="B2697" s="19" t="s">
        <v>10880</v>
      </c>
      <c r="C2697" s="20" t="n">
        <f aca="false">ROUND(5.2/FX,2)</f>
        <v>0.72</v>
      </c>
      <c r="D2697" s="21" t="s">
        <v>6549</v>
      </c>
      <c r="E2697" s="21" t="s">
        <v>7868</v>
      </c>
      <c r="F2697" s="21" t="s">
        <v>7864</v>
      </c>
    </row>
    <row r="2698" customFormat="false" ht="15" hidden="false" customHeight="false" outlineLevel="0" collapsed="false">
      <c r="B2698" s="19" t="s">
        <v>10881</v>
      </c>
      <c r="C2698" s="20" t="n">
        <f aca="false">ROUND(5.2/FX,2)</f>
        <v>0.72</v>
      </c>
      <c r="D2698" s="21" t="s">
        <v>6549</v>
      </c>
      <c r="E2698" s="21" t="s">
        <v>7868</v>
      </c>
      <c r="F2698" s="21" t="s">
        <v>7872</v>
      </c>
    </row>
    <row r="2699" customFormat="false" ht="15" hidden="false" customHeight="false" outlineLevel="0" collapsed="false">
      <c r="B2699" s="19" t="s">
        <v>10882</v>
      </c>
      <c r="C2699" s="20" t="n">
        <f aca="false">ROUND(5.2/FX,2)</f>
        <v>0.72</v>
      </c>
      <c r="D2699" s="21" t="s">
        <v>6549</v>
      </c>
      <c r="E2699" s="21" t="s">
        <v>7868</v>
      </c>
      <c r="F2699" s="21" t="s">
        <v>8379</v>
      </c>
    </row>
    <row r="2700" customFormat="false" ht="15" hidden="false" customHeight="false" outlineLevel="0" collapsed="false">
      <c r="B2700" s="19" t="s">
        <v>10883</v>
      </c>
      <c r="C2700" s="20" t="n">
        <f aca="false">ROUND(5.85/FX,2)</f>
        <v>0.81</v>
      </c>
      <c r="D2700" s="21" t="s">
        <v>6549</v>
      </c>
      <c r="E2700" s="21" t="s">
        <v>7902</v>
      </c>
      <c r="F2700" s="21" t="s">
        <v>7875</v>
      </c>
    </row>
    <row r="2701" customFormat="false" ht="15" hidden="false" customHeight="false" outlineLevel="0" collapsed="false">
      <c r="B2701" s="19" t="s">
        <v>10884</v>
      </c>
      <c r="C2701" s="20" t="n">
        <f aca="false">ROUND(5.85/FX,2)</f>
        <v>0.81</v>
      </c>
      <c r="D2701" s="21" t="s">
        <v>6549</v>
      </c>
      <c r="E2701" s="21" t="s">
        <v>7902</v>
      </c>
      <c r="F2701" s="21" t="s">
        <v>7877</v>
      </c>
    </row>
    <row r="2702" customFormat="false" ht="15" hidden="false" customHeight="false" outlineLevel="0" collapsed="false">
      <c r="B2702" s="19" t="s">
        <v>10885</v>
      </c>
      <c r="C2702" s="20" t="n">
        <f aca="false">ROUND(5.85/FX,2)</f>
        <v>0.81</v>
      </c>
      <c r="D2702" s="21" t="s">
        <v>6549</v>
      </c>
      <c r="E2702" s="21" t="s">
        <v>7902</v>
      </c>
      <c r="F2702" s="21" t="s">
        <v>7824</v>
      </c>
    </row>
    <row r="2703" customFormat="false" ht="15" hidden="false" customHeight="false" outlineLevel="0" collapsed="false">
      <c r="B2703" s="19" t="s">
        <v>10886</v>
      </c>
      <c r="C2703" s="20" t="n">
        <f aca="false">ROUND(5.85/FX,2)</f>
        <v>0.81</v>
      </c>
      <c r="D2703" s="21" t="s">
        <v>6549</v>
      </c>
      <c r="E2703" s="21" t="s">
        <v>7902</v>
      </c>
      <c r="F2703" s="21" t="s">
        <v>7904</v>
      </c>
    </row>
    <row r="2704" customFormat="false" ht="15" hidden="false" customHeight="false" outlineLevel="0" collapsed="false">
      <c r="B2704" s="19" t="s">
        <v>10887</v>
      </c>
      <c r="C2704" s="20" t="n">
        <f aca="false">ROUND(5.85/FX,2)</f>
        <v>0.81</v>
      </c>
      <c r="D2704" s="21" t="s">
        <v>6549</v>
      </c>
      <c r="E2704" s="21" t="s">
        <v>7902</v>
      </c>
      <c r="F2704" s="21" t="s">
        <v>7837</v>
      </c>
    </row>
    <row r="2705" customFormat="false" ht="15" hidden="false" customHeight="false" outlineLevel="0" collapsed="false">
      <c r="B2705" s="19" t="s">
        <v>10888</v>
      </c>
      <c r="C2705" s="20" t="n">
        <f aca="false">ROUND(5.85/FX,2)</f>
        <v>0.81</v>
      </c>
      <c r="D2705" s="21" t="s">
        <v>6549</v>
      </c>
      <c r="E2705" s="21" t="s">
        <v>7902</v>
      </c>
      <c r="F2705" s="21" t="s">
        <v>7839</v>
      </c>
    </row>
    <row r="2706" customFormat="false" ht="15" hidden="false" customHeight="false" outlineLevel="0" collapsed="false">
      <c r="B2706" s="19" t="s">
        <v>10889</v>
      </c>
      <c r="C2706" s="20" t="n">
        <f aca="false">ROUND(5.85/FX,2)</f>
        <v>0.81</v>
      </c>
      <c r="D2706" s="21" t="s">
        <v>6549</v>
      </c>
      <c r="E2706" s="21" t="s">
        <v>7902</v>
      </c>
      <c r="F2706" s="21" t="s">
        <v>7841</v>
      </c>
    </row>
    <row r="2707" customFormat="false" ht="15" hidden="false" customHeight="false" outlineLevel="0" collapsed="false">
      <c r="B2707" s="19" t="s">
        <v>10890</v>
      </c>
      <c r="C2707" s="20" t="n">
        <f aca="false">ROUND(5.85/FX,2)</f>
        <v>0.81</v>
      </c>
      <c r="D2707" s="21" t="s">
        <v>6549</v>
      </c>
      <c r="E2707" s="21" t="s">
        <v>7902</v>
      </c>
      <c r="F2707" s="21" t="s">
        <v>7910</v>
      </c>
    </row>
    <row r="2708" customFormat="false" ht="15" hidden="false" customHeight="false" outlineLevel="0" collapsed="false">
      <c r="B2708" s="19" t="s">
        <v>10891</v>
      </c>
      <c r="C2708" s="20" t="n">
        <f aca="false">ROUND(5.85/FX,2)</f>
        <v>0.81</v>
      </c>
      <c r="D2708" s="21" t="s">
        <v>6706</v>
      </c>
      <c r="E2708" s="21" t="s">
        <v>7902</v>
      </c>
      <c r="F2708" s="21" t="s">
        <v>8188</v>
      </c>
    </row>
    <row r="2709" customFormat="false" ht="15" hidden="false" customHeight="false" outlineLevel="0" collapsed="false">
      <c r="B2709" s="19" t="s">
        <v>10892</v>
      </c>
      <c r="C2709" s="20" t="n">
        <f aca="false">ROUND(5.85/FX,2)</f>
        <v>0.81</v>
      </c>
      <c r="D2709" s="21" t="s">
        <v>6549</v>
      </c>
      <c r="E2709" s="21" t="s">
        <v>7902</v>
      </c>
      <c r="F2709" s="21" t="s">
        <v>7912</v>
      </c>
    </row>
    <row r="2710" customFormat="false" ht="15" hidden="false" customHeight="false" outlineLevel="0" collapsed="false">
      <c r="B2710" s="19" t="s">
        <v>10893</v>
      </c>
      <c r="C2710" s="20" t="n">
        <f aca="false">ROUND(5.85/FX,2)</f>
        <v>0.81</v>
      </c>
      <c r="D2710" s="21" t="s">
        <v>6549</v>
      </c>
      <c r="E2710" s="21" t="s">
        <v>7902</v>
      </c>
      <c r="F2710" s="21" t="s">
        <v>7845</v>
      </c>
    </row>
    <row r="2711" customFormat="false" ht="15" hidden="false" customHeight="false" outlineLevel="0" collapsed="false">
      <c r="B2711" s="19" t="s">
        <v>10894</v>
      </c>
      <c r="C2711" s="20" t="n">
        <f aca="false">ROUND(5.85/FX,2)</f>
        <v>0.81</v>
      </c>
      <c r="D2711" s="21" t="s">
        <v>6549</v>
      </c>
      <c r="E2711" s="21" t="s">
        <v>7902</v>
      </c>
      <c r="F2711" s="21" t="s">
        <v>7914</v>
      </c>
    </row>
    <row r="2712" customFormat="false" ht="15" hidden="false" customHeight="false" outlineLevel="0" collapsed="false">
      <c r="B2712" s="19" t="s">
        <v>10895</v>
      </c>
      <c r="C2712" s="20" t="n">
        <f aca="false">ROUND(5.85/FX,2)</f>
        <v>0.81</v>
      </c>
      <c r="D2712" s="21" t="s">
        <v>6549</v>
      </c>
      <c r="E2712" s="21" t="s">
        <v>7902</v>
      </c>
      <c r="F2712" s="21" t="s">
        <v>7916</v>
      </c>
    </row>
    <row r="2713" customFormat="false" ht="15" hidden="false" customHeight="false" outlineLevel="0" collapsed="false">
      <c r="B2713" s="19" t="s">
        <v>10896</v>
      </c>
      <c r="C2713" s="20" t="n">
        <f aca="false">ROUND(5.85/FX,2)</f>
        <v>0.81</v>
      </c>
      <c r="D2713" s="21" t="s">
        <v>6549</v>
      </c>
      <c r="E2713" s="21" t="s">
        <v>7902</v>
      </c>
      <c r="F2713" s="21" t="s">
        <v>7918</v>
      </c>
    </row>
    <row r="2714" customFormat="false" ht="15" hidden="false" customHeight="false" outlineLevel="0" collapsed="false">
      <c r="B2714" s="19" t="s">
        <v>10897</v>
      </c>
      <c r="C2714" s="20" t="n">
        <f aca="false">ROUND(5.85/FX,2)</f>
        <v>0.81</v>
      </c>
      <c r="D2714" s="21" t="s">
        <v>6549</v>
      </c>
      <c r="E2714" s="21" t="s">
        <v>7902</v>
      </c>
      <c r="F2714" s="21" t="s">
        <v>7847</v>
      </c>
    </row>
    <row r="2715" customFormat="false" ht="15" hidden="false" customHeight="false" outlineLevel="0" collapsed="false">
      <c r="B2715" s="19" t="s">
        <v>10898</v>
      </c>
      <c r="C2715" s="20" t="n">
        <f aca="false">ROUND(5.85/FX,2)</f>
        <v>0.81</v>
      </c>
      <c r="D2715" s="21" t="s">
        <v>6549</v>
      </c>
      <c r="E2715" s="21" t="s">
        <v>7902</v>
      </c>
      <c r="F2715" s="21" t="s">
        <v>7849</v>
      </c>
    </row>
    <row r="2716" customFormat="false" ht="15" hidden="false" customHeight="false" outlineLevel="0" collapsed="false">
      <c r="B2716" s="19" t="s">
        <v>10899</v>
      </c>
      <c r="C2716" s="20" t="n">
        <f aca="false">ROUND(5.85/FX,2)</f>
        <v>0.81</v>
      </c>
      <c r="D2716" s="21" t="s">
        <v>6549</v>
      </c>
      <c r="E2716" s="21" t="s">
        <v>7902</v>
      </c>
      <c r="F2716" s="21" t="s">
        <v>7922</v>
      </c>
    </row>
    <row r="2717" customFormat="false" ht="15" hidden="false" customHeight="false" outlineLevel="0" collapsed="false">
      <c r="B2717" s="19" t="s">
        <v>10900</v>
      </c>
      <c r="C2717" s="20" t="n">
        <f aca="false">ROUND(5.85/FX,2)</f>
        <v>0.81</v>
      </c>
      <c r="D2717" s="21" t="s">
        <v>6549</v>
      </c>
      <c r="E2717" s="21" t="s">
        <v>7902</v>
      </c>
      <c r="F2717" s="21" t="s">
        <v>7851</v>
      </c>
    </row>
    <row r="2718" customFormat="false" ht="15" hidden="false" customHeight="false" outlineLevel="0" collapsed="false">
      <c r="B2718" s="19" t="s">
        <v>10901</v>
      </c>
      <c r="C2718" s="20" t="n">
        <f aca="false">ROUND(5.85/FX,2)</f>
        <v>0.81</v>
      </c>
      <c r="D2718" s="21" t="s">
        <v>6549</v>
      </c>
      <c r="E2718" s="21" t="s">
        <v>7902</v>
      </c>
      <c r="F2718" s="21" t="s">
        <v>7925</v>
      </c>
    </row>
    <row r="2719" customFormat="false" ht="15" hidden="false" customHeight="false" outlineLevel="0" collapsed="false">
      <c r="B2719" s="19" t="s">
        <v>10902</v>
      </c>
      <c r="C2719" s="20" t="n">
        <f aca="false">ROUND(5.85/FX,2)</f>
        <v>0.81</v>
      </c>
      <c r="D2719" s="21" t="s">
        <v>6549</v>
      </c>
      <c r="E2719" s="21" t="s">
        <v>7902</v>
      </c>
      <c r="F2719" s="21" t="s">
        <v>7927</v>
      </c>
    </row>
    <row r="2720" customFormat="false" ht="15" hidden="false" customHeight="false" outlineLevel="0" collapsed="false">
      <c r="B2720" s="19" t="s">
        <v>10903</v>
      </c>
      <c r="C2720" s="20" t="n">
        <f aca="false">ROUND(5.85/FX,2)</f>
        <v>0.81</v>
      </c>
      <c r="D2720" s="21" t="s">
        <v>6549</v>
      </c>
      <c r="E2720" s="21" t="s">
        <v>7902</v>
      </c>
      <c r="F2720" s="21" t="s">
        <v>7827</v>
      </c>
    </row>
    <row r="2721" customFormat="false" ht="15" hidden="false" customHeight="false" outlineLevel="0" collapsed="false">
      <c r="B2721" s="19" t="s">
        <v>10904</v>
      </c>
      <c r="C2721" s="20" t="n">
        <f aca="false">ROUND(5.85/FX,2)</f>
        <v>0.81</v>
      </c>
      <c r="D2721" s="21" t="s">
        <v>6549</v>
      </c>
      <c r="E2721" s="21" t="s">
        <v>7902</v>
      </c>
      <c r="F2721" s="21" t="s">
        <v>7853</v>
      </c>
    </row>
    <row r="2722" customFormat="false" ht="15" hidden="false" customHeight="false" outlineLevel="0" collapsed="false">
      <c r="B2722" s="19" t="s">
        <v>10905</v>
      </c>
      <c r="C2722" s="20" t="n">
        <f aca="false">ROUND(5.85/FX,2)</f>
        <v>0.81</v>
      </c>
      <c r="D2722" s="21" t="s">
        <v>6549</v>
      </c>
      <c r="E2722" s="21" t="s">
        <v>7902</v>
      </c>
      <c r="F2722" s="21" t="s">
        <v>7869</v>
      </c>
    </row>
    <row r="2723" customFormat="false" ht="15" hidden="false" customHeight="false" outlineLevel="0" collapsed="false">
      <c r="B2723" s="19" t="s">
        <v>10906</v>
      </c>
      <c r="C2723" s="20" t="n">
        <f aca="false">ROUND(5.85/FX,2)</f>
        <v>0.81</v>
      </c>
      <c r="D2723" s="21" t="s">
        <v>6549</v>
      </c>
      <c r="E2723" s="21" t="s">
        <v>7902</v>
      </c>
      <c r="F2723" s="21" t="s">
        <v>7855</v>
      </c>
    </row>
    <row r="2724" customFormat="false" ht="15" hidden="false" customHeight="false" outlineLevel="0" collapsed="false">
      <c r="B2724" s="19" t="s">
        <v>10907</v>
      </c>
      <c r="C2724" s="20" t="n">
        <f aca="false">ROUND(5.85/FX,2)</f>
        <v>0.81</v>
      </c>
      <c r="D2724" s="21" t="s">
        <v>6549</v>
      </c>
      <c r="E2724" s="21" t="s">
        <v>7902</v>
      </c>
      <c r="F2724" s="21" t="s">
        <v>7933</v>
      </c>
    </row>
    <row r="2725" customFormat="false" ht="15" hidden="false" customHeight="false" outlineLevel="0" collapsed="false">
      <c r="B2725" s="19" t="s">
        <v>10908</v>
      </c>
      <c r="C2725" s="20" t="n">
        <f aca="false">ROUND(5.85/FX,2)</f>
        <v>0.81</v>
      </c>
      <c r="D2725" s="21" t="s">
        <v>6549</v>
      </c>
      <c r="E2725" s="21" t="s">
        <v>7902</v>
      </c>
      <c r="F2725" s="21" t="s">
        <v>7935</v>
      </c>
    </row>
    <row r="2726" customFormat="false" ht="15" hidden="false" customHeight="false" outlineLevel="0" collapsed="false">
      <c r="B2726" s="19" t="s">
        <v>10909</v>
      </c>
      <c r="C2726" s="20" t="n">
        <f aca="false">ROUND(5.85/FX,2)</f>
        <v>0.81</v>
      </c>
      <c r="D2726" s="21" t="s">
        <v>6549</v>
      </c>
      <c r="E2726" s="21" t="s">
        <v>7902</v>
      </c>
      <c r="F2726" s="21" t="s">
        <v>7881</v>
      </c>
    </row>
    <row r="2727" customFormat="false" ht="15" hidden="false" customHeight="false" outlineLevel="0" collapsed="false">
      <c r="B2727" s="19" t="s">
        <v>10910</v>
      </c>
      <c r="C2727" s="20" t="n">
        <f aca="false">ROUND(5.85/FX,2)</f>
        <v>0.81</v>
      </c>
      <c r="D2727" s="21" t="s">
        <v>6706</v>
      </c>
      <c r="E2727" s="21" t="s">
        <v>7902</v>
      </c>
      <c r="F2727" s="21" t="s">
        <v>7829</v>
      </c>
    </row>
    <row r="2728" customFormat="false" ht="15" hidden="false" customHeight="false" outlineLevel="0" collapsed="false">
      <c r="B2728" s="19" t="s">
        <v>10911</v>
      </c>
      <c r="C2728" s="20" t="n">
        <f aca="false">ROUND(5.85/FX,2)</f>
        <v>0.81</v>
      </c>
      <c r="D2728" s="21" t="s">
        <v>6706</v>
      </c>
      <c r="E2728" s="21" t="s">
        <v>7902</v>
      </c>
      <c r="F2728" s="21" t="s">
        <v>7831</v>
      </c>
    </row>
    <row r="2729" customFormat="false" ht="15" hidden="false" customHeight="false" outlineLevel="0" collapsed="false">
      <c r="B2729" s="19" t="s">
        <v>10912</v>
      </c>
      <c r="C2729" s="20" t="n">
        <f aca="false">ROUND(5.85/FX,2)</f>
        <v>0.81</v>
      </c>
      <c r="D2729" s="21" t="s">
        <v>6698</v>
      </c>
      <c r="E2729" s="21" t="s">
        <v>7902</v>
      </c>
      <c r="F2729" s="21" t="s">
        <v>7831</v>
      </c>
    </row>
    <row r="2730" customFormat="false" ht="15" hidden="false" customHeight="false" outlineLevel="0" collapsed="false">
      <c r="B2730" s="19" t="s">
        <v>10913</v>
      </c>
      <c r="C2730" s="20" t="n">
        <f aca="false">ROUND(5.85/FX,2)</f>
        <v>0.81</v>
      </c>
      <c r="D2730" s="21" t="s">
        <v>6549</v>
      </c>
      <c r="E2730" s="21" t="s">
        <v>7902</v>
      </c>
      <c r="F2730" s="21" t="s">
        <v>7944</v>
      </c>
    </row>
    <row r="2731" customFormat="false" ht="15" hidden="false" customHeight="false" outlineLevel="0" collapsed="false">
      <c r="B2731" s="19" t="s">
        <v>10914</v>
      </c>
      <c r="C2731" s="20" t="n">
        <f aca="false">ROUND(6.11/FX,2)</f>
        <v>0.85</v>
      </c>
      <c r="D2731" s="21" t="s">
        <v>724</v>
      </c>
      <c r="E2731" s="21" t="s">
        <v>7902</v>
      </c>
      <c r="F2731" s="21" t="s">
        <v>7833</v>
      </c>
    </row>
    <row r="2732" customFormat="false" ht="15" hidden="false" customHeight="false" outlineLevel="0" collapsed="false">
      <c r="B2732" s="19" t="s">
        <v>10915</v>
      </c>
      <c r="C2732" s="20" t="n">
        <f aca="false">ROUND(5.85/FX,2)</f>
        <v>0.81</v>
      </c>
      <c r="D2732" s="21" t="s">
        <v>6706</v>
      </c>
      <c r="E2732" s="21" t="s">
        <v>7902</v>
      </c>
      <c r="F2732" s="21" t="s">
        <v>7833</v>
      </c>
    </row>
    <row r="2733" customFormat="false" ht="15" hidden="false" customHeight="false" outlineLevel="0" collapsed="false">
      <c r="B2733" s="19" t="s">
        <v>10916</v>
      </c>
      <c r="C2733" s="20" t="n">
        <f aca="false">ROUND(5.85/FX,2)</f>
        <v>0.81</v>
      </c>
      <c r="D2733" s="21" t="s">
        <v>6549</v>
      </c>
      <c r="E2733" s="21" t="s">
        <v>7902</v>
      </c>
      <c r="F2733" s="21" t="s">
        <v>7951</v>
      </c>
    </row>
    <row r="2734" customFormat="false" ht="15" hidden="false" customHeight="false" outlineLevel="0" collapsed="false">
      <c r="B2734" s="19" t="s">
        <v>10917</v>
      </c>
      <c r="C2734" s="20" t="n">
        <f aca="false">ROUND(6.11/FX,2)</f>
        <v>0.85</v>
      </c>
      <c r="D2734" s="21" t="s">
        <v>724</v>
      </c>
      <c r="E2734" s="21" t="s">
        <v>7902</v>
      </c>
      <c r="F2734" s="21" t="s">
        <v>7891</v>
      </c>
    </row>
    <row r="2735" customFormat="false" ht="15" hidden="false" customHeight="false" outlineLevel="0" collapsed="false">
      <c r="B2735" s="19" t="s">
        <v>10918</v>
      </c>
      <c r="C2735" s="20" t="n">
        <f aca="false">ROUND(5.85/FX,2)</f>
        <v>0.81</v>
      </c>
      <c r="D2735" s="21" t="s">
        <v>6549</v>
      </c>
      <c r="E2735" s="21" t="s">
        <v>7902</v>
      </c>
      <c r="F2735" s="21" t="s">
        <v>7891</v>
      </c>
    </row>
    <row r="2736" customFormat="false" ht="15" hidden="false" customHeight="false" outlineLevel="0" collapsed="false">
      <c r="B2736" s="19" t="s">
        <v>10919</v>
      </c>
      <c r="C2736" s="20" t="n">
        <f aca="false">ROUND(5.85/FX,2)</f>
        <v>0.81</v>
      </c>
      <c r="D2736" s="21" t="s">
        <v>6549</v>
      </c>
      <c r="E2736" s="21" t="s">
        <v>7902</v>
      </c>
      <c r="F2736" s="21" t="s">
        <v>7860</v>
      </c>
    </row>
    <row r="2737" customFormat="false" ht="15" hidden="false" customHeight="false" outlineLevel="0" collapsed="false">
      <c r="B2737" s="19" t="s">
        <v>10920</v>
      </c>
      <c r="C2737" s="20" t="n">
        <f aca="false">ROUND(6.11/FX,2)</f>
        <v>0.85</v>
      </c>
      <c r="D2737" s="21" t="s">
        <v>724</v>
      </c>
      <c r="E2737" s="21" t="s">
        <v>7902</v>
      </c>
      <c r="F2737" s="21" t="s">
        <v>7893</v>
      </c>
    </row>
    <row r="2738" customFormat="false" ht="15" hidden="false" customHeight="false" outlineLevel="0" collapsed="false">
      <c r="B2738" s="19" t="s">
        <v>10921</v>
      </c>
      <c r="C2738" s="20" t="n">
        <f aca="false">ROUND(5.85/FX,2)</f>
        <v>0.81</v>
      </c>
      <c r="D2738" s="21" t="s">
        <v>6706</v>
      </c>
      <c r="E2738" s="21" t="s">
        <v>7902</v>
      </c>
      <c r="F2738" s="21" t="s">
        <v>7893</v>
      </c>
    </row>
    <row r="2739" customFormat="false" ht="15" hidden="false" customHeight="false" outlineLevel="0" collapsed="false">
      <c r="B2739" s="19" t="s">
        <v>10922</v>
      </c>
      <c r="C2739" s="20" t="n">
        <f aca="false">ROUND(5.85/FX,2)</f>
        <v>0.81</v>
      </c>
      <c r="D2739" s="21" t="s">
        <v>6698</v>
      </c>
      <c r="E2739" s="21" t="s">
        <v>7902</v>
      </c>
      <c r="F2739" s="21" t="s">
        <v>7893</v>
      </c>
    </row>
    <row r="2740" customFormat="false" ht="15" hidden="false" customHeight="false" outlineLevel="0" collapsed="false">
      <c r="B2740" s="19" t="s">
        <v>10923</v>
      </c>
      <c r="C2740" s="20" t="n">
        <f aca="false">ROUND(6.11/FX,2)</f>
        <v>0.85</v>
      </c>
      <c r="D2740" s="21" t="s">
        <v>724</v>
      </c>
      <c r="E2740" s="21" t="s">
        <v>7902</v>
      </c>
      <c r="F2740" s="21" t="s">
        <v>7895</v>
      </c>
    </row>
    <row r="2741" customFormat="false" ht="15" hidden="false" customHeight="false" outlineLevel="0" collapsed="false">
      <c r="B2741" s="19" t="s">
        <v>10924</v>
      </c>
      <c r="C2741" s="20" t="n">
        <f aca="false">ROUND(5.85/FX,2)</f>
        <v>0.81</v>
      </c>
      <c r="D2741" s="21" t="s">
        <v>6549</v>
      </c>
      <c r="E2741" s="21" t="s">
        <v>7902</v>
      </c>
      <c r="F2741" s="21" t="s">
        <v>7895</v>
      </c>
    </row>
    <row r="2742" customFormat="false" ht="15" hidden="false" customHeight="false" outlineLevel="0" collapsed="false">
      <c r="B2742" s="19" t="s">
        <v>10925</v>
      </c>
      <c r="C2742" s="20" t="n">
        <f aca="false">ROUND(5.85/FX,2)</f>
        <v>0.81</v>
      </c>
      <c r="D2742" s="21" t="s">
        <v>6549</v>
      </c>
      <c r="E2742" s="21" t="s">
        <v>7902</v>
      </c>
      <c r="F2742" s="21" t="s">
        <v>7862</v>
      </c>
    </row>
    <row r="2743" customFormat="false" ht="15" hidden="false" customHeight="false" outlineLevel="0" collapsed="false">
      <c r="B2743" s="19" t="s">
        <v>10926</v>
      </c>
      <c r="C2743" s="20" t="n">
        <f aca="false">ROUND(5.85/FX,2)</f>
        <v>0.81</v>
      </c>
      <c r="D2743" s="21" t="s">
        <v>6549</v>
      </c>
      <c r="E2743" s="21" t="s">
        <v>7902</v>
      </c>
      <c r="F2743" s="21" t="s">
        <v>7864</v>
      </c>
    </row>
    <row r="2744" customFormat="false" ht="15" hidden="false" customHeight="false" outlineLevel="0" collapsed="false">
      <c r="B2744" s="19" t="s">
        <v>10927</v>
      </c>
      <c r="C2744" s="20" t="n">
        <f aca="false">ROUND(5.85/FX,2)</f>
        <v>0.81</v>
      </c>
      <c r="D2744" s="21" t="s">
        <v>6698</v>
      </c>
      <c r="E2744" s="21" t="s">
        <v>7902</v>
      </c>
      <c r="F2744" s="21" t="s">
        <v>7961</v>
      </c>
    </row>
    <row r="2745" customFormat="false" ht="15" hidden="false" customHeight="false" outlineLevel="0" collapsed="false">
      <c r="B2745" s="19" t="s">
        <v>10928</v>
      </c>
      <c r="C2745" s="20" t="n">
        <f aca="false">ROUND(6.11/FX,2)</f>
        <v>0.85</v>
      </c>
      <c r="D2745" s="21" t="s">
        <v>724</v>
      </c>
      <c r="E2745" s="21" t="s">
        <v>7902</v>
      </c>
      <c r="F2745" s="21" t="s">
        <v>7872</v>
      </c>
    </row>
    <row r="2746" customFormat="false" ht="15" hidden="false" customHeight="false" outlineLevel="0" collapsed="false">
      <c r="B2746" s="19" t="s">
        <v>10929</v>
      </c>
      <c r="C2746" s="20" t="n">
        <f aca="false">ROUND(5.85/FX,2)</f>
        <v>0.81</v>
      </c>
      <c r="D2746" s="21" t="s">
        <v>6549</v>
      </c>
      <c r="E2746" s="21" t="s">
        <v>7902</v>
      </c>
      <c r="F2746" s="21" t="s">
        <v>7872</v>
      </c>
    </row>
    <row r="2747" customFormat="false" ht="15" hidden="false" customHeight="false" outlineLevel="0" collapsed="false">
      <c r="B2747" s="19" t="s">
        <v>10930</v>
      </c>
      <c r="C2747" s="20" t="n">
        <f aca="false">ROUND(5.85/FX,2)</f>
        <v>0.81</v>
      </c>
      <c r="D2747" s="21" t="s">
        <v>6549</v>
      </c>
      <c r="E2747" s="21" t="s">
        <v>7902</v>
      </c>
      <c r="F2747" s="21" t="s">
        <v>7964</v>
      </c>
    </row>
    <row r="2748" customFormat="false" ht="15" hidden="false" customHeight="false" outlineLevel="0" collapsed="false">
      <c r="B2748" s="19" t="s">
        <v>10931</v>
      </c>
      <c r="C2748" s="20" t="n">
        <f aca="false">ROUND(5.85/FX,2)</f>
        <v>0.81</v>
      </c>
      <c r="D2748" s="21" t="s">
        <v>6549</v>
      </c>
      <c r="E2748" s="21" t="s">
        <v>7902</v>
      </c>
      <c r="F2748" s="21" t="s">
        <v>7966</v>
      </c>
    </row>
    <row r="2749" customFormat="false" ht="15" hidden="false" customHeight="false" outlineLevel="0" collapsed="false">
      <c r="B2749" s="19" t="s">
        <v>10932</v>
      </c>
      <c r="C2749" s="20" t="n">
        <f aca="false">ROUND(5.85/FX,2)</f>
        <v>0.81</v>
      </c>
      <c r="D2749" s="21" t="s">
        <v>6549</v>
      </c>
      <c r="E2749" s="21" t="s">
        <v>7902</v>
      </c>
      <c r="F2749" s="21" t="s">
        <v>8379</v>
      </c>
    </row>
    <row r="2750" customFormat="false" ht="15" hidden="false" customHeight="false" outlineLevel="0" collapsed="false">
      <c r="B2750" s="19" t="s">
        <v>10933</v>
      </c>
      <c r="C2750" s="20" t="n">
        <f aca="false">ROUND(6.11/FX,2)</f>
        <v>0.85</v>
      </c>
      <c r="D2750" s="21" t="s">
        <v>724</v>
      </c>
      <c r="E2750" s="21" t="s">
        <v>7902</v>
      </c>
      <c r="F2750" s="21" t="s">
        <v>7899</v>
      </c>
    </row>
    <row r="2751" customFormat="false" ht="15" hidden="false" customHeight="false" outlineLevel="0" collapsed="false">
      <c r="B2751" s="19" t="s">
        <v>10934</v>
      </c>
      <c r="C2751" s="20" t="n">
        <f aca="false">ROUND(5.85/FX,2)</f>
        <v>0.81</v>
      </c>
      <c r="D2751" s="21" t="s">
        <v>6706</v>
      </c>
      <c r="E2751" s="21" t="s">
        <v>7902</v>
      </c>
      <c r="F2751" s="21" t="s">
        <v>7899</v>
      </c>
    </row>
    <row r="2752" customFormat="false" ht="15" hidden="false" customHeight="false" outlineLevel="0" collapsed="false">
      <c r="B2752" s="19" t="s">
        <v>10935</v>
      </c>
      <c r="C2752" s="20" t="n">
        <f aca="false">ROUND(5.85/FX,2)</f>
        <v>0.81</v>
      </c>
      <c r="D2752" s="21" t="s">
        <v>6698</v>
      </c>
      <c r="E2752" s="21" t="s">
        <v>7902</v>
      </c>
      <c r="F2752" s="21" t="s">
        <v>7899</v>
      </c>
    </row>
    <row r="2753" customFormat="false" ht="15" hidden="false" customHeight="false" outlineLevel="0" collapsed="false">
      <c r="B2753" s="19" t="s">
        <v>10936</v>
      </c>
      <c r="C2753" s="20" t="n">
        <f aca="false">ROUND(6.11/FX,2)</f>
        <v>0.85</v>
      </c>
      <c r="D2753" s="21" t="s">
        <v>724</v>
      </c>
      <c r="E2753" s="21" t="s">
        <v>7902</v>
      </c>
      <c r="F2753" s="21" t="s">
        <v>7866</v>
      </c>
    </row>
    <row r="2754" customFormat="false" ht="15" hidden="false" customHeight="false" outlineLevel="0" collapsed="false">
      <c r="B2754" s="19" t="s">
        <v>10937</v>
      </c>
      <c r="C2754" s="20" t="n">
        <f aca="false">ROUND(5.85/FX,2)</f>
        <v>0.81</v>
      </c>
      <c r="D2754" s="21" t="s">
        <v>6549</v>
      </c>
      <c r="E2754" s="21" t="s">
        <v>7902</v>
      </c>
      <c r="F2754" s="21" t="s">
        <v>7866</v>
      </c>
    </row>
    <row r="2755" customFormat="false" ht="15" hidden="false" customHeight="false" outlineLevel="0" collapsed="false">
      <c r="B2755" s="19" t="s">
        <v>10938</v>
      </c>
      <c r="C2755" s="20" t="n">
        <f aca="false">ROUND(5.85/FX,2)</f>
        <v>0.81</v>
      </c>
      <c r="D2755" s="21" t="s">
        <v>6549</v>
      </c>
      <c r="E2755" s="21" t="s">
        <v>7902</v>
      </c>
      <c r="F2755" s="21" t="s">
        <v>8117</v>
      </c>
    </row>
    <row r="2756" customFormat="false" ht="15" hidden="false" customHeight="false" outlineLevel="0" collapsed="false">
      <c r="B2756" s="19" t="s">
        <v>10939</v>
      </c>
      <c r="C2756" s="20" t="n">
        <f aca="false">ROUND(5.85/FX,2)</f>
        <v>0.81</v>
      </c>
      <c r="D2756" s="21" t="s">
        <v>6549</v>
      </c>
      <c r="E2756" s="21" t="s">
        <v>7902</v>
      </c>
      <c r="F2756" s="21" t="s">
        <v>8681</v>
      </c>
    </row>
    <row r="2757" customFormat="false" ht="15" hidden="false" customHeight="false" outlineLevel="0" collapsed="false">
      <c r="B2757" s="19" t="s">
        <v>10940</v>
      </c>
      <c r="C2757" s="20" t="n">
        <f aca="false">ROUND(7.15/FX,2)</f>
        <v>0.99</v>
      </c>
      <c r="D2757" s="21" t="s">
        <v>6549</v>
      </c>
      <c r="E2757" s="21" t="s">
        <v>7997</v>
      </c>
      <c r="F2757" s="21" t="s">
        <v>7875</v>
      </c>
    </row>
    <row r="2758" customFormat="false" ht="15" hidden="false" customHeight="false" outlineLevel="0" collapsed="false">
      <c r="B2758" s="19" t="s">
        <v>10941</v>
      </c>
      <c r="C2758" s="20" t="n">
        <f aca="false">ROUND(7.15/FX,2)</f>
        <v>0.99</v>
      </c>
      <c r="D2758" s="21" t="s">
        <v>6549</v>
      </c>
      <c r="E2758" s="21" t="s">
        <v>7997</v>
      </c>
      <c r="F2758" s="21" t="s">
        <v>8580</v>
      </c>
    </row>
    <row r="2759" customFormat="false" ht="15" hidden="false" customHeight="false" outlineLevel="0" collapsed="false">
      <c r="B2759" s="19" t="s">
        <v>10942</v>
      </c>
      <c r="C2759" s="20" t="n">
        <f aca="false">ROUND(7.15/FX,2)</f>
        <v>0.99</v>
      </c>
      <c r="D2759" s="21" t="s">
        <v>6549</v>
      </c>
      <c r="E2759" s="21" t="s">
        <v>7997</v>
      </c>
      <c r="F2759" s="21" t="s">
        <v>7999</v>
      </c>
    </row>
    <row r="2760" customFormat="false" ht="15" hidden="false" customHeight="false" outlineLevel="0" collapsed="false">
      <c r="B2760" s="19" t="s">
        <v>10943</v>
      </c>
      <c r="C2760" s="20" t="n">
        <f aca="false">ROUND(7.15/FX,2)</f>
        <v>0.99</v>
      </c>
      <c r="D2760" s="21" t="s">
        <v>6549</v>
      </c>
      <c r="E2760" s="21" t="s">
        <v>7997</v>
      </c>
      <c r="F2760" s="21" t="s">
        <v>8062</v>
      </c>
    </row>
    <row r="2761" customFormat="false" ht="15" hidden="false" customHeight="false" outlineLevel="0" collapsed="false">
      <c r="B2761" s="19" t="s">
        <v>10944</v>
      </c>
      <c r="C2761" s="20" t="n">
        <f aca="false">ROUND(7.15/FX,2)</f>
        <v>0.99</v>
      </c>
      <c r="D2761" s="21" t="s">
        <v>6549</v>
      </c>
      <c r="E2761" s="21" t="s">
        <v>7997</v>
      </c>
      <c r="F2761" s="21" t="s">
        <v>7985</v>
      </c>
    </row>
    <row r="2762" customFormat="false" ht="15" hidden="false" customHeight="false" outlineLevel="0" collapsed="false">
      <c r="B2762" s="19" t="s">
        <v>10945</v>
      </c>
      <c r="C2762" s="20" t="n">
        <f aca="false">ROUND(7.15/FX,2)</f>
        <v>0.99</v>
      </c>
      <c r="D2762" s="21" t="s">
        <v>6549</v>
      </c>
      <c r="E2762" s="21" t="s">
        <v>7997</v>
      </c>
      <c r="F2762" s="21" t="s">
        <v>8610</v>
      </c>
    </row>
    <row r="2763" customFormat="false" ht="15" hidden="false" customHeight="false" outlineLevel="0" collapsed="false">
      <c r="B2763" s="19" t="s">
        <v>10946</v>
      </c>
      <c r="C2763" s="20" t="n">
        <f aca="false">ROUND(7.15/FX,2)</f>
        <v>0.99</v>
      </c>
      <c r="D2763" s="21" t="s">
        <v>6549</v>
      </c>
      <c r="E2763" s="21" t="s">
        <v>7997</v>
      </c>
      <c r="F2763" s="21" t="s">
        <v>7827</v>
      </c>
    </row>
    <row r="2764" customFormat="false" ht="15" hidden="false" customHeight="false" outlineLevel="0" collapsed="false">
      <c r="B2764" s="19" t="s">
        <v>10947</v>
      </c>
      <c r="C2764" s="20" t="n">
        <f aca="false">ROUND(7.15/FX,2)</f>
        <v>0.99</v>
      </c>
      <c r="D2764" s="21" t="s">
        <v>6549</v>
      </c>
      <c r="E2764" s="21" t="s">
        <v>7997</v>
      </c>
      <c r="F2764" s="21" t="s">
        <v>7853</v>
      </c>
    </row>
    <row r="2765" customFormat="false" ht="15" hidden="false" customHeight="false" outlineLevel="0" collapsed="false">
      <c r="B2765" s="19" t="s">
        <v>10948</v>
      </c>
      <c r="C2765" s="20" t="n">
        <f aca="false">ROUND(7.15/FX,2)</f>
        <v>0.99</v>
      </c>
      <c r="D2765" s="21" t="s">
        <v>6549</v>
      </c>
      <c r="E2765" s="21" t="s">
        <v>7997</v>
      </c>
      <c r="F2765" s="21" t="s">
        <v>7933</v>
      </c>
    </row>
    <row r="2766" customFormat="false" ht="15" hidden="false" customHeight="false" outlineLevel="0" collapsed="false">
      <c r="B2766" s="19" t="s">
        <v>10949</v>
      </c>
      <c r="C2766" s="20" t="n">
        <f aca="false">ROUND(7.15/FX,2)</f>
        <v>0.99</v>
      </c>
      <c r="D2766" s="21" t="s">
        <v>6549</v>
      </c>
      <c r="E2766" s="21" t="s">
        <v>7997</v>
      </c>
      <c r="F2766" s="21" t="s">
        <v>7881</v>
      </c>
    </row>
    <row r="2767" customFormat="false" ht="15" hidden="false" customHeight="false" outlineLevel="0" collapsed="false">
      <c r="B2767" s="19" t="s">
        <v>10950</v>
      </c>
      <c r="C2767" s="20" t="n">
        <f aca="false">ROUND(7.15/FX,2)</f>
        <v>0.99</v>
      </c>
      <c r="D2767" s="21" t="s">
        <v>6549</v>
      </c>
      <c r="E2767" s="21" t="s">
        <v>7997</v>
      </c>
      <c r="F2767" s="21" t="s">
        <v>7989</v>
      </c>
    </row>
    <row r="2768" customFormat="false" ht="15" hidden="false" customHeight="false" outlineLevel="0" collapsed="false">
      <c r="B2768" s="19" t="s">
        <v>10951</v>
      </c>
      <c r="C2768" s="20" t="n">
        <f aca="false">ROUND(7.15/FX,2)</f>
        <v>0.99</v>
      </c>
      <c r="D2768" s="21" t="s">
        <v>6549</v>
      </c>
      <c r="E2768" s="21" t="s">
        <v>7997</v>
      </c>
      <c r="F2768" s="21" t="s">
        <v>7829</v>
      </c>
    </row>
    <row r="2769" customFormat="false" ht="15" hidden="false" customHeight="false" outlineLevel="0" collapsed="false">
      <c r="B2769" s="19" t="s">
        <v>10952</v>
      </c>
      <c r="C2769" s="20" t="n">
        <f aca="false">ROUND(7.15/FX,2)</f>
        <v>0.99</v>
      </c>
      <c r="D2769" s="21" t="s">
        <v>6549</v>
      </c>
      <c r="E2769" s="21" t="s">
        <v>7997</v>
      </c>
      <c r="F2769" s="21" t="s">
        <v>7831</v>
      </c>
    </row>
    <row r="2770" customFormat="false" ht="15" hidden="false" customHeight="false" outlineLevel="0" collapsed="false">
      <c r="B2770" s="19" t="s">
        <v>10953</v>
      </c>
      <c r="C2770" s="20" t="n">
        <f aca="false">ROUND(7.15/FX,2)</f>
        <v>0.99</v>
      </c>
      <c r="D2770" s="21" t="s">
        <v>6549</v>
      </c>
      <c r="E2770" s="21" t="s">
        <v>7997</v>
      </c>
      <c r="F2770" s="21" t="s">
        <v>7944</v>
      </c>
    </row>
    <row r="2771" customFormat="false" ht="15" hidden="false" customHeight="false" outlineLevel="0" collapsed="false">
      <c r="B2771" s="19" t="s">
        <v>10954</v>
      </c>
      <c r="C2771" s="20" t="n">
        <f aca="false">ROUND(7.15/FX,2)</f>
        <v>0.99</v>
      </c>
      <c r="D2771" s="21" t="s">
        <v>6549</v>
      </c>
      <c r="E2771" s="21" t="s">
        <v>7997</v>
      </c>
      <c r="F2771" s="21" t="s">
        <v>7833</v>
      </c>
    </row>
    <row r="2772" customFormat="false" ht="15" hidden="false" customHeight="false" outlineLevel="0" collapsed="false">
      <c r="B2772" s="19" t="s">
        <v>10955</v>
      </c>
      <c r="C2772" s="20" t="n">
        <f aca="false">ROUND(7.15/FX,2)</f>
        <v>0.99</v>
      </c>
      <c r="D2772" s="21" t="s">
        <v>6549</v>
      </c>
      <c r="E2772" s="21" t="s">
        <v>7997</v>
      </c>
      <c r="F2772" s="21" t="s">
        <v>8294</v>
      </c>
    </row>
    <row r="2773" customFormat="false" ht="15" hidden="false" customHeight="false" outlineLevel="0" collapsed="false">
      <c r="B2773" s="19" t="s">
        <v>10956</v>
      </c>
      <c r="C2773" s="20" t="n">
        <f aca="false">ROUND(7.15/FX,2)</f>
        <v>0.99</v>
      </c>
      <c r="D2773" s="21" t="s">
        <v>6549</v>
      </c>
      <c r="E2773" s="21" t="s">
        <v>7997</v>
      </c>
      <c r="F2773" s="21" t="s">
        <v>7891</v>
      </c>
    </row>
    <row r="2774" customFormat="false" ht="15" hidden="false" customHeight="false" outlineLevel="0" collapsed="false">
      <c r="B2774" s="19" t="s">
        <v>10957</v>
      </c>
      <c r="C2774" s="20" t="n">
        <f aca="false">ROUND(7.15/FX,2)</f>
        <v>0.99</v>
      </c>
      <c r="D2774" s="21" t="s">
        <v>6549</v>
      </c>
      <c r="E2774" s="21" t="s">
        <v>7997</v>
      </c>
      <c r="F2774" s="21" t="s">
        <v>8636</v>
      </c>
    </row>
    <row r="2775" customFormat="false" ht="15" hidden="false" customHeight="false" outlineLevel="0" collapsed="false">
      <c r="B2775" s="19" t="s">
        <v>10958</v>
      </c>
      <c r="C2775" s="20" t="n">
        <f aca="false">ROUND(7.15/FX,2)</f>
        <v>0.99</v>
      </c>
      <c r="D2775" s="21" t="s">
        <v>6549</v>
      </c>
      <c r="E2775" s="21" t="s">
        <v>7997</v>
      </c>
      <c r="F2775" s="21" t="s">
        <v>7992</v>
      </c>
    </row>
    <row r="2776" customFormat="false" ht="15" hidden="false" customHeight="false" outlineLevel="0" collapsed="false">
      <c r="B2776" s="19" t="s">
        <v>10959</v>
      </c>
      <c r="C2776" s="20" t="n">
        <f aca="false">ROUND(7.15/FX,2)</f>
        <v>0.99</v>
      </c>
      <c r="D2776" s="21" t="s">
        <v>6549</v>
      </c>
      <c r="E2776" s="21" t="s">
        <v>7997</v>
      </c>
      <c r="F2776" s="21" t="s">
        <v>7860</v>
      </c>
    </row>
    <row r="2777" customFormat="false" ht="15" hidden="false" customHeight="false" outlineLevel="0" collapsed="false">
      <c r="B2777" s="19" t="s">
        <v>10960</v>
      </c>
      <c r="C2777" s="20" t="n">
        <f aca="false">ROUND(7.15/FX,2)</f>
        <v>0.99</v>
      </c>
      <c r="D2777" s="21" t="s">
        <v>6549</v>
      </c>
      <c r="E2777" s="21" t="s">
        <v>7997</v>
      </c>
      <c r="F2777" s="21" t="s">
        <v>7893</v>
      </c>
    </row>
    <row r="2778" customFormat="false" ht="15" hidden="false" customHeight="false" outlineLevel="0" collapsed="false">
      <c r="B2778" s="19" t="s">
        <v>10961</v>
      </c>
      <c r="C2778" s="20" t="n">
        <f aca="false">ROUND(7.15/FX,2)</f>
        <v>0.99</v>
      </c>
      <c r="D2778" s="21" t="s">
        <v>6549</v>
      </c>
      <c r="E2778" s="21" t="s">
        <v>7997</v>
      </c>
      <c r="F2778" s="21" t="s">
        <v>8320</v>
      </c>
    </row>
    <row r="2779" customFormat="false" ht="15" hidden="false" customHeight="false" outlineLevel="0" collapsed="false">
      <c r="B2779" s="19" t="s">
        <v>10962</v>
      </c>
      <c r="C2779" s="20" t="n">
        <f aca="false">ROUND(7.15/FX,2)</f>
        <v>0.99</v>
      </c>
      <c r="D2779" s="21" t="s">
        <v>6549</v>
      </c>
      <c r="E2779" s="21" t="s">
        <v>7997</v>
      </c>
      <c r="F2779" s="21" t="s">
        <v>10634</v>
      </c>
    </row>
    <row r="2780" customFormat="false" ht="15" hidden="false" customHeight="false" outlineLevel="0" collapsed="false">
      <c r="B2780" s="19" t="s">
        <v>10963</v>
      </c>
      <c r="C2780" s="20" t="n">
        <f aca="false">ROUND(7.15/FX,2)</f>
        <v>0.99</v>
      </c>
      <c r="D2780" s="21" t="s">
        <v>6549</v>
      </c>
      <c r="E2780" s="21" t="s">
        <v>7997</v>
      </c>
      <c r="F2780" s="21" t="s">
        <v>7895</v>
      </c>
    </row>
    <row r="2781" customFormat="false" ht="15" hidden="false" customHeight="false" outlineLevel="0" collapsed="false">
      <c r="B2781" s="19" t="s">
        <v>10964</v>
      </c>
      <c r="C2781" s="20" t="n">
        <f aca="false">ROUND(7.15/FX,2)</f>
        <v>0.99</v>
      </c>
      <c r="D2781" s="21" t="s">
        <v>6549</v>
      </c>
      <c r="E2781" s="21" t="s">
        <v>7997</v>
      </c>
      <c r="F2781" s="21" t="s">
        <v>8035</v>
      </c>
    </row>
    <row r="2782" customFormat="false" ht="15" hidden="false" customHeight="false" outlineLevel="0" collapsed="false">
      <c r="B2782" s="19" t="s">
        <v>10965</v>
      </c>
      <c r="C2782" s="20" t="n">
        <f aca="false">ROUND(7.15/FX,2)</f>
        <v>0.99</v>
      </c>
      <c r="D2782" s="21" t="s">
        <v>6549</v>
      </c>
      <c r="E2782" s="21" t="s">
        <v>7997</v>
      </c>
      <c r="F2782" s="21" t="s">
        <v>7862</v>
      </c>
    </row>
    <row r="2783" customFormat="false" ht="15" hidden="false" customHeight="false" outlineLevel="0" collapsed="false">
      <c r="B2783" s="19" t="s">
        <v>10966</v>
      </c>
      <c r="C2783" s="20" t="n">
        <f aca="false">ROUND(7.15/FX,2)</f>
        <v>0.99</v>
      </c>
      <c r="D2783" s="21" t="s">
        <v>6549</v>
      </c>
      <c r="E2783" s="21" t="s">
        <v>7997</v>
      </c>
      <c r="F2783" s="21" t="s">
        <v>7864</v>
      </c>
    </row>
    <row r="2784" customFormat="false" ht="15" hidden="false" customHeight="false" outlineLevel="0" collapsed="false">
      <c r="B2784" s="19" t="s">
        <v>10967</v>
      </c>
      <c r="C2784" s="20" t="n">
        <f aca="false">ROUND(7.15/FX,2)</f>
        <v>0.99</v>
      </c>
      <c r="D2784" s="21" t="s">
        <v>6549</v>
      </c>
      <c r="E2784" s="21" t="s">
        <v>7997</v>
      </c>
      <c r="F2784" s="21" t="s">
        <v>7961</v>
      </c>
    </row>
    <row r="2785" customFormat="false" ht="15" hidden="false" customHeight="false" outlineLevel="0" collapsed="false">
      <c r="B2785" s="19" t="s">
        <v>10968</v>
      </c>
      <c r="C2785" s="20" t="n">
        <f aca="false">ROUND(7.15/FX,2)</f>
        <v>0.99</v>
      </c>
      <c r="D2785" s="21" t="s">
        <v>6549</v>
      </c>
      <c r="E2785" s="21" t="s">
        <v>7997</v>
      </c>
      <c r="F2785" s="21" t="s">
        <v>7872</v>
      </c>
    </row>
    <row r="2786" customFormat="false" ht="15" hidden="false" customHeight="false" outlineLevel="0" collapsed="false">
      <c r="B2786" s="19" t="s">
        <v>10969</v>
      </c>
      <c r="C2786" s="20" t="n">
        <f aca="false">ROUND(7.15/FX,2)</f>
        <v>0.99</v>
      </c>
      <c r="D2786" s="21" t="s">
        <v>6549</v>
      </c>
      <c r="E2786" s="21" t="s">
        <v>7997</v>
      </c>
      <c r="F2786" s="21" t="s">
        <v>7968</v>
      </c>
    </row>
    <row r="2787" customFormat="false" ht="15" hidden="false" customHeight="false" outlineLevel="0" collapsed="false">
      <c r="B2787" s="19" t="s">
        <v>10970</v>
      </c>
      <c r="C2787" s="20" t="n">
        <f aca="false">ROUND(7.15/FX,2)</f>
        <v>0.99</v>
      </c>
      <c r="D2787" s="21" t="s">
        <v>6549</v>
      </c>
      <c r="E2787" s="21" t="s">
        <v>7997</v>
      </c>
      <c r="F2787" s="21" t="s">
        <v>7899</v>
      </c>
    </row>
    <row r="2788" customFormat="false" ht="15" hidden="false" customHeight="false" outlineLevel="0" collapsed="false">
      <c r="B2788" s="19" t="s">
        <v>10971</v>
      </c>
      <c r="C2788" s="20" t="n">
        <f aca="false">ROUND(7.15/FX,2)</f>
        <v>0.99</v>
      </c>
      <c r="D2788" s="21" t="s">
        <v>6549</v>
      </c>
      <c r="E2788" s="21" t="s">
        <v>7997</v>
      </c>
      <c r="F2788" s="21" t="s">
        <v>7994</v>
      </c>
    </row>
    <row r="2789" customFormat="false" ht="15" hidden="false" customHeight="false" outlineLevel="0" collapsed="false">
      <c r="B2789" s="19" t="s">
        <v>10972</v>
      </c>
      <c r="C2789" s="20" t="n">
        <f aca="false">ROUND(7.15/FX,2)</f>
        <v>0.99</v>
      </c>
      <c r="D2789" s="21" t="s">
        <v>6549</v>
      </c>
      <c r="E2789" s="21" t="s">
        <v>7997</v>
      </c>
      <c r="F2789" s="21" t="s">
        <v>7866</v>
      </c>
    </row>
    <row r="2790" customFormat="false" ht="15" hidden="false" customHeight="false" outlineLevel="0" collapsed="false">
      <c r="B2790" s="19" t="s">
        <v>10973</v>
      </c>
      <c r="C2790" s="20" t="n">
        <f aca="false">ROUND(7.15/FX,2)</f>
        <v>0.99</v>
      </c>
      <c r="D2790" s="21" t="s">
        <v>6549</v>
      </c>
      <c r="E2790" s="21" t="s">
        <v>7997</v>
      </c>
      <c r="F2790" s="21" t="s">
        <v>8679</v>
      </c>
    </row>
    <row r="2791" customFormat="false" ht="15" hidden="false" customHeight="false" outlineLevel="0" collapsed="false">
      <c r="B2791" s="19" t="s">
        <v>10974</v>
      </c>
      <c r="C2791" s="20" t="n">
        <f aca="false">ROUND(7.15/FX,2)</f>
        <v>0.99</v>
      </c>
      <c r="D2791" s="21" t="s">
        <v>6549</v>
      </c>
      <c r="E2791" s="21" t="s">
        <v>7997</v>
      </c>
      <c r="F2791" s="21" t="s">
        <v>10677</v>
      </c>
    </row>
    <row r="2792" customFormat="false" ht="15" hidden="false" customHeight="false" outlineLevel="0" collapsed="false">
      <c r="B2792" s="19" t="s">
        <v>10975</v>
      </c>
      <c r="C2792" s="20" t="n">
        <f aca="false">ROUND(7.15/FX,2)</f>
        <v>0.99</v>
      </c>
      <c r="D2792" s="21" t="s">
        <v>6549</v>
      </c>
      <c r="E2792" s="21" t="s">
        <v>7997</v>
      </c>
      <c r="F2792" s="21" t="s">
        <v>8020</v>
      </c>
    </row>
    <row r="2793" customFormat="false" ht="15" hidden="false" customHeight="false" outlineLevel="0" collapsed="false">
      <c r="B2793" s="19" t="s">
        <v>10976</v>
      </c>
      <c r="C2793" s="20" t="n">
        <f aca="false">ROUND(7.15/FX,2)</f>
        <v>0.99</v>
      </c>
      <c r="D2793" s="21" t="s">
        <v>6549</v>
      </c>
      <c r="E2793" s="21" t="s">
        <v>7997</v>
      </c>
      <c r="F2793" s="21" t="s">
        <v>10682</v>
      </c>
    </row>
    <row r="2794" customFormat="false" ht="15" hidden="false" customHeight="false" outlineLevel="0" collapsed="false">
      <c r="B2794" s="19" t="s">
        <v>10977</v>
      </c>
      <c r="C2794" s="20" t="n">
        <f aca="false">ROUND(7.15/FX,2)</f>
        <v>0.99</v>
      </c>
      <c r="D2794" s="21" t="s">
        <v>6549</v>
      </c>
      <c r="E2794" s="21" t="s">
        <v>7997</v>
      </c>
      <c r="F2794" s="21" t="s">
        <v>8401</v>
      </c>
    </row>
    <row r="2795" customFormat="false" ht="15" hidden="false" customHeight="false" outlineLevel="0" collapsed="false">
      <c r="B2795" s="19" t="s">
        <v>10978</v>
      </c>
      <c r="C2795" s="20" t="n">
        <f aca="false">ROUND(7.15/FX,2)</f>
        <v>0.99</v>
      </c>
      <c r="D2795" s="21" t="s">
        <v>6549</v>
      </c>
      <c r="E2795" s="21" t="s">
        <v>7997</v>
      </c>
      <c r="F2795" s="21" t="s">
        <v>8409</v>
      </c>
    </row>
    <row r="2796" customFormat="false" ht="15" hidden="false" customHeight="false" outlineLevel="0" collapsed="false">
      <c r="B2796" s="19" t="s">
        <v>10979</v>
      </c>
      <c r="C2796" s="20" t="n">
        <f aca="false">ROUND(13/FX,2)</f>
        <v>1.81</v>
      </c>
      <c r="D2796" s="21" t="s">
        <v>6549</v>
      </c>
      <c r="E2796" s="21" t="s">
        <v>8044</v>
      </c>
      <c r="F2796" s="21" t="s">
        <v>8060</v>
      </c>
    </row>
    <row r="2797" customFormat="false" ht="15" hidden="false" customHeight="false" outlineLevel="0" collapsed="false">
      <c r="B2797" s="19" t="s">
        <v>10980</v>
      </c>
      <c r="C2797" s="20" t="n">
        <f aca="false">ROUND(13/FX,2)</f>
        <v>1.81</v>
      </c>
      <c r="D2797" s="21" t="s">
        <v>6549</v>
      </c>
      <c r="E2797" s="21" t="s">
        <v>8044</v>
      </c>
      <c r="F2797" s="21" t="s">
        <v>7833</v>
      </c>
    </row>
    <row r="2798" customFormat="false" ht="15" hidden="false" customHeight="false" outlineLevel="0" collapsed="false">
      <c r="B2798" s="19" t="s">
        <v>10981</v>
      </c>
      <c r="C2798" s="20" t="n">
        <f aca="false">ROUND(13/FX,2)</f>
        <v>1.81</v>
      </c>
      <c r="D2798" s="21" t="s">
        <v>6549</v>
      </c>
      <c r="E2798" s="21" t="s">
        <v>8044</v>
      </c>
      <c r="F2798" s="21" t="s">
        <v>7891</v>
      </c>
    </row>
    <row r="2799" customFormat="false" ht="15" hidden="false" customHeight="false" outlineLevel="0" collapsed="false">
      <c r="B2799" s="19" t="s">
        <v>10982</v>
      </c>
      <c r="C2799" s="20" t="n">
        <f aca="false">ROUND(13/FX,2)</f>
        <v>1.81</v>
      </c>
      <c r="D2799" s="21" t="s">
        <v>6549</v>
      </c>
      <c r="E2799" s="21" t="s">
        <v>8044</v>
      </c>
      <c r="F2799" s="21" t="s">
        <v>8761</v>
      </c>
    </row>
    <row r="2800" customFormat="false" ht="15" hidden="false" customHeight="false" outlineLevel="0" collapsed="false">
      <c r="B2800" s="19" t="s">
        <v>10983</v>
      </c>
      <c r="C2800" s="20" t="n">
        <f aca="false">ROUND(13/FX,2)</f>
        <v>1.81</v>
      </c>
      <c r="D2800" s="21" t="s">
        <v>6549</v>
      </c>
      <c r="E2800" s="21" t="s">
        <v>8044</v>
      </c>
      <c r="F2800" s="21" t="s">
        <v>8763</v>
      </c>
    </row>
    <row r="2801" customFormat="false" ht="15" hidden="false" customHeight="false" outlineLevel="0" collapsed="false">
      <c r="B2801" s="19" t="s">
        <v>10984</v>
      </c>
      <c r="C2801" s="20" t="n">
        <f aca="false">ROUND(13/FX,2)</f>
        <v>1.81</v>
      </c>
      <c r="D2801" s="21" t="s">
        <v>6549</v>
      </c>
      <c r="E2801" s="21" t="s">
        <v>8044</v>
      </c>
      <c r="F2801" s="21" t="s">
        <v>7866</v>
      </c>
    </row>
    <row r="2802" customFormat="false" ht="15" hidden="false" customHeight="false" outlineLevel="0" collapsed="false">
      <c r="B2802" s="19" t="s">
        <v>10985</v>
      </c>
      <c r="C2802" s="20" t="n">
        <f aca="false">ROUND(13/FX,2)</f>
        <v>1.81</v>
      </c>
      <c r="D2802" s="21" t="s">
        <v>6549</v>
      </c>
      <c r="E2802" s="21" t="s">
        <v>8044</v>
      </c>
      <c r="F2802" s="21" t="s">
        <v>8020</v>
      </c>
    </row>
    <row r="2803" customFormat="false" ht="15" hidden="false" customHeight="false" outlineLevel="0" collapsed="false">
      <c r="B2803" s="19" t="s">
        <v>10986</v>
      </c>
      <c r="C2803" s="20" t="n">
        <f aca="false">ROUND(13/FX,2)</f>
        <v>1.81</v>
      </c>
      <c r="D2803" s="21" t="s">
        <v>6549</v>
      </c>
      <c r="E2803" s="21" t="s">
        <v>8044</v>
      </c>
      <c r="F2803" s="21" t="s">
        <v>8401</v>
      </c>
    </row>
    <row r="2804" customFormat="false" ht="15" hidden="false" customHeight="false" outlineLevel="0" collapsed="false">
      <c r="B2804" s="19" t="s">
        <v>10987</v>
      </c>
      <c r="C2804" s="20" t="n">
        <f aca="false">ROUND(16.9/FX,2)</f>
        <v>2.35</v>
      </c>
      <c r="D2804" s="21" t="s">
        <v>6549</v>
      </c>
      <c r="E2804" s="21" t="s">
        <v>8055</v>
      </c>
      <c r="F2804" s="21" t="s">
        <v>7875</v>
      </c>
    </row>
    <row r="2805" customFormat="false" ht="15" hidden="false" customHeight="false" outlineLevel="0" collapsed="false">
      <c r="B2805" s="19" t="s">
        <v>10988</v>
      </c>
      <c r="C2805" s="20" t="n">
        <f aca="false">ROUND(16.9/FX,2)</f>
        <v>2.35</v>
      </c>
      <c r="D2805" s="21" t="s">
        <v>6549</v>
      </c>
      <c r="E2805" s="21" t="s">
        <v>8055</v>
      </c>
      <c r="F2805" s="21" t="s">
        <v>7999</v>
      </c>
    </row>
    <row r="2806" customFormat="false" ht="15" hidden="false" customHeight="false" outlineLevel="0" collapsed="false">
      <c r="B2806" s="19" t="s">
        <v>10989</v>
      </c>
      <c r="C2806" s="20" t="n">
        <f aca="false">ROUND(16.9/FX,2)</f>
        <v>2.35</v>
      </c>
      <c r="D2806" s="21" t="s">
        <v>6549</v>
      </c>
      <c r="E2806" s="21" t="s">
        <v>8055</v>
      </c>
      <c r="F2806" s="21" t="s">
        <v>8058</v>
      </c>
    </row>
    <row r="2807" customFormat="false" ht="15" hidden="false" customHeight="false" outlineLevel="0" collapsed="false">
      <c r="B2807" s="19" t="s">
        <v>10990</v>
      </c>
      <c r="C2807" s="20" t="n">
        <f aca="false">ROUND(17.75/FX,2)</f>
        <v>2.47</v>
      </c>
      <c r="D2807" s="21" t="s">
        <v>6549</v>
      </c>
      <c r="E2807" s="21" t="s">
        <v>8055</v>
      </c>
      <c r="F2807" s="21" t="s">
        <v>8060</v>
      </c>
    </row>
    <row r="2808" customFormat="false" ht="15" hidden="false" customHeight="false" outlineLevel="0" collapsed="false">
      <c r="B2808" s="19" t="s">
        <v>10991</v>
      </c>
      <c r="C2808" s="20" t="n">
        <f aca="false">ROUND(16.9/FX,2)</f>
        <v>2.35</v>
      </c>
      <c r="D2808" s="21" t="s">
        <v>6549</v>
      </c>
      <c r="E2808" s="21" t="s">
        <v>8055</v>
      </c>
      <c r="F2808" s="21" t="s">
        <v>8152</v>
      </c>
    </row>
    <row r="2809" customFormat="false" ht="15" hidden="false" customHeight="false" outlineLevel="0" collapsed="false">
      <c r="B2809" s="19" t="s">
        <v>10992</v>
      </c>
      <c r="C2809" s="20" t="n">
        <f aca="false">ROUND(16.9/FX,2)</f>
        <v>2.35</v>
      </c>
      <c r="D2809" s="21" t="s">
        <v>6549</v>
      </c>
      <c r="E2809" s="21" t="s">
        <v>8055</v>
      </c>
      <c r="F2809" s="21" t="s">
        <v>8062</v>
      </c>
    </row>
    <row r="2810" customFormat="false" ht="15" hidden="false" customHeight="false" outlineLevel="0" collapsed="false">
      <c r="B2810" s="19" t="s">
        <v>10993</v>
      </c>
      <c r="C2810" s="20" t="n">
        <f aca="false">ROUND(16.9/FX,2)</f>
        <v>2.35</v>
      </c>
      <c r="D2810" s="21" t="s">
        <v>6549</v>
      </c>
      <c r="E2810" s="21" t="s">
        <v>8055</v>
      </c>
      <c r="F2810" s="21" t="s">
        <v>7985</v>
      </c>
    </row>
    <row r="2811" customFormat="false" ht="15" hidden="false" customHeight="false" outlineLevel="0" collapsed="false">
      <c r="B2811" s="19" t="s">
        <v>10994</v>
      </c>
      <c r="C2811" s="20" t="n">
        <f aca="false">ROUND(16.9/FX,2)</f>
        <v>2.35</v>
      </c>
      <c r="D2811" s="21" t="s">
        <v>6549</v>
      </c>
      <c r="E2811" s="21" t="s">
        <v>8055</v>
      </c>
      <c r="F2811" s="21" t="s">
        <v>8077</v>
      </c>
    </row>
    <row r="2812" customFormat="false" ht="15" hidden="false" customHeight="false" outlineLevel="0" collapsed="false">
      <c r="B2812" s="19" t="s">
        <v>10995</v>
      </c>
      <c r="C2812" s="20" t="n">
        <f aca="false">ROUND(16.9/FX,2)</f>
        <v>2.35</v>
      </c>
      <c r="D2812" s="21" t="s">
        <v>6549</v>
      </c>
      <c r="E2812" s="21" t="s">
        <v>8055</v>
      </c>
      <c r="F2812" s="21" t="s">
        <v>8085</v>
      </c>
    </row>
    <row r="2813" customFormat="false" ht="15" hidden="false" customHeight="false" outlineLevel="0" collapsed="false">
      <c r="B2813" s="19" t="s">
        <v>10996</v>
      </c>
      <c r="C2813" s="20" t="n">
        <f aca="false">ROUND(16.9/FX,2)</f>
        <v>2.35</v>
      </c>
      <c r="D2813" s="21" t="s">
        <v>6549</v>
      </c>
      <c r="E2813" s="21" t="s">
        <v>8055</v>
      </c>
      <c r="F2813" s="21" t="s">
        <v>7989</v>
      </c>
    </row>
    <row r="2814" customFormat="false" ht="15" hidden="false" customHeight="false" outlineLevel="0" collapsed="false">
      <c r="B2814" s="19" t="s">
        <v>10997</v>
      </c>
      <c r="C2814" s="20" t="n">
        <f aca="false">ROUND(16.9/FX,2)</f>
        <v>2.35</v>
      </c>
      <c r="D2814" s="21" t="s">
        <v>6549</v>
      </c>
      <c r="E2814" s="21" t="s">
        <v>8055</v>
      </c>
      <c r="F2814" s="21" t="s">
        <v>8050</v>
      </c>
    </row>
    <row r="2815" customFormat="false" ht="15" hidden="false" customHeight="false" outlineLevel="0" collapsed="false">
      <c r="B2815" s="19" t="s">
        <v>10998</v>
      </c>
      <c r="C2815" s="20" t="n">
        <f aca="false">ROUND(16.9/FX,2)</f>
        <v>2.35</v>
      </c>
      <c r="D2815" s="21" t="s">
        <v>6549</v>
      </c>
      <c r="E2815" s="21" t="s">
        <v>8055</v>
      </c>
      <c r="F2815" s="21" t="s">
        <v>8891</v>
      </c>
    </row>
    <row r="2816" customFormat="false" ht="15" hidden="false" customHeight="false" outlineLevel="0" collapsed="false">
      <c r="B2816" s="19" t="s">
        <v>10999</v>
      </c>
      <c r="C2816" s="20" t="n">
        <f aca="false">ROUND(16.9/FX,2)</f>
        <v>2.35</v>
      </c>
      <c r="D2816" s="21" t="s">
        <v>6549</v>
      </c>
      <c r="E2816" s="21" t="s">
        <v>8055</v>
      </c>
      <c r="F2816" s="21" t="s">
        <v>7992</v>
      </c>
    </row>
    <row r="2817" customFormat="false" ht="15" hidden="false" customHeight="false" outlineLevel="0" collapsed="false">
      <c r="B2817" s="19" t="s">
        <v>11000</v>
      </c>
      <c r="C2817" s="20" t="n">
        <f aca="false">ROUND(16.9/FX,2)</f>
        <v>2.35</v>
      </c>
      <c r="D2817" s="21" t="s">
        <v>6549</v>
      </c>
      <c r="E2817" s="21" t="s">
        <v>8055</v>
      </c>
      <c r="F2817" s="21" t="s">
        <v>8099</v>
      </c>
    </row>
    <row r="2818" customFormat="false" ht="15" hidden="false" customHeight="false" outlineLevel="0" collapsed="false">
      <c r="B2818" s="19" t="s">
        <v>11001</v>
      </c>
      <c r="C2818" s="20" t="n">
        <f aca="false">ROUND(16.9/FX,2)</f>
        <v>2.35</v>
      </c>
      <c r="D2818" s="21" t="s">
        <v>6549</v>
      </c>
      <c r="E2818" s="21" t="s">
        <v>8055</v>
      </c>
      <c r="F2818" s="21" t="s">
        <v>7860</v>
      </c>
    </row>
    <row r="2819" customFormat="false" ht="15" hidden="false" customHeight="false" outlineLevel="0" collapsed="false">
      <c r="B2819" s="19" t="s">
        <v>11002</v>
      </c>
      <c r="C2819" s="20" t="n">
        <f aca="false">ROUND(16.9/FX,2)</f>
        <v>2.35</v>
      </c>
      <c r="D2819" s="21" t="s">
        <v>6549</v>
      </c>
      <c r="E2819" s="21" t="s">
        <v>8055</v>
      </c>
      <c r="F2819" s="21" t="s">
        <v>8104</v>
      </c>
    </row>
    <row r="2820" customFormat="false" ht="15" hidden="false" customHeight="false" outlineLevel="0" collapsed="false">
      <c r="B2820" s="19" t="s">
        <v>11003</v>
      </c>
      <c r="C2820" s="20" t="n">
        <f aca="false">ROUND(16.9/FX,2)</f>
        <v>2.35</v>
      </c>
      <c r="D2820" s="21" t="s">
        <v>6549</v>
      </c>
      <c r="E2820" s="21" t="s">
        <v>8055</v>
      </c>
      <c r="F2820" s="21" t="s">
        <v>8763</v>
      </c>
    </row>
    <row r="2821" customFormat="false" ht="15" hidden="false" customHeight="false" outlineLevel="0" collapsed="false">
      <c r="B2821" s="19" t="s">
        <v>11004</v>
      </c>
      <c r="C2821" s="20" t="n">
        <f aca="false">ROUND(16.9/FX,2)</f>
        <v>2.35</v>
      </c>
      <c r="D2821" s="21" t="s">
        <v>6549</v>
      </c>
      <c r="E2821" s="21" t="s">
        <v>8055</v>
      </c>
      <c r="F2821" s="21" t="s">
        <v>7899</v>
      </c>
    </row>
    <row r="2822" customFormat="false" ht="15" hidden="false" customHeight="false" outlineLevel="0" collapsed="false">
      <c r="B2822" s="19" t="s">
        <v>11005</v>
      </c>
      <c r="C2822" s="20" t="n">
        <f aca="false">ROUND(16.9/FX,2)</f>
        <v>2.35</v>
      </c>
      <c r="D2822" s="21" t="s">
        <v>6549</v>
      </c>
      <c r="E2822" s="21" t="s">
        <v>8055</v>
      </c>
      <c r="F2822" s="21" t="s">
        <v>8672</v>
      </c>
    </row>
    <row r="2823" customFormat="false" ht="15" hidden="false" customHeight="false" outlineLevel="0" collapsed="false">
      <c r="B2823" s="19" t="s">
        <v>11006</v>
      </c>
      <c r="C2823" s="20" t="n">
        <f aca="false">ROUND(16.9/FX,2)</f>
        <v>2.35</v>
      </c>
      <c r="D2823" s="21" t="s">
        <v>6549</v>
      </c>
      <c r="E2823" s="21" t="s">
        <v>8055</v>
      </c>
      <c r="F2823" s="21" t="s">
        <v>7994</v>
      </c>
    </row>
    <row r="2824" customFormat="false" ht="15" hidden="false" customHeight="false" outlineLevel="0" collapsed="false">
      <c r="B2824" s="19" t="s">
        <v>11007</v>
      </c>
      <c r="C2824" s="20" t="n">
        <f aca="false">ROUND(16.9/FX,2)</f>
        <v>2.35</v>
      </c>
      <c r="D2824" s="21" t="s">
        <v>6549</v>
      </c>
      <c r="E2824" s="21" t="s">
        <v>8055</v>
      </c>
      <c r="F2824" s="21" t="s">
        <v>8109</v>
      </c>
    </row>
    <row r="2825" customFormat="false" ht="15" hidden="false" customHeight="false" outlineLevel="0" collapsed="false">
      <c r="B2825" s="19" t="s">
        <v>11008</v>
      </c>
      <c r="C2825" s="20" t="n">
        <f aca="false">ROUND(16.9/FX,2)</f>
        <v>2.35</v>
      </c>
      <c r="D2825" s="21" t="s">
        <v>6549</v>
      </c>
      <c r="E2825" s="21" t="s">
        <v>8055</v>
      </c>
      <c r="F2825" s="21" t="s">
        <v>8017</v>
      </c>
    </row>
    <row r="2826" customFormat="false" ht="15" hidden="false" customHeight="false" outlineLevel="0" collapsed="false">
      <c r="B2826" s="19" t="s">
        <v>11009</v>
      </c>
      <c r="C2826" s="20" t="n">
        <f aca="false">ROUND(16.9/FX,2)</f>
        <v>2.35</v>
      </c>
      <c r="D2826" s="21" t="s">
        <v>6549</v>
      </c>
      <c r="E2826" s="21" t="s">
        <v>8055</v>
      </c>
      <c r="F2826" s="21" t="s">
        <v>8112</v>
      </c>
    </row>
    <row r="2827" customFormat="false" ht="15" hidden="false" customHeight="false" outlineLevel="0" collapsed="false">
      <c r="B2827" s="19" t="s">
        <v>11010</v>
      </c>
      <c r="C2827" s="20" t="n">
        <f aca="false">ROUND(16.9/FX,2)</f>
        <v>2.35</v>
      </c>
      <c r="D2827" s="21" t="s">
        <v>6549</v>
      </c>
      <c r="E2827" s="21" t="s">
        <v>8055</v>
      </c>
      <c r="F2827" s="21" t="s">
        <v>8114</v>
      </c>
    </row>
    <row r="2828" customFormat="false" ht="15" hidden="false" customHeight="false" outlineLevel="0" collapsed="false">
      <c r="B2828" s="19" t="s">
        <v>11011</v>
      </c>
      <c r="C2828" s="20" t="n">
        <f aca="false">ROUND(16.9/FX,2)</f>
        <v>2.35</v>
      </c>
      <c r="D2828" s="21" t="s">
        <v>6549</v>
      </c>
      <c r="E2828" s="21" t="s">
        <v>8055</v>
      </c>
      <c r="F2828" s="21" t="s">
        <v>7866</v>
      </c>
    </row>
    <row r="2829" customFormat="false" ht="15" hidden="false" customHeight="false" outlineLevel="0" collapsed="false">
      <c r="B2829" s="19" t="s">
        <v>11012</v>
      </c>
      <c r="C2829" s="20" t="n">
        <f aca="false">ROUND(16.9/FX,2)</f>
        <v>2.35</v>
      </c>
      <c r="D2829" s="21" t="s">
        <v>6549</v>
      </c>
      <c r="E2829" s="21" t="s">
        <v>8055</v>
      </c>
      <c r="F2829" s="21" t="s">
        <v>8396</v>
      </c>
    </row>
    <row r="2830" customFormat="false" ht="15" hidden="false" customHeight="false" outlineLevel="0" collapsed="false">
      <c r="B2830" s="19" t="s">
        <v>11013</v>
      </c>
      <c r="C2830" s="20" t="n">
        <f aca="false">ROUND(16.9/FX,2)</f>
        <v>2.35</v>
      </c>
      <c r="D2830" s="21" t="s">
        <v>6549</v>
      </c>
      <c r="E2830" s="21" t="s">
        <v>8055</v>
      </c>
      <c r="F2830" s="21" t="s">
        <v>8119</v>
      </c>
    </row>
    <row r="2831" customFormat="false" ht="15" hidden="false" customHeight="false" outlineLevel="0" collapsed="false">
      <c r="B2831" s="19" t="s">
        <v>11014</v>
      </c>
      <c r="C2831" s="20" t="n">
        <f aca="false">ROUND(39/FX,2)</f>
        <v>5.42</v>
      </c>
      <c r="D2831" s="21" t="s">
        <v>6549</v>
      </c>
      <c r="E2831" s="21" t="s">
        <v>11015</v>
      </c>
      <c r="F2831" s="21" t="s">
        <v>8987</v>
      </c>
    </row>
    <row r="2834" customFormat="false" ht="61.5" hidden="false" customHeight="true" outlineLevel="0" collapsed="false">
      <c r="A2834" s="9"/>
      <c r="B2834" s="10" t="s">
        <v>11016</v>
      </c>
      <c r="C2834" s="10"/>
      <c r="D2834" s="10"/>
      <c r="E2834" s="10"/>
      <c r="F2834" s="10"/>
      <c r="G2834" s="10"/>
    </row>
    <row r="2835" customFormat="false" ht="15" hidden="false" customHeight="false" outlineLevel="0" collapsed="false">
      <c r="A2835" s="12" t="s">
        <v>700</v>
      </c>
      <c r="B2835" s="13" t="s">
        <v>701</v>
      </c>
      <c r="C2835" s="13" t="s">
        <v>702</v>
      </c>
      <c r="D2835" s="13" t="s">
        <v>722</v>
      </c>
      <c r="E2835" s="13" t="s">
        <v>723</v>
      </c>
      <c r="F2835" s="13" t="s">
        <v>6523</v>
      </c>
      <c r="G2835" s="13" t="s">
        <v>7711</v>
      </c>
    </row>
    <row r="2836" customFormat="false" ht="30" hidden="false" customHeight="true" outlineLevel="0" collapsed="false">
      <c r="A2836" s="14" t="s">
        <v>706</v>
      </c>
      <c r="B2836" s="15" t="str">
        <f aca="false">IF(COUNTIFS($D$2839:$D$3166,IF(D2836="","*",D2836),$E$2839:$E$3166,IF(E2836="","*",E2836),$F$2839:$F$3166,IF(F2836="","*",F2836),$G$2839:$G$3166,IF(G2836="","*",G2836))=1,INDEX($B:$B,SUMPRODUCT(((D2836="")+($D$2839:$D$3166=D2836)&gt;0)*((E2836="")+($E$2839:$E$3166=E2836)&gt;0)*((F2836="")+($F$2839:$F$3166=F2836)&gt;0)*((G2836="")+($G$2839:$G$3166=G2836)&gt;0)*ROW($B$2839:$B$3166))),IF(COUNTIFS($D$2839:$D$3166,IF(D2836="","*",D2836),$E$2839:$E$3166,IF(E2836="","*",E2836),$F$2839:$F$3166,IF(F2836="","*",F2836),$G$2839:$G$3166,IF(G2836="","*",G2836))=0,"Not available",COUNTIFS($D$2839:$D$3166,IF(D2836="","*",D2836),$E$2839:$E$3166,IF(E2836="","*",E2836),$F$2839:$F$3166,IF(F2836="","*",F2836),$G$2839:$G$3166,IF(G2836="","*",G2836))&amp;" match, keep choosing"))</f>
        <v>ES-D12L18-2x2-SV</v>
      </c>
      <c r="C2836" s="16" t="n">
        <f aca="false">IF(COUNTIFS($D$2839:$D$3166,IF(D2836="","*",D2836),$E$2839:$E$3166,IF(E2836="","*",E2836),$F$2839:$F$3166,IF(F2836="","*",F2836),$G$2839:$G$3166,IF(G2836="","*",G2836))=1,INDEX($C:$C,SUMPRODUCT(((D2836="")+($D$2839:$D$3166=D2836)&gt;0)*((E2836="")+($E$2839:$E$3166=E2836)&gt;0)*((F2836="")+($F$2839:$F$3166=F2836)&gt;0)*((G2836="")+($G$2839:$G$3166=G2836)&gt;0)*ROW($B$2839:$B$3166))),"")</f>
        <v>0.43</v>
      </c>
      <c r="D2836" s="17" t="s">
        <v>6549</v>
      </c>
      <c r="E2836" s="17" t="s">
        <v>734</v>
      </c>
      <c r="F2836" s="17" t="s">
        <v>10288</v>
      </c>
      <c r="G2836" s="17" t="s">
        <v>7824</v>
      </c>
    </row>
    <row r="2838" customFormat="false" ht="15" hidden="false" customHeight="false" outlineLevel="0" collapsed="false">
      <c r="B2838" s="18" t="s">
        <v>701</v>
      </c>
      <c r="C2838" s="18" t="s">
        <v>702</v>
      </c>
      <c r="D2838" s="18" t="s">
        <v>722</v>
      </c>
      <c r="E2838" s="18" t="s">
        <v>723</v>
      </c>
      <c r="F2838" s="18" t="s">
        <v>6523</v>
      </c>
      <c r="G2838" s="18" t="s">
        <v>7711</v>
      </c>
    </row>
    <row r="2839" customFormat="false" ht="15" hidden="false" customHeight="false" outlineLevel="0" collapsed="false">
      <c r="B2839" s="19" t="s">
        <v>11017</v>
      </c>
      <c r="C2839" s="20" t="n">
        <f aca="false">ROUND(3.12/FX,2)</f>
        <v>0.43</v>
      </c>
      <c r="D2839" s="21" t="s">
        <v>6549</v>
      </c>
      <c r="E2839" s="21" t="s">
        <v>734</v>
      </c>
      <c r="F2839" s="21" t="s">
        <v>10288</v>
      </c>
      <c r="G2839" s="21" t="s">
        <v>7824</v>
      </c>
    </row>
    <row r="2840" customFormat="false" ht="15" hidden="false" customHeight="false" outlineLevel="0" collapsed="false">
      <c r="B2840" s="19" t="s">
        <v>11018</v>
      </c>
      <c r="C2840" s="20" t="n">
        <f aca="false">ROUND(3.12/FX,2)</f>
        <v>0.43</v>
      </c>
      <c r="D2840" s="21" t="s">
        <v>6549</v>
      </c>
      <c r="E2840" s="21" t="s">
        <v>734</v>
      </c>
      <c r="F2840" s="21" t="s">
        <v>10288</v>
      </c>
      <c r="G2840" s="21" t="s">
        <v>7904</v>
      </c>
    </row>
    <row r="2841" customFormat="false" ht="15" hidden="false" customHeight="false" outlineLevel="0" collapsed="false">
      <c r="B2841" s="19" t="s">
        <v>11019</v>
      </c>
      <c r="C2841" s="20" t="n">
        <f aca="false">ROUND(3.12/FX,2)</f>
        <v>0.43</v>
      </c>
      <c r="D2841" s="21" t="s">
        <v>6549</v>
      </c>
      <c r="E2841" s="21" t="s">
        <v>734</v>
      </c>
      <c r="F2841" s="21" t="s">
        <v>10288</v>
      </c>
      <c r="G2841" s="21" t="s">
        <v>7839</v>
      </c>
    </row>
    <row r="2842" customFormat="false" ht="15" hidden="false" customHeight="false" outlineLevel="0" collapsed="false">
      <c r="B2842" s="19" t="s">
        <v>11020</v>
      </c>
      <c r="C2842" s="20" t="n">
        <f aca="false">ROUND(3.12/FX,2)</f>
        <v>0.43</v>
      </c>
      <c r="D2842" s="21" t="s">
        <v>6549</v>
      </c>
      <c r="E2842" s="21" t="s">
        <v>734</v>
      </c>
      <c r="F2842" s="21" t="s">
        <v>10288</v>
      </c>
      <c r="G2842" s="21" t="s">
        <v>7841</v>
      </c>
    </row>
    <row r="2843" customFormat="false" ht="15" hidden="false" customHeight="false" outlineLevel="0" collapsed="false">
      <c r="B2843" s="19" t="s">
        <v>11021</v>
      </c>
      <c r="C2843" s="20" t="n">
        <f aca="false">ROUND(3.12/FX,2)</f>
        <v>0.43</v>
      </c>
      <c r="D2843" s="21" t="s">
        <v>6549</v>
      </c>
      <c r="E2843" s="21" t="s">
        <v>734</v>
      </c>
      <c r="F2843" s="21" t="s">
        <v>10288</v>
      </c>
      <c r="G2843" s="21" t="s">
        <v>8193</v>
      </c>
    </row>
    <row r="2844" customFormat="false" ht="15" hidden="false" customHeight="false" outlineLevel="0" collapsed="false">
      <c r="B2844" s="19" t="s">
        <v>11022</v>
      </c>
      <c r="C2844" s="20" t="n">
        <f aca="false">ROUND(3.12/FX,2)</f>
        <v>0.43</v>
      </c>
      <c r="D2844" s="21" t="s">
        <v>6549</v>
      </c>
      <c r="E2844" s="21" t="s">
        <v>734</v>
      </c>
      <c r="F2844" s="21" t="s">
        <v>10288</v>
      </c>
      <c r="G2844" s="21" t="s">
        <v>8196</v>
      </c>
    </row>
    <row r="2845" customFormat="false" ht="15" hidden="false" customHeight="false" outlineLevel="0" collapsed="false">
      <c r="B2845" s="19" t="s">
        <v>11023</v>
      </c>
      <c r="C2845" s="20" t="n">
        <f aca="false">ROUND(3.12/FX,2)</f>
        <v>0.43</v>
      </c>
      <c r="D2845" s="21" t="s">
        <v>6706</v>
      </c>
      <c r="E2845" s="21" t="s">
        <v>734</v>
      </c>
      <c r="F2845" s="21" t="s">
        <v>10288</v>
      </c>
      <c r="G2845" s="21" t="s">
        <v>7916</v>
      </c>
    </row>
    <row r="2846" customFormat="false" ht="15" hidden="false" customHeight="false" outlineLevel="0" collapsed="false">
      <c r="B2846" s="19" t="s">
        <v>11024</v>
      </c>
      <c r="C2846" s="20" t="n">
        <f aca="false">ROUND(3.12/FX,2)</f>
        <v>0.43</v>
      </c>
      <c r="D2846" s="21" t="s">
        <v>6706</v>
      </c>
      <c r="E2846" s="21" t="s">
        <v>734</v>
      </c>
      <c r="F2846" s="21" t="s">
        <v>10288</v>
      </c>
      <c r="G2846" s="21" t="s">
        <v>8220</v>
      </c>
    </row>
    <row r="2847" customFormat="false" ht="15" hidden="false" customHeight="false" outlineLevel="0" collapsed="false">
      <c r="B2847" s="19" t="s">
        <v>11025</v>
      </c>
      <c r="C2847" s="20" t="n">
        <f aca="false">ROUND(3.12/FX,2)</f>
        <v>0.43</v>
      </c>
      <c r="D2847" s="21" t="s">
        <v>6549</v>
      </c>
      <c r="E2847" s="21" t="s">
        <v>734</v>
      </c>
      <c r="F2847" s="21" t="s">
        <v>10288</v>
      </c>
      <c r="G2847" s="21" t="s">
        <v>7918</v>
      </c>
    </row>
    <row r="2848" customFormat="false" ht="15" hidden="false" customHeight="false" outlineLevel="0" collapsed="false">
      <c r="B2848" s="19" t="s">
        <v>11026</v>
      </c>
      <c r="C2848" s="20" t="n">
        <f aca="false">ROUND(3.12/FX,2)</f>
        <v>0.43</v>
      </c>
      <c r="D2848" s="21" t="s">
        <v>6549</v>
      </c>
      <c r="E2848" s="21" t="s">
        <v>734</v>
      </c>
      <c r="F2848" s="21" t="s">
        <v>10288</v>
      </c>
      <c r="G2848" s="21" t="s">
        <v>7847</v>
      </c>
    </row>
    <row r="2849" customFormat="false" ht="15" hidden="false" customHeight="false" outlineLevel="0" collapsed="false">
      <c r="B2849" s="19" t="s">
        <v>11027</v>
      </c>
      <c r="C2849" s="20" t="n">
        <f aca="false">ROUND(3.12/FX,2)</f>
        <v>0.43</v>
      </c>
      <c r="D2849" s="21" t="s">
        <v>6549</v>
      </c>
      <c r="E2849" s="21" t="s">
        <v>734</v>
      </c>
      <c r="F2849" s="21" t="s">
        <v>10288</v>
      </c>
      <c r="G2849" s="21" t="s">
        <v>7849</v>
      </c>
    </row>
    <row r="2850" customFormat="false" ht="15" hidden="false" customHeight="false" outlineLevel="0" collapsed="false">
      <c r="B2850" s="19" t="s">
        <v>11028</v>
      </c>
      <c r="C2850" s="20" t="n">
        <f aca="false">ROUND(3.12/FX,2)</f>
        <v>0.43</v>
      </c>
      <c r="D2850" s="21" t="s">
        <v>6549</v>
      </c>
      <c r="E2850" s="21" t="s">
        <v>734</v>
      </c>
      <c r="F2850" s="21" t="s">
        <v>10288</v>
      </c>
      <c r="G2850" s="21" t="s">
        <v>7827</v>
      </c>
    </row>
    <row r="2851" customFormat="false" ht="15" hidden="false" customHeight="false" outlineLevel="0" collapsed="false">
      <c r="B2851" s="19" t="s">
        <v>11029</v>
      </c>
      <c r="C2851" s="20" t="n">
        <f aca="false">ROUND(3.12/FX,2)</f>
        <v>0.43</v>
      </c>
      <c r="D2851" s="21" t="s">
        <v>6706</v>
      </c>
      <c r="E2851" s="21" t="s">
        <v>734</v>
      </c>
      <c r="F2851" s="21" t="s">
        <v>10288</v>
      </c>
      <c r="G2851" s="21" t="s">
        <v>7853</v>
      </c>
    </row>
    <row r="2852" customFormat="false" ht="15" hidden="false" customHeight="false" outlineLevel="0" collapsed="false">
      <c r="B2852" s="19" t="s">
        <v>11030</v>
      </c>
      <c r="C2852" s="20" t="n">
        <f aca="false">ROUND(3.12/FX,2)</f>
        <v>0.43</v>
      </c>
      <c r="D2852" s="21" t="s">
        <v>6549</v>
      </c>
      <c r="E2852" s="21" t="s">
        <v>734</v>
      </c>
      <c r="F2852" s="21" t="s">
        <v>10288</v>
      </c>
      <c r="G2852" s="21" t="s">
        <v>7869</v>
      </c>
    </row>
    <row r="2853" customFormat="false" ht="15" hidden="false" customHeight="false" outlineLevel="0" collapsed="false">
      <c r="B2853" s="19" t="s">
        <v>11031</v>
      </c>
      <c r="C2853" s="20" t="n">
        <f aca="false">ROUND(3.12/FX,2)</f>
        <v>0.43</v>
      </c>
      <c r="D2853" s="21" t="s">
        <v>6549</v>
      </c>
      <c r="E2853" s="21" t="s">
        <v>734</v>
      </c>
      <c r="F2853" s="21" t="s">
        <v>10288</v>
      </c>
      <c r="G2853" s="21" t="s">
        <v>7829</v>
      </c>
    </row>
    <row r="2854" customFormat="false" ht="15" hidden="false" customHeight="false" outlineLevel="0" collapsed="false">
      <c r="B2854" s="19" t="s">
        <v>11032</v>
      </c>
      <c r="C2854" s="20" t="n">
        <f aca="false">ROUND(3.12/FX,2)</f>
        <v>0.43</v>
      </c>
      <c r="D2854" s="21" t="s">
        <v>6549</v>
      </c>
      <c r="E2854" s="21" t="s">
        <v>734</v>
      </c>
      <c r="F2854" s="21" t="s">
        <v>10288</v>
      </c>
      <c r="G2854" s="21" t="s">
        <v>7831</v>
      </c>
    </row>
    <row r="2855" customFormat="false" ht="15" hidden="false" customHeight="false" outlineLevel="0" collapsed="false">
      <c r="B2855" s="19" t="s">
        <v>11033</v>
      </c>
      <c r="C2855" s="20" t="n">
        <f aca="false">ROUND(3.12/FX,2)</f>
        <v>0.43</v>
      </c>
      <c r="D2855" s="21" t="s">
        <v>6706</v>
      </c>
      <c r="E2855" s="21" t="s">
        <v>734</v>
      </c>
      <c r="F2855" s="21" t="s">
        <v>10288</v>
      </c>
      <c r="G2855" s="21" t="s">
        <v>7862</v>
      </c>
    </row>
    <row r="2856" customFormat="false" ht="15" hidden="false" customHeight="false" outlineLevel="0" collapsed="false">
      <c r="B2856" s="19" t="s">
        <v>11034</v>
      </c>
      <c r="C2856" s="20" t="n">
        <f aca="false">ROUND(1.24/FX,2)</f>
        <v>0.17</v>
      </c>
      <c r="D2856" s="21" t="s">
        <v>6549</v>
      </c>
      <c r="E2856" s="21" t="s">
        <v>734</v>
      </c>
      <c r="F2856" s="21" t="s">
        <v>11035</v>
      </c>
      <c r="G2856" s="21" t="s">
        <v>7827</v>
      </c>
    </row>
    <row r="2857" customFormat="false" ht="15" hidden="false" customHeight="false" outlineLevel="0" collapsed="false">
      <c r="B2857" s="19" t="s">
        <v>11036</v>
      </c>
      <c r="C2857" s="20" t="n">
        <f aca="false">ROUND(1.3/FX,2)</f>
        <v>0.18</v>
      </c>
      <c r="D2857" s="21" t="s">
        <v>6549</v>
      </c>
      <c r="E2857" s="21" t="s">
        <v>734</v>
      </c>
      <c r="F2857" s="21" t="s">
        <v>11037</v>
      </c>
      <c r="G2857" s="21" t="s">
        <v>7829</v>
      </c>
    </row>
    <row r="2858" customFormat="false" ht="15" hidden="false" customHeight="false" outlineLevel="0" collapsed="false">
      <c r="B2858" s="19" t="s">
        <v>11038</v>
      </c>
      <c r="C2858" s="20" t="n">
        <f aca="false">ROUND(3.12/FX,2)</f>
        <v>0.43</v>
      </c>
      <c r="D2858" s="21" t="s">
        <v>6549</v>
      </c>
      <c r="E2858" s="21" t="s">
        <v>734</v>
      </c>
      <c r="F2858" s="21" t="s">
        <v>7823</v>
      </c>
      <c r="G2858" s="21" t="s">
        <v>7824</v>
      </c>
    </row>
    <row r="2859" customFormat="false" ht="15" hidden="false" customHeight="false" outlineLevel="0" collapsed="false">
      <c r="B2859" s="19" t="s">
        <v>11039</v>
      </c>
      <c r="C2859" s="20" t="n">
        <f aca="false">ROUND(3.12/FX,2)</f>
        <v>0.43</v>
      </c>
      <c r="D2859" s="21" t="s">
        <v>6549</v>
      </c>
      <c r="E2859" s="21" t="s">
        <v>734</v>
      </c>
      <c r="F2859" s="21" t="s">
        <v>7823</v>
      </c>
      <c r="G2859" s="21" t="s">
        <v>7904</v>
      </c>
    </row>
    <row r="2860" customFormat="false" ht="15" hidden="false" customHeight="false" outlineLevel="0" collapsed="false">
      <c r="B2860" s="19" t="s">
        <v>11040</v>
      </c>
      <c r="C2860" s="20" t="n">
        <f aca="false">ROUND(3.12/FX,2)</f>
        <v>0.43</v>
      </c>
      <c r="D2860" s="21" t="s">
        <v>6549</v>
      </c>
      <c r="E2860" s="21" t="s">
        <v>734</v>
      </c>
      <c r="F2860" s="21" t="s">
        <v>7823</v>
      </c>
      <c r="G2860" s="21" t="s">
        <v>7837</v>
      </c>
    </row>
    <row r="2861" customFormat="false" ht="15" hidden="false" customHeight="false" outlineLevel="0" collapsed="false">
      <c r="B2861" s="19" t="s">
        <v>11041</v>
      </c>
      <c r="C2861" s="20" t="n">
        <f aca="false">ROUND(3.12/FX,2)</f>
        <v>0.43</v>
      </c>
      <c r="D2861" s="21" t="s">
        <v>6549</v>
      </c>
      <c r="E2861" s="21" t="s">
        <v>734</v>
      </c>
      <c r="F2861" s="21" t="s">
        <v>7823</v>
      </c>
      <c r="G2861" s="21" t="s">
        <v>7839</v>
      </c>
    </row>
    <row r="2862" customFormat="false" ht="15" hidden="false" customHeight="false" outlineLevel="0" collapsed="false">
      <c r="B2862" s="19" t="s">
        <v>11042</v>
      </c>
      <c r="C2862" s="20" t="n">
        <f aca="false">ROUND(3.12/FX,2)</f>
        <v>0.43</v>
      </c>
      <c r="D2862" s="21" t="s">
        <v>6549</v>
      </c>
      <c r="E2862" s="21" t="s">
        <v>734</v>
      </c>
      <c r="F2862" s="21" t="s">
        <v>7823</v>
      </c>
      <c r="G2862" s="21" t="s">
        <v>7841</v>
      </c>
    </row>
    <row r="2863" customFormat="false" ht="15" hidden="false" customHeight="false" outlineLevel="0" collapsed="false">
      <c r="B2863" s="19" t="s">
        <v>11043</v>
      </c>
      <c r="C2863" s="20" t="n">
        <f aca="false">ROUND(3.12/FX,2)</f>
        <v>0.43</v>
      </c>
      <c r="D2863" s="21" t="s">
        <v>6549</v>
      </c>
      <c r="E2863" s="21" t="s">
        <v>734</v>
      </c>
      <c r="F2863" s="21" t="s">
        <v>7823</v>
      </c>
      <c r="G2863" s="21" t="s">
        <v>11044</v>
      </c>
    </row>
    <row r="2864" customFormat="false" ht="15" hidden="false" customHeight="false" outlineLevel="0" collapsed="false">
      <c r="B2864" s="19" t="s">
        <v>11045</v>
      </c>
      <c r="C2864" s="20" t="n">
        <f aca="false">ROUND(3.12/FX,2)</f>
        <v>0.43</v>
      </c>
      <c r="D2864" s="21" t="s">
        <v>6549</v>
      </c>
      <c r="E2864" s="21" t="s">
        <v>734</v>
      </c>
      <c r="F2864" s="21" t="s">
        <v>7823</v>
      </c>
      <c r="G2864" s="21" t="s">
        <v>7843</v>
      </c>
    </row>
    <row r="2865" customFormat="false" ht="15" hidden="false" customHeight="false" outlineLevel="0" collapsed="false">
      <c r="B2865" s="19" t="s">
        <v>11046</v>
      </c>
      <c r="C2865" s="20" t="n">
        <f aca="false">ROUND(3.12/FX,2)</f>
        <v>0.43</v>
      </c>
      <c r="D2865" s="21" t="s">
        <v>6549</v>
      </c>
      <c r="E2865" s="21" t="s">
        <v>734</v>
      </c>
      <c r="F2865" s="21" t="s">
        <v>7823</v>
      </c>
      <c r="G2865" s="21" t="s">
        <v>7912</v>
      </c>
    </row>
    <row r="2866" customFormat="false" ht="15" hidden="false" customHeight="false" outlineLevel="0" collapsed="false">
      <c r="B2866" s="19" t="s">
        <v>11047</v>
      </c>
      <c r="C2866" s="20" t="n">
        <f aca="false">ROUND(3.12/FX,2)</f>
        <v>0.43</v>
      </c>
      <c r="D2866" s="21" t="s">
        <v>6549</v>
      </c>
      <c r="E2866" s="21" t="s">
        <v>734</v>
      </c>
      <c r="F2866" s="21" t="s">
        <v>7823</v>
      </c>
      <c r="G2866" s="21" t="s">
        <v>8193</v>
      </c>
    </row>
    <row r="2867" customFormat="false" ht="15" hidden="false" customHeight="false" outlineLevel="0" collapsed="false">
      <c r="B2867" s="19" t="s">
        <v>11048</v>
      </c>
      <c r="C2867" s="20" t="n">
        <f aca="false">ROUND(3.12/FX,2)</f>
        <v>0.43</v>
      </c>
      <c r="D2867" s="21" t="s">
        <v>6549</v>
      </c>
      <c r="E2867" s="21" t="s">
        <v>734</v>
      </c>
      <c r="F2867" s="21" t="s">
        <v>7823</v>
      </c>
      <c r="G2867" s="21" t="s">
        <v>8196</v>
      </c>
    </row>
    <row r="2868" customFormat="false" ht="15" hidden="false" customHeight="false" outlineLevel="0" collapsed="false">
      <c r="B2868" s="19" t="s">
        <v>11049</v>
      </c>
      <c r="C2868" s="20" t="n">
        <f aca="false">ROUND(3.12/FX,2)</f>
        <v>0.43</v>
      </c>
      <c r="D2868" s="21" t="s">
        <v>6549</v>
      </c>
      <c r="E2868" s="21" t="s">
        <v>734</v>
      </c>
      <c r="F2868" s="21" t="s">
        <v>7823</v>
      </c>
      <c r="G2868" s="21" t="s">
        <v>7845</v>
      </c>
    </row>
    <row r="2869" customFormat="false" ht="15" hidden="false" customHeight="false" outlineLevel="0" collapsed="false">
      <c r="B2869" s="19" t="s">
        <v>11050</v>
      </c>
      <c r="C2869" s="20" t="n">
        <f aca="false">ROUND(3.12/FX,2)</f>
        <v>0.43</v>
      </c>
      <c r="D2869" s="21" t="s">
        <v>6549</v>
      </c>
      <c r="E2869" s="21" t="s">
        <v>734</v>
      </c>
      <c r="F2869" s="21" t="s">
        <v>7823</v>
      </c>
      <c r="G2869" s="21" t="s">
        <v>7916</v>
      </c>
    </row>
    <row r="2870" customFormat="false" ht="15" hidden="false" customHeight="false" outlineLevel="0" collapsed="false">
      <c r="B2870" s="19" t="s">
        <v>11051</v>
      </c>
      <c r="C2870" s="20" t="n">
        <f aca="false">ROUND(3.12/FX,2)</f>
        <v>0.43</v>
      </c>
      <c r="D2870" s="21" t="s">
        <v>6549</v>
      </c>
      <c r="E2870" s="21" t="s">
        <v>734</v>
      </c>
      <c r="F2870" s="21" t="s">
        <v>7823</v>
      </c>
      <c r="G2870" s="21" t="s">
        <v>8220</v>
      </c>
    </row>
    <row r="2871" customFormat="false" ht="15" hidden="false" customHeight="false" outlineLevel="0" collapsed="false">
      <c r="B2871" s="19" t="s">
        <v>11052</v>
      </c>
      <c r="C2871" s="20" t="n">
        <f aca="false">ROUND(3.12/FX,2)</f>
        <v>0.43</v>
      </c>
      <c r="D2871" s="21" t="s">
        <v>6549</v>
      </c>
      <c r="E2871" s="21" t="s">
        <v>734</v>
      </c>
      <c r="F2871" s="21" t="s">
        <v>7823</v>
      </c>
      <c r="G2871" s="21" t="s">
        <v>7918</v>
      </c>
    </row>
    <row r="2872" customFormat="false" ht="15" hidden="false" customHeight="false" outlineLevel="0" collapsed="false">
      <c r="B2872" s="19" t="s">
        <v>11053</v>
      </c>
      <c r="C2872" s="20" t="n">
        <f aca="false">ROUND(3.12/FX,2)</f>
        <v>0.43</v>
      </c>
      <c r="D2872" s="21" t="s">
        <v>6549</v>
      </c>
      <c r="E2872" s="21" t="s">
        <v>734</v>
      </c>
      <c r="F2872" s="21" t="s">
        <v>7823</v>
      </c>
      <c r="G2872" s="21" t="s">
        <v>7847</v>
      </c>
    </row>
    <row r="2873" customFormat="false" ht="15" hidden="false" customHeight="false" outlineLevel="0" collapsed="false">
      <c r="B2873" s="19" t="s">
        <v>11054</v>
      </c>
      <c r="C2873" s="20" t="n">
        <f aca="false">ROUND(3.12/FX,2)</f>
        <v>0.43</v>
      </c>
      <c r="D2873" s="21" t="s">
        <v>6549</v>
      </c>
      <c r="E2873" s="21" t="s">
        <v>734</v>
      </c>
      <c r="F2873" s="21" t="s">
        <v>7823</v>
      </c>
      <c r="G2873" s="21" t="s">
        <v>7849</v>
      </c>
    </row>
    <row r="2874" customFormat="false" ht="15" hidden="false" customHeight="false" outlineLevel="0" collapsed="false">
      <c r="B2874" s="19" t="s">
        <v>11055</v>
      </c>
      <c r="C2874" s="20" t="n">
        <f aca="false">ROUND(3.12/FX,2)</f>
        <v>0.43</v>
      </c>
      <c r="D2874" s="21" t="s">
        <v>6549</v>
      </c>
      <c r="E2874" s="21" t="s">
        <v>734</v>
      </c>
      <c r="F2874" s="21" t="s">
        <v>7823</v>
      </c>
      <c r="G2874" s="21" t="s">
        <v>7922</v>
      </c>
    </row>
    <row r="2875" customFormat="false" ht="15" hidden="false" customHeight="false" outlineLevel="0" collapsed="false">
      <c r="B2875" s="19" t="s">
        <v>11056</v>
      </c>
      <c r="C2875" s="20" t="n">
        <f aca="false">ROUND(3.12/FX,2)</f>
        <v>0.43</v>
      </c>
      <c r="D2875" s="21" t="s">
        <v>6549</v>
      </c>
      <c r="E2875" s="21" t="s">
        <v>734</v>
      </c>
      <c r="F2875" s="21" t="s">
        <v>7823</v>
      </c>
      <c r="G2875" s="21" t="s">
        <v>7851</v>
      </c>
    </row>
    <row r="2876" customFormat="false" ht="15" hidden="false" customHeight="false" outlineLevel="0" collapsed="false">
      <c r="B2876" s="19" t="s">
        <v>11057</v>
      </c>
      <c r="C2876" s="20" t="n">
        <f aca="false">ROUND(3.12/FX,2)</f>
        <v>0.43</v>
      </c>
      <c r="D2876" s="21" t="s">
        <v>6549</v>
      </c>
      <c r="E2876" s="21" t="s">
        <v>734</v>
      </c>
      <c r="F2876" s="21" t="s">
        <v>7823</v>
      </c>
      <c r="G2876" s="21" t="s">
        <v>7827</v>
      </c>
    </row>
    <row r="2877" customFormat="false" ht="15" hidden="false" customHeight="false" outlineLevel="0" collapsed="false">
      <c r="B2877" s="19" t="s">
        <v>11058</v>
      </c>
      <c r="C2877" s="20" t="n">
        <f aca="false">ROUND(3.12/FX,2)</f>
        <v>0.43</v>
      </c>
      <c r="D2877" s="21" t="s">
        <v>6549</v>
      </c>
      <c r="E2877" s="21" t="s">
        <v>734</v>
      </c>
      <c r="F2877" s="21" t="s">
        <v>7823</v>
      </c>
      <c r="G2877" s="21" t="s">
        <v>7853</v>
      </c>
    </row>
    <row r="2878" customFormat="false" ht="15" hidden="false" customHeight="false" outlineLevel="0" collapsed="false">
      <c r="B2878" s="19" t="s">
        <v>11059</v>
      </c>
      <c r="C2878" s="20" t="n">
        <f aca="false">ROUND(3.12/FX,2)</f>
        <v>0.43</v>
      </c>
      <c r="D2878" s="21" t="s">
        <v>6549</v>
      </c>
      <c r="E2878" s="21" t="s">
        <v>734</v>
      </c>
      <c r="F2878" s="21" t="s">
        <v>7823</v>
      </c>
      <c r="G2878" s="21" t="s">
        <v>7869</v>
      </c>
    </row>
    <row r="2879" customFormat="false" ht="15" hidden="false" customHeight="false" outlineLevel="0" collapsed="false">
      <c r="B2879" s="19" t="s">
        <v>11060</v>
      </c>
      <c r="C2879" s="20" t="n">
        <f aca="false">ROUND(3.12/FX,2)</f>
        <v>0.43</v>
      </c>
      <c r="D2879" s="21" t="s">
        <v>6549</v>
      </c>
      <c r="E2879" s="21" t="s">
        <v>734</v>
      </c>
      <c r="F2879" s="21" t="s">
        <v>7823</v>
      </c>
      <c r="G2879" s="21" t="s">
        <v>7855</v>
      </c>
    </row>
    <row r="2880" customFormat="false" ht="15" hidden="false" customHeight="false" outlineLevel="0" collapsed="false">
      <c r="B2880" s="19" t="s">
        <v>11061</v>
      </c>
      <c r="C2880" s="20" t="n">
        <f aca="false">ROUND(3.12/FX,2)</f>
        <v>0.43</v>
      </c>
      <c r="D2880" s="21" t="s">
        <v>6549</v>
      </c>
      <c r="E2880" s="21" t="s">
        <v>734</v>
      </c>
      <c r="F2880" s="21" t="s">
        <v>7823</v>
      </c>
      <c r="G2880" s="21" t="s">
        <v>7933</v>
      </c>
    </row>
    <row r="2881" customFormat="false" ht="15" hidden="false" customHeight="false" outlineLevel="0" collapsed="false">
      <c r="B2881" s="19" t="s">
        <v>11062</v>
      </c>
      <c r="C2881" s="20" t="n">
        <f aca="false">ROUND(3.12/FX,2)</f>
        <v>0.43</v>
      </c>
      <c r="D2881" s="21" t="s">
        <v>6549</v>
      </c>
      <c r="E2881" s="21" t="s">
        <v>734</v>
      </c>
      <c r="F2881" s="21" t="s">
        <v>7823</v>
      </c>
      <c r="G2881" s="21" t="s">
        <v>7829</v>
      </c>
    </row>
    <row r="2882" customFormat="false" ht="15" hidden="false" customHeight="false" outlineLevel="0" collapsed="false">
      <c r="B2882" s="19" t="s">
        <v>11063</v>
      </c>
      <c r="C2882" s="20" t="n">
        <f aca="false">ROUND(3.12/FX,2)</f>
        <v>0.43</v>
      </c>
      <c r="D2882" s="21" t="s">
        <v>6549</v>
      </c>
      <c r="E2882" s="21" t="s">
        <v>734</v>
      </c>
      <c r="F2882" s="21" t="s">
        <v>7823</v>
      </c>
      <c r="G2882" s="21" t="s">
        <v>7831</v>
      </c>
    </row>
    <row r="2883" customFormat="false" ht="15" hidden="false" customHeight="false" outlineLevel="0" collapsed="false">
      <c r="B2883" s="19" t="s">
        <v>11064</v>
      </c>
      <c r="C2883" s="20" t="n">
        <f aca="false">ROUND(3.12/FX,2)</f>
        <v>0.43</v>
      </c>
      <c r="D2883" s="21" t="s">
        <v>6549</v>
      </c>
      <c r="E2883" s="21" t="s">
        <v>734</v>
      </c>
      <c r="F2883" s="21" t="s">
        <v>7823</v>
      </c>
      <c r="G2883" s="21" t="s">
        <v>7944</v>
      </c>
    </row>
    <row r="2884" customFormat="false" ht="15" hidden="false" customHeight="false" outlineLevel="0" collapsed="false">
      <c r="B2884" s="19" t="s">
        <v>11065</v>
      </c>
      <c r="C2884" s="20" t="n">
        <f aca="false">ROUND(3.12/FX,2)</f>
        <v>0.43</v>
      </c>
      <c r="D2884" s="21" t="s">
        <v>6549</v>
      </c>
      <c r="E2884" s="21" t="s">
        <v>734</v>
      </c>
      <c r="F2884" s="21" t="s">
        <v>7823</v>
      </c>
      <c r="G2884" s="21" t="s">
        <v>7946</v>
      </c>
    </row>
    <row r="2885" customFormat="false" ht="15" hidden="false" customHeight="false" outlineLevel="0" collapsed="false">
      <c r="B2885" s="19" t="s">
        <v>11066</v>
      </c>
      <c r="C2885" s="20" t="n">
        <f aca="false">ROUND(3.12/FX,2)</f>
        <v>0.43</v>
      </c>
      <c r="D2885" s="21" t="s">
        <v>6706</v>
      </c>
      <c r="E2885" s="21" t="s">
        <v>734</v>
      </c>
      <c r="F2885" s="21" t="s">
        <v>7823</v>
      </c>
      <c r="G2885" s="21" t="s">
        <v>7833</v>
      </c>
    </row>
    <row r="2886" customFormat="false" ht="15" hidden="false" customHeight="false" outlineLevel="0" collapsed="false">
      <c r="B2886" s="19" t="s">
        <v>11067</v>
      </c>
      <c r="C2886" s="20" t="n">
        <f aca="false">ROUND(3.12/FX,2)</f>
        <v>0.43</v>
      </c>
      <c r="D2886" s="21" t="s">
        <v>6698</v>
      </c>
      <c r="E2886" s="21" t="s">
        <v>734</v>
      </c>
      <c r="F2886" s="21" t="s">
        <v>7823</v>
      </c>
      <c r="G2886" s="21" t="s">
        <v>7833</v>
      </c>
    </row>
    <row r="2887" customFormat="false" ht="15" hidden="false" customHeight="false" outlineLevel="0" collapsed="false">
      <c r="B2887" s="19" t="s">
        <v>11068</v>
      </c>
      <c r="C2887" s="20" t="n">
        <f aca="false">ROUND(3.12/FX,2)</f>
        <v>0.43</v>
      </c>
      <c r="D2887" s="21" t="s">
        <v>6549</v>
      </c>
      <c r="E2887" s="21" t="s">
        <v>734</v>
      </c>
      <c r="F2887" s="21" t="s">
        <v>7823</v>
      </c>
      <c r="G2887" s="21" t="s">
        <v>7860</v>
      </c>
    </row>
    <row r="2888" customFormat="false" ht="15" hidden="false" customHeight="false" outlineLevel="0" collapsed="false">
      <c r="B2888" s="19" t="s">
        <v>11069</v>
      </c>
      <c r="C2888" s="20" t="n">
        <f aca="false">ROUND(3.12/FX,2)</f>
        <v>0.43</v>
      </c>
      <c r="D2888" s="21" t="s">
        <v>6549</v>
      </c>
      <c r="E2888" s="21" t="s">
        <v>734</v>
      </c>
      <c r="F2888" s="21" t="s">
        <v>7823</v>
      </c>
      <c r="G2888" s="21" t="s">
        <v>8310</v>
      </c>
    </row>
    <row r="2889" customFormat="false" ht="15" hidden="false" customHeight="false" outlineLevel="0" collapsed="false">
      <c r="B2889" s="19" t="s">
        <v>11070</v>
      </c>
      <c r="C2889" s="20" t="n">
        <f aca="false">ROUND(3.12/FX,2)</f>
        <v>0.43</v>
      </c>
      <c r="D2889" s="21" t="s">
        <v>6549</v>
      </c>
      <c r="E2889" s="21" t="s">
        <v>734</v>
      </c>
      <c r="F2889" s="21" t="s">
        <v>7823</v>
      </c>
      <c r="G2889" s="21" t="s">
        <v>7893</v>
      </c>
    </row>
    <row r="2890" customFormat="false" ht="15" hidden="false" customHeight="false" outlineLevel="0" collapsed="false">
      <c r="B2890" s="19" t="s">
        <v>11071</v>
      </c>
      <c r="C2890" s="20" t="n">
        <f aca="false">ROUND(3.12/FX,2)</f>
        <v>0.43</v>
      </c>
      <c r="D2890" s="21" t="s">
        <v>6549</v>
      </c>
      <c r="E2890" s="21" t="s">
        <v>734</v>
      </c>
      <c r="F2890" s="21" t="s">
        <v>7823</v>
      </c>
      <c r="G2890" s="21" t="s">
        <v>7862</v>
      </c>
    </row>
    <row r="2891" customFormat="false" ht="15" hidden="false" customHeight="false" outlineLevel="0" collapsed="false">
      <c r="B2891" s="19" t="s">
        <v>11072</v>
      </c>
      <c r="C2891" s="20" t="n">
        <f aca="false">ROUND(3.12/FX,2)</f>
        <v>0.43</v>
      </c>
      <c r="D2891" s="21" t="s">
        <v>6549</v>
      </c>
      <c r="E2891" s="21" t="s">
        <v>734</v>
      </c>
      <c r="F2891" s="21" t="s">
        <v>7823</v>
      </c>
      <c r="G2891" s="21" t="s">
        <v>7864</v>
      </c>
    </row>
    <row r="2892" customFormat="false" ht="15" hidden="false" customHeight="false" outlineLevel="0" collapsed="false">
      <c r="B2892" s="19" t="s">
        <v>11073</v>
      </c>
      <c r="C2892" s="20" t="n">
        <f aca="false">ROUND(3.12/FX,2)</f>
        <v>0.43</v>
      </c>
      <c r="D2892" s="21" t="s">
        <v>6549</v>
      </c>
      <c r="E2892" s="21" t="s">
        <v>734</v>
      </c>
      <c r="F2892" s="21" t="s">
        <v>7823</v>
      </c>
      <c r="G2892" s="21" t="s">
        <v>7961</v>
      </c>
    </row>
    <row r="2893" customFormat="false" ht="15" hidden="false" customHeight="false" outlineLevel="0" collapsed="false">
      <c r="B2893" s="19" t="s">
        <v>11074</v>
      </c>
      <c r="C2893" s="20" t="n">
        <f aca="false">ROUND(3.12/FX,2)</f>
        <v>0.43</v>
      </c>
      <c r="D2893" s="21" t="s">
        <v>6549</v>
      </c>
      <c r="E2893" s="21" t="s">
        <v>734</v>
      </c>
      <c r="F2893" s="21" t="s">
        <v>7823</v>
      </c>
      <c r="G2893" s="21" t="s">
        <v>7872</v>
      </c>
    </row>
    <row r="2894" customFormat="false" ht="15" hidden="false" customHeight="false" outlineLevel="0" collapsed="false">
      <c r="B2894" s="19" t="s">
        <v>11075</v>
      </c>
      <c r="C2894" s="20" t="n">
        <f aca="false">ROUND(3.12/FX,2)</f>
        <v>0.43</v>
      </c>
      <c r="D2894" s="21" t="s">
        <v>6549</v>
      </c>
      <c r="E2894" s="21" t="s">
        <v>734</v>
      </c>
      <c r="F2894" s="21" t="s">
        <v>7823</v>
      </c>
      <c r="G2894" s="21" t="s">
        <v>7968</v>
      </c>
    </row>
    <row r="2895" customFormat="false" ht="15" hidden="false" customHeight="false" outlineLevel="0" collapsed="false">
      <c r="B2895" s="19" t="s">
        <v>11076</v>
      </c>
      <c r="C2895" s="20" t="n">
        <f aca="false">ROUND(3.12/FX,2)</f>
        <v>0.43</v>
      </c>
      <c r="D2895" s="21" t="s">
        <v>6706</v>
      </c>
      <c r="E2895" s="21" t="s">
        <v>734</v>
      </c>
      <c r="F2895" s="21" t="s">
        <v>7823</v>
      </c>
      <c r="G2895" s="21" t="s">
        <v>8379</v>
      </c>
    </row>
    <row r="2896" customFormat="false" ht="15" hidden="false" customHeight="false" outlineLevel="0" collapsed="false">
      <c r="B2896" s="19" t="s">
        <v>11077</v>
      </c>
      <c r="C2896" s="20" t="n">
        <f aca="false">ROUND(3.12/FX,2)</f>
        <v>0.43</v>
      </c>
      <c r="D2896" s="21" t="s">
        <v>6549</v>
      </c>
      <c r="E2896" s="21" t="s">
        <v>734</v>
      </c>
      <c r="F2896" s="21" t="s">
        <v>7823</v>
      </c>
      <c r="G2896" s="21" t="s">
        <v>7866</v>
      </c>
    </row>
    <row r="2897" customFormat="false" ht="15" hidden="false" customHeight="false" outlineLevel="0" collapsed="false">
      <c r="B2897" s="19" t="s">
        <v>11078</v>
      </c>
      <c r="C2897" s="20" t="n">
        <f aca="false">ROUND(1.82/FX,2)</f>
        <v>0.25</v>
      </c>
      <c r="D2897" s="21" t="s">
        <v>6549</v>
      </c>
      <c r="E2897" s="21" t="s">
        <v>734</v>
      </c>
      <c r="F2897" s="21" t="s">
        <v>11079</v>
      </c>
      <c r="G2897" s="21" t="s">
        <v>7918</v>
      </c>
    </row>
    <row r="2898" customFormat="false" ht="15" hidden="false" customHeight="false" outlineLevel="0" collapsed="false">
      <c r="B2898" s="19" t="s">
        <v>11080</v>
      </c>
      <c r="C2898" s="20" t="n">
        <f aca="false">ROUND(1.82/FX,2)</f>
        <v>0.25</v>
      </c>
      <c r="D2898" s="21" t="s">
        <v>6549</v>
      </c>
      <c r="E2898" s="21" t="s">
        <v>734</v>
      </c>
      <c r="F2898" s="21" t="s">
        <v>11079</v>
      </c>
      <c r="G2898" s="21" t="s">
        <v>7869</v>
      </c>
    </row>
    <row r="2899" customFormat="false" ht="15" hidden="false" customHeight="false" outlineLevel="0" collapsed="false">
      <c r="B2899" s="19" t="s">
        <v>11081</v>
      </c>
      <c r="C2899" s="20" t="n">
        <f aca="false">ROUND(1.43/FX,2)</f>
        <v>0.2</v>
      </c>
      <c r="D2899" s="21" t="s">
        <v>6549</v>
      </c>
      <c r="E2899" s="21" t="s">
        <v>734</v>
      </c>
      <c r="F2899" s="21" t="s">
        <v>11082</v>
      </c>
      <c r="G2899" s="21" t="s">
        <v>7862</v>
      </c>
    </row>
    <row r="2900" customFormat="false" ht="15" hidden="false" customHeight="false" outlineLevel="0" collapsed="false">
      <c r="B2900" s="19" t="s">
        <v>11083</v>
      </c>
      <c r="C2900" s="20" t="n">
        <f aca="false">ROUND(3.12/FX,2)</f>
        <v>0.43</v>
      </c>
      <c r="D2900" s="21" t="s">
        <v>6549</v>
      </c>
      <c r="E2900" s="21" t="s">
        <v>734</v>
      </c>
      <c r="F2900" s="21" t="s">
        <v>11084</v>
      </c>
      <c r="G2900" s="21" t="s">
        <v>11085</v>
      </c>
    </row>
    <row r="2901" customFormat="false" ht="15" hidden="false" customHeight="false" outlineLevel="0" collapsed="false">
      <c r="B2901" s="19" t="s">
        <v>11086</v>
      </c>
      <c r="C2901" s="20" t="n">
        <f aca="false">ROUND(3.12/FX,2)</f>
        <v>0.43</v>
      </c>
      <c r="D2901" s="21" t="s">
        <v>6549</v>
      </c>
      <c r="E2901" s="21" t="s">
        <v>734</v>
      </c>
      <c r="F2901" s="21" t="s">
        <v>11084</v>
      </c>
      <c r="G2901" s="21" t="s">
        <v>7847</v>
      </c>
    </row>
    <row r="2902" customFormat="false" ht="15" hidden="false" customHeight="false" outlineLevel="0" collapsed="false">
      <c r="B2902" s="19" t="s">
        <v>11087</v>
      </c>
      <c r="C2902" s="20" t="n">
        <f aca="false">ROUND(3.12/FX,2)</f>
        <v>0.43</v>
      </c>
      <c r="D2902" s="21" t="s">
        <v>6549</v>
      </c>
      <c r="E2902" s="21" t="s">
        <v>734</v>
      </c>
      <c r="F2902" s="21" t="s">
        <v>10864</v>
      </c>
      <c r="G2902" s="21" t="s">
        <v>7908</v>
      </c>
    </row>
    <row r="2903" customFormat="false" ht="15" hidden="false" customHeight="false" outlineLevel="0" collapsed="false">
      <c r="B2903" s="19" t="s">
        <v>11088</v>
      </c>
      <c r="C2903" s="20" t="n">
        <f aca="false">ROUND(3.12/FX,2)</f>
        <v>0.43</v>
      </c>
      <c r="D2903" s="21" t="s">
        <v>6549</v>
      </c>
      <c r="E2903" s="21" t="s">
        <v>734</v>
      </c>
      <c r="F2903" s="21" t="s">
        <v>10864</v>
      </c>
      <c r="G2903" s="21" t="s">
        <v>7843</v>
      </c>
    </row>
    <row r="2904" customFormat="false" ht="15" hidden="false" customHeight="false" outlineLevel="0" collapsed="false">
      <c r="B2904" s="19" t="s">
        <v>11089</v>
      </c>
      <c r="C2904" s="20" t="n">
        <f aca="false">ROUND(3.12/FX,2)</f>
        <v>0.43</v>
      </c>
      <c r="D2904" s="21" t="s">
        <v>6549</v>
      </c>
      <c r="E2904" s="21" t="s">
        <v>734</v>
      </c>
      <c r="F2904" s="21" t="s">
        <v>10864</v>
      </c>
      <c r="G2904" s="21" t="s">
        <v>8193</v>
      </c>
    </row>
    <row r="2905" customFormat="false" ht="15" hidden="false" customHeight="false" outlineLevel="0" collapsed="false">
      <c r="B2905" s="19" t="s">
        <v>11090</v>
      </c>
      <c r="C2905" s="20" t="n">
        <f aca="false">ROUND(3.12/FX,2)</f>
        <v>0.43</v>
      </c>
      <c r="D2905" s="21" t="s">
        <v>6549</v>
      </c>
      <c r="E2905" s="21" t="s">
        <v>734</v>
      </c>
      <c r="F2905" s="21" t="s">
        <v>10864</v>
      </c>
      <c r="G2905" s="21" t="s">
        <v>8196</v>
      </c>
    </row>
    <row r="2906" customFormat="false" ht="15" hidden="false" customHeight="false" outlineLevel="0" collapsed="false">
      <c r="B2906" s="19" t="s">
        <v>11091</v>
      </c>
      <c r="C2906" s="20" t="n">
        <f aca="false">ROUND(3.12/FX,2)</f>
        <v>0.43</v>
      </c>
      <c r="D2906" s="21" t="s">
        <v>6549</v>
      </c>
      <c r="E2906" s="21" t="s">
        <v>734</v>
      </c>
      <c r="F2906" s="21" t="s">
        <v>10864</v>
      </c>
      <c r="G2906" s="21" t="s">
        <v>7845</v>
      </c>
    </row>
    <row r="2907" customFormat="false" ht="15" hidden="false" customHeight="false" outlineLevel="0" collapsed="false">
      <c r="B2907" s="19" t="s">
        <v>11092</v>
      </c>
      <c r="C2907" s="20" t="n">
        <f aca="false">ROUND(3.12/FX,2)</f>
        <v>0.43</v>
      </c>
      <c r="D2907" s="21" t="s">
        <v>6706</v>
      </c>
      <c r="E2907" s="21" t="s">
        <v>734</v>
      </c>
      <c r="F2907" s="21" t="s">
        <v>10864</v>
      </c>
      <c r="G2907" s="21" t="s">
        <v>7922</v>
      </c>
    </row>
    <row r="2908" customFormat="false" ht="15" hidden="false" customHeight="false" outlineLevel="0" collapsed="false">
      <c r="B2908" s="19" t="s">
        <v>11093</v>
      </c>
      <c r="C2908" s="20" t="n">
        <f aca="false">ROUND(3.12/FX,2)</f>
        <v>0.43</v>
      </c>
      <c r="D2908" s="21" t="s">
        <v>6549</v>
      </c>
      <c r="E2908" s="21" t="s">
        <v>734</v>
      </c>
      <c r="F2908" s="21" t="s">
        <v>10864</v>
      </c>
      <c r="G2908" s="21" t="s">
        <v>7851</v>
      </c>
    </row>
    <row r="2909" customFormat="false" ht="15" hidden="false" customHeight="false" outlineLevel="0" collapsed="false">
      <c r="B2909" s="19" t="s">
        <v>11094</v>
      </c>
      <c r="C2909" s="20" t="n">
        <f aca="false">ROUND(3.12/FX,2)</f>
        <v>0.43</v>
      </c>
      <c r="D2909" s="21" t="s">
        <v>6549</v>
      </c>
      <c r="E2909" s="21" t="s">
        <v>734</v>
      </c>
      <c r="F2909" s="21" t="s">
        <v>10864</v>
      </c>
      <c r="G2909" s="21" t="s">
        <v>7853</v>
      </c>
    </row>
    <row r="2910" customFormat="false" ht="15" hidden="false" customHeight="false" outlineLevel="0" collapsed="false">
      <c r="B2910" s="19" t="s">
        <v>11095</v>
      </c>
      <c r="C2910" s="20" t="n">
        <f aca="false">ROUND(3.12/FX,2)</f>
        <v>0.43</v>
      </c>
      <c r="D2910" s="21" t="s">
        <v>6549</v>
      </c>
      <c r="E2910" s="21" t="s">
        <v>734</v>
      </c>
      <c r="F2910" s="21" t="s">
        <v>10864</v>
      </c>
      <c r="G2910" s="21" t="s">
        <v>7855</v>
      </c>
    </row>
    <row r="2911" customFormat="false" ht="15" hidden="false" customHeight="false" outlineLevel="0" collapsed="false">
      <c r="B2911" s="19" t="s">
        <v>11096</v>
      </c>
      <c r="C2911" s="20" t="n">
        <f aca="false">ROUND(3.12/FX,2)</f>
        <v>0.43</v>
      </c>
      <c r="D2911" s="21" t="s">
        <v>6549</v>
      </c>
      <c r="E2911" s="21" t="s">
        <v>734</v>
      </c>
      <c r="F2911" s="21" t="s">
        <v>10864</v>
      </c>
      <c r="G2911" s="21" t="s">
        <v>7829</v>
      </c>
    </row>
    <row r="2912" customFormat="false" ht="15" hidden="false" customHeight="false" outlineLevel="0" collapsed="false">
      <c r="B2912" s="19" t="s">
        <v>11097</v>
      </c>
      <c r="C2912" s="20" t="n">
        <f aca="false">ROUND(3.12/FX,2)</f>
        <v>0.43</v>
      </c>
      <c r="D2912" s="21" t="s">
        <v>6549</v>
      </c>
      <c r="E2912" s="21" t="s">
        <v>734</v>
      </c>
      <c r="F2912" s="21" t="s">
        <v>10864</v>
      </c>
      <c r="G2912" s="21" t="s">
        <v>7831</v>
      </c>
    </row>
    <row r="2913" customFormat="false" ht="15" hidden="false" customHeight="false" outlineLevel="0" collapsed="false">
      <c r="B2913" s="19" t="s">
        <v>11098</v>
      </c>
      <c r="C2913" s="20" t="n">
        <f aca="false">ROUND(3.12/FX,2)</f>
        <v>0.43</v>
      </c>
      <c r="D2913" s="21" t="s">
        <v>6549</v>
      </c>
      <c r="E2913" s="21" t="s">
        <v>734</v>
      </c>
      <c r="F2913" s="21" t="s">
        <v>10864</v>
      </c>
      <c r="G2913" s="21" t="s">
        <v>7833</v>
      </c>
    </row>
    <row r="2914" customFormat="false" ht="15" hidden="false" customHeight="false" outlineLevel="0" collapsed="false">
      <c r="B2914" s="19" t="s">
        <v>11099</v>
      </c>
      <c r="C2914" s="20" t="n">
        <f aca="false">ROUND(3.12/FX,2)</f>
        <v>0.43</v>
      </c>
      <c r="D2914" s="21" t="s">
        <v>6549</v>
      </c>
      <c r="E2914" s="21" t="s">
        <v>734</v>
      </c>
      <c r="F2914" s="21" t="s">
        <v>10864</v>
      </c>
      <c r="G2914" s="21" t="s">
        <v>7893</v>
      </c>
    </row>
    <row r="2915" customFormat="false" ht="15" hidden="false" customHeight="false" outlineLevel="0" collapsed="false">
      <c r="B2915" s="19" t="s">
        <v>11100</v>
      </c>
      <c r="C2915" s="20" t="n">
        <f aca="false">ROUND(3.12/FX,2)</f>
        <v>0.43</v>
      </c>
      <c r="D2915" s="21" t="s">
        <v>6549</v>
      </c>
      <c r="E2915" s="21" t="s">
        <v>734</v>
      </c>
      <c r="F2915" s="21" t="s">
        <v>10864</v>
      </c>
      <c r="G2915" s="21" t="s">
        <v>7862</v>
      </c>
    </row>
    <row r="2916" customFormat="false" ht="15" hidden="false" customHeight="false" outlineLevel="0" collapsed="false">
      <c r="B2916" s="19" t="s">
        <v>11101</v>
      </c>
      <c r="C2916" s="20" t="n">
        <f aca="false">ROUND(3.12/FX,2)</f>
        <v>0.43</v>
      </c>
      <c r="D2916" s="21" t="s">
        <v>6706</v>
      </c>
      <c r="E2916" s="21" t="s">
        <v>734</v>
      </c>
      <c r="F2916" s="21" t="s">
        <v>10864</v>
      </c>
      <c r="G2916" s="21" t="s">
        <v>7864</v>
      </c>
    </row>
    <row r="2917" customFormat="false" ht="15" hidden="false" customHeight="false" outlineLevel="0" collapsed="false">
      <c r="B2917" s="19" t="s">
        <v>11102</v>
      </c>
      <c r="C2917" s="20" t="n">
        <f aca="false">ROUND(3.12/FX,2)</f>
        <v>0.43</v>
      </c>
      <c r="D2917" s="21" t="s">
        <v>6549</v>
      </c>
      <c r="E2917" s="21" t="s">
        <v>734</v>
      </c>
      <c r="F2917" s="21" t="s">
        <v>10864</v>
      </c>
      <c r="G2917" s="21" t="s">
        <v>7872</v>
      </c>
    </row>
    <row r="2918" customFormat="false" ht="15" hidden="false" customHeight="false" outlineLevel="0" collapsed="false">
      <c r="B2918" s="19" t="s">
        <v>11103</v>
      </c>
      <c r="C2918" s="20" t="n">
        <f aca="false">ROUND(3.12/FX,2)</f>
        <v>0.43</v>
      </c>
      <c r="D2918" s="21" t="s">
        <v>6549</v>
      </c>
      <c r="E2918" s="21" t="s">
        <v>734</v>
      </c>
      <c r="F2918" s="21" t="s">
        <v>10864</v>
      </c>
      <c r="G2918" s="21" t="s">
        <v>7866</v>
      </c>
    </row>
    <row r="2919" customFormat="false" ht="15" hidden="false" customHeight="false" outlineLevel="0" collapsed="false">
      <c r="B2919" s="19" t="s">
        <v>11104</v>
      </c>
      <c r="C2919" s="20" t="n">
        <f aca="false">ROUND(3.12/FX,2)</f>
        <v>0.43</v>
      </c>
      <c r="D2919" s="21" t="s">
        <v>6549</v>
      </c>
      <c r="E2919" s="21" t="s">
        <v>734</v>
      </c>
      <c r="F2919" s="21" t="s">
        <v>7868</v>
      </c>
      <c r="G2919" s="21" t="s">
        <v>7916</v>
      </c>
    </row>
    <row r="2920" customFormat="false" ht="15" hidden="false" customHeight="false" outlineLevel="0" collapsed="false">
      <c r="B2920" s="19" t="s">
        <v>11105</v>
      </c>
      <c r="C2920" s="20" t="n">
        <f aca="false">ROUND(3.12/FX,2)</f>
        <v>0.43</v>
      </c>
      <c r="D2920" s="21" t="s">
        <v>6549</v>
      </c>
      <c r="E2920" s="21" t="s">
        <v>734</v>
      </c>
      <c r="F2920" s="21" t="s">
        <v>7868</v>
      </c>
      <c r="G2920" s="21" t="s">
        <v>7918</v>
      </c>
    </row>
    <row r="2921" customFormat="false" ht="15" hidden="false" customHeight="false" outlineLevel="0" collapsed="false">
      <c r="B2921" s="19" t="s">
        <v>11106</v>
      </c>
      <c r="C2921" s="20" t="n">
        <f aca="false">ROUND(3.12/FX,2)</f>
        <v>0.43</v>
      </c>
      <c r="D2921" s="21" t="s">
        <v>6549</v>
      </c>
      <c r="E2921" s="21" t="s">
        <v>734</v>
      </c>
      <c r="F2921" s="21" t="s">
        <v>7868</v>
      </c>
      <c r="G2921" s="21" t="s">
        <v>7847</v>
      </c>
    </row>
    <row r="2922" customFormat="false" ht="15" hidden="false" customHeight="false" outlineLevel="0" collapsed="false">
      <c r="B2922" s="19" t="s">
        <v>11107</v>
      </c>
      <c r="C2922" s="20" t="n">
        <f aca="false">ROUND(3.12/FX,2)</f>
        <v>0.43</v>
      </c>
      <c r="D2922" s="21" t="s">
        <v>6549</v>
      </c>
      <c r="E2922" s="21" t="s">
        <v>734</v>
      </c>
      <c r="F2922" s="21" t="s">
        <v>7868</v>
      </c>
      <c r="G2922" s="21" t="s">
        <v>7849</v>
      </c>
    </row>
    <row r="2923" customFormat="false" ht="15" hidden="false" customHeight="false" outlineLevel="0" collapsed="false">
      <c r="B2923" s="19" t="s">
        <v>11108</v>
      </c>
      <c r="C2923" s="20" t="n">
        <f aca="false">ROUND(3.12/FX,2)</f>
        <v>0.43</v>
      </c>
      <c r="D2923" s="21" t="s">
        <v>6549</v>
      </c>
      <c r="E2923" s="21" t="s">
        <v>734</v>
      </c>
      <c r="F2923" s="21" t="s">
        <v>7868</v>
      </c>
      <c r="G2923" s="21" t="s">
        <v>7922</v>
      </c>
    </row>
    <row r="2924" customFormat="false" ht="15" hidden="false" customHeight="false" outlineLevel="0" collapsed="false">
      <c r="B2924" s="19" t="s">
        <v>11109</v>
      </c>
      <c r="C2924" s="20" t="n">
        <f aca="false">ROUND(3.12/FX,2)</f>
        <v>0.43</v>
      </c>
      <c r="D2924" s="21" t="s">
        <v>6549</v>
      </c>
      <c r="E2924" s="21" t="s">
        <v>734</v>
      </c>
      <c r="F2924" s="21" t="s">
        <v>7868</v>
      </c>
      <c r="G2924" s="21" t="s">
        <v>7827</v>
      </c>
    </row>
    <row r="2925" customFormat="false" ht="15" hidden="false" customHeight="false" outlineLevel="0" collapsed="false">
      <c r="B2925" s="19" t="s">
        <v>11110</v>
      </c>
      <c r="C2925" s="20" t="n">
        <f aca="false">ROUND(3.12/FX,2)</f>
        <v>0.43</v>
      </c>
      <c r="D2925" s="21" t="s">
        <v>6549</v>
      </c>
      <c r="E2925" s="21" t="s">
        <v>734</v>
      </c>
      <c r="F2925" s="21" t="s">
        <v>7868</v>
      </c>
      <c r="G2925" s="21" t="s">
        <v>7853</v>
      </c>
    </row>
    <row r="2926" customFormat="false" ht="15" hidden="false" customHeight="false" outlineLevel="0" collapsed="false">
      <c r="B2926" s="19" t="s">
        <v>11111</v>
      </c>
      <c r="C2926" s="20" t="n">
        <f aca="false">ROUND(3.38/FX,2)</f>
        <v>0.47</v>
      </c>
      <c r="D2926" s="21" t="s">
        <v>7884</v>
      </c>
      <c r="E2926" s="21" t="s">
        <v>734</v>
      </c>
      <c r="F2926" s="21" t="s">
        <v>7868</v>
      </c>
      <c r="G2926" s="21" t="s">
        <v>7869</v>
      </c>
    </row>
    <row r="2927" customFormat="false" ht="15" hidden="false" customHeight="false" outlineLevel="0" collapsed="false">
      <c r="B2927" s="19" t="s">
        <v>11112</v>
      </c>
      <c r="C2927" s="20" t="n">
        <f aca="false">ROUND(3.12/FX,2)</f>
        <v>0.43</v>
      </c>
      <c r="D2927" s="21" t="s">
        <v>6549</v>
      </c>
      <c r="E2927" s="21" t="s">
        <v>734</v>
      </c>
      <c r="F2927" s="21" t="s">
        <v>7868</v>
      </c>
      <c r="G2927" s="21" t="s">
        <v>7869</v>
      </c>
    </row>
    <row r="2928" customFormat="false" ht="15" hidden="false" customHeight="false" outlineLevel="0" collapsed="false">
      <c r="B2928" s="19" t="s">
        <v>11113</v>
      </c>
      <c r="C2928" s="20" t="n">
        <f aca="false">ROUND(3.12/FX,2)</f>
        <v>0.43</v>
      </c>
      <c r="D2928" s="21" t="s">
        <v>6549</v>
      </c>
      <c r="E2928" s="21" t="s">
        <v>734</v>
      </c>
      <c r="F2928" s="21" t="s">
        <v>7868</v>
      </c>
      <c r="G2928" s="21" t="s">
        <v>7855</v>
      </c>
    </row>
    <row r="2929" customFormat="false" ht="15" hidden="false" customHeight="false" outlineLevel="0" collapsed="false">
      <c r="B2929" s="19" t="s">
        <v>11114</v>
      </c>
      <c r="C2929" s="20" t="n">
        <f aca="false">ROUND(3.12/FX,2)</f>
        <v>0.43</v>
      </c>
      <c r="D2929" s="21" t="s">
        <v>6549</v>
      </c>
      <c r="E2929" s="21" t="s">
        <v>734</v>
      </c>
      <c r="F2929" s="21" t="s">
        <v>7868</v>
      </c>
      <c r="G2929" s="21" t="s">
        <v>7933</v>
      </c>
    </row>
    <row r="2930" customFormat="false" ht="15" hidden="false" customHeight="false" outlineLevel="0" collapsed="false">
      <c r="B2930" s="19" t="s">
        <v>11115</v>
      </c>
      <c r="C2930" s="20" t="n">
        <f aca="false">ROUND(3.12/FX,2)</f>
        <v>0.43</v>
      </c>
      <c r="D2930" s="21" t="s">
        <v>6549</v>
      </c>
      <c r="E2930" s="21" t="s">
        <v>734</v>
      </c>
      <c r="F2930" s="21" t="s">
        <v>7868</v>
      </c>
      <c r="G2930" s="21" t="s">
        <v>7831</v>
      </c>
    </row>
    <row r="2931" customFormat="false" ht="15" hidden="false" customHeight="false" outlineLevel="0" collapsed="false">
      <c r="B2931" s="19" t="s">
        <v>11116</v>
      </c>
      <c r="C2931" s="20" t="n">
        <f aca="false">ROUND(3.12/FX,2)</f>
        <v>0.43</v>
      </c>
      <c r="D2931" s="21" t="s">
        <v>6549</v>
      </c>
      <c r="E2931" s="21" t="s">
        <v>734</v>
      </c>
      <c r="F2931" s="21" t="s">
        <v>7868</v>
      </c>
      <c r="G2931" s="21" t="s">
        <v>7944</v>
      </c>
    </row>
    <row r="2932" customFormat="false" ht="15" hidden="false" customHeight="false" outlineLevel="0" collapsed="false">
      <c r="B2932" s="19" t="s">
        <v>11117</v>
      </c>
      <c r="C2932" s="20" t="n">
        <f aca="false">ROUND(3.12/FX,2)</f>
        <v>0.43</v>
      </c>
      <c r="D2932" s="21" t="s">
        <v>6549</v>
      </c>
      <c r="E2932" s="21" t="s">
        <v>734</v>
      </c>
      <c r="F2932" s="21" t="s">
        <v>7868</v>
      </c>
      <c r="G2932" s="21" t="s">
        <v>7891</v>
      </c>
    </row>
    <row r="2933" customFormat="false" ht="15" hidden="false" customHeight="false" outlineLevel="0" collapsed="false">
      <c r="B2933" s="19" t="s">
        <v>11118</v>
      </c>
      <c r="C2933" s="20" t="n">
        <f aca="false">ROUND(3.12/FX,2)</f>
        <v>0.43</v>
      </c>
      <c r="D2933" s="21" t="s">
        <v>6549</v>
      </c>
      <c r="E2933" s="21" t="s">
        <v>734</v>
      </c>
      <c r="F2933" s="21" t="s">
        <v>7868</v>
      </c>
      <c r="G2933" s="21" t="s">
        <v>7860</v>
      </c>
    </row>
    <row r="2934" customFormat="false" ht="15" hidden="false" customHeight="false" outlineLevel="0" collapsed="false">
      <c r="B2934" s="19" t="s">
        <v>11119</v>
      </c>
      <c r="C2934" s="20" t="n">
        <f aca="false">ROUND(3.12/FX,2)</f>
        <v>0.43</v>
      </c>
      <c r="D2934" s="21" t="s">
        <v>6549</v>
      </c>
      <c r="E2934" s="21" t="s">
        <v>734</v>
      </c>
      <c r="F2934" s="21" t="s">
        <v>7868</v>
      </c>
      <c r="G2934" s="21" t="s">
        <v>7895</v>
      </c>
    </row>
    <row r="2935" customFormat="false" ht="15" hidden="false" customHeight="false" outlineLevel="0" collapsed="false">
      <c r="B2935" s="19" t="s">
        <v>11120</v>
      </c>
      <c r="C2935" s="20" t="n">
        <f aca="false">ROUND(3.12/FX,2)</f>
        <v>0.43</v>
      </c>
      <c r="D2935" s="21" t="s">
        <v>6549</v>
      </c>
      <c r="E2935" s="21" t="s">
        <v>734</v>
      </c>
      <c r="F2935" s="21" t="s">
        <v>7868</v>
      </c>
      <c r="G2935" s="21" t="s">
        <v>7862</v>
      </c>
    </row>
    <row r="2936" customFormat="false" ht="15" hidden="false" customHeight="false" outlineLevel="0" collapsed="false">
      <c r="B2936" s="19" t="s">
        <v>11121</v>
      </c>
      <c r="C2936" s="20" t="n">
        <f aca="false">ROUND(3.12/FX,2)</f>
        <v>0.43</v>
      </c>
      <c r="D2936" s="21" t="s">
        <v>6549</v>
      </c>
      <c r="E2936" s="21" t="s">
        <v>734</v>
      </c>
      <c r="F2936" s="21" t="s">
        <v>7868</v>
      </c>
      <c r="G2936" s="21" t="s">
        <v>7864</v>
      </c>
    </row>
    <row r="2937" customFormat="false" ht="15" hidden="false" customHeight="false" outlineLevel="0" collapsed="false">
      <c r="B2937" s="19" t="s">
        <v>11122</v>
      </c>
      <c r="C2937" s="20" t="n">
        <f aca="false">ROUND(3.12/FX,2)</f>
        <v>0.43</v>
      </c>
      <c r="D2937" s="21" t="s">
        <v>6549</v>
      </c>
      <c r="E2937" s="21" t="s">
        <v>734</v>
      </c>
      <c r="F2937" s="21" t="s">
        <v>7868</v>
      </c>
      <c r="G2937" s="21" t="s">
        <v>7872</v>
      </c>
    </row>
    <row r="2938" customFormat="false" ht="15" hidden="false" customHeight="false" outlineLevel="0" collapsed="false">
      <c r="B2938" s="19" t="s">
        <v>11123</v>
      </c>
      <c r="C2938" s="20" t="n">
        <f aca="false">ROUND(3.38/FX,2)</f>
        <v>0.47</v>
      </c>
      <c r="D2938" s="21" t="s">
        <v>7884</v>
      </c>
      <c r="E2938" s="21" t="s">
        <v>734</v>
      </c>
      <c r="F2938" s="21" t="s">
        <v>7868</v>
      </c>
      <c r="G2938" s="21" t="s">
        <v>7899</v>
      </c>
    </row>
    <row r="2939" customFormat="false" ht="15" hidden="false" customHeight="false" outlineLevel="0" collapsed="false">
      <c r="B2939" s="19" t="s">
        <v>11124</v>
      </c>
      <c r="C2939" s="20" t="n">
        <f aca="false">ROUND(3.12/FX,2)</f>
        <v>0.43</v>
      </c>
      <c r="D2939" s="21" t="s">
        <v>6549</v>
      </c>
      <c r="E2939" s="21" t="s">
        <v>734</v>
      </c>
      <c r="F2939" s="21" t="s">
        <v>7868</v>
      </c>
      <c r="G2939" s="21" t="s">
        <v>7899</v>
      </c>
    </row>
    <row r="2940" customFormat="false" ht="15" hidden="false" customHeight="false" outlineLevel="0" collapsed="false">
      <c r="B2940" s="19" t="s">
        <v>11125</v>
      </c>
      <c r="C2940" s="20" t="n">
        <f aca="false">ROUND(2.34/FX,2)</f>
        <v>0.33</v>
      </c>
      <c r="D2940" s="21" t="s">
        <v>6549</v>
      </c>
      <c r="E2940" s="21" t="s">
        <v>734</v>
      </c>
      <c r="F2940" s="21" t="s">
        <v>11126</v>
      </c>
      <c r="G2940" s="21" t="s">
        <v>7833</v>
      </c>
    </row>
    <row r="2941" customFormat="false" ht="15" hidden="false" customHeight="false" outlineLevel="0" collapsed="false">
      <c r="B2941" s="19" t="s">
        <v>11127</v>
      </c>
      <c r="C2941" s="20" t="n">
        <f aca="false">ROUND(2.34/FX,2)</f>
        <v>0.33</v>
      </c>
      <c r="D2941" s="21" t="s">
        <v>6549</v>
      </c>
      <c r="E2941" s="21" t="s">
        <v>734</v>
      </c>
      <c r="F2941" s="21" t="s">
        <v>11126</v>
      </c>
      <c r="G2941" s="21" t="s">
        <v>7872</v>
      </c>
    </row>
    <row r="2942" customFormat="false" ht="15" hidden="false" customHeight="false" outlineLevel="0" collapsed="false">
      <c r="B2942" s="19" t="s">
        <v>11128</v>
      </c>
      <c r="C2942" s="20" t="n">
        <f aca="false">ROUND(2.08/FX,2)</f>
        <v>0.29</v>
      </c>
      <c r="D2942" s="21" t="s">
        <v>6549</v>
      </c>
      <c r="E2942" s="21" t="s">
        <v>734</v>
      </c>
      <c r="F2942" s="21" t="s">
        <v>11126</v>
      </c>
      <c r="G2942" s="21" t="s">
        <v>7866</v>
      </c>
    </row>
    <row r="2943" customFormat="false" ht="15" hidden="false" customHeight="false" outlineLevel="0" collapsed="false">
      <c r="B2943" s="19" t="s">
        <v>11129</v>
      </c>
      <c r="C2943" s="20" t="n">
        <f aca="false">ROUND(3.12/FX,2)</f>
        <v>0.43</v>
      </c>
      <c r="D2943" s="21" t="s">
        <v>7884</v>
      </c>
      <c r="E2943" s="21" t="s">
        <v>734</v>
      </c>
      <c r="F2943" s="21" t="s">
        <v>11130</v>
      </c>
      <c r="G2943" s="21" t="s">
        <v>7875</v>
      </c>
    </row>
    <row r="2944" customFormat="false" ht="15" hidden="false" customHeight="false" outlineLevel="0" collapsed="false">
      <c r="B2944" s="19" t="s">
        <v>11131</v>
      </c>
      <c r="C2944" s="20" t="n">
        <f aca="false">ROUND(2.86/FX,2)</f>
        <v>0.4</v>
      </c>
      <c r="D2944" s="21" t="s">
        <v>6706</v>
      </c>
      <c r="E2944" s="21" t="s">
        <v>734</v>
      </c>
      <c r="F2944" s="21" t="s">
        <v>11130</v>
      </c>
      <c r="G2944" s="21" t="s">
        <v>7875</v>
      </c>
    </row>
    <row r="2945" customFormat="false" ht="15" hidden="false" customHeight="false" outlineLevel="0" collapsed="false">
      <c r="B2945" s="19" t="s">
        <v>11132</v>
      </c>
      <c r="C2945" s="20" t="n">
        <f aca="false">ROUND(3.12/FX,2)</f>
        <v>0.43</v>
      </c>
      <c r="D2945" s="21" t="s">
        <v>7884</v>
      </c>
      <c r="E2945" s="21" t="s">
        <v>734</v>
      </c>
      <c r="F2945" s="21" t="s">
        <v>11130</v>
      </c>
      <c r="G2945" s="21" t="s">
        <v>7999</v>
      </c>
    </row>
    <row r="2946" customFormat="false" ht="15" hidden="false" customHeight="false" outlineLevel="0" collapsed="false">
      <c r="B2946" s="19" t="s">
        <v>11133</v>
      </c>
      <c r="C2946" s="20" t="n">
        <f aca="false">ROUND(3.12/FX,2)</f>
        <v>0.43</v>
      </c>
      <c r="D2946" s="21" t="s">
        <v>7884</v>
      </c>
      <c r="E2946" s="21" t="s">
        <v>734</v>
      </c>
      <c r="F2946" s="21" t="s">
        <v>11130</v>
      </c>
      <c r="G2946" s="21" t="s">
        <v>7916</v>
      </c>
    </row>
    <row r="2947" customFormat="false" ht="15" hidden="false" customHeight="false" outlineLevel="0" collapsed="false">
      <c r="B2947" s="19" t="s">
        <v>11134</v>
      </c>
      <c r="C2947" s="20" t="n">
        <f aca="false">ROUND(3.12/FX,2)</f>
        <v>0.43</v>
      </c>
      <c r="D2947" s="21" t="s">
        <v>6549</v>
      </c>
      <c r="E2947" s="21" t="s">
        <v>734</v>
      </c>
      <c r="F2947" s="21" t="s">
        <v>11130</v>
      </c>
      <c r="G2947" s="21" t="s">
        <v>7918</v>
      </c>
    </row>
    <row r="2948" customFormat="false" ht="15" hidden="false" customHeight="false" outlineLevel="0" collapsed="false">
      <c r="B2948" s="19" t="s">
        <v>11135</v>
      </c>
      <c r="C2948" s="20" t="n">
        <f aca="false">ROUND(3.12/FX,2)</f>
        <v>0.43</v>
      </c>
      <c r="D2948" s="21" t="s">
        <v>7884</v>
      </c>
      <c r="E2948" s="21" t="s">
        <v>734</v>
      </c>
      <c r="F2948" s="21" t="s">
        <v>11130</v>
      </c>
      <c r="G2948" s="21" t="s">
        <v>7847</v>
      </c>
    </row>
    <row r="2949" customFormat="false" ht="15" hidden="false" customHeight="false" outlineLevel="0" collapsed="false">
      <c r="B2949" s="19" t="s">
        <v>11136</v>
      </c>
      <c r="C2949" s="20" t="n">
        <f aca="false">ROUND(3.12/FX,2)</f>
        <v>0.43</v>
      </c>
      <c r="D2949" s="21" t="s">
        <v>7884</v>
      </c>
      <c r="E2949" s="21" t="s">
        <v>734</v>
      </c>
      <c r="F2949" s="21" t="s">
        <v>11130</v>
      </c>
      <c r="G2949" s="21" t="s">
        <v>7849</v>
      </c>
    </row>
    <row r="2950" customFormat="false" ht="15" hidden="false" customHeight="false" outlineLevel="0" collapsed="false">
      <c r="B2950" s="19" t="s">
        <v>11137</v>
      </c>
      <c r="C2950" s="20" t="n">
        <f aca="false">ROUND(3.12/FX,2)</f>
        <v>0.43</v>
      </c>
      <c r="D2950" s="21" t="s">
        <v>7884</v>
      </c>
      <c r="E2950" s="21" t="s">
        <v>734</v>
      </c>
      <c r="F2950" s="21" t="s">
        <v>11130</v>
      </c>
      <c r="G2950" s="21" t="s">
        <v>7827</v>
      </c>
    </row>
    <row r="2951" customFormat="false" ht="15" hidden="false" customHeight="false" outlineLevel="0" collapsed="false">
      <c r="B2951" s="19" t="s">
        <v>11138</v>
      </c>
      <c r="C2951" s="20" t="n">
        <f aca="false">ROUND(3.12/FX,2)</f>
        <v>0.43</v>
      </c>
      <c r="D2951" s="21" t="s">
        <v>6549</v>
      </c>
      <c r="E2951" s="21" t="s">
        <v>734</v>
      </c>
      <c r="F2951" s="21" t="s">
        <v>11130</v>
      </c>
      <c r="G2951" s="21" t="s">
        <v>7827</v>
      </c>
    </row>
    <row r="2952" customFormat="false" ht="15" hidden="false" customHeight="false" outlineLevel="0" collapsed="false">
      <c r="B2952" s="19" t="s">
        <v>11139</v>
      </c>
      <c r="C2952" s="20" t="n">
        <f aca="false">ROUND(3.12/FX,2)</f>
        <v>0.43</v>
      </c>
      <c r="D2952" s="21" t="s">
        <v>7884</v>
      </c>
      <c r="E2952" s="21" t="s">
        <v>734</v>
      </c>
      <c r="F2952" s="21" t="s">
        <v>11130</v>
      </c>
      <c r="G2952" s="21" t="s">
        <v>7853</v>
      </c>
    </row>
    <row r="2953" customFormat="false" ht="15" hidden="false" customHeight="false" outlineLevel="0" collapsed="false">
      <c r="B2953" s="19" t="s">
        <v>11140</v>
      </c>
      <c r="C2953" s="20" t="n">
        <f aca="false">ROUND(3.12/FX,2)</f>
        <v>0.43</v>
      </c>
      <c r="D2953" s="21" t="s">
        <v>6706</v>
      </c>
      <c r="E2953" s="21" t="s">
        <v>734</v>
      </c>
      <c r="F2953" s="21" t="s">
        <v>11130</v>
      </c>
      <c r="G2953" s="21" t="s">
        <v>7853</v>
      </c>
    </row>
    <row r="2954" customFormat="false" ht="15" hidden="false" customHeight="false" outlineLevel="0" collapsed="false">
      <c r="B2954" s="19" t="s">
        <v>11141</v>
      </c>
      <c r="C2954" s="20" t="n">
        <f aca="false">ROUND(3.12/FX,2)</f>
        <v>0.43</v>
      </c>
      <c r="D2954" s="21" t="s">
        <v>7884</v>
      </c>
      <c r="E2954" s="21" t="s">
        <v>734</v>
      </c>
      <c r="F2954" s="21" t="s">
        <v>11130</v>
      </c>
      <c r="G2954" s="21" t="s">
        <v>7869</v>
      </c>
    </row>
    <row r="2955" customFormat="false" ht="15" hidden="false" customHeight="false" outlineLevel="0" collapsed="false">
      <c r="B2955" s="19" t="s">
        <v>11142</v>
      </c>
      <c r="C2955" s="20" t="n">
        <f aca="false">ROUND(2.86/FX,2)</f>
        <v>0.4</v>
      </c>
      <c r="D2955" s="21" t="s">
        <v>6549</v>
      </c>
      <c r="E2955" s="21" t="s">
        <v>734</v>
      </c>
      <c r="F2955" s="21" t="s">
        <v>11130</v>
      </c>
      <c r="G2955" s="21" t="s">
        <v>7869</v>
      </c>
    </row>
    <row r="2956" customFormat="false" ht="15" hidden="false" customHeight="false" outlineLevel="0" collapsed="false">
      <c r="B2956" s="19" t="s">
        <v>11143</v>
      </c>
      <c r="C2956" s="20" t="n">
        <f aca="false">ROUND(3.12/FX,2)</f>
        <v>0.43</v>
      </c>
      <c r="D2956" s="21" t="s">
        <v>6706</v>
      </c>
      <c r="E2956" s="21" t="s">
        <v>734</v>
      </c>
      <c r="F2956" s="21" t="s">
        <v>11130</v>
      </c>
      <c r="G2956" s="21" t="s">
        <v>7933</v>
      </c>
    </row>
    <row r="2957" customFormat="false" ht="15" hidden="false" customHeight="false" outlineLevel="0" collapsed="false">
      <c r="B2957" s="19" t="s">
        <v>11144</v>
      </c>
      <c r="C2957" s="20" t="n">
        <f aca="false">ROUND(3.12/FX,2)</f>
        <v>0.43</v>
      </c>
      <c r="D2957" s="21" t="s">
        <v>7884</v>
      </c>
      <c r="E2957" s="21" t="s">
        <v>734</v>
      </c>
      <c r="F2957" s="21" t="s">
        <v>11130</v>
      </c>
      <c r="G2957" s="21" t="s">
        <v>7881</v>
      </c>
    </row>
    <row r="2958" customFormat="false" ht="15" hidden="false" customHeight="false" outlineLevel="0" collapsed="false">
      <c r="B2958" s="19" t="s">
        <v>11145</v>
      </c>
      <c r="C2958" s="20" t="n">
        <f aca="false">ROUND(3.12/FX,2)</f>
        <v>0.43</v>
      </c>
      <c r="D2958" s="21" t="s">
        <v>6549</v>
      </c>
      <c r="E2958" s="21" t="s">
        <v>734</v>
      </c>
      <c r="F2958" s="21" t="s">
        <v>11130</v>
      </c>
      <c r="G2958" s="21" t="s">
        <v>7881</v>
      </c>
    </row>
    <row r="2959" customFormat="false" ht="15" hidden="false" customHeight="false" outlineLevel="0" collapsed="false">
      <c r="B2959" s="19" t="s">
        <v>11146</v>
      </c>
      <c r="C2959" s="20" t="n">
        <f aca="false">ROUND(3.12/FX,2)</f>
        <v>0.43</v>
      </c>
      <c r="D2959" s="21" t="s">
        <v>7884</v>
      </c>
      <c r="E2959" s="21" t="s">
        <v>734</v>
      </c>
      <c r="F2959" s="21" t="s">
        <v>11130</v>
      </c>
      <c r="G2959" s="21" t="s">
        <v>7989</v>
      </c>
    </row>
    <row r="2960" customFormat="false" ht="15" hidden="false" customHeight="false" outlineLevel="0" collapsed="false">
      <c r="B2960" s="19" t="s">
        <v>11147</v>
      </c>
      <c r="C2960" s="20" t="n">
        <f aca="false">ROUND(3.12/FX,2)</f>
        <v>0.43</v>
      </c>
      <c r="D2960" s="21" t="s">
        <v>7884</v>
      </c>
      <c r="E2960" s="21" t="s">
        <v>734</v>
      </c>
      <c r="F2960" s="21" t="s">
        <v>11130</v>
      </c>
      <c r="G2960" s="21" t="s">
        <v>7831</v>
      </c>
    </row>
    <row r="2961" customFormat="false" ht="15" hidden="false" customHeight="false" outlineLevel="0" collapsed="false">
      <c r="B2961" s="19" t="s">
        <v>11148</v>
      </c>
      <c r="C2961" s="20" t="n">
        <f aca="false">ROUND(2.86/FX,2)</f>
        <v>0.4</v>
      </c>
      <c r="D2961" s="21" t="s">
        <v>6706</v>
      </c>
      <c r="E2961" s="21" t="s">
        <v>734</v>
      </c>
      <c r="F2961" s="21" t="s">
        <v>11130</v>
      </c>
      <c r="G2961" s="21" t="s">
        <v>7831</v>
      </c>
    </row>
    <row r="2962" customFormat="false" ht="15" hidden="false" customHeight="false" outlineLevel="0" collapsed="false">
      <c r="B2962" s="19" t="s">
        <v>11149</v>
      </c>
      <c r="C2962" s="20" t="n">
        <f aca="false">ROUND(3.12/FX,2)</f>
        <v>0.43</v>
      </c>
      <c r="D2962" s="21" t="s">
        <v>7884</v>
      </c>
      <c r="E2962" s="21" t="s">
        <v>734</v>
      </c>
      <c r="F2962" s="21" t="s">
        <v>11130</v>
      </c>
      <c r="G2962" s="21" t="s">
        <v>7944</v>
      </c>
    </row>
    <row r="2963" customFormat="false" ht="15" hidden="false" customHeight="false" outlineLevel="0" collapsed="false">
      <c r="B2963" s="19" t="s">
        <v>11150</v>
      </c>
      <c r="C2963" s="20" t="n">
        <f aca="false">ROUND(3.12/FX,2)</f>
        <v>0.43</v>
      </c>
      <c r="D2963" s="21" t="s">
        <v>6706</v>
      </c>
      <c r="E2963" s="21" t="s">
        <v>734</v>
      </c>
      <c r="F2963" s="21" t="s">
        <v>11130</v>
      </c>
      <c r="G2963" s="21" t="s">
        <v>7944</v>
      </c>
    </row>
    <row r="2964" customFormat="false" ht="15" hidden="false" customHeight="false" outlineLevel="0" collapsed="false">
      <c r="B2964" s="19" t="s">
        <v>11151</v>
      </c>
      <c r="C2964" s="20" t="n">
        <f aca="false">ROUND(2.86/FX,2)</f>
        <v>0.4</v>
      </c>
      <c r="D2964" s="21" t="s">
        <v>6706</v>
      </c>
      <c r="E2964" s="21" t="s">
        <v>734</v>
      </c>
      <c r="F2964" s="21" t="s">
        <v>11130</v>
      </c>
      <c r="G2964" s="21" t="s">
        <v>7833</v>
      </c>
    </row>
    <row r="2965" customFormat="false" ht="15" hidden="false" customHeight="false" outlineLevel="0" collapsed="false">
      <c r="B2965" s="19" t="s">
        <v>11152</v>
      </c>
      <c r="C2965" s="20" t="n">
        <f aca="false">ROUND(3.12/FX,2)</f>
        <v>0.43</v>
      </c>
      <c r="D2965" s="21" t="s">
        <v>7884</v>
      </c>
      <c r="E2965" s="21" t="s">
        <v>734</v>
      </c>
      <c r="F2965" s="21" t="s">
        <v>11130</v>
      </c>
      <c r="G2965" s="21" t="s">
        <v>8294</v>
      </c>
    </row>
    <row r="2966" customFormat="false" ht="15" hidden="false" customHeight="false" outlineLevel="0" collapsed="false">
      <c r="B2966" s="19" t="s">
        <v>11153</v>
      </c>
      <c r="C2966" s="20" t="n">
        <f aca="false">ROUND(3.12/FX,2)</f>
        <v>0.43</v>
      </c>
      <c r="D2966" s="21" t="s">
        <v>6706</v>
      </c>
      <c r="E2966" s="21" t="s">
        <v>734</v>
      </c>
      <c r="F2966" s="21" t="s">
        <v>11130</v>
      </c>
      <c r="G2966" s="21" t="s">
        <v>7891</v>
      </c>
    </row>
    <row r="2967" customFormat="false" ht="15" hidden="false" customHeight="false" outlineLevel="0" collapsed="false">
      <c r="B2967" s="19" t="s">
        <v>11154</v>
      </c>
      <c r="C2967" s="20" t="n">
        <f aca="false">ROUND(3.12/FX,2)</f>
        <v>0.43</v>
      </c>
      <c r="D2967" s="21" t="s">
        <v>7884</v>
      </c>
      <c r="E2967" s="21" t="s">
        <v>734</v>
      </c>
      <c r="F2967" s="21" t="s">
        <v>11130</v>
      </c>
      <c r="G2967" s="21" t="s">
        <v>7860</v>
      </c>
    </row>
    <row r="2968" customFormat="false" ht="15" hidden="false" customHeight="false" outlineLevel="0" collapsed="false">
      <c r="B2968" s="19" t="s">
        <v>11155</v>
      </c>
      <c r="C2968" s="20" t="n">
        <f aca="false">ROUND(3.12/FX,2)</f>
        <v>0.43</v>
      </c>
      <c r="D2968" s="21" t="s">
        <v>6706</v>
      </c>
      <c r="E2968" s="21" t="s">
        <v>734</v>
      </c>
      <c r="F2968" s="21" t="s">
        <v>11130</v>
      </c>
      <c r="G2968" s="21" t="s">
        <v>7860</v>
      </c>
    </row>
    <row r="2969" customFormat="false" ht="15" hidden="false" customHeight="false" outlineLevel="0" collapsed="false">
      <c r="B2969" s="19" t="s">
        <v>11156</v>
      </c>
      <c r="C2969" s="20" t="n">
        <f aca="false">ROUND(3.12/FX,2)</f>
        <v>0.43</v>
      </c>
      <c r="D2969" s="21" t="s">
        <v>7884</v>
      </c>
      <c r="E2969" s="21" t="s">
        <v>734</v>
      </c>
      <c r="F2969" s="21" t="s">
        <v>11130</v>
      </c>
      <c r="G2969" s="21" t="s">
        <v>7893</v>
      </c>
    </row>
    <row r="2970" customFormat="false" ht="15" hidden="false" customHeight="false" outlineLevel="0" collapsed="false">
      <c r="B2970" s="19" t="s">
        <v>11157</v>
      </c>
      <c r="C2970" s="20" t="n">
        <f aca="false">ROUND(2.86/FX,2)</f>
        <v>0.4</v>
      </c>
      <c r="D2970" s="21" t="s">
        <v>6706</v>
      </c>
      <c r="E2970" s="21" t="s">
        <v>734</v>
      </c>
      <c r="F2970" s="21" t="s">
        <v>11130</v>
      </c>
      <c r="G2970" s="21" t="s">
        <v>7893</v>
      </c>
    </row>
    <row r="2971" customFormat="false" ht="15" hidden="false" customHeight="false" outlineLevel="0" collapsed="false">
      <c r="B2971" s="19" t="s">
        <v>11158</v>
      </c>
      <c r="C2971" s="20" t="n">
        <f aca="false">ROUND(3.12/FX,2)</f>
        <v>0.43</v>
      </c>
      <c r="D2971" s="21" t="s">
        <v>7884</v>
      </c>
      <c r="E2971" s="21" t="s">
        <v>734</v>
      </c>
      <c r="F2971" s="21" t="s">
        <v>11130</v>
      </c>
      <c r="G2971" s="21" t="s">
        <v>7895</v>
      </c>
    </row>
    <row r="2972" customFormat="false" ht="15" hidden="false" customHeight="false" outlineLevel="0" collapsed="false">
      <c r="B2972" s="19" t="s">
        <v>11159</v>
      </c>
      <c r="C2972" s="20" t="n">
        <f aca="false">ROUND(2.86/FX,2)</f>
        <v>0.4</v>
      </c>
      <c r="D2972" s="21" t="s">
        <v>6549</v>
      </c>
      <c r="E2972" s="21" t="s">
        <v>734</v>
      </c>
      <c r="F2972" s="21" t="s">
        <v>11130</v>
      </c>
      <c r="G2972" s="21" t="s">
        <v>7895</v>
      </c>
    </row>
    <row r="2973" customFormat="false" ht="15" hidden="false" customHeight="false" outlineLevel="0" collapsed="false">
      <c r="B2973" s="19" t="s">
        <v>11160</v>
      </c>
      <c r="C2973" s="20" t="n">
        <f aca="false">ROUND(3.12/FX,2)</f>
        <v>0.43</v>
      </c>
      <c r="D2973" s="21" t="s">
        <v>7884</v>
      </c>
      <c r="E2973" s="21" t="s">
        <v>734</v>
      </c>
      <c r="F2973" s="21" t="s">
        <v>11130</v>
      </c>
      <c r="G2973" s="21" t="s">
        <v>7862</v>
      </c>
    </row>
    <row r="2974" customFormat="false" ht="15" hidden="false" customHeight="false" outlineLevel="0" collapsed="false">
      <c r="B2974" s="19" t="s">
        <v>11161</v>
      </c>
      <c r="C2974" s="20" t="n">
        <f aca="false">ROUND(3.12/FX,2)</f>
        <v>0.43</v>
      </c>
      <c r="D2974" s="21" t="s">
        <v>6706</v>
      </c>
      <c r="E2974" s="21" t="s">
        <v>734</v>
      </c>
      <c r="F2974" s="21" t="s">
        <v>11130</v>
      </c>
      <c r="G2974" s="21" t="s">
        <v>7862</v>
      </c>
    </row>
    <row r="2975" customFormat="false" ht="15" hidden="false" customHeight="false" outlineLevel="0" collapsed="false">
      <c r="B2975" s="19" t="s">
        <v>11162</v>
      </c>
      <c r="C2975" s="20" t="n">
        <f aca="false">ROUND(3.12/FX,2)</f>
        <v>0.43</v>
      </c>
      <c r="D2975" s="21" t="s">
        <v>7884</v>
      </c>
      <c r="E2975" s="21" t="s">
        <v>734</v>
      </c>
      <c r="F2975" s="21" t="s">
        <v>11130</v>
      </c>
      <c r="G2975" s="21" t="s">
        <v>7864</v>
      </c>
    </row>
    <row r="2976" customFormat="false" ht="15" hidden="false" customHeight="false" outlineLevel="0" collapsed="false">
      <c r="B2976" s="19" t="s">
        <v>11163</v>
      </c>
      <c r="C2976" s="20" t="n">
        <f aca="false">ROUND(2.86/FX,2)</f>
        <v>0.4</v>
      </c>
      <c r="D2976" s="21" t="s">
        <v>6549</v>
      </c>
      <c r="E2976" s="21" t="s">
        <v>734</v>
      </c>
      <c r="F2976" s="21" t="s">
        <v>11130</v>
      </c>
      <c r="G2976" s="21" t="s">
        <v>7864</v>
      </c>
    </row>
    <row r="2977" customFormat="false" ht="15" hidden="false" customHeight="false" outlineLevel="0" collapsed="false">
      <c r="B2977" s="19" t="s">
        <v>11164</v>
      </c>
      <c r="C2977" s="20" t="n">
        <f aca="false">ROUND(3.38/FX,2)</f>
        <v>0.47</v>
      </c>
      <c r="D2977" s="21" t="s">
        <v>724</v>
      </c>
      <c r="E2977" s="21" t="s">
        <v>734</v>
      </c>
      <c r="F2977" s="21" t="s">
        <v>11130</v>
      </c>
      <c r="G2977" s="21" t="s">
        <v>7872</v>
      </c>
    </row>
    <row r="2978" customFormat="false" ht="15" hidden="false" customHeight="false" outlineLevel="0" collapsed="false">
      <c r="B2978" s="19" t="s">
        <v>11165</v>
      </c>
      <c r="C2978" s="20" t="n">
        <f aca="false">ROUND(3.12/FX,2)</f>
        <v>0.43</v>
      </c>
      <c r="D2978" s="21" t="s">
        <v>7884</v>
      </c>
      <c r="E2978" s="21" t="s">
        <v>734</v>
      </c>
      <c r="F2978" s="21" t="s">
        <v>11130</v>
      </c>
      <c r="G2978" s="21" t="s">
        <v>7872</v>
      </c>
    </row>
    <row r="2979" customFormat="false" ht="15" hidden="false" customHeight="false" outlineLevel="0" collapsed="false">
      <c r="B2979" s="19" t="s">
        <v>11166</v>
      </c>
      <c r="C2979" s="20" t="n">
        <f aca="false">ROUND(3.12/FX,2)</f>
        <v>0.43</v>
      </c>
      <c r="D2979" s="21" t="s">
        <v>6549</v>
      </c>
      <c r="E2979" s="21" t="s">
        <v>734</v>
      </c>
      <c r="F2979" s="21" t="s">
        <v>11130</v>
      </c>
      <c r="G2979" s="21" t="s">
        <v>7872</v>
      </c>
    </row>
    <row r="2980" customFormat="false" ht="15" hidden="false" customHeight="false" outlineLevel="0" collapsed="false">
      <c r="B2980" s="19" t="s">
        <v>11167</v>
      </c>
      <c r="C2980" s="20" t="n">
        <f aca="false">ROUND(3.12/FX,2)</f>
        <v>0.43</v>
      </c>
      <c r="D2980" s="21" t="s">
        <v>7884</v>
      </c>
      <c r="E2980" s="21" t="s">
        <v>734</v>
      </c>
      <c r="F2980" s="21" t="s">
        <v>11130</v>
      </c>
      <c r="G2980" s="21" t="s">
        <v>7966</v>
      </c>
    </row>
    <row r="2981" customFormat="false" ht="15" hidden="false" customHeight="false" outlineLevel="0" collapsed="false">
      <c r="B2981" s="19" t="s">
        <v>11168</v>
      </c>
      <c r="C2981" s="20" t="n">
        <f aca="false">ROUND(3.12/FX,2)</f>
        <v>0.43</v>
      </c>
      <c r="D2981" s="21" t="s">
        <v>6706</v>
      </c>
      <c r="E2981" s="21" t="s">
        <v>734</v>
      </c>
      <c r="F2981" s="21" t="s">
        <v>11130</v>
      </c>
      <c r="G2981" s="21" t="s">
        <v>7968</v>
      </c>
    </row>
    <row r="2982" customFormat="false" ht="15" hidden="false" customHeight="false" outlineLevel="0" collapsed="false">
      <c r="B2982" s="19" t="s">
        <v>11169</v>
      </c>
      <c r="C2982" s="20" t="n">
        <f aca="false">ROUND(3.12/FX,2)</f>
        <v>0.43</v>
      </c>
      <c r="D2982" s="21" t="s">
        <v>7884</v>
      </c>
      <c r="E2982" s="21" t="s">
        <v>734</v>
      </c>
      <c r="F2982" s="21" t="s">
        <v>11130</v>
      </c>
      <c r="G2982" s="21" t="s">
        <v>7899</v>
      </c>
    </row>
    <row r="2983" customFormat="false" ht="15" hidden="false" customHeight="false" outlineLevel="0" collapsed="false">
      <c r="B2983" s="19" t="s">
        <v>11170</v>
      </c>
      <c r="C2983" s="20" t="n">
        <f aca="false">ROUND(2.86/FX,2)</f>
        <v>0.4</v>
      </c>
      <c r="D2983" s="21" t="s">
        <v>6549</v>
      </c>
      <c r="E2983" s="21" t="s">
        <v>734</v>
      </c>
      <c r="F2983" s="21" t="s">
        <v>11130</v>
      </c>
      <c r="G2983" s="21" t="s">
        <v>7899</v>
      </c>
    </row>
    <row r="2984" customFormat="false" ht="15" hidden="false" customHeight="false" outlineLevel="0" collapsed="false">
      <c r="B2984" s="19" t="s">
        <v>11171</v>
      </c>
      <c r="C2984" s="20" t="n">
        <f aca="false">ROUND(3.12/FX,2)</f>
        <v>0.43</v>
      </c>
      <c r="D2984" s="21" t="s">
        <v>7884</v>
      </c>
      <c r="E2984" s="21" t="s">
        <v>734</v>
      </c>
      <c r="F2984" s="21" t="s">
        <v>11130</v>
      </c>
      <c r="G2984" s="21" t="s">
        <v>7866</v>
      </c>
    </row>
    <row r="2985" customFormat="false" ht="15" hidden="false" customHeight="false" outlineLevel="0" collapsed="false">
      <c r="B2985" s="19" t="s">
        <v>11172</v>
      </c>
      <c r="C2985" s="20" t="n">
        <f aca="false">ROUND(3.12/FX,2)</f>
        <v>0.43</v>
      </c>
      <c r="D2985" s="21" t="s">
        <v>6549</v>
      </c>
      <c r="E2985" s="21" t="s">
        <v>734</v>
      </c>
      <c r="F2985" s="21" t="s">
        <v>11130</v>
      </c>
      <c r="G2985" s="21" t="s">
        <v>7866</v>
      </c>
    </row>
    <row r="2986" customFormat="false" ht="15" hidden="false" customHeight="false" outlineLevel="0" collapsed="false">
      <c r="B2986" s="19" t="s">
        <v>11173</v>
      </c>
      <c r="C2986" s="20" t="n">
        <f aca="false">ROUND(13/FX,2)</f>
        <v>1.81</v>
      </c>
      <c r="D2986" s="21" t="s">
        <v>6549</v>
      </c>
      <c r="E2986" s="21" t="s">
        <v>11174</v>
      </c>
      <c r="F2986" s="21" t="s">
        <v>11175</v>
      </c>
      <c r="G2986" s="21" t="s">
        <v>7862</v>
      </c>
    </row>
    <row r="2987" customFormat="false" ht="15" hidden="false" customHeight="false" outlineLevel="0" collapsed="false">
      <c r="B2987" s="19" t="s">
        <v>11176</v>
      </c>
      <c r="C2987" s="20" t="n">
        <f aca="false">ROUND(3.38/FX,2)</f>
        <v>0.47</v>
      </c>
      <c r="D2987" s="21" t="s">
        <v>7886</v>
      </c>
      <c r="E2987" s="21" t="s">
        <v>734</v>
      </c>
      <c r="F2987" s="21" t="s">
        <v>7902</v>
      </c>
      <c r="G2987" s="21" t="s">
        <v>7875</v>
      </c>
    </row>
    <row r="2988" customFormat="false" ht="15" hidden="false" customHeight="false" outlineLevel="0" collapsed="false">
      <c r="B2988" s="19" t="s">
        <v>11177</v>
      </c>
      <c r="C2988" s="20" t="n">
        <f aca="false">ROUND(3.12/FX,2)</f>
        <v>0.43</v>
      </c>
      <c r="D2988" s="21" t="s">
        <v>6549</v>
      </c>
      <c r="E2988" s="21" t="s">
        <v>734</v>
      </c>
      <c r="F2988" s="21" t="s">
        <v>7902</v>
      </c>
      <c r="G2988" s="21" t="s">
        <v>7875</v>
      </c>
    </row>
    <row r="2989" customFormat="false" ht="15" hidden="false" customHeight="false" outlineLevel="0" collapsed="false">
      <c r="B2989" s="19" t="s">
        <v>11178</v>
      </c>
      <c r="C2989" s="20" t="n">
        <f aca="false">ROUND(3.12/FX,2)</f>
        <v>0.43</v>
      </c>
      <c r="D2989" s="21" t="s">
        <v>6549</v>
      </c>
      <c r="E2989" s="21" t="s">
        <v>734</v>
      </c>
      <c r="F2989" s="21" t="s">
        <v>7902</v>
      </c>
      <c r="G2989" s="21" t="s">
        <v>7877</v>
      </c>
    </row>
    <row r="2990" customFormat="false" ht="15" hidden="false" customHeight="false" outlineLevel="0" collapsed="false">
      <c r="B2990" s="19" t="s">
        <v>11179</v>
      </c>
      <c r="C2990" s="20" t="n">
        <f aca="false">ROUND(3.12/FX,2)</f>
        <v>0.43</v>
      </c>
      <c r="D2990" s="21" t="s">
        <v>6549</v>
      </c>
      <c r="E2990" s="21" t="s">
        <v>734</v>
      </c>
      <c r="F2990" s="21" t="s">
        <v>7902</v>
      </c>
      <c r="G2990" s="21" t="s">
        <v>7904</v>
      </c>
    </row>
    <row r="2991" customFormat="false" ht="15" hidden="false" customHeight="false" outlineLevel="0" collapsed="false">
      <c r="B2991" s="19" t="s">
        <v>11180</v>
      </c>
      <c r="C2991" s="20" t="n">
        <f aca="false">ROUND(3.12/FX,2)</f>
        <v>0.43</v>
      </c>
      <c r="D2991" s="21" t="s">
        <v>6549</v>
      </c>
      <c r="E2991" s="21" t="s">
        <v>734</v>
      </c>
      <c r="F2991" s="21" t="s">
        <v>7902</v>
      </c>
      <c r="G2991" s="21" t="s">
        <v>10230</v>
      </c>
    </row>
    <row r="2992" customFormat="false" ht="15" hidden="false" customHeight="false" outlineLevel="0" collapsed="false">
      <c r="B2992" s="19" t="s">
        <v>11181</v>
      </c>
      <c r="C2992" s="20" t="n">
        <f aca="false">ROUND(3.12/FX,2)</f>
        <v>0.43</v>
      </c>
      <c r="D2992" s="21" t="s">
        <v>6549</v>
      </c>
      <c r="E2992" s="21" t="s">
        <v>734</v>
      </c>
      <c r="F2992" s="21" t="s">
        <v>7902</v>
      </c>
      <c r="G2992" s="21" t="s">
        <v>7837</v>
      </c>
    </row>
    <row r="2993" customFormat="false" ht="15" hidden="false" customHeight="false" outlineLevel="0" collapsed="false">
      <c r="B2993" s="19" t="s">
        <v>11182</v>
      </c>
      <c r="C2993" s="20" t="n">
        <f aca="false">ROUND(3.12/FX,2)</f>
        <v>0.43</v>
      </c>
      <c r="D2993" s="21" t="s">
        <v>6549</v>
      </c>
      <c r="E2993" s="21" t="s">
        <v>734</v>
      </c>
      <c r="F2993" s="21" t="s">
        <v>7902</v>
      </c>
      <c r="G2993" s="21" t="s">
        <v>7839</v>
      </c>
    </row>
    <row r="2994" customFormat="false" ht="15" hidden="false" customHeight="false" outlineLevel="0" collapsed="false">
      <c r="B2994" s="19" t="s">
        <v>11183</v>
      </c>
      <c r="C2994" s="20" t="n">
        <f aca="false">ROUND(3.12/FX,2)</f>
        <v>0.43</v>
      </c>
      <c r="D2994" s="21" t="s">
        <v>6549</v>
      </c>
      <c r="E2994" s="21" t="s">
        <v>734</v>
      </c>
      <c r="F2994" s="21" t="s">
        <v>7902</v>
      </c>
      <c r="G2994" s="21" t="s">
        <v>7841</v>
      </c>
    </row>
    <row r="2995" customFormat="false" ht="15" hidden="false" customHeight="false" outlineLevel="0" collapsed="false">
      <c r="B2995" s="19" t="s">
        <v>11184</v>
      </c>
      <c r="C2995" s="20" t="n">
        <f aca="false">ROUND(3.38/FX,2)</f>
        <v>0.47</v>
      </c>
      <c r="D2995" s="21" t="s">
        <v>7886</v>
      </c>
      <c r="E2995" s="21" t="s">
        <v>734</v>
      </c>
      <c r="F2995" s="21" t="s">
        <v>7902</v>
      </c>
      <c r="G2995" s="21" t="s">
        <v>7843</v>
      </c>
    </row>
    <row r="2996" customFormat="false" ht="15" hidden="false" customHeight="false" outlineLevel="0" collapsed="false">
      <c r="B2996" s="19" t="s">
        <v>11185</v>
      </c>
      <c r="C2996" s="20" t="n">
        <f aca="false">ROUND(3.12/FX,2)</f>
        <v>0.43</v>
      </c>
      <c r="D2996" s="21" t="s">
        <v>6549</v>
      </c>
      <c r="E2996" s="21" t="s">
        <v>734</v>
      </c>
      <c r="F2996" s="21" t="s">
        <v>7902</v>
      </c>
      <c r="G2996" s="21" t="s">
        <v>7843</v>
      </c>
    </row>
    <row r="2997" customFormat="false" ht="15" hidden="false" customHeight="false" outlineLevel="0" collapsed="false">
      <c r="B2997" s="19" t="s">
        <v>11186</v>
      </c>
      <c r="C2997" s="20" t="n">
        <f aca="false">ROUND(3.12/FX,2)</f>
        <v>0.43</v>
      </c>
      <c r="D2997" s="21" t="s">
        <v>6549</v>
      </c>
      <c r="E2997" s="21" t="s">
        <v>734</v>
      </c>
      <c r="F2997" s="21" t="s">
        <v>7902</v>
      </c>
      <c r="G2997" s="21" t="s">
        <v>8188</v>
      </c>
    </row>
    <row r="2998" customFormat="false" ht="15" hidden="false" customHeight="false" outlineLevel="0" collapsed="false">
      <c r="B2998" s="19" t="s">
        <v>11187</v>
      </c>
      <c r="C2998" s="20" t="n">
        <f aca="false">ROUND(3.12/FX,2)</f>
        <v>0.43</v>
      </c>
      <c r="D2998" s="21" t="s">
        <v>6549</v>
      </c>
      <c r="E2998" s="21" t="s">
        <v>734</v>
      </c>
      <c r="F2998" s="21" t="s">
        <v>7902</v>
      </c>
      <c r="G2998" s="21" t="s">
        <v>7912</v>
      </c>
    </row>
    <row r="2999" customFormat="false" ht="15" hidden="false" customHeight="false" outlineLevel="0" collapsed="false">
      <c r="B2999" s="19" t="s">
        <v>11188</v>
      </c>
      <c r="C2999" s="20" t="n">
        <f aca="false">ROUND(3.12/FX,2)</f>
        <v>0.43</v>
      </c>
      <c r="D2999" s="21" t="s">
        <v>6549</v>
      </c>
      <c r="E2999" s="21" t="s">
        <v>734</v>
      </c>
      <c r="F2999" s="21" t="s">
        <v>7902</v>
      </c>
      <c r="G2999" s="21" t="s">
        <v>8193</v>
      </c>
    </row>
    <row r="3000" customFormat="false" ht="15" hidden="false" customHeight="false" outlineLevel="0" collapsed="false">
      <c r="B3000" s="19" t="s">
        <v>11189</v>
      </c>
      <c r="C3000" s="20" t="n">
        <f aca="false">ROUND(3.12/FX,2)</f>
        <v>0.43</v>
      </c>
      <c r="D3000" s="21" t="s">
        <v>6549</v>
      </c>
      <c r="E3000" s="21" t="s">
        <v>734</v>
      </c>
      <c r="F3000" s="21" t="s">
        <v>7902</v>
      </c>
      <c r="G3000" s="21" t="s">
        <v>8196</v>
      </c>
    </row>
    <row r="3001" customFormat="false" ht="15" hidden="false" customHeight="false" outlineLevel="0" collapsed="false">
      <c r="B3001" s="19" t="s">
        <v>11190</v>
      </c>
      <c r="C3001" s="20" t="n">
        <f aca="false">ROUND(3.12/FX,2)</f>
        <v>0.43</v>
      </c>
      <c r="D3001" s="21" t="s">
        <v>6549</v>
      </c>
      <c r="E3001" s="21" t="s">
        <v>734</v>
      </c>
      <c r="F3001" s="21" t="s">
        <v>7902</v>
      </c>
      <c r="G3001" s="21" t="s">
        <v>7845</v>
      </c>
    </row>
    <row r="3002" customFormat="false" ht="15" hidden="false" customHeight="false" outlineLevel="0" collapsed="false">
      <c r="B3002" s="19" t="s">
        <v>11191</v>
      </c>
      <c r="C3002" s="20" t="n">
        <f aca="false">ROUND(3.12/FX,2)</f>
        <v>0.43</v>
      </c>
      <c r="D3002" s="21" t="s">
        <v>6549</v>
      </c>
      <c r="E3002" s="21" t="s">
        <v>734</v>
      </c>
      <c r="F3002" s="21" t="s">
        <v>7902</v>
      </c>
      <c r="G3002" s="21" t="s">
        <v>7914</v>
      </c>
    </row>
    <row r="3003" customFormat="false" ht="15" hidden="false" customHeight="false" outlineLevel="0" collapsed="false">
      <c r="B3003" s="19" t="s">
        <v>11192</v>
      </c>
      <c r="C3003" s="20" t="n">
        <f aca="false">ROUND(3.38/FX,2)</f>
        <v>0.47</v>
      </c>
      <c r="D3003" s="21" t="s">
        <v>7886</v>
      </c>
      <c r="E3003" s="21" t="s">
        <v>734</v>
      </c>
      <c r="F3003" s="21" t="s">
        <v>7902</v>
      </c>
      <c r="G3003" s="21" t="s">
        <v>7916</v>
      </c>
    </row>
    <row r="3004" customFormat="false" ht="15" hidden="false" customHeight="false" outlineLevel="0" collapsed="false">
      <c r="B3004" s="19" t="s">
        <v>11193</v>
      </c>
      <c r="C3004" s="20" t="n">
        <f aca="false">ROUND(3.12/FX,2)</f>
        <v>0.43</v>
      </c>
      <c r="D3004" s="21" t="s">
        <v>6549</v>
      </c>
      <c r="E3004" s="21" t="s">
        <v>734</v>
      </c>
      <c r="F3004" s="21" t="s">
        <v>7902</v>
      </c>
      <c r="G3004" s="21" t="s">
        <v>7916</v>
      </c>
    </row>
    <row r="3005" customFormat="false" ht="15" hidden="false" customHeight="false" outlineLevel="0" collapsed="false">
      <c r="B3005" s="19" t="s">
        <v>11194</v>
      </c>
      <c r="C3005" s="20" t="n">
        <f aca="false">ROUND(3.12/FX,2)</f>
        <v>0.43</v>
      </c>
      <c r="D3005" s="21" t="s">
        <v>6549</v>
      </c>
      <c r="E3005" s="21" t="s">
        <v>734</v>
      </c>
      <c r="F3005" s="21" t="s">
        <v>7902</v>
      </c>
      <c r="G3005" s="21" t="s">
        <v>7918</v>
      </c>
    </row>
    <row r="3006" customFormat="false" ht="15" hidden="false" customHeight="false" outlineLevel="0" collapsed="false">
      <c r="B3006" s="19" t="s">
        <v>11195</v>
      </c>
      <c r="C3006" s="20" t="n">
        <f aca="false">ROUND(3.12/FX,2)</f>
        <v>0.43</v>
      </c>
      <c r="D3006" s="21" t="s">
        <v>6549</v>
      </c>
      <c r="E3006" s="21" t="s">
        <v>734</v>
      </c>
      <c r="F3006" s="21" t="s">
        <v>7902</v>
      </c>
      <c r="G3006" s="21" t="s">
        <v>7847</v>
      </c>
    </row>
    <row r="3007" customFormat="false" ht="15" hidden="false" customHeight="false" outlineLevel="0" collapsed="false">
      <c r="B3007" s="19" t="s">
        <v>11196</v>
      </c>
      <c r="C3007" s="20" t="n">
        <f aca="false">ROUND(3.38/FX,2)</f>
        <v>0.47</v>
      </c>
      <c r="D3007" s="21" t="s">
        <v>7886</v>
      </c>
      <c r="E3007" s="21" t="s">
        <v>734</v>
      </c>
      <c r="F3007" s="21" t="s">
        <v>7902</v>
      </c>
      <c r="G3007" s="21" t="s">
        <v>7849</v>
      </c>
    </row>
    <row r="3008" customFormat="false" ht="15" hidden="false" customHeight="false" outlineLevel="0" collapsed="false">
      <c r="B3008" s="19" t="s">
        <v>11197</v>
      </c>
      <c r="C3008" s="20" t="n">
        <f aca="false">ROUND(3.12/FX,2)</f>
        <v>0.43</v>
      </c>
      <c r="D3008" s="21" t="s">
        <v>6549</v>
      </c>
      <c r="E3008" s="21" t="s">
        <v>734</v>
      </c>
      <c r="F3008" s="21" t="s">
        <v>7902</v>
      </c>
      <c r="G3008" s="21" t="s">
        <v>7849</v>
      </c>
    </row>
    <row r="3009" customFormat="false" ht="15" hidden="false" customHeight="false" outlineLevel="0" collapsed="false">
      <c r="B3009" s="19" t="s">
        <v>11198</v>
      </c>
      <c r="C3009" s="20" t="n">
        <f aca="false">ROUND(3.12/FX,2)</f>
        <v>0.43</v>
      </c>
      <c r="D3009" s="21" t="s">
        <v>6549</v>
      </c>
      <c r="E3009" s="21" t="s">
        <v>734</v>
      </c>
      <c r="F3009" s="21" t="s">
        <v>7902</v>
      </c>
      <c r="G3009" s="21" t="s">
        <v>7922</v>
      </c>
    </row>
    <row r="3010" customFormat="false" ht="15" hidden="false" customHeight="false" outlineLevel="0" collapsed="false">
      <c r="B3010" s="19" t="s">
        <v>11199</v>
      </c>
      <c r="C3010" s="20" t="n">
        <f aca="false">ROUND(3.12/FX,2)</f>
        <v>0.43</v>
      </c>
      <c r="D3010" s="21" t="s">
        <v>6549</v>
      </c>
      <c r="E3010" s="21" t="s">
        <v>734</v>
      </c>
      <c r="F3010" s="21" t="s">
        <v>7902</v>
      </c>
      <c r="G3010" s="21" t="s">
        <v>7851</v>
      </c>
    </row>
    <row r="3011" customFormat="false" ht="15" hidden="false" customHeight="false" outlineLevel="0" collapsed="false">
      <c r="B3011" s="19" t="s">
        <v>11200</v>
      </c>
      <c r="C3011" s="20" t="n">
        <f aca="false">ROUND(3.12/FX,2)</f>
        <v>0.43</v>
      </c>
      <c r="D3011" s="21" t="s">
        <v>6549</v>
      </c>
      <c r="E3011" s="21" t="s">
        <v>734</v>
      </c>
      <c r="F3011" s="21" t="s">
        <v>7902</v>
      </c>
      <c r="G3011" s="21" t="s">
        <v>7925</v>
      </c>
    </row>
    <row r="3012" customFormat="false" ht="15" hidden="false" customHeight="false" outlineLevel="0" collapsed="false">
      <c r="B3012" s="19" t="s">
        <v>11201</v>
      </c>
      <c r="C3012" s="20" t="n">
        <f aca="false">ROUND(3.12/FX,2)</f>
        <v>0.43</v>
      </c>
      <c r="D3012" s="21" t="s">
        <v>6549</v>
      </c>
      <c r="E3012" s="21" t="s">
        <v>734</v>
      </c>
      <c r="F3012" s="21" t="s">
        <v>7902</v>
      </c>
      <c r="G3012" s="21" t="s">
        <v>7927</v>
      </c>
    </row>
    <row r="3013" customFormat="false" ht="15" hidden="false" customHeight="false" outlineLevel="0" collapsed="false">
      <c r="B3013" s="19" t="s">
        <v>11202</v>
      </c>
      <c r="C3013" s="20" t="n">
        <f aca="false">ROUND(3.38/FX,2)</f>
        <v>0.47</v>
      </c>
      <c r="D3013" s="21" t="s">
        <v>7886</v>
      </c>
      <c r="E3013" s="21" t="s">
        <v>734</v>
      </c>
      <c r="F3013" s="21" t="s">
        <v>7902</v>
      </c>
      <c r="G3013" s="21" t="s">
        <v>7827</v>
      </c>
    </row>
    <row r="3014" customFormat="false" ht="15" hidden="false" customHeight="false" outlineLevel="0" collapsed="false">
      <c r="B3014" s="19" t="s">
        <v>11203</v>
      </c>
      <c r="C3014" s="20" t="n">
        <f aca="false">ROUND(3.12/FX,2)</f>
        <v>0.43</v>
      </c>
      <c r="D3014" s="21" t="s">
        <v>6549</v>
      </c>
      <c r="E3014" s="21" t="s">
        <v>734</v>
      </c>
      <c r="F3014" s="21" t="s">
        <v>7902</v>
      </c>
      <c r="G3014" s="21" t="s">
        <v>7827</v>
      </c>
    </row>
    <row r="3015" customFormat="false" ht="15" hidden="false" customHeight="false" outlineLevel="0" collapsed="false">
      <c r="B3015" s="19" t="s">
        <v>11204</v>
      </c>
      <c r="C3015" s="20" t="n">
        <f aca="false">ROUND(3.38/FX,2)</f>
        <v>0.47</v>
      </c>
      <c r="D3015" s="21" t="s">
        <v>7884</v>
      </c>
      <c r="E3015" s="21" t="s">
        <v>734</v>
      </c>
      <c r="F3015" s="21" t="s">
        <v>7902</v>
      </c>
      <c r="G3015" s="21" t="s">
        <v>7853</v>
      </c>
    </row>
    <row r="3016" customFormat="false" ht="15" hidden="false" customHeight="false" outlineLevel="0" collapsed="false">
      <c r="B3016" s="19" t="s">
        <v>11205</v>
      </c>
      <c r="C3016" s="20" t="n">
        <f aca="false">ROUND(3.38/FX,2)</f>
        <v>0.47</v>
      </c>
      <c r="D3016" s="21" t="s">
        <v>7886</v>
      </c>
      <c r="E3016" s="21" t="s">
        <v>734</v>
      </c>
      <c r="F3016" s="21" t="s">
        <v>7902</v>
      </c>
      <c r="G3016" s="21" t="s">
        <v>7853</v>
      </c>
    </row>
    <row r="3017" customFormat="false" ht="15" hidden="false" customHeight="false" outlineLevel="0" collapsed="false">
      <c r="B3017" s="19" t="s">
        <v>11206</v>
      </c>
      <c r="C3017" s="20" t="n">
        <f aca="false">ROUND(3.12/FX,2)</f>
        <v>0.43</v>
      </c>
      <c r="D3017" s="21" t="s">
        <v>6549</v>
      </c>
      <c r="E3017" s="21" t="s">
        <v>734</v>
      </c>
      <c r="F3017" s="21" t="s">
        <v>7902</v>
      </c>
      <c r="G3017" s="21" t="s">
        <v>7853</v>
      </c>
    </row>
    <row r="3018" customFormat="false" ht="15" hidden="false" customHeight="false" outlineLevel="0" collapsed="false">
      <c r="B3018" s="19" t="s">
        <v>11207</v>
      </c>
      <c r="C3018" s="20" t="n">
        <f aca="false">ROUND(3.38/FX,2)</f>
        <v>0.47</v>
      </c>
      <c r="D3018" s="21" t="s">
        <v>7886</v>
      </c>
      <c r="E3018" s="21" t="s">
        <v>734</v>
      </c>
      <c r="F3018" s="21" t="s">
        <v>7902</v>
      </c>
      <c r="G3018" s="21" t="s">
        <v>7869</v>
      </c>
    </row>
    <row r="3019" customFormat="false" ht="15" hidden="false" customHeight="false" outlineLevel="0" collapsed="false">
      <c r="B3019" s="19" t="s">
        <v>11208</v>
      </c>
      <c r="C3019" s="20" t="n">
        <f aca="false">ROUND(3.12/FX,2)</f>
        <v>0.43</v>
      </c>
      <c r="D3019" s="21" t="s">
        <v>6549</v>
      </c>
      <c r="E3019" s="21" t="s">
        <v>734</v>
      </c>
      <c r="F3019" s="21" t="s">
        <v>7902</v>
      </c>
      <c r="G3019" s="21" t="s">
        <v>7869</v>
      </c>
    </row>
    <row r="3020" customFormat="false" ht="15" hidden="false" customHeight="false" outlineLevel="0" collapsed="false">
      <c r="B3020" s="19" t="s">
        <v>11209</v>
      </c>
      <c r="C3020" s="20" t="n">
        <f aca="false">ROUND(3.12/FX,2)</f>
        <v>0.43</v>
      </c>
      <c r="D3020" s="21" t="s">
        <v>6549</v>
      </c>
      <c r="E3020" s="21" t="s">
        <v>734</v>
      </c>
      <c r="F3020" s="21" t="s">
        <v>7902</v>
      </c>
      <c r="G3020" s="21" t="s">
        <v>7855</v>
      </c>
    </row>
    <row r="3021" customFormat="false" ht="15" hidden="false" customHeight="false" outlineLevel="0" collapsed="false">
      <c r="B3021" s="19" t="s">
        <v>11210</v>
      </c>
      <c r="C3021" s="20" t="n">
        <f aca="false">ROUND(3.12/FX,2)</f>
        <v>0.43</v>
      </c>
      <c r="D3021" s="21" t="s">
        <v>6549</v>
      </c>
      <c r="E3021" s="21" t="s">
        <v>734</v>
      </c>
      <c r="F3021" s="21" t="s">
        <v>7902</v>
      </c>
      <c r="G3021" s="21" t="s">
        <v>7933</v>
      </c>
    </row>
    <row r="3022" customFormat="false" ht="15" hidden="false" customHeight="false" outlineLevel="0" collapsed="false">
      <c r="B3022" s="19" t="s">
        <v>11211</v>
      </c>
      <c r="C3022" s="20" t="n">
        <f aca="false">ROUND(3.12/FX,2)</f>
        <v>0.43</v>
      </c>
      <c r="D3022" s="21" t="s">
        <v>6549</v>
      </c>
      <c r="E3022" s="21" t="s">
        <v>734</v>
      </c>
      <c r="F3022" s="21" t="s">
        <v>7902</v>
      </c>
      <c r="G3022" s="21" t="s">
        <v>8263</v>
      </c>
    </row>
    <row r="3023" customFormat="false" ht="15" hidden="false" customHeight="false" outlineLevel="0" collapsed="false">
      <c r="B3023" s="19" t="s">
        <v>11212</v>
      </c>
      <c r="C3023" s="20" t="n">
        <f aca="false">ROUND(3.12/FX,2)</f>
        <v>0.43</v>
      </c>
      <c r="D3023" s="21" t="s">
        <v>6549</v>
      </c>
      <c r="E3023" s="21" t="s">
        <v>734</v>
      </c>
      <c r="F3023" s="21" t="s">
        <v>7902</v>
      </c>
      <c r="G3023" s="21" t="s">
        <v>7935</v>
      </c>
    </row>
    <row r="3024" customFormat="false" ht="15" hidden="false" customHeight="false" outlineLevel="0" collapsed="false">
      <c r="B3024" s="19" t="s">
        <v>11213</v>
      </c>
      <c r="C3024" s="20" t="n">
        <f aca="false">ROUND(3.38/FX,2)</f>
        <v>0.47</v>
      </c>
      <c r="D3024" s="21" t="s">
        <v>7886</v>
      </c>
      <c r="E3024" s="21" t="s">
        <v>734</v>
      </c>
      <c r="F3024" s="21" t="s">
        <v>7902</v>
      </c>
      <c r="G3024" s="21" t="s">
        <v>7881</v>
      </c>
    </row>
    <row r="3025" customFormat="false" ht="15" hidden="false" customHeight="false" outlineLevel="0" collapsed="false">
      <c r="B3025" s="19" t="s">
        <v>11214</v>
      </c>
      <c r="C3025" s="20" t="n">
        <f aca="false">ROUND(3.12/FX,2)</f>
        <v>0.43</v>
      </c>
      <c r="D3025" s="21" t="s">
        <v>6549</v>
      </c>
      <c r="E3025" s="21" t="s">
        <v>734</v>
      </c>
      <c r="F3025" s="21" t="s">
        <v>7902</v>
      </c>
      <c r="G3025" s="21" t="s">
        <v>7881</v>
      </c>
    </row>
    <row r="3026" customFormat="false" ht="15" hidden="false" customHeight="false" outlineLevel="0" collapsed="false">
      <c r="B3026" s="19" t="s">
        <v>11215</v>
      </c>
      <c r="C3026" s="20" t="n">
        <f aca="false">ROUND(3.38/FX,2)</f>
        <v>0.47</v>
      </c>
      <c r="D3026" s="21" t="s">
        <v>724</v>
      </c>
      <c r="E3026" s="21" t="s">
        <v>734</v>
      </c>
      <c r="F3026" s="21" t="s">
        <v>7902</v>
      </c>
      <c r="G3026" s="21" t="s">
        <v>7829</v>
      </c>
    </row>
    <row r="3027" customFormat="false" ht="15" hidden="false" customHeight="false" outlineLevel="0" collapsed="false">
      <c r="B3027" s="19" t="s">
        <v>11216</v>
      </c>
      <c r="C3027" s="20" t="n">
        <f aca="false">ROUND(3.38/FX,2)</f>
        <v>0.47</v>
      </c>
      <c r="D3027" s="21" t="s">
        <v>7886</v>
      </c>
      <c r="E3027" s="21" t="s">
        <v>734</v>
      </c>
      <c r="F3027" s="21" t="s">
        <v>7902</v>
      </c>
      <c r="G3027" s="21" t="s">
        <v>7829</v>
      </c>
    </row>
    <row r="3028" customFormat="false" ht="15" hidden="false" customHeight="false" outlineLevel="0" collapsed="false">
      <c r="B3028" s="19" t="s">
        <v>11217</v>
      </c>
      <c r="C3028" s="20" t="n">
        <f aca="false">ROUND(3.12/FX,2)</f>
        <v>0.43</v>
      </c>
      <c r="D3028" s="21" t="s">
        <v>6549</v>
      </c>
      <c r="E3028" s="21" t="s">
        <v>734</v>
      </c>
      <c r="F3028" s="21" t="s">
        <v>7902</v>
      </c>
      <c r="G3028" s="21" t="s">
        <v>7829</v>
      </c>
    </row>
    <row r="3029" customFormat="false" ht="15" hidden="false" customHeight="false" outlineLevel="0" collapsed="false">
      <c r="B3029" s="19" t="s">
        <v>11218</v>
      </c>
      <c r="C3029" s="20" t="n">
        <f aca="false">ROUND(3.38/FX,2)</f>
        <v>0.47</v>
      </c>
      <c r="D3029" s="21" t="s">
        <v>7884</v>
      </c>
      <c r="E3029" s="21" t="s">
        <v>734</v>
      </c>
      <c r="F3029" s="21" t="s">
        <v>7902</v>
      </c>
      <c r="G3029" s="21" t="s">
        <v>7831</v>
      </c>
    </row>
    <row r="3030" customFormat="false" ht="15" hidden="false" customHeight="false" outlineLevel="0" collapsed="false">
      <c r="B3030" s="19" t="s">
        <v>11219</v>
      </c>
      <c r="C3030" s="20" t="n">
        <f aca="false">ROUND(3.38/FX,2)</f>
        <v>0.47</v>
      </c>
      <c r="D3030" s="21" t="s">
        <v>7886</v>
      </c>
      <c r="E3030" s="21" t="s">
        <v>734</v>
      </c>
      <c r="F3030" s="21" t="s">
        <v>7902</v>
      </c>
      <c r="G3030" s="21" t="s">
        <v>7831</v>
      </c>
    </row>
    <row r="3031" customFormat="false" ht="15" hidden="false" customHeight="false" outlineLevel="0" collapsed="false">
      <c r="B3031" s="19" t="s">
        <v>11220</v>
      </c>
      <c r="C3031" s="20" t="n">
        <f aca="false">ROUND(3.12/FX,2)</f>
        <v>0.43</v>
      </c>
      <c r="D3031" s="21" t="s">
        <v>6549</v>
      </c>
      <c r="E3031" s="21" t="s">
        <v>734</v>
      </c>
      <c r="F3031" s="21" t="s">
        <v>7902</v>
      </c>
      <c r="G3031" s="21" t="s">
        <v>7831</v>
      </c>
    </row>
    <row r="3032" customFormat="false" ht="15" hidden="false" customHeight="false" outlineLevel="0" collapsed="false">
      <c r="B3032" s="19" t="s">
        <v>11221</v>
      </c>
      <c r="C3032" s="20" t="n">
        <f aca="false">ROUND(3.12/FX,2)</f>
        <v>0.43</v>
      </c>
      <c r="D3032" s="21" t="s">
        <v>6549</v>
      </c>
      <c r="E3032" s="21" t="s">
        <v>734</v>
      </c>
      <c r="F3032" s="21" t="s">
        <v>7902</v>
      </c>
      <c r="G3032" s="21" t="s">
        <v>7944</v>
      </c>
    </row>
    <row r="3033" customFormat="false" ht="15" hidden="false" customHeight="false" outlineLevel="0" collapsed="false">
      <c r="B3033" s="19" t="s">
        <v>11222</v>
      </c>
      <c r="C3033" s="20" t="n">
        <f aca="false">ROUND(3.12/FX,2)</f>
        <v>0.43</v>
      </c>
      <c r="D3033" s="21" t="s">
        <v>6549</v>
      </c>
      <c r="E3033" s="21" t="s">
        <v>734</v>
      </c>
      <c r="F3033" s="21" t="s">
        <v>7902</v>
      </c>
      <c r="G3033" s="21" t="s">
        <v>7946</v>
      </c>
    </row>
    <row r="3034" customFormat="false" ht="15" hidden="false" customHeight="false" outlineLevel="0" collapsed="false">
      <c r="B3034" s="19" t="s">
        <v>11223</v>
      </c>
      <c r="C3034" s="20" t="n">
        <f aca="false">ROUND(3.38/FX,2)</f>
        <v>0.47</v>
      </c>
      <c r="D3034" s="21" t="s">
        <v>724</v>
      </c>
      <c r="E3034" s="21" t="s">
        <v>734</v>
      </c>
      <c r="F3034" s="21" t="s">
        <v>7902</v>
      </c>
      <c r="G3034" s="21" t="s">
        <v>7833</v>
      </c>
    </row>
    <row r="3035" customFormat="false" ht="15" hidden="false" customHeight="false" outlineLevel="0" collapsed="false">
      <c r="B3035" s="19" t="s">
        <v>11224</v>
      </c>
      <c r="C3035" s="20" t="n">
        <f aca="false">ROUND(3.38/FX,2)</f>
        <v>0.47</v>
      </c>
      <c r="D3035" s="21" t="s">
        <v>7886</v>
      </c>
      <c r="E3035" s="21" t="s">
        <v>734</v>
      </c>
      <c r="F3035" s="21" t="s">
        <v>7902</v>
      </c>
      <c r="G3035" s="21" t="s">
        <v>7833</v>
      </c>
    </row>
    <row r="3036" customFormat="false" ht="15" hidden="false" customHeight="false" outlineLevel="0" collapsed="false">
      <c r="B3036" s="19" t="s">
        <v>11225</v>
      </c>
      <c r="C3036" s="20" t="n">
        <f aca="false">ROUND(3.12/FX,2)</f>
        <v>0.43</v>
      </c>
      <c r="D3036" s="21" t="s">
        <v>6706</v>
      </c>
      <c r="E3036" s="21" t="s">
        <v>734</v>
      </c>
      <c r="F3036" s="21" t="s">
        <v>7902</v>
      </c>
      <c r="G3036" s="21" t="s">
        <v>7833</v>
      </c>
    </row>
    <row r="3037" customFormat="false" ht="15" hidden="false" customHeight="false" outlineLevel="0" collapsed="false">
      <c r="B3037" s="19" t="s">
        <v>11226</v>
      </c>
      <c r="C3037" s="20" t="n">
        <f aca="false">ROUND(20.8/FX,2)</f>
        <v>2.89</v>
      </c>
      <c r="D3037" s="21" t="s">
        <v>6549</v>
      </c>
      <c r="E3037" s="21" t="s">
        <v>11227</v>
      </c>
      <c r="F3037" s="21" t="s">
        <v>7902</v>
      </c>
      <c r="G3037" s="21" t="s">
        <v>7833</v>
      </c>
    </row>
    <row r="3038" customFormat="false" ht="15" hidden="false" customHeight="false" outlineLevel="0" collapsed="false">
      <c r="B3038" s="19" t="s">
        <v>11228</v>
      </c>
      <c r="C3038" s="20" t="n">
        <f aca="false">ROUND(3.38/FX,2)</f>
        <v>0.47</v>
      </c>
      <c r="D3038" s="21" t="s">
        <v>7886</v>
      </c>
      <c r="E3038" s="21" t="s">
        <v>734</v>
      </c>
      <c r="F3038" s="21" t="s">
        <v>7902</v>
      </c>
      <c r="G3038" s="21" t="s">
        <v>8294</v>
      </c>
    </row>
    <row r="3039" customFormat="false" ht="15" hidden="false" customHeight="false" outlineLevel="0" collapsed="false">
      <c r="B3039" s="19" t="s">
        <v>11229</v>
      </c>
      <c r="C3039" s="20" t="n">
        <f aca="false">ROUND(3.12/FX,2)</f>
        <v>0.43</v>
      </c>
      <c r="D3039" s="21" t="s">
        <v>6549</v>
      </c>
      <c r="E3039" s="21" t="s">
        <v>734</v>
      </c>
      <c r="F3039" s="21" t="s">
        <v>7902</v>
      </c>
      <c r="G3039" s="21" t="s">
        <v>7951</v>
      </c>
    </row>
    <row r="3040" customFormat="false" ht="15" hidden="false" customHeight="false" outlineLevel="0" collapsed="false">
      <c r="B3040" s="19" t="s">
        <v>11230</v>
      </c>
      <c r="C3040" s="20" t="n">
        <f aca="false">ROUND(3.38/FX,2)</f>
        <v>0.47</v>
      </c>
      <c r="D3040" s="21" t="s">
        <v>7886</v>
      </c>
      <c r="E3040" s="21" t="s">
        <v>734</v>
      </c>
      <c r="F3040" s="21" t="s">
        <v>7902</v>
      </c>
      <c r="G3040" s="21" t="s">
        <v>7891</v>
      </c>
    </row>
    <row r="3041" customFormat="false" ht="15" hidden="false" customHeight="false" outlineLevel="0" collapsed="false">
      <c r="B3041" s="19" t="s">
        <v>11231</v>
      </c>
      <c r="C3041" s="20" t="n">
        <f aca="false">ROUND(3.12/FX,2)</f>
        <v>0.43</v>
      </c>
      <c r="D3041" s="21" t="s">
        <v>6549</v>
      </c>
      <c r="E3041" s="21" t="s">
        <v>734</v>
      </c>
      <c r="F3041" s="21" t="s">
        <v>7902</v>
      </c>
      <c r="G3041" s="21" t="s">
        <v>7891</v>
      </c>
    </row>
    <row r="3042" customFormat="false" ht="15" hidden="false" customHeight="false" outlineLevel="0" collapsed="false">
      <c r="B3042" s="19" t="s">
        <v>11232</v>
      </c>
      <c r="C3042" s="20" t="n">
        <f aca="false">ROUND(3.38/FX,2)</f>
        <v>0.47</v>
      </c>
      <c r="D3042" s="21" t="s">
        <v>7886</v>
      </c>
      <c r="E3042" s="21" t="s">
        <v>734</v>
      </c>
      <c r="F3042" s="21" t="s">
        <v>7902</v>
      </c>
      <c r="G3042" s="21" t="s">
        <v>7860</v>
      </c>
    </row>
    <row r="3043" customFormat="false" ht="15" hidden="false" customHeight="false" outlineLevel="0" collapsed="false">
      <c r="B3043" s="19" t="s">
        <v>11233</v>
      </c>
      <c r="C3043" s="20" t="n">
        <f aca="false">ROUND(3.12/FX,2)</f>
        <v>0.43</v>
      </c>
      <c r="D3043" s="21" t="s">
        <v>6549</v>
      </c>
      <c r="E3043" s="21" t="s">
        <v>734</v>
      </c>
      <c r="F3043" s="21" t="s">
        <v>7902</v>
      </c>
      <c r="G3043" s="21" t="s">
        <v>7860</v>
      </c>
    </row>
    <row r="3044" customFormat="false" ht="15" hidden="false" customHeight="false" outlineLevel="0" collapsed="false">
      <c r="B3044" s="19" t="s">
        <v>11234</v>
      </c>
      <c r="C3044" s="20" t="n">
        <f aca="false">ROUND(3.38/FX,2)</f>
        <v>0.47</v>
      </c>
      <c r="D3044" s="21" t="s">
        <v>7886</v>
      </c>
      <c r="E3044" s="21" t="s">
        <v>734</v>
      </c>
      <c r="F3044" s="21" t="s">
        <v>7902</v>
      </c>
      <c r="G3044" s="21" t="s">
        <v>7893</v>
      </c>
    </row>
    <row r="3045" customFormat="false" ht="15" hidden="false" customHeight="false" outlineLevel="0" collapsed="false">
      <c r="B3045" s="19" t="s">
        <v>11235</v>
      </c>
      <c r="C3045" s="20" t="n">
        <f aca="false">ROUND(3.12/FX,2)</f>
        <v>0.43</v>
      </c>
      <c r="D3045" s="21" t="s">
        <v>6549</v>
      </c>
      <c r="E3045" s="21" t="s">
        <v>734</v>
      </c>
      <c r="F3045" s="21" t="s">
        <v>7902</v>
      </c>
      <c r="G3045" s="21" t="s">
        <v>7893</v>
      </c>
    </row>
    <row r="3046" customFormat="false" ht="15" hidden="false" customHeight="false" outlineLevel="0" collapsed="false">
      <c r="B3046" s="19" t="s">
        <v>11236</v>
      </c>
      <c r="C3046" s="20" t="n">
        <f aca="false">ROUND(3.12/FX,2)</f>
        <v>0.43</v>
      </c>
      <c r="D3046" s="21" t="s">
        <v>6549</v>
      </c>
      <c r="E3046" s="21" t="s">
        <v>734</v>
      </c>
      <c r="F3046" s="21" t="s">
        <v>7902</v>
      </c>
      <c r="G3046" s="21" t="s">
        <v>7956</v>
      </c>
    </row>
    <row r="3047" customFormat="false" ht="15" hidden="false" customHeight="false" outlineLevel="0" collapsed="false">
      <c r="B3047" s="19" t="s">
        <v>11237</v>
      </c>
      <c r="C3047" s="20" t="n">
        <f aca="false">ROUND(3.38/FX,2)</f>
        <v>0.47</v>
      </c>
      <c r="D3047" s="21" t="s">
        <v>7886</v>
      </c>
      <c r="E3047" s="21" t="s">
        <v>734</v>
      </c>
      <c r="F3047" s="21" t="s">
        <v>7902</v>
      </c>
      <c r="G3047" s="21" t="s">
        <v>7895</v>
      </c>
    </row>
    <row r="3048" customFormat="false" ht="15" hidden="false" customHeight="false" outlineLevel="0" collapsed="false">
      <c r="B3048" s="19" t="s">
        <v>11238</v>
      </c>
      <c r="C3048" s="20" t="n">
        <f aca="false">ROUND(3.12/FX,2)</f>
        <v>0.43</v>
      </c>
      <c r="D3048" s="21" t="s">
        <v>6549</v>
      </c>
      <c r="E3048" s="21" t="s">
        <v>734</v>
      </c>
      <c r="F3048" s="21" t="s">
        <v>7902</v>
      </c>
      <c r="G3048" s="21" t="s">
        <v>7895</v>
      </c>
    </row>
    <row r="3049" customFormat="false" ht="15" hidden="false" customHeight="false" outlineLevel="0" collapsed="false">
      <c r="B3049" s="19" t="s">
        <v>11239</v>
      </c>
      <c r="C3049" s="20" t="n">
        <f aca="false">ROUND(3.38/FX,2)</f>
        <v>0.47</v>
      </c>
      <c r="D3049" s="21" t="s">
        <v>7886</v>
      </c>
      <c r="E3049" s="21" t="s">
        <v>734</v>
      </c>
      <c r="F3049" s="21" t="s">
        <v>7902</v>
      </c>
      <c r="G3049" s="21" t="s">
        <v>7862</v>
      </c>
    </row>
    <row r="3050" customFormat="false" ht="15" hidden="false" customHeight="false" outlineLevel="0" collapsed="false">
      <c r="B3050" s="19" t="s">
        <v>11240</v>
      </c>
      <c r="C3050" s="20" t="n">
        <f aca="false">ROUND(3.12/FX,2)</f>
        <v>0.43</v>
      </c>
      <c r="D3050" s="21" t="s">
        <v>6706</v>
      </c>
      <c r="E3050" s="21" t="s">
        <v>734</v>
      </c>
      <c r="F3050" s="21" t="s">
        <v>7902</v>
      </c>
      <c r="G3050" s="21" t="s">
        <v>7862</v>
      </c>
    </row>
    <row r="3051" customFormat="false" ht="15" hidden="false" customHeight="false" outlineLevel="0" collapsed="false">
      <c r="B3051" s="19" t="s">
        <v>11241</v>
      </c>
      <c r="C3051" s="20" t="n">
        <f aca="false">ROUND(3.12/FX,2)</f>
        <v>0.43</v>
      </c>
      <c r="D3051" s="21" t="s">
        <v>6698</v>
      </c>
      <c r="E3051" s="21" t="s">
        <v>734</v>
      </c>
      <c r="F3051" s="21" t="s">
        <v>7902</v>
      </c>
      <c r="G3051" s="21" t="s">
        <v>7862</v>
      </c>
    </row>
    <row r="3052" customFormat="false" ht="15" hidden="false" customHeight="false" outlineLevel="0" collapsed="false">
      <c r="B3052" s="19" t="s">
        <v>11242</v>
      </c>
      <c r="C3052" s="20" t="n">
        <f aca="false">ROUND(3.38/FX,2)</f>
        <v>0.47</v>
      </c>
      <c r="D3052" s="21" t="s">
        <v>7886</v>
      </c>
      <c r="E3052" s="21" t="s">
        <v>734</v>
      </c>
      <c r="F3052" s="21" t="s">
        <v>7902</v>
      </c>
      <c r="G3052" s="21" t="s">
        <v>7864</v>
      </c>
    </row>
    <row r="3053" customFormat="false" ht="15" hidden="false" customHeight="false" outlineLevel="0" collapsed="false">
      <c r="B3053" s="19" t="s">
        <v>11243</v>
      </c>
      <c r="C3053" s="20" t="n">
        <f aca="false">ROUND(3.12/FX,2)</f>
        <v>0.43</v>
      </c>
      <c r="D3053" s="21" t="s">
        <v>6549</v>
      </c>
      <c r="E3053" s="21" t="s">
        <v>734</v>
      </c>
      <c r="F3053" s="21" t="s">
        <v>7902</v>
      </c>
      <c r="G3053" s="21" t="s">
        <v>7864</v>
      </c>
    </row>
    <row r="3054" customFormat="false" ht="15" hidden="false" customHeight="false" outlineLevel="0" collapsed="false">
      <c r="B3054" s="19" t="s">
        <v>11244</v>
      </c>
      <c r="C3054" s="20" t="n">
        <f aca="false">ROUND(3.12/FX,2)</f>
        <v>0.43</v>
      </c>
      <c r="D3054" s="21" t="s">
        <v>6549</v>
      </c>
      <c r="E3054" s="21" t="s">
        <v>734</v>
      </c>
      <c r="F3054" s="21" t="s">
        <v>7902</v>
      </c>
      <c r="G3054" s="21" t="s">
        <v>7961</v>
      </c>
    </row>
    <row r="3055" customFormat="false" ht="15" hidden="false" customHeight="false" outlineLevel="0" collapsed="false">
      <c r="B3055" s="19" t="s">
        <v>11245</v>
      </c>
      <c r="C3055" s="20" t="n">
        <f aca="false">ROUND(3.38/FX,2)</f>
        <v>0.47</v>
      </c>
      <c r="D3055" s="21" t="s">
        <v>7886</v>
      </c>
      <c r="E3055" s="21" t="s">
        <v>734</v>
      </c>
      <c r="F3055" s="21" t="s">
        <v>7902</v>
      </c>
      <c r="G3055" s="21" t="s">
        <v>7872</v>
      </c>
    </row>
    <row r="3056" customFormat="false" ht="15" hidden="false" customHeight="false" outlineLevel="0" collapsed="false">
      <c r="B3056" s="19" t="s">
        <v>11246</v>
      </c>
      <c r="C3056" s="20" t="n">
        <f aca="false">ROUND(3.12/FX,2)</f>
        <v>0.43</v>
      </c>
      <c r="D3056" s="21" t="s">
        <v>6549</v>
      </c>
      <c r="E3056" s="21" t="s">
        <v>734</v>
      </c>
      <c r="F3056" s="21" t="s">
        <v>7902</v>
      </c>
      <c r="G3056" s="21" t="s">
        <v>7872</v>
      </c>
    </row>
    <row r="3057" customFormat="false" ht="15" hidden="false" customHeight="false" outlineLevel="0" collapsed="false">
      <c r="B3057" s="19" t="s">
        <v>11247</v>
      </c>
      <c r="C3057" s="20" t="n">
        <f aca="false">ROUND(3.12/FX,2)</f>
        <v>0.43</v>
      </c>
      <c r="D3057" s="21" t="s">
        <v>6549</v>
      </c>
      <c r="E3057" s="21" t="s">
        <v>734</v>
      </c>
      <c r="F3057" s="21" t="s">
        <v>7902</v>
      </c>
      <c r="G3057" s="21" t="s">
        <v>8349</v>
      </c>
    </row>
    <row r="3058" customFormat="false" ht="15" hidden="false" customHeight="false" outlineLevel="0" collapsed="false">
      <c r="B3058" s="19" t="s">
        <v>11248</v>
      </c>
      <c r="C3058" s="20" t="n">
        <f aca="false">ROUND(3.12/FX,2)</f>
        <v>0.43</v>
      </c>
      <c r="D3058" s="21" t="s">
        <v>6549</v>
      </c>
      <c r="E3058" s="21" t="s">
        <v>734</v>
      </c>
      <c r="F3058" s="21" t="s">
        <v>7902</v>
      </c>
      <c r="G3058" s="21" t="s">
        <v>7964</v>
      </c>
    </row>
    <row r="3059" customFormat="false" ht="15" hidden="false" customHeight="false" outlineLevel="0" collapsed="false">
      <c r="B3059" s="19" t="s">
        <v>11249</v>
      </c>
      <c r="C3059" s="20" t="n">
        <f aca="false">ROUND(3.12/FX,2)</f>
        <v>0.43</v>
      </c>
      <c r="D3059" s="21" t="s">
        <v>6549</v>
      </c>
      <c r="E3059" s="21" t="s">
        <v>734</v>
      </c>
      <c r="F3059" s="21" t="s">
        <v>7902</v>
      </c>
      <c r="G3059" s="21" t="s">
        <v>7968</v>
      </c>
    </row>
    <row r="3060" customFormat="false" ht="15" hidden="false" customHeight="false" outlineLevel="0" collapsed="false">
      <c r="B3060" s="19" t="s">
        <v>11250</v>
      </c>
      <c r="C3060" s="20" t="n">
        <f aca="false">ROUND(3.12/FX,2)</f>
        <v>0.43</v>
      </c>
      <c r="D3060" s="21" t="s">
        <v>6549</v>
      </c>
      <c r="E3060" s="21" t="s">
        <v>734</v>
      </c>
      <c r="F3060" s="21" t="s">
        <v>7902</v>
      </c>
      <c r="G3060" s="21" t="s">
        <v>8379</v>
      </c>
    </row>
    <row r="3061" customFormat="false" ht="15" hidden="false" customHeight="false" outlineLevel="0" collapsed="false">
      <c r="B3061" s="19" t="s">
        <v>11251</v>
      </c>
      <c r="C3061" s="20" t="n">
        <f aca="false">ROUND(3.38/FX,2)</f>
        <v>0.47</v>
      </c>
      <c r="D3061" s="21" t="s">
        <v>7886</v>
      </c>
      <c r="E3061" s="21" t="s">
        <v>734</v>
      </c>
      <c r="F3061" s="21" t="s">
        <v>7902</v>
      </c>
      <c r="G3061" s="21" t="s">
        <v>7899</v>
      </c>
    </row>
    <row r="3062" customFormat="false" ht="15" hidden="false" customHeight="false" outlineLevel="0" collapsed="false">
      <c r="B3062" s="19" t="s">
        <v>11252</v>
      </c>
      <c r="C3062" s="20" t="n">
        <f aca="false">ROUND(3.12/FX,2)</f>
        <v>0.43</v>
      </c>
      <c r="D3062" s="21" t="s">
        <v>6549</v>
      </c>
      <c r="E3062" s="21" t="s">
        <v>734</v>
      </c>
      <c r="F3062" s="21" t="s">
        <v>7902</v>
      </c>
      <c r="G3062" s="21" t="s">
        <v>7899</v>
      </c>
    </row>
    <row r="3063" customFormat="false" ht="15" hidden="false" customHeight="false" outlineLevel="0" collapsed="false">
      <c r="B3063" s="19" t="s">
        <v>11253</v>
      </c>
      <c r="C3063" s="20" t="n">
        <f aca="false">ROUND(3.38/FX,2)</f>
        <v>0.47</v>
      </c>
      <c r="D3063" s="21" t="s">
        <v>7886</v>
      </c>
      <c r="E3063" s="21" t="s">
        <v>734</v>
      </c>
      <c r="F3063" s="21" t="s">
        <v>7902</v>
      </c>
      <c r="G3063" s="21" t="s">
        <v>7866</v>
      </c>
    </row>
    <row r="3064" customFormat="false" ht="15" hidden="false" customHeight="false" outlineLevel="0" collapsed="false">
      <c r="B3064" s="19" t="s">
        <v>11254</v>
      </c>
      <c r="C3064" s="20" t="n">
        <f aca="false">ROUND(3.12/FX,2)</f>
        <v>0.43</v>
      </c>
      <c r="D3064" s="21" t="s">
        <v>6706</v>
      </c>
      <c r="E3064" s="21" t="s">
        <v>734</v>
      </c>
      <c r="F3064" s="21" t="s">
        <v>7902</v>
      </c>
      <c r="G3064" s="21" t="s">
        <v>7866</v>
      </c>
    </row>
    <row r="3065" customFormat="false" ht="15" hidden="false" customHeight="false" outlineLevel="0" collapsed="false">
      <c r="B3065" s="19" t="s">
        <v>11255</v>
      </c>
      <c r="C3065" s="20" t="n">
        <f aca="false">ROUND(3.12/FX,2)</f>
        <v>0.43</v>
      </c>
      <c r="D3065" s="21" t="s">
        <v>6698</v>
      </c>
      <c r="E3065" s="21" t="s">
        <v>734</v>
      </c>
      <c r="F3065" s="21" t="s">
        <v>7902</v>
      </c>
      <c r="G3065" s="21" t="s">
        <v>7866</v>
      </c>
    </row>
    <row r="3066" customFormat="false" ht="15" hidden="false" customHeight="false" outlineLevel="0" collapsed="false">
      <c r="B3066" s="19" t="s">
        <v>11256</v>
      </c>
      <c r="C3066" s="20" t="n">
        <f aca="false">ROUND(3.12/FX,2)</f>
        <v>0.43</v>
      </c>
      <c r="D3066" s="21" t="s">
        <v>6549</v>
      </c>
      <c r="E3066" s="21" t="s">
        <v>734</v>
      </c>
      <c r="F3066" s="21" t="s">
        <v>7902</v>
      </c>
      <c r="G3066" s="21" t="s">
        <v>8396</v>
      </c>
    </row>
    <row r="3067" customFormat="false" ht="15" hidden="false" customHeight="false" outlineLevel="0" collapsed="false">
      <c r="B3067" s="19" t="s">
        <v>11257</v>
      </c>
      <c r="C3067" s="20" t="n">
        <f aca="false">ROUND(3.12/FX,2)</f>
        <v>0.43</v>
      </c>
      <c r="D3067" s="21" t="s">
        <v>6549</v>
      </c>
      <c r="E3067" s="21" t="s">
        <v>734</v>
      </c>
      <c r="F3067" s="21" t="s">
        <v>7902</v>
      </c>
      <c r="G3067" s="21" t="s">
        <v>8401</v>
      </c>
    </row>
    <row r="3068" customFormat="false" ht="15" hidden="false" customHeight="false" outlineLevel="0" collapsed="false">
      <c r="B3068" s="19" t="s">
        <v>11258</v>
      </c>
      <c r="C3068" s="20" t="n">
        <f aca="false">ROUND(2.34/FX,2)</f>
        <v>0.33</v>
      </c>
      <c r="D3068" s="21" t="s">
        <v>6549</v>
      </c>
      <c r="E3068" s="21" t="s">
        <v>734</v>
      </c>
      <c r="F3068" s="21" t="s">
        <v>11259</v>
      </c>
      <c r="G3068" s="21" t="s">
        <v>7875</v>
      </c>
    </row>
    <row r="3069" customFormat="false" ht="15" hidden="false" customHeight="false" outlineLevel="0" collapsed="false">
      <c r="B3069" s="19" t="s">
        <v>11260</v>
      </c>
      <c r="C3069" s="20" t="n">
        <f aca="false">ROUND(13/FX,2)</f>
        <v>1.81</v>
      </c>
      <c r="D3069" s="21" t="s">
        <v>6549</v>
      </c>
      <c r="E3069" s="21" t="s">
        <v>11174</v>
      </c>
      <c r="F3069" s="21" t="s">
        <v>11261</v>
      </c>
      <c r="G3069" s="21" t="s">
        <v>7862</v>
      </c>
    </row>
    <row r="3070" customFormat="false" ht="15" hidden="false" customHeight="false" outlineLevel="0" collapsed="false">
      <c r="B3070" s="19" t="s">
        <v>11262</v>
      </c>
      <c r="C3070" s="20" t="n">
        <f aca="false">ROUND(16.25/FX,2)</f>
        <v>2.26</v>
      </c>
      <c r="D3070" s="21" t="s">
        <v>6549</v>
      </c>
      <c r="E3070" s="21" t="s">
        <v>11263</v>
      </c>
      <c r="F3070" s="21" t="s">
        <v>11264</v>
      </c>
      <c r="G3070" s="21" t="s">
        <v>7862</v>
      </c>
    </row>
    <row r="3071" customFormat="false" ht="15" hidden="false" customHeight="false" outlineLevel="0" collapsed="false">
      <c r="B3071" s="19" t="s">
        <v>11265</v>
      </c>
      <c r="C3071" s="20" t="n">
        <f aca="false">ROUND(14.3/FX,2)</f>
        <v>1.99</v>
      </c>
      <c r="D3071" s="21" t="s">
        <v>6549</v>
      </c>
      <c r="E3071" s="21" t="s">
        <v>11227</v>
      </c>
      <c r="F3071" s="21" t="s">
        <v>11266</v>
      </c>
      <c r="G3071" s="21" t="s">
        <v>7829</v>
      </c>
    </row>
    <row r="3072" customFormat="false" ht="15" hidden="false" customHeight="false" outlineLevel="0" collapsed="false">
      <c r="B3072" s="19" t="s">
        <v>11267</v>
      </c>
      <c r="C3072" s="20" t="n">
        <f aca="false">ROUND(14.3/FX,2)</f>
        <v>1.99</v>
      </c>
      <c r="D3072" s="21" t="s">
        <v>6549</v>
      </c>
      <c r="E3072" s="21" t="s">
        <v>11227</v>
      </c>
      <c r="F3072" s="21" t="s">
        <v>11266</v>
      </c>
      <c r="G3072" s="21" t="s">
        <v>7831</v>
      </c>
    </row>
    <row r="3073" customFormat="false" ht="15" hidden="false" customHeight="false" outlineLevel="0" collapsed="false">
      <c r="B3073" s="19" t="s">
        <v>11268</v>
      </c>
      <c r="C3073" s="20" t="n">
        <f aca="false">ROUND(14.3/FX,2)</f>
        <v>1.99</v>
      </c>
      <c r="D3073" s="21" t="s">
        <v>6549</v>
      </c>
      <c r="E3073" s="21" t="s">
        <v>11227</v>
      </c>
      <c r="F3073" s="21" t="s">
        <v>11266</v>
      </c>
      <c r="G3073" s="21" t="s">
        <v>7944</v>
      </c>
    </row>
    <row r="3074" customFormat="false" ht="15" hidden="false" customHeight="false" outlineLevel="0" collapsed="false">
      <c r="B3074" s="19" t="s">
        <v>11269</v>
      </c>
      <c r="C3074" s="20" t="n">
        <f aca="false">ROUND(14.3/FX,2)</f>
        <v>1.99</v>
      </c>
      <c r="D3074" s="21" t="s">
        <v>6549</v>
      </c>
      <c r="E3074" s="21" t="s">
        <v>11227</v>
      </c>
      <c r="F3074" s="21" t="s">
        <v>11266</v>
      </c>
      <c r="G3074" s="21" t="s">
        <v>7833</v>
      </c>
    </row>
    <row r="3075" customFormat="false" ht="15" hidden="false" customHeight="false" outlineLevel="0" collapsed="false">
      <c r="B3075" s="19" t="s">
        <v>11270</v>
      </c>
      <c r="C3075" s="20" t="n">
        <f aca="false">ROUND(14.3/FX,2)</f>
        <v>1.99</v>
      </c>
      <c r="D3075" s="21" t="s">
        <v>6549</v>
      </c>
      <c r="E3075" s="21" t="s">
        <v>11227</v>
      </c>
      <c r="F3075" s="21" t="s">
        <v>11266</v>
      </c>
      <c r="G3075" s="21" t="s">
        <v>7860</v>
      </c>
    </row>
    <row r="3076" customFormat="false" ht="15" hidden="false" customHeight="false" outlineLevel="0" collapsed="false">
      <c r="B3076" s="19" t="s">
        <v>11271</v>
      </c>
      <c r="C3076" s="20" t="n">
        <f aca="false">ROUND(14.3/FX,2)</f>
        <v>1.99</v>
      </c>
      <c r="D3076" s="21" t="s">
        <v>6549</v>
      </c>
      <c r="E3076" s="21" t="s">
        <v>11227</v>
      </c>
      <c r="F3076" s="21" t="s">
        <v>11266</v>
      </c>
      <c r="G3076" s="21" t="s">
        <v>7893</v>
      </c>
    </row>
    <row r="3077" customFormat="false" ht="15" hidden="false" customHeight="false" outlineLevel="0" collapsed="false">
      <c r="B3077" s="19" t="s">
        <v>11272</v>
      </c>
      <c r="C3077" s="20" t="n">
        <f aca="false">ROUND(13/FX,2)</f>
        <v>1.81</v>
      </c>
      <c r="D3077" s="21" t="s">
        <v>6549</v>
      </c>
      <c r="E3077" s="21" t="s">
        <v>11227</v>
      </c>
      <c r="F3077" s="21" t="s">
        <v>11266</v>
      </c>
      <c r="G3077" s="21" t="s">
        <v>7862</v>
      </c>
    </row>
    <row r="3078" customFormat="false" ht="15" hidden="false" customHeight="false" outlineLevel="0" collapsed="false">
      <c r="B3078" s="19" t="s">
        <v>11273</v>
      </c>
      <c r="C3078" s="20" t="n">
        <f aca="false">ROUND(14.3/FX,2)</f>
        <v>1.99</v>
      </c>
      <c r="D3078" s="21" t="s">
        <v>6549</v>
      </c>
      <c r="E3078" s="21" t="s">
        <v>11227</v>
      </c>
      <c r="F3078" s="21" t="s">
        <v>11266</v>
      </c>
      <c r="G3078" s="21" t="s">
        <v>7864</v>
      </c>
    </row>
    <row r="3079" customFormat="false" ht="15" hidden="false" customHeight="false" outlineLevel="0" collapsed="false">
      <c r="B3079" s="19" t="s">
        <v>11274</v>
      </c>
      <c r="C3079" s="20" t="n">
        <f aca="false">ROUND(13/FX,2)</f>
        <v>1.81</v>
      </c>
      <c r="D3079" s="21" t="s">
        <v>6549</v>
      </c>
      <c r="E3079" s="21" t="s">
        <v>11227</v>
      </c>
      <c r="F3079" s="21" t="s">
        <v>11266</v>
      </c>
      <c r="G3079" s="21" t="s">
        <v>7872</v>
      </c>
    </row>
    <row r="3080" customFormat="false" ht="15" hidden="false" customHeight="false" outlineLevel="0" collapsed="false">
      <c r="B3080" s="19" t="s">
        <v>11275</v>
      </c>
      <c r="C3080" s="20" t="n">
        <f aca="false">ROUND(14.3/FX,2)</f>
        <v>1.99</v>
      </c>
      <c r="D3080" s="21" t="s">
        <v>6549</v>
      </c>
      <c r="E3080" s="21" t="s">
        <v>11227</v>
      </c>
      <c r="F3080" s="21" t="s">
        <v>11266</v>
      </c>
      <c r="G3080" s="21" t="s">
        <v>7866</v>
      </c>
    </row>
    <row r="3081" customFormat="false" ht="15" hidden="false" customHeight="false" outlineLevel="0" collapsed="false">
      <c r="B3081" s="19" t="s">
        <v>11276</v>
      </c>
      <c r="C3081" s="20" t="n">
        <f aca="false">ROUND(5.2/FX,2)</f>
        <v>0.72</v>
      </c>
      <c r="D3081" s="21" t="s">
        <v>6549</v>
      </c>
      <c r="E3081" s="21" t="s">
        <v>734</v>
      </c>
      <c r="F3081" s="21" t="s">
        <v>7997</v>
      </c>
      <c r="G3081" s="21" t="s">
        <v>7875</v>
      </c>
    </row>
    <row r="3082" customFormat="false" ht="15" hidden="false" customHeight="false" outlineLevel="0" collapsed="false">
      <c r="B3082" s="19" t="s">
        <v>11277</v>
      </c>
      <c r="C3082" s="20" t="n">
        <f aca="false">ROUND(5.2/FX,2)</f>
        <v>0.72</v>
      </c>
      <c r="D3082" s="21" t="s">
        <v>6549</v>
      </c>
      <c r="E3082" s="21" t="s">
        <v>734</v>
      </c>
      <c r="F3082" s="21" t="s">
        <v>7997</v>
      </c>
      <c r="G3082" s="21" t="s">
        <v>8580</v>
      </c>
    </row>
    <row r="3083" customFormat="false" ht="15" hidden="false" customHeight="false" outlineLevel="0" collapsed="false">
      <c r="B3083" s="19" t="s">
        <v>11278</v>
      </c>
      <c r="C3083" s="20" t="n">
        <f aca="false">ROUND(5.46/FX,2)</f>
        <v>0.76</v>
      </c>
      <c r="D3083" s="21" t="s">
        <v>7884</v>
      </c>
      <c r="E3083" s="21" t="s">
        <v>734</v>
      </c>
      <c r="F3083" s="21" t="s">
        <v>7997</v>
      </c>
      <c r="G3083" s="21" t="s">
        <v>7999</v>
      </c>
    </row>
    <row r="3084" customFormat="false" ht="15" hidden="false" customHeight="false" outlineLevel="0" collapsed="false">
      <c r="B3084" s="19" t="s">
        <v>11279</v>
      </c>
      <c r="C3084" s="20" t="n">
        <f aca="false">ROUND(5.2/FX,2)</f>
        <v>0.72</v>
      </c>
      <c r="D3084" s="21" t="s">
        <v>6706</v>
      </c>
      <c r="E3084" s="21" t="s">
        <v>734</v>
      </c>
      <c r="F3084" s="21" t="s">
        <v>7997</v>
      </c>
      <c r="G3084" s="21" t="s">
        <v>7999</v>
      </c>
    </row>
    <row r="3085" customFormat="false" ht="15" hidden="false" customHeight="false" outlineLevel="0" collapsed="false">
      <c r="B3085" s="19" t="s">
        <v>11280</v>
      </c>
      <c r="C3085" s="20" t="n">
        <f aca="false">ROUND(5.46/FX,2)</f>
        <v>0.76</v>
      </c>
      <c r="D3085" s="21" t="s">
        <v>7884</v>
      </c>
      <c r="E3085" s="21" t="s">
        <v>734</v>
      </c>
      <c r="F3085" s="21" t="s">
        <v>7997</v>
      </c>
      <c r="G3085" s="21" t="s">
        <v>7985</v>
      </c>
    </row>
    <row r="3086" customFormat="false" ht="15" hidden="false" customHeight="false" outlineLevel="0" collapsed="false">
      <c r="B3086" s="19" t="s">
        <v>11281</v>
      </c>
      <c r="C3086" s="20" t="n">
        <f aca="false">ROUND(5.2/FX,2)</f>
        <v>0.72</v>
      </c>
      <c r="D3086" s="21" t="s">
        <v>6549</v>
      </c>
      <c r="E3086" s="21" t="s">
        <v>734</v>
      </c>
      <c r="F3086" s="21" t="s">
        <v>7997</v>
      </c>
      <c r="G3086" s="21" t="s">
        <v>7985</v>
      </c>
    </row>
    <row r="3087" customFormat="false" ht="15" hidden="false" customHeight="false" outlineLevel="0" collapsed="false">
      <c r="B3087" s="19" t="s">
        <v>11282</v>
      </c>
      <c r="C3087" s="20" t="n">
        <f aca="false">ROUND(5.2/FX,2)</f>
        <v>0.72</v>
      </c>
      <c r="D3087" s="21" t="s">
        <v>6706</v>
      </c>
      <c r="E3087" s="21" t="s">
        <v>734</v>
      </c>
      <c r="F3087" s="21" t="s">
        <v>7997</v>
      </c>
      <c r="G3087" s="21" t="s">
        <v>8143</v>
      </c>
    </row>
    <row r="3088" customFormat="false" ht="15" hidden="false" customHeight="false" outlineLevel="0" collapsed="false">
      <c r="B3088" s="19" t="s">
        <v>11283</v>
      </c>
      <c r="C3088" s="20" t="n">
        <f aca="false">ROUND(5.2/FX,2)</f>
        <v>0.72</v>
      </c>
      <c r="D3088" s="21" t="s">
        <v>6549</v>
      </c>
      <c r="E3088" s="21" t="s">
        <v>734</v>
      </c>
      <c r="F3088" s="21" t="s">
        <v>7997</v>
      </c>
      <c r="G3088" s="21" t="s">
        <v>8610</v>
      </c>
    </row>
    <row r="3089" customFormat="false" ht="15" hidden="false" customHeight="false" outlineLevel="0" collapsed="false">
      <c r="B3089" s="19" t="s">
        <v>11284</v>
      </c>
      <c r="C3089" s="20" t="n">
        <f aca="false">ROUND(5.2/FX,2)</f>
        <v>0.72</v>
      </c>
      <c r="D3089" s="21" t="s">
        <v>6549</v>
      </c>
      <c r="E3089" s="21" t="s">
        <v>734</v>
      </c>
      <c r="F3089" s="21" t="s">
        <v>7997</v>
      </c>
      <c r="G3089" s="21" t="s">
        <v>7827</v>
      </c>
    </row>
    <row r="3090" customFormat="false" ht="15" hidden="false" customHeight="false" outlineLevel="0" collapsed="false">
      <c r="B3090" s="19" t="s">
        <v>11285</v>
      </c>
      <c r="C3090" s="20" t="n">
        <f aca="false">ROUND(5.2/FX,2)</f>
        <v>0.72</v>
      </c>
      <c r="D3090" s="21" t="s">
        <v>6549</v>
      </c>
      <c r="E3090" s="21" t="s">
        <v>734</v>
      </c>
      <c r="F3090" s="21" t="s">
        <v>7997</v>
      </c>
      <c r="G3090" s="21" t="s">
        <v>7853</v>
      </c>
    </row>
    <row r="3091" customFormat="false" ht="15" hidden="false" customHeight="false" outlineLevel="0" collapsed="false">
      <c r="B3091" s="19" t="s">
        <v>11286</v>
      </c>
      <c r="C3091" s="20" t="n">
        <f aca="false">ROUND(18.2/FX,2)</f>
        <v>2.53</v>
      </c>
      <c r="D3091" s="21" t="s">
        <v>6549</v>
      </c>
      <c r="E3091" s="21" t="s">
        <v>11227</v>
      </c>
      <c r="F3091" s="21" t="s">
        <v>7997</v>
      </c>
      <c r="G3091" s="21" t="s">
        <v>7869</v>
      </c>
    </row>
    <row r="3092" customFormat="false" ht="15" hidden="false" customHeight="false" outlineLevel="0" collapsed="false">
      <c r="B3092" s="19" t="s">
        <v>11287</v>
      </c>
      <c r="C3092" s="20" t="n">
        <f aca="false">ROUND(5.2/FX,2)</f>
        <v>0.72</v>
      </c>
      <c r="D3092" s="21" t="s">
        <v>6549</v>
      </c>
      <c r="E3092" s="21" t="s">
        <v>734</v>
      </c>
      <c r="F3092" s="21" t="s">
        <v>7997</v>
      </c>
      <c r="G3092" s="21" t="s">
        <v>7881</v>
      </c>
    </row>
    <row r="3093" customFormat="false" ht="15" hidden="false" customHeight="false" outlineLevel="0" collapsed="false">
      <c r="B3093" s="19" t="s">
        <v>11288</v>
      </c>
      <c r="C3093" s="20" t="n">
        <f aca="false">ROUND(5.46/FX,2)</f>
        <v>0.76</v>
      </c>
      <c r="D3093" s="21" t="s">
        <v>7884</v>
      </c>
      <c r="E3093" s="21" t="s">
        <v>734</v>
      </c>
      <c r="F3093" s="21" t="s">
        <v>7997</v>
      </c>
      <c r="G3093" s="21" t="s">
        <v>7989</v>
      </c>
    </row>
    <row r="3094" customFormat="false" ht="15" hidden="false" customHeight="false" outlineLevel="0" collapsed="false">
      <c r="B3094" s="19" t="s">
        <v>11289</v>
      </c>
      <c r="C3094" s="20" t="n">
        <f aca="false">ROUND(5.2/FX,2)</f>
        <v>0.72</v>
      </c>
      <c r="D3094" s="21" t="s">
        <v>6549</v>
      </c>
      <c r="E3094" s="21" t="s">
        <v>734</v>
      </c>
      <c r="F3094" s="21" t="s">
        <v>7997</v>
      </c>
      <c r="G3094" s="21" t="s">
        <v>7989</v>
      </c>
    </row>
    <row r="3095" customFormat="false" ht="15" hidden="false" customHeight="false" outlineLevel="0" collapsed="false">
      <c r="B3095" s="19" t="s">
        <v>11290</v>
      </c>
      <c r="C3095" s="20" t="n">
        <f aca="false">ROUND(5.2/FX,2)</f>
        <v>0.72</v>
      </c>
      <c r="D3095" s="21" t="s">
        <v>6549</v>
      </c>
      <c r="E3095" s="21" t="s">
        <v>734</v>
      </c>
      <c r="F3095" s="21" t="s">
        <v>7997</v>
      </c>
      <c r="G3095" s="21" t="s">
        <v>7829</v>
      </c>
    </row>
    <row r="3096" customFormat="false" ht="15" hidden="false" customHeight="false" outlineLevel="0" collapsed="false">
      <c r="B3096" s="19" t="s">
        <v>11291</v>
      </c>
      <c r="C3096" s="20" t="n">
        <f aca="false">ROUND(5.2/FX,2)</f>
        <v>0.72</v>
      </c>
      <c r="D3096" s="21" t="s">
        <v>6549</v>
      </c>
      <c r="E3096" s="21" t="s">
        <v>734</v>
      </c>
      <c r="F3096" s="21" t="s">
        <v>7997</v>
      </c>
      <c r="G3096" s="21" t="s">
        <v>7831</v>
      </c>
    </row>
    <row r="3097" customFormat="false" ht="15" hidden="false" customHeight="false" outlineLevel="0" collapsed="false">
      <c r="B3097" s="19" t="s">
        <v>11292</v>
      </c>
      <c r="C3097" s="20" t="n">
        <f aca="false">ROUND(18.2/FX,2)</f>
        <v>2.53</v>
      </c>
      <c r="D3097" s="21" t="s">
        <v>6549</v>
      </c>
      <c r="E3097" s="21" t="s">
        <v>11227</v>
      </c>
      <c r="F3097" s="21" t="s">
        <v>7997</v>
      </c>
      <c r="G3097" s="21" t="s">
        <v>7831</v>
      </c>
    </row>
    <row r="3098" customFormat="false" ht="15" hidden="false" customHeight="false" outlineLevel="0" collapsed="false">
      <c r="B3098" s="19" t="s">
        <v>11293</v>
      </c>
      <c r="C3098" s="20" t="n">
        <f aca="false">ROUND(5.2/FX,2)</f>
        <v>0.72</v>
      </c>
      <c r="D3098" s="21" t="s">
        <v>6698</v>
      </c>
      <c r="E3098" s="21" t="s">
        <v>734</v>
      </c>
      <c r="F3098" s="21" t="s">
        <v>7997</v>
      </c>
      <c r="G3098" s="21" t="s">
        <v>7833</v>
      </c>
    </row>
    <row r="3099" customFormat="false" ht="15" hidden="false" customHeight="false" outlineLevel="0" collapsed="false">
      <c r="B3099" s="19" t="s">
        <v>11294</v>
      </c>
      <c r="C3099" s="20" t="n">
        <f aca="false">ROUND(5.2/FX,2)</f>
        <v>0.72</v>
      </c>
      <c r="D3099" s="21" t="s">
        <v>6706</v>
      </c>
      <c r="E3099" s="21" t="s">
        <v>734</v>
      </c>
      <c r="F3099" s="21" t="s">
        <v>7997</v>
      </c>
      <c r="G3099" s="21" t="s">
        <v>7891</v>
      </c>
    </row>
    <row r="3100" customFormat="false" ht="15" hidden="false" customHeight="false" outlineLevel="0" collapsed="false">
      <c r="B3100" s="19" t="s">
        <v>11295</v>
      </c>
      <c r="C3100" s="20" t="n">
        <f aca="false">ROUND(5.2/FX,2)</f>
        <v>0.72</v>
      </c>
      <c r="D3100" s="21" t="s">
        <v>6698</v>
      </c>
      <c r="E3100" s="21" t="s">
        <v>734</v>
      </c>
      <c r="F3100" s="21" t="s">
        <v>7997</v>
      </c>
      <c r="G3100" s="21" t="s">
        <v>7891</v>
      </c>
    </row>
    <row r="3101" customFormat="false" ht="15" hidden="false" customHeight="false" outlineLevel="0" collapsed="false">
      <c r="B3101" s="19" t="s">
        <v>11296</v>
      </c>
      <c r="C3101" s="20" t="n">
        <f aca="false">ROUND(5.2/FX,2)</f>
        <v>0.72</v>
      </c>
      <c r="D3101" s="21" t="s">
        <v>6549</v>
      </c>
      <c r="E3101" s="21" t="s">
        <v>734</v>
      </c>
      <c r="F3101" s="21" t="s">
        <v>7997</v>
      </c>
      <c r="G3101" s="21" t="s">
        <v>7992</v>
      </c>
    </row>
    <row r="3102" customFormat="false" ht="15" hidden="false" customHeight="false" outlineLevel="0" collapsed="false">
      <c r="B3102" s="19" t="s">
        <v>11297</v>
      </c>
      <c r="C3102" s="20" t="n">
        <f aca="false">ROUND(5.2/FX,2)</f>
        <v>0.72</v>
      </c>
      <c r="D3102" s="21" t="s">
        <v>6549</v>
      </c>
      <c r="E3102" s="21" t="s">
        <v>734</v>
      </c>
      <c r="F3102" s="21" t="s">
        <v>7997</v>
      </c>
      <c r="G3102" s="21" t="s">
        <v>7860</v>
      </c>
    </row>
    <row r="3103" customFormat="false" ht="15" hidden="false" customHeight="false" outlineLevel="0" collapsed="false">
      <c r="B3103" s="19" t="s">
        <v>11298</v>
      </c>
      <c r="C3103" s="20" t="n">
        <f aca="false">ROUND(5.2/FX,2)</f>
        <v>0.72</v>
      </c>
      <c r="D3103" s="21" t="s">
        <v>6549</v>
      </c>
      <c r="E3103" s="21" t="s">
        <v>734</v>
      </c>
      <c r="F3103" s="21" t="s">
        <v>7997</v>
      </c>
      <c r="G3103" s="21" t="s">
        <v>7893</v>
      </c>
    </row>
    <row r="3104" customFormat="false" ht="15" hidden="false" customHeight="false" outlineLevel="0" collapsed="false">
      <c r="B3104" s="19" t="s">
        <v>11299</v>
      </c>
      <c r="C3104" s="20" t="n">
        <f aca="false">ROUND(5.2/FX,2)</f>
        <v>0.72</v>
      </c>
      <c r="D3104" s="21" t="s">
        <v>6549</v>
      </c>
      <c r="E3104" s="21" t="s">
        <v>734</v>
      </c>
      <c r="F3104" s="21" t="s">
        <v>7997</v>
      </c>
      <c r="G3104" s="21" t="s">
        <v>7895</v>
      </c>
    </row>
    <row r="3105" customFormat="false" ht="15" hidden="false" customHeight="false" outlineLevel="0" collapsed="false">
      <c r="B3105" s="19" t="s">
        <v>11300</v>
      </c>
      <c r="C3105" s="20" t="n">
        <f aca="false">ROUND(5.2/FX,2)</f>
        <v>0.72</v>
      </c>
      <c r="D3105" s="21" t="s">
        <v>6549</v>
      </c>
      <c r="E3105" s="21" t="s">
        <v>734</v>
      </c>
      <c r="F3105" s="21" t="s">
        <v>7997</v>
      </c>
      <c r="G3105" s="21" t="s">
        <v>8646</v>
      </c>
    </row>
    <row r="3106" customFormat="false" ht="15" hidden="false" customHeight="false" outlineLevel="0" collapsed="false">
      <c r="B3106" s="19" t="s">
        <v>11301</v>
      </c>
      <c r="C3106" s="20" t="n">
        <f aca="false">ROUND(5.2/FX,2)</f>
        <v>0.72</v>
      </c>
      <c r="D3106" s="21" t="s">
        <v>6549</v>
      </c>
      <c r="E3106" s="21" t="s">
        <v>734</v>
      </c>
      <c r="F3106" s="21" t="s">
        <v>7997</v>
      </c>
      <c r="G3106" s="21" t="s">
        <v>8035</v>
      </c>
    </row>
    <row r="3107" customFormat="false" ht="15" hidden="false" customHeight="false" outlineLevel="0" collapsed="false">
      <c r="B3107" s="19" t="s">
        <v>11302</v>
      </c>
      <c r="C3107" s="20" t="n">
        <f aca="false">ROUND(5.2/FX,2)</f>
        <v>0.72</v>
      </c>
      <c r="D3107" s="21" t="s">
        <v>6549</v>
      </c>
      <c r="E3107" s="21" t="s">
        <v>734</v>
      </c>
      <c r="F3107" s="21" t="s">
        <v>7997</v>
      </c>
      <c r="G3107" s="21" t="s">
        <v>7862</v>
      </c>
    </row>
    <row r="3108" customFormat="false" ht="15" hidden="false" customHeight="false" outlineLevel="0" collapsed="false">
      <c r="B3108" s="19" t="s">
        <v>11303</v>
      </c>
      <c r="C3108" s="20" t="n">
        <f aca="false">ROUND(18.2/FX,2)</f>
        <v>2.53</v>
      </c>
      <c r="D3108" s="21" t="s">
        <v>6549</v>
      </c>
      <c r="E3108" s="21" t="s">
        <v>11227</v>
      </c>
      <c r="F3108" s="21" t="s">
        <v>7997</v>
      </c>
      <c r="G3108" s="21" t="s">
        <v>7862</v>
      </c>
    </row>
    <row r="3109" customFormat="false" ht="15" hidden="false" customHeight="false" outlineLevel="0" collapsed="false">
      <c r="B3109" s="19" t="s">
        <v>11304</v>
      </c>
      <c r="C3109" s="20" t="n">
        <f aca="false">ROUND(5.2/FX,2)</f>
        <v>0.72</v>
      </c>
      <c r="D3109" s="21" t="s">
        <v>6549</v>
      </c>
      <c r="E3109" s="21" t="s">
        <v>734</v>
      </c>
      <c r="F3109" s="21" t="s">
        <v>7997</v>
      </c>
      <c r="G3109" s="21" t="s">
        <v>7864</v>
      </c>
    </row>
    <row r="3110" customFormat="false" ht="15" hidden="false" customHeight="false" outlineLevel="0" collapsed="false">
      <c r="B3110" s="19" t="s">
        <v>11305</v>
      </c>
      <c r="C3110" s="20" t="n">
        <f aca="false">ROUND(18.2/FX,2)</f>
        <v>2.53</v>
      </c>
      <c r="D3110" s="21" t="s">
        <v>6549</v>
      </c>
      <c r="E3110" s="21" t="s">
        <v>11227</v>
      </c>
      <c r="F3110" s="21" t="s">
        <v>7997</v>
      </c>
      <c r="G3110" s="21" t="s">
        <v>7864</v>
      </c>
    </row>
    <row r="3111" customFormat="false" ht="15" hidden="false" customHeight="false" outlineLevel="0" collapsed="false">
      <c r="B3111" s="19" t="s">
        <v>11306</v>
      </c>
      <c r="C3111" s="20" t="n">
        <f aca="false">ROUND(5.2/FX,2)</f>
        <v>0.72</v>
      </c>
      <c r="D3111" s="21" t="s">
        <v>6706</v>
      </c>
      <c r="E3111" s="21" t="s">
        <v>734</v>
      </c>
      <c r="F3111" s="21" t="s">
        <v>7997</v>
      </c>
      <c r="G3111" s="21" t="s">
        <v>7872</v>
      </c>
    </row>
    <row r="3112" customFormat="false" ht="15" hidden="false" customHeight="false" outlineLevel="0" collapsed="false">
      <c r="B3112" s="19" t="s">
        <v>11307</v>
      </c>
      <c r="C3112" s="20" t="n">
        <f aca="false">ROUND(18.2/FX,2)</f>
        <v>2.53</v>
      </c>
      <c r="D3112" s="21" t="s">
        <v>6549</v>
      </c>
      <c r="E3112" s="21" t="s">
        <v>11227</v>
      </c>
      <c r="F3112" s="21" t="s">
        <v>7997</v>
      </c>
      <c r="G3112" s="21" t="s">
        <v>7872</v>
      </c>
    </row>
    <row r="3113" customFormat="false" ht="15" hidden="false" customHeight="false" outlineLevel="0" collapsed="false">
      <c r="B3113" s="19" t="s">
        <v>11308</v>
      </c>
      <c r="C3113" s="20" t="n">
        <f aca="false">ROUND(5.2/FX,2)</f>
        <v>0.72</v>
      </c>
      <c r="D3113" s="21" t="s">
        <v>6549</v>
      </c>
      <c r="E3113" s="21" t="s">
        <v>734</v>
      </c>
      <c r="F3113" s="21" t="s">
        <v>7997</v>
      </c>
      <c r="G3113" s="21" t="s">
        <v>7899</v>
      </c>
    </row>
    <row r="3114" customFormat="false" ht="15" hidden="false" customHeight="false" outlineLevel="0" collapsed="false">
      <c r="B3114" s="19" t="s">
        <v>11309</v>
      </c>
      <c r="C3114" s="20" t="n">
        <f aca="false">ROUND(5.2/FX,2)</f>
        <v>0.72</v>
      </c>
      <c r="D3114" s="21" t="s">
        <v>6549</v>
      </c>
      <c r="E3114" s="21" t="s">
        <v>734</v>
      </c>
      <c r="F3114" s="21" t="s">
        <v>7997</v>
      </c>
      <c r="G3114" s="21" t="s">
        <v>7994</v>
      </c>
    </row>
    <row r="3115" customFormat="false" ht="15" hidden="false" customHeight="false" outlineLevel="0" collapsed="false">
      <c r="B3115" s="19" t="s">
        <v>11310</v>
      </c>
      <c r="C3115" s="20" t="n">
        <f aca="false">ROUND(5.2/FX,2)</f>
        <v>0.72</v>
      </c>
      <c r="D3115" s="21" t="s">
        <v>6549</v>
      </c>
      <c r="E3115" s="21" t="s">
        <v>734</v>
      </c>
      <c r="F3115" s="21" t="s">
        <v>7997</v>
      </c>
      <c r="G3115" s="21" t="s">
        <v>7866</v>
      </c>
    </row>
    <row r="3116" customFormat="false" ht="15" hidden="false" customHeight="false" outlineLevel="0" collapsed="false">
      <c r="B3116" s="19" t="s">
        <v>11311</v>
      </c>
      <c r="C3116" s="20" t="n">
        <f aca="false">ROUND(18.2/FX,2)</f>
        <v>2.53</v>
      </c>
      <c r="D3116" s="21" t="s">
        <v>6549</v>
      </c>
      <c r="E3116" s="21" t="s">
        <v>11227</v>
      </c>
      <c r="F3116" s="21" t="s">
        <v>7997</v>
      </c>
      <c r="G3116" s="21" t="s">
        <v>7866</v>
      </c>
    </row>
    <row r="3117" customFormat="false" ht="15" hidden="false" customHeight="false" outlineLevel="0" collapsed="false">
      <c r="B3117" s="19" t="s">
        <v>11312</v>
      </c>
      <c r="C3117" s="20" t="n">
        <f aca="false">ROUND(5.2/FX,2)</f>
        <v>0.72</v>
      </c>
      <c r="D3117" s="21" t="s">
        <v>6549</v>
      </c>
      <c r="E3117" s="21" t="s">
        <v>734</v>
      </c>
      <c r="F3117" s="21" t="s">
        <v>7997</v>
      </c>
      <c r="G3117" s="21" t="s">
        <v>8020</v>
      </c>
    </row>
    <row r="3118" customFormat="false" ht="15" hidden="false" customHeight="false" outlineLevel="0" collapsed="false">
      <c r="B3118" s="19" t="s">
        <v>11313</v>
      </c>
      <c r="C3118" s="20" t="n">
        <f aca="false">ROUND(16.9/FX,2)</f>
        <v>2.35</v>
      </c>
      <c r="D3118" s="21" t="s">
        <v>6549</v>
      </c>
      <c r="E3118" s="21" t="s">
        <v>11263</v>
      </c>
      <c r="F3118" s="21" t="s">
        <v>11314</v>
      </c>
      <c r="G3118" s="21" t="s">
        <v>7862</v>
      </c>
    </row>
    <row r="3119" customFormat="false" ht="15" hidden="false" customHeight="false" outlineLevel="0" collapsed="false">
      <c r="B3119" s="19" t="s">
        <v>11315</v>
      </c>
      <c r="C3119" s="20" t="n">
        <f aca="false">ROUND(6.5/FX,2)</f>
        <v>0.9</v>
      </c>
      <c r="D3119" s="21" t="s">
        <v>6706</v>
      </c>
      <c r="E3119" s="21" t="s">
        <v>734</v>
      </c>
      <c r="F3119" s="21" t="s">
        <v>8699</v>
      </c>
      <c r="G3119" s="21" t="s">
        <v>7875</v>
      </c>
    </row>
    <row r="3120" customFormat="false" ht="15" hidden="false" customHeight="false" outlineLevel="0" collapsed="false">
      <c r="B3120" s="19" t="s">
        <v>11316</v>
      </c>
      <c r="C3120" s="20" t="n">
        <f aca="false">ROUND(6.5/FX,2)</f>
        <v>0.9</v>
      </c>
      <c r="D3120" s="21" t="s">
        <v>6706</v>
      </c>
      <c r="E3120" s="21" t="s">
        <v>734</v>
      </c>
      <c r="F3120" s="21" t="s">
        <v>8699</v>
      </c>
      <c r="G3120" s="21" t="s">
        <v>7881</v>
      </c>
    </row>
    <row r="3121" customFormat="false" ht="15" hidden="false" customHeight="false" outlineLevel="0" collapsed="false">
      <c r="B3121" s="19" t="s">
        <v>11317</v>
      </c>
      <c r="C3121" s="20" t="n">
        <f aca="false">ROUND(6.5/FX,2)</f>
        <v>0.9</v>
      </c>
      <c r="D3121" s="21" t="s">
        <v>6706</v>
      </c>
      <c r="E3121" s="21" t="s">
        <v>734</v>
      </c>
      <c r="F3121" s="21" t="s">
        <v>8699</v>
      </c>
      <c r="G3121" s="21" t="s">
        <v>7833</v>
      </c>
    </row>
    <row r="3122" customFormat="false" ht="15" hidden="false" customHeight="false" outlineLevel="0" collapsed="false">
      <c r="B3122" s="19" t="s">
        <v>11318</v>
      </c>
      <c r="C3122" s="20" t="n">
        <f aca="false">ROUND(6.5/FX,2)</f>
        <v>0.9</v>
      </c>
      <c r="D3122" s="21" t="s">
        <v>6706</v>
      </c>
      <c r="E3122" s="21" t="s">
        <v>734</v>
      </c>
      <c r="F3122" s="21" t="s">
        <v>8699</v>
      </c>
      <c r="G3122" s="21" t="s">
        <v>7899</v>
      </c>
    </row>
    <row r="3123" customFormat="false" ht="15" hidden="false" customHeight="false" outlineLevel="0" collapsed="false">
      <c r="B3123" s="19" t="s">
        <v>11319</v>
      </c>
      <c r="C3123" s="20" t="n">
        <f aca="false">ROUND(16.9/FX,2)</f>
        <v>2.35</v>
      </c>
      <c r="D3123" s="21" t="s">
        <v>6549</v>
      </c>
      <c r="E3123" s="21" t="s">
        <v>11227</v>
      </c>
      <c r="F3123" s="21" t="s">
        <v>11320</v>
      </c>
      <c r="G3123" s="21" t="s">
        <v>7875</v>
      </c>
    </row>
    <row r="3124" customFormat="false" ht="15" hidden="false" customHeight="false" outlineLevel="0" collapsed="false">
      <c r="B3124" s="19" t="s">
        <v>11321</v>
      </c>
      <c r="C3124" s="20" t="n">
        <f aca="false">ROUND(16.9/FX,2)</f>
        <v>2.35</v>
      </c>
      <c r="D3124" s="21" t="s">
        <v>6549</v>
      </c>
      <c r="E3124" s="21" t="s">
        <v>11227</v>
      </c>
      <c r="F3124" s="21" t="s">
        <v>11320</v>
      </c>
      <c r="G3124" s="21" t="s">
        <v>7881</v>
      </c>
    </row>
    <row r="3125" customFormat="false" ht="15" hidden="false" customHeight="false" outlineLevel="0" collapsed="false">
      <c r="B3125" s="19" t="s">
        <v>11322</v>
      </c>
      <c r="C3125" s="20" t="n">
        <f aca="false">ROUND(16.9/FX,2)</f>
        <v>2.35</v>
      </c>
      <c r="D3125" s="21" t="s">
        <v>6549</v>
      </c>
      <c r="E3125" s="21" t="s">
        <v>11227</v>
      </c>
      <c r="F3125" s="21" t="s">
        <v>11320</v>
      </c>
      <c r="G3125" s="21" t="s">
        <v>7891</v>
      </c>
    </row>
    <row r="3126" customFormat="false" ht="15" hidden="false" customHeight="false" outlineLevel="0" collapsed="false">
      <c r="B3126" s="19" t="s">
        <v>11323</v>
      </c>
      <c r="C3126" s="20" t="n">
        <f aca="false">ROUND(16.9/FX,2)</f>
        <v>2.35</v>
      </c>
      <c r="D3126" s="21" t="s">
        <v>6549</v>
      </c>
      <c r="E3126" s="21" t="s">
        <v>11227</v>
      </c>
      <c r="F3126" s="21" t="s">
        <v>11320</v>
      </c>
      <c r="G3126" s="21" t="s">
        <v>7895</v>
      </c>
    </row>
    <row r="3127" customFormat="false" ht="15" hidden="false" customHeight="false" outlineLevel="0" collapsed="false">
      <c r="B3127" s="19" t="s">
        <v>11324</v>
      </c>
      <c r="C3127" s="20" t="n">
        <f aca="false">ROUND(14.3/FX,2)</f>
        <v>1.99</v>
      </c>
      <c r="D3127" s="21" t="s">
        <v>6549</v>
      </c>
      <c r="E3127" s="21" t="s">
        <v>11227</v>
      </c>
      <c r="F3127" s="21" t="s">
        <v>11320</v>
      </c>
      <c r="G3127" s="21" t="s">
        <v>7899</v>
      </c>
    </row>
    <row r="3128" customFormat="false" ht="15" hidden="false" customHeight="false" outlineLevel="0" collapsed="false">
      <c r="B3128" s="19" t="s">
        <v>11325</v>
      </c>
      <c r="C3128" s="20" t="n">
        <f aca="false">ROUND(22.1/FX,2)</f>
        <v>3.07</v>
      </c>
      <c r="D3128" s="21" t="s">
        <v>6549</v>
      </c>
      <c r="E3128" s="21" t="s">
        <v>11227</v>
      </c>
      <c r="F3128" s="21" t="s">
        <v>11326</v>
      </c>
      <c r="G3128" s="21" t="s">
        <v>7875</v>
      </c>
    </row>
    <row r="3129" customFormat="false" ht="15" hidden="false" customHeight="false" outlineLevel="0" collapsed="false">
      <c r="B3129" s="19" t="s">
        <v>11327</v>
      </c>
      <c r="C3129" s="20" t="n">
        <f aca="false">ROUND(22.1/FX,2)</f>
        <v>3.07</v>
      </c>
      <c r="D3129" s="21" t="s">
        <v>6549</v>
      </c>
      <c r="E3129" s="21" t="s">
        <v>11227</v>
      </c>
      <c r="F3129" s="21" t="s">
        <v>11326</v>
      </c>
      <c r="G3129" s="21" t="s">
        <v>7899</v>
      </c>
    </row>
    <row r="3130" customFormat="false" ht="15" hidden="false" customHeight="false" outlineLevel="0" collapsed="false">
      <c r="B3130" s="19" t="s">
        <v>11328</v>
      </c>
      <c r="C3130" s="20" t="n">
        <f aca="false">ROUND(22.1/FX,2)</f>
        <v>3.07</v>
      </c>
      <c r="D3130" s="21" t="s">
        <v>6549</v>
      </c>
      <c r="E3130" s="21" t="s">
        <v>11227</v>
      </c>
      <c r="F3130" s="21" t="s">
        <v>11326</v>
      </c>
      <c r="G3130" s="21" t="s">
        <v>7866</v>
      </c>
    </row>
    <row r="3131" customFormat="false" ht="15" hidden="false" customHeight="false" outlineLevel="0" collapsed="false">
      <c r="B3131" s="19" t="s">
        <v>11329</v>
      </c>
      <c r="C3131" s="20" t="n">
        <f aca="false">ROUND(13/FX,2)</f>
        <v>1.81</v>
      </c>
      <c r="D3131" s="21" t="s">
        <v>6549</v>
      </c>
      <c r="E3131" s="21" t="s">
        <v>734</v>
      </c>
      <c r="F3131" s="21" t="s">
        <v>8055</v>
      </c>
      <c r="G3131" s="21" t="s">
        <v>7875</v>
      </c>
    </row>
    <row r="3132" customFormat="false" ht="15" hidden="false" customHeight="false" outlineLevel="0" collapsed="false">
      <c r="B3132" s="19" t="s">
        <v>11330</v>
      </c>
      <c r="C3132" s="20" t="n">
        <f aca="false">ROUND(13/FX,2)</f>
        <v>1.81</v>
      </c>
      <c r="D3132" s="21" t="s">
        <v>6549</v>
      </c>
      <c r="E3132" s="21" t="s">
        <v>734</v>
      </c>
      <c r="F3132" s="21" t="s">
        <v>8055</v>
      </c>
      <c r="G3132" s="21" t="s">
        <v>8060</v>
      </c>
    </row>
    <row r="3133" customFormat="false" ht="15" hidden="false" customHeight="false" outlineLevel="0" collapsed="false">
      <c r="B3133" s="19" t="s">
        <v>11331</v>
      </c>
      <c r="C3133" s="20" t="n">
        <f aca="false">ROUND(13/FX,2)</f>
        <v>1.81</v>
      </c>
      <c r="D3133" s="21" t="s">
        <v>6549</v>
      </c>
      <c r="E3133" s="21" t="s">
        <v>734</v>
      </c>
      <c r="F3133" s="21" t="s">
        <v>8055</v>
      </c>
      <c r="G3133" s="21" t="s">
        <v>8077</v>
      </c>
    </row>
    <row r="3134" customFormat="false" ht="15" hidden="false" customHeight="false" outlineLevel="0" collapsed="false">
      <c r="B3134" s="19" t="s">
        <v>11332</v>
      </c>
      <c r="C3134" s="20" t="n">
        <f aca="false">ROUND(13/FX,2)</f>
        <v>1.81</v>
      </c>
      <c r="D3134" s="21" t="s">
        <v>6549</v>
      </c>
      <c r="E3134" s="21" t="s">
        <v>734</v>
      </c>
      <c r="F3134" s="21" t="s">
        <v>8055</v>
      </c>
      <c r="G3134" s="21" t="s">
        <v>8047</v>
      </c>
    </row>
    <row r="3135" customFormat="false" ht="15" hidden="false" customHeight="false" outlineLevel="0" collapsed="false">
      <c r="B3135" s="19" t="s">
        <v>11333</v>
      </c>
      <c r="C3135" s="20" t="n">
        <f aca="false">ROUND(13/FX,2)</f>
        <v>1.81</v>
      </c>
      <c r="D3135" s="21" t="s">
        <v>6549</v>
      </c>
      <c r="E3135" s="21" t="s">
        <v>734</v>
      </c>
      <c r="F3135" s="21" t="s">
        <v>8055</v>
      </c>
      <c r="G3135" s="21" t="s">
        <v>7881</v>
      </c>
    </row>
    <row r="3136" customFormat="false" ht="15" hidden="false" customHeight="false" outlineLevel="0" collapsed="false">
      <c r="B3136" s="19" t="s">
        <v>11334</v>
      </c>
      <c r="C3136" s="20" t="n">
        <f aca="false">ROUND(13/FX,2)</f>
        <v>1.81</v>
      </c>
      <c r="D3136" s="21" t="s">
        <v>6549</v>
      </c>
      <c r="E3136" s="21" t="s">
        <v>734</v>
      </c>
      <c r="F3136" s="21" t="s">
        <v>8055</v>
      </c>
      <c r="G3136" s="21" t="s">
        <v>7829</v>
      </c>
    </row>
    <row r="3137" customFormat="false" ht="15" hidden="false" customHeight="false" outlineLevel="0" collapsed="false">
      <c r="B3137" s="19" t="s">
        <v>11335</v>
      </c>
      <c r="C3137" s="20" t="n">
        <f aca="false">ROUND(13/FX,2)</f>
        <v>1.81</v>
      </c>
      <c r="D3137" s="21" t="s">
        <v>6549</v>
      </c>
      <c r="E3137" s="21" t="s">
        <v>734</v>
      </c>
      <c r="F3137" s="21" t="s">
        <v>8055</v>
      </c>
      <c r="G3137" s="21" t="s">
        <v>8099</v>
      </c>
    </row>
    <row r="3138" customFormat="false" ht="15" hidden="false" customHeight="false" outlineLevel="0" collapsed="false">
      <c r="B3138" s="19" t="s">
        <v>11336</v>
      </c>
      <c r="C3138" s="20" t="n">
        <f aca="false">ROUND(13/FX,2)</f>
        <v>1.81</v>
      </c>
      <c r="D3138" s="21" t="s">
        <v>6549</v>
      </c>
      <c r="E3138" s="21" t="s">
        <v>734</v>
      </c>
      <c r="F3138" s="21" t="s">
        <v>8055</v>
      </c>
      <c r="G3138" s="21" t="s">
        <v>8908</v>
      </c>
    </row>
    <row r="3139" customFormat="false" ht="15" hidden="false" customHeight="false" outlineLevel="0" collapsed="false">
      <c r="B3139" s="19" t="s">
        <v>11337</v>
      </c>
      <c r="C3139" s="20" t="n">
        <f aca="false">ROUND(13/FX,2)</f>
        <v>1.81</v>
      </c>
      <c r="D3139" s="21" t="s">
        <v>6549</v>
      </c>
      <c r="E3139" s="21" t="s">
        <v>734</v>
      </c>
      <c r="F3139" s="21" t="s">
        <v>8055</v>
      </c>
      <c r="G3139" s="21" t="s">
        <v>7864</v>
      </c>
    </row>
    <row r="3140" customFormat="false" ht="15" hidden="false" customHeight="false" outlineLevel="0" collapsed="false">
      <c r="B3140" s="19" t="s">
        <v>11338</v>
      </c>
      <c r="C3140" s="20" t="n">
        <f aca="false">ROUND(13/FX,2)</f>
        <v>1.81</v>
      </c>
      <c r="D3140" s="21" t="s">
        <v>6549</v>
      </c>
      <c r="E3140" s="21" t="s">
        <v>734</v>
      </c>
      <c r="F3140" s="21" t="s">
        <v>8055</v>
      </c>
      <c r="G3140" s="21" t="s">
        <v>7899</v>
      </c>
    </row>
    <row r="3141" customFormat="false" ht="15" hidden="false" customHeight="false" outlineLevel="0" collapsed="false">
      <c r="B3141" s="19" t="s">
        <v>11339</v>
      </c>
      <c r="C3141" s="20" t="n">
        <f aca="false">ROUND(13/FX,2)</f>
        <v>1.81</v>
      </c>
      <c r="D3141" s="21" t="s">
        <v>6549</v>
      </c>
      <c r="E3141" s="21" t="s">
        <v>734</v>
      </c>
      <c r="F3141" s="21" t="s">
        <v>8055</v>
      </c>
      <c r="G3141" s="21" t="s">
        <v>7994</v>
      </c>
    </row>
    <row r="3142" customFormat="false" ht="15" hidden="false" customHeight="false" outlineLevel="0" collapsed="false">
      <c r="B3142" s="19" t="s">
        <v>11340</v>
      </c>
      <c r="C3142" s="20" t="n">
        <f aca="false">ROUND(11.05/FX,2)</f>
        <v>1.53</v>
      </c>
      <c r="D3142" s="21" t="s">
        <v>6549</v>
      </c>
      <c r="E3142" s="21" t="s">
        <v>734</v>
      </c>
      <c r="F3142" s="21" t="s">
        <v>8055</v>
      </c>
      <c r="G3142" s="21" t="s">
        <v>8017</v>
      </c>
    </row>
    <row r="3143" customFormat="false" ht="15" hidden="false" customHeight="false" outlineLevel="0" collapsed="false">
      <c r="B3143" s="19" t="s">
        <v>11341</v>
      </c>
      <c r="C3143" s="20" t="n">
        <f aca="false">ROUND(13/FX,2)</f>
        <v>1.81</v>
      </c>
      <c r="D3143" s="21" t="s">
        <v>6549</v>
      </c>
      <c r="E3143" s="21" t="s">
        <v>734</v>
      </c>
      <c r="F3143" s="21" t="s">
        <v>8055</v>
      </c>
      <c r="G3143" s="21" t="s">
        <v>7866</v>
      </c>
    </row>
    <row r="3144" customFormat="false" ht="15" hidden="false" customHeight="false" outlineLevel="0" collapsed="false">
      <c r="B3144" s="19" t="s">
        <v>11342</v>
      </c>
      <c r="C3144" s="20" t="n">
        <f aca="false">ROUND(28.6/FX,2)</f>
        <v>3.97</v>
      </c>
      <c r="D3144" s="21" t="s">
        <v>6549</v>
      </c>
      <c r="E3144" s="21" t="s">
        <v>11174</v>
      </c>
      <c r="F3144" s="21" t="s">
        <v>11343</v>
      </c>
      <c r="G3144" s="21" t="s">
        <v>7866</v>
      </c>
    </row>
    <row r="3145" customFormat="false" ht="15" hidden="false" customHeight="false" outlineLevel="0" collapsed="false">
      <c r="B3145" s="19" t="s">
        <v>11344</v>
      </c>
      <c r="C3145" s="20" t="n">
        <f aca="false">ROUND(28.6/FX,2)</f>
        <v>3.97</v>
      </c>
      <c r="D3145" s="21" t="s">
        <v>6549</v>
      </c>
      <c r="E3145" s="21" t="s">
        <v>11227</v>
      </c>
      <c r="F3145" s="21" t="s">
        <v>11345</v>
      </c>
      <c r="G3145" s="21" t="s">
        <v>7999</v>
      </c>
    </row>
    <row r="3146" customFormat="false" ht="15" hidden="false" customHeight="false" outlineLevel="0" collapsed="false">
      <c r="B3146" s="19" t="s">
        <v>11346</v>
      </c>
      <c r="C3146" s="20" t="n">
        <f aca="false">ROUND(28.6/FX,2)</f>
        <v>3.97</v>
      </c>
      <c r="D3146" s="21" t="s">
        <v>6549</v>
      </c>
      <c r="E3146" s="21" t="s">
        <v>11227</v>
      </c>
      <c r="F3146" s="21" t="s">
        <v>11345</v>
      </c>
      <c r="G3146" s="21" t="s">
        <v>7985</v>
      </c>
    </row>
    <row r="3147" customFormat="false" ht="15" hidden="false" customHeight="false" outlineLevel="0" collapsed="false">
      <c r="B3147" s="19" t="s">
        <v>11347</v>
      </c>
      <c r="C3147" s="20" t="n">
        <f aca="false">ROUND(28.6/FX,2)</f>
        <v>3.97</v>
      </c>
      <c r="D3147" s="21" t="s">
        <v>6549</v>
      </c>
      <c r="E3147" s="21" t="s">
        <v>11227</v>
      </c>
      <c r="F3147" s="21" t="s">
        <v>11345</v>
      </c>
      <c r="G3147" s="21" t="s">
        <v>7994</v>
      </c>
    </row>
    <row r="3148" customFormat="false" ht="15" hidden="false" customHeight="false" outlineLevel="0" collapsed="false">
      <c r="B3148" s="19" t="s">
        <v>11348</v>
      </c>
      <c r="C3148" s="20" t="n">
        <f aca="false">ROUND(26/FX,2)</f>
        <v>3.61</v>
      </c>
      <c r="D3148" s="21" t="s">
        <v>6549</v>
      </c>
      <c r="E3148" s="21" t="s">
        <v>11227</v>
      </c>
      <c r="F3148" s="21" t="s">
        <v>8151</v>
      </c>
      <c r="G3148" s="21" t="s">
        <v>7999</v>
      </c>
    </row>
    <row r="3149" customFormat="false" ht="15" hidden="false" customHeight="false" outlineLevel="0" collapsed="false">
      <c r="B3149" s="19" t="s">
        <v>11349</v>
      </c>
      <c r="C3149" s="20" t="n">
        <f aca="false">ROUND(26/FX,2)</f>
        <v>3.61</v>
      </c>
      <c r="D3149" s="21" t="s">
        <v>6549</v>
      </c>
      <c r="E3149" s="21" t="s">
        <v>11227</v>
      </c>
      <c r="F3149" s="21" t="s">
        <v>8151</v>
      </c>
      <c r="G3149" s="21" t="s">
        <v>8060</v>
      </c>
    </row>
    <row r="3150" customFormat="false" ht="15" hidden="false" customHeight="false" outlineLevel="0" collapsed="false">
      <c r="B3150" s="19" t="s">
        <v>11350</v>
      </c>
      <c r="C3150" s="20" t="n">
        <f aca="false">ROUND(26/FX,2)</f>
        <v>3.61</v>
      </c>
      <c r="D3150" s="21" t="s">
        <v>6549</v>
      </c>
      <c r="E3150" s="21" t="s">
        <v>11227</v>
      </c>
      <c r="F3150" s="21" t="s">
        <v>8151</v>
      </c>
      <c r="G3150" s="21" t="s">
        <v>7985</v>
      </c>
    </row>
    <row r="3151" customFormat="false" ht="15" hidden="false" customHeight="false" outlineLevel="0" collapsed="false">
      <c r="B3151" s="19" t="s">
        <v>11351</v>
      </c>
      <c r="C3151" s="20" t="n">
        <f aca="false">ROUND(26/FX,2)</f>
        <v>3.61</v>
      </c>
      <c r="D3151" s="21" t="s">
        <v>6549</v>
      </c>
      <c r="E3151" s="21" t="s">
        <v>11227</v>
      </c>
      <c r="F3151" s="21" t="s">
        <v>8151</v>
      </c>
      <c r="G3151" s="21" t="s">
        <v>8077</v>
      </c>
    </row>
    <row r="3152" customFormat="false" ht="15" hidden="false" customHeight="false" outlineLevel="0" collapsed="false">
      <c r="B3152" s="19" t="s">
        <v>11352</v>
      </c>
      <c r="C3152" s="20" t="n">
        <f aca="false">ROUND(26/FX,2)</f>
        <v>3.61</v>
      </c>
      <c r="D3152" s="21" t="s">
        <v>6549</v>
      </c>
      <c r="E3152" s="21" t="s">
        <v>11227</v>
      </c>
      <c r="F3152" s="21" t="s">
        <v>8151</v>
      </c>
      <c r="G3152" s="21" t="s">
        <v>7989</v>
      </c>
    </row>
    <row r="3153" customFormat="false" ht="15" hidden="false" customHeight="false" outlineLevel="0" collapsed="false">
      <c r="B3153" s="19" t="s">
        <v>11353</v>
      </c>
      <c r="C3153" s="20" t="n">
        <f aca="false">ROUND(26/FX,2)</f>
        <v>3.61</v>
      </c>
      <c r="D3153" s="21" t="s">
        <v>6549</v>
      </c>
      <c r="E3153" s="21" t="s">
        <v>11227</v>
      </c>
      <c r="F3153" s="21" t="s">
        <v>8151</v>
      </c>
      <c r="G3153" s="21" t="s">
        <v>7992</v>
      </c>
    </row>
    <row r="3154" customFormat="false" ht="15" hidden="false" customHeight="false" outlineLevel="0" collapsed="false">
      <c r="B3154" s="19" t="s">
        <v>11354</v>
      </c>
      <c r="C3154" s="20" t="n">
        <f aca="false">ROUND(26/FX,2)</f>
        <v>3.61</v>
      </c>
      <c r="D3154" s="21" t="s">
        <v>6549</v>
      </c>
      <c r="E3154" s="21" t="s">
        <v>11227</v>
      </c>
      <c r="F3154" s="21" t="s">
        <v>8151</v>
      </c>
      <c r="G3154" s="21" t="s">
        <v>8035</v>
      </c>
    </row>
    <row r="3155" customFormat="false" ht="15" hidden="false" customHeight="false" outlineLevel="0" collapsed="false">
      <c r="B3155" s="19" t="s">
        <v>11355</v>
      </c>
      <c r="C3155" s="20" t="n">
        <f aca="false">ROUND(26/FX,2)</f>
        <v>3.61</v>
      </c>
      <c r="D3155" s="21" t="s">
        <v>6549</v>
      </c>
      <c r="E3155" s="21" t="s">
        <v>11227</v>
      </c>
      <c r="F3155" s="21" t="s">
        <v>8151</v>
      </c>
      <c r="G3155" s="21" t="s">
        <v>7994</v>
      </c>
    </row>
    <row r="3156" customFormat="false" ht="15" hidden="false" customHeight="false" outlineLevel="0" collapsed="false">
      <c r="B3156" s="19" t="s">
        <v>11356</v>
      </c>
      <c r="C3156" s="20" t="n">
        <f aca="false">ROUND(26/FX,2)</f>
        <v>3.61</v>
      </c>
      <c r="D3156" s="21" t="s">
        <v>6549</v>
      </c>
      <c r="E3156" s="21" t="s">
        <v>11227</v>
      </c>
      <c r="F3156" s="21" t="s">
        <v>8151</v>
      </c>
      <c r="G3156" s="21" t="s">
        <v>8017</v>
      </c>
    </row>
    <row r="3157" customFormat="false" ht="15" hidden="false" customHeight="false" outlineLevel="0" collapsed="false">
      <c r="B3157" s="19" t="s">
        <v>11357</v>
      </c>
      <c r="C3157" s="20" t="n">
        <f aca="false">ROUND(44.2/FX,2)</f>
        <v>6.14</v>
      </c>
      <c r="D3157" s="21" t="s">
        <v>6549</v>
      </c>
      <c r="E3157" s="21" t="s">
        <v>11174</v>
      </c>
      <c r="F3157" s="21" t="s">
        <v>11358</v>
      </c>
      <c r="G3157" s="21" t="s">
        <v>7999</v>
      </c>
    </row>
    <row r="3158" customFormat="false" ht="15" hidden="false" customHeight="false" outlineLevel="0" collapsed="false">
      <c r="B3158" s="19" t="s">
        <v>11359</v>
      </c>
      <c r="C3158" s="20" t="n">
        <f aca="false">ROUND(37.7/FX,2)</f>
        <v>5.24</v>
      </c>
      <c r="D3158" s="21" t="s">
        <v>6549</v>
      </c>
      <c r="E3158" s="21" t="s">
        <v>11227</v>
      </c>
      <c r="F3158" s="21" t="s">
        <v>11360</v>
      </c>
      <c r="G3158" s="21" t="s">
        <v>8152</v>
      </c>
    </row>
    <row r="3159" customFormat="false" ht="15" hidden="false" customHeight="false" outlineLevel="0" collapsed="false">
      <c r="B3159" s="19" t="s">
        <v>11361</v>
      </c>
      <c r="C3159" s="20" t="n">
        <f aca="false">ROUND(37.7/FX,2)</f>
        <v>5.24</v>
      </c>
      <c r="D3159" s="21" t="s">
        <v>6549</v>
      </c>
      <c r="E3159" s="21" t="s">
        <v>11227</v>
      </c>
      <c r="F3159" s="21" t="s">
        <v>11360</v>
      </c>
      <c r="G3159" s="21" t="s">
        <v>8081</v>
      </c>
    </row>
    <row r="3160" customFormat="false" ht="15" hidden="false" customHeight="false" outlineLevel="0" collapsed="false">
      <c r="B3160" s="19" t="s">
        <v>11362</v>
      </c>
      <c r="C3160" s="20" t="n">
        <f aca="false">ROUND(37.7/FX,2)</f>
        <v>5.24</v>
      </c>
      <c r="D3160" s="21" t="s">
        <v>6549</v>
      </c>
      <c r="E3160" s="21" t="s">
        <v>11227</v>
      </c>
      <c r="F3160" s="21" t="s">
        <v>11360</v>
      </c>
      <c r="G3160" s="21" t="s">
        <v>8085</v>
      </c>
    </row>
    <row r="3161" customFormat="false" ht="15" hidden="false" customHeight="false" outlineLevel="0" collapsed="false">
      <c r="B3161" s="19" t="s">
        <v>11363</v>
      </c>
      <c r="C3161" s="20" t="n">
        <f aca="false">ROUND(37.7/FX,2)</f>
        <v>5.24</v>
      </c>
      <c r="D3161" s="21" t="s">
        <v>6549</v>
      </c>
      <c r="E3161" s="21" t="s">
        <v>11227</v>
      </c>
      <c r="F3161" s="21" t="s">
        <v>11360</v>
      </c>
      <c r="G3161" s="21" t="s">
        <v>8089</v>
      </c>
    </row>
    <row r="3162" customFormat="false" ht="15" hidden="false" customHeight="false" outlineLevel="0" collapsed="false">
      <c r="B3162" s="19" t="s">
        <v>11364</v>
      </c>
      <c r="C3162" s="20" t="n">
        <f aca="false">ROUND(37.7/FX,2)</f>
        <v>5.24</v>
      </c>
      <c r="D3162" s="21" t="s">
        <v>6549</v>
      </c>
      <c r="E3162" s="21" t="s">
        <v>11227</v>
      </c>
      <c r="F3162" s="21" t="s">
        <v>11360</v>
      </c>
      <c r="G3162" s="21" t="s">
        <v>8047</v>
      </c>
    </row>
    <row r="3163" customFormat="false" ht="15" hidden="false" customHeight="false" outlineLevel="0" collapsed="false">
      <c r="B3163" s="19" t="s">
        <v>11365</v>
      </c>
      <c r="C3163" s="20" t="n">
        <f aca="false">ROUND(37.7/FX,2)</f>
        <v>5.24</v>
      </c>
      <c r="D3163" s="21" t="s">
        <v>6549</v>
      </c>
      <c r="E3163" s="21" t="s">
        <v>11227</v>
      </c>
      <c r="F3163" s="21" t="s">
        <v>11360</v>
      </c>
      <c r="G3163" s="21" t="s">
        <v>8114</v>
      </c>
    </row>
    <row r="3164" customFormat="false" ht="15" hidden="false" customHeight="false" outlineLevel="0" collapsed="false">
      <c r="B3164" s="19" t="s">
        <v>11366</v>
      </c>
      <c r="C3164" s="20" t="n">
        <f aca="false">ROUND(33.8/FX,2)</f>
        <v>4.69</v>
      </c>
      <c r="D3164" s="21" t="s">
        <v>6549</v>
      </c>
      <c r="E3164" s="21" t="s">
        <v>11227</v>
      </c>
      <c r="F3164" s="21" t="s">
        <v>11367</v>
      </c>
      <c r="G3164" s="21" t="s">
        <v>8152</v>
      </c>
    </row>
    <row r="3165" customFormat="false" ht="15" hidden="false" customHeight="false" outlineLevel="0" collapsed="false">
      <c r="B3165" s="19" t="s">
        <v>11368</v>
      </c>
      <c r="C3165" s="20" t="n">
        <f aca="false">ROUND(33.8/FX,2)</f>
        <v>4.69</v>
      </c>
      <c r="D3165" s="21" t="s">
        <v>6549</v>
      </c>
      <c r="E3165" s="21" t="s">
        <v>11227</v>
      </c>
      <c r="F3165" s="21" t="s">
        <v>11367</v>
      </c>
      <c r="G3165" s="21" t="s">
        <v>8081</v>
      </c>
    </row>
    <row r="3166" customFormat="false" ht="15" hidden="false" customHeight="false" outlineLevel="0" collapsed="false">
      <c r="B3166" s="19" t="s">
        <v>11369</v>
      </c>
      <c r="C3166" s="20" t="n">
        <f aca="false">ROUND(33.8/FX,2)</f>
        <v>4.69</v>
      </c>
      <c r="D3166" s="21" t="s">
        <v>6549</v>
      </c>
      <c r="E3166" s="21" t="s">
        <v>11227</v>
      </c>
      <c r="F3166" s="21" t="s">
        <v>11367</v>
      </c>
      <c r="G3166" s="21" t="s">
        <v>8114</v>
      </c>
    </row>
    <row r="3169" customFormat="false" ht="61.5" hidden="false" customHeight="true" outlineLevel="0" collapsed="false">
      <c r="A3169" s="9"/>
      <c r="B3169" s="10" t="s">
        <v>11370</v>
      </c>
      <c r="C3169" s="10"/>
      <c r="D3169" s="10"/>
    </row>
    <row r="3170" customFormat="false" ht="15" hidden="false" customHeight="false" outlineLevel="0" collapsed="false">
      <c r="B3170" s="18" t="s">
        <v>701</v>
      </c>
      <c r="C3170" s="18" t="s">
        <v>702</v>
      </c>
      <c r="D3170" s="18" t="s">
        <v>5610</v>
      </c>
    </row>
    <row r="3171" customFormat="false" ht="15" hidden="false" customHeight="false" outlineLevel="0" collapsed="false">
      <c r="B3171" s="19" t="s">
        <v>11371</v>
      </c>
      <c r="C3171" s="20" t="n">
        <f aca="false">ROUND(17.55/FX,2)</f>
        <v>2.44</v>
      </c>
      <c r="D3171" s="22" t="s">
        <v>5612</v>
      </c>
    </row>
    <row r="3174" customFormat="false" ht="61.5" hidden="false" customHeight="true" outlineLevel="0" collapsed="false">
      <c r="A3174" s="9"/>
      <c r="B3174" s="10" t="s">
        <v>11372</v>
      </c>
      <c r="C3174" s="10"/>
      <c r="D3174" s="10"/>
      <c r="E3174" s="10"/>
    </row>
    <row r="3175" customFormat="false" ht="15" hidden="false" customHeight="false" outlineLevel="0" collapsed="false">
      <c r="A3175" s="12" t="s">
        <v>700</v>
      </c>
      <c r="B3175" s="13" t="s">
        <v>701</v>
      </c>
      <c r="C3175" s="13" t="s">
        <v>702</v>
      </c>
      <c r="D3175" s="13" t="s">
        <v>723</v>
      </c>
      <c r="E3175" s="13" t="s">
        <v>7711</v>
      </c>
    </row>
    <row r="3176" customFormat="false" ht="30" hidden="false" customHeight="true" outlineLevel="0" collapsed="false">
      <c r="A3176" s="14" t="s">
        <v>706</v>
      </c>
      <c r="B3176" s="15" t="str">
        <f aca="false">IF(COUNTIFS($D$3179:$D$3211,IF(D3176="","*",D3176),$E$3179:$E$3211,IF(E3176="","*",E3176))=1,INDEX($B:$B,SUMPRODUCT(((D3176="")+($D$3179:$D$3211=D3176)&gt;0)*((E3176="")+($E$3179:$E$3211=E3176)&gt;0)*ROW($B$3179:$B$3211))),IF(COUNTIFS($D$3179:$D$3211,IF(D3176="","*",D3176),$E$3179:$E$3211,IF(E3176="","*",E3176))=0,"Not available",COUNTIFS($D$3179:$D$3211,IF(D3176="","*",D3176),$E$3179:$E$3211,IF(E3176="","*",E3176))&amp;" match, keep choosing"))</f>
        <v>CP-001-10-SI</v>
      </c>
      <c r="C3176" s="16" t="n">
        <f aca="false">IF(COUNTIFS($D$3179:$D$3211,IF(D3176="","*",D3176),$E$3179:$E$3211,IF(E3176="","*",E3176))=1,INDEX($C:$C,SUMPRODUCT(((D3176="")+($D$3179:$D$3211=D3176)&gt;0)*((E3176="")+($E$3179:$E$3211=E3176)&gt;0)*ROW($B$3179:$B$3211))),"")</f>
        <v>0.38</v>
      </c>
      <c r="D3176" s="17" t="s">
        <v>10272</v>
      </c>
      <c r="E3176" s="17" t="s">
        <v>707</v>
      </c>
    </row>
    <row r="3178" customFormat="false" ht="15" hidden="false" customHeight="false" outlineLevel="0" collapsed="false">
      <c r="B3178" s="18" t="s">
        <v>701</v>
      </c>
      <c r="C3178" s="18" t="s">
        <v>702</v>
      </c>
      <c r="D3178" s="18" t="s">
        <v>723</v>
      </c>
      <c r="E3178" s="18" t="s">
        <v>7711</v>
      </c>
    </row>
    <row r="3179" customFormat="false" ht="15" hidden="false" customHeight="false" outlineLevel="0" collapsed="false">
      <c r="B3179" s="19" t="s">
        <v>11373</v>
      </c>
      <c r="C3179" s="20" t="n">
        <f aca="false">ROUND(2.7/FX,2)</f>
        <v>0.38</v>
      </c>
      <c r="D3179" s="21" t="s">
        <v>10272</v>
      </c>
      <c r="E3179" s="21" t="s">
        <v>707</v>
      </c>
    </row>
    <row r="3180" customFormat="false" ht="15" hidden="false" customHeight="false" outlineLevel="0" collapsed="false">
      <c r="B3180" s="19" t="s">
        <v>11374</v>
      </c>
      <c r="C3180" s="20" t="n">
        <f aca="false">ROUND(2.6/FX,2)</f>
        <v>0.36</v>
      </c>
      <c r="D3180" s="21" t="s">
        <v>10274</v>
      </c>
      <c r="E3180" s="21" t="s">
        <v>707</v>
      </c>
    </row>
    <row r="3181" customFormat="false" ht="15" hidden="false" customHeight="false" outlineLevel="0" collapsed="false">
      <c r="B3181" s="19" t="s">
        <v>11375</v>
      </c>
      <c r="C3181" s="20" t="n">
        <f aca="false">ROUND(4.03/FX,2)</f>
        <v>0.56</v>
      </c>
      <c r="D3181" s="21" t="s">
        <v>10272</v>
      </c>
      <c r="E3181" s="21" t="s">
        <v>5091</v>
      </c>
    </row>
    <row r="3182" customFormat="false" ht="15" hidden="false" customHeight="false" outlineLevel="0" collapsed="false">
      <c r="B3182" s="19" t="s">
        <v>11376</v>
      </c>
      <c r="C3182" s="20" t="n">
        <f aca="false">ROUND(3.9/FX,2)</f>
        <v>0.54</v>
      </c>
      <c r="D3182" s="21" t="s">
        <v>10274</v>
      </c>
      <c r="E3182" s="21" t="s">
        <v>5091</v>
      </c>
    </row>
    <row r="3183" customFormat="false" ht="15" hidden="false" customHeight="false" outlineLevel="0" collapsed="false">
      <c r="B3183" s="19" t="s">
        <v>11377</v>
      </c>
      <c r="C3183" s="20" t="n">
        <f aca="false">ROUND(2.7/FX,2)</f>
        <v>0.38</v>
      </c>
      <c r="D3183" s="21" t="s">
        <v>10272</v>
      </c>
      <c r="E3183" s="21" t="s">
        <v>761</v>
      </c>
    </row>
    <row r="3184" customFormat="false" ht="15" hidden="false" customHeight="false" outlineLevel="0" collapsed="false">
      <c r="B3184" s="19" t="s">
        <v>11378</v>
      </c>
      <c r="C3184" s="20" t="n">
        <f aca="false">ROUND(2.6/FX,2)</f>
        <v>0.36</v>
      </c>
      <c r="D3184" s="21" t="s">
        <v>10274</v>
      </c>
      <c r="E3184" s="21" t="s">
        <v>761</v>
      </c>
    </row>
    <row r="3185" customFormat="false" ht="15" hidden="false" customHeight="false" outlineLevel="0" collapsed="false">
      <c r="B3185" s="19" t="s">
        <v>11379</v>
      </c>
      <c r="C3185" s="20" t="n">
        <f aca="false">ROUND(2.7/FX,2)</f>
        <v>0.38</v>
      </c>
      <c r="D3185" s="21" t="s">
        <v>11380</v>
      </c>
      <c r="E3185" s="21" t="s">
        <v>4721</v>
      </c>
    </row>
    <row r="3186" customFormat="false" ht="15" hidden="false" customHeight="false" outlineLevel="0" collapsed="false">
      <c r="B3186" s="19" t="s">
        <v>11381</v>
      </c>
      <c r="C3186" s="20" t="n">
        <f aca="false">ROUND(2.6/FX,2)</f>
        <v>0.36</v>
      </c>
      <c r="D3186" s="21" t="s">
        <v>11382</v>
      </c>
      <c r="E3186" s="21" t="s">
        <v>4721</v>
      </c>
    </row>
    <row r="3187" customFormat="false" ht="15" hidden="false" customHeight="false" outlineLevel="0" collapsed="false">
      <c r="B3187" s="19" t="s">
        <v>11383</v>
      </c>
      <c r="C3187" s="20" t="n">
        <f aca="false">ROUND(1.69/FX,2)</f>
        <v>0.23</v>
      </c>
      <c r="D3187" s="21" t="s">
        <v>10272</v>
      </c>
      <c r="E3187" s="21" t="s">
        <v>837</v>
      </c>
    </row>
    <row r="3188" customFormat="false" ht="15" hidden="false" customHeight="false" outlineLevel="0" collapsed="false">
      <c r="B3188" s="19" t="s">
        <v>11384</v>
      </c>
      <c r="C3188" s="20" t="n">
        <f aca="false">ROUND(1.56/FX,2)</f>
        <v>0.22</v>
      </c>
      <c r="D3188" s="21" t="s">
        <v>10274</v>
      </c>
      <c r="E3188" s="21" t="s">
        <v>837</v>
      </c>
    </row>
    <row r="3189" customFormat="false" ht="15" hidden="false" customHeight="false" outlineLevel="0" collapsed="false">
      <c r="B3189" s="19" t="s">
        <v>11385</v>
      </c>
      <c r="C3189" s="20" t="n">
        <f aca="false">ROUND(1.66/FX,2)</f>
        <v>0.23</v>
      </c>
      <c r="D3189" s="21" t="s">
        <v>10272</v>
      </c>
      <c r="E3189" s="21" t="s">
        <v>839</v>
      </c>
    </row>
    <row r="3190" customFormat="false" ht="15" hidden="false" customHeight="false" outlineLevel="0" collapsed="false">
      <c r="B3190" s="19" t="s">
        <v>11386</v>
      </c>
      <c r="C3190" s="20" t="n">
        <f aca="false">ROUND(1.56/FX,2)</f>
        <v>0.22</v>
      </c>
      <c r="D3190" s="21" t="s">
        <v>10274</v>
      </c>
      <c r="E3190" s="21" t="s">
        <v>839</v>
      </c>
    </row>
    <row r="3191" customFormat="false" ht="15" hidden="false" customHeight="false" outlineLevel="0" collapsed="false">
      <c r="B3191" s="19" t="s">
        <v>11387</v>
      </c>
      <c r="C3191" s="20" t="n">
        <f aca="false">ROUND(1.95/FX,2)</f>
        <v>0.27</v>
      </c>
      <c r="D3191" s="21" t="s">
        <v>10272</v>
      </c>
      <c r="E3191" s="21" t="s">
        <v>11388</v>
      </c>
    </row>
    <row r="3192" customFormat="false" ht="15" hidden="false" customHeight="false" outlineLevel="0" collapsed="false">
      <c r="B3192" s="19" t="s">
        <v>11389</v>
      </c>
      <c r="C3192" s="20" t="n">
        <f aca="false">ROUND(1.82/FX,2)</f>
        <v>0.25</v>
      </c>
      <c r="D3192" s="21" t="s">
        <v>10274</v>
      </c>
      <c r="E3192" s="21" t="s">
        <v>11388</v>
      </c>
    </row>
    <row r="3193" customFormat="false" ht="15" hidden="false" customHeight="false" outlineLevel="0" collapsed="false">
      <c r="B3193" s="19" t="s">
        <v>11390</v>
      </c>
      <c r="C3193" s="20" t="n">
        <f aca="false">ROUND(1.66/FX,2)</f>
        <v>0.23</v>
      </c>
      <c r="D3193" s="21" t="s">
        <v>10272</v>
      </c>
      <c r="E3193" s="21" t="s">
        <v>841</v>
      </c>
    </row>
    <row r="3194" customFormat="false" ht="15" hidden="false" customHeight="false" outlineLevel="0" collapsed="false">
      <c r="B3194" s="19" t="s">
        <v>11391</v>
      </c>
      <c r="C3194" s="20" t="n">
        <f aca="false">ROUND(1.56/FX,2)</f>
        <v>0.22</v>
      </c>
      <c r="D3194" s="21" t="s">
        <v>10274</v>
      </c>
      <c r="E3194" s="21" t="s">
        <v>841</v>
      </c>
    </row>
    <row r="3195" customFormat="false" ht="15" hidden="false" customHeight="false" outlineLevel="0" collapsed="false">
      <c r="B3195" s="19" t="s">
        <v>11392</v>
      </c>
      <c r="C3195" s="20" t="n">
        <f aca="false">ROUND(1.69/FX,2)</f>
        <v>0.23</v>
      </c>
      <c r="D3195" s="21" t="s">
        <v>10272</v>
      </c>
      <c r="E3195" s="21" t="s">
        <v>789</v>
      </c>
    </row>
    <row r="3196" customFormat="false" ht="15" hidden="false" customHeight="false" outlineLevel="0" collapsed="false">
      <c r="B3196" s="19" t="s">
        <v>11393</v>
      </c>
      <c r="C3196" s="20" t="n">
        <f aca="false">ROUND(1.56/FX,2)</f>
        <v>0.22</v>
      </c>
      <c r="D3196" s="21" t="s">
        <v>10274</v>
      </c>
      <c r="E3196" s="21" t="s">
        <v>789</v>
      </c>
    </row>
    <row r="3197" customFormat="false" ht="15" hidden="false" customHeight="false" outlineLevel="0" collapsed="false">
      <c r="B3197" s="19" t="s">
        <v>11394</v>
      </c>
      <c r="C3197" s="20" t="n">
        <f aca="false">ROUND(1.66/FX,2)</f>
        <v>0.23</v>
      </c>
      <c r="D3197" s="21" t="s">
        <v>11380</v>
      </c>
      <c r="E3197" s="21" t="s">
        <v>716</v>
      </c>
    </row>
    <row r="3198" customFormat="false" ht="15" hidden="false" customHeight="false" outlineLevel="0" collapsed="false">
      <c r="B3198" s="19" t="s">
        <v>11395</v>
      </c>
      <c r="C3198" s="20" t="n">
        <f aca="false">ROUND(1.56/FX,2)</f>
        <v>0.22</v>
      </c>
      <c r="D3198" s="21" t="s">
        <v>11382</v>
      </c>
      <c r="E3198" s="21" t="s">
        <v>716</v>
      </c>
    </row>
    <row r="3199" customFormat="false" ht="15" hidden="false" customHeight="false" outlineLevel="0" collapsed="false">
      <c r="B3199" s="19" t="s">
        <v>11396</v>
      </c>
      <c r="C3199" s="20" t="n">
        <f aca="false">ROUND(1.69/FX,2)</f>
        <v>0.23</v>
      </c>
      <c r="D3199" s="21" t="s">
        <v>10272</v>
      </c>
      <c r="E3199" s="21" t="s">
        <v>6740</v>
      </c>
    </row>
    <row r="3200" customFormat="false" ht="15" hidden="false" customHeight="false" outlineLevel="0" collapsed="false">
      <c r="B3200" s="19" t="s">
        <v>11397</v>
      </c>
      <c r="C3200" s="20" t="n">
        <f aca="false">ROUND(1.56/FX,2)</f>
        <v>0.22</v>
      </c>
      <c r="D3200" s="21" t="s">
        <v>10274</v>
      </c>
      <c r="E3200" s="21" t="s">
        <v>6740</v>
      </c>
    </row>
    <row r="3201" customFormat="false" ht="15" hidden="false" customHeight="false" outlineLevel="0" collapsed="false">
      <c r="B3201" s="19" t="s">
        <v>11398</v>
      </c>
      <c r="C3201" s="20" t="n">
        <f aca="false">ROUND(2.73/FX,2)</f>
        <v>0.38</v>
      </c>
      <c r="D3201" s="21" t="s">
        <v>10272</v>
      </c>
      <c r="E3201" s="21" t="s">
        <v>845</v>
      </c>
    </row>
    <row r="3202" customFormat="false" ht="15" hidden="false" customHeight="false" outlineLevel="0" collapsed="false">
      <c r="B3202" s="19" t="s">
        <v>11399</v>
      </c>
      <c r="C3202" s="20" t="n">
        <f aca="false">ROUND(2.6/FX,2)</f>
        <v>0.36</v>
      </c>
      <c r="D3202" s="21" t="s">
        <v>10274</v>
      </c>
      <c r="E3202" s="21" t="s">
        <v>845</v>
      </c>
    </row>
    <row r="3203" customFormat="false" ht="15" hidden="false" customHeight="false" outlineLevel="0" collapsed="false">
      <c r="B3203" s="19" t="s">
        <v>11400</v>
      </c>
      <c r="C3203" s="20" t="n">
        <f aca="false">ROUND(2.7/FX,2)</f>
        <v>0.38</v>
      </c>
      <c r="D3203" s="21" t="s">
        <v>11380</v>
      </c>
      <c r="E3203" s="21" t="s">
        <v>847</v>
      </c>
    </row>
    <row r="3204" customFormat="false" ht="15" hidden="false" customHeight="false" outlineLevel="0" collapsed="false">
      <c r="B3204" s="19" t="s">
        <v>11401</v>
      </c>
      <c r="C3204" s="20" t="n">
        <f aca="false">ROUND(2.6/FX,2)</f>
        <v>0.36</v>
      </c>
      <c r="D3204" s="21" t="s">
        <v>11382</v>
      </c>
      <c r="E3204" s="21" t="s">
        <v>847</v>
      </c>
    </row>
    <row r="3205" customFormat="false" ht="15" hidden="false" customHeight="false" outlineLevel="0" collapsed="false">
      <c r="B3205" s="19" t="s">
        <v>11402</v>
      </c>
      <c r="C3205" s="20" t="n">
        <f aca="false">ROUND(2.35/FX,2)</f>
        <v>0.33</v>
      </c>
      <c r="D3205" s="21" t="s">
        <v>11403</v>
      </c>
      <c r="E3205" s="21" t="s">
        <v>847</v>
      </c>
    </row>
    <row r="3206" customFormat="false" ht="15" hidden="false" customHeight="false" outlineLevel="0" collapsed="false">
      <c r="B3206" s="19" t="s">
        <v>11404</v>
      </c>
      <c r="C3206" s="20" t="n">
        <f aca="false">ROUND(2.22/FX,2)</f>
        <v>0.31</v>
      </c>
      <c r="D3206" s="21" t="s">
        <v>11405</v>
      </c>
      <c r="E3206" s="21" t="s">
        <v>847</v>
      </c>
    </row>
    <row r="3207" customFormat="false" ht="15" hidden="false" customHeight="false" outlineLevel="0" collapsed="false">
      <c r="B3207" s="19" t="s">
        <v>11406</v>
      </c>
      <c r="C3207" s="20" t="n">
        <f aca="false">ROUND(2.34/FX,2)</f>
        <v>0.33</v>
      </c>
      <c r="D3207" s="21" t="s">
        <v>11407</v>
      </c>
      <c r="E3207" s="21" t="s">
        <v>6336</v>
      </c>
    </row>
    <row r="3208" customFormat="false" ht="15" hidden="false" customHeight="false" outlineLevel="0" collapsed="false">
      <c r="B3208" s="19" t="s">
        <v>11408</v>
      </c>
      <c r="C3208" s="20" t="n">
        <f aca="false">ROUND(2.34/FX,2)</f>
        <v>0.33</v>
      </c>
      <c r="D3208" s="21" t="s">
        <v>11409</v>
      </c>
      <c r="E3208" s="21" t="s">
        <v>6336</v>
      </c>
    </row>
    <row r="3209" customFormat="false" ht="15" hidden="false" customHeight="false" outlineLevel="0" collapsed="false">
      <c r="B3209" s="19" t="s">
        <v>11410</v>
      </c>
      <c r="C3209" s="20" t="n">
        <f aca="false">ROUND(2.34/FX,2)</f>
        <v>0.33</v>
      </c>
      <c r="D3209" s="21" t="s">
        <v>11411</v>
      </c>
      <c r="E3209" s="21" t="s">
        <v>6336</v>
      </c>
    </row>
    <row r="3210" customFormat="false" ht="15" hidden="false" customHeight="false" outlineLevel="0" collapsed="false">
      <c r="B3210" s="19" t="s">
        <v>11412</v>
      </c>
      <c r="C3210" s="20" t="n">
        <f aca="false">ROUND(2.34/FX,2)</f>
        <v>0.33</v>
      </c>
      <c r="D3210" s="21" t="s">
        <v>11413</v>
      </c>
      <c r="E3210" s="21" t="s">
        <v>6336</v>
      </c>
    </row>
    <row r="3211" customFormat="false" ht="15" hidden="false" customHeight="false" outlineLevel="0" collapsed="false">
      <c r="B3211" s="19" t="s">
        <v>11414</v>
      </c>
      <c r="C3211" s="20" t="n">
        <f aca="false">ROUND(2.6/FX,2)</f>
        <v>0.36</v>
      </c>
      <c r="D3211" s="21" t="s">
        <v>11415</v>
      </c>
      <c r="E3211" s="21" t="s">
        <v>6336</v>
      </c>
    </row>
    <row r="3214" customFormat="false" ht="61.5" hidden="false" customHeight="true" outlineLevel="0" collapsed="false">
      <c r="A3214" s="9"/>
      <c r="B3214" s="10" t="s">
        <v>11416</v>
      </c>
      <c r="C3214" s="10"/>
      <c r="D3214" s="10"/>
      <c r="E3214" s="10"/>
    </row>
    <row r="3215" customFormat="false" ht="15" hidden="false" customHeight="false" outlineLevel="0" collapsed="false">
      <c r="A3215" s="12" t="s">
        <v>700</v>
      </c>
      <c r="B3215" s="13" t="s">
        <v>701</v>
      </c>
      <c r="C3215" s="13" t="s">
        <v>702</v>
      </c>
      <c r="D3215" s="13" t="s">
        <v>722</v>
      </c>
      <c r="E3215" s="13" t="s">
        <v>723</v>
      </c>
    </row>
    <row r="3216" customFormat="false" ht="30" hidden="false" customHeight="true" outlineLevel="0" collapsed="false">
      <c r="A3216" s="14" t="s">
        <v>706</v>
      </c>
      <c r="B3216" s="15" t="str">
        <f aca="false">IF(COUNTIFS($D$3219:$D$3289,IF(D3216="","*",D3216),$E$3219:$E$3289,IF(E3216="","*",E3216))=1,INDEX($B:$B,SUMPRODUCT(((D3216="")+($D$3219:$D$3289=D3216)&gt;0)*((E3216="")+($E$3219:$E$3289=E3216)&gt;0)*ROW($B$3219:$B$3289))),IF(COUNTIFS($D$3219:$D$3289,IF(D3216="","*",D3216),$E$3219:$E$3289,IF(E3216="","*",E3216))=0,"Not available",COUNTIFS($D$3219:$D$3289,IF(D3216="","*",D3216),$E$3219:$E$3289,IF(E3216="","*",E3216))&amp;" match, keep choosing"))</f>
        <v>CP-006-BK-3-BYLS</v>
      </c>
      <c r="C3216" s="16" t="n">
        <f aca="false">IF(COUNTIFS($D$3219:$D$3289,IF(D3216="","*",D3216),$E$3219:$E$3289,IF(E3216="","*",E3216))=1,INDEX($C:$C,SUMPRODUCT(((D3216="")+($D$3219:$D$3289=D3216)&gt;0)*((E3216="")+($E$3219:$E$3289=E3216)&gt;0)*ROW($B$3219:$B$3289))),"")</f>
        <v>0.36</v>
      </c>
      <c r="D3216" s="17" t="s">
        <v>724</v>
      </c>
      <c r="E3216" s="17" t="s">
        <v>11417</v>
      </c>
    </row>
    <row r="3218" customFormat="false" ht="15" hidden="false" customHeight="false" outlineLevel="0" collapsed="false">
      <c r="B3218" s="18" t="s">
        <v>701</v>
      </c>
      <c r="C3218" s="18" t="s">
        <v>702</v>
      </c>
      <c r="D3218" s="18" t="s">
        <v>722</v>
      </c>
      <c r="E3218" s="18" t="s">
        <v>723</v>
      </c>
    </row>
    <row r="3219" customFormat="false" ht="15" hidden="false" customHeight="false" outlineLevel="0" collapsed="false">
      <c r="B3219" s="19" t="s">
        <v>11418</v>
      </c>
      <c r="C3219" s="20" t="n">
        <f aca="false">ROUND(2.6/FX,2)</f>
        <v>0.36</v>
      </c>
      <c r="D3219" s="21" t="s">
        <v>724</v>
      </c>
      <c r="E3219" s="21" t="s">
        <v>11417</v>
      </c>
    </row>
    <row r="3220" customFormat="false" ht="15" hidden="false" customHeight="false" outlineLevel="0" collapsed="false">
      <c r="B3220" s="19" t="s">
        <v>11419</v>
      </c>
      <c r="C3220" s="20" t="n">
        <f aca="false">ROUND(2.7/FX,2)</f>
        <v>0.38</v>
      </c>
      <c r="D3220" s="21" t="s">
        <v>724</v>
      </c>
      <c r="E3220" s="21" t="s">
        <v>11420</v>
      </c>
    </row>
    <row r="3221" customFormat="false" ht="15" hidden="false" customHeight="false" outlineLevel="0" collapsed="false">
      <c r="B3221" s="19" t="s">
        <v>11421</v>
      </c>
      <c r="C3221" s="20" t="n">
        <f aca="false">ROUND(2.6/FX,2)</f>
        <v>0.36</v>
      </c>
      <c r="D3221" s="21" t="s">
        <v>724</v>
      </c>
      <c r="E3221" s="21" t="s">
        <v>11422</v>
      </c>
    </row>
    <row r="3222" customFormat="false" ht="15" hidden="false" customHeight="false" outlineLevel="0" collapsed="false">
      <c r="B3222" s="19" t="s">
        <v>11423</v>
      </c>
      <c r="C3222" s="20" t="n">
        <f aca="false">ROUND(3.35/FX,2)</f>
        <v>0.47</v>
      </c>
      <c r="D3222" s="21" t="s">
        <v>724</v>
      </c>
      <c r="E3222" s="21" t="s">
        <v>11424</v>
      </c>
    </row>
    <row r="3223" customFormat="false" ht="15" hidden="false" customHeight="false" outlineLevel="0" collapsed="false">
      <c r="B3223" s="19" t="s">
        <v>11425</v>
      </c>
      <c r="C3223" s="20" t="n">
        <f aca="false">ROUND(3.25/FX,2)</f>
        <v>0.45</v>
      </c>
      <c r="D3223" s="21" t="s">
        <v>724</v>
      </c>
      <c r="E3223" s="21" t="s">
        <v>11426</v>
      </c>
    </row>
    <row r="3224" customFormat="false" ht="15" hidden="false" customHeight="false" outlineLevel="0" collapsed="false">
      <c r="B3224" s="19" t="s">
        <v>11427</v>
      </c>
      <c r="C3224" s="20" t="n">
        <f aca="false">ROUND(2.98/FX,2)</f>
        <v>0.41</v>
      </c>
      <c r="D3224" s="21" t="s">
        <v>724</v>
      </c>
      <c r="E3224" s="21" t="s">
        <v>11428</v>
      </c>
    </row>
    <row r="3225" customFormat="false" ht="15" hidden="false" customHeight="false" outlineLevel="0" collapsed="false">
      <c r="B3225" s="19" t="s">
        <v>11429</v>
      </c>
      <c r="C3225" s="20" t="n">
        <f aca="false">ROUND(2.88/FX,2)</f>
        <v>0.4</v>
      </c>
      <c r="D3225" s="21" t="s">
        <v>724</v>
      </c>
      <c r="E3225" s="21" t="s">
        <v>11430</v>
      </c>
    </row>
    <row r="3226" customFormat="false" ht="15" hidden="false" customHeight="false" outlineLevel="0" collapsed="false">
      <c r="B3226" s="19" t="s">
        <v>11431</v>
      </c>
      <c r="C3226" s="20" t="n">
        <f aca="false">ROUND(3.25/FX,2)</f>
        <v>0.45</v>
      </c>
      <c r="D3226" s="21" t="s">
        <v>724</v>
      </c>
      <c r="E3226" s="21" t="s">
        <v>11432</v>
      </c>
    </row>
    <row r="3227" customFormat="false" ht="15" hidden="false" customHeight="false" outlineLevel="0" collapsed="false">
      <c r="B3227" s="19" t="s">
        <v>11433</v>
      </c>
      <c r="C3227" s="20" t="n">
        <f aca="false">ROUND(3.25/FX,2)</f>
        <v>0.45</v>
      </c>
      <c r="D3227" s="21" t="s">
        <v>724</v>
      </c>
      <c r="E3227" s="21" t="s">
        <v>11434</v>
      </c>
    </row>
    <row r="3228" customFormat="false" ht="28.35" hidden="false" customHeight="false" outlineLevel="0" collapsed="false">
      <c r="B3228" s="19" t="s">
        <v>11435</v>
      </c>
      <c r="C3228" s="20" t="n">
        <f aca="false">ROUND(2.34/FX,2)</f>
        <v>0.33</v>
      </c>
      <c r="D3228" s="21" t="s">
        <v>7884</v>
      </c>
      <c r="E3228" s="21" t="s">
        <v>11436</v>
      </c>
    </row>
    <row r="3229" customFormat="false" ht="15" hidden="false" customHeight="false" outlineLevel="0" collapsed="false">
      <c r="B3229" s="19" t="s">
        <v>11437</v>
      </c>
      <c r="C3229" s="20" t="n">
        <f aca="false">ROUND(2.6/FX,2)</f>
        <v>0.36</v>
      </c>
      <c r="D3229" s="21" t="s">
        <v>7884</v>
      </c>
      <c r="E3229" s="21" t="s">
        <v>11438</v>
      </c>
    </row>
    <row r="3230" customFormat="false" ht="15" hidden="false" customHeight="false" outlineLevel="0" collapsed="false">
      <c r="B3230" s="19" t="s">
        <v>11439</v>
      </c>
      <c r="C3230" s="20" t="n">
        <f aca="false">ROUND(3.25/FX,2)</f>
        <v>0.45</v>
      </c>
      <c r="D3230" s="21" t="s">
        <v>7884</v>
      </c>
      <c r="E3230" s="21" t="s">
        <v>11440</v>
      </c>
    </row>
    <row r="3231" customFormat="false" ht="15" hidden="false" customHeight="false" outlineLevel="0" collapsed="false">
      <c r="B3231" s="19" t="s">
        <v>11441</v>
      </c>
      <c r="C3231" s="20" t="n">
        <f aca="false">ROUND(3.25/FX,2)</f>
        <v>0.45</v>
      </c>
      <c r="D3231" s="21" t="s">
        <v>7884</v>
      </c>
      <c r="E3231" s="21" t="s">
        <v>11442</v>
      </c>
    </row>
    <row r="3232" customFormat="false" ht="15" hidden="false" customHeight="false" outlineLevel="0" collapsed="false">
      <c r="B3232" s="19" t="s">
        <v>11443</v>
      </c>
      <c r="C3232" s="20" t="n">
        <f aca="false">ROUND(3.25/FX,2)</f>
        <v>0.45</v>
      </c>
      <c r="D3232" s="21" t="s">
        <v>7884</v>
      </c>
      <c r="E3232" s="21" t="s">
        <v>11444</v>
      </c>
    </row>
    <row r="3233" customFormat="false" ht="15" hidden="false" customHeight="false" outlineLevel="0" collapsed="false">
      <c r="B3233" s="19" t="s">
        <v>11445</v>
      </c>
      <c r="C3233" s="20" t="n">
        <f aca="false">ROUND(3.25/FX,2)</f>
        <v>0.45</v>
      </c>
      <c r="D3233" s="21" t="s">
        <v>7884</v>
      </c>
      <c r="E3233" s="21" t="s">
        <v>11446</v>
      </c>
    </row>
    <row r="3234" customFormat="false" ht="28.35" hidden="false" customHeight="false" outlineLevel="0" collapsed="false">
      <c r="B3234" s="19" t="s">
        <v>11447</v>
      </c>
      <c r="C3234" s="20" t="n">
        <f aca="false">ROUND(2.34/FX,2)</f>
        <v>0.33</v>
      </c>
      <c r="D3234" s="21" t="s">
        <v>7884</v>
      </c>
      <c r="E3234" s="21" t="s">
        <v>11448</v>
      </c>
    </row>
    <row r="3235" customFormat="false" ht="28.35" hidden="false" customHeight="false" outlineLevel="0" collapsed="false">
      <c r="B3235" s="19" t="s">
        <v>11449</v>
      </c>
      <c r="C3235" s="20" t="n">
        <f aca="false">ROUND(2.7/FX,2)</f>
        <v>0.38</v>
      </c>
      <c r="D3235" s="21" t="s">
        <v>7884</v>
      </c>
      <c r="E3235" s="21" t="s">
        <v>11450</v>
      </c>
    </row>
    <row r="3236" customFormat="false" ht="28.35" hidden="false" customHeight="false" outlineLevel="0" collapsed="false">
      <c r="B3236" s="19" t="s">
        <v>11451</v>
      </c>
      <c r="C3236" s="20" t="n">
        <f aca="false">ROUND(2.6/FX,2)</f>
        <v>0.36</v>
      </c>
      <c r="D3236" s="21" t="s">
        <v>7884</v>
      </c>
      <c r="E3236" s="21" t="s">
        <v>11452</v>
      </c>
    </row>
    <row r="3237" customFormat="false" ht="15" hidden="false" customHeight="false" outlineLevel="0" collapsed="false">
      <c r="B3237" s="19" t="s">
        <v>11453</v>
      </c>
      <c r="C3237" s="20" t="n">
        <f aca="false">ROUND(3.25/FX,2)</f>
        <v>0.45</v>
      </c>
      <c r="D3237" s="21" t="s">
        <v>7884</v>
      </c>
      <c r="E3237" s="21" t="s">
        <v>11454</v>
      </c>
    </row>
    <row r="3238" customFormat="false" ht="28.35" hidden="false" customHeight="false" outlineLevel="0" collapsed="false">
      <c r="B3238" s="19" t="s">
        <v>11455</v>
      </c>
      <c r="C3238" s="20" t="n">
        <f aca="false">ROUND(2.86/FX,2)</f>
        <v>0.4</v>
      </c>
      <c r="D3238" s="21" t="s">
        <v>7884</v>
      </c>
      <c r="E3238" s="21" t="s">
        <v>11456</v>
      </c>
    </row>
    <row r="3239" customFormat="false" ht="28.35" hidden="false" customHeight="false" outlineLevel="0" collapsed="false">
      <c r="B3239" s="19" t="s">
        <v>11457</v>
      </c>
      <c r="C3239" s="20" t="n">
        <f aca="false">ROUND(2.98/FX,2)</f>
        <v>0.41</v>
      </c>
      <c r="D3239" s="21" t="s">
        <v>7884</v>
      </c>
      <c r="E3239" s="21" t="s">
        <v>11458</v>
      </c>
    </row>
    <row r="3240" customFormat="false" ht="28.35" hidden="false" customHeight="false" outlineLevel="0" collapsed="false">
      <c r="B3240" s="19" t="s">
        <v>11459</v>
      </c>
      <c r="C3240" s="20" t="n">
        <f aca="false">ROUND(2.88/FX,2)</f>
        <v>0.4</v>
      </c>
      <c r="D3240" s="21" t="s">
        <v>7884</v>
      </c>
      <c r="E3240" s="21" t="s">
        <v>11460</v>
      </c>
    </row>
    <row r="3241" customFormat="false" ht="15" hidden="false" customHeight="false" outlineLevel="0" collapsed="false">
      <c r="B3241" s="19" t="s">
        <v>11461</v>
      </c>
      <c r="C3241" s="20" t="n">
        <f aca="false">ROUND(3.25/FX,2)</f>
        <v>0.45</v>
      </c>
      <c r="D3241" s="21" t="s">
        <v>7884</v>
      </c>
      <c r="E3241" s="21" t="s">
        <v>11462</v>
      </c>
    </row>
    <row r="3242" customFormat="false" ht="15" hidden="false" customHeight="false" outlineLevel="0" collapsed="false">
      <c r="B3242" s="19" t="s">
        <v>11463</v>
      </c>
      <c r="C3242" s="20" t="n">
        <f aca="false">ROUND(3.25/FX,2)</f>
        <v>0.45</v>
      </c>
      <c r="D3242" s="21" t="s">
        <v>7884</v>
      </c>
      <c r="E3242" s="21" t="s">
        <v>11464</v>
      </c>
    </row>
    <row r="3243" customFormat="false" ht="28.35" hidden="false" customHeight="false" outlineLevel="0" collapsed="false">
      <c r="B3243" s="19" t="s">
        <v>11465</v>
      </c>
      <c r="C3243" s="20" t="n">
        <f aca="false">ROUND(2.6/FX,2)</f>
        <v>0.36</v>
      </c>
      <c r="D3243" s="21" t="s">
        <v>6336</v>
      </c>
      <c r="E3243" s="21" t="s">
        <v>11466</v>
      </c>
    </row>
    <row r="3244" customFormat="false" ht="28.35" hidden="false" customHeight="false" outlineLevel="0" collapsed="false">
      <c r="B3244" s="19" t="s">
        <v>11467</v>
      </c>
      <c r="C3244" s="20" t="n">
        <f aca="false">ROUND(2.7/FX,2)</f>
        <v>0.38</v>
      </c>
      <c r="D3244" s="21" t="s">
        <v>6336</v>
      </c>
      <c r="E3244" s="21" t="s">
        <v>11468</v>
      </c>
    </row>
    <row r="3245" customFormat="false" ht="28.35" hidden="false" customHeight="false" outlineLevel="0" collapsed="false">
      <c r="B3245" s="19" t="s">
        <v>11469</v>
      </c>
      <c r="C3245" s="20" t="n">
        <f aca="false">ROUND(2.6/FX,2)</f>
        <v>0.36</v>
      </c>
      <c r="D3245" s="21" t="s">
        <v>6336</v>
      </c>
      <c r="E3245" s="21" t="s">
        <v>11470</v>
      </c>
    </row>
    <row r="3246" customFormat="false" ht="15" hidden="false" customHeight="false" outlineLevel="0" collapsed="false">
      <c r="B3246" s="19" t="s">
        <v>11471</v>
      </c>
      <c r="C3246" s="20" t="n">
        <f aca="false">ROUND(3.25/FX,2)</f>
        <v>0.45</v>
      </c>
      <c r="D3246" s="21" t="s">
        <v>6336</v>
      </c>
      <c r="E3246" s="21" t="s">
        <v>11472</v>
      </c>
    </row>
    <row r="3247" customFormat="false" ht="28.35" hidden="false" customHeight="false" outlineLevel="0" collapsed="false">
      <c r="B3247" s="19" t="s">
        <v>11473</v>
      </c>
      <c r="C3247" s="20" t="n">
        <f aca="false">ROUND(3.25/FX,2)</f>
        <v>0.45</v>
      </c>
      <c r="D3247" s="21" t="s">
        <v>6336</v>
      </c>
      <c r="E3247" s="21" t="s">
        <v>11474</v>
      </c>
    </row>
    <row r="3248" customFormat="false" ht="15" hidden="false" customHeight="false" outlineLevel="0" collapsed="false">
      <c r="B3248" s="19" t="s">
        <v>11475</v>
      </c>
      <c r="C3248" s="20" t="n">
        <f aca="false">ROUND(3.25/FX,2)</f>
        <v>0.45</v>
      </c>
      <c r="D3248" s="21" t="s">
        <v>6336</v>
      </c>
      <c r="E3248" s="21" t="s">
        <v>11476</v>
      </c>
    </row>
    <row r="3249" customFormat="false" ht="15" hidden="false" customHeight="false" outlineLevel="0" collapsed="false">
      <c r="B3249" s="19" t="s">
        <v>11477</v>
      </c>
      <c r="C3249" s="20" t="n">
        <f aca="false">ROUND(3.25/FX,2)</f>
        <v>0.45</v>
      </c>
      <c r="D3249" s="21" t="s">
        <v>6336</v>
      </c>
      <c r="E3249" s="21" t="s">
        <v>11478</v>
      </c>
    </row>
    <row r="3250" customFormat="false" ht="15" hidden="false" customHeight="false" outlineLevel="0" collapsed="false">
      <c r="B3250" s="19" t="s">
        <v>11479</v>
      </c>
      <c r="C3250" s="20" t="n">
        <f aca="false">ROUND(2.34/FX,2)</f>
        <v>0.33</v>
      </c>
      <c r="D3250" s="21" t="s">
        <v>6362</v>
      </c>
      <c r="E3250" s="21" t="s">
        <v>11417</v>
      </c>
    </row>
    <row r="3251" customFormat="false" ht="15" hidden="false" customHeight="false" outlineLevel="0" collapsed="false">
      <c r="B3251" s="19" t="s">
        <v>11480</v>
      </c>
      <c r="C3251" s="20" t="n">
        <f aca="false">ROUND(2.6/FX,2)</f>
        <v>0.36</v>
      </c>
      <c r="D3251" s="21" t="s">
        <v>6362</v>
      </c>
      <c r="E3251" s="21" t="s">
        <v>11481</v>
      </c>
    </row>
    <row r="3252" customFormat="false" ht="15" hidden="false" customHeight="false" outlineLevel="0" collapsed="false">
      <c r="B3252" s="19" t="s">
        <v>11482</v>
      </c>
      <c r="C3252" s="20" t="n">
        <f aca="false">ROUND(3.25/FX,2)</f>
        <v>0.45</v>
      </c>
      <c r="D3252" s="21" t="s">
        <v>6362</v>
      </c>
      <c r="E3252" s="21" t="s">
        <v>11483</v>
      </c>
    </row>
    <row r="3253" customFormat="false" ht="15" hidden="false" customHeight="false" outlineLevel="0" collapsed="false">
      <c r="B3253" s="19" t="s">
        <v>11484</v>
      </c>
      <c r="C3253" s="20" t="n">
        <f aca="false">ROUND(3.25/FX,2)</f>
        <v>0.45</v>
      </c>
      <c r="D3253" s="21" t="s">
        <v>6362</v>
      </c>
      <c r="E3253" s="21" t="s">
        <v>11430</v>
      </c>
    </row>
    <row r="3254" customFormat="false" ht="15" hidden="false" customHeight="false" outlineLevel="0" collapsed="false">
      <c r="B3254" s="19" t="s">
        <v>11485</v>
      </c>
      <c r="C3254" s="20" t="n">
        <f aca="false">ROUND(3.25/FX,2)</f>
        <v>0.45</v>
      </c>
      <c r="D3254" s="21" t="s">
        <v>6362</v>
      </c>
      <c r="E3254" s="21" t="s">
        <v>11432</v>
      </c>
    </row>
    <row r="3255" customFormat="false" ht="15" hidden="false" customHeight="false" outlineLevel="0" collapsed="false">
      <c r="B3255" s="19" t="s">
        <v>11486</v>
      </c>
      <c r="C3255" s="20" t="n">
        <f aca="false">ROUND(3.25/FX,2)</f>
        <v>0.45</v>
      </c>
      <c r="D3255" s="21" t="s">
        <v>6362</v>
      </c>
      <c r="E3255" s="21" t="s">
        <v>11434</v>
      </c>
    </row>
    <row r="3256" customFormat="false" ht="15" hidden="false" customHeight="false" outlineLevel="0" collapsed="false">
      <c r="B3256" s="19" t="s">
        <v>11487</v>
      </c>
      <c r="C3256" s="20" t="n">
        <f aca="false">ROUND(9.75/FX,2)</f>
        <v>1.35</v>
      </c>
      <c r="D3256" s="21" t="s">
        <v>6549</v>
      </c>
      <c r="E3256" s="21" t="s">
        <v>11488</v>
      </c>
    </row>
    <row r="3257" customFormat="false" ht="15" hidden="false" customHeight="false" outlineLevel="0" collapsed="false">
      <c r="B3257" s="19" t="s">
        <v>11489</v>
      </c>
      <c r="C3257" s="20" t="n">
        <f aca="false">ROUND(9.75/FX,2)</f>
        <v>1.35</v>
      </c>
      <c r="D3257" s="21" t="s">
        <v>6549</v>
      </c>
      <c r="E3257" s="21" t="s">
        <v>11490</v>
      </c>
    </row>
    <row r="3258" customFormat="false" ht="15" hidden="false" customHeight="false" outlineLevel="0" collapsed="false">
      <c r="B3258" s="19" t="s">
        <v>11491</v>
      </c>
      <c r="C3258" s="20" t="n">
        <f aca="false">ROUND(9.75/FX,2)</f>
        <v>1.35</v>
      </c>
      <c r="D3258" s="21" t="s">
        <v>6549</v>
      </c>
      <c r="E3258" s="21" t="s">
        <v>11492</v>
      </c>
    </row>
    <row r="3259" customFormat="false" ht="15" hidden="false" customHeight="false" outlineLevel="0" collapsed="false">
      <c r="B3259" s="19" t="s">
        <v>11493</v>
      </c>
      <c r="C3259" s="20" t="n">
        <f aca="false">ROUND(9.75/FX,2)</f>
        <v>1.35</v>
      </c>
      <c r="D3259" s="21" t="s">
        <v>6549</v>
      </c>
      <c r="E3259" s="21" t="s">
        <v>11494</v>
      </c>
    </row>
    <row r="3260" customFormat="false" ht="15" hidden="false" customHeight="false" outlineLevel="0" collapsed="false">
      <c r="B3260" s="19" t="s">
        <v>11495</v>
      </c>
      <c r="C3260" s="20" t="n">
        <f aca="false">ROUND(2.47/FX,2)</f>
        <v>0.34</v>
      </c>
      <c r="D3260" s="21" t="s">
        <v>6549</v>
      </c>
      <c r="E3260" s="21" t="s">
        <v>11496</v>
      </c>
    </row>
    <row r="3261" customFormat="false" ht="15" hidden="false" customHeight="false" outlineLevel="0" collapsed="false">
      <c r="B3261" s="19" t="s">
        <v>11497</v>
      </c>
      <c r="C3261" s="20" t="n">
        <f aca="false">ROUND(2.34/FX,2)</f>
        <v>0.33</v>
      </c>
      <c r="D3261" s="21" t="s">
        <v>6549</v>
      </c>
      <c r="E3261" s="21" t="s">
        <v>11498</v>
      </c>
    </row>
    <row r="3262" customFormat="false" ht="15" hidden="false" customHeight="false" outlineLevel="0" collapsed="false">
      <c r="B3262" s="19" t="s">
        <v>11499</v>
      </c>
      <c r="C3262" s="20" t="n">
        <f aca="false">ROUND(2.6/FX,2)</f>
        <v>0.36</v>
      </c>
      <c r="D3262" s="21" t="s">
        <v>6549</v>
      </c>
      <c r="E3262" s="21" t="s">
        <v>11417</v>
      </c>
    </row>
    <row r="3263" customFormat="false" ht="15" hidden="false" customHeight="false" outlineLevel="0" collapsed="false">
      <c r="B3263" s="19" t="s">
        <v>11500</v>
      </c>
      <c r="C3263" s="20" t="n">
        <f aca="false">ROUND(2.7/FX,2)</f>
        <v>0.38</v>
      </c>
      <c r="D3263" s="21" t="s">
        <v>6549</v>
      </c>
      <c r="E3263" s="21" t="s">
        <v>11501</v>
      </c>
    </row>
    <row r="3264" customFormat="false" ht="15" hidden="false" customHeight="false" outlineLevel="0" collapsed="false">
      <c r="B3264" s="19" t="s">
        <v>11502</v>
      </c>
      <c r="C3264" s="20" t="n">
        <f aca="false">ROUND(2.6/FX,2)</f>
        <v>0.36</v>
      </c>
      <c r="D3264" s="21" t="s">
        <v>6549</v>
      </c>
      <c r="E3264" s="21" t="s">
        <v>11503</v>
      </c>
    </row>
    <row r="3265" customFormat="false" ht="15" hidden="false" customHeight="false" outlineLevel="0" collapsed="false">
      <c r="B3265" s="19" t="s">
        <v>11504</v>
      </c>
      <c r="C3265" s="20" t="n">
        <f aca="false">ROUND(2.7/FX,2)</f>
        <v>0.38</v>
      </c>
      <c r="D3265" s="21" t="s">
        <v>6549</v>
      </c>
      <c r="E3265" s="21" t="s">
        <v>11505</v>
      </c>
    </row>
    <row r="3266" customFormat="false" ht="15" hidden="false" customHeight="false" outlineLevel="0" collapsed="false">
      <c r="B3266" s="19" t="s">
        <v>11506</v>
      </c>
      <c r="C3266" s="20" t="n">
        <f aca="false">ROUND(2.6/FX,2)</f>
        <v>0.36</v>
      </c>
      <c r="D3266" s="21" t="s">
        <v>6549</v>
      </c>
      <c r="E3266" s="21" t="s">
        <v>11507</v>
      </c>
    </row>
    <row r="3267" customFormat="false" ht="15" hidden="false" customHeight="false" outlineLevel="0" collapsed="false">
      <c r="B3267" s="19" t="s">
        <v>11508</v>
      </c>
      <c r="C3267" s="20" t="n">
        <f aca="false">ROUND(3.25/FX,2)</f>
        <v>0.45</v>
      </c>
      <c r="D3267" s="21" t="s">
        <v>6549</v>
      </c>
      <c r="E3267" s="21" t="s">
        <v>11509</v>
      </c>
    </row>
    <row r="3268" customFormat="false" ht="15" hidden="false" customHeight="false" outlineLevel="0" collapsed="false">
      <c r="B3268" s="19" t="s">
        <v>11510</v>
      </c>
      <c r="C3268" s="20" t="n">
        <f aca="false">ROUND(3.35/FX,2)</f>
        <v>0.47</v>
      </c>
      <c r="D3268" s="21" t="s">
        <v>6549</v>
      </c>
      <c r="E3268" s="21" t="s">
        <v>11424</v>
      </c>
    </row>
    <row r="3269" customFormat="false" ht="15" hidden="false" customHeight="false" outlineLevel="0" collapsed="false">
      <c r="B3269" s="19" t="s">
        <v>11511</v>
      </c>
      <c r="C3269" s="20" t="n">
        <f aca="false">ROUND(3.25/FX,2)</f>
        <v>0.45</v>
      </c>
      <c r="D3269" s="21" t="s">
        <v>6549</v>
      </c>
      <c r="E3269" s="21" t="s">
        <v>11426</v>
      </c>
    </row>
    <row r="3270" customFormat="false" ht="15" hidden="false" customHeight="false" outlineLevel="0" collapsed="false">
      <c r="B3270" s="19" t="s">
        <v>11512</v>
      </c>
      <c r="C3270" s="20" t="n">
        <f aca="false">ROUND(2.86/FX,2)</f>
        <v>0.4</v>
      </c>
      <c r="D3270" s="21" t="s">
        <v>6549</v>
      </c>
      <c r="E3270" s="21" t="s">
        <v>11513</v>
      </c>
    </row>
    <row r="3271" customFormat="false" ht="15" hidden="false" customHeight="false" outlineLevel="0" collapsed="false">
      <c r="B3271" s="19" t="s">
        <v>11514</v>
      </c>
      <c r="C3271" s="20" t="n">
        <f aca="false">ROUND(2.98/FX,2)</f>
        <v>0.41</v>
      </c>
      <c r="D3271" s="21" t="s">
        <v>6549</v>
      </c>
      <c r="E3271" s="21" t="s">
        <v>11428</v>
      </c>
    </row>
    <row r="3272" customFormat="false" ht="15" hidden="false" customHeight="false" outlineLevel="0" collapsed="false">
      <c r="B3272" s="19" t="s">
        <v>11515</v>
      </c>
      <c r="C3272" s="20" t="n">
        <f aca="false">ROUND(2.88/FX,2)</f>
        <v>0.4</v>
      </c>
      <c r="D3272" s="21" t="s">
        <v>6549</v>
      </c>
      <c r="E3272" s="21" t="s">
        <v>11430</v>
      </c>
    </row>
    <row r="3273" customFormat="false" ht="15" hidden="false" customHeight="false" outlineLevel="0" collapsed="false">
      <c r="B3273" s="19" t="s">
        <v>11516</v>
      </c>
      <c r="C3273" s="20" t="n">
        <f aca="false">ROUND(3.25/FX,2)</f>
        <v>0.45</v>
      </c>
      <c r="D3273" s="21" t="s">
        <v>6549</v>
      </c>
      <c r="E3273" s="21" t="s">
        <v>11432</v>
      </c>
    </row>
    <row r="3274" customFormat="false" ht="15" hidden="false" customHeight="false" outlineLevel="0" collapsed="false">
      <c r="B3274" s="19" t="s">
        <v>11517</v>
      </c>
      <c r="C3274" s="20" t="n">
        <f aca="false">ROUND(2.86/FX,2)</f>
        <v>0.4</v>
      </c>
      <c r="D3274" s="21" t="s">
        <v>6549</v>
      </c>
      <c r="E3274" s="21" t="s">
        <v>11518</v>
      </c>
    </row>
    <row r="3275" customFormat="false" ht="15" hidden="false" customHeight="false" outlineLevel="0" collapsed="false">
      <c r="B3275" s="19" t="s">
        <v>11519</v>
      </c>
      <c r="C3275" s="20" t="n">
        <f aca="false">ROUND(2.98/FX,2)</f>
        <v>0.41</v>
      </c>
      <c r="D3275" s="21" t="s">
        <v>6549</v>
      </c>
      <c r="E3275" s="21" t="s">
        <v>11520</v>
      </c>
    </row>
    <row r="3276" customFormat="false" ht="15" hidden="false" customHeight="false" outlineLevel="0" collapsed="false">
      <c r="B3276" s="19" t="s">
        <v>11521</v>
      </c>
      <c r="C3276" s="20" t="n">
        <f aca="false">ROUND(2.88/FX,2)</f>
        <v>0.4</v>
      </c>
      <c r="D3276" s="21" t="s">
        <v>6549</v>
      </c>
      <c r="E3276" s="21" t="s">
        <v>11522</v>
      </c>
    </row>
    <row r="3277" customFormat="false" ht="15" hidden="false" customHeight="false" outlineLevel="0" collapsed="false">
      <c r="B3277" s="19" t="s">
        <v>11523</v>
      </c>
      <c r="C3277" s="20" t="n">
        <f aca="false">ROUND(2.86/FX,2)</f>
        <v>0.4</v>
      </c>
      <c r="D3277" s="21" t="s">
        <v>6549</v>
      </c>
      <c r="E3277" s="21" t="s">
        <v>11524</v>
      </c>
    </row>
    <row r="3278" customFormat="false" ht="15" hidden="false" customHeight="false" outlineLevel="0" collapsed="false">
      <c r="B3278" s="19" t="s">
        <v>11525</v>
      </c>
      <c r="C3278" s="20" t="n">
        <f aca="false">ROUND(3.35/FX,2)</f>
        <v>0.47</v>
      </c>
      <c r="D3278" s="21" t="s">
        <v>6549</v>
      </c>
      <c r="E3278" s="21" t="s">
        <v>11526</v>
      </c>
    </row>
    <row r="3279" customFormat="false" ht="15" hidden="false" customHeight="false" outlineLevel="0" collapsed="false">
      <c r="B3279" s="19" t="s">
        <v>11527</v>
      </c>
      <c r="C3279" s="20" t="n">
        <f aca="false">ROUND(3.25/FX,2)</f>
        <v>0.45</v>
      </c>
      <c r="D3279" s="21" t="s">
        <v>6549</v>
      </c>
      <c r="E3279" s="21" t="s">
        <v>11528</v>
      </c>
    </row>
    <row r="3280" customFormat="false" ht="28.35" hidden="false" customHeight="false" outlineLevel="0" collapsed="false">
      <c r="B3280" s="19" t="s">
        <v>11529</v>
      </c>
      <c r="C3280" s="20" t="n">
        <f aca="false">ROUND(2.44/FX,2)</f>
        <v>0.34</v>
      </c>
      <c r="D3280" s="21" t="s">
        <v>6549</v>
      </c>
      <c r="E3280" s="21" t="s">
        <v>11530</v>
      </c>
    </row>
    <row r="3281" customFormat="false" ht="28.35" hidden="false" customHeight="false" outlineLevel="0" collapsed="false">
      <c r="B3281" s="19" t="s">
        <v>11531</v>
      </c>
      <c r="C3281" s="20" t="n">
        <f aca="false">ROUND(2.34/FX,2)</f>
        <v>0.33</v>
      </c>
      <c r="D3281" s="21" t="s">
        <v>6549</v>
      </c>
      <c r="E3281" s="21" t="s">
        <v>11532</v>
      </c>
    </row>
    <row r="3282" customFormat="false" ht="28.35" hidden="false" customHeight="false" outlineLevel="0" collapsed="false">
      <c r="B3282" s="19" t="s">
        <v>11533</v>
      </c>
      <c r="C3282" s="20" t="n">
        <f aca="false">ROUND(2.05/FX,2)</f>
        <v>0.28</v>
      </c>
      <c r="D3282" s="21" t="s">
        <v>6549</v>
      </c>
      <c r="E3282" s="21" t="s">
        <v>11534</v>
      </c>
    </row>
    <row r="3283" customFormat="false" ht="28.35" hidden="false" customHeight="false" outlineLevel="0" collapsed="false">
      <c r="B3283" s="19" t="s">
        <v>11535</v>
      </c>
      <c r="C3283" s="20" t="n">
        <f aca="false">ROUND(1.95/FX,2)</f>
        <v>0.27</v>
      </c>
      <c r="D3283" s="21" t="s">
        <v>6549</v>
      </c>
      <c r="E3283" s="21" t="s">
        <v>11536</v>
      </c>
    </row>
    <row r="3284" customFormat="false" ht="28.35" hidden="false" customHeight="false" outlineLevel="0" collapsed="false">
      <c r="B3284" s="19" t="s">
        <v>11537</v>
      </c>
      <c r="C3284" s="20" t="n">
        <f aca="false">ROUND(2.34/FX,2)</f>
        <v>0.33</v>
      </c>
      <c r="D3284" s="21" t="s">
        <v>6336</v>
      </c>
      <c r="E3284" s="21" t="s">
        <v>11538</v>
      </c>
    </row>
    <row r="3285" customFormat="false" ht="15" hidden="false" customHeight="false" outlineLevel="0" collapsed="false">
      <c r="B3285" s="19" t="s">
        <v>11539</v>
      </c>
      <c r="C3285" s="20" t="n">
        <f aca="false">ROUND(2.6/FX,2)</f>
        <v>0.36</v>
      </c>
      <c r="D3285" s="21" t="s">
        <v>6336</v>
      </c>
      <c r="E3285" s="21" t="s">
        <v>11540</v>
      </c>
    </row>
    <row r="3286" customFormat="false" ht="15" hidden="false" customHeight="false" outlineLevel="0" collapsed="false">
      <c r="B3286" s="19" t="s">
        <v>11541</v>
      </c>
      <c r="C3286" s="20" t="n">
        <f aca="false">ROUND(3.25/FX,2)</f>
        <v>0.45</v>
      </c>
      <c r="D3286" s="21" t="s">
        <v>6336</v>
      </c>
      <c r="E3286" s="21" t="s">
        <v>11542</v>
      </c>
    </row>
    <row r="3287" customFormat="false" ht="15" hidden="false" customHeight="false" outlineLevel="0" collapsed="false">
      <c r="B3287" s="19" t="s">
        <v>11543</v>
      </c>
      <c r="C3287" s="20" t="n">
        <f aca="false">ROUND(3.25/FX,2)</f>
        <v>0.45</v>
      </c>
      <c r="D3287" s="21" t="s">
        <v>6336</v>
      </c>
      <c r="E3287" s="21" t="s">
        <v>11544</v>
      </c>
    </row>
    <row r="3288" customFormat="false" ht="15" hidden="false" customHeight="false" outlineLevel="0" collapsed="false">
      <c r="B3288" s="19" t="s">
        <v>11545</v>
      </c>
      <c r="C3288" s="20" t="n">
        <f aca="false">ROUND(3.25/FX,2)</f>
        <v>0.45</v>
      </c>
      <c r="D3288" s="21" t="s">
        <v>6336</v>
      </c>
      <c r="E3288" s="21" t="s">
        <v>11546</v>
      </c>
    </row>
    <row r="3289" customFormat="false" ht="15" hidden="false" customHeight="false" outlineLevel="0" collapsed="false">
      <c r="B3289" s="19" t="s">
        <v>11547</v>
      </c>
      <c r="C3289" s="20" t="n">
        <f aca="false">ROUND(3.25/FX,2)</f>
        <v>0.45</v>
      </c>
      <c r="D3289" s="21" t="s">
        <v>6336</v>
      </c>
      <c r="E3289" s="21" t="s">
        <v>11548</v>
      </c>
    </row>
    <row r="3292" customFormat="false" ht="61.5" hidden="false" customHeight="true" outlineLevel="0" collapsed="false">
      <c r="A3292" s="9"/>
      <c r="B3292" s="10" t="s">
        <v>11549</v>
      </c>
      <c r="C3292" s="10"/>
      <c r="D3292" s="10"/>
      <c r="E3292" s="10"/>
    </row>
    <row r="3293" customFormat="false" ht="15" hidden="false" customHeight="false" outlineLevel="0" collapsed="false">
      <c r="A3293" s="12" t="s">
        <v>700</v>
      </c>
      <c r="B3293" s="13" t="s">
        <v>701</v>
      </c>
      <c r="C3293" s="13" t="s">
        <v>702</v>
      </c>
      <c r="D3293" s="13" t="s">
        <v>6523</v>
      </c>
      <c r="E3293" s="13" t="s">
        <v>7711</v>
      </c>
    </row>
    <row r="3294" customFormat="false" ht="30" hidden="false" customHeight="true" outlineLevel="0" collapsed="false">
      <c r="A3294" s="14" t="s">
        <v>706</v>
      </c>
      <c r="B3294" s="15" t="str">
        <f aca="false">IF(COUNTIFS($D$3297:$D$3328,IF(D3294="","*",D3294),$E$3297:$E$3328,IF(E3294="","*",E3294))=1,INDEX($B:$B,SUMPRODUCT(((D3294="")+($D$3297:$D$3328=D3294)&gt;0)*((E3294="")+($E$3297:$E$3328=E3294)&gt;0)*ROW($B$3297:$B$3328))),IF(COUNTIFS($D$3297:$D$3328,IF(D3294="","*",D3294),$E$3297:$E$3328,IF(E3294="","*",E3294))=0,"Not available",COUNTIFS($D$3297:$D$3328,IF(D3294="","*",D3294),$E$3297:$E$3328,IF(E3294="","*",E3294))&amp;" match, keep choosing"))</f>
        <v>DP-D20L20-5x6-SV</v>
      </c>
      <c r="C3294" s="16" t="n">
        <f aca="false">IF(COUNTIFS($D$3297:$D$3328,IF(D3294="","*",D3294),$E$3297:$E$3328,IF(E3294="","*",E3294))=1,INDEX($C:$C,SUMPRODUCT(((D3294="")+($D$3297:$D$3328=D3294)&gt;0)*((E3294="")+($E$3297:$E$3328=E3294)&gt;0)*ROW($B$3297:$B$3328))),"")</f>
        <v>2.71</v>
      </c>
      <c r="D3294" s="17" t="s">
        <v>7874</v>
      </c>
      <c r="E3294" s="17" t="s">
        <v>7831</v>
      </c>
    </row>
    <row r="3296" customFormat="false" ht="15" hidden="false" customHeight="false" outlineLevel="0" collapsed="false">
      <c r="B3296" s="18" t="s">
        <v>701</v>
      </c>
      <c r="C3296" s="18" t="s">
        <v>702</v>
      </c>
      <c r="D3296" s="18" t="s">
        <v>6523</v>
      </c>
      <c r="E3296" s="18" t="s">
        <v>7711</v>
      </c>
    </row>
    <row r="3297" customFormat="false" ht="15" hidden="false" customHeight="false" outlineLevel="0" collapsed="false">
      <c r="B3297" s="19" t="s">
        <v>11550</v>
      </c>
      <c r="C3297" s="20" t="n">
        <f aca="false">ROUND(19.5/FX,2)</f>
        <v>2.71</v>
      </c>
      <c r="D3297" s="21" t="s">
        <v>7874</v>
      </c>
      <c r="E3297" s="21" t="s">
        <v>7831</v>
      </c>
    </row>
    <row r="3298" customFormat="false" ht="15" hidden="false" customHeight="false" outlineLevel="0" collapsed="false">
      <c r="B3298" s="19" t="s">
        <v>11551</v>
      </c>
      <c r="C3298" s="20" t="n">
        <f aca="false">ROUND(19.5/FX,2)</f>
        <v>2.71</v>
      </c>
      <c r="D3298" s="21" t="s">
        <v>7874</v>
      </c>
      <c r="E3298" s="21" t="s">
        <v>7833</v>
      </c>
    </row>
    <row r="3299" customFormat="false" ht="15" hidden="false" customHeight="false" outlineLevel="0" collapsed="false">
      <c r="B3299" s="19" t="s">
        <v>11552</v>
      </c>
      <c r="C3299" s="20" t="n">
        <f aca="false">ROUND(23.4/FX,2)</f>
        <v>3.25</v>
      </c>
      <c r="D3299" s="21" t="s">
        <v>11553</v>
      </c>
      <c r="E3299" s="21" t="s">
        <v>7875</v>
      </c>
    </row>
    <row r="3300" customFormat="false" ht="15" hidden="false" customHeight="false" outlineLevel="0" collapsed="false">
      <c r="B3300" s="19" t="s">
        <v>11554</v>
      </c>
      <c r="C3300" s="20" t="n">
        <f aca="false">ROUND(23.4/FX,2)</f>
        <v>3.25</v>
      </c>
      <c r="D3300" s="21" t="s">
        <v>11553</v>
      </c>
      <c r="E3300" s="21" t="s">
        <v>7829</v>
      </c>
    </row>
    <row r="3301" customFormat="false" ht="15" hidden="false" customHeight="false" outlineLevel="0" collapsed="false">
      <c r="B3301" s="19" t="s">
        <v>11555</v>
      </c>
      <c r="C3301" s="20" t="n">
        <f aca="false">ROUND(19.5/FX,2)</f>
        <v>2.71</v>
      </c>
      <c r="D3301" s="21" t="s">
        <v>11553</v>
      </c>
      <c r="E3301" s="21" t="s">
        <v>7833</v>
      </c>
    </row>
    <row r="3302" customFormat="false" ht="15" hidden="false" customHeight="false" outlineLevel="0" collapsed="false">
      <c r="B3302" s="19" t="s">
        <v>11556</v>
      </c>
      <c r="C3302" s="20" t="n">
        <f aca="false">ROUND(23.4/FX,2)</f>
        <v>3.25</v>
      </c>
      <c r="D3302" s="21" t="s">
        <v>11553</v>
      </c>
      <c r="E3302" s="21" t="s">
        <v>7893</v>
      </c>
    </row>
    <row r="3303" customFormat="false" ht="15" hidden="false" customHeight="false" outlineLevel="0" collapsed="false">
      <c r="B3303" s="19" t="s">
        <v>11557</v>
      </c>
      <c r="C3303" s="20" t="n">
        <f aca="false">ROUND(23.4/FX,2)</f>
        <v>3.25</v>
      </c>
      <c r="D3303" s="21" t="s">
        <v>11553</v>
      </c>
      <c r="E3303" s="21" t="s">
        <v>7866</v>
      </c>
    </row>
    <row r="3304" customFormat="false" ht="15" hidden="false" customHeight="false" outlineLevel="0" collapsed="false">
      <c r="B3304" s="19" t="s">
        <v>11558</v>
      </c>
      <c r="C3304" s="20" t="n">
        <f aca="false">ROUND(19.5/FX,2)</f>
        <v>2.71</v>
      </c>
      <c r="D3304" s="21" t="s">
        <v>11559</v>
      </c>
      <c r="E3304" s="21" t="s">
        <v>7899</v>
      </c>
    </row>
    <row r="3305" customFormat="false" ht="15" hidden="false" customHeight="false" outlineLevel="0" collapsed="false">
      <c r="B3305" s="19" t="s">
        <v>11560</v>
      </c>
      <c r="C3305" s="20" t="n">
        <f aca="false">ROUND(19.5/FX,2)</f>
        <v>2.71</v>
      </c>
      <c r="D3305" s="21" t="s">
        <v>11559</v>
      </c>
      <c r="E3305" s="21" t="s">
        <v>7866</v>
      </c>
    </row>
    <row r="3306" customFormat="false" ht="15" hidden="false" customHeight="false" outlineLevel="0" collapsed="false">
      <c r="B3306" s="19" t="s">
        <v>11561</v>
      </c>
      <c r="C3306" s="20" t="n">
        <f aca="false">ROUND(26/FX,2)</f>
        <v>3.61</v>
      </c>
      <c r="D3306" s="21" t="s">
        <v>11562</v>
      </c>
      <c r="E3306" s="21" t="s">
        <v>7875</v>
      </c>
    </row>
    <row r="3307" customFormat="false" ht="15" hidden="false" customHeight="false" outlineLevel="0" collapsed="false">
      <c r="B3307" s="19" t="s">
        <v>11563</v>
      </c>
      <c r="C3307" s="20" t="n">
        <f aca="false">ROUND(26/FX,2)</f>
        <v>3.61</v>
      </c>
      <c r="D3307" s="21" t="s">
        <v>11562</v>
      </c>
      <c r="E3307" s="21" t="s">
        <v>7829</v>
      </c>
    </row>
    <row r="3308" customFormat="false" ht="15" hidden="false" customHeight="false" outlineLevel="0" collapsed="false">
      <c r="B3308" s="19" t="s">
        <v>11564</v>
      </c>
      <c r="C3308" s="20" t="n">
        <f aca="false">ROUND(26/FX,2)</f>
        <v>3.61</v>
      </c>
      <c r="D3308" s="21" t="s">
        <v>11562</v>
      </c>
      <c r="E3308" s="21" t="s">
        <v>7831</v>
      </c>
    </row>
    <row r="3309" customFormat="false" ht="15" hidden="false" customHeight="false" outlineLevel="0" collapsed="false">
      <c r="B3309" s="19" t="s">
        <v>11565</v>
      </c>
      <c r="C3309" s="20" t="n">
        <f aca="false">ROUND(26/FX,2)</f>
        <v>3.61</v>
      </c>
      <c r="D3309" s="21" t="s">
        <v>11562</v>
      </c>
      <c r="E3309" s="21" t="s">
        <v>7833</v>
      </c>
    </row>
    <row r="3310" customFormat="false" ht="15" hidden="false" customHeight="false" outlineLevel="0" collapsed="false">
      <c r="B3310" s="19" t="s">
        <v>11566</v>
      </c>
      <c r="C3310" s="20" t="n">
        <f aca="false">ROUND(26/FX,2)</f>
        <v>3.61</v>
      </c>
      <c r="D3310" s="21" t="s">
        <v>11562</v>
      </c>
      <c r="E3310" s="21" t="s">
        <v>7891</v>
      </c>
    </row>
    <row r="3311" customFormat="false" ht="15" hidden="false" customHeight="false" outlineLevel="0" collapsed="false">
      <c r="B3311" s="19" t="s">
        <v>11567</v>
      </c>
      <c r="C3311" s="20" t="n">
        <f aca="false">ROUND(26/FX,2)</f>
        <v>3.61</v>
      </c>
      <c r="D3311" s="21" t="s">
        <v>11562</v>
      </c>
      <c r="E3311" s="21" t="s">
        <v>7992</v>
      </c>
    </row>
    <row r="3312" customFormat="false" ht="15" hidden="false" customHeight="false" outlineLevel="0" collapsed="false">
      <c r="B3312" s="19" t="s">
        <v>11568</v>
      </c>
      <c r="C3312" s="20" t="n">
        <f aca="false">ROUND(26/FX,2)</f>
        <v>3.61</v>
      </c>
      <c r="D3312" s="21" t="s">
        <v>11562</v>
      </c>
      <c r="E3312" s="21" t="s">
        <v>7860</v>
      </c>
    </row>
    <row r="3313" customFormat="false" ht="15" hidden="false" customHeight="false" outlineLevel="0" collapsed="false">
      <c r="B3313" s="19" t="s">
        <v>11569</v>
      </c>
      <c r="C3313" s="20" t="n">
        <f aca="false">ROUND(26/FX,2)</f>
        <v>3.61</v>
      </c>
      <c r="D3313" s="21" t="s">
        <v>11562</v>
      </c>
      <c r="E3313" s="21" t="s">
        <v>7893</v>
      </c>
    </row>
    <row r="3314" customFormat="false" ht="15" hidden="false" customHeight="false" outlineLevel="0" collapsed="false">
      <c r="B3314" s="19" t="s">
        <v>11570</v>
      </c>
      <c r="C3314" s="20" t="n">
        <f aca="false">ROUND(26/FX,2)</f>
        <v>3.61</v>
      </c>
      <c r="D3314" s="21" t="s">
        <v>11562</v>
      </c>
      <c r="E3314" s="21" t="s">
        <v>10634</v>
      </c>
    </row>
    <row r="3315" customFormat="false" ht="15" hidden="false" customHeight="false" outlineLevel="0" collapsed="false">
      <c r="B3315" s="19" t="s">
        <v>11571</v>
      </c>
      <c r="C3315" s="20" t="n">
        <f aca="false">ROUND(26/FX,2)</f>
        <v>3.61</v>
      </c>
      <c r="D3315" s="21" t="s">
        <v>11562</v>
      </c>
      <c r="E3315" s="21" t="s">
        <v>7895</v>
      </c>
    </row>
    <row r="3316" customFormat="false" ht="15" hidden="false" customHeight="false" outlineLevel="0" collapsed="false">
      <c r="B3316" s="19" t="s">
        <v>11572</v>
      </c>
      <c r="C3316" s="20" t="n">
        <f aca="false">ROUND(26/FX,2)</f>
        <v>3.61</v>
      </c>
      <c r="D3316" s="21" t="s">
        <v>11562</v>
      </c>
      <c r="E3316" s="21" t="s">
        <v>7862</v>
      </c>
    </row>
    <row r="3317" customFormat="false" ht="15" hidden="false" customHeight="false" outlineLevel="0" collapsed="false">
      <c r="B3317" s="19" t="s">
        <v>11573</v>
      </c>
      <c r="C3317" s="20" t="n">
        <f aca="false">ROUND(26/FX,2)</f>
        <v>3.61</v>
      </c>
      <c r="D3317" s="21" t="s">
        <v>11562</v>
      </c>
      <c r="E3317" s="21" t="s">
        <v>7872</v>
      </c>
    </row>
    <row r="3318" customFormat="false" ht="15" hidden="false" customHeight="false" outlineLevel="0" collapsed="false">
      <c r="B3318" s="19" t="s">
        <v>11574</v>
      </c>
      <c r="C3318" s="20" t="n">
        <f aca="false">ROUND(19.5/FX,2)</f>
        <v>2.71</v>
      </c>
      <c r="D3318" s="21" t="s">
        <v>11562</v>
      </c>
      <c r="E3318" s="21" t="s">
        <v>7899</v>
      </c>
    </row>
    <row r="3319" customFormat="false" ht="15" hidden="false" customHeight="false" outlineLevel="0" collapsed="false">
      <c r="B3319" s="19" t="s">
        <v>11575</v>
      </c>
      <c r="C3319" s="20" t="n">
        <f aca="false">ROUND(26/FX,2)</f>
        <v>3.61</v>
      </c>
      <c r="D3319" s="21" t="s">
        <v>11562</v>
      </c>
      <c r="E3319" s="21" t="s">
        <v>8017</v>
      </c>
    </row>
    <row r="3320" customFormat="false" ht="15" hidden="false" customHeight="false" outlineLevel="0" collapsed="false">
      <c r="B3320" s="19" t="s">
        <v>11576</v>
      </c>
      <c r="C3320" s="20" t="n">
        <f aca="false">ROUND(26/FX,2)</f>
        <v>3.61</v>
      </c>
      <c r="D3320" s="21" t="s">
        <v>11562</v>
      </c>
      <c r="E3320" s="21" t="s">
        <v>7866</v>
      </c>
    </row>
    <row r="3321" customFormat="false" ht="15" hidden="false" customHeight="false" outlineLevel="0" collapsed="false">
      <c r="B3321" s="19" t="s">
        <v>11577</v>
      </c>
      <c r="C3321" s="20" t="n">
        <f aca="false">ROUND(26/FX,2)</f>
        <v>3.61</v>
      </c>
      <c r="D3321" s="21" t="s">
        <v>11562</v>
      </c>
      <c r="E3321" s="21" t="s">
        <v>10677</v>
      </c>
    </row>
    <row r="3322" customFormat="false" ht="15" hidden="false" customHeight="false" outlineLevel="0" collapsed="false">
      <c r="B3322" s="19" t="s">
        <v>11578</v>
      </c>
      <c r="C3322" s="20" t="n">
        <f aca="false">ROUND(26/FX,2)</f>
        <v>3.61</v>
      </c>
      <c r="D3322" s="21" t="s">
        <v>11562</v>
      </c>
      <c r="E3322" s="21" t="s">
        <v>10682</v>
      </c>
    </row>
    <row r="3323" customFormat="false" ht="15" hidden="false" customHeight="false" outlineLevel="0" collapsed="false">
      <c r="B3323" s="19" t="s">
        <v>11579</v>
      </c>
      <c r="C3323" s="20" t="n">
        <f aca="false">ROUND(20.8/FX,2)</f>
        <v>2.89</v>
      </c>
      <c r="D3323" s="21" t="s">
        <v>11580</v>
      </c>
      <c r="E3323" s="21" t="s">
        <v>8060</v>
      </c>
    </row>
    <row r="3324" customFormat="false" ht="15" hidden="false" customHeight="false" outlineLevel="0" collapsed="false">
      <c r="B3324" s="19" t="s">
        <v>11581</v>
      </c>
      <c r="C3324" s="20" t="n">
        <f aca="false">ROUND(20.8/FX,2)</f>
        <v>2.89</v>
      </c>
      <c r="D3324" s="21" t="s">
        <v>11580</v>
      </c>
      <c r="E3324" s="21" t="s">
        <v>7899</v>
      </c>
    </row>
    <row r="3325" customFormat="false" ht="15" hidden="false" customHeight="false" outlineLevel="0" collapsed="false">
      <c r="B3325" s="19" t="s">
        <v>11582</v>
      </c>
      <c r="C3325" s="20" t="n">
        <f aca="false">ROUND(20.8/FX,2)</f>
        <v>2.89</v>
      </c>
      <c r="D3325" s="21" t="s">
        <v>11580</v>
      </c>
      <c r="E3325" s="21" t="s">
        <v>8017</v>
      </c>
    </row>
    <row r="3326" customFormat="false" ht="15" hidden="false" customHeight="false" outlineLevel="0" collapsed="false">
      <c r="B3326" s="19" t="s">
        <v>11583</v>
      </c>
      <c r="C3326" s="20" t="n">
        <f aca="false">ROUND(39/FX,2)</f>
        <v>5.42</v>
      </c>
      <c r="D3326" s="21" t="s">
        <v>11584</v>
      </c>
      <c r="E3326" s="21" t="s">
        <v>11585</v>
      </c>
    </row>
    <row r="3327" customFormat="false" ht="15" hidden="false" customHeight="false" outlineLevel="0" collapsed="false">
      <c r="B3327" s="19" t="s">
        <v>11586</v>
      </c>
      <c r="C3327" s="20" t="n">
        <f aca="false">ROUND(39/FX,2)</f>
        <v>5.42</v>
      </c>
      <c r="D3327" s="21" t="s">
        <v>11584</v>
      </c>
      <c r="E3327" s="21" t="s">
        <v>11587</v>
      </c>
    </row>
    <row r="3328" customFormat="false" ht="15" hidden="false" customHeight="false" outlineLevel="0" collapsed="false">
      <c r="B3328" s="19" t="s">
        <v>11588</v>
      </c>
      <c r="C3328" s="20" t="n">
        <f aca="false">ROUND(49.4/FX,2)</f>
        <v>6.86</v>
      </c>
      <c r="D3328" s="21" t="s">
        <v>11589</v>
      </c>
      <c r="E3328" s="21" t="s">
        <v>9166</v>
      </c>
    </row>
    <row r="3331" customFormat="false" ht="61.5" hidden="false" customHeight="true" outlineLevel="0" collapsed="false">
      <c r="A3331" s="9"/>
      <c r="B3331" s="10" t="s">
        <v>11590</v>
      </c>
      <c r="C3331" s="10"/>
      <c r="D3331" s="10"/>
      <c r="E3331" s="10"/>
    </row>
    <row r="3332" customFormat="false" ht="15" hidden="false" customHeight="false" outlineLevel="0" collapsed="false">
      <c r="A3332" s="12" t="s">
        <v>700</v>
      </c>
      <c r="B3332" s="13" t="s">
        <v>701</v>
      </c>
      <c r="C3332" s="13" t="s">
        <v>702</v>
      </c>
      <c r="D3332" s="13" t="s">
        <v>723</v>
      </c>
      <c r="E3332" s="13" t="s">
        <v>7711</v>
      </c>
    </row>
    <row r="3333" customFormat="false" ht="30" hidden="false" customHeight="true" outlineLevel="0" collapsed="false">
      <c r="A3333" s="14" t="s">
        <v>706</v>
      </c>
      <c r="B3333" s="15" t="str">
        <f aca="false">IF(COUNTIFS($D$3336:$D$3358,IF(D3333="","*",D3333),$E$3336:$E$3358,IF(E3333="","*",E3333))=1,INDEX($B:$B,SUMPRODUCT(((D3333="")+($D$3336:$D$3358=D3333)&gt;0)*((E3333="")+($E$3336:$E$3358=E3333)&gt;0)*ROW($B$3336:$B$3358))),IF(COUNTIFS($D$3336:$D$3358,IF(D3333="","*",D3333),$E$3336:$E$3358,IF(E3333="","*",E3333))=0,"Not available",COUNTIFS($D$3336:$D$3358,IF(D3333="","*",D3333),$E$3336:$E$3358,IF(E3333="","*",E3333))&amp;" match, keep choosing"))</f>
        <v>CP-003-2-BR-CD18</v>
      </c>
      <c r="C3333" s="16" t="n">
        <f aca="false">IF(COUNTIFS($D$3336:$D$3358,IF(D3333="","*",D3333),$E$3336:$E$3358,IF(E3333="","*",E3333))=1,INDEX($C:$C,SUMPRODUCT(((D3333="")+($D$3336:$D$3358=D3333)&gt;0)*((E3333="")+($E$3336:$E$3358=E3333)&gt;0)*ROW($B$3336:$B$3358))),"")</f>
        <v>0.25</v>
      </c>
      <c r="D3333" s="17" t="s">
        <v>11591</v>
      </c>
      <c r="E3333" s="17" t="s">
        <v>837</v>
      </c>
    </row>
    <row r="3335" customFormat="false" ht="15" hidden="false" customHeight="false" outlineLevel="0" collapsed="false">
      <c r="B3335" s="18" t="s">
        <v>701</v>
      </c>
      <c r="C3335" s="18" t="s">
        <v>702</v>
      </c>
      <c r="D3335" s="18" t="s">
        <v>723</v>
      </c>
      <c r="E3335" s="18" t="s">
        <v>7711</v>
      </c>
    </row>
    <row r="3336" customFormat="false" ht="15" hidden="false" customHeight="false" outlineLevel="0" collapsed="false">
      <c r="B3336" s="19" t="s">
        <v>11592</v>
      </c>
      <c r="C3336" s="20" t="n">
        <f aca="false">ROUND(1.82/FX,2)</f>
        <v>0.25</v>
      </c>
      <c r="D3336" s="21" t="s">
        <v>11591</v>
      </c>
      <c r="E3336" s="21" t="s">
        <v>837</v>
      </c>
    </row>
    <row r="3337" customFormat="false" ht="15" hidden="false" customHeight="false" outlineLevel="0" collapsed="false">
      <c r="B3337" s="19" t="s">
        <v>11593</v>
      </c>
      <c r="C3337" s="20" t="n">
        <f aca="false">ROUND(1.17/FX,2)</f>
        <v>0.16</v>
      </c>
      <c r="D3337" s="21" t="s">
        <v>11594</v>
      </c>
      <c r="E3337" s="21" t="s">
        <v>837</v>
      </c>
    </row>
    <row r="3338" customFormat="false" ht="15" hidden="false" customHeight="false" outlineLevel="0" collapsed="false">
      <c r="B3338" s="19" t="s">
        <v>11595</v>
      </c>
      <c r="C3338" s="20" t="n">
        <f aca="false">ROUND(1.95/FX,2)</f>
        <v>0.27</v>
      </c>
      <c r="D3338" s="21" t="s">
        <v>11591</v>
      </c>
      <c r="E3338" s="21" t="s">
        <v>839</v>
      </c>
    </row>
    <row r="3339" customFormat="false" ht="15" hidden="false" customHeight="false" outlineLevel="0" collapsed="false">
      <c r="B3339" s="19" t="s">
        <v>11596</v>
      </c>
      <c r="C3339" s="20" t="n">
        <f aca="false">ROUND(3.38/FX,2)</f>
        <v>0.47</v>
      </c>
      <c r="D3339" s="21" t="s">
        <v>11597</v>
      </c>
      <c r="E3339" s="21" t="s">
        <v>839</v>
      </c>
    </row>
    <row r="3340" customFormat="false" ht="15" hidden="false" customHeight="false" outlineLevel="0" collapsed="false">
      <c r="B3340" s="19" t="s">
        <v>11598</v>
      </c>
      <c r="C3340" s="20" t="n">
        <f aca="false">ROUND(1.95/FX,2)</f>
        <v>0.27</v>
      </c>
      <c r="D3340" s="21" t="s">
        <v>11594</v>
      </c>
      <c r="E3340" s="21" t="s">
        <v>839</v>
      </c>
    </row>
    <row r="3341" customFormat="false" ht="15" hidden="false" customHeight="false" outlineLevel="0" collapsed="false">
      <c r="B3341" s="19" t="s">
        <v>11599</v>
      </c>
      <c r="C3341" s="20" t="n">
        <f aca="false">ROUND(1.82/FX,2)</f>
        <v>0.25</v>
      </c>
      <c r="D3341" s="21" t="s">
        <v>11591</v>
      </c>
      <c r="E3341" s="21" t="s">
        <v>11388</v>
      </c>
    </row>
    <row r="3342" customFormat="false" ht="15" hidden="false" customHeight="false" outlineLevel="0" collapsed="false">
      <c r="B3342" s="19" t="s">
        <v>11600</v>
      </c>
      <c r="C3342" s="20" t="n">
        <f aca="false">ROUND(1.17/FX,2)</f>
        <v>0.16</v>
      </c>
      <c r="D3342" s="21" t="s">
        <v>11594</v>
      </c>
      <c r="E3342" s="21" t="s">
        <v>11388</v>
      </c>
    </row>
    <row r="3343" customFormat="false" ht="15" hidden="false" customHeight="false" outlineLevel="0" collapsed="false">
      <c r="B3343" s="19" t="s">
        <v>11601</v>
      </c>
      <c r="C3343" s="20" t="n">
        <f aca="false">ROUND(1.82/FX,2)</f>
        <v>0.25</v>
      </c>
      <c r="D3343" s="21" t="s">
        <v>11591</v>
      </c>
      <c r="E3343" s="21" t="s">
        <v>841</v>
      </c>
    </row>
    <row r="3344" customFormat="false" ht="15" hidden="false" customHeight="false" outlineLevel="0" collapsed="false">
      <c r="B3344" s="19" t="s">
        <v>11602</v>
      </c>
      <c r="C3344" s="20" t="n">
        <f aca="false">ROUND(3.38/FX,2)</f>
        <v>0.47</v>
      </c>
      <c r="D3344" s="21" t="s">
        <v>11597</v>
      </c>
      <c r="E3344" s="21" t="s">
        <v>841</v>
      </c>
    </row>
    <row r="3345" customFormat="false" ht="15" hidden="false" customHeight="false" outlineLevel="0" collapsed="false">
      <c r="B3345" s="19" t="s">
        <v>11603</v>
      </c>
      <c r="C3345" s="20" t="n">
        <f aca="false">ROUND(1.43/FX,2)</f>
        <v>0.2</v>
      </c>
      <c r="D3345" s="21" t="s">
        <v>11594</v>
      </c>
      <c r="E3345" s="21" t="s">
        <v>841</v>
      </c>
    </row>
    <row r="3346" customFormat="false" ht="28.35" hidden="false" customHeight="false" outlineLevel="0" collapsed="false">
      <c r="B3346" s="19" t="s">
        <v>11604</v>
      </c>
      <c r="C3346" s="20" t="n">
        <f aca="false">ROUND(2.18/FX,2)</f>
        <v>0.3</v>
      </c>
      <c r="D3346" s="21" t="s">
        <v>11605</v>
      </c>
      <c r="E3346" s="21" t="s">
        <v>789</v>
      </c>
    </row>
    <row r="3347" customFormat="false" ht="28.35" hidden="false" customHeight="false" outlineLevel="0" collapsed="false">
      <c r="B3347" s="19" t="s">
        <v>11606</v>
      </c>
      <c r="C3347" s="20" t="n">
        <f aca="false">ROUND(2.08/FX,2)</f>
        <v>0.29</v>
      </c>
      <c r="D3347" s="21" t="s">
        <v>11607</v>
      </c>
      <c r="E3347" s="21" t="s">
        <v>789</v>
      </c>
    </row>
    <row r="3348" customFormat="false" ht="15" hidden="false" customHeight="false" outlineLevel="0" collapsed="false">
      <c r="B3348" s="19" t="s">
        <v>11608</v>
      </c>
      <c r="C3348" s="20" t="n">
        <f aca="false">ROUND(3.38/FX,2)</f>
        <v>0.47</v>
      </c>
      <c r="D3348" s="21" t="s">
        <v>11597</v>
      </c>
      <c r="E3348" s="21" t="s">
        <v>789</v>
      </c>
    </row>
    <row r="3349" customFormat="false" ht="15" hidden="false" customHeight="false" outlineLevel="0" collapsed="false">
      <c r="B3349" s="19" t="s">
        <v>11609</v>
      </c>
      <c r="C3349" s="20" t="n">
        <f aca="false">ROUND(2.34/FX,2)</f>
        <v>0.33</v>
      </c>
      <c r="D3349" s="21" t="s">
        <v>11594</v>
      </c>
      <c r="E3349" s="21" t="s">
        <v>789</v>
      </c>
    </row>
    <row r="3350" customFormat="false" ht="15" hidden="false" customHeight="false" outlineLevel="0" collapsed="false">
      <c r="B3350" s="19" t="s">
        <v>11610</v>
      </c>
      <c r="C3350" s="20" t="n">
        <f aca="false">ROUND(1.82/FX,2)</f>
        <v>0.25</v>
      </c>
      <c r="D3350" s="21" t="s">
        <v>11591</v>
      </c>
      <c r="E3350" s="21" t="s">
        <v>716</v>
      </c>
    </row>
    <row r="3351" customFormat="false" ht="15" hidden="false" customHeight="false" outlineLevel="0" collapsed="false">
      <c r="B3351" s="19" t="s">
        <v>11611</v>
      </c>
      <c r="C3351" s="20" t="n">
        <f aca="false">ROUND(3.38/FX,2)</f>
        <v>0.47</v>
      </c>
      <c r="D3351" s="21" t="s">
        <v>11597</v>
      </c>
      <c r="E3351" s="21" t="s">
        <v>716</v>
      </c>
    </row>
    <row r="3352" customFormat="false" ht="15" hidden="false" customHeight="false" outlineLevel="0" collapsed="false">
      <c r="B3352" s="19" t="s">
        <v>11612</v>
      </c>
      <c r="C3352" s="20" t="n">
        <f aca="false">ROUND(1.17/FX,2)</f>
        <v>0.16</v>
      </c>
      <c r="D3352" s="21" t="s">
        <v>11594</v>
      </c>
      <c r="E3352" s="21" t="s">
        <v>716</v>
      </c>
    </row>
    <row r="3353" customFormat="false" ht="15" hidden="false" customHeight="false" outlineLevel="0" collapsed="false">
      <c r="B3353" s="19" t="s">
        <v>11613</v>
      </c>
      <c r="C3353" s="20" t="n">
        <f aca="false">ROUND(1.95/FX,2)</f>
        <v>0.27</v>
      </c>
      <c r="D3353" s="21" t="s">
        <v>11591</v>
      </c>
      <c r="E3353" s="21" t="s">
        <v>845</v>
      </c>
    </row>
    <row r="3354" customFormat="false" ht="15" hidden="false" customHeight="false" outlineLevel="0" collapsed="false">
      <c r="B3354" s="19" t="s">
        <v>11614</v>
      </c>
      <c r="C3354" s="20" t="n">
        <f aca="false">ROUND(4.06/FX,2)</f>
        <v>0.56</v>
      </c>
      <c r="D3354" s="21" t="s">
        <v>11597</v>
      </c>
      <c r="E3354" s="21" t="s">
        <v>845</v>
      </c>
    </row>
    <row r="3355" customFormat="false" ht="15" hidden="false" customHeight="false" outlineLevel="0" collapsed="false">
      <c r="B3355" s="19" t="s">
        <v>11615</v>
      </c>
      <c r="C3355" s="20" t="n">
        <f aca="false">ROUND(1.17/FX,2)</f>
        <v>0.16</v>
      </c>
      <c r="D3355" s="21" t="s">
        <v>11594</v>
      </c>
      <c r="E3355" s="21" t="s">
        <v>845</v>
      </c>
    </row>
    <row r="3356" customFormat="false" ht="15" hidden="false" customHeight="false" outlineLevel="0" collapsed="false">
      <c r="B3356" s="19" t="s">
        <v>11616</v>
      </c>
      <c r="C3356" s="20" t="n">
        <f aca="false">ROUND(4.06/FX,2)</f>
        <v>0.56</v>
      </c>
      <c r="D3356" s="21" t="s">
        <v>11597</v>
      </c>
      <c r="E3356" s="21" t="s">
        <v>847</v>
      </c>
    </row>
    <row r="3357" customFormat="false" ht="15" hidden="false" customHeight="false" outlineLevel="0" collapsed="false">
      <c r="B3357" s="19" t="s">
        <v>11617</v>
      </c>
      <c r="C3357" s="20" t="n">
        <f aca="false">ROUND(1.17/FX,2)</f>
        <v>0.16</v>
      </c>
      <c r="D3357" s="21" t="s">
        <v>11594</v>
      </c>
      <c r="E3357" s="21" t="s">
        <v>847</v>
      </c>
    </row>
    <row r="3358" customFormat="false" ht="15" hidden="false" customHeight="false" outlineLevel="0" collapsed="false">
      <c r="B3358" s="19" t="s">
        <v>11618</v>
      </c>
      <c r="C3358" s="20" t="n">
        <f aca="false">ROUND(1.95/FX,2)</f>
        <v>0.27</v>
      </c>
      <c r="D3358" s="21" t="s">
        <v>11619</v>
      </c>
      <c r="E3358" s="21" t="s">
        <v>6336</v>
      </c>
    </row>
    <row r="3361" customFormat="false" ht="61.5" hidden="false" customHeight="true" outlineLevel="0" collapsed="false">
      <c r="A3361" s="9"/>
      <c r="B3361" s="10" t="s">
        <v>11620</v>
      </c>
      <c r="C3361" s="10"/>
      <c r="D3361" s="10"/>
      <c r="E3361" s="10"/>
      <c r="F3361" s="10"/>
    </row>
    <row r="3362" customFormat="false" ht="15" hidden="false" customHeight="false" outlineLevel="0" collapsed="false">
      <c r="A3362" s="12" t="s">
        <v>700</v>
      </c>
      <c r="B3362" s="13" t="s">
        <v>701</v>
      </c>
      <c r="C3362" s="13" t="s">
        <v>702</v>
      </c>
      <c r="D3362" s="13" t="s">
        <v>723</v>
      </c>
      <c r="E3362" s="13" t="s">
        <v>6523</v>
      </c>
      <c r="F3362" s="13" t="s">
        <v>7711</v>
      </c>
    </row>
    <row r="3363" customFormat="false" ht="30" hidden="false" customHeight="true" outlineLevel="0" collapsed="false">
      <c r="A3363" s="14" t="s">
        <v>706</v>
      </c>
      <c r="B3363" s="15" t="str">
        <f aca="false">IF(COUNTIFS($D$3366:$D$3457,IF(D3363="","*",D3363),$E$3366:$E$3457,IF(E3363="","*",E3363),$F$3366:$F$3457,IF(F3363="","*",F3363))=1,INDEX($B:$B,SUMPRODUCT(((D3363="")+($D$3366:$D$3457=D3363)&gt;0)*((E3363="")+($E$3366:$E$3457=E3363)&gt;0)*((F3363="")+($F$3366:$F$3457=F3363)&gt;0)*ROW($B$3366:$B$3457))),IF(COUNTIFS($D$3366:$D$3457,IF(D3363="","*",D3363),$E$3366:$E$3457,IF(E3363="","*",E3363),$F$3366:$F$3457,IF(F3363="","*",F3363))=0,"Not available",COUNTIFS($D$3366:$D$3457,IF(D3363="","*",D3363),$E$3366:$E$3457,IF(E3363="","*",E3363),$F$3366:$F$3457,IF(F3363="","*",F3363))&amp;" match, keep choosing"))</f>
        <v>BRC-D14L22-3.175x3.175-BR</v>
      </c>
      <c r="C3363" s="16" t="n">
        <f aca="false">IF(COUNTIFS($D$3366:$D$3457,IF(D3363="","*",D3363),$E$3366:$E$3457,IF(E3363="","*",E3363),$F$3366:$F$3457,IF(F3363="","*",F3363))=1,INDEX($C:$C,SUMPRODUCT(((D3363="")+($D$3366:$D$3457=D3363)&gt;0)*((E3363="")+($E$3366:$E$3457=E3363)&gt;0)*((F3363="")+($F$3366:$F$3457=F3363)&gt;0)*ROW($B$3366:$B$3457))),"")</f>
        <v>0.51</v>
      </c>
      <c r="D3363" s="17" t="s">
        <v>734</v>
      </c>
      <c r="E3363" s="17" t="s">
        <v>9823</v>
      </c>
      <c r="F3363" s="17" t="s">
        <v>8188</v>
      </c>
    </row>
    <row r="3365" customFormat="false" ht="15" hidden="false" customHeight="false" outlineLevel="0" collapsed="false">
      <c r="B3365" s="18" t="s">
        <v>701</v>
      </c>
      <c r="C3365" s="18" t="s">
        <v>702</v>
      </c>
      <c r="D3365" s="18" t="s">
        <v>723</v>
      </c>
      <c r="E3365" s="18" t="s">
        <v>6523</v>
      </c>
      <c r="F3365" s="18" t="s">
        <v>7711</v>
      </c>
    </row>
    <row r="3366" customFormat="false" ht="15" hidden="false" customHeight="false" outlineLevel="0" collapsed="false">
      <c r="B3366" s="19" t="s">
        <v>11621</v>
      </c>
      <c r="C3366" s="20" t="n">
        <f aca="false">ROUND(3.64/FX,2)</f>
        <v>0.51</v>
      </c>
      <c r="D3366" s="21" t="s">
        <v>734</v>
      </c>
      <c r="E3366" s="21" t="s">
        <v>9823</v>
      </c>
      <c r="F3366" s="21" t="s">
        <v>8188</v>
      </c>
    </row>
    <row r="3367" customFormat="false" ht="15" hidden="false" customHeight="false" outlineLevel="0" collapsed="false">
      <c r="B3367" s="19" t="s">
        <v>11622</v>
      </c>
      <c r="C3367" s="20" t="n">
        <f aca="false">ROUND(3.64/FX,2)</f>
        <v>0.51</v>
      </c>
      <c r="D3367" s="21" t="s">
        <v>734</v>
      </c>
      <c r="E3367" s="21" t="s">
        <v>9823</v>
      </c>
      <c r="F3367" s="21" t="s">
        <v>7827</v>
      </c>
    </row>
    <row r="3368" customFormat="false" ht="15" hidden="false" customHeight="false" outlineLevel="0" collapsed="false">
      <c r="B3368" s="19" t="s">
        <v>11623</v>
      </c>
      <c r="C3368" s="20" t="n">
        <f aca="false">ROUND(3.64/FX,2)</f>
        <v>0.51</v>
      </c>
      <c r="D3368" s="21" t="s">
        <v>734</v>
      </c>
      <c r="E3368" s="21" t="s">
        <v>9823</v>
      </c>
      <c r="F3368" s="21" t="s">
        <v>7853</v>
      </c>
    </row>
    <row r="3369" customFormat="false" ht="15" hidden="false" customHeight="false" outlineLevel="0" collapsed="false">
      <c r="B3369" s="19" t="s">
        <v>11624</v>
      </c>
      <c r="C3369" s="20" t="n">
        <f aca="false">ROUND(3.64/FX,2)</f>
        <v>0.51</v>
      </c>
      <c r="D3369" s="21" t="s">
        <v>734</v>
      </c>
      <c r="E3369" s="21" t="s">
        <v>9823</v>
      </c>
      <c r="F3369" s="21" t="s">
        <v>7869</v>
      </c>
    </row>
    <row r="3370" customFormat="false" ht="15" hidden="false" customHeight="false" outlineLevel="0" collapsed="false">
      <c r="B3370" s="19" t="s">
        <v>11625</v>
      </c>
      <c r="C3370" s="20" t="n">
        <f aca="false">ROUND(3.64/FX,2)</f>
        <v>0.51</v>
      </c>
      <c r="D3370" s="21" t="s">
        <v>734</v>
      </c>
      <c r="E3370" s="21" t="s">
        <v>9823</v>
      </c>
      <c r="F3370" s="21" t="s">
        <v>7829</v>
      </c>
    </row>
    <row r="3371" customFormat="false" ht="15" hidden="false" customHeight="false" outlineLevel="0" collapsed="false">
      <c r="B3371" s="19" t="s">
        <v>11626</v>
      </c>
      <c r="C3371" s="20" t="n">
        <f aca="false">ROUND(3.64/FX,2)</f>
        <v>0.51</v>
      </c>
      <c r="D3371" s="21" t="s">
        <v>734</v>
      </c>
      <c r="E3371" s="21" t="s">
        <v>9823</v>
      </c>
      <c r="F3371" s="21" t="s">
        <v>7831</v>
      </c>
    </row>
    <row r="3372" customFormat="false" ht="15" hidden="false" customHeight="false" outlineLevel="0" collapsed="false">
      <c r="B3372" s="19" t="s">
        <v>11627</v>
      </c>
      <c r="C3372" s="20" t="n">
        <f aca="false">ROUND(3.64/FX,2)</f>
        <v>0.51</v>
      </c>
      <c r="D3372" s="21" t="s">
        <v>734</v>
      </c>
      <c r="E3372" s="21" t="s">
        <v>9823</v>
      </c>
      <c r="F3372" s="21" t="s">
        <v>7833</v>
      </c>
    </row>
    <row r="3373" customFormat="false" ht="15" hidden="false" customHeight="false" outlineLevel="0" collapsed="false">
      <c r="B3373" s="19" t="s">
        <v>11628</v>
      </c>
      <c r="C3373" s="20" t="n">
        <f aca="false">ROUND(3.64/FX,2)</f>
        <v>0.51</v>
      </c>
      <c r="D3373" s="21" t="s">
        <v>734</v>
      </c>
      <c r="E3373" s="21" t="s">
        <v>9823</v>
      </c>
      <c r="F3373" s="21" t="s">
        <v>7893</v>
      </c>
    </row>
    <row r="3374" customFormat="false" ht="15" hidden="false" customHeight="false" outlineLevel="0" collapsed="false">
      <c r="B3374" s="19" t="s">
        <v>11629</v>
      </c>
      <c r="C3374" s="20" t="n">
        <f aca="false">ROUND(3.64/FX,2)</f>
        <v>0.51</v>
      </c>
      <c r="D3374" s="21" t="s">
        <v>734</v>
      </c>
      <c r="E3374" s="21" t="s">
        <v>9823</v>
      </c>
      <c r="F3374" s="21" t="s">
        <v>7862</v>
      </c>
    </row>
    <row r="3375" customFormat="false" ht="15" hidden="false" customHeight="false" outlineLevel="0" collapsed="false">
      <c r="B3375" s="19" t="s">
        <v>11630</v>
      </c>
      <c r="C3375" s="20" t="n">
        <f aca="false">ROUND(3.64/FX,2)</f>
        <v>0.51</v>
      </c>
      <c r="D3375" s="21" t="s">
        <v>734</v>
      </c>
      <c r="E3375" s="21" t="s">
        <v>9823</v>
      </c>
      <c r="F3375" s="21" t="s">
        <v>7872</v>
      </c>
    </row>
    <row r="3376" customFormat="false" ht="15" hidden="false" customHeight="false" outlineLevel="0" collapsed="false">
      <c r="B3376" s="19" t="s">
        <v>11631</v>
      </c>
      <c r="C3376" s="20" t="n">
        <f aca="false">ROUND(3.64/FX,2)</f>
        <v>0.51</v>
      </c>
      <c r="D3376" s="21" t="s">
        <v>734</v>
      </c>
      <c r="E3376" s="21" t="s">
        <v>9823</v>
      </c>
      <c r="F3376" s="21" t="s">
        <v>7968</v>
      </c>
    </row>
    <row r="3377" customFormat="false" ht="15" hidden="false" customHeight="false" outlineLevel="0" collapsed="false">
      <c r="B3377" s="19" t="s">
        <v>11632</v>
      </c>
      <c r="C3377" s="20" t="n">
        <f aca="false">ROUND(3.64/FX,2)</f>
        <v>0.51</v>
      </c>
      <c r="D3377" s="21" t="s">
        <v>734</v>
      </c>
      <c r="E3377" s="21" t="s">
        <v>9823</v>
      </c>
      <c r="F3377" s="21" t="s">
        <v>8379</v>
      </c>
    </row>
    <row r="3378" customFormat="false" ht="15" hidden="false" customHeight="false" outlineLevel="0" collapsed="false">
      <c r="B3378" s="19" t="s">
        <v>11633</v>
      </c>
      <c r="C3378" s="20" t="n">
        <f aca="false">ROUND(3.64/FX,2)</f>
        <v>0.51</v>
      </c>
      <c r="D3378" s="21" t="s">
        <v>734</v>
      </c>
      <c r="E3378" s="21" t="s">
        <v>9823</v>
      </c>
      <c r="F3378" s="21" t="s">
        <v>7866</v>
      </c>
    </row>
    <row r="3379" customFormat="false" ht="15" hidden="false" customHeight="false" outlineLevel="0" collapsed="false">
      <c r="B3379" s="19" t="s">
        <v>11634</v>
      </c>
      <c r="C3379" s="20" t="n">
        <f aca="false">ROUND(5.41/FX,2)</f>
        <v>0.75</v>
      </c>
      <c r="D3379" s="21" t="s">
        <v>10287</v>
      </c>
      <c r="E3379" s="21" t="s">
        <v>10516</v>
      </c>
      <c r="F3379" s="21" t="s">
        <v>7875</v>
      </c>
    </row>
    <row r="3380" customFormat="false" ht="15" hidden="false" customHeight="false" outlineLevel="0" collapsed="false">
      <c r="B3380" s="19" t="s">
        <v>11635</v>
      </c>
      <c r="C3380" s="20" t="n">
        <f aca="false">ROUND(5.41/FX,2)</f>
        <v>0.75</v>
      </c>
      <c r="D3380" s="21" t="s">
        <v>10287</v>
      </c>
      <c r="E3380" s="21" t="s">
        <v>10516</v>
      </c>
      <c r="F3380" s="21" t="s">
        <v>7881</v>
      </c>
    </row>
    <row r="3381" customFormat="false" ht="15" hidden="false" customHeight="false" outlineLevel="0" collapsed="false">
      <c r="B3381" s="19" t="s">
        <v>11636</v>
      </c>
      <c r="C3381" s="20" t="n">
        <f aca="false">ROUND(5.41/FX,2)</f>
        <v>0.75</v>
      </c>
      <c r="D3381" s="21" t="s">
        <v>10590</v>
      </c>
      <c r="E3381" s="21" t="s">
        <v>10516</v>
      </c>
      <c r="F3381" s="21" t="s">
        <v>7829</v>
      </c>
    </row>
    <row r="3382" customFormat="false" ht="15" hidden="false" customHeight="false" outlineLevel="0" collapsed="false">
      <c r="B3382" s="19" t="s">
        <v>11637</v>
      </c>
      <c r="C3382" s="20" t="n">
        <f aca="false">ROUND(5.41/FX,2)</f>
        <v>0.75</v>
      </c>
      <c r="D3382" s="21" t="s">
        <v>10287</v>
      </c>
      <c r="E3382" s="21" t="s">
        <v>10516</v>
      </c>
      <c r="F3382" s="21" t="s">
        <v>7829</v>
      </c>
    </row>
    <row r="3383" customFormat="false" ht="15" hidden="false" customHeight="false" outlineLevel="0" collapsed="false">
      <c r="B3383" s="19" t="s">
        <v>11638</v>
      </c>
      <c r="C3383" s="20" t="n">
        <f aca="false">ROUND(5.41/FX,2)</f>
        <v>0.75</v>
      </c>
      <c r="D3383" s="21" t="s">
        <v>10590</v>
      </c>
      <c r="E3383" s="21" t="s">
        <v>10516</v>
      </c>
      <c r="F3383" s="21" t="s">
        <v>7946</v>
      </c>
    </row>
    <row r="3384" customFormat="false" ht="15" hidden="false" customHeight="false" outlineLevel="0" collapsed="false">
      <c r="B3384" s="19" t="s">
        <v>11639</v>
      </c>
      <c r="C3384" s="20" t="n">
        <f aca="false">ROUND(5.41/FX,2)</f>
        <v>0.75</v>
      </c>
      <c r="D3384" s="21" t="s">
        <v>10590</v>
      </c>
      <c r="E3384" s="21" t="s">
        <v>10516</v>
      </c>
      <c r="F3384" s="21" t="s">
        <v>7833</v>
      </c>
    </row>
    <row r="3385" customFormat="false" ht="15" hidden="false" customHeight="false" outlineLevel="0" collapsed="false">
      <c r="B3385" s="19" t="s">
        <v>11640</v>
      </c>
      <c r="C3385" s="20" t="n">
        <f aca="false">ROUND(5.41/FX,2)</f>
        <v>0.75</v>
      </c>
      <c r="D3385" s="21" t="s">
        <v>10287</v>
      </c>
      <c r="E3385" s="21" t="s">
        <v>10516</v>
      </c>
      <c r="F3385" s="21" t="s">
        <v>7893</v>
      </c>
    </row>
    <row r="3386" customFormat="false" ht="15" hidden="false" customHeight="false" outlineLevel="0" collapsed="false">
      <c r="B3386" s="19" t="s">
        <v>11641</v>
      </c>
      <c r="C3386" s="20" t="n">
        <f aca="false">ROUND(5.41/FX,2)</f>
        <v>0.75</v>
      </c>
      <c r="D3386" s="21" t="s">
        <v>10287</v>
      </c>
      <c r="E3386" s="21" t="s">
        <v>10516</v>
      </c>
      <c r="F3386" s="21" t="s">
        <v>7895</v>
      </c>
    </row>
    <row r="3387" customFormat="false" ht="15" hidden="false" customHeight="false" outlineLevel="0" collapsed="false">
      <c r="B3387" s="19" t="s">
        <v>11642</v>
      </c>
      <c r="C3387" s="20" t="n">
        <f aca="false">ROUND(5.41/FX,2)</f>
        <v>0.75</v>
      </c>
      <c r="D3387" s="21" t="s">
        <v>10287</v>
      </c>
      <c r="E3387" s="21" t="s">
        <v>10516</v>
      </c>
      <c r="F3387" s="21" t="s">
        <v>7862</v>
      </c>
    </row>
    <row r="3388" customFormat="false" ht="15" hidden="false" customHeight="false" outlineLevel="0" collapsed="false">
      <c r="B3388" s="19" t="s">
        <v>11643</v>
      </c>
      <c r="C3388" s="20" t="n">
        <f aca="false">ROUND(5.41/FX,2)</f>
        <v>0.75</v>
      </c>
      <c r="D3388" s="21" t="s">
        <v>10590</v>
      </c>
      <c r="E3388" s="21" t="s">
        <v>10516</v>
      </c>
      <c r="F3388" s="21" t="s">
        <v>7872</v>
      </c>
    </row>
    <row r="3389" customFormat="false" ht="15" hidden="false" customHeight="false" outlineLevel="0" collapsed="false">
      <c r="B3389" s="19" t="s">
        <v>11644</v>
      </c>
      <c r="C3389" s="20" t="n">
        <f aca="false">ROUND(4.73/FX,2)</f>
        <v>0.66</v>
      </c>
      <c r="D3389" s="21" t="s">
        <v>10287</v>
      </c>
      <c r="E3389" s="21" t="s">
        <v>10516</v>
      </c>
      <c r="F3389" s="21" t="s">
        <v>7872</v>
      </c>
    </row>
    <row r="3390" customFormat="false" ht="15" hidden="false" customHeight="false" outlineLevel="0" collapsed="false">
      <c r="B3390" s="19" t="s">
        <v>11645</v>
      </c>
      <c r="C3390" s="20" t="n">
        <f aca="false">ROUND(5.41/FX,2)</f>
        <v>0.75</v>
      </c>
      <c r="D3390" s="21" t="s">
        <v>10287</v>
      </c>
      <c r="E3390" s="21" t="s">
        <v>10516</v>
      </c>
      <c r="F3390" s="21" t="s">
        <v>7968</v>
      </c>
    </row>
    <row r="3391" customFormat="false" ht="15" hidden="false" customHeight="false" outlineLevel="0" collapsed="false">
      <c r="B3391" s="19" t="s">
        <v>11646</v>
      </c>
      <c r="C3391" s="20" t="n">
        <f aca="false">ROUND(5.41/FX,2)</f>
        <v>0.75</v>
      </c>
      <c r="D3391" s="21" t="s">
        <v>10287</v>
      </c>
      <c r="E3391" s="21" t="s">
        <v>10516</v>
      </c>
      <c r="F3391" s="21" t="s">
        <v>8379</v>
      </c>
    </row>
    <row r="3392" customFormat="false" ht="15" hidden="false" customHeight="false" outlineLevel="0" collapsed="false">
      <c r="B3392" s="19" t="s">
        <v>11647</v>
      </c>
      <c r="C3392" s="20" t="n">
        <f aca="false">ROUND(5.41/FX,2)</f>
        <v>0.75</v>
      </c>
      <c r="D3392" s="21" t="s">
        <v>10590</v>
      </c>
      <c r="E3392" s="21" t="s">
        <v>10516</v>
      </c>
      <c r="F3392" s="21" t="s">
        <v>7899</v>
      </c>
    </row>
    <row r="3393" customFormat="false" ht="15" hidden="false" customHeight="false" outlineLevel="0" collapsed="false">
      <c r="B3393" s="19" t="s">
        <v>11648</v>
      </c>
      <c r="C3393" s="20" t="n">
        <f aca="false">ROUND(5.41/FX,2)</f>
        <v>0.75</v>
      </c>
      <c r="D3393" s="21" t="s">
        <v>10287</v>
      </c>
      <c r="E3393" s="21" t="s">
        <v>10516</v>
      </c>
      <c r="F3393" s="21" t="s">
        <v>7899</v>
      </c>
    </row>
    <row r="3394" customFormat="false" ht="15" hidden="false" customHeight="false" outlineLevel="0" collapsed="false">
      <c r="B3394" s="19" t="s">
        <v>11649</v>
      </c>
      <c r="C3394" s="20" t="n">
        <f aca="false">ROUND(5.2/FX,2)</f>
        <v>0.72</v>
      </c>
      <c r="D3394" s="21" t="s">
        <v>734</v>
      </c>
      <c r="E3394" s="21" t="s">
        <v>10586</v>
      </c>
      <c r="F3394" s="21" t="s">
        <v>7999</v>
      </c>
    </row>
    <row r="3395" customFormat="false" ht="15" hidden="false" customHeight="false" outlineLevel="0" collapsed="false">
      <c r="B3395" s="19" t="s">
        <v>11650</v>
      </c>
      <c r="C3395" s="20" t="n">
        <f aca="false">ROUND(5.2/FX,2)</f>
        <v>0.72</v>
      </c>
      <c r="D3395" s="21" t="s">
        <v>734</v>
      </c>
      <c r="E3395" s="21" t="s">
        <v>10586</v>
      </c>
      <c r="F3395" s="21" t="s">
        <v>7985</v>
      </c>
    </row>
    <row r="3396" customFormat="false" ht="15" hidden="false" customHeight="false" outlineLevel="0" collapsed="false">
      <c r="B3396" s="19" t="s">
        <v>11651</v>
      </c>
      <c r="C3396" s="20" t="n">
        <f aca="false">ROUND(5.2/FX,2)</f>
        <v>0.72</v>
      </c>
      <c r="D3396" s="21" t="s">
        <v>734</v>
      </c>
      <c r="E3396" s="21" t="s">
        <v>10586</v>
      </c>
      <c r="F3396" s="21" t="s">
        <v>7994</v>
      </c>
    </row>
    <row r="3397" customFormat="false" ht="15" hidden="false" customHeight="false" outlineLevel="0" collapsed="false">
      <c r="B3397" s="19" t="s">
        <v>11652</v>
      </c>
      <c r="C3397" s="20" t="n">
        <f aca="false">ROUND(5.85/FX,2)</f>
        <v>0.81</v>
      </c>
      <c r="D3397" s="21" t="s">
        <v>734</v>
      </c>
      <c r="E3397" s="21" t="s">
        <v>7902</v>
      </c>
      <c r="F3397" s="21" t="s">
        <v>7999</v>
      </c>
    </row>
    <row r="3398" customFormat="false" ht="15" hidden="false" customHeight="false" outlineLevel="0" collapsed="false">
      <c r="B3398" s="19" t="s">
        <v>11653</v>
      </c>
      <c r="C3398" s="20" t="n">
        <f aca="false">ROUND(5.85/FX,2)</f>
        <v>0.81</v>
      </c>
      <c r="D3398" s="21" t="s">
        <v>734</v>
      </c>
      <c r="E3398" s="21" t="s">
        <v>7902</v>
      </c>
      <c r="F3398" s="21" t="s">
        <v>7985</v>
      </c>
    </row>
    <row r="3399" customFormat="false" ht="15" hidden="false" customHeight="false" outlineLevel="0" collapsed="false">
      <c r="B3399" s="19" t="s">
        <v>11654</v>
      </c>
      <c r="C3399" s="20" t="n">
        <f aca="false">ROUND(5.85/FX,2)</f>
        <v>0.81</v>
      </c>
      <c r="D3399" s="21" t="s">
        <v>734</v>
      </c>
      <c r="E3399" s="21" t="s">
        <v>7902</v>
      </c>
      <c r="F3399" s="21" t="s">
        <v>8035</v>
      </c>
    </row>
    <row r="3400" customFormat="false" ht="15" hidden="false" customHeight="false" outlineLevel="0" collapsed="false">
      <c r="B3400" s="19" t="s">
        <v>11655</v>
      </c>
      <c r="C3400" s="20" t="n">
        <f aca="false">ROUND(6.37/FX,2)</f>
        <v>0.88</v>
      </c>
      <c r="D3400" s="21" t="s">
        <v>10269</v>
      </c>
      <c r="E3400" s="21" t="s">
        <v>7902</v>
      </c>
      <c r="F3400" s="21" t="s">
        <v>7994</v>
      </c>
    </row>
    <row r="3401" customFormat="false" ht="15" hidden="false" customHeight="false" outlineLevel="0" collapsed="false">
      <c r="B3401" s="19" t="s">
        <v>11656</v>
      </c>
      <c r="C3401" s="20" t="n">
        <f aca="false">ROUND(6.53/FX,2)</f>
        <v>0.91</v>
      </c>
      <c r="D3401" s="21" t="s">
        <v>10272</v>
      </c>
      <c r="E3401" s="21" t="s">
        <v>7902</v>
      </c>
      <c r="F3401" s="21" t="s">
        <v>7994</v>
      </c>
    </row>
    <row r="3402" customFormat="false" ht="15" hidden="false" customHeight="false" outlineLevel="0" collapsed="false">
      <c r="B3402" s="19" t="s">
        <v>11657</v>
      </c>
      <c r="C3402" s="20" t="n">
        <f aca="false">ROUND(6.43/FX,2)</f>
        <v>0.89</v>
      </c>
      <c r="D3402" s="21" t="s">
        <v>10274</v>
      </c>
      <c r="E3402" s="21" t="s">
        <v>7902</v>
      </c>
      <c r="F3402" s="21" t="s">
        <v>7994</v>
      </c>
    </row>
    <row r="3403" customFormat="false" ht="15" hidden="false" customHeight="false" outlineLevel="0" collapsed="false">
      <c r="B3403" s="19" t="s">
        <v>11658</v>
      </c>
      <c r="C3403" s="20" t="n">
        <f aca="false">ROUND(1.66/FX,2)</f>
        <v>0.23</v>
      </c>
      <c r="D3403" s="21" t="s">
        <v>10272</v>
      </c>
      <c r="E3403" s="21" t="s">
        <v>11659</v>
      </c>
      <c r="F3403" s="21" t="s">
        <v>10156</v>
      </c>
    </row>
    <row r="3404" customFormat="false" ht="15" hidden="false" customHeight="false" outlineLevel="0" collapsed="false">
      <c r="B3404" s="19" t="s">
        <v>11660</v>
      </c>
      <c r="C3404" s="20" t="n">
        <f aca="false">ROUND(1.56/FX,2)</f>
        <v>0.22</v>
      </c>
      <c r="D3404" s="21" t="s">
        <v>10274</v>
      </c>
      <c r="E3404" s="21" t="s">
        <v>11659</v>
      </c>
      <c r="F3404" s="21" t="s">
        <v>10156</v>
      </c>
    </row>
    <row r="3405" customFormat="false" ht="15" hidden="false" customHeight="false" outlineLevel="0" collapsed="false">
      <c r="B3405" s="19" t="s">
        <v>11661</v>
      </c>
      <c r="C3405" s="20" t="n">
        <f aca="false">ROUND(1.66/FX,2)</f>
        <v>0.23</v>
      </c>
      <c r="D3405" s="21" t="s">
        <v>10272</v>
      </c>
      <c r="E3405" s="21" t="s">
        <v>11659</v>
      </c>
      <c r="F3405" s="21" t="s">
        <v>10159</v>
      </c>
    </row>
    <row r="3406" customFormat="false" ht="15" hidden="false" customHeight="false" outlineLevel="0" collapsed="false">
      <c r="B3406" s="19" t="s">
        <v>11662</v>
      </c>
      <c r="C3406" s="20" t="n">
        <f aca="false">ROUND(1.56/FX,2)</f>
        <v>0.22</v>
      </c>
      <c r="D3406" s="21" t="s">
        <v>10274</v>
      </c>
      <c r="E3406" s="21" t="s">
        <v>11659</v>
      </c>
      <c r="F3406" s="21" t="s">
        <v>10159</v>
      </c>
    </row>
    <row r="3407" customFormat="false" ht="15" hidden="false" customHeight="false" outlineLevel="0" collapsed="false">
      <c r="B3407" s="19" t="s">
        <v>11663</v>
      </c>
      <c r="C3407" s="20" t="n">
        <f aca="false">ROUND(1.66/FX,2)</f>
        <v>0.23</v>
      </c>
      <c r="D3407" s="21" t="s">
        <v>10272</v>
      </c>
      <c r="E3407" s="21" t="s">
        <v>11659</v>
      </c>
      <c r="F3407" s="21" t="s">
        <v>10213</v>
      </c>
    </row>
    <row r="3408" customFormat="false" ht="15" hidden="false" customHeight="false" outlineLevel="0" collapsed="false">
      <c r="B3408" s="19" t="s">
        <v>11664</v>
      </c>
      <c r="C3408" s="20" t="n">
        <f aca="false">ROUND(1.56/FX,2)</f>
        <v>0.22</v>
      </c>
      <c r="D3408" s="21" t="s">
        <v>10274</v>
      </c>
      <c r="E3408" s="21" t="s">
        <v>11659</v>
      </c>
      <c r="F3408" s="21" t="s">
        <v>10213</v>
      </c>
    </row>
    <row r="3409" customFormat="false" ht="15" hidden="false" customHeight="false" outlineLevel="0" collapsed="false">
      <c r="B3409" s="19" t="s">
        <v>11665</v>
      </c>
      <c r="C3409" s="20" t="n">
        <f aca="false">ROUND(1.66/FX,2)</f>
        <v>0.23</v>
      </c>
      <c r="D3409" s="21" t="s">
        <v>10272</v>
      </c>
      <c r="E3409" s="21" t="s">
        <v>11659</v>
      </c>
      <c r="F3409" s="21" t="s">
        <v>10161</v>
      </c>
    </row>
    <row r="3410" customFormat="false" ht="15" hidden="false" customHeight="false" outlineLevel="0" collapsed="false">
      <c r="B3410" s="19" t="s">
        <v>11666</v>
      </c>
      <c r="C3410" s="20" t="n">
        <f aca="false">ROUND(1.56/FX,2)</f>
        <v>0.22</v>
      </c>
      <c r="D3410" s="21" t="s">
        <v>10274</v>
      </c>
      <c r="E3410" s="21" t="s">
        <v>11659</v>
      </c>
      <c r="F3410" s="21" t="s">
        <v>10161</v>
      </c>
    </row>
    <row r="3411" customFormat="false" ht="15" hidden="false" customHeight="false" outlineLevel="0" collapsed="false">
      <c r="B3411" s="19" t="s">
        <v>11667</v>
      </c>
      <c r="C3411" s="20" t="n">
        <f aca="false">ROUND(1.66/FX,2)</f>
        <v>0.23</v>
      </c>
      <c r="D3411" s="21" t="s">
        <v>10272</v>
      </c>
      <c r="E3411" s="21" t="s">
        <v>11659</v>
      </c>
      <c r="F3411" s="21" t="s">
        <v>10218</v>
      </c>
    </row>
    <row r="3412" customFormat="false" ht="15" hidden="false" customHeight="false" outlineLevel="0" collapsed="false">
      <c r="B3412" s="19" t="s">
        <v>11668</v>
      </c>
      <c r="C3412" s="20" t="n">
        <f aca="false">ROUND(1.56/FX,2)</f>
        <v>0.22</v>
      </c>
      <c r="D3412" s="21" t="s">
        <v>10274</v>
      </c>
      <c r="E3412" s="21" t="s">
        <v>11659</v>
      </c>
      <c r="F3412" s="21" t="s">
        <v>10218</v>
      </c>
    </row>
    <row r="3413" customFormat="false" ht="15" hidden="false" customHeight="false" outlineLevel="0" collapsed="false">
      <c r="B3413" s="19" t="s">
        <v>11669</v>
      </c>
      <c r="C3413" s="20" t="n">
        <f aca="false">ROUND(1.66/FX,2)</f>
        <v>0.23</v>
      </c>
      <c r="D3413" s="21" t="s">
        <v>10272</v>
      </c>
      <c r="E3413" s="21" t="s">
        <v>11659</v>
      </c>
      <c r="F3413" s="21" t="s">
        <v>10221</v>
      </c>
    </row>
    <row r="3414" customFormat="false" ht="15" hidden="false" customHeight="false" outlineLevel="0" collapsed="false">
      <c r="B3414" s="19" t="s">
        <v>11670</v>
      </c>
      <c r="C3414" s="20" t="n">
        <f aca="false">ROUND(1.56/FX,2)</f>
        <v>0.22</v>
      </c>
      <c r="D3414" s="21" t="s">
        <v>10274</v>
      </c>
      <c r="E3414" s="21" t="s">
        <v>11659</v>
      </c>
      <c r="F3414" s="21" t="s">
        <v>10221</v>
      </c>
    </row>
    <row r="3415" customFormat="false" ht="15" hidden="false" customHeight="false" outlineLevel="0" collapsed="false">
      <c r="B3415" s="19" t="s">
        <v>11671</v>
      </c>
      <c r="C3415" s="20" t="n">
        <f aca="false">ROUND(5.34/FX,2)</f>
        <v>0.74</v>
      </c>
      <c r="D3415" s="21" t="s">
        <v>11672</v>
      </c>
      <c r="E3415" s="21" t="s">
        <v>11659</v>
      </c>
      <c r="F3415" s="21" t="s">
        <v>7824</v>
      </c>
    </row>
    <row r="3416" customFormat="false" ht="15" hidden="false" customHeight="false" outlineLevel="0" collapsed="false">
      <c r="B3416" s="19" t="s">
        <v>11673</v>
      </c>
      <c r="C3416" s="20" t="n">
        <f aca="false">ROUND(1.4/FX,2)</f>
        <v>0.19</v>
      </c>
      <c r="D3416" s="21" t="s">
        <v>10272</v>
      </c>
      <c r="E3416" s="21" t="s">
        <v>11659</v>
      </c>
      <c r="F3416" s="21" t="s">
        <v>7824</v>
      </c>
    </row>
    <row r="3417" customFormat="false" ht="15" hidden="false" customHeight="false" outlineLevel="0" collapsed="false">
      <c r="B3417" s="19" t="s">
        <v>11674</v>
      </c>
      <c r="C3417" s="20" t="n">
        <f aca="false">ROUND(1.3/FX,2)</f>
        <v>0.18</v>
      </c>
      <c r="D3417" s="21" t="s">
        <v>10274</v>
      </c>
      <c r="E3417" s="21" t="s">
        <v>11659</v>
      </c>
      <c r="F3417" s="21" t="s">
        <v>7824</v>
      </c>
    </row>
    <row r="3418" customFormat="false" ht="15" hidden="false" customHeight="false" outlineLevel="0" collapsed="false">
      <c r="B3418" s="19" t="s">
        <v>11675</v>
      </c>
      <c r="C3418" s="20" t="n">
        <f aca="false">ROUND(1.66/FX,2)</f>
        <v>0.23</v>
      </c>
      <c r="D3418" s="21" t="s">
        <v>10272</v>
      </c>
      <c r="E3418" s="21" t="s">
        <v>11659</v>
      </c>
      <c r="F3418" s="21" t="s">
        <v>10164</v>
      </c>
    </row>
    <row r="3419" customFormat="false" ht="15" hidden="false" customHeight="false" outlineLevel="0" collapsed="false">
      <c r="B3419" s="19" t="s">
        <v>11676</v>
      </c>
      <c r="C3419" s="20" t="n">
        <f aca="false">ROUND(1.56/FX,2)</f>
        <v>0.22</v>
      </c>
      <c r="D3419" s="21" t="s">
        <v>10274</v>
      </c>
      <c r="E3419" s="21" t="s">
        <v>11659</v>
      </c>
      <c r="F3419" s="21" t="s">
        <v>10164</v>
      </c>
    </row>
    <row r="3420" customFormat="false" ht="15" hidden="false" customHeight="false" outlineLevel="0" collapsed="false">
      <c r="B3420" s="19" t="s">
        <v>11677</v>
      </c>
      <c r="C3420" s="20" t="n">
        <f aca="false">ROUND(1.66/FX,2)</f>
        <v>0.23</v>
      </c>
      <c r="D3420" s="21" t="s">
        <v>10272</v>
      </c>
      <c r="E3420" s="21" t="s">
        <v>11659</v>
      </c>
      <c r="F3420" s="21" t="s">
        <v>7904</v>
      </c>
    </row>
    <row r="3421" customFormat="false" ht="15" hidden="false" customHeight="false" outlineLevel="0" collapsed="false">
      <c r="B3421" s="19" t="s">
        <v>11678</v>
      </c>
      <c r="C3421" s="20" t="n">
        <f aca="false">ROUND(1.56/FX,2)</f>
        <v>0.22</v>
      </c>
      <c r="D3421" s="21" t="s">
        <v>10274</v>
      </c>
      <c r="E3421" s="21" t="s">
        <v>11659</v>
      </c>
      <c r="F3421" s="21" t="s">
        <v>7904</v>
      </c>
    </row>
    <row r="3422" customFormat="false" ht="15" hidden="false" customHeight="false" outlineLevel="0" collapsed="false">
      <c r="B3422" s="19" t="s">
        <v>11679</v>
      </c>
      <c r="C3422" s="20" t="n">
        <f aca="false">ROUND(1.66/FX,2)</f>
        <v>0.23</v>
      </c>
      <c r="D3422" s="21" t="s">
        <v>10272</v>
      </c>
      <c r="E3422" s="21" t="s">
        <v>11659</v>
      </c>
      <c r="F3422" s="21" t="s">
        <v>10230</v>
      </c>
    </row>
    <row r="3423" customFormat="false" ht="15" hidden="false" customHeight="false" outlineLevel="0" collapsed="false">
      <c r="B3423" s="19" t="s">
        <v>11680</v>
      </c>
      <c r="C3423" s="20" t="n">
        <f aca="false">ROUND(1.56/FX,2)</f>
        <v>0.22</v>
      </c>
      <c r="D3423" s="21" t="s">
        <v>10274</v>
      </c>
      <c r="E3423" s="21" t="s">
        <v>11659</v>
      </c>
      <c r="F3423" s="21" t="s">
        <v>10230</v>
      </c>
    </row>
    <row r="3424" customFormat="false" ht="15" hidden="false" customHeight="false" outlineLevel="0" collapsed="false">
      <c r="B3424" s="19" t="s">
        <v>11681</v>
      </c>
      <c r="C3424" s="20" t="n">
        <f aca="false">ROUND(1.66/FX,2)</f>
        <v>0.23</v>
      </c>
      <c r="D3424" s="21" t="s">
        <v>10272</v>
      </c>
      <c r="E3424" s="21" t="s">
        <v>11659</v>
      </c>
      <c r="F3424" s="21" t="s">
        <v>7837</v>
      </c>
    </row>
    <row r="3425" customFormat="false" ht="15" hidden="false" customHeight="false" outlineLevel="0" collapsed="false">
      <c r="B3425" s="19" t="s">
        <v>11682</v>
      </c>
      <c r="C3425" s="20" t="n">
        <f aca="false">ROUND(1.56/FX,2)</f>
        <v>0.22</v>
      </c>
      <c r="D3425" s="21" t="s">
        <v>10274</v>
      </c>
      <c r="E3425" s="21" t="s">
        <v>11659</v>
      </c>
      <c r="F3425" s="21" t="s">
        <v>7837</v>
      </c>
    </row>
    <row r="3426" customFormat="false" ht="15" hidden="false" customHeight="false" outlineLevel="0" collapsed="false">
      <c r="B3426" s="19" t="s">
        <v>11683</v>
      </c>
      <c r="C3426" s="20" t="n">
        <f aca="false">ROUND(1.66/FX,2)</f>
        <v>0.23</v>
      </c>
      <c r="D3426" s="21" t="s">
        <v>10272</v>
      </c>
      <c r="E3426" s="21" t="s">
        <v>11659</v>
      </c>
      <c r="F3426" s="21" t="s">
        <v>7839</v>
      </c>
    </row>
    <row r="3427" customFormat="false" ht="15" hidden="false" customHeight="false" outlineLevel="0" collapsed="false">
      <c r="B3427" s="19" t="s">
        <v>11684</v>
      </c>
      <c r="C3427" s="20" t="n">
        <f aca="false">ROUND(1.56/FX,2)</f>
        <v>0.22</v>
      </c>
      <c r="D3427" s="21" t="s">
        <v>10274</v>
      </c>
      <c r="E3427" s="21" t="s">
        <v>11659</v>
      </c>
      <c r="F3427" s="21" t="s">
        <v>7839</v>
      </c>
    </row>
    <row r="3428" customFormat="false" ht="15" hidden="false" customHeight="false" outlineLevel="0" collapsed="false">
      <c r="B3428" s="19" t="s">
        <v>11685</v>
      </c>
      <c r="C3428" s="20" t="n">
        <f aca="false">ROUND(1.66/FX,2)</f>
        <v>0.23</v>
      </c>
      <c r="D3428" s="21" t="s">
        <v>10272</v>
      </c>
      <c r="E3428" s="21" t="s">
        <v>11659</v>
      </c>
      <c r="F3428" s="21" t="s">
        <v>7841</v>
      </c>
    </row>
    <row r="3429" customFormat="false" ht="15" hidden="false" customHeight="false" outlineLevel="0" collapsed="false">
      <c r="B3429" s="19" t="s">
        <v>11686</v>
      </c>
      <c r="C3429" s="20" t="n">
        <f aca="false">ROUND(1.56/FX,2)</f>
        <v>0.22</v>
      </c>
      <c r="D3429" s="21" t="s">
        <v>10274</v>
      </c>
      <c r="E3429" s="21" t="s">
        <v>11659</v>
      </c>
      <c r="F3429" s="21" t="s">
        <v>7841</v>
      </c>
    </row>
    <row r="3430" customFormat="false" ht="15" hidden="false" customHeight="false" outlineLevel="0" collapsed="false">
      <c r="B3430" s="19" t="s">
        <v>11687</v>
      </c>
      <c r="C3430" s="20" t="n">
        <f aca="false">ROUND(1.66/FX,2)</f>
        <v>0.23</v>
      </c>
      <c r="D3430" s="21" t="s">
        <v>10272</v>
      </c>
      <c r="E3430" s="21" t="s">
        <v>11659</v>
      </c>
      <c r="F3430" s="21" t="s">
        <v>8188</v>
      </c>
    </row>
    <row r="3431" customFormat="false" ht="15" hidden="false" customHeight="false" outlineLevel="0" collapsed="false">
      <c r="B3431" s="19" t="s">
        <v>11688</v>
      </c>
      <c r="C3431" s="20" t="n">
        <f aca="false">ROUND(1.56/FX,2)</f>
        <v>0.22</v>
      </c>
      <c r="D3431" s="21" t="s">
        <v>10274</v>
      </c>
      <c r="E3431" s="21" t="s">
        <v>11659</v>
      </c>
      <c r="F3431" s="21" t="s">
        <v>8188</v>
      </c>
    </row>
    <row r="3432" customFormat="false" ht="15" hidden="false" customHeight="false" outlineLevel="0" collapsed="false">
      <c r="B3432" s="19" t="s">
        <v>11689</v>
      </c>
      <c r="C3432" s="20" t="n">
        <f aca="false">ROUND(1.4/FX,2)</f>
        <v>0.19</v>
      </c>
      <c r="D3432" s="21" t="s">
        <v>10272</v>
      </c>
      <c r="E3432" s="21" t="s">
        <v>11659</v>
      </c>
      <c r="F3432" s="21" t="s">
        <v>7912</v>
      </c>
    </row>
    <row r="3433" customFormat="false" ht="15" hidden="false" customHeight="false" outlineLevel="0" collapsed="false">
      <c r="B3433" s="19" t="s">
        <v>11690</v>
      </c>
      <c r="C3433" s="20" t="n">
        <f aca="false">ROUND(1.3/FX,2)</f>
        <v>0.18</v>
      </c>
      <c r="D3433" s="21" t="s">
        <v>10274</v>
      </c>
      <c r="E3433" s="21" t="s">
        <v>11659</v>
      </c>
      <c r="F3433" s="21" t="s">
        <v>7912</v>
      </c>
    </row>
    <row r="3434" customFormat="false" ht="15" hidden="false" customHeight="false" outlineLevel="0" collapsed="false">
      <c r="B3434" s="19" t="s">
        <v>11691</v>
      </c>
      <c r="C3434" s="20" t="n">
        <f aca="false">ROUND(1.66/FX,2)</f>
        <v>0.23</v>
      </c>
      <c r="D3434" s="21" t="s">
        <v>10272</v>
      </c>
      <c r="E3434" s="21" t="s">
        <v>11659</v>
      </c>
      <c r="F3434" s="21" t="s">
        <v>8193</v>
      </c>
    </row>
    <row r="3435" customFormat="false" ht="15" hidden="false" customHeight="false" outlineLevel="0" collapsed="false">
      <c r="B3435" s="19" t="s">
        <v>11692</v>
      </c>
      <c r="C3435" s="20" t="n">
        <f aca="false">ROUND(1.56/FX,2)</f>
        <v>0.22</v>
      </c>
      <c r="D3435" s="21" t="s">
        <v>10274</v>
      </c>
      <c r="E3435" s="21" t="s">
        <v>11659</v>
      </c>
      <c r="F3435" s="21" t="s">
        <v>8193</v>
      </c>
    </row>
    <row r="3436" customFormat="false" ht="15" hidden="false" customHeight="false" outlineLevel="0" collapsed="false">
      <c r="B3436" s="19" t="s">
        <v>11693</v>
      </c>
      <c r="C3436" s="20" t="n">
        <f aca="false">ROUND(1.66/FX,2)</f>
        <v>0.23</v>
      </c>
      <c r="D3436" s="21" t="s">
        <v>10272</v>
      </c>
      <c r="E3436" s="21" t="s">
        <v>11659</v>
      </c>
      <c r="F3436" s="21" t="s">
        <v>7916</v>
      </c>
    </row>
    <row r="3437" customFormat="false" ht="15" hidden="false" customHeight="false" outlineLevel="0" collapsed="false">
      <c r="B3437" s="19" t="s">
        <v>11694</v>
      </c>
      <c r="C3437" s="20" t="n">
        <f aca="false">ROUND(1.56/FX,2)</f>
        <v>0.22</v>
      </c>
      <c r="D3437" s="21" t="s">
        <v>10274</v>
      </c>
      <c r="E3437" s="21" t="s">
        <v>11659</v>
      </c>
      <c r="F3437" s="21" t="s">
        <v>7916</v>
      </c>
    </row>
    <row r="3438" customFormat="false" ht="15" hidden="false" customHeight="false" outlineLevel="0" collapsed="false">
      <c r="B3438" s="19" t="s">
        <v>11695</v>
      </c>
      <c r="C3438" s="20" t="n">
        <f aca="false">ROUND(1.66/FX,2)</f>
        <v>0.23</v>
      </c>
      <c r="D3438" s="21" t="s">
        <v>10272</v>
      </c>
      <c r="E3438" s="21" t="s">
        <v>11659</v>
      </c>
      <c r="F3438" s="21" t="s">
        <v>8220</v>
      </c>
    </row>
    <row r="3439" customFormat="false" ht="15" hidden="false" customHeight="false" outlineLevel="0" collapsed="false">
      <c r="B3439" s="19" t="s">
        <v>11696</v>
      </c>
      <c r="C3439" s="20" t="n">
        <f aca="false">ROUND(1.56/FX,2)</f>
        <v>0.22</v>
      </c>
      <c r="D3439" s="21" t="s">
        <v>10274</v>
      </c>
      <c r="E3439" s="21" t="s">
        <v>11659</v>
      </c>
      <c r="F3439" s="21" t="s">
        <v>8220</v>
      </c>
    </row>
    <row r="3440" customFormat="false" ht="15" hidden="false" customHeight="false" outlineLevel="0" collapsed="false">
      <c r="B3440" s="19" t="s">
        <v>11697</v>
      </c>
      <c r="C3440" s="20" t="n">
        <f aca="false">ROUND(1.66/FX,2)</f>
        <v>0.23</v>
      </c>
      <c r="D3440" s="21" t="s">
        <v>10272</v>
      </c>
      <c r="E3440" s="21" t="s">
        <v>11659</v>
      </c>
      <c r="F3440" s="21" t="s">
        <v>7918</v>
      </c>
    </row>
    <row r="3441" customFormat="false" ht="15" hidden="false" customHeight="false" outlineLevel="0" collapsed="false">
      <c r="B3441" s="19" t="s">
        <v>11698</v>
      </c>
      <c r="C3441" s="20" t="n">
        <f aca="false">ROUND(1.56/FX,2)</f>
        <v>0.22</v>
      </c>
      <c r="D3441" s="21" t="s">
        <v>10274</v>
      </c>
      <c r="E3441" s="21" t="s">
        <v>11659</v>
      </c>
      <c r="F3441" s="21" t="s">
        <v>7918</v>
      </c>
    </row>
    <row r="3442" customFormat="false" ht="15" hidden="false" customHeight="false" outlineLevel="0" collapsed="false">
      <c r="B3442" s="19" t="s">
        <v>11699</v>
      </c>
      <c r="C3442" s="20" t="n">
        <f aca="false">ROUND(1.4/FX,2)</f>
        <v>0.19</v>
      </c>
      <c r="D3442" s="21" t="s">
        <v>10272</v>
      </c>
      <c r="E3442" s="21" t="s">
        <v>11659</v>
      </c>
      <c r="F3442" s="21" t="s">
        <v>7847</v>
      </c>
    </row>
    <row r="3443" customFormat="false" ht="15" hidden="false" customHeight="false" outlineLevel="0" collapsed="false">
      <c r="B3443" s="19" t="s">
        <v>11700</v>
      </c>
      <c r="C3443" s="20" t="n">
        <f aca="false">ROUND(1.3/FX,2)</f>
        <v>0.18</v>
      </c>
      <c r="D3443" s="21" t="s">
        <v>10274</v>
      </c>
      <c r="E3443" s="21" t="s">
        <v>11659</v>
      </c>
      <c r="F3443" s="21" t="s">
        <v>7847</v>
      </c>
    </row>
    <row r="3444" customFormat="false" ht="15" hidden="false" customHeight="false" outlineLevel="0" collapsed="false">
      <c r="B3444" s="19" t="s">
        <v>11701</v>
      </c>
      <c r="C3444" s="20" t="n">
        <f aca="false">ROUND(1.66/FX,2)</f>
        <v>0.23</v>
      </c>
      <c r="D3444" s="21" t="s">
        <v>10272</v>
      </c>
      <c r="E3444" s="21" t="s">
        <v>11659</v>
      </c>
      <c r="F3444" s="21" t="s">
        <v>7849</v>
      </c>
    </row>
    <row r="3445" customFormat="false" ht="15" hidden="false" customHeight="false" outlineLevel="0" collapsed="false">
      <c r="B3445" s="19" t="s">
        <v>11702</v>
      </c>
      <c r="C3445" s="20" t="n">
        <f aca="false">ROUND(1.56/FX,2)</f>
        <v>0.22</v>
      </c>
      <c r="D3445" s="21" t="s">
        <v>10274</v>
      </c>
      <c r="E3445" s="21" t="s">
        <v>11659</v>
      </c>
      <c r="F3445" s="21" t="s">
        <v>7849</v>
      </c>
    </row>
    <row r="3446" customFormat="false" ht="15" hidden="false" customHeight="false" outlineLevel="0" collapsed="false">
      <c r="B3446" s="19" t="s">
        <v>11703</v>
      </c>
      <c r="C3446" s="20" t="n">
        <f aca="false">ROUND(1.66/FX,2)</f>
        <v>0.23</v>
      </c>
      <c r="D3446" s="21" t="s">
        <v>10272</v>
      </c>
      <c r="E3446" s="21" t="s">
        <v>11659</v>
      </c>
      <c r="F3446" s="21" t="s">
        <v>7827</v>
      </c>
    </row>
    <row r="3447" customFormat="false" ht="15" hidden="false" customHeight="false" outlineLevel="0" collapsed="false">
      <c r="B3447" s="19" t="s">
        <v>11704</v>
      </c>
      <c r="C3447" s="20" t="n">
        <f aca="false">ROUND(1.56/FX,2)</f>
        <v>0.22</v>
      </c>
      <c r="D3447" s="21" t="s">
        <v>10274</v>
      </c>
      <c r="E3447" s="21" t="s">
        <v>11659</v>
      </c>
      <c r="F3447" s="21" t="s">
        <v>7827</v>
      </c>
    </row>
    <row r="3448" customFormat="false" ht="15" hidden="false" customHeight="false" outlineLevel="0" collapsed="false">
      <c r="B3448" s="19" t="s">
        <v>11705</v>
      </c>
      <c r="C3448" s="20" t="n">
        <f aca="false">ROUND(1.4/FX,2)</f>
        <v>0.19</v>
      </c>
      <c r="D3448" s="21" t="s">
        <v>10272</v>
      </c>
      <c r="E3448" s="21" t="s">
        <v>11659</v>
      </c>
      <c r="F3448" s="21" t="s">
        <v>7853</v>
      </c>
    </row>
    <row r="3449" customFormat="false" ht="15" hidden="false" customHeight="false" outlineLevel="0" collapsed="false">
      <c r="B3449" s="19" t="s">
        <v>11706</v>
      </c>
      <c r="C3449" s="20" t="n">
        <f aca="false">ROUND(1.3/FX,2)</f>
        <v>0.18</v>
      </c>
      <c r="D3449" s="21" t="s">
        <v>10274</v>
      </c>
      <c r="E3449" s="21" t="s">
        <v>11659</v>
      </c>
      <c r="F3449" s="21" t="s">
        <v>7853</v>
      </c>
    </row>
    <row r="3450" customFormat="false" ht="15" hidden="false" customHeight="false" outlineLevel="0" collapsed="false">
      <c r="B3450" s="19" t="s">
        <v>11707</v>
      </c>
      <c r="C3450" s="20" t="n">
        <f aca="false">ROUND(1.4/FX,2)</f>
        <v>0.19</v>
      </c>
      <c r="D3450" s="21" t="s">
        <v>10272</v>
      </c>
      <c r="E3450" s="21" t="s">
        <v>11659</v>
      </c>
      <c r="F3450" s="21" t="s">
        <v>7869</v>
      </c>
    </row>
    <row r="3451" customFormat="false" ht="15" hidden="false" customHeight="false" outlineLevel="0" collapsed="false">
      <c r="B3451" s="19" t="s">
        <v>11708</v>
      </c>
      <c r="C3451" s="20" t="n">
        <f aca="false">ROUND(1.3/FX,2)</f>
        <v>0.18</v>
      </c>
      <c r="D3451" s="21" t="s">
        <v>10274</v>
      </c>
      <c r="E3451" s="21" t="s">
        <v>11659</v>
      </c>
      <c r="F3451" s="21" t="s">
        <v>7869</v>
      </c>
    </row>
    <row r="3452" customFormat="false" ht="15" hidden="false" customHeight="false" outlineLevel="0" collapsed="false">
      <c r="B3452" s="19" t="s">
        <v>11709</v>
      </c>
      <c r="C3452" s="20" t="n">
        <f aca="false">ROUND(1.4/FX,2)</f>
        <v>0.19</v>
      </c>
      <c r="D3452" s="21" t="s">
        <v>10272</v>
      </c>
      <c r="E3452" s="21" t="s">
        <v>11659</v>
      </c>
      <c r="F3452" s="21" t="s">
        <v>7829</v>
      </c>
    </row>
    <row r="3453" customFormat="false" ht="15" hidden="false" customHeight="false" outlineLevel="0" collapsed="false">
      <c r="B3453" s="19" t="s">
        <v>11710</v>
      </c>
      <c r="C3453" s="20" t="n">
        <f aca="false">ROUND(1.3/FX,2)</f>
        <v>0.18</v>
      </c>
      <c r="D3453" s="21" t="s">
        <v>10274</v>
      </c>
      <c r="E3453" s="21" t="s">
        <v>11659</v>
      </c>
      <c r="F3453" s="21" t="s">
        <v>7829</v>
      </c>
    </row>
    <row r="3454" customFormat="false" ht="15" hidden="false" customHeight="false" outlineLevel="0" collapsed="false">
      <c r="B3454" s="19" t="s">
        <v>11711</v>
      </c>
      <c r="C3454" s="20" t="n">
        <f aca="false">ROUND(1.66/FX,2)</f>
        <v>0.23</v>
      </c>
      <c r="D3454" s="21" t="s">
        <v>10272</v>
      </c>
      <c r="E3454" s="21" t="s">
        <v>11659</v>
      </c>
      <c r="F3454" s="21" t="s">
        <v>7831</v>
      </c>
    </row>
    <row r="3455" customFormat="false" ht="15" hidden="false" customHeight="false" outlineLevel="0" collapsed="false">
      <c r="B3455" s="19" t="s">
        <v>11712</v>
      </c>
      <c r="C3455" s="20" t="n">
        <f aca="false">ROUND(1.56/FX,2)</f>
        <v>0.22</v>
      </c>
      <c r="D3455" s="21" t="s">
        <v>10274</v>
      </c>
      <c r="E3455" s="21" t="s">
        <v>11659</v>
      </c>
      <c r="F3455" s="21" t="s">
        <v>7831</v>
      </c>
    </row>
    <row r="3456" customFormat="false" ht="15" hidden="false" customHeight="false" outlineLevel="0" collapsed="false">
      <c r="B3456" s="19" t="s">
        <v>11713</v>
      </c>
      <c r="C3456" s="20" t="n">
        <f aca="false">ROUND(1.53/FX,2)</f>
        <v>0.21</v>
      </c>
      <c r="D3456" s="21" t="s">
        <v>10272</v>
      </c>
      <c r="E3456" s="21" t="s">
        <v>11659</v>
      </c>
      <c r="F3456" s="21" t="s">
        <v>7862</v>
      </c>
    </row>
    <row r="3457" customFormat="false" ht="15" hidden="false" customHeight="false" outlineLevel="0" collapsed="false">
      <c r="B3457" s="19" t="s">
        <v>11714</v>
      </c>
      <c r="C3457" s="20" t="n">
        <f aca="false">ROUND(1.43/FX,2)</f>
        <v>0.2</v>
      </c>
      <c r="D3457" s="21" t="s">
        <v>10274</v>
      </c>
      <c r="E3457" s="21" t="s">
        <v>11659</v>
      </c>
      <c r="F3457" s="21" t="s">
        <v>7862</v>
      </c>
    </row>
  </sheetData>
  <mergeCells count="18">
    <mergeCell ref="B1:G1"/>
    <mergeCell ref="B230:I230"/>
    <mergeCell ref="B1103:G1103"/>
    <mergeCell ref="B1716:H1716"/>
    <mergeCell ref="B1967:E1967"/>
    <mergeCell ref="B1981:G1981"/>
    <mergeCell ref="B2020:G2020"/>
    <mergeCell ref="B2065:H2065"/>
    <mergeCell ref="B2635:D2635"/>
    <mergeCell ref="B2644:E2644"/>
    <mergeCell ref="B2654:F2654"/>
    <mergeCell ref="B2834:G2834"/>
    <mergeCell ref="B3169:D3169"/>
    <mergeCell ref="B3174:E3174"/>
    <mergeCell ref="B3214:E3214"/>
    <mergeCell ref="B3292:E3292"/>
    <mergeCell ref="B3331:E3331"/>
    <mergeCell ref="B3361:F3361"/>
  </mergeCells>
  <dataValidations count="55">
    <dataValidation allowBlank="true" error="Please choose from the list" errorStyle="stop" errorTitle="▶ Quick quote" operator="between" showDropDown="false" showErrorMessage="false" showInputMessage="false" sqref="D3" type="list">
      <formula1>_lists!$FV$1:$FV$7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_lists!$FW$1:$FW$5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_lists!$FX$1:$FX$17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" type="list">
      <formula1>_lists!$FY$1:$FY$98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32" type="list">
      <formula1>_lists!$FZ$1:$FZ$4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32" type="list">
      <formula1>_lists!$GA$1:$GA$2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32" type="list">
      <formula1>_lists!$GB$1:$GB$2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32" type="list">
      <formula1>_lists!$GC$1:$GC$16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32" type="list">
      <formula1>_lists!$GD$1:$GD$4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232" type="list">
      <formula1>_lists!$GE$1:$GE$245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05" type="list">
      <formula1>_lists!$GF$1:$GF$2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05" type="list">
      <formula1>_lists!$GG$1:$GG$20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105" type="list">
      <formula1>_lists!$GH$1:$GH$3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105" type="list">
      <formula1>_lists!$GI$1:$GI$210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18" type="list">
      <formula1>_lists!$GJ$1:$GJ$2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18" type="list">
      <formula1>_lists!$GK$1:$GK$3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718" type="list">
      <formula1>_lists!$GL$1:$GL$7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718" type="list">
      <formula1>_lists!$GM$1:$GM$3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718" type="list">
      <formula1>_lists!$GN$1:$GN$104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69" type="list">
      <formula1>_lists!$GO$1:$GO$5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69" type="list">
      <formula1>_lists!$GP$1:$GP$4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83" type="list">
      <formula1>_lists!$GQ$1:$GQ$2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83" type="list">
      <formula1>_lists!$GR$1:$GR$2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983" type="list">
      <formula1>_lists!$GS$1:$GS$12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983" type="list">
      <formula1>_lists!$GT$1:$GT$10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22" type="list">
      <formula1>_lists!$GU$1:$GU$2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22" type="list">
      <formula1>_lists!$GV$1:$GV$2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022" type="list">
      <formula1>_lists!$GW$1:$GW$10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022" type="list">
      <formula1>_lists!$GX$1:$GX$28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67" type="list">
      <formula1>_lists!$GY$1:$GY$9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67" type="list">
      <formula1>_lists!$GZ$1:$GZ$3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067" type="list">
      <formula1>_lists!$HA$1:$HA$14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067" type="list">
      <formula1>_lists!$HB$1:$HB$17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067" type="list">
      <formula1>_lists!$HC$1:$HC$165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37" type="list">
      <formula1>_lists!$HD$1:$HD$2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46" type="list">
      <formula1>_lists!$HE$1:$HE$3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646" type="list">
      <formula1>_lists!$HF$1:$HF$1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56" type="list">
      <formula1>_lists!$HG$1:$HG$4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656" type="list">
      <formula1>_lists!$HH$1:$HH$8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656" type="list">
      <formula1>_lists!$HI$1:$HI$90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36" type="list">
      <formula1>_lists!$HJ$1:$HJ$6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836" type="list">
      <formula1>_lists!$HK$1:$HK$4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836" type="list">
      <formula1>_lists!$HL$1:$HL$29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836" type="list">
      <formula1>_lists!$HM$1:$HM$83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76" type="list">
      <formula1>_lists!$HN$1:$HN$11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176" type="list">
      <formula1>_lists!$HO$1:$HO$14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16" type="list">
      <formula1>_lists!$HP$1:$HP$5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16" type="list">
      <formula1>_lists!$HQ$1:$HQ$61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94" type="list">
      <formula1>_lists!$HR$1:$HR$7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94" type="list">
      <formula1>_lists!$HS$1:$HS$21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33" type="list">
      <formula1>_lists!$HT$1:$HT$6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333" type="list">
      <formula1>_lists!$HU$1:$HU$9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63" type="list">
      <formula1>_lists!$HV$1:$HV$7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363" type="list">
      <formula1>_lists!$HW$1:$HW$5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363" type="list">
      <formula1>_lists!$HX$1:$HX$42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11715</v>
      </c>
      <c r="C1" s="10"/>
      <c r="D1" s="10"/>
      <c r="E1" s="10"/>
      <c r="F1" s="10"/>
      <c r="G1" s="10"/>
    </row>
    <row r="2" customFormat="false" ht="15" hidden="false" customHeight="false" outlineLevel="0" collapsed="false">
      <c r="A2" s="12" t="s">
        <v>700</v>
      </c>
      <c r="B2" s="13" t="s">
        <v>701</v>
      </c>
      <c r="C2" s="13" t="s">
        <v>702</v>
      </c>
      <c r="D2" s="13" t="s">
        <v>5610</v>
      </c>
      <c r="E2" s="13" t="s">
        <v>11716</v>
      </c>
      <c r="F2" s="13" t="s">
        <v>11717</v>
      </c>
      <c r="G2" s="13" t="s">
        <v>11718</v>
      </c>
    </row>
    <row r="3" customFormat="false" ht="30" hidden="false" customHeight="true" outlineLevel="0" collapsed="false">
      <c r="A3" s="14" t="s">
        <v>706</v>
      </c>
      <c r="B3" s="15" t="str">
        <f aca="false">IF(COUNTIFS($D$6:$D$745,IF(D3="","*",D3),$E$6:$E$745,IF(E3="","*",E3),$F$6:$F$745,IF(F3="","*",F3),$G$6:$G$745,IF(G3="","*",G3))=1,INDEX($B:$B,SUMPRODUCT(((D3="")+($D$6:$D$745=D3)&gt;0)*((E3="")+($E$6:$E$745=E3)&gt;0)*((F3="")+($F$6:$F$745=F3)&gt;0)*((G3="")+($G$6:$G$745=G3)&gt;0)*ROW($B$6:$B$745))),IF(COUNTIFS($D$6:$D$745,IF(D3="","*",D3),$E$6:$E$745,IF(E3="","*",E3),$F$6:$F$745,IF(F3="","*",F3),$G$6:$G$745,IF(G3="","*",G3))=0,"Not available",COUNTIFS($D$6:$D$745,IF(D3="","*",D3),$E$6:$E$745,IF(E3="","*",E3),$F$6:$F$745,IF(F3="","*",F3),$G$6:$G$745,IF(G3="","*",G3))&amp;" match, keep choosing"))</f>
        <v>TS-T10-P2L10-L1000</v>
      </c>
      <c r="C3" s="16" t="n">
        <f aca="false">IF(COUNTIFS($D$6:$D$745,IF(D3="","*",D3),$E$6:$E$745,IF(E3="","*",E3),$F$6:$F$745,IF(F3="","*",F3),$G$6:$G$745,IF(G3="","*",G3))=1,INDEX($C:$C,SUMPRODUCT(((D3="")+($D$6:$D$745=D3)&gt;0)*((E3="")+($E$6:$E$745=E3)&gt;0)*((F3="")+($F$6:$F$745=F3)&gt;0)*((G3="")+($G$6:$G$745=G3)&gt;0)*ROW($B$6:$B$745))),"")</f>
        <v>3.61</v>
      </c>
      <c r="D3" s="17" t="s">
        <v>6242</v>
      </c>
      <c r="E3" s="17" t="s">
        <v>1733</v>
      </c>
      <c r="F3" s="17" t="s">
        <v>11719</v>
      </c>
      <c r="G3" s="17" t="s">
        <v>11720</v>
      </c>
    </row>
    <row r="5" customFormat="false" ht="15" hidden="false" customHeight="false" outlineLevel="0" collapsed="false">
      <c r="B5" s="18" t="s">
        <v>701</v>
      </c>
      <c r="C5" s="18" t="s">
        <v>702</v>
      </c>
      <c r="D5" s="18" t="s">
        <v>5610</v>
      </c>
      <c r="E5" s="18" t="s">
        <v>11716</v>
      </c>
      <c r="F5" s="18" t="s">
        <v>11717</v>
      </c>
      <c r="G5" s="18" t="s">
        <v>11718</v>
      </c>
    </row>
    <row r="6" customFormat="false" ht="15" hidden="false" customHeight="false" outlineLevel="0" collapsed="false">
      <c r="B6" s="19" t="s">
        <v>11721</v>
      </c>
      <c r="C6" s="20" t="n">
        <f aca="false">ROUND(26/FX,2)</f>
        <v>3.61</v>
      </c>
      <c r="D6" s="21" t="s">
        <v>6242</v>
      </c>
      <c r="E6" s="21" t="s">
        <v>1733</v>
      </c>
      <c r="F6" s="21" t="s">
        <v>11719</v>
      </c>
      <c r="G6" s="21" t="s">
        <v>11720</v>
      </c>
    </row>
    <row r="7" customFormat="false" ht="15" hidden="false" customHeight="false" outlineLevel="0" collapsed="false">
      <c r="B7" s="19" t="s">
        <v>11722</v>
      </c>
      <c r="C7" s="20" t="n">
        <f aca="false">ROUND(31.2/FX,2)</f>
        <v>4.33</v>
      </c>
      <c r="D7" s="21" t="s">
        <v>6242</v>
      </c>
      <c r="E7" s="21" t="s">
        <v>3253</v>
      </c>
      <c r="F7" s="21" t="s">
        <v>11719</v>
      </c>
      <c r="G7" s="21" t="s">
        <v>11720</v>
      </c>
    </row>
    <row r="8" customFormat="false" ht="15" hidden="false" customHeight="false" outlineLevel="0" collapsed="false">
      <c r="B8" s="19" t="s">
        <v>11723</v>
      </c>
      <c r="C8" s="20" t="n">
        <f aca="false">ROUND(33.8/FX,2)</f>
        <v>4.69</v>
      </c>
      <c r="D8" s="21" t="s">
        <v>6242</v>
      </c>
      <c r="E8" s="21" t="s">
        <v>5513</v>
      </c>
      <c r="F8" s="21" t="s">
        <v>11719</v>
      </c>
      <c r="G8" s="21" t="s">
        <v>11720</v>
      </c>
    </row>
    <row r="9" customFormat="false" ht="15" hidden="false" customHeight="false" outlineLevel="0" collapsed="false">
      <c r="B9" s="19" t="s">
        <v>11724</v>
      </c>
      <c r="C9" s="20" t="n">
        <f aca="false">ROUND(3.9/FX,2)</f>
        <v>0.54</v>
      </c>
      <c r="D9" s="21" t="s">
        <v>6242</v>
      </c>
      <c r="E9" s="21" t="s">
        <v>2851</v>
      </c>
      <c r="F9" s="21" t="s">
        <v>11719</v>
      </c>
      <c r="G9" s="21" t="s">
        <v>11720</v>
      </c>
    </row>
    <row r="10" customFormat="false" ht="15" hidden="false" customHeight="false" outlineLevel="0" collapsed="false">
      <c r="B10" s="19" t="s">
        <v>11725</v>
      </c>
      <c r="C10" s="20" t="n">
        <f aca="false">ROUND(39/FX,2)</f>
        <v>5.42</v>
      </c>
      <c r="D10" s="21" t="s">
        <v>6242</v>
      </c>
      <c r="E10" s="21" t="s">
        <v>1881</v>
      </c>
      <c r="F10" s="21" t="s">
        <v>11719</v>
      </c>
      <c r="G10" s="21" t="s">
        <v>11720</v>
      </c>
    </row>
    <row r="11" customFormat="false" ht="15" hidden="false" customHeight="false" outlineLevel="0" collapsed="false">
      <c r="B11" s="19" t="s">
        <v>11726</v>
      </c>
      <c r="C11" s="20" t="n">
        <f aca="false">ROUND(39.78/FX,2)</f>
        <v>5.53</v>
      </c>
      <c r="D11" s="21" t="s">
        <v>6242</v>
      </c>
      <c r="E11" s="21" t="s">
        <v>11727</v>
      </c>
      <c r="F11" s="21" t="s">
        <v>11719</v>
      </c>
      <c r="G11" s="21" t="s">
        <v>11720</v>
      </c>
    </row>
    <row r="12" customFormat="false" ht="15" hidden="false" customHeight="false" outlineLevel="0" collapsed="false">
      <c r="B12" s="19" t="s">
        <v>11728</v>
      </c>
      <c r="C12" s="20" t="n">
        <f aca="false">ROUND(5.2/FX,2)</f>
        <v>0.72</v>
      </c>
      <c r="D12" s="21" t="s">
        <v>6242</v>
      </c>
      <c r="E12" s="21" t="s">
        <v>1048</v>
      </c>
      <c r="F12" s="21" t="s">
        <v>11719</v>
      </c>
      <c r="G12" s="21" t="s">
        <v>11720</v>
      </c>
    </row>
    <row r="13" customFormat="false" ht="15" hidden="false" customHeight="false" outlineLevel="0" collapsed="false">
      <c r="B13" s="19" t="s">
        <v>11729</v>
      </c>
      <c r="C13" s="20" t="n">
        <f aca="false">ROUND(52/FX,2)</f>
        <v>7.22</v>
      </c>
      <c r="D13" s="21" t="s">
        <v>6242</v>
      </c>
      <c r="E13" s="21" t="s">
        <v>1924</v>
      </c>
      <c r="F13" s="21" t="s">
        <v>11719</v>
      </c>
      <c r="G13" s="21" t="s">
        <v>11720</v>
      </c>
    </row>
    <row r="14" customFormat="false" ht="15" hidden="false" customHeight="false" outlineLevel="0" collapsed="false">
      <c r="B14" s="19" t="s">
        <v>11730</v>
      </c>
      <c r="C14" s="20" t="n">
        <f aca="false">ROUND(6.5/FX,2)</f>
        <v>0.9</v>
      </c>
      <c r="D14" s="21" t="s">
        <v>6242</v>
      </c>
      <c r="E14" s="21" t="s">
        <v>1323</v>
      </c>
      <c r="F14" s="21" t="s">
        <v>11719</v>
      </c>
      <c r="G14" s="21" t="s">
        <v>11720</v>
      </c>
    </row>
    <row r="15" customFormat="false" ht="15" hidden="false" customHeight="false" outlineLevel="0" collapsed="false">
      <c r="B15" s="19" t="s">
        <v>11731</v>
      </c>
      <c r="C15" s="20" t="n">
        <f aca="false">ROUND(7.8/FX,2)</f>
        <v>1.08</v>
      </c>
      <c r="D15" s="21" t="s">
        <v>6242</v>
      </c>
      <c r="E15" s="21" t="s">
        <v>1520</v>
      </c>
      <c r="F15" s="21" t="s">
        <v>11719</v>
      </c>
      <c r="G15" s="21" t="s">
        <v>11720</v>
      </c>
    </row>
    <row r="16" customFormat="false" ht="15" hidden="false" customHeight="false" outlineLevel="0" collapsed="false">
      <c r="B16" s="19" t="s">
        <v>11732</v>
      </c>
      <c r="C16" s="20" t="n">
        <f aca="false">ROUND(9.1/FX,2)</f>
        <v>1.26</v>
      </c>
      <c r="D16" s="21" t="s">
        <v>6242</v>
      </c>
      <c r="E16" s="21" t="s">
        <v>1635</v>
      </c>
      <c r="F16" s="21" t="s">
        <v>11719</v>
      </c>
      <c r="G16" s="21" t="s">
        <v>11720</v>
      </c>
    </row>
    <row r="17" customFormat="false" ht="15" hidden="false" customHeight="false" outlineLevel="0" collapsed="false">
      <c r="B17" s="19" t="s">
        <v>11733</v>
      </c>
      <c r="C17" s="20" t="n">
        <f aca="false">ROUND(10.4/FX,2)</f>
        <v>1.44</v>
      </c>
      <c r="D17" s="21" t="s">
        <v>6242</v>
      </c>
      <c r="E17" s="21" t="s">
        <v>2002</v>
      </c>
      <c r="F17" s="21" t="s">
        <v>11719</v>
      </c>
      <c r="G17" s="21" t="s">
        <v>11720</v>
      </c>
    </row>
    <row r="18" customFormat="false" ht="15" hidden="false" customHeight="false" outlineLevel="0" collapsed="false">
      <c r="B18" s="19" t="s">
        <v>11734</v>
      </c>
      <c r="C18" s="20" t="n">
        <f aca="false">ROUND(10.92/FX,2)</f>
        <v>1.52</v>
      </c>
      <c r="D18" s="21" t="s">
        <v>6242</v>
      </c>
      <c r="E18" s="21" t="s">
        <v>2022</v>
      </c>
      <c r="F18" s="21" t="s">
        <v>11719</v>
      </c>
      <c r="G18" s="21" t="s">
        <v>11720</v>
      </c>
    </row>
    <row r="19" customFormat="false" ht="15" hidden="false" customHeight="false" outlineLevel="0" collapsed="false">
      <c r="B19" s="19" t="s">
        <v>11735</v>
      </c>
      <c r="C19" s="20" t="n">
        <f aca="false">ROUND(11.7/FX,2)</f>
        <v>1.63</v>
      </c>
      <c r="D19" s="21" t="s">
        <v>6242</v>
      </c>
      <c r="E19" s="21" t="s">
        <v>2067</v>
      </c>
      <c r="F19" s="21" t="s">
        <v>11719</v>
      </c>
      <c r="G19" s="21" t="s">
        <v>11720</v>
      </c>
    </row>
    <row r="20" customFormat="false" ht="15" hidden="false" customHeight="false" outlineLevel="0" collapsed="false">
      <c r="B20" s="19" t="s">
        <v>11736</v>
      </c>
      <c r="C20" s="20" t="n">
        <f aca="false">ROUND(12.22/FX,2)</f>
        <v>1.7</v>
      </c>
      <c r="D20" s="21" t="s">
        <v>6242</v>
      </c>
      <c r="E20" s="21" t="s">
        <v>2097</v>
      </c>
      <c r="F20" s="21" t="s">
        <v>11719</v>
      </c>
      <c r="G20" s="21" t="s">
        <v>11720</v>
      </c>
    </row>
    <row r="21" customFormat="false" ht="15" hidden="false" customHeight="false" outlineLevel="0" collapsed="false">
      <c r="B21" s="19" t="s">
        <v>11737</v>
      </c>
      <c r="C21" s="20" t="n">
        <f aca="false">ROUND(13/FX,2)</f>
        <v>1.81</v>
      </c>
      <c r="D21" s="21" t="s">
        <v>6242</v>
      </c>
      <c r="E21" s="21" t="s">
        <v>2142</v>
      </c>
      <c r="F21" s="21" t="s">
        <v>11719</v>
      </c>
      <c r="G21" s="21" t="s">
        <v>11720</v>
      </c>
    </row>
    <row r="22" customFormat="false" ht="15" hidden="false" customHeight="false" outlineLevel="0" collapsed="false">
      <c r="B22" s="19" t="s">
        <v>11738</v>
      </c>
      <c r="C22" s="20" t="n">
        <f aca="false">ROUND(14.3/FX,2)</f>
        <v>1.99</v>
      </c>
      <c r="D22" s="21" t="s">
        <v>6242</v>
      </c>
      <c r="E22" s="21" t="s">
        <v>2187</v>
      </c>
      <c r="F22" s="21" t="s">
        <v>11719</v>
      </c>
      <c r="G22" s="21" t="s">
        <v>11720</v>
      </c>
    </row>
    <row r="23" customFormat="false" ht="15" hidden="false" customHeight="false" outlineLevel="0" collapsed="false">
      <c r="B23" s="19" t="s">
        <v>11739</v>
      </c>
      <c r="C23" s="20" t="n">
        <f aca="false">ROUND(14.56/FX,2)</f>
        <v>2.02</v>
      </c>
      <c r="D23" s="21" t="s">
        <v>6242</v>
      </c>
      <c r="E23" s="21" t="s">
        <v>11740</v>
      </c>
      <c r="F23" s="21" t="s">
        <v>11719</v>
      </c>
      <c r="G23" s="21" t="s">
        <v>11720</v>
      </c>
    </row>
    <row r="24" customFormat="false" ht="15" hidden="false" customHeight="false" outlineLevel="0" collapsed="false">
      <c r="B24" s="19" t="s">
        <v>11741</v>
      </c>
      <c r="C24" s="20" t="n">
        <f aca="false">ROUND(15.6/FX,2)</f>
        <v>2.17</v>
      </c>
      <c r="D24" s="21" t="s">
        <v>6242</v>
      </c>
      <c r="E24" s="21" t="s">
        <v>2227</v>
      </c>
      <c r="F24" s="21" t="s">
        <v>11719</v>
      </c>
      <c r="G24" s="21" t="s">
        <v>11720</v>
      </c>
    </row>
    <row r="25" customFormat="false" ht="15" hidden="false" customHeight="false" outlineLevel="0" collapsed="false">
      <c r="B25" s="19" t="s">
        <v>11742</v>
      </c>
      <c r="C25" s="20" t="n">
        <f aca="false">ROUND(16.9/FX,2)</f>
        <v>2.35</v>
      </c>
      <c r="D25" s="21" t="s">
        <v>6242</v>
      </c>
      <c r="E25" s="21" t="s">
        <v>2297</v>
      </c>
      <c r="F25" s="21" t="s">
        <v>11719</v>
      </c>
      <c r="G25" s="21" t="s">
        <v>11720</v>
      </c>
    </row>
    <row r="26" customFormat="false" ht="15" hidden="false" customHeight="false" outlineLevel="0" collapsed="false">
      <c r="B26" s="19" t="s">
        <v>11743</v>
      </c>
      <c r="C26" s="20" t="n">
        <f aca="false">ROUND(18.2/FX,2)</f>
        <v>2.53</v>
      </c>
      <c r="D26" s="21" t="s">
        <v>6242</v>
      </c>
      <c r="E26" s="21" t="s">
        <v>2351</v>
      </c>
      <c r="F26" s="21" t="s">
        <v>11719</v>
      </c>
      <c r="G26" s="21" t="s">
        <v>11720</v>
      </c>
    </row>
    <row r="27" customFormat="false" ht="15" hidden="false" customHeight="false" outlineLevel="0" collapsed="false">
      <c r="B27" s="19" t="s">
        <v>11744</v>
      </c>
      <c r="C27" s="20" t="n">
        <f aca="false">ROUND(20.8/FX,2)</f>
        <v>2.89</v>
      </c>
      <c r="D27" s="21" t="s">
        <v>6242</v>
      </c>
      <c r="E27" s="21" t="s">
        <v>2440</v>
      </c>
      <c r="F27" s="21" t="s">
        <v>11719</v>
      </c>
      <c r="G27" s="21" t="s">
        <v>11720</v>
      </c>
    </row>
    <row r="28" customFormat="false" ht="15" hidden="false" customHeight="false" outlineLevel="0" collapsed="false">
      <c r="B28" s="19" t="s">
        <v>11745</v>
      </c>
      <c r="C28" s="20" t="n">
        <f aca="false">ROUND(26/FX,2)</f>
        <v>3.61</v>
      </c>
      <c r="D28" s="21" t="s">
        <v>6242</v>
      </c>
      <c r="E28" s="21" t="s">
        <v>1733</v>
      </c>
      <c r="F28" s="21" t="s">
        <v>11746</v>
      </c>
      <c r="G28" s="21" t="s">
        <v>11720</v>
      </c>
    </row>
    <row r="29" customFormat="false" ht="15" hidden="false" customHeight="false" outlineLevel="0" collapsed="false">
      <c r="B29" s="19" t="s">
        <v>11747</v>
      </c>
      <c r="C29" s="20" t="n">
        <f aca="false">ROUND(28.6/FX,2)</f>
        <v>3.97</v>
      </c>
      <c r="D29" s="21" t="s">
        <v>6242</v>
      </c>
      <c r="E29" s="21" t="s">
        <v>1768</v>
      </c>
      <c r="F29" s="21" t="s">
        <v>11746</v>
      </c>
      <c r="G29" s="21" t="s">
        <v>11720</v>
      </c>
    </row>
    <row r="30" customFormat="false" ht="15" hidden="false" customHeight="false" outlineLevel="0" collapsed="false">
      <c r="B30" s="19" t="s">
        <v>11748</v>
      </c>
      <c r="C30" s="20" t="n">
        <f aca="false">ROUND(31.2/FX,2)</f>
        <v>4.33</v>
      </c>
      <c r="D30" s="21" t="s">
        <v>6242</v>
      </c>
      <c r="E30" s="21" t="s">
        <v>3253</v>
      </c>
      <c r="F30" s="21" t="s">
        <v>11746</v>
      </c>
      <c r="G30" s="21" t="s">
        <v>11720</v>
      </c>
    </row>
    <row r="31" customFormat="false" ht="15" hidden="false" customHeight="false" outlineLevel="0" collapsed="false">
      <c r="B31" s="19" t="s">
        <v>11749</v>
      </c>
      <c r="C31" s="20" t="n">
        <f aca="false">ROUND(39/FX,2)</f>
        <v>5.42</v>
      </c>
      <c r="D31" s="21" t="s">
        <v>6242</v>
      </c>
      <c r="E31" s="21" t="s">
        <v>1881</v>
      </c>
      <c r="F31" s="21" t="s">
        <v>11746</v>
      </c>
      <c r="G31" s="21" t="s">
        <v>11720</v>
      </c>
    </row>
    <row r="32" customFormat="false" ht="15" hidden="false" customHeight="false" outlineLevel="0" collapsed="false">
      <c r="B32" s="19" t="s">
        <v>11750</v>
      </c>
      <c r="C32" s="20" t="n">
        <f aca="false">ROUND(40.04/FX,2)</f>
        <v>5.56</v>
      </c>
      <c r="D32" s="21" t="s">
        <v>6242</v>
      </c>
      <c r="E32" s="21" t="s">
        <v>1902</v>
      </c>
      <c r="F32" s="21" t="s">
        <v>11746</v>
      </c>
      <c r="G32" s="21" t="s">
        <v>11720</v>
      </c>
    </row>
    <row r="33" customFormat="false" ht="15" hidden="false" customHeight="false" outlineLevel="0" collapsed="false">
      <c r="B33" s="19" t="s">
        <v>11751</v>
      </c>
      <c r="C33" s="20" t="n">
        <f aca="false">ROUND(5.2/FX,2)</f>
        <v>0.72</v>
      </c>
      <c r="D33" s="21" t="s">
        <v>6242</v>
      </c>
      <c r="E33" s="21" t="s">
        <v>1048</v>
      </c>
      <c r="F33" s="21" t="s">
        <v>11746</v>
      </c>
      <c r="G33" s="21" t="s">
        <v>11720</v>
      </c>
    </row>
    <row r="34" customFormat="false" ht="15" hidden="false" customHeight="false" outlineLevel="0" collapsed="false">
      <c r="B34" s="19" t="s">
        <v>11752</v>
      </c>
      <c r="C34" s="20" t="n">
        <f aca="false">ROUND(6.5/FX,2)</f>
        <v>0.9</v>
      </c>
      <c r="D34" s="21" t="s">
        <v>6242</v>
      </c>
      <c r="E34" s="21" t="s">
        <v>1323</v>
      </c>
      <c r="F34" s="21" t="s">
        <v>11746</v>
      </c>
      <c r="G34" s="21" t="s">
        <v>11720</v>
      </c>
    </row>
    <row r="35" customFormat="false" ht="15" hidden="false" customHeight="false" outlineLevel="0" collapsed="false">
      <c r="B35" s="19" t="s">
        <v>11753</v>
      </c>
      <c r="C35" s="20" t="n">
        <f aca="false">ROUND(7.8/FX,2)</f>
        <v>1.08</v>
      </c>
      <c r="D35" s="21" t="s">
        <v>6242</v>
      </c>
      <c r="E35" s="21" t="s">
        <v>1520</v>
      </c>
      <c r="F35" s="21" t="s">
        <v>11746</v>
      </c>
      <c r="G35" s="21" t="s">
        <v>11720</v>
      </c>
    </row>
    <row r="36" customFormat="false" ht="15" hidden="false" customHeight="false" outlineLevel="0" collapsed="false">
      <c r="B36" s="19" t="s">
        <v>11754</v>
      </c>
      <c r="C36" s="20" t="n">
        <f aca="false">ROUND(8.58/FX,2)</f>
        <v>1.19</v>
      </c>
      <c r="D36" s="21" t="s">
        <v>6242</v>
      </c>
      <c r="E36" s="21" t="s">
        <v>1635</v>
      </c>
      <c r="F36" s="21" t="s">
        <v>11746</v>
      </c>
      <c r="G36" s="21" t="s">
        <v>11720</v>
      </c>
    </row>
    <row r="37" customFormat="false" ht="15" hidden="false" customHeight="false" outlineLevel="0" collapsed="false">
      <c r="B37" s="19" t="s">
        <v>11755</v>
      </c>
      <c r="C37" s="20" t="n">
        <f aca="false">ROUND(10.4/FX,2)</f>
        <v>1.44</v>
      </c>
      <c r="D37" s="21" t="s">
        <v>6242</v>
      </c>
      <c r="E37" s="21" t="s">
        <v>2002</v>
      </c>
      <c r="F37" s="21" t="s">
        <v>11746</v>
      </c>
      <c r="G37" s="21" t="s">
        <v>11720</v>
      </c>
    </row>
    <row r="38" customFormat="false" ht="15" hidden="false" customHeight="false" outlineLevel="0" collapsed="false">
      <c r="B38" s="19" t="s">
        <v>11756</v>
      </c>
      <c r="C38" s="20" t="n">
        <f aca="false">ROUND(10.92/FX,2)</f>
        <v>1.52</v>
      </c>
      <c r="D38" s="21" t="s">
        <v>6242</v>
      </c>
      <c r="E38" s="21" t="s">
        <v>2022</v>
      </c>
      <c r="F38" s="21" t="s">
        <v>11746</v>
      </c>
      <c r="G38" s="21" t="s">
        <v>11720</v>
      </c>
    </row>
    <row r="39" customFormat="false" ht="15" hidden="false" customHeight="false" outlineLevel="0" collapsed="false">
      <c r="B39" s="19" t="s">
        <v>11757</v>
      </c>
      <c r="C39" s="20" t="n">
        <f aca="false">ROUND(11.7/FX,2)</f>
        <v>1.63</v>
      </c>
      <c r="D39" s="21" t="s">
        <v>6242</v>
      </c>
      <c r="E39" s="21" t="s">
        <v>2067</v>
      </c>
      <c r="F39" s="21" t="s">
        <v>11746</v>
      </c>
      <c r="G39" s="21" t="s">
        <v>11720</v>
      </c>
    </row>
    <row r="40" customFormat="false" ht="15" hidden="false" customHeight="false" outlineLevel="0" collapsed="false">
      <c r="B40" s="19" t="s">
        <v>11758</v>
      </c>
      <c r="C40" s="20" t="n">
        <f aca="false">ROUND(13/FX,2)</f>
        <v>1.81</v>
      </c>
      <c r="D40" s="21" t="s">
        <v>6242</v>
      </c>
      <c r="E40" s="21" t="s">
        <v>2142</v>
      </c>
      <c r="F40" s="21" t="s">
        <v>11746</v>
      </c>
      <c r="G40" s="21" t="s">
        <v>11720</v>
      </c>
    </row>
    <row r="41" customFormat="false" ht="15" hidden="false" customHeight="false" outlineLevel="0" collapsed="false">
      <c r="B41" s="19" t="s">
        <v>11759</v>
      </c>
      <c r="C41" s="20" t="n">
        <f aca="false">ROUND(14.3/FX,2)</f>
        <v>1.99</v>
      </c>
      <c r="D41" s="21" t="s">
        <v>6242</v>
      </c>
      <c r="E41" s="21" t="s">
        <v>2187</v>
      </c>
      <c r="F41" s="21" t="s">
        <v>11746</v>
      </c>
      <c r="G41" s="21" t="s">
        <v>11720</v>
      </c>
    </row>
    <row r="42" customFormat="false" ht="15" hidden="false" customHeight="false" outlineLevel="0" collapsed="false">
      <c r="B42" s="19" t="s">
        <v>11760</v>
      </c>
      <c r="C42" s="20" t="n">
        <f aca="false">ROUND(15.6/FX,2)</f>
        <v>2.17</v>
      </c>
      <c r="D42" s="21" t="s">
        <v>6242</v>
      </c>
      <c r="E42" s="21" t="s">
        <v>2227</v>
      </c>
      <c r="F42" s="21" t="s">
        <v>11746</v>
      </c>
      <c r="G42" s="21" t="s">
        <v>11720</v>
      </c>
    </row>
    <row r="43" customFormat="false" ht="15" hidden="false" customHeight="false" outlineLevel="0" collapsed="false">
      <c r="B43" s="19" t="s">
        <v>11761</v>
      </c>
      <c r="C43" s="20" t="n">
        <f aca="false">ROUND(16.9/FX,2)</f>
        <v>2.35</v>
      </c>
      <c r="D43" s="21" t="s">
        <v>6242</v>
      </c>
      <c r="E43" s="21" t="s">
        <v>2297</v>
      </c>
      <c r="F43" s="21" t="s">
        <v>11746</v>
      </c>
      <c r="G43" s="21" t="s">
        <v>11720</v>
      </c>
    </row>
    <row r="44" customFormat="false" ht="15" hidden="false" customHeight="false" outlineLevel="0" collapsed="false">
      <c r="B44" s="19" t="s">
        <v>11762</v>
      </c>
      <c r="C44" s="20" t="n">
        <f aca="false">ROUND(18.2/FX,2)</f>
        <v>2.53</v>
      </c>
      <c r="D44" s="21" t="s">
        <v>6242</v>
      </c>
      <c r="E44" s="21" t="s">
        <v>2351</v>
      </c>
      <c r="F44" s="21" t="s">
        <v>11746</v>
      </c>
      <c r="G44" s="21" t="s">
        <v>11720</v>
      </c>
    </row>
    <row r="45" customFormat="false" ht="15" hidden="false" customHeight="false" outlineLevel="0" collapsed="false">
      <c r="B45" s="19" t="s">
        <v>11763</v>
      </c>
      <c r="C45" s="20" t="n">
        <f aca="false">ROUND(19.5/FX,2)</f>
        <v>2.71</v>
      </c>
      <c r="D45" s="21" t="s">
        <v>6242</v>
      </c>
      <c r="E45" s="21" t="s">
        <v>2400</v>
      </c>
      <c r="F45" s="21" t="s">
        <v>11746</v>
      </c>
      <c r="G45" s="21" t="s">
        <v>11720</v>
      </c>
    </row>
    <row r="46" customFormat="false" ht="15" hidden="false" customHeight="false" outlineLevel="0" collapsed="false">
      <c r="B46" s="19" t="s">
        <v>11764</v>
      </c>
      <c r="C46" s="20" t="n">
        <f aca="false">ROUND(20.8/FX,2)</f>
        <v>2.89</v>
      </c>
      <c r="D46" s="21" t="s">
        <v>6242</v>
      </c>
      <c r="E46" s="21" t="s">
        <v>2440</v>
      </c>
      <c r="F46" s="21" t="s">
        <v>11746</v>
      </c>
      <c r="G46" s="21" t="s">
        <v>11720</v>
      </c>
    </row>
    <row r="47" customFormat="false" ht="15" hidden="false" customHeight="false" outlineLevel="0" collapsed="false">
      <c r="B47" s="19" t="s">
        <v>11765</v>
      </c>
      <c r="C47" s="20" t="n">
        <f aca="false">ROUND(22.1/FX,2)</f>
        <v>3.07</v>
      </c>
      <c r="D47" s="21" t="s">
        <v>6242</v>
      </c>
      <c r="E47" s="21" t="s">
        <v>2470</v>
      </c>
      <c r="F47" s="21" t="s">
        <v>11746</v>
      </c>
      <c r="G47" s="21" t="s">
        <v>11720</v>
      </c>
    </row>
    <row r="48" customFormat="false" ht="15" hidden="false" customHeight="false" outlineLevel="0" collapsed="false">
      <c r="B48" s="19" t="s">
        <v>11766</v>
      </c>
      <c r="C48" s="20" t="n">
        <f aca="false">ROUND(21.45/FX,2)</f>
        <v>2.98</v>
      </c>
      <c r="D48" s="21" t="s">
        <v>6242</v>
      </c>
      <c r="E48" s="21" t="s">
        <v>2187</v>
      </c>
      <c r="F48" s="21" t="s">
        <v>11767</v>
      </c>
      <c r="G48" s="21" t="s">
        <v>11720</v>
      </c>
    </row>
    <row r="49" customFormat="false" ht="15" hidden="false" customHeight="false" outlineLevel="0" collapsed="false">
      <c r="B49" s="19" t="s">
        <v>11768</v>
      </c>
      <c r="C49" s="20" t="n">
        <f aca="false">ROUND(25.35/FX,2)</f>
        <v>3.52</v>
      </c>
      <c r="D49" s="21" t="s">
        <v>6242</v>
      </c>
      <c r="E49" s="21" t="s">
        <v>2297</v>
      </c>
      <c r="F49" s="21" t="s">
        <v>11767</v>
      </c>
      <c r="G49" s="21" t="s">
        <v>11720</v>
      </c>
    </row>
    <row r="50" customFormat="false" ht="15" hidden="false" customHeight="false" outlineLevel="0" collapsed="false">
      <c r="B50" s="19" t="s">
        <v>11769</v>
      </c>
      <c r="C50" s="20" t="n">
        <f aca="false">ROUND(4.55/FX,2)</f>
        <v>0.63</v>
      </c>
      <c r="D50" s="21" t="s">
        <v>6242</v>
      </c>
      <c r="E50" s="21" t="s">
        <v>2600</v>
      </c>
      <c r="F50" s="21" t="s">
        <v>11770</v>
      </c>
      <c r="G50" s="21" t="s">
        <v>11720</v>
      </c>
    </row>
    <row r="51" customFormat="false" ht="15" hidden="false" customHeight="false" outlineLevel="0" collapsed="false">
      <c r="B51" s="19" t="s">
        <v>11771</v>
      </c>
      <c r="C51" s="20" t="n">
        <f aca="false">ROUND(55/FX,2)</f>
        <v>7.64</v>
      </c>
      <c r="D51" s="21" t="s">
        <v>6242</v>
      </c>
      <c r="E51" s="21" t="s">
        <v>1881</v>
      </c>
      <c r="F51" s="21" t="s">
        <v>11770</v>
      </c>
      <c r="G51" s="21" t="s">
        <v>11720</v>
      </c>
    </row>
    <row r="52" customFormat="false" ht="15" hidden="false" customHeight="false" outlineLevel="0" collapsed="false">
      <c r="B52" s="19" t="s">
        <v>11772</v>
      </c>
      <c r="C52" s="20" t="n">
        <f aca="false">ROUND(13/FX,2)</f>
        <v>1.81</v>
      </c>
      <c r="D52" s="21" t="s">
        <v>6242</v>
      </c>
      <c r="E52" s="21" t="s">
        <v>1635</v>
      </c>
      <c r="F52" s="21" t="s">
        <v>11770</v>
      </c>
      <c r="G52" s="21" t="s">
        <v>11720</v>
      </c>
    </row>
    <row r="53" customFormat="false" ht="15" hidden="false" customHeight="false" outlineLevel="0" collapsed="false">
      <c r="B53" s="19" t="s">
        <v>11773</v>
      </c>
      <c r="C53" s="20" t="n">
        <f aca="false">ROUND(25/FX,2)</f>
        <v>3.47</v>
      </c>
      <c r="D53" s="21" t="s">
        <v>6242</v>
      </c>
      <c r="E53" s="21" t="s">
        <v>2187</v>
      </c>
      <c r="F53" s="21" t="s">
        <v>11770</v>
      </c>
      <c r="G53" s="21" t="s">
        <v>11720</v>
      </c>
    </row>
    <row r="54" customFormat="false" ht="15" hidden="false" customHeight="false" outlineLevel="0" collapsed="false">
      <c r="B54" s="19" t="s">
        <v>11774</v>
      </c>
      <c r="C54" s="20" t="n">
        <f aca="false">ROUND(2.6/FX,2)</f>
        <v>0.36</v>
      </c>
      <c r="D54" s="21" t="s">
        <v>6242</v>
      </c>
      <c r="E54" s="21" t="s">
        <v>2600</v>
      </c>
      <c r="F54" s="21" t="s">
        <v>11775</v>
      </c>
      <c r="G54" s="21" t="s">
        <v>11720</v>
      </c>
    </row>
    <row r="55" customFormat="false" ht="15" hidden="false" customHeight="false" outlineLevel="0" collapsed="false">
      <c r="B55" s="19" t="s">
        <v>11776</v>
      </c>
      <c r="C55" s="20" t="n">
        <f aca="false">ROUND(23.27/FX,2)</f>
        <v>3.23</v>
      </c>
      <c r="D55" s="21" t="s">
        <v>6242</v>
      </c>
      <c r="E55" s="21" t="s">
        <v>1733</v>
      </c>
      <c r="F55" s="21" t="s">
        <v>11775</v>
      </c>
      <c r="G55" s="21" t="s">
        <v>11720</v>
      </c>
    </row>
    <row r="56" customFormat="false" ht="15" hidden="false" customHeight="false" outlineLevel="0" collapsed="false">
      <c r="B56" s="19" t="s">
        <v>11777</v>
      </c>
      <c r="C56" s="20" t="n">
        <f aca="false">ROUND(28.6/FX,2)</f>
        <v>3.97</v>
      </c>
      <c r="D56" s="21" t="s">
        <v>6242</v>
      </c>
      <c r="E56" s="21" t="s">
        <v>1768</v>
      </c>
      <c r="F56" s="21" t="s">
        <v>11775</v>
      </c>
      <c r="G56" s="21" t="s">
        <v>11720</v>
      </c>
    </row>
    <row r="57" customFormat="false" ht="15" hidden="false" customHeight="false" outlineLevel="0" collapsed="false">
      <c r="B57" s="19" t="s">
        <v>11778</v>
      </c>
      <c r="C57" s="20" t="n">
        <f aca="false">ROUND(31.2/FX,2)</f>
        <v>4.33</v>
      </c>
      <c r="D57" s="21" t="s">
        <v>6242</v>
      </c>
      <c r="E57" s="21" t="s">
        <v>3253</v>
      </c>
      <c r="F57" s="21" t="s">
        <v>11775</v>
      </c>
      <c r="G57" s="21" t="s">
        <v>11720</v>
      </c>
    </row>
    <row r="58" customFormat="false" ht="15" hidden="false" customHeight="false" outlineLevel="0" collapsed="false">
      <c r="B58" s="19" t="s">
        <v>11779</v>
      </c>
      <c r="C58" s="20" t="n">
        <f aca="false">ROUND(31.98/FX,2)</f>
        <v>4.44</v>
      </c>
      <c r="D58" s="21" t="s">
        <v>6242</v>
      </c>
      <c r="E58" s="21" t="s">
        <v>11780</v>
      </c>
      <c r="F58" s="21" t="s">
        <v>11775</v>
      </c>
      <c r="G58" s="21" t="s">
        <v>11720</v>
      </c>
    </row>
    <row r="59" customFormat="false" ht="15" hidden="false" customHeight="false" outlineLevel="0" collapsed="false">
      <c r="B59" s="19" t="s">
        <v>11781</v>
      </c>
      <c r="C59" s="20" t="n">
        <f aca="false">ROUND(3.9/FX,2)</f>
        <v>0.54</v>
      </c>
      <c r="D59" s="21" t="s">
        <v>6242</v>
      </c>
      <c r="E59" s="21" t="s">
        <v>2851</v>
      </c>
      <c r="F59" s="21" t="s">
        <v>11775</v>
      </c>
      <c r="G59" s="21" t="s">
        <v>11720</v>
      </c>
    </row>
    <row r="60" customFormat="false" ht="15" hidden="false" customHeight="false" outlineLevel="0" collapsed="false">
      <c r="B60" s="19" t="s">
        <v>11782</v>
      </c>
      <c r="C60" s="20" t="n">
        <f aca="false">ROUND(34.91/FX,2)</f>
        <v>4.85</v>
      </c>
      <c r="D60" s="21" t="s">
        <v>6242</v>
      </c>
      <c r="E60" s="21" t="s">
        <v>1881</v>
      </c>
      <c r="F60" s="21" t="s">
        <v>11775</v>
      </c>
      <c r="G60" s="21" t="s">
        <v>11720</v>
      </c>
    </row>
    <row r="61" customFormat="false" ht="15" hidden="false" customHeight="false" outlineLevel="0" collapsed="false">
      <c r="B61" s="19" t="s">
        <v>11783</v>
      </c>
      <c r="C61" s="20" t="n">
        <f aca="false">ROUND(5.2/FX,2)</f>
        <v>0.72</v>
      </c>
      <c r="D61" s="21" t="s">
        <v>6242</v>
      </c>
      <c r="E61" s="21" t="s">
        <v>1048</v>
      </c>
      <c r="F61" s="21" t="s">
        <v>11775</v>
      </c>
      <c r="G61" s="21" t="s">
        <v>11720</v>
      </c>
    </row>
    <row r="62" customFormat="false" ht="15" hidden="false" customHeight="false" outlineLevel="0" collapsed="false">
      <c r="B62" s="19" t="s">
        <v>11784</v>
      </c>
      <c r="C62" s="20" t="n">
        <f aca="false">ROUND(52/FX,2)</f>
        <v>7.22</v>
      </c>
      <c r="D62" s="21" t="s">
        <v>6242</v>
      </c>
      <c r="E62" s="21" t="s">
        <v>1924</v>
      </c>
      <c r="F62" s="21" t="s">
        <v>11775</v>
      </c>
      <c r="G62" s="21" t="s">
        <v>11720</v>
      </c>
    </row>
    <row r="63" customFormat="false" ht="15" hidden="false" customHeight="false" outlineLevel="0" collapsed="false">
      <c r="B63" s="19" t="s">
        <v>11785</v>
      </c>
      <c r="C63" s="20" t="n">
        <f aca="false">ROUND(6.5/FX,2)</f>
        <v>0.9</v>
      </c>
      <c r="D63" s="21" t="s">
        <v>6242</v>
      </c>
      <c r="E63" s="21" t="s">
        <v>1323</v>
      </c>
      <c r="F63" s="21" t="s">
        <v>11775</v>
      </c>
      <c r="G63" s="21" t="s">
        <v>11720</v>
      </c>
    </row>
    <row r="64" customFormat="false" ht="15" hidden="false" customHeight="false" outlineLevel="0" collapsed="false">
      <c r="B64" s="19" t="s">
        <v>11786</v>
      </c>
      <c r="C64" s="20" t="n">
        <f aca="false">ROUND(7.8/FX,2)</f>
        <v>1.08</v>
      </c>
      <c r="D64" s="21" t="s">
        <v>6242</v>
      </c>
      <c r="E64" s="21" t="s">
        <v>1520</v>
      </c>
      <c r="F64" s="21" t="s">
        <v>11775</v>
      </c>
      <c r="G64" s="21" t="s">
        <v>11720</v>
      </c>
    </row>
    <row r="65" customFormat="false" ht="15" hidden="false" customHeight="false" outlineLevel="0" collapsed="false">
      <c r="B65" s="19" t="s">
        <v>11787</v>
      </c>
      <c r="C65" s="20" t="n">
        <f aca="false">ROUND(7.1/FX,2)</f>
        <v>0.99</v>
      </c>
      <c r="D65" s="21" t="s">
        <v>6242</v>
      </c>
      <c r="E65" s="21" t="s">
        <v>4925</v>
      </c>
      <c r="F65" s="21" t="s">
        <v>11775</v>
      </c>
      <c r="G65" s="21" t="s">
        <v>11720</v>
      </c>
    </row>
    <row r="66" customFormat="false" ht="15" hidden="false" customHeight="false" outlineLevel="0" collapsed="false">
      <c r="B66" s="19" t="s">
        <v>11788</v>
      </c>
      <c r="C66" s="20" t="n">
        <f aca="false">ROUND(7.24/FX,2)</f>
        <v>1.01</v>
      </c>
      <c r="D66" s="21" t="s">
        <v>6242</v>
      </c>
      <c r="E66" s="21" t="s">
        <v>11789</v>
      </c>
      <c r="F66" s="21" t="s">
        <v>11775</v>
      </c>
      <c r="G66" s="21" t="s">
        <v>11720</v>
      </c>
    </row>
    <row r="67" customFormat="false" ht="15" hidden="false" customHeight="false" outlineLevel="0" collapsed="false">
      <c r="B67" s="19" t="s">
        <v>11790</v>
      </c>
      <c r="C67" s="20" t="n">
        <f aca="false">ROUND(8.22/FX,2)</f>
        <v>1.14</v>
      </c>
      <c r="D67" s="21" t="s">
        <v>6242</v>
      </c>
      <c r="E67" s="21" t="s">
        <v>1560</v>
      </c>
      <c r="F67" s="21" t="s">
        <v>11775</v>
      </c>
      <c r="G67" s="21" t="s">
        <v>11720</v>
      </c>
    </row>
    <row r="68" customFormat="false" ht="15" hidden="false" customHeight="false" outlineLevel="0" collapsed="false">
      <c r="B68" s="19" t="s">
        <v>11791</v>
      </c>
      <c r="C68" s="20" t="n">
        <f aca="false">ROUND(9.1/FX,2)</f>
        <v>1.26</v>
      </c>
      <c r="D68" s="21" t="s">
        <v>6242</v>
      </c>
      <c r="E68" s="21" t="s">
        <v>1635</v>
      </c>
      <c r="F68" s="21" t="s">
        <v>11775</v>
      </c>
      <c r="G68" s="21" t="s">
        <v>11720</v>
      </c>
    </row>
    <row r="69" customFormat="false" ht="15" hidden="false" customHeight="false" outlineLevel="0" collapsed="false">
      <c r="B69" s="19" t="s">
        <v>11792</v>
      </c>
      <c r="C69" s="20" t="n">
        <f aca="false">ROUND(8.71/FX,2)</f>
        <v>1.21</v>
      </c>
      <c r="D69" s="21" t="s">
        <v>6242</v>
      </c>
      <c r="E69" s="21" t="s">
        <v>5058</v>
      </c>
      <c r="F69" s="21" t="s">
        <v>11775</v>
      </c>
      <c r="G69" s="21" t="s">
        <v>11720</v>
      </c>
    </row>
    <row r="70" customFormat="false" ht="15" hidden="false" customHeight="false" outlineLevel="0" collapsed="false">
      <c r="B70" s="19" t="s">
        <v>11793</v>
      </c>
      <c r="C70" s="20" t="n">
        <f aca="false">ROUND(10.4/FX,2)</f>
        <v>1.44</v>
      </c>
      <c r="D70" s="21" t="s">
        <v>6242</v>
      </c>
      <c r="E70" s="21" t="s">
        <v>2002</v>
      </c>
      <c r="F70" s="21" t="s">
        <v>11775</v>
      </c>
      <c r="G70" s="21" t="s">
        <v>11720</v>
      </c>
    </row>
    <row r="71" customFormat="false" ht="15" hidden="false" customHeight="false" outlineLevel="0" collapsed="false">
      <c r="B71" s="19" t="s">
        <v>11794</v>
      </c>
      <c r="C71" s="20" t="n">
        <f aca="false">ROUND(11.7/FX,2)</f>
        <v>1.63</v>
      </c>
      <c r="D71" s="21" t="s">
        <v>6242</v>
      </c>
      <c r="E71" s="21" t="s">
        <v>2067</v>
      </c>
      <c r="F71" s="21" t="s">
        <v>11775</v>
      </c>
      <c r="G71" s="21" t="s">
        <v>11720</v>
      </c>
    </row>
    <row r="72" customFormat="false" ht="15" hidden="false" customHeight="false" outlineLevel="0" collapsed="false">
      <c r="B72" s="19" t="s">
        <v>11795</v>
      </c>
      <c r="C72" s="20" t="n">
        <f aca="false">ROUND(12.35/FX,2)</f>
        <v>1.72</v>
      </c>
      <c r="D72" s="21" t="s">
        <v>6242</v>
      </c>
      <c r="E72" s="21" t="s">
        <v>2142</v>
      </c>
      <c r="F72" s="21" t="s">
        <v>11775</v>
      </c>
      <c r="G72" s="21" t="s">
        <v>11720</v>
      </c>
    </row>
    <row r="73" customFormat="false" ht="15" hidden="false" customHeight="false" outlineLevel="0" collapsed="false">
      <c r="B73" s="19" t="s">
        <v>11796</v>
      </c>
      <c r="C73" s="20" t="n">
        <f aca="false">ROUND(13.39/FX,2)</f>
        <v>1.86</v>
      </c>
      <c r="D73" s="21" t="s">
        <v>6242</v>
      </c>
      <c r="E73" s="21" t="s">
        <v>5362</v>
      </c>
      <c r="F73" s="21" t="s">
        <v>11775</v>
      </c>
      <c r="G73" s="21" t="s">
        <v>11720</v>
      </c>
    </row>
    <row r="74" customFormat="false" ht="15" hidden="false" customHeight="false" outlineLevel="0" collapsed="false">
      <c r="B74" s="19" t="s">
        <v>11797</v>
      </c>
      <c r="C74" s="20" t="n">
        <f aca="false">ROUND(14.3/FX,2)</f>
        <v>1.99</v>
      </c>
      <c r="D74" s="21" t="s">
        <v>6242</v>
      </c>
      <c r="E74" s="21" t="s">
        <v>2187</v>
      </c>
      <c r="F74" s="21" t="s">
        <v>11775</v>
      </c>
      <c r="G74" s="21" t="s">
        <v>11720</v>
      </c>
    </row>
    <row r="75" customFormat="false" ht="15" hidden="false" customHeight="false" outlineLevel="0" collapsed="false">
      <c r="B75" s="19" t="s">
        <v>11798</v>
      </c>
      <c r="C75" s="20" t="n">
        <f aca="false">ROUND(14.56/FX,2)</f>
        <v>2.02</v>
      </c>
      <c r="D75" s="21" t="s">
        <v>6242</v>
      </c>
      <c r="E75" s="21" t="s">
        <v>11740</v>
      </c>
      <c r="F75" s="21" t="s">
        <v>11775</v>
      </c>
      <c r="G75" s="21" t="s">
        <v>11720</v>
      </c>
    </row>
    <row r="76" customFormat="false" ht="15" hidden="false" customHeight="false" outlineLevel="0" collapsed="false">
      <c r="B76" s="19" t="s">
        <v>11799</v>
      </c>
      <c r="C76" s="20" t="n">
        <f aca="false">ROUND(15.6/FX,2)</f>
        <v>2.17</v>
      </c>
      <c r="D76" s="21" t="s">
        <v>6242</v>
      </c>
      <c r="E76" s="21" t="s">
        <v>2227</v>
      </c>
      <c r="F76" s="21" t="s">
        <v>11775</v>
      </c>
      <c r="G76" s="21" t="s">
        <v>11720</v>
      </c>
    </row>
    <row r="77" customFormat="false" ht="15" hidden="false" customHeight="false" outlineLevel="0" collapsed="false">
      <c r="B77" s="19" t="s">
        <v>11800</v>
      </c>
      <c r="C77" s="20" t="n">
        <f aca="false">ROUND(16.9/FX,2)</f>
        <v>2.35</v>
      </c>
      <c r="D77" s="21" t="s">
        <v>6242</v>
      </c>
      <c r="E77" s="21" t="s">
        <v>2297</v>
      </c>
      <c r="F77" s="21" t="s">
        <v>11775</v>
      </c>
      <c r="G77" s="21" t="s">
        <v>11720</v>
      </c>
    </row>
    <row r="78" customFormat="false" ht="15" hidden="false" customHeight="false" outlineLevel="0" collapsed="false">
      <c r="B78" s="19" t="s">
        <v>11801</v>
      </c>
      <c r="C78" s="20" t="n">
        <f aca="false">ROUND(18.2/FX,2)</f>
        <v>2.53</v>
      </c>
      <c r="D78" s="21" t="s">
        <v>6242</v>
      </c>
      <c r="E78" s="21" t="s">
        <v>2351</v>
      </c>
      <c r="F78" s="21" t="s">
        <v>11775</v>
      </c>
      <c r="G78" s="21" t="s">
        <v>11720</v>
      </c>
    </row>
    <row r="79" customFormat="false" ht="15" hidden="false" customHeight="false" outlineLevel="0" collapsed="false">
      <c r="B79" s="19" t="s">
        <v>11802</v>
      </c>
      <c r="C79" s="20" t="n">
        <f aca="false">ROUND(18.46/FX,2)</f>
        <v>2.56</v>
      </c>
      <c r="D79" s="21" t="s">
        <v>6242</v>
      </c>
      <c r="E79" s="21" t="s">
        <v>2363</v>
      </c>
      <c r="F79" s="21" t="s">
        <v>11775</v>
      </c>
      <c r="G79" s="21" t="s">
        <v>11720</v>
      </c>
    </row>
    <row r="80" customFormat="false" ht="15" hidden="false" customHeight="false" outlineLevel="0" collapsed="false">
      <c r="B80" s="19" t="s">
        <v>11803</v>
      </c>
      <c r="C80" s="20" t="n">
        <f aca="false">ROUND(20.8/FX,2)</f>
        <v>2.89</v>
      </c>
      <c r="D80" s="21" t="s">
        <v>6242</v>
      </c>
      <c r="E80" s="21" t="s">
        <v>2440</v>
      </c>
      <c r="F80" s="21" t="s">
        <v>11775</v>
      </c>
      <c r="G80" s="21" t="s">
        <v>11720</v>
      </c>
    </row>
    <row r="81" customFormat="false" ht="15" hidden="false" customHeight="false" outlineLevel="0" collapsed="false">
      <c r="B81" s="19" t="s">
        <v>11804</v>
      </c>
      <c r="C81" s="20" t="n">
        <f aca="false">ROUND(22.1/FX,2)</f>
        <v>3.07</v>
      </c>
      <c r="D81" s="21" t="s">
        <v>6242</v>
      </c>
      <c r="E81" s="21" t="s">
        <v>2470</v>
      </c>
      <c r="F81" s="21" t="s">
        <v>11775</v>
      </c>
      <c r="G81" s="21" t="s">
        <v>11720</v>
      </c>
    </row>
    <row r="82" customFormat="false" ht="15" hidden="false" customHeight="false" outlineLevel="0" collapsed="false">
      <c r="B82" s="19" t="s">
        <v>11805</v>
      </c>
      <c r="C82" s="20" t="n">
        <f aca="false">ROUND(20.95/FX,2)</f>
        <v>2.91</v>
      </c>
      <c r="D82" s="21" t="s">
        <v>6242</v>
      </c>
      <c r="E82" s="21" t="s">
        <v>2500</v>
      </c>
      <c r="F82" s="21" t="s">
        <v>11775</v>
      </c>
      <c r="G82" s="21" t="s">
        <v>11720</v>
      </c>
    </row>
    <row r="83" customFormat="false" ht="15" hidden="false" customHeight="false" outlineLevel="0" collapsed="false">
      <c r="B83" s="19" t="s">
        <v>11806</v>
      </c>
      <c r="C83" s="20" t="n">
        <f aca="false">ROUND(21.92/FX,2)</f>
        <v>3.04</v>
      </c>
      <c r="D83" s="21" t="s">
        <v>6242</v>
      </c>
      <c r="E83" s="21" t="s">
        <v>11807</v>
      </c>
      <c r="F83" s="21" t="s">
        <v>11775</v>
      </c>
      <c r="G83" s="21" t="s">
        <v>11720</v>
      </c>
    </row>
    <row r="84" customFormat="false" ht="15" hidden="false" customHeight="false" outlineLevel="0" collapsed="false">
      <c r="B84" s="19" t="s">
        <v>11808</v>
      </c>
      <c r="C84" s="20" t="n">
        <f aca="false">ROUND(24.96/FX,2)</f>
        <v>3.47</v>
      </c>
      <c r="D84" s="21" t="s">
        <v>6242</v>
      </c>
      <c r="E84" s="21" t="s">
        <v>2546</v>
      </c>
      <c r="F84" s="21" t="s">
        <v>11775</v>
      </c>
      <c r="G84" s="21" t="s">
        <v>11720</v>
      </c>
    </row>
    <row r="85" customFormat="false" ht="15" hidden="false" customHeight="false" outlineLevel="0" collapsed="false">
      <c r="B85" s="19" t="s">
        <v>11809</v>
      </c>
      <c r="C85" s="20" t="n">
        <f aca="false">ROUND(9.1/FX,2)</f>
        <v>1.26</v>
      </c>
      <c r="D85" s="21" t="s">
        <v>6242</v>
      </c>
      <c r="E85" s="21" t="s">
        <v>1520</v>
      </c>
      <c r="F85" s="21" t="s">
        <v>11775</v>
      </c>
      <c r="G85" s="21" t="s">
        <v>11810</v>
      </c>
    </row>
    <row r="86" customFormat="false" ht="15" hidden="false" customHeight="false" outlineLevel="0" collapsed="false">
      <c r="B86" s="19" t="s">
        <v>11811</v>
      </c>
      <c r="C86" s="20" t="n">
        <f aca="false">ROUND(46.8/FX,2)</f>
        <v>6.5</v>
      </c>
      <c r="D86" s="21" t="s">
        <v>6242</v>
      </c>
      <c r="E86" s="21" t="s">
        <v>1733</v>
      </c>
      <c r="F86" s="21" t="s">
        <v>11812</v>
      </c>
      <c r="G86" s="21" t="s">
        <v>11720</v>
      </c>
    </row>
    <row r="87" customFormat="false" ht="15" hidden="false" customHeight="false" outlineLevel="0" collapsed="false">
      <c r="B87" s="19" t="s">
        <v>11813</v>
      </c>
      <c r="C87" s="20" t="n">
        <f aca="false">ROUND(6.24/FX,2)</f>
        <v>0.87</v>
      </c>
      <c r="D87" s="21" t="s">
        <v>6242</v>
      </c>
      <c r="E87" s="21" t="s">
        <v>1048</v>
      </c>
      <c r="F87" s="21" t="s">
        <v>11812</v>
      </c>
      <c r="G87" s="21" t="s">
        <v>11720</v>
      </c>
    </row>
    <row r="88" customFormat="false" ht="15" hidden="false" customHeight="false" outlineLevel="0" collapsed="false">
      <c r="B88" s="19" t="s">
        <v>11814</v>
      </c>
      <c r="C88" s="20" t="n">
        <f aca="false">ROUND(14.04/FX,2)</f>
        <v>1.95</v>
      </c>
      <c r="D88" s="21" t="s">
        <v>6242</v>
      </c>
      <c r="E88" s="21" t="s">
        <v>1520</v>
      </c>
      <c r="F88" s="21" t="s">
        <v>11812</v>
      </c>
      <c r="G88" s="21" t="s">
        <v>11720</v>
      </c>
    </row>
    <row r="89" customFormat="false" ht="15" hidden="false" customHeight="false" outlineLevel="0" collapsed="false">
      <c r="B89" s="19" t="s">
        <v>11815</v>
      </c>
      <c r="C89" s="20" t="n">
        <f aca="false">ROUND(16.38/FX,2)</f>
        <v>2.28</v>
      </c>
      <c r="D89" s="21" t="s">
        <v>6242</v>
      </c>
      <c r="E89" s="21" t="s">
        <v>1635</v>
      </c>
      <c r="F89" s="21" t="s">
        <v>11812</v>
      </c>
      <c r="G89" s="21" t="s">
        <v>11720</v>
      </c>
    </row>
    <row r="90" customFormat="false" ht="15" hidden="false" customHeight="false" outlineLevel="0" collapsed="false">
      <c r="B90" s="19" t="s">
        <v>11816</v>
      </c>
      <c r="C90" s="20" t="n">
        <f aca="false">ROUND(23.4/FX,2)</f>
        <v>3.25</v>
      </c>
      <c r="D90" s="21" t="s">
        <v>6242</v>
      </c>
      <c r="E90" s="21" t="s">
        <v>2142</v>
      </c>
      <c r="F90" s="21" t="s">
        <v>11812</v>
      </c>
      <c r="G90" s="21" t="s">
        <v>11720</v>
      </c>
    </row>
    <row r="91" customFormat="false" ht="15" hidden="false" customHeight="false" outlineLevel="0" collapsed="false">
      <c r="B91" s="19" t="s">
        <v>11817</v>
      </c>
      <c r="C91" s="20" t="n">
        <f aca="false">ROUND(25.74/FX,2)</f>
        <v>3.58</v>
      </c>
      <c r="D91" s="21" t="s">
        <v>6242</v>
      </c>
      <c r="E91" s="21" t="s">
        <v>2187</v>
      </c>
      <c r="F91" s="21" t="s">
        <v>11812</v>
      </c>
      <c r="G91" s="21" t="s">
        <v>11720</v>
      </c>
    </row>
    <row r="92" customFormat="false" ht="15" hidden="false" customHeight="false" outlineLevel="0" collapsed="false">
      <c r="B92" s="19" t="s">
        <v>11818</v>
      </c>
      <c r="C92" s="20" t="n">
        <f aca="false">ROUND(26.21/FX,2)</f>
        <v>3.64</v>
      </c>
      <c r="D92" s="21" t="s">
        <v>6242</v>
      </c>
      <c r="E92" s="21" t="s">
        <v>11740</v>
      </c>
      <c r="F92" s="21" t="s">
        <v>11812</v>
      </c>
      <c r="G92" s="21" t="s">
        <v>11720</v>
      </c>
    </row>
    <row r="93" customFormat="false" ht="15" hidden="false" customHeight="false" outlineLevel="0" collapsed="false">
      <c r="B93" s="19" t="s">
        <v>11819</v>
      </c>
      <c r="C93" s="20" t="n">
        <f aca="false">ROUND(2.6/FX,2)</f>
        <v>0.36</v>
      </c>
      <c r="D93" s="21" t="s">
        <v>6242</v>
      </c>
      <c r="E93" s="21" t="s">
        <v>2600</v>
      </c>
      <c r="F93" s="21" t="s">
        <v>11820</v>
      </c>
      <c r="G93" s="21" t="s">
        <v>11720</v>
      </c>
    </row>
    <row r="94" customFormat="false" ht="15" hidden="false" customHeight="false" outlineLevel="0" collapsed="false">
      <c r="B94" s="19" t="s">
        <v>11821</v>
      </c>
      <c r="C94" s="20" t="n">
        <f aca="false">ROUND(24.05/FX,2)</f>
        <v>3.34</v>
      </c>
      <c r="D94" s="21" t="s">
        <v>6242</v>
      </c>
      <c r="E94" s="21" t="s">
        <v>1733</v>
      </c>
      <c r="F94" s="21" t="s">
        <v>11820</v>
      </c>
      <c r="G94" s="21" t="s">
        <v>11720</v>
      </c>
    </row>
    <row r="95" customFormat="false" ht="15" hidden="false" customHeight="false" outlineLevel="0" collapsed="false">
      <c r="B95" s="19" t="s">
        <v>11822</v>
      </c>
      <c r="C95" s="20" t="n">
        <f aca="false">ROUND(28.6/FX,2)</f>
        <v>3.97</v>
      </c>
      <c r="D95" s="21" t="s">
        <v>6242</v>
      </c>
      <c r="E95" s="21" t="s">
        <v>1768</v>
      </c>
      <c r="F95" s="21" t="s">
        <v>11820</v>
      </c>
      <c r="G95" s="21" t="s">
        <v>11720</v>
      </c>
    </row>
    <row r="96" customFormat="false" ht="15" hidden="false" customHeight="false" outlineLevel="0" collapsed="false">
      <c r="B96" s="19" t="s">
        <v>11823</v>
      </c>
      <c r="C96" s="20" t="n">
        <f aca="false">ROUND(31.2/FX,2)</f>
        <v>4.33</v>
      </c>
      <c r="D96" s="21" t="s">
        <v>6242</v>
      </c>
      <c r="E96" s="21" t="s">
        <v>3253</v>
      </c>
      <c r="F96" s="21" t="s">
        <v>11820</v>
      </c>
      <c r="G96" s="21" t="s">
        <v>11720</v>
      </c>
    </row>
    <row r="97" customFormat="false" ht="15" hidden="false" customHeight="false" outlineLevel="0" collapsed="false">
      <c r="B97" s="19" t="s">
        <v>11824</v>
      </c>
      <c r="C97" s="20" t="n">
        <f aca="false">ROUND(3.9/FX,2)</f>
        <v>0.54</v>
      </c>
      <c r="D97" s="21" t="s">
        <v>6242</v>
      </c>
      <c r="E97" s="21" t="s">
        <v>2851</v>
      </c>
      <c r="F97" s="21" t="s">
        <v>11820</v>
      </c>
      <c r="G97" s="21" t="s">
        <v>11720</v>
      </c>
    </row>
    <row r="98" customFormat="false" ht="15" hidden="false" customHeight="false" outlineLevel="0" collapsed="false">
      <c r="B98" s="19" t="s">
        <v>11825</v>
      </c>
      <c r="C98" s="20" t="n">
        <f aca="false">ROUND(39/FX,2)</f>
        <v>5.42</v>
      </c>
      <c r="D98" s="21" t="s">
        <v>6242</v>
      </c>
      <c r="E98" s="21" t="s">
        <v>1881</v>
      </c>
      <c r="F98" s="21" t="s">
        <v>11820</v>
      </c>
      <c r="G98" s="21" t="s">
        <v>11720</v>
      </c>
    </row>
    <row r="99" customFormat="false" ht="15" hidden="false" customHeight="false" outlineLevel="0" collapsed="false">
      <c r="B99" s="19" t="s">
        <v>11826</v>
      </c>
      <c r="C99" s="20" t="n">
        <f aca="false">ROUND(5.2/FX,2)</f>
        <v>0.72</v>
      </c>
      <c r="D99" s="21" t="s">
        <v>6242</v>
      </c>
      <c r="E99" s="21" t="s">
        <v>1048</v>
      </c>
      <c r="F99" s="21" t="s">
        <v>11820</v>
      </c>
      <c r="G99" s="21" t="s">
        <v>11720</v>
      </c>
    </row>
    <row r="100" customFormat="false" ht="15" hidden="false" customHeight="false" outlineLevel="0" collapsed="false">
      <c r="B100" s="19" t="s">
        <v>11827</v>
      </c>
      <c r="C100" s="20" t="n">
        <f aca="false">ROUND(6.5/FX,2)</f>
        <v>0.9</v>
      </c>
      <c r="D100" s="21" t="s">
        <v>6242</v>
      </c>
      <c r="E100" s="21" t="s">
        <v>1323</v>
      </c>
      <c r="F100" s="21" t="s">
        <v>11820</v>
      </c>
      <c r="G100" s="21" t="s">
        <v>11720</v>
      </c>
    </row>
    <row r="101" customFormat="false" ht="15" hidden="false" customHeight="false" outlineLevel="0" collapsed="false">
      <c r="B101" s="19" t="s">
        <v>11828</v>
      </c>
      <c r="C101" s="20" t="n">
        <f aca="false">ROUND(7.15/FX,2)</f>
        <v>0.99</v>
      </c>
      <c r="D101" s="21" t="s">
        <v>6242</v>
      </c>
      <c r="E101" s="21" t="s">
        <v>4883</v>
      </c>
      <c r="F101" s="21" t="s">
        <v>11820</v>
      </c>
      <c r="G101" s="21" t="s">
        <v>11720</v>
      </c>
    </row>
    <row r="102" customFormat="false" ht="15" hidden="false" customHeight="false" outlineLevel="0" collapsed="false">
      <c r="B102" s="19" t="s">
        <v>11829</v>
      </c>
      <c r="C102" s="20" t="n">
        <f aca="false">ROUND(7.8/FX,2)</f>
        <v>1.08</v>
      </c>
      <c r="D102" s="21" t="s">
        <v>6242</v>
      </c>
      <c r="E102" s="21" t="s">
        <v>1520</v>
      </c>
      <c r="F102" s="21" t="s">
        <v>11820</v>
      </c>
      <c r="G102" s="21" t="s">
        <v>11720</v>
      </c>
    </row>
    <row r="103" customFormat="false" ht="15" hidden="false" customHeight="false" outlineLevel="0" collapsed="false">
      <c r="B103" s="19" t="s">
        <v>11830</v>
      </c>
      <c r="C103" s="20" t="n">
        <f aca="false">ROUND(8.71/FX,2)</f>
        <v>1.21</v>
      </c>
      <c r="D103" s="21" t="s">
        <v>6242</v>
      </c>
      <c r="E103" s="21" t="s">
        <v>4975</v>
      </c>
      <c r="F103" s="21" t="s">
        <v>11820</v>
      </c>
      <c r="G103" s="21" t="s">
        <v>11720</v>
      </c>
    </row>
    <row r="104" customFormat="false" ht="15" hidden="false" customHeight="false" outlineLevel="0" collapsed="false">
      <c r="B104" s="19" t="s">
        <v>11831</v>
      </c>
      <c r="C104" s="20" t="n">
        <f aca="false">ROUND(9.1/FX,2)</f>
        <v>1.26</v>
      </c>
      <c r="D104" s="21" t="s">
        <v>6242</v>
      </c>
      <c r="E104" s="21" t="s">
        <v>1635</v>
      </c>
      <c r="F104" s="21" t="s">
        <v>11820</v>
      </c>
      <c r="G104" s="21" t="s">
        <v>11720</v>
      </c>
    </row>
    <row r="105" customFormat="false" ht="15" hidden="false" customHeight="false" outlineLevel="0" collapsed="false">
      <c r="B105" s="19" t="s">
        <v>11832</v>
      </c>
      <c r="C105" s="20" t="n">
        <f aca="false">ROUND(10.4/FX,2)</f>
        <v>1.44</v>
      </c>
      <c r="D105" s="21" t="s">
        <v>6242</v>
      </c>
      <c r="E105" s="21" t="s">
        <v>2002</v>
      </c>
      <c r="F105" s="21" t="s">
        <v>11820</v>
      </c>
      <c r="G105" s="21" t="s">
        <v>11720</v>
      </c>
    </row>
    <row r="106" customFormat="false" ht="15" hidden="false" customHeight="false" outlineLevel="0" collapsed="false">
      <c r="B106" s="19" t="s">
        <v>11833</v>
      </c>
      <c r="C106" s="20" t="n">
        <f aca="false">ROUND(11.7/FX,2)</f>
        <v>1.63</v>
      </c>
      <c r="D106" s="21" t="s">
        <v>6242</v>
      </c>
      <c r="E106" s="21" t="s">
        <v>2067</v>
      </c>
      <c r="F106" s="21" t="s">
        <v>11820</v>
      </c>
      <c r="G106" s="21" t="s">
        <v>11720</v>
      </c>
    </row>
    <row r="107" customFormat="false" ht="15" hidden="false" customHeight="false" outlineLevel="0" collapsed="false">
      <c r="B107" s="19" t="s">
        <v>11834</v>
      </c>
      <c r="C107" s="20" t="n">
        <f aca="false">ROUND(12.48/FX,2)</f>
        <v>1.73</v>
      </c>
      <c r="D107" s="21" t="s">
        <v>6242</v>
      </c>
      <c r="E107" s="21" t="s">
        <v>2112</v>
      </c>
      <c r="F107" s="21" t="s">
        <v>11820</v>
      </c>
      <c r="G107" s="21" t="s">
        <v>11720</v>
      </c>
    </row>
    <row r="108" customFormat="false" ht="15" hidden="false" customHeight="false" outlineLevel="0" collapsed="false">
      <c r="B108" s="19" t="s">
        <v>11835</v>
      </c>
      <c r="C108" s="20" t="n">
        <f aca="false">ROUND(13/FX,2)</f>
        <v>1.81</v>
      </c>
      <c r="D108" s="21" t="s">
        <v>6242</v>
      </c>
      <c r="E108" s="21" t="s">
        <v>2142</v>
      </c>
      <c r="F108" s="21" t="s">
        <v>11820</v>
      </c>
      <c r="G108" s="21" t="s">
        <v>11720</v>
      </c>
    </row>
    <row r="109" customFormat="false" ht="15" hidden="false" customHeight="false" outlineLevel="0" collapsed="false">
      <c r="B109" s="19" t="s">
        <v>11836</v>
      </c>
      <c r="C109" s="20" t="n">
        <f aca="false">ROUND(14.3/FX,2)</f>
        <v>1.99</v>
      </c>
      <c r="D109" s="21" t="s">
        <v>6242</v>
      </c>
      <c r="E109" s="21" t="s">
        <v>2187</v>
      </c>
      <c r="F109" s="21" t="s">
        <v>11820</v>
      </c>
      <c r="G109" s="21" t="s">
        <v>11720</v>
      </c>
    </row>
    <row r="110" customFormat="false" ht="15" hidden="false" customHeight="false" outlineLevel="0" collapsed="false">
      <c r="B110" s="19" t="s">
        <v>11837</v>
      </c>
      <c r="C110" s="20" t="n">
        <f aca="false">ROUND(15.6/FX,2)</f>
        <v>2.17</v>
      </c>
      <c r="D110" s="21" t="s">
        <v>6242</v>
      </c>
      <c r="E110" s="21" t="s">
        <v>2227</v>
      </c>
      <c r="F110" s="21" t="s">
        <v>11820</v>
      </c>
      <c r="G110" s="21" t="s">
        <v>11720</v>
      </c>
    </row>
    <row r="111" customFormat="false" ht="15" hidden="false" customHeight="false" outlineLevel="0" collapsed="false">
      <c r="B111" s="19" t="s">
        <v>11838</v>
      </c>
      <c r="C111" s="20" t="n">
        <f aca="false">ROUND(16.9/FX,2)</f>
        <v>2.35</v>
      </c>
      <c r="D111" s="21" t="s">
        <v>6242</v>
      </c>
      <c r="E111" s="21" t="s">
        <v>2297</v>
      </c>
      <c r="F111" s="21" t="s">
        <v>11820</v>
      </c>
      <c r="G111" s="21" t="s">
        <v>11720</v>
      </c>
    </row>
    <row r="112" customFormat="false" ht="15" hidden="false" customHeight="false" outlineLevel="0" collapsed="false">
      <c r="B112" s="19" t="s">
        <v>11839</v>
      </c>
      <c r="C112" s="20" t="n">
        <f aca="false">ROUND(18.2/FX,2)</f>
        <v>2.53</v>
      </c>
      <c r="D112" s="21" t="s">
        <v>6242</v>
      </c>
      <c r="E112" s="21" t="s">
        <v>2351</v>
      </c>
      <c r="F112" s="21" t="s">
        <v>11820</v>
      </c>
      <c r="G112" s="21" t="s">
        <v>11720</v>
      </c>
    </row>
    <row r="113" customFormat="false" ht="15" hidden="false" customHeight="false" outlineLevel="0" collapsed="false">
      <c r="B113" s="19" t="s">
        <v>11840</v>
      </c>
      <c r="C113" s="20" t="n">
        <f aca="false">ROUND(19.5/FX,2)</f>
        <v>2.71</v>
      </c>
      <c r="D113" s="21" t="s">
        <v>6242</v>
      </c>
      <c r="E113" s="21" t="s">
        <v>2400</v>
      </c>
      <c r="F113" s="21" t="s">
        <v>11820</v>
      </c>
      <c r="G113" s="21" t="s">
        <v>11720</v>
      </c>
    </row>
    <row r="114" customFormat="false" ht="15" hidden="false" customHeight="false" outlineLevel="0" collapsed="false">
      <c r="B114" s="19" t="s">
        <v>11841</v>
      </c>
      <c r="C114" s="20" t="n">
        <f aca="false">ROUND(20.8/FX,2)</f>
        <v>2.89</v>
      </c>
      <c r="D114" s="21" t="s">
        <v>6242</v>
      </c>
      <c r="E114" s="21" t="s">
        <v>2440</v>
      </c>
      <c r="F114" s="21" t="s">
        <v>11820</v>
      </c>
      <c r="G114" s="21" t="s">
        <v>11720</v>
      </c>
    </row>
    <row r="115" customFormat="false" ht="15" hidden="false" customHeight="false" outlineLevel="0" collapsed="false">
      <c r="B115" s="19" t="s">
        <v>11842</v>
      </c>
      <c r="C115" s="20" t="n">
        <f aca="false">ROUND(8.4/FX,2)</f>
        <v>1.17</v>
      </c>
      <c r="D115" s="21" t="s">
        <v>6242</v>
      </c>
      <c r="E115" s="21" t="s">
        <v>1520</v>
      </c>
      <c r="F115" s="21" t="s">
        <v>11843</v>
      </c>
      <c r="G115" s="21" t="s">
        <v>11720</v>
      </c>
    </row>
    <row r="116" customFormat="false" ht="15" hidden="false" customHeight="false" outlineLevel="0" collapsed="false">
      <c r="B116" s="19" t="s">
        <v>11844</v>
      </c>
      <c r="C116" s="20" t="n">
        <f aca="false">ROUND(2.6/FX,2)</f>
        <v>0.36</v>
      </c>
      <c r="D116" s="21" t="s">
        <v>6242</v>
      </c>
      <c r="E116" s="21" t="s">
        <v>2600</v>
      </c>
      <c r="F116" s="21" t="s">
        <v>11845</v>
      </c>
      <c r="G116" s="21" t="s">
        <v>11720</v>
      </c>
    </row>
    <row r="117" customFormat="false" ht="15" hidden="false" customHeight="false" outlineLevel="0" collapsed="false">
      <c r="B117" s="19" t="s">
        <v>11846</v>
      </c>
      <c r="C117" s="20" t="n">
        <f aca="false">ROUND(26/FX,2)</f>
        <v>3.61</v>
      </c>
      <c r="D117" s="21" t="s">
        <v>6242</v>
      </c>
      <c r="E117" s="21" t="s">
        <v>1733</v>
      </c>
      <c r="F117" s="21" t="s">
        <v>11845</v>
      </c>
      <c r="G117" s="21" t="s">
        <v>11720</v>
      </c>
    </row>
    <row r="118" customFormat="false" ht="15" hidden="false" customHeight="false" outlineLevel="0" collapsed="false">
      <c r="B118" s="19" t="s">
        <v>11847</v>
      </c>
      <c r="C118" s="20" t="n">
        <f aca="false">ROUND(28.6/FX,2)</f>
        <v>3.97</v>
      </c>
      <c r="D118" s="21" t="s">
        <v>6242</v>
      </c>
      <c r="E118" s="21" t="s">
        <v>1768</v>
      </c>
      <c r="F118" s="21" t="s">
        <v>11845</v>
      </c>
      <c r="G118" s="21" t="s">
        <v>11720</v>
      </c>
    </row>
    <row r="119" customFormat="false" ht="15" hidden="false" customHeight="false" outlineLevel="0" collapsed="false">
      <c r="B119" s="19" t="s">
        <v>11848</v>
      </c>
      <c r="C119" s="20" t="n">
        <f aca="false">ROUND(31.2/FX,2)</f>
        <v>4.33</v>
      </c>
      <c r="D119" s="21" t="s">
        <v>6242</v>
      </c>
      <c r="E119" s="21" t="s">
        <v>3253</v>
      </c>
      <c r="F119" s="21" t="s">
        <v>11845</v>
      </c>
      <c r="G119" s="21" t="s">
        <v>11720</v>
      </c>
    </row>
    <row r="120" customFormat="false" ht="15" hidden="false" customHeight="false" outlineLevel="0" collapsed="false">
      <c r="B120" s="19" t="s">
        <v>11849</v>
      </c>
      <c r="C120" s="20" t="n">
        <f aca="false">ROUND(31.72/FX,2)</f>
        <v>4.41</v>
      </c>
      <c r="D120" s="21" t="s">
        <v>6242</v>
      </c>
      <c r="E120" s="21" t="s">
        <v>1807</v>
      </c>
      <c r="F120" s="21" t="s">
        <v>11845</v>
      </c>
      <c r="G120" s="21" t="s">
        <v>11720</v>
      </c>
    </row>
    <row r="121" customFormat="false" ht="15" hidden="false" customHeight="false" outlineLevel="0" collapsed="false">
      <c r="B121" s="19" t="s">
        <v>11850</v>
      </c>
      <c r="C121" s="20" t="n">
        <f aca="false">ROUND(3.9/FX,2)</f>
        <v>0.54</v>
      </c>
      <c r="D121" s="21" t="s">
        <v>6242</v>
      </c>
      <c r="E121" s="21" t="s">
        <v>2851</v>
      </c>
      <c r="F121" s="21" t="s">
        <v>11845</v>
      </c>
      <c r="G121" s="21" t="s">
        <v>11720</v>
      </c>
    </row>
    <row r="122" customFormat="false" ht="15" hidden="false" customHeight="false" outlineLevel="0" collapsed="false">
      <c r="B122" s="19" t="s">
        <v>11851</v>
      </c>
      <c r="C122" s="20" t="n">
        <f aca="false">ROUND(34.91/FX,2)</f>
        <v>4.85</v>
      </c>
      <c r="D122" s="21" t="s">
        <v>6242</v>
      </c>
      <c r="E122" s="21" t="s">
        <v>1881</v>
      </c>
      <c r="F122" s="21" t="s">
        <v>11845</v>
      </c>
      <c r="G122" s="21" t="s">
        <v>11720</v>
      </c>
    </row>
    <row r="123" customFormat="false" ht="15" hidden="false" customHeight="false" outlineLevel="0" collapsed="false">
      <c r="B123" s="19" t="s">
        <v>11852</v>
      </c>
      <c r="C123" s="20" t="n">
        <f aca="false">ROUND(40.04/FX,2)</f>
        <v>5.56</v>
      </c>
      <c r="D123" s="21" t="s">
        <v>6242</v>
      </c>
      <c r="E123" s="21" t="s">
        <v>1902</v>
      </c>
      <c r="F123" s="21" t="s">
        <v>11845</v>
      </c>
      <c r="G123" s="21" t="s">
        <v>11720</v>
      </c>
    </row>
    <row r="124" customFormat="false" ht="15" hidden="false" customHeight="false" outlineLevel="0" collapsed="false">
      <c r="B124" s="19" t="s">
        <v>11853</v>
      </c>
      <c r="C124" s="20" t="n">
        <f aca="false">ROUND(5.2/FX,2)</f>
        <v>0.72</v>
      </c>
      <c r="D124" s="21" t="s">
        <v>6242</v>
      </c>
      <c r="E124" s="21" t="s">
        <v>1048</v>
      </c>
      <c r="F124" s="21" t="s">
        <v>11845</v>
      </c>
      <c r="G124" s="21" t="s">
        <v>11720</v>
      </c>
    </row>
    <row r="125" customFormat="false" ht="15" hidden="false" customHeight="false" outlineLevel="0" collapsed="false">
      <c r="B125" s="19" t="s">
        <v>11854</v>
      </c>
      <c r="C125" s="20" t="n">
        <f aca="false">ROUND(52/FX,2)</f>
        <v>7.22</v>
      </c>
      <c r="D125" s="21" t="s">
        <v>6242</v>
      </c>
      <c r="E125" s="21" t="s">
        <v>1924</v>
      </c>
      <c r="F125" s="21" t="s">
        <v>11845</v>
      </c>
      <c r="G125" s="21" t="s">
        <v>11720</v>
      </c>
    </row>
    <row r="126" customFormat="false" ht="15" hidden="false" customHeight="false" outlineLevel="0" collapsed="false">
      <c r="B126" s="19" t="s">
        <v>11855</v>
      </c>
      <c r="C126" s="20" t="n">
        <f aca="false">ROUND(6.5/FX,2)</f>
        <v>0.9</v>
      </c>
      <c r="D126" s="21" t="s">
        <v>6242</v>
      </c>
      <c r="E126" s="21" t="s">
        <v>1323</v>
      </c>
      <c r="F126" s="21" t="s">
        <v>11845</v>
      </c>
      <c r="G126" s="21" t="s">
        <v>11720</v>
      </c>
    </row>
    <row r="127" customFormat="false" ht="15" hidden="false" customHeight="false" outlineLevel="0" collapsed="false">
      <c r="B127" s="19" t="s">
        <v>11856</v>
      </c>
      <c r="C127" s="20" t="n">
        <f aca="false">ROUND(6.4/FX,2)</f>
        <v>0.89</v>
      </c>
      <c r="D127" s="21" t="s">
        <v>6242</v>
      </c>
      <c r="E127" s="21" t="s">
        <v>4883</v>
      </c>
      <c r="F127" s="21" t="s">
        <v>11845</v>
      </c>
      <c r="G127" s="21" t="s">
        <v>11720</v>
      </c>
    </row>
    <row r="128" customFormat="false" ht="15" hidden="false" customHeight="false" outlineLevel="0" collapsed="false">
      <c r="B128" s="19" t="s">
        <v>11857</v>
      </c>
      <c r="C128" s="20" t="n">
        <f aca="false">ROUND(7.8/FX,2)</f>
        <v>1.08</v>
      </c>
      <c r="D128" s="21" t="s">
        <v>6242</v>
      </c>
      <c r="E128" s="21" t="s">
        <v>1520</v>
      </c>
      <c r="F128" s="21" t="s">
        <v>11845</v>
      </c>
      <c r="G128" s="21" t="s">
        <v>11720</v>
      </c>
    </row>
    <row r="129" customFormat="false" ht="15" hidden="false" customHeight="false" outlineLevel="0" collapsed="false">
      <c r="B129" s="19" t="s">
        <v>11858</v>
      </c>
      <c r="C129" s="20" t="n">
        <f aca="false">ROUND(9.1/FX,2)</f>
        <v>1.26</v>
      </c>
      <c r="D129" s="21" t="s">
        <v>6242</v>
      </c>
      <c r="E129" s="21" t="s">
        <v>1635</v>
      </c>
      <c r="F129" s="21" t="s">
        <v>11845</v>
      </c>
      <c r="G129" s="21" t="s">
        <v>11720</v>
      </c>
    </row>
    <row r="130" customFormat="false" ht="15" hidden="false" customHeight="false" outlineLevel="0" collapsed="false">
      <c r="B130" s="19" t="s">
        <v>11859</v>
      </c>
      <c r="C130" s="20" t="n">
        <f aca="false">ROUND(10.4/FX,2)</f>
        <v>1.44</v>
      </c>
      <c r="D130" s="21" t="s">
        <v>6242</v>
      </c>
      <c r="E130" s="21" t="s">
        <v>2002</v>
      </c>
      <c r="F130" s="21" t="s">
        <v>11845</v>
      </c>
      <c r="G130" s="21" t="s">
        <v>11720</v>
      </c>
    </row>
    <row r="131" customFormat="false" ht="15" hidden="false" customHeight="false" outlineLevel="0" collapsed="false">
      <c r="B131" s="19" t="s">
        <v>11860</v>
      </c>
      <c r="C131" s="20" t="n">
        <f aca="false">ROUND(11.7/FX,2)</f>
        <v>1.63</v>
      </c>
      <c r="D131" s="21" t="s">
        <v>6242</v>
      </c>
      <c r="E131" s="21" t="s">
        <v>2067</v>
      </c>
      <c r="F131" s="21" t="s">
        <v>11845</v>
      </c>
      <c r="G131" s="21" t="s">
        <v>11720</v>
      </c>
    </row>
    <row r="132" customFormat="false" ht="15" hidden="false" customHeight="false" outlineLevel="0" collapsed="false">
      <c r="B132" s="19" t="s">
        <v>11861</v>
      </c>
      <c r="C132" s="20" t="n">
        <f aca="false">ROUND(12.22/FX,2)</f>
        <v>1.7</v>
      </c>
      <c r="D132" s="21" t="s">
        <v>6242</v>
      </c>
      <c r="E132" s="21" t="s">
        <v>2097</v>
      </c>
      <c r="F132" s="21" t="s">
        <v>11845</v>
      </c>
      <c r="G132" s="21" t="s">
        <v>11720</v>
      </c>
    </row>
    <row r="133" customFormat="false" ht="15" hidden="false" customHeight="false" outlineLevel="0" collapsed="false">
      <c r="B133" s="19" t="s">
        <v>11862</v>
      </c>
      <c r="C133" s="20" t="n">
        <f aca="false">ROUND(13/FX,2)</f>
        <v>1.81</v>
      </c>
      <c r="D133" s="21" t="s">
        <v>6242</v>
      </c>
      <c r="E133" s="21" t="s">
        <v>2142</v>
      </c>
      <c r="F133" s="21" t="s">
        <v>11845</v>
      </c>
      <c r="G133" s="21" t="s">
        <v>11720</v>
      </c>
    </row>
    <row r="134" customFormat="false" ht="15" hidden="false" customHeight="false" outlineLevel="0" collapsed="false">
      <c r="B134" s="19" t="s">
        <v>11863</v>
      </c>
      <c r="C134" s="20" t="n">
        <f aca="false">ROUND(14.3/FX,2)</f>
        <v>1.99</v>
      </c>
      <c r="D134" s="21" t="s">
        <v>6242</v>
      </c>
      <c r="E134" s="21" t="s">
        <v>2187</v>
      </c>
      <c r="F134" s="21" t="s">
        <v>11845</v>
      </c>
      <c r="G134" s="21" t="s">
        <v>11720</v>
      </c>
    </row>
    <row r="135" customFormat="false" ht="15" hidden="false" customHeight="false" outlineLevel="0" collapsed="false">
      <c r="B135" s="19" t="s">
        <v>11864</v>
      </c>
      <c r="C135" s="20" t="n">
        <f aca="false">ROUND(15.6/FX,2)</f>
        <v>2.17</v>
      </c>
      <c r="D135" s="21" t="s">
        <v>6242</v>
      </c>
      <c r="E135" s="21" t="s">
        <v>2227</v>
      </c>
      <c r="F135" s="21" t="s">
        <v>11845</v>
      </c>
      <c r="G135" s="21" t="s">
        <v>11720</v>
      </c>
    </row>
    <row r="136" customFormat="false" ht="15" hidden="false" customHeight="false" outlineLevel="0" collapsed="false">
      <c r="B136" s="19" t="s">
        <v>11865</v>
      </c>
      <c r="C136" s="20" t="n">
        <f aca="false">ROUND(16.9/FX,2)</f>
        <v>2.35</v>
      </c>
      <c r="D136" s="21" t="s">
        <v>6242</v>
      </c>
      <c r="E136" s="21" t="s">
        <v>2297</v>
      </c>
      <c r="F136" s="21" t="s">
        <v>11845</v>
      </c>
      <c r="G136" s="21" t="s">
        <v>11720</v>
      </c>
    </row>
    <row r="137" customFormat="false" ht="15" hidden="false" customHeight="false" outlineLevel="0" collapsed="false">
      <c r="B137" s="19" t="s">
        <v>11866</v>
      </c>
      <c r="C137" s="20" t="n">
        <f aca="false">ROUND(18.2/FX,2)</f>
        <v>2.53</v>
      </c>
      <c r="D137" s="21" t="s">
        <v>6242</v>
      </c>
      <c r="E137" s="21" t="s">
        <v>2351</v>
      </c>
      <c r="F137" s="21" t="s">
        <v>11845</v>
      </c>
      <c r="G137" s="21" t="s">
        <v>11720</v>
      </c>
    </row>
    <row r="138" customFormat="false" ht="15" hidden="false" customHeight="false" outlineLevel="0" collapsed="false">
      <c r="B138" s="19" t="s">
        <v>11867</v>
      </c>
      <c r="C138" s="20" t="n">
        <f aca="false">ROUND(19.5/FX,2)</f>
        <v>2.71</v>
      </c>
      <c r="D138" s="21" t="s">
        <v>6242</v>
      </c>
      <c r="E138" s="21" t="s">
        <v>2400</v>
      </c>
      <c r="F138" s="21" t="s">
        <v>11845</v>
      </c>
      <c r="G138" s="21" t="s">
        <v>11720</v>
      </c>
    </row>
    <row r="139" customFormat="false" ht="15" hidden="false" customHeight="false" outlineLevel="0" collapsed="false">
      <c r="B139" s="19" t="s">
        <v>11868</v>
      </c>
      <c r="C139" s="20" t="n">
        <f aca="false">ROUND(20.8/FX,2)</f>
        <v>2.89</v>
      </c>
      <c r="D139" s="21" t="s">
        <v>6242</v>
      </c>
      <c r="E139" s="21" t="s">
        <v>2440</v>
      </c>
      <c r="F139" s="21" t="s">
        <v>11845</v>
      </c>
      <c r="G139" s="21" t="s">
        <v>11720</v>
      </c>
    </row>
    <row r="140" customFormat="false" ht="15" hidden="false" customHeight="false" outlineLevel="0" collapsed="false">
      <c r="B140" s="19" t="s">
        <v>11869</v>
      </c>
      <c r="C140" s="20" t="n">
        <f aca="false">ROUND(2.34/FX,2)</f>
        <v>0.33</v>
      </c>
      <c r="D140" s="21" t="s">
        <v>6242</v>
      </c>
      <c r="E140" s="21" t="s">
        <v>11870</v>
      </c>
      <c r="F140" s="21" t="s">
        <v>11845</v>
      </c>
      <c r="G140" s="21" t="s">
        <v>11720</v>
      </c>
    </row>
    <row r="141" customFormat="false" ht="15" hidden="false" customHeight="false" outlineLevel="0" collapsed="false">
      <c r="B141" s="19" t="s">
        <v>11871</v>
      </c>
      <c r="C141" s="20" t="n">
        <f aca="false">ROUND(23.4/FX,2)</f>
        <v>3.25</v>
      </c>
      <c r="D141" s="21" t="s">
        <v>6242</v>
      </c>
      <c r="E141" s="21" t="s">
        <v>2500</v>
      </c>
      <c r="F141" s="21" t="s">
        <v>11845</v>
      </c>
      <c r="G141" s="21" t="s">
        <v>11720</v>
      </c>
    </row>
    <row r="142" customFormat="false" ht="15" hidden="false" customHeight="false" outlineLevel="0" collapsed="false">
      <c r="B142" s="19" t="s">
        <v>11872</v>
      </c>
      <c r="C142" s="20" t="n">
        <f aca="false">ROUND(8.97/FX,2)</f>
        <v>1.25</v>
      </c>
      <c r="D142" s="21" t="s">
        <v>6242</v>
      </c>
      <c r="E142" s="21" t="s">
        <v>1520</v>
      </c>
      <c r="F142" s="21" t="s">
        <v>11845</v>
      </c>
      <c r="G142" s="21" t="s">
        <v>11810</v>
      </c>
    </row>
    <row r="143" customFormat="false" ht="15" hidden="false" customHeight="false" outlineLevel="0" collapsed="false">
      <c r="B143" s="19" t="s">
        <v>11873</v>
      </c>
      <c r="C143" s="20" t="n">
        <f aca="false">ROUND(3.25/FX,2)</f>
        <v>0.45</v>
      </c>
      <c r="D143" s="21" t="s">
        <v>6242</v>
      </c>
      <c r="E143" s="21" t="s">
        <v>2600</v>
      </c>
      <c r="F143" s="21" t="s">
        <v>11874</v>
      </c>
      <c r="G143" s="21" t="s">
        <v>11720</v>
      </c>
    </row>
    <row r="144" customFormat="false" ht="15" hidden="false" customHeight="false" outlineLevel="0" collapsed="false">
      <c r="B144" s="19" t="s">
        <v>11875</v>
      </c>
      <c r="C144" s="20" t="n">
        <f aca="false">ROUND(32.5/FX,2)</f>
        <v>4.51</v>
      </c>
      <c r="D144" s="21" t="s">
        <v>6242</v>
      </c>
      <c r="E144" s="21" t="s">
        <v>1733</v>
      </c>
      <c r="F144" s="21" t="s">
        <v>11874</v>
      </c>
      <c r="G144" s="21" t="s">
        <v>11720</v>
      </c>
    </row>
    <row r="145" customFormat="false" ht="15" hidden="false" customHeight="false" outlineLevel="0" collapsed="false">
      <c r="B145" s="19" t="s">
        <v>11876</v>
      </c>
      <c r="C145" s="20" t="n">
        <f aca="false">ROUND(40.63/FX,2)</f>
        <v>5.64</v>
      </c>
      <c r="D145" s="21" t="s">
        <v>6242</v>
      </c>
      <c r="E145" s="21" t="s">
        <v>1822</v>
      </c>
      <c r="F145" s="21" t="s">
        <v>11874</v>
      </c>
      <c r="G145" s="21" t="s">
        <v>11720</v>
      </c>
    </row>
    <row r="146" customFormat="false" ht="15" hidden="false" customHeight="false" outlineLevel="0" collapsed="false">
      <c r="B146" s="19" t="s">
        <v>11877</v>
      </c>
      <c r="C146" s="20" t="n">
        <f aca="false">ROUND(4.88/FX,2)</f>
        <v>0.68</v>
      </c>
      <c r="D146" s="21" t="s">
        <v>6242</v>
      </c>
      <c r="E146" s="21" t="s">
        <v>2851</v>
      </c>
      <c r="F146" s="21" t="s">
        <v>11874</v>
      </c>
      <c r="G146" s="21" t="s">
        <v>11720</v>
      </c>
    </row>
    <row r="147" customFormat="false" ht="15" hidden="false" customHeight="false" outlineLevel="0" collapsed="false">
      <c r="B147" s="19" t="s">
        <v>11878</v>
      </c>
      <c r="C147" s="20" t="n">
        <f aca="false">ROUND(6.5/FX,2)</f>
        <v>0.9</v>
      </c>
      <c r="D147" s="21" t="s">
        <v>6242</v>
      </c>
      <c r="E147" s="21" t="s">
        <v>1048</v>
      </c>
      <c r="F147" s="21" t="s">
        <v>11874</v>
      </c>
      <c r="G147" s="21" t="s">
        <v>11720</v>
      </c>
    </row>
    <row r="148" customFormat="false" ht="15" hidden="false" customHeight="false" outlineLevel="0" collapsed="false">
      <c r="B148" s="19" t="s">
        <v>11879</v>
      </c>
      <c r="C148" s="20" t="n">
        <f aca="false">ROUND(65/FX,2)</f>
        <v>9.03</v>
      </c>
      <c r="D148" s="21" t="s">
        <v>6242</v>
      </c>
      <c r="E148" s="21" t="s">
        <v>1924</v>
      </c>
      <c r="F148" s="21" t="s">
        <v>11874</v>
      </c>
      <c r="G148" s="21" t="s">
        <v>11720</v>
      </c>
    </row>
    <row r="149" customFormat="false" ht="15" hidden="false" customHeight="false" outlineLevel="0" collapsed="false">
      <c r="B149" s="19" t="s">
        <v>11880</v>
      </c>
      <c r="C149" s="20" t="n">
        <f aca="false">ROUND(8.13/FX,2)</f>
        <v>1.13</v>
      </c>
      <c r="D149" s="21" t="s">
        <v>6242</v>
      </c>
      <c r="E149" s="21" t="s">
        <v>1323</v>
      </c>
      <c r="F149" s="21" t="s">
        <v>11874</v>
      </c>
      <c r="G149" s="21" t="s">
        <v>11720</v>
      </c>
    </row>
    <row r="150" customFormat="false" ht="15" hidden="false" customHeight="false" outlineLevel="0" collapsed="false">
      <c r="B150" s="19" t="s">
        <v>11881</v>
      </c>
      <c r="C150" s="20" t="n">
        <f aca="false">ROUND(9.75/FX,2)</f>
        <v>1.35</v>
      </c>
      <c r="D150" s="21" t="s">
        <v>6242</v>
      </c>
      <c r="E150" s="21" t="s">
        <v>1520</v>
      </c>
      <c r="F150" s="21" t="s">
        <v>11874</v>
      </c>
      <c r="G150" s="21" t="s">
        <v>11720</v>
      </c>
    </row>
    <row r="151" customFormat="false" ht="15" hidden="false" customHeight="false" outlineLevel="0" collapsed="false">
      <c r="B151" s="19" t="s">
        <v>11882</v>
      </c>
      <c r="C151" s="20" t="n">
        <f aca="false">ROUND(14.63/FX,2)</f>
        <v>2.03</v>
      </c>
      <c r="D151" s="21" t="s">
        <v>6242</v>
      </c>
      <c r="E151" s="21" t="s">
        <v>2067</v>
      </c>
      <c r="F151" s="21" t="s">
        <v>11874</v>
      </c>
      <c r="G151" s="21" t="s">
        <v>11720</v>
      </c>
    </row>
    <row r="152" customFormat="false" ht="15" hidden="false" customHeight="false" outlineLevel="0" collapsed="false">
      <c r="B152" s="19" t="s">
        <v>11883</v>
      </c>
      <c r="C152" s="20" t="n">
        <f aca="false">ROUND(16.25/FX,2)</f>
        <v>2.26</v>
      </c>
      <c r="D152" s="21" t="s">
        <v>6242</v>
      </c>
      <c r="E152" s="21" t="s">
        <v>2142</v>
      </c>
      <c r="F152" s="21" t="s">
        <v>11874</v>
      </c>
      <c r="G152" s="21" t="s">
        <v>11720</v>
      </c>
    </row>
    <row r="153" customFormat="false" ht="15" hidden="false" customHeight="false" outlineLevel="0" collapsed="false">
      <c r="B153" s="19" t="s">
        <v>11884</v>
      </c>
      <c r="C153" s="20" t="n">
        <f aca="false">ROUND(17.88/FX,2)</f>
        <v>2.48</v>
      </c>
      <c r="D153" s="21" t="s">
        <v>6242</v>
      </c>
      <c r="E153" s="21" t="s">
        <v>2187</v>
      </c>
      <c r="F153" s="21" t="s">
        <v>11874</v>
      </c>
      <c r="G153" s="21" t="s">
        <v>11720</v>
      </c>
    </row>
    <row r="154" customFormat="false" ht="15" hidden="false" customHeight="false" outlineLevel="0" collapsed="false">
      <c r="B154" s="19" t="s">
        <v>11885</v>
      </c>
      <c r="C154" s="20" t="n">
        <f aca="false">ROUND(18.2/FX,2)</f>
        <v>2.53</v>
      </c>
      <c r="D154" s="21" t="s">
        <v>6242</v>
      </c>
      <c r="E154" s="21" t="s">
        <v>11740</v>
      </c>
      <c r="F154" s="21" t="s">
        <v>11874</v>
      </c>
      <c r="G154" s="21" t="s">
        <v>11720</v>
      </c>
    </row>
    <row r="155" customFormat="false" ht="15" hidden="false" customHeight="false" outlineLevel="0" collapsed="false">
      <c r="B155" s="19" t="s">
        <v>11886</v>
      </c>
      <c r="C155" s="20" t="n">
        <f aca="false">ROUND(26/FX,2)</f>
        <v>3.61</v>
      </c>
      <c r="D155" s="21" t="s">
        <v>6242</v>
      </c>
      <c r="E155" s="21" t="s">
        <v>2440</v>
      </c>
      <c r="F155" s="21" t="s">
        <v>11874</v>
      </c>
      <c r="G155" s="21" t="s">
        <v>11720</v>
      </c>
    </row>
    <row r="156" customFormat="false" ht="15" hidden="false" customHeight="false" outlineLevel="0" collapsed="false">
      <c r="B156" s="19" t="s">
        <v>11887</v>
      </c>
      <c r="C156" s="20" t="n">
        <f aca="false">ROUND(35.1/FX,2)</f>
        <v>4.88</v>
      </c>
      <c r="D156" s="21" t="s">
        <v>11888</v>
      </c>
      <c r="E156" s="21" t="s">
        <v>1733</v>
      </c>
      <c r="F156" s="21" t="s">
        <v>11719</v>
      </c>
      <c r="G156" s="21" t="s">
        <v>11720</v>
      </c>
    </row>
    <row r="157" customFormat="false" ht="15" hidden="false" customHeight="false" outlineLevel="0" collapsed="false">
      <c r="B157" s="19" t="s">
        <v>11889</v>
      </c>
      <c r="C157" s="20" t="n">
        <f aca="false">ROUND(42.12/FX,2)</f>
        <v>5.85</v>
      </c>
      <c r="D157" s="21" t="s">
        <v>11888</v>
      </c>
      <c r="E157" s="21" t="s">
        <v>3253</v>
      </c>
      <c r="F157" s="21" t="s">
        <v>11719</v>
      </c>
      <c r="G157" s="21" t="s">
        <v>11720</v>
      </c>
    </row>
    <row r="158" customFormat="false" ht="15" hidden="false" customHeight="false" outlineLevel="0" collapsed="false">
      <c r="B158" s="19" t="s">
        <v>11890</v>
      </c>
      <c r="C158" s="20" t="n">
        <f aca="false">ROUND(52.65/FX,2)</f>
        <v>7.31</v>
      </c>
      <c r="D158" s="21" t="s">
        <v>11888</v>
      </c>
      <c r="E158" s="21" t="s">
        <v>1881</v>
      </c>
      <c r="F158" s="21" t="s">
        <v>11719</v>
      </c>
      <c r="G158" s="21" t="s">
        <v>11720</v>
      </c>
    </row>
    <row r="159" customFormat="false" ht="15" hidden="false" customHeight="false" outlineLevel="0" collapsed="false">
      <c r="B159" s="19" t="s">
        <v>11891</v>
      </c>
      <c r="C159" s="20" t="n">
        <f aca="false">ROUND(10.53/FX,2)</f>
        <v>1.46</v>
      </c>
      <c r="D159" s="21" t="s">
        <v>11888</v>
      </c>
      <c r="E159" s="21" t="s">
        <v>1520</v>
      </c>
      <c r="F159" s="21" t="s">
        <v>11719</v>
      </c>
      <c r="G159" s="21" t="s">
        <v>11720</v>
      </c>
    </row>
    <row r="160" customFormat="false" ht="15" hidden="false" customHeight="false" outlineLevel="0" collapsed="false">
      <c r="B160" s="19" t="s">
        <v>11892</v>
      </c>
      <c r="C160" s="20" t="n">
        <f aca="false">ROUND(12.29/FX,2)</f>
        <v>1.71</v>
      </c>
      <c r="D160" s="21" t="s">
        <v>11888</v>
      </c>
      <c r="E160" s="21" t="s">
        <v>1635</v>
      </c>
      <c r="F160" s="21" t="s">
        <v>11719</v>
      </c>
      <c r="G160" s="21" t="s">
        <v>11720</v>
      </c>
    </row>
    <row r="161" customFormat="false" ht="15" hidden="false" customHeight="false" outlineLevel="0" collapsed="false">
      <c r="B161" s="19" t="s">
        <v>11893</v>
      </c>
      <c r="C161" s="20" t="n">
        <f aca="false">ROUND(12.64/FX,2)</f>
        <v>1.76</v>
      </c>
      <c r="D161" s="21" t="s">
        <v>11888</v>
      </c>
      <c r="E161" s="21" t="s">
        <v>1655</v>
      </c>
      <c r="F161" s="21" t="s">
        <v>11719</v>
      </c>
      <c r="G161" s="21" t="s">
        <v>11720</v>
      </c>
    </row>
    <row r="162" customFormat="false" ht="15" hidden="false" customHeight="false" outlineLevel="0" collapsed="false">
      <c r="B162" s="19" t="s">
        <v>11894</v>
      </c>
      <c r="C162" s="20" t="n">
        <f aca="false">ROUND(19.31/FX,2)</f>
        <v>2.68</v>
      </c>
      <c r="D162" s="21" t="s">
        <v>11888</v>
      </c>
      <c r="E162" s="21" t="s">
        <v>2187</v>
      </c>
      <c r="F162" s="21" t="s">
        <v>11719</v>
      </c>
      <c r="G162" s="21" t="s">
        <v>11720</v>
      </c>
    </row>
    <row r="163" customFormat="false" ht="15" hidden="false" customHeight="false" outlineLevel="0" collapsed="false">
      <c r="B163" s="19" t="s">
        <v>11895</v>
      </c>
      <c r="C163" s="20" t="n">
        <f aca="false">ROUND(24.67/FX,2)</f>
        <v>3.43</v>
      </c>
      <c r="D163" s="21" t="s">
        <v>11888</v>
      </c>
      <c r="E163" s="21" t="s">
        <v>2351</v>
      </c>
      <c r="F163" s="21" t="s">
        <v>11719</v>
      </c>
      <c r="G163" s="21" t="s">
        <v>11720</v>
      </c>
    </row>
    <row r="164" customFormat="false" ht="15" hidden="false" customHeight="false" outlineLevel="0" collapsed="false">
      <c r="B164" s="19" t="s">
        <v>11896</v>
      </c>
      <c r="C164" s="20" t="n">
        <f aca="false">ROUND(3.51/FX,2)</f>
        <v>0.49</v>
      </c>
      <c r="D164" s="21" t="s">
        <v>11888</v>
      </c>
      <c r="E164" s="21" t="s">
        <v>2600</v>
      </c>
      <c r="F164" s="21" t="s">
        <v>11845</v>
      </c>
      <c r="G164" s="21" t="s">
        <v>11720</v>
      </c>
    </row>
    <row r="165" customFormat="false" ht="15" hidden="false" customHeight="false" outlineLevel="0" collapsed="false">
      <c r="B165" s="19" t="s">
        <v>11897</v>
      </c>
      <c r="C165" s="20" t="n">
        <f aca="false">ROUND(35.1/FX,2)</f>
        <v>4.88</v>
      </c>
      <c r="D165" s="21" t="s">
        <v>11888</v>
      </c>
      <c r="E165" s="21" t="s">
        <v>1733</v>
      </c>
      <c r="F165" s="21" t="s">
        <v>11845</v>
      </c>
      <c r="G165" s="21" t="s">
        <v>11720</v>
      </c>
    </row>
    <row r="166" customFormat="false" ht="15" hidden="false" customHeight="false" outlineLevel="0" collapsed="false">
      <c r="B166" s="19" t="s">
        <v>11898</v>
      </c>
      <c r="C166" s="20" t="n">
        <f aca="false">ROUND(42.12/FX,2)</f>
        <v>5.85</v>
      </c>
      <c r="D166" s="21" t="s">
        <v>11888</v>
      </c>
      <c r="E166" s="21" t="s">
        <v>3253</v>
      </c>
      <c r="F166" s="21" t="s">
        <v>11845</v>
      </c>
      <c r="G166" s="21" t="s">
        <v>11720</v>
      </c>
    </row>
    <row r="167" customFormat="false" ht="15" hidden="false" customHeight="false" outlineLevel="0" collapsed="false">
      <c r="B167" s="19" t="s">
        <v>11899</v>
      </c>
      <c r="C167" s="20" t="n">
        <f aca="false">ROUND(5.27/FX,2)</f>
        <v>0.73</v>
      </c>
      <c r="D167" s="21" t="s">
        <v>11888</v>
      </c>
      <c r="E167" s="21" t="s">
        <v>2851</v>
      </c>
      <c r="F167" s="21" t="s">
        <v>11845</v>
      </c>
      <c r="G167" s="21" t="s">
        <v>11720</v>
      </c>
    </row>
    <row r="168" customFormat="false" ht="15" hidden="false" customHeight="false" outlineLevel="0" collapsed="false">
      <c r="B168" s="19" t="s">
        <v>11900</v>
      </c>
      <c r="C168" s="20" t="n">
        <f aca="false">ROUND(46.8/FX,2)</f>
        <v>6.5</v>
      </c>
      <c r="D168" s="21" t="s">
        <v>11888</v>
      </c>
      <c r="E168" s="21" t="s">
        <v>1881</v>
      </c>
      <c r="F168" s="21" t="s">
        <v>11845</v>
      </c>
      <c r="G168" s="21" t="s">
        <v>11720</v>
      </c>
    </row>
    <row r="169" customFormat="false" ht="15" hidden="false" customHeight="false" outlineLevel="0" collapsed="false">
      <c r="B169" s="19" t="s">
        <v>11901</v>
      </c>
      <c r="C169" s="20" t="n">
        <f aca="false">ROUND(54.05/FX,2)</f>
        <v>7.51</v>
      </c>
      <c r="D169" s="21" t="s">
        <v>11888</v>
      </c>
      <c r="E169" s="21" t="s">
        <v>1902</v>
      </c>
      <c r="F169" s="21" t="s">
        <v>11845</v>
      </c>
      <c r="G169" s="21" t="s">
        <v>11720</v>
      </c>
    </row>
    <row r="170" customFormat="false" ht="15" hidden="false" customHeight="false" outlineLevel="0" collapsed="false">
      <c r="B170" s="19" t="s">
        <v>11902</v>
      </c>
      <c r="C170" s="20" t="n">
        <f aca="false">ROUND(7.02/FX,2)</f>
        <v>0.98</v>
      </c>
      <c r="D170" s="21" t="s">
        <v>11888</v>
      </c>
      <c r="E170" s="21" t="s">
        <v>1048</v>
      </c>
      <c r="F170" s="21" t="s">
        <v>11845</v>
      </c>
      <c r="G170" s="21" t="s">
        <v>11720</v>
      </c>
    </row>
    <row r="171" customFormat="false" ht="15" hidden="false" customHeight="false" outlineLevel="0" collapsed="false">
      <c r="B171" s="19" t="s">
        <v>11903</v>
      </c>
      <c r="C171" s="20" t="n">
        <f aca="false">ROUND(62.4/FX,2)</f>
        <v>8.67</v>
      </c>
      <c r="D171" s="21" t="s">
        <v>11888</v>
      </c>
      <c r="E171" s="21" t="s">
        <v>1924</v>
      </c>
      <c r="F171" s="21" t="s">
        <v>11845</v>
      </c>
      <c r="G171" s="21" t="s">
        <v>11720</v>
      </c>
    </row>
    <row r="172" customFormat="false" ht="15" hidden="false" customHeight="false" outlineLevel="0" collapsed="false">
      <c r="B172" s="19" t="s">
        <v>11904</v>
      </c>
      <c r="C172" s="20" t="n">
        <f aca="false">ROUND(8.78/FX,2)</f>
        <v>1.22</v>
      </c>
      <c r="D172" s="21" t="s">
        <v>11888</v>
      </c>
      <c r="E172" s="21" t="s">
        <v>1323</v>
      </c>
      <c r="F172" s="21" t="s">
        <v>11845</v>
      </c>
      <c r="G172" s="21" t="s">
        <v>11720</v>
      </c>
    </row>
    <row r="173" customFormat="false" ht="15" hidden="false" customHeight="false" outlineLevel="0" collapsed="false">
      <c r="B173" s="19" t="s">
        <v>11905</v>
      </c>
      <c r="C173" s="20" t="n">
        <f aca="false">ROUND(10.53/FX,2)</f>
        <v>1.46</v>
      </c>
      <c r="D173" s="21" t="s">
        <v>11888</v>
      </c>
      <c r="E173" s="21" t="s">
        <v>1520</v>
      </c>
      <c r="F173" s="21" t="s">
        <v>11845</v>
      </c>
      <c r="G173" s="21" t="s">
        <v>11720</v>
      </c>
    </row>
    <row r="174" customFormat="false" ht="15" hidden="false" customHeight="false" outlineLevel="0" collapsed="false">
      <c r="B174" s="19" t="s">
        <v>11906</v>
      </c>
      <c r="C174" s="20" t="n">
        <f aca="false">ROUND(12.29/FX,2)</f>
        <v>1.71</v>
      </c>
      <c r="D174" s="21" t="s">
        <v>11888</v>
      </c>
      <c r="E174" s="21" t="s">
        <v>1635</v>
      </c>
      <c r="F174" s="21" t="s">
        <v>11845</v>
      </c>
      <c r="G174" s="21" t="s">
        <v>11720</v>
      </c>
    </row>
    <row r="175" customFormat="false" ht="15" hidden="false" customHeight="false" outlineLevel="0" collapsed="false">
      <c r="B175" s="19" t="s">
        <v>11907</v>
      </c>
      <c r="C175" s="20" t="n">
        <f aca="false">ROUND(12.64/FX,2)</f>
        <v>1.76</v>
      </c>
      <c r="D175" s="21" t="s">
        <v>11888</v>
      </c>
      <c r="E175" s="21" t="s">
        <v>1655</v>
      </c>
      <c r="F175" s="21" t="s">
        <v>11845</v>
      </c>
      <c r="G175" s="21" t="s">
        <v>11720</v>
      </c>
    </row>
    <row r="176" customFormat="false" ht="15" hidden="false" customHeight="false" outlineLevel="0" collapsed="false">
      <c r="B176" s="19" t="s">
        <v>11908</v>
      </c>
      <c r="C176" s="20" t="n">
        <f aca="false">ROUND(14.04/FX,2)</f>
        <v>1.95</v>
      </c>
      <c r="D176" s="21" t="s">
        <v>11888</v>
      </c>
      <c r="E176" s="21" t="s">
        <v>2002</v>
      </c>
      <c r="F176" s="21" t="s">
        <v>11845</v>
      </c>
      <c r="G176" s="21" t="s">
        <v>11720</v>
      </c>
    </row>
    <row r="177" customFormat="false" ht="15" hidden="false" customHeight="false" outlineLevel="0" collapsed="false">
      <c r="B177" s="19" t="s">
        <v>11909</v>
      </c>
      <c r="C177" s="20" t="n">
        <f aca="false">ROUND(15.8/FX,2)</f>
        <v>2.19</v>
      </c>
      <c r="D177" s="21" t="s">
        <v>11888</v>
      </c>
      <c r="E177" s="21" t="s">
        <v>2067</v>
      </c>
      <c r="F177" s="21" t="s">
        <v>11845</v>
      </c>
      <c r="G177" s="21" t="s">
        <v>11720</v>
      </c>
    </row>
    <row r="178" customFormat="false" ht="15" hidden="false" customHeight="false" outlineLevel="0" collapsed="false">
      <c r="B178" s="19" t="s">
        <v>11910</v>
      </c>
      <c r="C178" s="20" t="n">
        <f aca="false">ROUND(17.55/FX,2)</f>
        <v>2.44</v>
      </c>
      <c r="D178" s="21" t="s">
        <v>11888</v>
      </c>
      <c r="E178" s="21" t="s">
        <v>2142</v>
      </c>
      <c r="F178" s="21" t="s">
        <v>11845</v>
      </c>
      <c r="G178" s="21" t="s">
        <v>11720</v>
      </c>
    </row>
    <row r="179" customFormat="false" ht="15" hidden="false" customHeight="false" outlineLevel="0" collapsed="false">
      <c r="B179" s="19" t="s">
        <v>11911</v>
      </c>
      <c r="C179" s="20" t="n">
        <f aca="false">ROUND(19.31/FX,2)</f>
        <v>2.68</v>
      </c>
      <c r="D179" s="21" t="s">
        <v>11888</v>
      </c>
      <c r="E179" s="21" t="s">
        <v>2187</v>
      </c>
      <c r="F179" s="21" t="s">
        <v>11845</v>
      </c>
      <c r="G179" s="21" t="s">
        <v>11720</v>
      </c>
    </row>
    <row r="180" customFormat="false" ht="15" hidden="false" customHeight="false" outlineLevel="0" collapsed="false">
      <c r="B180" s="19" t="s">
        <v>11912</v>
      </c>
      <c r="C180" s="20" t="n">
        <f aca="false">ROUND(19.66/FX,2)</f>
        <v>2.73</v>
      </c>
      <c r="D180" s="21" t="s">
        <v>11888</v>
      </c>
      <c r="E180" s="21" t="s">
        <v>11740</v>
      </c>
      <c r="F180" s="21" t="s">
        <v>11845</v>
      </c>
      <c r="G180" s="21" t="s">
        <v>11720</v>
      </c>
    </row>
    <row r="181" customFormat="false" ht="15" hidden="false" customHeight="false" outlineLevel="0" collapsed="false">
      <c r="B181" s="19" t="s">
        <v>11913</v>
      </c>
      <c r="C181" s="20" t="n">
        <f aca="false">ROUND(21.06/FX,2)</f>
        <v>2.93</v>
      </c>
      <c r="D181" s="21" t="s">
        <v>11888</v>
      </c>
      <c r="E181" s="21" t="s">
        <v>2227</v>
      </c>
      <c r="F181" s="21" t="s">
        <v>11845</v>
      </c>
      <c r="G181" s="21" t="s">
        <v>11720</v>
      </c>
    </row>
    <row r="182" customFormat="false" ht="15" hidden="false" customHeight="false" outlineLevel="0" collapsed="false">
      <c r="B182" s="19" t="s">
        <v>11914</v>
      </c>
      <c r="C182" s="20" t="n">
        <f aca="false">ROUND(22.82/FX,2)</f>
        <v>3.17</v>
      </c>
      <c r="D182" s="21" t="s">
        <v>11888</v>
      </c>
      <c r="E182" s="21" t="s">
        <v>2297</v>
      </c>
      <c r="F182" s="21" t="s">
        <v>11845</v>
      </c>
      <c r="G182" s="21" t="s">
        <v>11720</v>
      </c>
    </row>
    <row r="183" customFormat="false" ht="15" hidden="false" customHeight="false" outlineLevel="0" collapsed="false">
      <c r="B183" s="19" t="s">
        <v>11915</v>
      </c>
      <c r="C183" s="20" t="n">
        <f aca="false">ROUND(24.57/FX,2)</f>
        <v>3.41</v>
      </c>
      <c r="D183" s="21" t="s">
        <v>11888</v>
      </c>
      <c r="E183" s="21" t="s">
        <v>2351</v>
      </c>
      <c r="F183" s="21" t="s">
        <v>11845</v>
      </c>
      <c r="G183" s="21" t="s">
        <v>11720</v>
      </c>
    </row>
    <row r="184" customFormat="false" ht="15" hidden="false" customHeight="false" outlineLevel="0" collapsed="false">
      <c r="B184" s="19" t="s">
        <v>11916</v>
      </c>
      <c r="C184" s="20" t="n">
        <f aca="false">ROUND(25.27/FX,2)</f>
        <v>3.51</v>
      </c>
      <c r="D184" s="21" t="s">
        <v>11888</v>
      </c>
      <c r="E184" s="21" t="s">
        <v>2369</v>
      </c>
      <c r="F184" s="21" t="s">
        <v>11845</v>
      </c>
      <c r="G184" s="21" t="s">
        <v>11720</v>
      </c>
    </row>
    <row r="185" customFormat="false" ht="15" hidden="false" customHeight="false" outlineLevel="0" collapsed="false">
      <c r="B185" s="19" t="s">
        <v>11917</v>
      </c>
      <c r="C185" s="20" t="n">
        <f aca="false">ROUND(26.33/FX,2)</f>
        <v>3.66</v>
      </c>
      <c r="D185" s="21" t="s">
        <v>11888</v>
      </c>
      <c r="E185" s="21" t="s">
        <v>2400</v>
      </c>
      <c r="F185" s="21" t="s">
        <v>11845</v>
      </c>
      <c r="G185" s="21" t="s">
        <v>11720</v>
      </c>
    </row>
    <row r="186" customFormat="false" ht="15" hidden="false" customHeight="false" outlineLevel="0" collapsed="false">
      <c r="B186" s="19" t="s">
        <v>11918</v>
      </c>
      <c r="C186" s="20" t="n">
        <f aca="false">ROUND(28.08/FX,2)</f>
        <v>3.9</v>
      </c>
      <c r="D186" s="21" t="s">
        <v>11888</v>
      </c>
      <c r="E186" s="21" t="s">
        <v>2440</v>
      </c>
      <c r="F186" s="21" t="s">
        <v>11845</v>
      </c>
      <c r="G186" s="21" t="s">
        <v>11720</v>
      </c>
    </row>
    <row r="187" customFormat="false" ht="15" hidden="false" customHeight="false" outlineLevel="0" collapsed="false">
      <c r="B187" s="19" t="s">
        <v>11919</v>
      </c>
      <c r="C187" s="20" t="n">
        <f aca="false">ROUND(31.59/FX,2)</f>
        <v>4.39</v>
      </c>
      <c r="D187" s="21" t="s">
        <v>11888</v>
      </c>
      <c r="E187" s="21" t="s">
        <v>2500</v>
      </c>
      <c r="F187" s="21" t="s">
        <v>11845</v>
      </c>
      <c r="G187" s="21" t="s">
        <v>11720</v>
      </c>
    </row>
    <row r="188" customFormat="false" ht="15" hidden="false" customHeight="false" outlineLevel="0" collapsed="false">
      <c r="B188" s="19" t="s">
        <v>11920</v>
      </c>
      <c r="C188" s="20" t="n">
        <f aca="false">ROUND(33.35/FX,2)</f>
        <v>4.63</v>
      </c>
      <c r="D188" s="21" t="s">
        <v>11888</v>
      </c>
      <c r="E188" s="21" t="s">
        <v>2540</v>
      </c>
      <c r="F188" s="21" t="s">
        <v>11845</v>
      </c>
      <c r="G188" s="21" t="s">
        <v>11720</v>
      </c>
    </row>
    <row r="189" customFormat="false" ht="15" hidden="false" customHeight="false" outlineLevel="0" collapsed="false">
      <c r="B189" s="19" t="s">
        <v>11921</v>
      </c>
      <c r="C189" s="20" t="n">
        <f aca="false">ROUND(9.75/FX,2)</f>
        <v>1.35</v>
      </c>
      <c r="D189" s="21" t="s">
        <v>11888</v>
      </c>
      <c r="E189" s="21" t="s">
        <v>1520</v>
      </c>
      <c r="F189" s="21" t="s">
        <v>11922</v>
      </c>
      <c r="G189" s="21" t="s">
        <v>11720</v>
      </c>
    </row>
    <row r="190" customFormat="false" ht="15" hidden="false" customHeight="false" outlineLevel="0" collapsed="false">
      <c r="B190" s="19" t="s">
        <v>11923</v>
      </c>
      <c r="C190" s="20" t="n">
        <f aca="false">ROUND(18.72/FX,2)</f>
        <v>2.6</v>
      </c>
      <c r="D190" s="21" t="s">
        <v>11888</v>
      </c>
      <c r="E190" s="21" t="s">
        <v>2227</v>
      </c>
      <c r="F190" s="21" t="s">
        <v>11922</v>
      </c>
      <c r="G190" s="21" t="s">
        <v>11720</v>
      </c>
    </row>
    <row r="191" customFormat="false" ht="15" hidden="false" customHeight="false" outlineLevel="0" collapsed="false">
      <c r="B191" s="19" t="s">
        <v>11924</v>
      </c>
      <c r="C191" s="20" t="n">
        <f aca="false">ROUND(17.55/FX,2)</f>
        <v>2.44</v>
      </c>
      <c r="D191" s="21" t="s">
        <v>11925</v>
      </c>
      <c r="E191" s="21" t="s">
        <v>2142</v>
      </c>
      <c r="F191" s="21" t="s">
        <v>11812</v>
      </c>
      <c r="G191" s="21" t="s">
        <v>11720</v>
      </c>
    </row>
    <row r="192" customFormat="false" ht="15" hidden="false" customHeight="false" outlineLevel="0" collapsed="false">
      <c r="B192" s="19" t="s">
        <v>11926</v>
      </c>
      <c r="C192" s="20" t="n">
        <f aca="false">ROUND(3.9/FX,2)</f>
        <v>0.54</v>
      </c>
      <c r="D192" s="21" t="s">
        <v>11927</v>
      </c>
      <c r="E192" s="21" t="s">
        <v>2600</v>
      </c>
      <c r="F192" s="21" t="s">
        <v>11928</v>
      </c>
      <c r="G192" s="21" t="s">
        <v>11720</v>
      </c>
    </row>
    <row r="193" customFormat="false" ht="15" hidden="false" customHeight="false" outlineLevel="0" collapsed="false">
      <c r="B193" s="19" t="s">
        <v>11929</v>
      </c>
      <c r="C193" s="20" t="n">
        <f aca="false">ROUND(39/FX,2)</f>
        <v>5.42</v>
      </c>
      <c r="D193" s="21" t="s">
        <v>11927</v>
      </c>
      <c r="E193" s="21" t="s">
        <v>1733</v>
      </c>
      <c r="F193" s="21" t="s">
        <v>11928</v>
      </c>
      <c r="G193" s="21" t="s">
        <v>11720</v>
      </c>
    </row>
    <row r="194" customFormat="false" ht="15" hidden="false" customHeight="false" outlineLevel="0" collapsed="false">
      <c r="B194" s="19" t="s">
        <v>11930</v>
      </c>
      <c r="C194" s="20" t="n">
        <f aca="false">ROUND(6.5/FX,2)</f>
        <v>0.9</v>
      </c>
      <c r="D194" s="21" t="s">
        <v>11927</v>
      </c>
      <c r="E194" s="21" t="s">
        <v>1048</v>
      </c>
      <c r="F194" s="21" t="s">
        <v>11928</v>
      </c>
      <c r="G194" s="21" t="s">
        <v>11720</v>
      </c>
    </row>
    <row r="195" customFormat="false" ht="15" hidden="false" customHeight="false" outlineLevel="0" collapsed="false">
      <c r="B195" s="19" t="s">
        <v>11931</v>
      </c>
      <c r="C195" s="20" t="n">
        <f aca="false">ROUND(11.7/FX,2)</f>
        <v>1.63</v>
      </c>
      <c r="D195" s="21" t="s">
        <v>11927</v>
      </c>
      <c r="E195" s="21" t="s">
        <v>1520</v>
      </c>
      <c r="F195" s="21" t="s">
        <v>11928</v>
      </c>
      <c r="G195" s="21" t="s">
        <v>11720</v>
      </c>
    </row>
    <row r="196" customFormat="false" ht="15" hidden="false" customHeight="false" outlineLevel="0" collapsed="false">
      <c r="B196" s="19" t="s">
        <v>11932</v>
      </c>
      <c r="C196" s="20" t="n">
        <f aca="false">ROUND(13.65/FX,2)</f>
        <v>1.9</v>
      </c>
      <c r="D196" s="21" t="s">
        <v>11927</v>
      </c>
      <c r="E196" s="21" t="s">
        <v>1635</v>
      </c>
      <c r="F196" s="21" t="s">
        <v>11928</v>
      </c>
      <c r="G196" s="21" t="s">
        <v>11720</v>
      </c>
    </row>
    <row r="197" customFormat="false" ht="15" hidden="false" customHeight="false" outlineLevel="0" collapsed="false">
      <c r="B197" s="19" t="s">
        <v>11933</v>
      </c>
      <c r="C197" s="20" t="n">
        <f aca="false">ROUND(15.6/FX,2)</f>
        <v>2.17</v>
      </c>
      <c r="D197" s="21" t="s">
        <v>11927</v>
      </c>
      <c r="E197" s="21" t="s">
        <v>2002</v>
      </c>
      <c r="F197" s="21" t="s">
        <v>11928</v>
      </c>
      <c r="G197" s="21" t="s">
        <v>11720</v>
      </c>
    </row>
    <row r="198" customFormat="false" ht="15" hidden="false" customHeight="false" outlineLevel="0" collapsed="false">
      <c r="B198" s="19" t="s">
        <v>11934</v>
      </c>
      <c r="C198" s="20" t="n">
        <f aca="false">ROUND(3.9/FX,2)</f>
        <v>0.54</v>
      </c>
      <c r="D198" s="21" t="s">
        <v>11927</v>
      </c>
      <c r="E198" s="21" t="s">
        <v>2600</v>
      </c>
      <c r="F198" s="21" t="s">
        <v>11935</v>
      </c>
      <c r="G198" s="21" t="s">
        <v>11720</v>
      </c>
    </row>
    <row r="199" customFormat="false" ht="15" hidden="false" customHeight="false" outlineLevel="0" collapsed="false">
      <c r="B199" s="19" t="s">
        <v>11936</v>
      </c>
      <c r="C199" s="20" t="n">
        <f aca="false">ROUND(39/FX,2)</f>
        <v>5.42</v>
      </c>
      <c r="D199" s="21" t="s">
        <v>11927</v>
      </c>
      <c r="E199" s="21" t="s">
        <v>1733</v>
      </c>
      <c r="F199" s="21" t="s">
        <v>11935</v>
      </c>
      <c r="G199" s="21" t="s">
        <v>11720</v>
      </c>
    </row>
    <row r="200" customFormat="false" ht="15" hidden="false" customHeight="false" outlineLevel="0" collapsed="false">
      <c r="B200" s="19" t="s">
        <v>11937</v>
      </c>
      <c r="C200" s="20" t="n">
        <f aca="false">ROUND(3.9/FX,2)</f>
        <v>0.54</v>
      </c>
      <c r="D200" s="21" t="s">
        <v>11927</v>
      </c>
      <c r="E200" s="21" t="s">
        <v>2701</v>
      </c>
      <c r="F200" s="21" t="s">
        <v>11935</v>
      </c>
      <c r="G200" s="21" t="s">
        <v>11720</v>
      </c>
    </row>
    <row r="201" customFormat="false" ht="15" hidden="false" customHeight="false" outlineLevel="0" collapsed="false">
      <c r="B201" s="19" t="s">
        <v>11938</v>
      </c>
      <c r="C201" s="20" t="n">
        <f aca="false">ROUND(5.85/FX,2)</f>
        <v>0.81</v>
      </c>
      <c r="D201" s="21" t="s">
        <v>11927</v>
      </c>
      <c r="E201" s="21" t="s">
        <v>2851</v>
      </c>
      <c r="F201" s="21" t="s">
        <v>11935</v>
      </c>
      <c r="G201" s="21" t="s">
        <v>11720</v>
      </c>
    </row>
    <row r="202" customFormat="false" ht="15" hidden="false" customHeight="false" outlineLevel="0" collapsed="false">
      <c r="B202" s="19" t="s">
        <v>11939</v>
      </c>
      <c r="C202" s="20" t="n">
        <f aca="false">ROUND(6.5/FX,2)</f>
        <v>0.9</v>
      </c>
      <c r="D202" s="21" t="s">
        <v>11927</v>
      </c>
      <c r="E202" s="21" t="s">
        <v>1048</v>
      </c>
      <c r="F202" s="21" t="s">
        <v>11935</v>
      </c>
      <c r="G202" s="21" t="s">
        <v>11720</v>
      </c>
    </row>
    <row r="203" customFormat="false" ht="15" hidden="false" customHeight="false" outlineLevel="0" collapsed="false">
      <c r="B203" s="19" t="s">
        <v>11940</v>
      </c>
      <c r="C203" s="20" t="n">
        <f aca="false">ROUND(8.13/FX,2)</f>
        <v>1.13</v>
      </c>
      <c r="D203" s="21" t="s">
        <v>11927</v>
      </c>
      <c r="E203" s="21" t="s">
        <v>1323</v>
      </c>
      <c r="F203" s="21" t="s">
        <v>11935</v>
      </c>
      <c r="G203" s="21" t="s">
        <v>11720</v>
      </c>
    </row>
    <row r="204" customFormat="false" ht="15" hidden="false" customHeight="false" outlineLevel="0" collapsed="false">
      <c r="B204" s="19" t="s">
        <v>11941</v>
      </c>
      <c r="C204" s="20" t="n">
        <f aca="false">ROUND(11.7/FX,2)</f>
        <v>1.63</v>
      </c>
      <c r="D204" s="21" t="s">
        <v>11927</v>
      </c>
      <c r="E204" s="21" t="s">
        <v>1520</v>
      </c>
      <c r="F204" s="21" t="s">
        <v>11935</v>
      </c>
      <c r="G204" s="21" t="s">
        <v>11720</v>
      </c>
    </row>
    <row r="205" customFormat="false" ht="15" hidden="false" customHeight="false" outlineLevel="0" collapsed="false">
      <c r="B205" s="19" t="s">
        <v>11942</v>
      </c>
      <c r="C205" s="20" t="n">
        <f aca="false">ROUND(12.87/FX,2)</f>
        <v>1.79</v>
      </c>
      <c r="D205" s="21" t="s">
        <v>11927</v>
      </c>
      <c r="E205" s="21" t="s">
        <v>1595</v>
      </c>
      <c r="F205" s="21" t="s">
        <v>11935</v>
      </c>
      <c r="G205" s="21" t="s">
        <v>11720</v>
      </c>
    </row>
    <row r="206" customFormat="false" ht="15" hidden="false" customHeight="false" outlineLevel="0" collapsed="false">
      <c r="B206" s="19" t="s">
        <v>11943</v>
      </c>
      <c r="C206" s="20" t="n">
        <f aca="false">ROUND(13.65/FX,2)</f>
        <v>1.9</v>
      </c>
      <c r="D206" s="21" t="s">
        <v>11927</v>
      </c>
      <c r="E206" s="21" t="s">
        <v>1635</v>
      </c>
      <c r="F206" s="21" t="s">
        <v>11935</v>
      </c>
      <c r="G206" s="21" t="s">
        <v>11720</v>
      </c>
    </row>
    <row r="207" customFormat="false" ht="15" hidden="false" customHeight="false" outlineLevel="0" collapsed="false">
      <c r="B207" s="19" t="s">
        <v>11944</v>
      </c>
      <c r="C207" s="20" t="n">
        <f aca="false">ROUND(15.6/FX,2)</f>
        <v>2.17</v>
      </c>
      <c r="D207" s="21" t="s">
        <v>11927</v>
      </c>
      <c r="E207" s="21" t="s">
        <v>2002</v>
      </c>
      <c r="F207" s="21" t="s">
        <v>11935</v>
      </c>
      <c r="G207" s="21" t="s">
        <v>11720</v>
      </c>
    </row>
    <row r="208" customFormat="false" ht="15" hidden="false" customHeight="false" outlineLevel="0" collapsed="false">
      <c r="B208" s="19" t="s">
        <v>11945</v>
      </c>
      <c r="C208" s="20" t="n">
        <f aca="false">ROUND(15.6/FX,2)</f>
        <v>2.17</v>
      </c>
      <c r="D208" s="21" t="s">
        <v>11927</v>
      </c>
      <c r="E208" s="21" t="s">
        <v>2067</v>
      </c>
      <c r="F208" s="21" t="s">
        <v>11935</v>
      </c>
      <c r="G208" s="21" t="s">
        <v>11720</v>
      </c>
    </row>
    <row r="209" customFormat="false" ht="15" hidden="false" customHeight="false" outlineLevel="0" collapsed="false">
      <c r="B209" s="19" t="s">
        <v>11946</v>
      </c>
      <c r="C209" s="20" t="n">
        <f aca="false">ROUND(39/FX,2)</f>
        <v>5.42</v>
      </c>
      <c r="D209" s="21" t="s">
        <v>11927</v>
      </c>
      <c r="E209" s="21" t="s">
        <v>1733</v>
      </c>
      <c r="F209" s="21" t="s">
        <v>11947</v>
      </c>
      <c r="G209" s="21" t="s">
        <v>11720</v>
      </c>
    </row>
    <row r="210" customFormat="false" ht="15" hidden="false" customHeight="false" outlineLevel="0" collapsed="false">
      <c r="B210" s="19" t="s">
        <v>11948</v>
      </c>
      <c r="C210" s="20" t="n">
        <f aca="false">ROUND(5.85/FX,2)</f>
        <v>0.81</v>
      </c>
      <c r="D210" s="21" t="s">
        <v>11927</v>
      </c>
      <c r="E210" s="21" t="s">
        <v>2851</v>
      </c>
      <c r="F210" s="21" t="s">
        <v>11947</v>
      </c>
      <c r="G210" s="21" t="s">
        <v>11720</v>
      </c>
    </row>
    <row r="211" customFormat="false" ht="15" hidden="false" customHeight="false" outlineLevel="0" collapsed="false">
      <c r="B211" s="19" t="s">
        <v>11949</v>
      </c>
      <c r="C211" s="20" t="n">
        <f aca="false">ROUND(7.8/FX,2)</f>
        <v>1.08</v>
      </c>
      <c r="D211" s="21" t="s">
        <v>11927</v>
      </c>
      <c r="E211" s="21" t="s">
        <v>1048</v>
      </c>
      <c r="F211" s="21" t="s">
        <v>11947</v>
      </c>
      <c r="G211" s="21" t="s">
        <v>11720</v>
      </c>
    </row>
    <row r="212" customFormat="false" ht="15" hidden="false" customHeight="false" outlineLevel="0" collapsed="false">
      <c r="B212" s="19" t="s">
        <v>11950</v>
      </c>
      <c r="C212" s="20" t="n">
        <f aca="false">ROUND(9.75/FX,2)</f>
        <v>1.35</v>
      </c>
      <c r="D212" s="21" t="s">
        <v>11927</v>
      </c>
      <c r="E212" s="21" t="s">
        <v>1323</v>
      </c>
      <c r="F212" s="21" t="s">
        <v>11947</v>
      </c>
      <c r="G212" s="21" t="s">
        <v>11720</v>
      </c>
    </row>
    <row r="213" customFormat="false" ht="15" hidden="false" customHeight="false" outlineLevel="0" collapsed="false">
      <c r="B213" s="19" t="s">
        <v>11951</v>
      </c>
      <c r="C213" s="20" t="n">
        <f aca="false">ROUND(11.7/FX,2)</f>
        <v>1.63</v>
      </c>
      <c r="D213" s="21" t="s">
        <v>11927</v>
      </c>
      <c r="E213" s="21" t="s">
        <v>1520</v>
      </c>
      <c r="F213" s="21" t="s">
        <v>11947</v>
      </c>
      <c r="G213" s="21" t="s">
        <v>11720</v>
      </c>
    </row>
    <row r="214" customFormat="false" ht="15" hidden="false" customHeight="false" outlineLevel="0" collapsed="false">
      <c r="B214" s="19" t="s">
        <v>11952</v>
      </c>
      <c r="C214" s="20" t="n">
        <f aca="false">ROUND(13.65/FX,2)</f>
        <v>1.9</v>
      </c>
      <c r="D214" s="21" t="s">
        <v>11927</v>
      </c>
      <c r="E214" s="21" t="s">
        <v>1635</v>
      </c>
      <c r="F214" s="21" t="s">
        <v>11947</v>
      </c>
      <c r="G214" s="21" t="s">
        <v>11720</v>
      </c>
    </row>
    <row r="215" customFormat="false" ht="15" hidden="false" customHeight="false" outlineLevel="0" collapsed="false">
      <c r="B215" s="19" t="s">
        <v>11953</v>
      </c>
      <c r="C215" s="20" t="n">
        <f aca="false">ROUND(14.56/FX,2)</f>
        <v>2.02</v>
      </c>
      <c r="D215" s="21" t="s">
        <v>11927</v>
      </c>
      <c r="E215" s="21" t="s">
        <v>2002</v>
      </c>
      <c r="F215" s="21" t="s">
        <v>11947</v>
      </c>
      <c r="G215" s="21" t="s">
        <v>11720</v>
      </c>
    </row>
    <row r="216" customFormat="false" ht="15" hidden="false" customHeight="false" outlineLevel="0" collapsed="false">
      <c r="B216" s="19" t="s">
        <v>11954</v>
      </c>
      <c r="C216" s="20" t="n">
        <f aca="false">ROUND(15.6/FX,2)</f>
        <v>2.17</v>
      </c>
      <c r="D216" s="21" t="s">
        <v>11927</v>
      </c>
      <c r="E216" s="21" t="s">
        <v>2067</v>
      </c>
      <c r="F216" s="21" t="s">
        <v>11947</v>
      </c>
      <c r="G216" s="21" t="s">
        <v>11720</v>
      </c>
    </row>
    <row r="217" customFormat="false" ht="15" hidden="false" customHeight="false" outlineLevel="0" collapsed="false">
      <c r="B217" s="19" t="s">
        <v>11955</v>
      </c>
      <c r="C217" s="20" t="n">
        <f aca="false">ROUND(3.25/FX,2)</f>
        <v>0.45</v>
      </c>
      <c r="D217" s="21" t="s">
        <v>11956</v>
      </c>
      <c r="E217" s="21" t="s">
        <v>2600</v>
      </c>
      <c r="F217" s="21" t="s">
        <v>11957</v>
      </c>
      <c r="G217" s="21" t="s">
        <v>11720</v>
      </c>
    </row>
    <row r="218" customFormat="false" ht="15" hidden="false" customHeight="false" outlineLevel="0" collapsed="false">
      <c r="B218" s="19" t="s">
        <v>11958</v>
      </c>
      <c r="C218" s="20" t="n">
        <f aca="false">ROUND(4.88/FX,2)</f>
        <v>0.68</v>
      </c>
      <c r="D218" s="21" t="s">
        <v>11956</v>
      </c>
      <c r="E218" s="21" t="s">
        <v>2851</v>
      </c>
      <c r="F218" s="21" t="s">
        <v>11957</v>
      </c>
      <c r="G218" s="21" t="s">
        <v>11720</v>
      </c>
    </row>
    <row r="219" customFormat="false" ht="15" hidden="false" customHeight="false" outlineLevel="0" collapsed="false">
      <c r="B219" s="19" t="s">
        <v>11959</v>
      </c>
      <c r="C219" s="20" t="n">
        <f aca="false">ROUND(6.5/FX,2)</f>
        <v>0.9</v>
      </c>
      <c r="D219" s="21" t="s">
        <v>11956</v>
      </c>
      <c r="E219" s="21" t="s">
        <v>1048</v>
      </c>
      <c r="F219" s="21" t="s">
        <v>11957</v>
      </c>
      <c r="G219" s="21" t="s">
        <v>11720</v>
      </c>
    </row>
    <row r="220" customFormat="false" ht="15" hidden="false" customHeight="false" outlineLevel="0" collapsed="false">
      <c r="B220" s="19" t="s">
        <v>11960</v>
      </c>
      <c r="C220" s="20" t="n">
        <f aca="false">ROUND(7.48/FX,2)</f>
        <v>1.04</v>
      </c>
      <c r="D220" s="21" t="s">
        <v>11956</v>
      </c>
      <c r="E220" s="21" t="s">
        <v>1323</v>
      </c>
      <c r="F220" s="21" t="s">
        <v>11957</v>
      </c>
      <c r="G220" s="21" t="s">
        <v>11720</v>
      </c>
    </row>
    <row r="221" customFormat="false" ht="15" hidden="false" customHeight="false" outlineLevel="0" collapsed="false">
      <c r="B221" s="19" t="s">
        <v>11961</v>
      </c>
      <c r="C221" s="20" t="n">
        <f aca="false">ROUND(9.75/FX,2)</f>
        <v>1.35</v>
      </c>
      <c r="D221" s="21" t="s">
        <v>11956</v>
      </c>
      <c r="E221" s="21" t="s">
        <v>1520</v>
      </c>
      <c r="F221" s="21" t="s">
        <v>11957</v>
      </c>
      <c r="G221" s="21" t="s">
        <v>11720</v>
      </c>
    </row>
    <row r="222" customFormat="false" ht="15" hidden="false" customHeight="false" outlineLevel="0" collapsed="false">
      <c r="B222" s="19" t="s">
        <v>11962</v>
      </c>
      <c r="C222" s="20" t="n">
        <f aca="false">ROUND(3.25/FX,2)</f>
        <v>0.45</v>
      </c>
      <c r="D222" s="21" t="s">
        <v>11956</v>
      </c>
      <c r="E222" s="21" t="s">
        <v>2600</v>
      </c>
      <c r="F222" s="21" t="s">
        <v>11947</v>
      </c>
      <c r="G222" s="21" t="s">
        <v>11720</v>
      </c>
    </row>
    <row r="223" customFormat="false" ht="15" hidden="false" customHeight="false" outlineLevel="0" collapsed="false">
      <c r="B223" s="19" t="s">
        <v>11963</v>
      </c>
      <c r="C223" s="20" t="n">
        <f aca="false">ROUND(4.17/FX,2)</f>
        <v>0.58</v>
      </c>
      <c r="D223" s="21" t="s">
        <v>11956</v>
      </c>
      <c r="E223" s="21" t="s">
        <v>11964</v>
      </c>
      <c r="F223" s="21" t="s">
        <v>11947</v>
      </c>
      <c r="G223" s="21" t="s">
        <v>11720</v>
      </c>
    </row>
    <row r="224" customFormat="false" ht="15" hidden="false" customHeight="false" outlineLevel="0" collapsed="false">
      <c r="B224" s="19" t="s">
        <v>11965</v>
      </c>
      <c r="C224" s="20" t="n">
        <f aca="false">ROUND(3.58/FX,2)</f>
        <v>0.5</v>
      </c>
      <c r="D224" s="21" t="s">
        <v>11956</v>
      </c>
      <c r="E224" s="21" t="s">
        <v>2651</v>
      </c>
      <c r="F224" s="21" t="s">
        <v>11947</v>
      </c>
      <c r="G224" s="21" t="s">
        <v>11720</v>
      </c>
    </row>
    <row r="225" customFormat="false" ht="15" hidden="false" customHeight="false" outlineLevel="0" collapsed="false">
      <c r="B225" s="19" t="s">
        <v>11966</v>
      </c>
      <c r="C225" s="20" t="n">
        <f aca="false">ROUND(3.9/FX,2)</f>
        <v>0.54</v>
      </c>
      <c r="D225" s="21" t="s">
        <v>11956</v>
      </c>
      <c r="E225" s="21" t="s">
        <v>2701</v>
      </c>
      <c r="F225" s="21" t="s">
        <v>11947</v>
      </c>
      <c r="G225" s="21" t="s">
        <v>11720</v>
      </c>
    </row>
    <row r="226" customFormat="false" ht="15" hidden="false" customHeight="false" outlineLevel="0" collapsed="false">
      <c r="B226" s="19" t="s">
        <v>11967</v>
      </c>
      <c r="C226" s="20" t="n">
        <f aca="false">ROUND(4.06/FX,2)</f>
        <v>0.56</v>
      </c>
      <c r="D226" s="21" t="s">
        <v>11956</v>
      </c>
      <c r="E226" s="21" t="s">
        <v>11968</v>
      </c>
      <c r="F226" s="21" t="s">
        <v>11947</v>
      </c>
      <c r="G226" s="21" t="s">
        <v>11720</v>
      </c>
    </row>
    <row r="227" customFormat="false" ht="15" hidden="false" customHeight="false" outlineLevel="0" collapsed="false">
      <c r="B227" s="19" t="s">
        <v>11969</v>
      </c>
      <c r="C227" s="20" t="n">
        <f aca="false">ROUND(4.88/FX,2)</f>
        <v>0.68</v>
      </c>
      <c r="D227" s="21" t="s">
        <v>11956</v>
      </c>
      <c r="E227" s="21" t="s">
        <v>2851</v>
      </c>
      <c r="F227" s="21" t="s">
        <v>11947</v>
      </c>
      <c r="G227" s="21" t="s">
        <v>11720</v>
      </c>
    </row>
    <row r="228" customFormat="false" ht="15" hidden="false" customHeight="false" outlineLevel="0" collapsed="false">
      <c r="B228" s="19" t="s">
        <v>11970</v>
      </c>
      <c r="C228" s="20" t="n">
        <f aca="false">ROUND(6.5/FX,2)</f>
        <v>0.9</v>
      </c>
      <c r="D228" s="21" t="s">
        <v>11956</v>
      </c>
      <c r="E228" s="21" t="s">
        <v>1048</v>
      </c>
      <c r="F228" s="21" t="s">
        <v>11947</v>
      </c>
      <c r="G228" s="21" t="s">
        <v>11720</v>
      </c>
    </row>
    <row r="229" customFormat="false" ht="15" hidden="false" customHeight="false" outlineLevel="0" collapsed="false">
      <c r="B229" s="19" t="s">
        <v>11971</v>
      </c>
      <c r="C229" s="20" t="n">
        <f aca="false">ROUND(8.13/FX,2)</f>
        <v>1.13</v>
      </c>
      <c r="D229" s="21" t="s">
        <v>11956</v>
      </c>
      <c r="E229" s="21" t="s">
        <v>1323</v>
      </c>
      <c r="F229" s="21" t="s">
        <v>11947</v>
      </c>
      <c r="G229" s="21" t="s">
        <v>11720</v>
      </c>
    </row>
    <row r="230" customFormat="false" ht="15" hidden="false" customHeight="false" outlineLevel="0" collapsed="false">
      <c r="B230" s="19" t="s">
        <v>11972</v>
      </c>
      <c r="C230" s="20" t="n">
        <f aca="false">ROUND(9.75/FX,2)</f>
        <v>1.35</v>
      </c>
      <c r="D230" s="21" t="s">
        <v>11956</v>
      </c>
      <c r="E230" s="21" t="s">
        <v>1520</v>
      </c>
      <c r="F230" s="21" t="s">
        <v>11947</v>
      </c>
      <c r="G230" s="21" t="s">
        <v>11720</v>
      </c>
    </row>
    <row r="231" customFormat="false" ht="15" hidden="false" customHeight="false" outlineLevel="0" collapsed="false">
      <c r="B231" s="19" t="s">
        <v>11973</v>
      </c>
      <c r="C231" s="20" t="n">
        <f aca="false">ROUND(1.95/FX,2)</f>
        <v>0.27</v>
      </c>
      <c r="D231" s="21" t="s">
        <v>11956</v>
      </c>
      <c r="E231" s="21" t="s">
        <v>7275</v>
      </c>
      <c r="F231" s="21" t="s">
        <v>11947</v>
      </c>
      <c r="G231" s="21" t="s">
        <v>11720</v>
      </c>
    </row>
    <row r="232" customFormat="false" ht="15" hidden="false" customHeight="false" outlineLevel="0" collapsed="false">
      <c r="B232" s="19" t="s">
        <v>11974</v>
      </c>
      <c r="C232" s="20" t="n">
        <f aca="false">ROUND(3.25/FX,2)</f>
        <v>0.45</v>
      </c>
      <c r="D232" s="21" t="s">
        <v>11956</v>
      </c>
      <c r="E232" s="21" t="s">
        <v>3061</v>
      </c>
      <c r="F232" s="21" t="s">
        <v>11947</v>
      </c>
      <c r="G232" s="21" t="s">
        <v>11720</v>
      </c>
    </row>
    <row r="233" customFormat="false" ht="15" hidden="false" customHeight="false" outlineLevel="0" collapsed="false">
      <c r="B233" s="19" t="s">
        <v>11975</v>
      </c>
      <c r="C233" s="20" t="n">
        <f aca="false">ROUND(2.47/FX,2)</f>
        <v>0.34</v>
      </c>
      <c r="D233" s="21" t="s">
        <v>6239</v>
      </c>
      <c r="E233" s="21" t="s">
        <v>2600</v>
      </c>
      <c r="F233" s="21" t="s">
        <v>11957</v>
      </c>
      <c r="G233" s="21" t="s">
        <v>11720</v>
      </c>
    </row>
    <row r="234" customFormat="false" ht="15" hidden="false" customHeight="false" outlineLevel="0" collapsed="false">
      <c r="B234" s="19" t="s">
        <v>11976</v>
      </c>
      <c r="C234" s="20" t="n">
        <f aca="false">ROUND(39/FX,2)</f>
        <v>5.42</v>
      </c>
      <c r="D234" s="21" t="s">
        <v>6239</v>
      </c>
      <c r="E234" s="21" t="s">
        <v>1733</v>
      </c>
      <c r="F234" s="21" t="s">
        <v>11957</v>
      </c>
      <c r="G234" s="21" t="s">
        <v>11720</v>
      </c>
    </row>
    <row r="235" customFormat="false" ht="15" hidden="false" customHeight="false" outlineLevel="0" collapsed="false">
      <c r="B235" s="19" t="s">
        <v>11977</v>
      </c>
      <c r="C235" s="20" t="n">
        <f aca="false">ROUND(2.81/FX,2)</f>
        <v>0.39</v>
      </c>
      <c r="D235" s="21" t="s">
        <v>6239</v>
      </c>
      <c r="E235" s="21" t="s">
        <v>2701</v>
      </c>
      <c r="F235" s="21" t="s">
        <v>11957</v>
      </c>
      <c r="G235" s="21" t="s">
        <v>11720</v>
      </c>
    </row>
    <row r="236" customFormat="false" ht="15" hidden="false" customHeight="false" outlineLevel="0" collapsed="false">
      <c r="B236" s="19" t="s">
        <v>11978</v>
      </c>
      <c r="C236" s="20" t="n">
        <f aca="false">ROUND(3.51/FX,2)</f>
        <v>0.49</v>
      </c>
      <c r="D236" s="21" t="s">
        <v>6239</v>
      </c>
      <c r="E236" s="21" t="s">
        <v>2851</v>
      </c>
      <c r="F236" s="21" t="s">
        <v>11957</v>
      </c>
      <c r="G236" s="21" t="s">
        <v>11720</v>
      </c>
    </row>
    <row r="237" customFormat="false" ht="15" hidden="false" customHeight="false" outlineLevel="0" collapsed="false">
      <c r="B237" s="19" t="s">
        <v>11979</v>
      </c>
      <c r="C237" s="20" t="n">
        <f aca="false">ROUND(4.68/FX,2)</f>
        <v>0.65</v>
      </c>
      <c r="D237" s="21" t="s">
        <v>6239</v>
      </c>
      <c r="E237" s="21" t="s">
        <v>1048</v>
      </c>
      <c r="F237" s="21" t="s">
        <v>11957</v>
      </c>
      <c r="G237" s="21" t="s">
        <v>11720</v>
      </c>
    </row>
    <row r="238" customFormat="false" ht="15" hidden="false" customHeight="false" outlineLevel="0" collapsed="false">
      <c r="B238" s="19" t="s">
        <v>11980</v>
      </c>
      <c r="C238" s="20" t="n">
        <f aca="false">ROUND(5.85/FX,2)</f>
        <v>0.81</v>
      </c>
      <c r="D238" s="21" t="s">
        <v>6239</v>
      </c>
      <c r="E238" s="21" t="s">
        <v>1323</v>
      </c>
      <c r="F238" s="21" t="s">
        <v>11957</v>
      </c>
      <c r="G238" s="21" t="s">
        <v>11720</v>
      </c>
    </row>
    <row r="239" customFormat="false" ht="15" hidden="false" customHeight="false" outlineLevel="0" collapsed="false">
      <c r="B239" s="19" t="s">
        <v>11981</v>
      </c>
      <c r="C239" s="20" t="n">
        <f aca="false">ROUND(7.02/FX,2)</f>
        <v>0.98</v>
      </c>
      <c r="D239" s="21" t="s">
        <v>6239</v>
      </c>
      <c r="E239" s="21" t="s">
        <v>1520</v>
      </c>
      <c r="F239" s="21" t="s">
        <v>11957</v>
      </c>
      <c r="G239" s="21" t="s">
        <v>11720</v>
      </c>
    </row>
    <row r="240" customFormat="false" ht="15" hidden="false" customHeight="false" outlineLevel="0" collapsed="false">
      <c r="B240" s="19" t="s">
        <v>11982</v>
      </c>
      <c r="C240" s="20" t="n">
        <f aca="false">ROUND(8.19/FX,2)</f>
        <v>1.14</v>
      </c>
      <c r="D240" s="21" t="s">
        <v>6239</v>
      </c>
      <c r="E240" s="21" t="s">
        <v>1635</v>
      </c>
      <c r="F240" s="21" t="s">
        <v>11957</v>
      </c>
      <c r="G240" s="21" t="s">
        <v>11720</v>
      </c>
    </row>
    <row r="241" customFormat="false" ht="15" hidden="false" customHeight="false" outlineLevel="0" collapsed="false">
      <c r="B241" s="19" t="s">
        <v>11983</v>
      </c>
      <c r="C241" s="20" t="n">
        <f aca="false">ROUND(9.36/FX,2)</f>
        <v>1.3</v>
      </c>
      <c r="D241" s="21" t="s">
        <v>6239</v>
      </c>
      <c r="E241" s="21" t="s">
        <v>2002</v>
      </c>
      <c r="F241" s="21" t="s">
        <v>11957</v>
      </c>
      <c r="G241" s="21" t="s">
        <v>11720</v>
      </c>
    </row>
    <row r="242" customFormat="false" ht="15" hidden="false" customHeight="false" outlineLevel="0" collapsed="false">
      <c r="B242" s="19" t="s">
        <v>11984</v>
      </c>
      <c r="C242" s="20" t="n">
        <f aca="false">ROUND(14.3/FX,2)</f>
        <v>1.99</v>
      </c>
      <c r="D242" s="21" t="s">
        <v>6239</v>
      </c>
      <c r="E242" s="21" t="s">
        <v>2142</v>
      </c>
      <c r="F242" s="21" t="s">
        <v>11957</v>
      </c>
      <c r="G242" s="21" t="s">
        <v>11720</v>
      </c>
    </row>
    <row r="243" customFormat="false" ht="15" hidden="false" customHeight="false" outlineLevel="0" collapsed="false">
      <c r="B243" s="19" t="s">
        <v>11985</v>
      </c>
      <c r="C243" s="20" t="n">
        <f aca="false">ROUND(21.45/FX,2)</f>
        <v>2.98</v>
      </c>
      <c r="D243" s="21" t="s">
        <v>6239</v>
      </c>
      <c r="E243" s="21" t="s">
        <v>2187</v>
      </c>
      <c r="F243" s="21" t="s">
        <v>11957</v>
      </c>
      <c r="G243" s="21" t="s">
        <v>11720</v>
      </c>
    </row>
    <row r="244" customFormat="false" ht="15" hidden="false" customHeight="false" outlineLevel="0" collapsed="false">
      <c r="B244" s="19" t="s">
        <v>11986</v>
      </c>
      <c r="C244" s="20" t="n">
        <f aca="false">ROUND(2.34/FX,2)</f>
        <v>0.33</v>
      </c>
      <c r="D244" s="21" t="s">
        <v>6239</v>
      </c>
      <c r="E244" s="21" t="s">
        <v>2600</v>
      </c>
      <c r="F244" s="21" t="s">
        <v>11947</v>
      </c>
      <c r="G244" s="21" t="s">
        <v>11720</v>
      </c>
    </row>
    <row r="245" customFormat="false" ht="15" hidden="false" customHeight="false" outlineLevel="0" collapsed="false">
      <c r="B245" s="19" t="s">
        <v>11987</v>
      </c>
      <c r="C245" s="20" t="n">
        <f aca="false">ROUND(39/FX,2)</f>
        <v>5.42</v>
      </c>
      <c r="D245" s="21" t="s">
        <v>6239</v>
      </c>
      <c r="E245" s="21" t="s">
        <v>1733</v>
      </c>
      <c r="F245" s="21" t="s">
        <v>11947</v>
      </c>
      <c r="G245" s="21" t="s">
        <v>11720</v>
      </c>
    </row>
    <row r="246" customFormat="false" ht="15" hidden="false" customHeight="false" outlineLevel="0" collapsed="false">
      <c r="B246" s="19" t="s">
        <v>11988</v>
      </c>
      <c r="C246" s="20" t="n">
        <f aca="false">ROUND(2.81/FX,2)</f>
        <v>0.39</v>
      </c>
      <c r="D246" s="21" t="s">
        <v>6239</v>
      </c>
      <c r="E246" s="21" t="s">
        <v>2701</v>
      </c>
      <c r="F246" s="21" t="s">
        <v>11947</v>
      </c>
      <c r="G246" s="21" t="s">
        <v>11720</v>
      </c>
    </row>
    <row r="247" customFormat="false" ht="15" hidden="false" customHeight="false" outlineLevel="0" collapsed="false">
      <c r="B247" s="19" t="s">
        <v>11989</v>
      </c>
      <c r="C247" s="20" t="n">
        <f aca="false">ROUND(3.51/FX,2)</f>
        <v>0.49</v>
      </c>
      <c r="D247" s="21" t="s">
        <v>6239</v>
      </c>
      <c r="E247" s="21" t="s">
        <v>2851</v>
      </c>
      <c r="F247" s="21" t="s">
        <v>11947</v>
      </c>
      <c r="G247" s="21" t="s">
        <v>11720</v>
      </c>
    </row>
    <row r="248" customFormat="false" ht="15" hidden="false" customHeight="false" outlineLevel="0" collapsed="false">
      <c r="B248" s="19" t="s">
        <v>11990</v>
      </c>
      <c r="C248" s="20" t="n">
        <f aca="false">ROUND(4.68/FX,2)</f>
        <v>0.65</v>
      </c>
      <c r="D248" s="21" t="s">
        <v>6239</v>
      </c>
      <c r="E248" s="21" t="s">
        <v>1048</v>
      </c>
      <c r="F248" s="21" t="s">
        <v>11947</v>
      </c>
      <c r="G248" s="21" t="s">
        <v>11720</v>
      </c>
    </row>
    <row r="249" customFormat="false" ht="15" hidden="false" customHeight="false" outlineLevel="0" collapsed="false">
      <c r="B249" s="19" t="s">
        <v>11991</v>
      </c>
      <c r="C249" s="20" t="n">
        <f aca="false">ROUND(5.85/FX,2)</f>
        <v>0.81</v>
      </c>
      <c r="D249" s="21" t="s">
        <v>6239</v>
      </c>
      <c r="E249" s="21" t="s">
        <v>1323</v>
      </c>
      <c r="F249" s="21" t="s">
        <v>11947</v>
      </c>
      <c r="G249" s="21" t="s">
        <v>11720</v>
      </c>
    </row>
    <row r="250" customFormat="false" ht="15" hidden="false" customHeight="false" outlineLevel="0" collapsed="false">
      <c r="B250" s="19" t="s">
        <v>11992</v>
      </c>
      <c r="C250" s="20" t="n">
        <f aca="false">ROUND(6.67/FX,2)</f>
        <v>0.93</v>
      </c>
      <c r="D250" s="21" t="s">
        <v>6239</v>
      </c>
      <c r="E250" s="21" t="s">
        <v>1433</v>
      </c>
      <c r="F250" s="21" t="s">
        <v>11947</v>
      </c>
      <c r="G250" s="21" t="s">
        <v>11720</v>
      </c>
    </row>
    <row r="251" customFormat="false" ht="15" hidden="false" customHeight="false" outlineLevel="0" collapsed="false">
      <c r="B251" s="19" t="s">
        <v>11993</v>
      </c>
      <c r="C251" s="20" t="n">
        <f aca="false">ROUND(7.02/FX,2)</f>
        <v>0.98</v>
      </c>
      <c r="D251" s="21" t="s">
        <v>6239</v>
      </c>
      <c r="E251" s="21" t="s">
        <v>1520</v>
      </c>
      <c r="F251" s="21" t="s">
        <v>11947</v>
      </c>
      <c r="G251" s="21" t="s">
        <v>11720</v>
      </c>
    </row>
    <row r="252" customFormat="false" ht="15" hidden="false" customHeight="false" outlineLevel="0" collapsed="false">
      <c r="B252" s="19" t="s">
        <v>11994</v>
      </c>
      <c r="C252" s="20" t="n">
        <f aca="false">ROUND(13.65/FX,2)</f>
        <v>1.9</v>
      </c>
      <c r="D252" s="21" t="s">
        <v>6239</v>
      </c>
      <c r="E252" s="21" t="s">
        <v>1635</v>
      </c>
      <c r="F252" s="21" t="s">
        <v>11947</v>
      </c>
      <c r="G252" s="21" t="s">
        <v>11720</v>
      </c>
    </row>
    <row r="253" customFormat="false" ht="15" hidden="false" customHeight="false" outlineLevel="0" collapsed="false">
      <c r="B253" s="19" t="s">
        <v>11995</v>
      </c>
      <c r="C253" s="20" t="n">
        <f aca="false">ROUND(9.36/FX,2)</f>
        <v>1.3</v>
      </c>
      <c r="D253" s="21" t="s">
        <v>6239</v>
      </c>
      <c r="E253" s="21" t="s">
        <v>2002</v>
      </c>
      <c r="F253" s="21" t="s">
        <v>11947</v>
      </c>
      <c r="G253" s="21" t="s">
        <v>11720</v>
      </c>
    </row>
    <row r="254" customFormat="false" ht="15" hidden="false" customHeight="false" outlineLevel="0" collapsed="false">
      <c r="B254" s="19" t="s">
        <v>11996</v>
      </c>
      <c r="C254" s="20" t="n">
        <f aca="false">ROUND(10.53/FX,2)</f>
        <v>1.46</v>
      </c>
      <c r="D254" s="21" t="s">
        <v>6239</v>
      </c>
      <c r="E254" s="21" t="s">
        <v>2067</v>
      </c>
      <c r="F254" s="21" t="s">
        <v>11947</v>
      </c>
      <c r="G254" s="21" t="s">
        <v>11720</v>
      </c>
    </row>
    <row r="255" customFormat="false" ht="15" hidden="false" customHeight="false" outlineLevel="0" collapsed="false">
      <c r="B255" s="19" t="s">
        <v>11997</v>
      </c>
      <c r="C255" s="20" t="n">
        <f aca="false">ROUND(11.7/FX,2)</f>
        <v>1.63</v>
      </c>
      <c r="D255" s="21" t="s">
        <v>6239</v>
      </c>
      <c r="E255" s="21" t="s">
        <v>2142</v>
      </c>
      <c r="F255" s="21" t="s">
        <v>11947</v>
      </c>
      <c r="G255" s="21" t="s">
        <v>11720</v>
      </c>
    </row>
    <row r="256" customFormat="false" ht="15" hidden="false" customHeight="false" outlineLevel="0" collapsed="false">
      <c r="B256" s="19" t="s">
        <v>11998</v>
      </c>
      <c r="C256" s="20" t="n">
        <f aca="false">ROUND(21.45/FX,2)</f>
        <v>2.98</v>
      </c>
      <c r="D256" s="21" t="s">
        <v>6239</v>
      </c>
      <c r="E256" s="21" t="s">
        <v>2187</v>
      </c>
      <c r="F256" s="21" t="s">
        <v>11947</v>
      </c>
      <c r="G256" s="21" t="s">
        <v>11720</v>
      </c>
    </row>
    <row r="257" customFormat="false" ht="15" hidden="false" customHeight="false" outlineLevel="0" collapsed="false">
      <c r="B257" s="19" t="s">
        <v>11999</v>
      </c>
      <c r="C257" s="20" t="n">
        <f aca="false">ROUND(23.4/FX,2)</f>
        <v>3.25</v>
      </c>
      <c r="D257" s="21" t="s">
        <v>6239</v>
      </c>
      <c r="E257" s="21" t="s">
        <v>2227</v>
      </c>
      <c r="F257" s="21" t="s">
        <v>11947</v>
      </c>
      <c r="G257" s="21" t="s">
        <v>11720</v>
      </c>
    </row>
    <row r="258" customFormat="false" ht="15" hidden="false" customHeight="false" outlineLevel="0" collapsed="false">
      <c r="B258" s="19" t="s">
        <v>12000</v>
      </c>
      <c r="C258" s="20" t="n">
        <f aca="false">ROUND(2.34/FX,2)</f>
        <v>0.33</v>
      </c>
      <c r="D258" s="21" t="s">
        <v>6239</v>
      </c>
      <c r="E258" s="21" t="s">
        <v>2600</v>
      </c>
      <c r="F258" s="21" t="s">
        <v>12001</v>
      </c>
      <c r="G258" s="21" t="s">
        <v>11720</v>
      </c>
    </row>
    <row r="259" customFormat="false" ht="15" hidden="false" customHeight="false" outlineLevel="0" collapsed="false">
      <c r="B259" s="19" t="s">
        <v>12002</v>
      </c>
      <c r="C259" s="20" t="n">
        <f aca="false">ROUND(22.1/FX,2)</f>
        <v>3.07</v>
      </c>
      <c r="D259" s="21" t="s">
        <v>6239</v>
      </c>
      <c r="E259" s="21" t="s">
        <v>1733</v>
      </c>
      <c r="F259" s="21" t="s">
        <v>12001</v>
      </c>
      <c r="G259" s="21" t="s">
        <v>11720</v>
      </c>
    </row>
    <row r="260" customFormat="false" ht="15" hidden="false" customHeight="false" outlineLevel="0" collapsed="false">
      <c r="B260" s="19" t="s">
        <v>12003</v>
      </c>
      <c r="C260" s="20" t="n">
        <f aca="false">ROUND(2.81/FX,2)</f>
        <v>0.39</v>
      </c>
      <c r="D260" s="21" t="s">
        <v>6239</v>
      </c>
      <c r="E260" s="21" t="s">
        <v>2701</v>
      </c>
      <c r="F260" s="21" t="s">
        <v>12001</v>
      </c>
      <c r="G260" s="21" t="s">
        <v>11720</v>
      </c>
    </row>
    <row r="261" customFormat="false" ht="15" hidden="false" customHeight="false" outlineLevel="0" collapsed="false">
      <c r="B261" s="19" t="s">
        <v>12004</v>
      </c>
      <c r="C261" s="20" t="n">
        <f aca="false">ROUND(3.51/FX,2)</f>
        <v>0.49</v>
      </c>
      <c r="D261" s="21" t="s">
        <v>6239</v>
      </c>
      <c r="E261" s="21" t="s">
        <v>2851</v>
      </c>
      <c r="F261" s="21" t="s">
        <v>12001</v>
      </c>
      <c r="G261" s="21" t="s">
        <v>11720</v>
      </c>
    </row>
    <row r="262" customFormat="false" ht="15" hidden="false" customHeight="false" outlineLevel="0" collapsed="false">
      <c r="B262" s="19" t="s">
        <v>12005</v>
      </c>
      <c r="C262" s="20" t="n">
        <f aca="false">ROUND(5.07/FX,2)</f>
        <v>0.7</v>
      </c>
      <c r="D262" s="21" t="s">
        <v>6239</v>
      </c>
      <c r="E262" s="21" t="s">
        <v>2881</v>
      </c>
      <c r="F262" s="21" t="s">
        <v>12001</v>
      </c>
      <c r="G262" s="21" t="s">
        <v>11720</v>
      </c>
    </row>
    <row r="263" customFormat="false" ht="15" hidden="false" customHeight="false" outlineLevel="0" collapsed="false">
      <c r="B263" s="19" t="s">
        <v>12006</v>
      </c>
      <c r="C263" s="20" t="n">
        <f aca="false">ROUND(6.5/FX,2)</f>
        <v>0.9</v>
      </c>
      <c r="D263" s="21" t="s">
        <v>6239</v>
      </c>
      <c r="E263" s="21" t="s">
        <v>1048</v>
      </c>
      <c r="F263" s="21" t="s">
        <v>12001</v>
      </c>
      <c r="G263" s="21" t="s">
        <v>11720</v>
      </c>
    </row>
    <row r="264" customFormat="false" ht="15" hidden="false" customHeight="false" outlineLevel="0" collapsed="false">
      <c r="B264" s="19" t="s">
        <v>12007</v>
      </c>
      <c r="C264" s="20" t="n">
        <f aca="false">ROUND(5.85/FX,2)</f>
        <v>0.81</v>
      </c>
      <c r="D264" s="21" t="s">
        <v>6239</v>
      </c>
      <c r="E264" s="21" t="s">
        <v>1323</v>
      </c>
      <c r="F264" s="21" t="s">
        <v>12001</v>
      </c>
      <c r="G264" s="21" t="s">
        <v>11720</v>
      </c>
    </row>
    <row r="265" customFormat="false" ht="15" hidden="false" customHeight="false" outlineLevel="0" collapsed="false">
      <c r="B265" s="19" t="s">
        <v>12008</v>
      </c>
      <c r="C265" s="20" t="n">
        <f aca="false">ROUND(7.02/FX,2)</f>
        <v>0.98</v>
      </c>
      <c r="D265" s="21" t="s">
        <v>6239</v>
      </c>
      <c r="E265" s="21" t="s">
        <v>1520</v>
      </c>
      <c r="F265" s="21" t="s">
        <v>12001</v>
      </c>
      <c r="G265" s="21" t="s">
        <v>11720</v>
      </c>
    </row>
    <row r="266" customFormat="false" ht="15" hidden="false" customHeight="false" outlineLevel="0" collapsed="false">
      <c r="B266" s="19" t="s">
        <v>12009</v>
      </c>
      <c r="C266" s="20" t="n">
        <f aca="false">ROUND(8.19/FX,2)</f>
        <v>1.14</v>
      </c>
      <c r="D266" s="21" t="s">
        <v>6239</v>
      </c>
      <c r="E266" s="21" t="s">
        <v>1635</v>
      </c>
      <c r="F266" s="21" t="s">
        <v>12001</v>
      </c>
      <c r="G266" s="21" t="s">
        <v>11720</v>
      </c>
    </row>
    <row r="267" customFormat="false" ht="15" hidden="false" customHeight="false" outlineLevel="0" collapsed="false">
      <c r="B267" s="19" t="s">
        <v>12010</v>
      </c>
      <c r="C267" s="20" t="n">
        <f aca="false">ROUND(15.6/FX,2)</f>
        <v>2.17</v>
      </c>
      <c r="D267" s="21" t="s">
        <v>6239</v>
      </c>
      <c r="E267" s="21" t="s">
        <v>2002</v>
      </c>
      <c r="F267" s="21" t="s">
        <v>12001</v>
      </c>
      <c r="G267" s="21" t="s">
        <v>11720</v>
      </c>
    </row>
    <row r="268" customFormat="false" ht="15" hidden="false" customHeight="false" outlineLevel="0" collapsed="false">
      <c r="B268" s="19" t="s">
        <v>12011</v>
      </c>
      <c r="C268" s="20" t="n">
        <f aca="false">ROUND(11.7/FX,2)</f>
        <v>1.63</v>
      </c>
      <c r="D268" s="21" t="s">
        <v>6239</v>
      </c>
      <c r="E268" s="21" t="s">
        <v>2142</v>
      </c>
      <c r="F268" s="21" t="s">
        <v>12001</v>
      </c>
      <c r="G268" s="21" t="s">
        <v>11720</v>
      </c>
    </row>
    <row r="269" customFormat="false" ht="15" hidden="false" customHeight="false" outlineLevel="0" collapsed="false">
      <c r="B269" s="19" t="s">
        <v>12012</v>
      </c>
      <c r="C269" s="20" t="n">
        <f aca="false">ROUND(12.87/FX,2)</f>
        <v>1.79</v>
      </c>
      <c r="D269" s="21" t="s">
        <v>6239</v>
      </c>
      <c r="E269" s="21" t="s">
        <v>2187</v>
      </c>
      <c r="F269" s="21" t="s">
        <v>12001</v>
      </c>
      <c r="G269" s="21" t="s">
        <v>11720</v>
      </c>
    </row>
    <row r="270" customFormat="false" ht="15" hidden="false" customHeight="false" outlineLevel="0" collapsed="false">
      <c r="B270" s="19" t="s">
        <v>12013</v>
      </c>
      <c r="C270" s="20" t="n">
        <f aca="false">ROUND(14.04/FX,2)</f>
        <v>1.95</v>
      </c>
      <c r="D270" s="21" t="s">
        <v>6239</v>
      </c>
      <c r="E270" s="21" t="s">
        <v>2227</v>
      </c>
      <c r="F270" s="21" t="s">
        <v>12001</v>
      </c>
      <c r="G270" s="21" t="s">
        <v>11720</v>
      </c>
    </row>
    <row r="271" customFormat="false" ht="15" hidden="false" customHeight="false" outlineLevel="0" collapsed="false">
      <c r="B271" s="19" t="s">
        <v>12014</v>
      </c>
      <c r="C271" s="20" t="n">
        <f aca="false">ROUND(17.2/FX,2)</f>
        <v>2.39</v>
      </c>
      <c r="D271" s="21" t="s">
        <v>6239</v>
      </c>
      <c r="E271" s="21" t="s">
        <v>2261</v>
      </c>
      <c r="F271" s="21" t="s">
        <v>12001</v>
      </c>
      <c r="G271" s="21" t="s">
        <v>11720</v>
      </c>
    </row>
    <row r="272" customFormat="false" ht="15" hidden="false" customHeight="false" outlineLevel="0" collapsed="false">
      <c r="B272" s="19" t="s">
        <v>12015</v>
      </c>
      <c r="C272" s="20" t="n">
        <f aca="false">ROUND(3.25/FX,2)</f>
        <v>0.45</v>
      </c>
      <c r="D272" s="21" t="s">
        <v>6239</v>
      </c>
      <c r="E272" s="21" t="s">
        <v>2600</v>
      </c>
      <c r="F272" s="21" t="s">
        <v>12016</v>
      </c>
      <c r="G272" s="21" t="s">
        <v>11720</v>
      </c>
    </row>
    <row r="273" customFormat="false" ht="15" hidden="false" customHeight="false" outlineLevel="0" collapsed="false">
      <c r="B273" s="19" t="s">
        <v>12017</v>
      </c>
      <c r="C273" s="20" t="n">
        <f aca="false">ROUND(4.88/FX,2)</f>
        <v>0.68</v>
      </c>
      <c r="D273" s="21" t="s">
        <v>6239</v>
      </c>
      <c r="E273" s="21" t="s">
        <v>2851</v>
      </c>
      <c r="F273" s="21" t="s">
        <v>12016</v>
      </c>
      <c r="G273" s="21" t="s">
        <v>11720</v>
      </c>
    </row>
    <row r="274" customFormat="false" ht="15" hidden="false" customHeight="false" outlineLevel="0" collapsed="false">
      <c r="B274" s="19" t="s">
        <v>12018</v>
      </c>
      <c r="C274" s="20" t="n">
        <f aca="false">ROUND(7.8/FX,2)</f>
        <v>1.08</v>
      </c>
      <c r="D274" s="21" t="s">
        <v>6239</v>
      </c>
      <c r="E274" s="21" t="s">
        <v>1048</v>
      </c>
      <c r="F274" s="21" t="s">
        <v>12016</v>
      </c>
      <c r="G274" s="21" t="s">
        <v>11720</v>
      </c>
    </row>
    <row r="275" customFormat="false" ht="15" hidden="false" customHeight="false" outlineLevel="0" collapsed="false">
      <c r="B275" s="19" t="s">
        <v>12019</v>
      </c>
      <c r="C275" s="20" t="n">
        <f aca="false">ROUND(8.13/FX,2)</f>
        <v>1.13</v>
      </c>
      <c r="D275" s="21" t="s">
        <v>6239</v>
      </c>
      <c r="E275" s="21" t="s">
        <v>1323</v>
      </c>
      <c r="F275" s="21" t="s">
        <v>12016</v>
      </c>
      <c r="G275" s="21" t="s">
        <v>11720</v>
      </c>
    </row>
    <row r="276" customFormat="false" ht="15" hidden="false" customHeight="false" outlineLevel="0" collapsed="false">
      <c r="B276" s="19" t="s">
        <v>12020</v>
      </c>
      <c r="C276" s="20" t="n">
        <f aca="false">ROUND(2.34/FX,2)</f>
        <v>0.33</v>
      </c>
      <c r="D276" s="21" t="s">
        <v>12021</v>
      </c>
      <c r="E276" s="21" t="s">
        <v>2600</v>
      </c>
      <c r="F276" s="21" t="s">
        <v>11957</v>
      </c>
      <c r="G276" s="21" t="s">
        <v>11720</v>
      </c>
    </row>
    <row r="277" customFormat="false" ht="15" hidden="false" customHeight="false" outlineLevel="0" collapsed="false">
      <c r="B277" s="19" t="s">
        <v>12022</v>
      </c>
      <c r="C277" s="20" t="n">
        <f aca="false">ROUND(23.14/FX,2)</f>
        <v>3.21</v>
      </c>
      <c r="D277" s="21" t="s">
        <v>12021</v>
      </c>
      <c r="E277" s="21" t="s">
        <v>1733</v>
      </c>
      <c r="F277" s="21" t="s">
        <v>11957</v>
      </c>
      <c r="G277" s="21" t="s">
        <v>11720</v>
      </c>
    </row>
    <row r="278" customFormat="false" ht="15" hidden="false" customHeight="false" outlineLevel="0" collapsed="false">
      <c r="B278" s="19" t="s">
        <v>12023</v>
      </c>
      <c r="C278" s="20" t="n">
        <f aca="false">ROUND(2.81/FX,2)</f>
        <v>0.39</v>
      </c>
      <c r="D278" s="21" t="s">
        <v>12021</v>
      </c>
      <c r="E278" s="21" t="s">
        <v>2701</v>
      </c>
      <c r="F278" s="21" t="s">
        <v>11957</v>
      </c>
      <c r="G278" s="21" t="s">
        <v>11720</v>
      </c>
    </row>
    <row r="279" customFormat="false" ht="15" hidden="false" customHeight="false" outlineLevel="0" collapsed="false">
      <c r="B279" s="19" t="s">
        <v>12024</v>
      </c>
      <c r="C279" s="20" t="n">
        <f aca="false">ROUND(3.51/FX,2)</f>
        <v>0.49</v>
      </c>
      <c r="D279" s="21" t="s">
        <v>12021</v>
      </c>
      <c r="E279" s="21" t="s">
        <v>2851</v>
      </c>
      <c r="F279" s="21" t="s">
        <v>11957</v>
      </c>
      <c r="G279" s="21" t="s">
        <v>11720</v>
      </c>
    </row>
    <row r="280" customFormat="false" ht="15" hidden="false" customHeight="false" outlineLevel="0" collapsed="false">
      <c r="B280" s="19" t="s">
        <v>12025</v>
      </c>
      <c r="C280" s="20" t="n">
        <f aca="false">ROUND(4.21/FX,2)</f>
        <v>0.58</v>
      </c>
      <c r="D280" s="21" t="s">
        <v>12021</v>
      </c>
      <c r="E280" s="21" t="s">
        <v>938</v>
      </c>
      <c r="F280" s="21" t="s">
        <v>11957</v>
      </c>
      <c r="G280" s="21" t="s">
        <v>11720</v>
      </c>
    </row>
    <row r="281" customFormat="false" ht="15" hidden="false" customHeight="false" outlineLevel="0" collapsed="false">
      <c r="B281" s="19" t="s">
        <v>12026</v>
      </c>
      <c r="C281" s="20" t="n">
        <f aca="false">ROUND(4.68/FX,2)</f>
        <v>0.65</v>
      </c>
      <c r="D281" s="21" t="s">
        <v>12021</v>
      </c>
      <c r="E281" s="21" t="s">
        <v>1048</v>
      </c>
      <c r="F281" s="21" t="s">
        <v>11957</v>
      </c>
      <c r="G281" s="21" t="s">
        <v>11720</v>
      </c>
    </row>
    <row r="282" customFormat="false" ht="15" hidden="false" customHeight="false" outlineLevel="0" collapsed="false">
      <c r="B282" s="19" t="s">
        <v>12027</v>
      </c>
      <c r="C282" s="20" t="n">
        <f aca="false">ROUND(7.15/FX,2)</f>
        <v>0.99</v>
      </c>
      <c r="D282" s="21" t="s">
        <v>12021</v>
      </c>
      <c r="E282" s="21" t="s">
        <v>1158</v>
      </c>
      <c r="F282" s="21" t="s">
        <v>11957</v>
      </c>
      <c r="G282" s="21" t="s">
        <v>11720</v>
      </c>
    </row>
    <row r="283" customFormat="false" ht="15" hidden="false" customHeight="false" outlineLevel="0" collapsed="false">
      <c r="B283" s="19" t="s">
        <v>12028</v>
      </c>
      <c r="C283" s="20" t="n">
        <f aca="false">ROUND(6.5/FX,2)</f>
        <v>0.9</v>
      </c>
      <c r="D283" s="21" t="s">
        <v>12021</v>
      </c>
      <c r="E283" s="21" t="s">
        <v>1323</v>
      </c>
      <c r="F283" s="21" t="s">
        <v>11957</v>
      </c>
      <c r="G283" s="21" t="s">
        <v>11720</v>
      </c>
    </row>
    <row r="284" customFormat="false" ht="15" hidden="false" customHeight="false" outlineLevel="0" collapsed="false">
      <c r="B284" s="19" t="s">
        <v>12029</v>
      </c>
      <c r="C284" s="20" t="n">
        <f aca="false">ROUND(7.02/FX,2)</f>
        <v>0.98</v>
      </c>
      <c r="D284" s="21" t="s">
        <v>12021</v>
      </c>
      <c r="E284" s="21" t="s">
        <v>1520</v>
      </c>
      <c r="F284" s="21" t="s">
        <v>11957</v>
      </c>
      <c r="G284" s="21" t="s">
        <v>11720</v>
      </c>
    </row>
    <row r="285" customFormat="false" ht="15" hidden="false" customHeight="false" outlineLevel="0" collapsed="false">
      <c r="B285" s="19" t="s">
        <v>12030</v>
      </c>
      <c r="C285" s="20" t="n">
        <f aca="false">ROUND(8.19/FX,2)</f>
        <v>1.14</v>
      </c>
      <c r="D285" s="21" t="s">
        <v>12021</v>
      </c>
      <c r="E285" s="21" t="s">
        <v>1635</v>
      </c>
      <c r="F285" s="21" t="s">
        <v>11957</v>
      </c>
      <c r="G285" s="21" t="s">
        <v>11720</v>
      </c>
    </row>
    <row r="286" customFormat="false" ht="15" hidden="false" customHeight="false" outlineLevel="0" collapsed="false">
      <c r="B286" s="19" t="s">
        <v>12031</v>
      </c>
      <c r="C286" s="20" t="n">
        <f aca="false">ROUND(11.44/FX,2)</f>
        <v>1.59</v>
      </c>
      <c r="D286" s="21" t="s">
        <v>12021</v>
      </c>
      <c r="E286" s="21" t="s">
        <v>2002</v>
      </c>
      <c r="F286" s="21" t="s">
        <v>11957</v>
      </c>
      <c r="G286" s="21" t="s">
        <v>11720</v>
      </c>
    </row>
    <row r="287" customFormat="false" ht="15" hidden="false" customHeight="false" outlineLevel="0" collapsed="false">
      <c r="B287" s="19" t="s">
        <v>12032</v>
      </c>
      <c r="C287" s="20" t="n">
        <f aca="false">ROUND(14.63/FX,2)</f>
        <v>2.03</v>
      </c>
      <c r="D287" s="21" t="s">
        <v>12021</v>
      </c>
      <c r="E287" s="21" t="s">
        <v>2067</v>
      </c>
      <c r="F287" s="21" t="s">
        <v>11957</v>
      </c>
      <c r="G287" s="21" t="s">
        <v>11720</v>
      </c>
    </row>
    <row r="288" customFormat="false" ht="15" hidden="false" customHeight="false" outlineLevel="0" collapsed="false">
      <c r="B288" s="19" t="s">
        <v>12033</v>
      </c>
      <c r="C288" s="20" t="n">
        <f aca="false">ROUND(14.3/FX,2)</f>
        <v>1.99</v>
      </c>
      <c r="D288" s="21" t="s">
        <v>12021</v>
      </c>
      <c r="E288" s="21" t="s">
        <v>2142</v>
      </c>
      <c r="F288" s="21" t="s">
        <v>11957</v>
      </c>
      <c r="G288" s="21" t="s">
        <v>11720</v>
      </c>
    </row>
    <row r="289" customFormat="false" ht="15" hidden="false" customHeight="false" outlineLevel="0" collapsed="false">
      <c r="B289" s="19" t="s">
        <v>12034</v>
      </c>
      <c r="C289" s="20" t="n">
        <f aca="false">ROUND(14.3/FX,2)</f>
        <v>1.99</v>
      </c>
      <c r="D289" s="21" t="s">
        <v>12021</v>
      </c>
      <c r="E289" s="21" t="s">
        <v>2187</v>
      </c>
      <c r="F289" s="21" t="s">
        <v>11957</v>
      </c>
      <c r="G289" s="21" t="s">
        <v>11720</v>
      </c>
    </row>
    <row r="290" customFormat="false" ht="15" hidden="false" customHeight="false" outlineLevel="0" collapsed="false">
      <c r="B290" s="19" t="s">
        <v>12035</v>
      </c>
      <c r="C290" s="20" t="n">
        <f aca="false">ROUND(2.34/FX,2)</f>
        <v>0.33</v>
      </c>
      <c r="D290" s="21" t="s">
        <v>12021</v>
      </c>
      <c r="E290" s="21" t="s">
        <v>2961</v>
      </c>
      <c r="F290" s="21" t="s">
        <v>11957</v>
      </c>
      <c r="G290" s="21" t="s">
        <v>11720</v>
      </c>
    </row>
    <row r="291" customFormat="false" ht="15" hidden="false" customHeight="false" outlineLevel="0" collapsed="false">
      <c r="B291" s="19" t="s">
        <v>12036</v>
      </c>
      <c r="C291" s="20" t="n">
        <f aca="false">ROUND(2.34/FX,2)</f>
        <v>0.33</v>
      </c>
      <c r="D291" s="21" t="s">
        <v>12021</v>
      </c>
      <c r="E291" s="21" t="s">
        <v>2600</v>
      </c>
      <c r="F291" s="21" t="s">
        <v>11947</v>
      </c>
      <c r="G291" s="21" t="s">
        <v>11720</v>
      </c>
    </row>
    <row r="292" customFormat="false" ht="15" hidden="false" customHeight="false" outlineLevel="0" collapsed="false">
      <c r="B292" s="19" t="s">
        <v>12037</v>
      </c>
      <c r="C292" s="20" t="n">
        <f aca="false">ROUND(23.4/FX,2)</f>
        <v>3.25</v>
      </c>
      <c r="D292" s="21" t="s">
        <v>12021</v>
      </c>
      <c r="E292" s="21" t="s">
        <v>1733</v>
      </c>
      <c r="F292" s="21" t="s">
        <v>11947</v>
      </c>
      <c r="G292" s="21" t="s">
        <v>11720</v>
      </c>
    </row>
    <row r="293" customFormat="false" ht="15" hidden="false" customHeight="false" outlineLevel="0" collapsed="false">
      <c r="B293" s="19" t="s">
        <v>12038</v>
      </c>
      <c r="C293" s="20" t="n">
        <f aca="false">ROUND(3.51/FX,2)</f>
        <v>0.49</v>
      </c>
      <c r="D293" s="21" t="s">
        <v>12021</v>
      </c>
      <c r="E293" s="21" t="s">
        <v>2851</v>
      </c>
      <c r="F293" s="21" t="s">
        <v>11947</v>
      </c>
      <c r="G293" s="21" t="s">
        <v>11720</v>
      </c>
    </row>
    <row r="294" customFormat="false" ht="15" hidden="false" customHeight="false" outlineLevel="0" collapsed="false">
      <c r="B294" s="19" t="s">
        <v>12039</v>
      </c>
      <c r="C294" s="20" t="n">
        <f aca="false">ROUND(4.21/FX,2)</f>
        <v>0.58</v>
      </c>
      <c r="D294" s="21" t="s">
        <v>12021</v>
      </c>
      <c r="E294" s="21" t="s">
        <v>938</v>
      </c>
      <c r="F294" s="21" t="s">
        <v>11947</v>
      </c>
      <c r="G294" s="21" t="s">
        <v>11720</v>
      </c>
    </row>
    <row r="295" customFormat="false" ht="15" hidden="false" customHeight="false" outlineLevel="0" collapsed="false">
      <c r="B295" s="19" t="s">
        <v>12040</v>
      </c>
      <c r="C295" s="20" t="n">
        <f aca="false">ROUND(4.68/FX,2)</f>
        <v>0.65</v>
      </c>
      <c r="D295" s="21" t="s">
        <v>12021</v>
      </c>
      <c r="E295" s="21" t="s">
        <v>1048</v>
      </c>
      <c r="F295" s="21" t="s">
        <v>11947</v>
      </c>
      <c r="G295" s="21" t="s">
        <v>11720</v>
      </c>
    </row>
    <row r="296" customFormat="false" ht="15" hidden="false" customHeight="false" outlineLevel="0" collapsed="false">
      <c r="B296" s="19" t="s">
        <v>12041</v>
      </c>
      <c r="C296" s="20" t="n">
        <f aca="false">ROUND(9.75/FX,2)</f>
        <v>1.35</v>
      </c>
      <c r="D296" s="21" t="s">
        <v>12021</v>
      </c>
      <c r="E296" s="21" t="s">
        <v>1323</v>
      </c>
      <c r="F296" s="21" t="s">
        <v>11947</v>
      </c>
      <c r="G296" s="21" t="s">
        <v>11720</v>
      </c>
    </row>
    <row r="297" customFormat="false" ht="15" hidden="false" customHeight="false" outlineLevel="0" collapsed="false">
      <c r="B297" s="19" t="s">
        <v>12042</v>
      </c>
      <c r="C297" s="20" t="n">
        <f aca="false">ROUND(11.7/FX,2)</f>
        <v>1.63</v>
      </c>
      <c r="D297" s="21" t="s">
        <v>12021</v>
      </c>
      <c r="E297" s="21" t="s">
        <v>1520</v>
      </c>
      <c r="F297" s="21" t="s">
        <v>11947</v>
      </c>
      <c r="G297" s="21" t="s">
        <v>11720</v>
      </c>
    </row>
    <row r="298" customFormat="false" ht="15" hidden="false" customHeight="false" outlineLevel="0" collapsed="false">
      <c r="B298" s="19" t="s">
        <v>12043</v>
      </c>
      <c r="C298" s="20" t="n">
        <f aca="false">ROUND(13.65/FX,2)</f>
        <v>1.9</v>
      </c>
      <c r="D298" s="21" t="s">
        <v>12021</v>
      </c>
      <c r="E298" s="21" t="s">
        <v>1635</v>
      </c>
      <c r="F298" s="21" t="s">
        <v>11947</v>
      </c>
      <c r="G298" s="21" t="s">
        <v>11720</v>
      </c>
    </row>
    <row r="299" customFormat="false" ht="15" hidden="false" customHeight="false" outlineLevel="0" collapsed="false">
      <c r="B299" s="19" t="s">
        <v>12044</v>
      </c>
      <c r="C299" s="20" t="n">
        <f aca="false">ROUND(10.4/FX,2)</f>
        <v>1.44</v>
      </c>
      <c r="D299" s="21" t="s">
        <v>12021</v>
      </c>
      <c r="E299" s="21" t="s">
        <v>2002</v>
      </c>
      <c r="F299" s="21" t="s">
        <v>11947</v>
      </c>
      <c r="G299" s="21" t="s">
        <v>11720</v>
      </c>
    </row>
    <row r="300" customFormat="false" ht="15" hidden="false" customHeight="false" outlineLevel="0" collapsed="false">
      <c r="B300" s="19" t="s">
        <v>12045</v>
      </c>
      <c r="C300" s="20" t="n">
        <f aca="false">ROUND(17.55/FX,2)</f>
        <v>2.44</v>
      </c>
      <c r="D300" s="21" t="s">
        <v>12021</v>
      </c>
      <c r="E300" s="21" t="s">
        <v>2067</v>
      </c>
      <c r="F300" s="21" t="s">
        <v>11947</v>
      </c>
      <c r="G300" s="21" t="s">
        <v>11720</v>
      </c>
    </row>
    <row r="301" customFormat="false" ht="15" hidden="false" customHeight="false" outlineLevel="0" collapsed="false">
      <c r="B301" s="19" t="s">
        <v>12046</v>
      </c>
      <c r="C301" s="20" t="n">
        <f aca="false">ROUND(19.5/FX,2)</f>
        <v>2.71</v>
      </c>
      <c r="D301" s="21" t="s">
        <v>12021</v>
      </c>
      <c r="E301" s="21" t="s">
        <v>2142</v>
      </c>
      <c r="F301" s="21" t="s">
        <v>11947</v>
      </c>
      <c r="G301" s="21" t="s">
        <v>11720</v>
      </c>
    </row>
    <row r="302" customFormat="false" ht="15" hidden="false" customHeight="false" outlineLevel="0" collapsed="false">
      <c r="B302" s="19" t="s">
        <v>12047</v>
      </c>
      <c r="C302" s="20" t="n">
        <f aca="false">ROUND(21.45/FX,2)</f>
        <v>2.98</v>
      </c>
      <c r="D302" s="21" t="s">
        <v>12021</v>
      </c>
      <c r="E302" s="21" t="s">
        <v>2187</v>
      </c>
      <c r="F302" s="21" t="s">
        <v>11947</v>
      </c>
      <c r="G302" s="21" t="s">
        <v>11720</v>
      </c>
    </row>
    <row r="303" customFormat="false" ht="15" hidden="false" customHeight="false" outlineLevel="0" collapsed="false">
      <c r="B303" s="19" t="s">
        <v>12048</v>
      </c>
      <c r="C303" s="20" t="n">
        <f aca="false">ROUND(2.34/FX,2)</f>
        <v>0.33</v>
      </c>
      <c r="D303" s="21" t="s">
        <v>12021</v>
      </c>
      <c r="E303" s="21" t="s">
        <v>2961</v>
      </c>
      <c r="F303" s="21" t="s">
        <v>11947</v>
      </c>
      <c r="G303" s="21" t="s">
        <v>11720</v>
      </c>
    </row>
    <row r="304" customFormat="false" ht="15" hidden="false" customHeight="false" outlineLevel="0" collapsed="false">
      <c r="B304" s="19" t="s">
        <v>12049</v>
      </c>
      <c r="C304" s="20" t="n">
        <f aca="false">ROUND(23.66/FX,2)</f>
        <v>3.29</v>
      </c>
      <c r="D304" s="21" t="s">
        <v>12021</v>
      </c>
      <c r="E304" s="21" t="s">
        <v>2510</v>
      </c>
      <c r="F304" s="21" t="s">
        <v>11947</v>
      </c>
      <c r="G304" s="21" t="s">
        <v>11720</v>
      </c>
    </row>
    <row r="305" customFormat="false" ht="15" hidden="false" customHeight="false" outlineLevel="0" collapsed="false">
      <c r="B305" s="19" t="s">
        <v>12050</v>
      </c>
      <c r="C305" s="20" t="n">
        <f aca="false">ROUND(2.34/FX,2)</f>
        <v>0.33</v>
      </c>
      <c r="D305" s="21" t="s">
        <v>12021</v>
      </c>
      <c r="E305" s="21" t="s">
        <v>2600</v>
      </c>
      <c r="F305" s="21" t="s">
        <v>12001</v>
      </c>
      <c r="G305" s="21" t="s">
        <v>11720</v>
      </c>
    </row>
    <row r="306" customFormat="false" ht="15" hidden="false" customHeight="false" outlineLevel="0" collapsed="false">
      <c r="B306" s="19" t="s">
        <v>12051</v>
      </c>
      <c r="C306" s="20" t="n">
        <f aca="false">ROUND(23.4/FX,2)</f>
        <v>3.25</v>
      </c>
      <c r="D306" s="21" t="s">
        <v>12021</v>
      </c>
      <c r="E306" s="21" t="s">
        <v>1733</v>
      </c>
      <c r="F306" s="21" t="s">
        <v>12001</v>
      </c>
      <c r="G306" s="21" t="s">
        <v>11720</v>
      </c>
    </row>
    <row r="307" customFormat="false" ht="15" hidden="false" customHeight="false" outlineLevel="0" collapsed="false">
      <c r="B307" s="19" t="s">
        <v>12052</v>
      </c>
      <c r="C307" s="20" t="n">
        <f aca="false">ROUND(3.51/FX,2)</f>
        <v>0.49</v>
      </c>
      <c r="D307" s="21" t="s">
        <v>12021</v>
      </c>
      <c r="E307" s="21" t="s">
        <v>2851</v>
      </c>
      <c r="F307" s="21" t="s">
        <v>12001</v>
      </c>
      <c r="G307" s="21" t="s">
        <v>11720</v>
      </c>
    </row>
    <row r="308" customFormat="false" ht="15" hidden="false" customHeight="false" outlineLevel="0" collapsed="false">
      <c r="B308" s="19" t="s">
        <v>12053</v>
      </c>
      <c r="C308" s="20" t="n">
        <f aca="false">ROUND(4.21/FX,2)</f>
        <v>0.58</v>
      </c>
      <c r="D308" s="21" t="s">
        <v>12021</v>
      </c>
      <c r="E308" s="21" t="s">
        <v>938</v>
      </c>
      <c r="F308" s="21" t="s">
        <v>12001</v>
      </c>
      <c r="G308" s="21" t="s">
        <v>11720</v>
      </c>
    </row>
    <row r="309" customFormat="false" ht="15" hidden="false" customHeight="false" outlineLevel="0" collapsed="false">
      <c r="B309" s="19" t="s">
        <v>12054</v>
      </c>
      <c r="C309" s="20" t="n">
        <f aca="false">ROUND(5.72/FX,2)</f>
        <v>0.79</v>
      </c>
      <c r="D309" s="21" t="s">
        <v>12021</v>
      </c>
      <c r="E309" s="21" t="s">
        <v>1048</v>
      </c>
      <c r="F309" s="21" t="s">
        <v>12001</v>
      </c>
      <c r="G309" s="21" t="s">
        <v>11720</v>
      </c>
    </row>
    <row r="310" customFormat="false" ht="15" hidden="false" customHeight="false" outlineLevel="0" collapsed="false">
      <c r="B310" s="19" t="s">
        <v>12055</v>
      </c>
      <c r="C310" s="20" t="n">
        <f aca="false">ROUND(8.19/FX,2)</f>
        <v>1.14</v>
      </c>
      <c r="D310" s="21" t="s">
        <v>12021</v>
      </c>
      <c r="E310" s="21" t="s">
        <v>1103</v>
      </c>
      <c r="F310" s="21" t="s">
        <v>12001</v>
      </c>
      <c r="G310" s="21" t="s">
        <v>11720</v>
      </c>
    </row>
    <row r="311" customFormat="false" ht="15" hidden="false" customHeight="false" outlineLevel="0" collapsed="false">
      <c r="B311" s="19" t="s">
        <v>12056</v>
      </c>
      <c r="C311" s="20" t="n">
        <f aca="false">ROUND(5.85/FX,2)</f>
        <v>0.81</v>
      </c>
      <c r="D311" s="21" t="s">
        <v>12021</v>
      </c>
      <c r="E311" s="21" t="s">
        <v>1323</v>
      </c>
      <c r="F311" s="21" t="s">
        <v>12001</v>
      </c>
      <c r="G311" s="21" t="s">
        <v>11720</v>
      </c>
    </row>
    <row r="312" customFormat="false" ht="15" hidden="false" customHeight="false" outlineLevel="0" collapsed="false">
      <c r="B312" s="19" t="s">
        <v>12057</v>
      </c>
      <c r="C312" s="20" t="n">
        <f aca="false">ROUND(7.02/FX,2)</f>
        <v>0.98</v>
      </c>
      <c r="D312" s="21" t="s">
        <v>12021</v>
      </c>
      <c r="E312" s="21" t="s">
        <v>1520</v>
      </c>
      <c r="F312" s="21" t="s">
        <v>12001</v>
      </c>
      <c r="G312" s="21" t="s">
        <v>11720</v>
      </c>
    </row>
    <row r="313" customFormat="false" ht="15" hidden="false" customHeight="false" outlineLevel="0" collapsed="false">
      <c r="B313" s="19" t="s">
        <v>12058</v>
      </c>
      <c r="C313" s="20" t="n">
        <f aca="false">ROUND(9.1/FX,2)</f>
        <v>1.26</v>
      </c>
      <c r="D313" s="21" t="s">
        <v>12021</v>
      </c>
      <c r="E313" s="21" t="s">
        <v>1635</v>
      </c>
      <c r="F313" s="21" t="s">
        <v>12001</v>
      </c>
      <c r="G313" s="21" t="s">
        <v>11720</v>
      </c>
    </row>
    <row r="314" customFormat="false" ht="15" hidden="false" customHeight="false" outlineLevel="0" collapsed="false">
      <c r="B314" s="19" t="s">
        <v>12059</v>
      </c>
      <c r="C314" s="20" t="n">
        <f aca="false">ROUND(11.44/FX,2)</f>
        <v>1.59</v>
      </c>
      <c r="D314" s="21" t="s">
        <v>12021</v>
      </c>
      <c r="E314" s="21" t="s">
        <v>2002</v>
      </c>
      <c r="F314" s="21" t="s">
        <v>12001</v>
      </c>
      <c r="G314" s="21" t="s">
        <v>11720</v>
      </c>
    </row>
    <row r="315" customFormat="false" ht="15" hidden="false" customHeight="false" outlineLevel="0" collapsed="false">
      <c r="B315" s="19" t="s">
        <v>12060</v>
      </c>
      <c r="C315" s="20" t="n">
        <f aca="false">ROUND(11.7/FX,2)</f>
        <v>1.63</v>
      </c>
      <c r="D315" s="21" t="s">
        <v>12021</v>
      </c>
      <c r="E315" s="21" t="s">
        <v>2067</v>
      </c>
      <c r="F315" s="21" t="s">
        <v>12001</v>
      </c>
      <c r="G315" s="21" t="s">
        <v>11720</v>
      </c>
    </row>
    <row r="316" customFormat="false" ht="15" hidden="false" customHeight="false" outlineLevel="0" collapsed="false">
      <c r="B316" s="19" t="s">
        <v>12061</v>
      </c>
      <c r="C316" s="20" t="n">
        <f aca="false">ROUND(1.82/FX,2)</f>
        <v>0.25</v>
      </c>
      <c r="D316" s="21" t="s">
        <v>12021</v>
      </c>
      <c r="E316" s="21" t="s">
        <v>2911</v>
      </c>
      <c r="F316" s="21" t="s">
        <v>12001</v>
      </c>
      <c r="G316" s="21" t="s">
        <v>11720</v>
      </c>
    </row>
    <row r="317" customFormat="false" ht="15" hidden="false" customHeight="false" outlineLevel="0" collapsed="false">
      <c r="B317" s="19" t="s">
        <v>12062</v>
      </c>
      <c r="C317" s="20" t="n">
        <f aca="false">ROUND(19.5/FX,2)</f>
        <v>2.71</v>
      </c>
      <c r="D317" s="21" t="s">
        <v>12021</v>
      </c>
      <c r="E317" s="21" t="s">
        <v>2142</v>
      </c>
      <c r="F317" s="21" t="s">
        <v>12001</v>
      </c>
      <c r="G317" s="21" t="s">
        <v>11720</v>
      </c>
    </row>
    <row r="318" customFormat="false" ht="15" hidden="false" customHeight="false" outlineLevel="0" collapsed="false">
      <c r="B318" s="19" t="s">
        <v>12063</v>
      </c>
      <c r="C318" s="20" t="n">
        <f aca="false">ROUND(1.82/FX,2)</f>
        <v>0.25</v>
      </c>
      <c r="D318" s="21" t="s">
        <v>12021</v>
      </c>
      <c r="E318" s="21" t="s">
        <v>12064</v>
      </c>
      <c r="F318" s="21" t="s">
        <v>12001</v>
      </c>
      <c r="G318" s="21" t="s">
        <v>11720</v>
      </c>
    </row>
    <row r="319" customFormat="false" ht="15" hidden="false" customHeight="false" outlineLevel="0" collapsed="false">
      <c r="B319" s="19" t="s">
        <v>12065</v>
      </c>
      <c r="C319" s="20" t="n">
        <f aca="false">ROUND(1.82/FX,2)</f>
        <v>0.25</v>
      </c>
      <c r="D319" s="21" t="s">
        <v>12021</v>
      </c>
      <c r="E319" s="21" t="s">
        <v>2931</v>
      </c>
      <c r="F319" s="21" t="s">
        <v>12001</v>
      </c>
      <c r="G319" s="21" t="s">
        <v>11720</v>
      </c>
    </row>
    <row r="320" customFormat="false" ht="15" hidden="false" customHeight="false" outlineLevel="0" collapsed="false">
      <c r="B320" s="19" t="s">
        <v>12066</v>
      </c>
      <c r="C320" s="20" t="n">
        <f aca="false">ROUND(21.45/FX,2)</f>
        <v>2.98</v>
      </c>
      <c r="D320" s="21" t="s">
        <v>12021</v>
      </c>
      <c r="E320" s="21" t="s">
        <v>2187</v>
      </c>
      <c r="F320" s="21" t="s">
        <v>12001</v>
      </c>
      <c r="G320" s="21" t="s">
        <v>11720</v>
      </c>
    </row>
    <row r="321" customFormat="false" ht="15" hidden="false" customHeight="false" outlineLevel="0" collapsed="false">
      <c r="B321" s="19" t="s">
        <v>12067</v>
      </c>
      <c r="C321" s="20" t="n">
        <f aca="false">ROUND(2.34/FX,2)</f>
        <v>0.33</v>
      </c>
      <c r="D321" s="21" t="s">
        <v>12021</v>
      </c>
      <c r="E321" s="21" t="s">
        <v>2600</v>
      </c>
      <c r="F321" s="21" t="s">
        <v>12016</v>
      </c>
      <c r="G321" s="21" t="s">
        <v>11720</v>
      </c>
    </row>
    <row r="322" customFormat="false" ht="15" hidden="false" customHeight="false" outlineLevel="0" collapsed="false">
      <c r="B322" s="19" t="s">
        <v>12068</v>
      </c>
      <c r="C322" s="20" t="n">
        <f aca="false">ROUND(28.6/FX,2)</f>
        <v>3.97</v>
      </c>
      <c r="D322" s="21" t="s">
        <v>12021</v>
      </c>
      <c r="E322" s="21" t="s">
        <v>1733</v>
      </c>
      <c r="F322" s="21" t="s">
        <v>12016</v>
      </c>
      <c r="G322" s="21" t="s">
        <v>11720</v>
      </c>
    </row>
    <row r="323" customFormat="false" ht="15" hidden="false" customHeight="false" outlineLevel="0" collapsed="false">
      <c r="B323" s="19" t="s">
        <v>12069</v>
      </c>
      <c r="C323" s="20" t="n">
        <f aca="false">ROUND(3.72/FX,2)</f>
        <v>0.52</v>
      </c>
      <c r="D323" s="21" t="s">
        <v>12021</v>
      </c>
      <c r="E323" s="21" t="s">
        <v>2751</v>
      </c>
      <c r="F323" s="21" t="s">
        <v>12016</v>
      </c>
      <c r="G323" s="21" t="s">
        <v>11720</v>
      </c>
    </row>
    <row r="324" customFormat="false" ht="15" hidden="false" customHeight="false" outlineLevel="0" collapsed="false">
      <c r="B324" s="19" t="s">
        <v>12070</v>
      </c>
      <c r="C324" s="20" t="n">
        <f aca="false">ROUND(3.51/FX,2)</f>
        <v>0.49</v>
      </c>
      <c r="D324" s="21" t="s">
        <v>12021</v>
      </c>
      <c r="E324" s="21" t="s">
        <v>2851</v>
      </c>
      <c r="F324" s="21" t="s">
        <v>12016</v>
      </c>
      <c r="G324" s="21" t="s">
        <v>11720</v>
      </c>
    </row>
    <row r="325" customFormat="false" ht="15" hidden="false" customHeight="false" outlineLevel="0" collapsed="false">
      <c r="B325" s="19" t="s">
        <v>12071</v>
      </c>
      <c r="C325" s="20" t="n">
        <f aca="false">ROUND(7.02/FX,2)</f>
        <v>0.98</v>
      </c>
      <c r="D325" s="21" t="s">
        <v>12021</v>
      </c>
      <c r="E325" s="21" t="s">
        <v>938</v>
      </c>
      <c r="F325" s="21" t="s">
        <v>12016</v>
      </c>
      <c r="G325" s="21" t="s">
        <v>11720</v>
      </c>
    </row>
    <row r="326" customFormat="false" ht="15" hidden="false" customHeight="false" outlineLevel="0" collapsed="false">
      <c r="B326" s="19" t="s">
        <v>12072</v>
      </c>
      <c r="C326" s="20" t="n">
        <f aca="false">ROUND(4.68/FX,2)</f>
        <v>0.65</v>
      </c>
      <c r="D326" s="21" t="s">
        <v>12021</v>
      </c>
      <c r="E326" s="21" t="s">
        <v>1048</v>
      </c>
      <c r="F326" s="21" t="s">
        <v>12016</v>
      </c>
      <c r="G326" s="21" t="s">
        <v>11720</v>
      </c>
    </row>
    <row r="327" customFormat="false" ht="15" hidden="false" customHeight="false" outlineLevel="0" collapsed="false">
      <c r="B327" s="19" t="s">
        <v>12073</v>
      </c>
      <c r="C327" s="20" t="n">
        <f aca="false">ROUND(5.85/FX,2)</f>
        <v>0.81</v>
      </c>
      <c r="D327" s="21" t="s">
        <v>12021</v>
      </c>
      <c r="E327" s="21" t="s">
        <v>1323</v>
      </c>
      <c r="F327" s="21" t="s">
        <v>12016</v>
      </c>
      <c r="G327" s="21" t="s">
        <v>11720</v>
      </c>
    </row>
    <row r="328" customFormat="false" ht="15" hidden="false" customHeight="false" outlineLevel="0" collapsed="false">
      <c r="B328" s="19" t="s">
        <v>12074</v>
      </c>
      <c r="C328" s="20" t="n">
        <f aca="false">ROUND(7.8/FX,2)</f>
        <v>1.08</v>
      </c>
      <c r="D328" s="21" t="s">
        <v>12021</v>
      </c>
      <c r="E328" s="21" t="s">
        <v>1520</v>
      </c>
      <c r="F328" s="21" t="s">
        <v>12016</v>
      </c>
      <c r="G328" s="21" t="s">
        <v>11720</v>
      </c>
    </row>
    <row r="329" customFormat="false" ht="15" hidden="false" customHeight="false" outlineLevel="0" collapsed="false">
      <c r="B329" s="19" t="s">
        <v>12075</v>
      </c>
      <c r="C329" s="20" t="n">
        <f aca="false">ROUND(9.1/FX,2)</f>
        <v>1.26</v>
      </c>
      <c r="D329" s="21" t="s">
        <v>12021</v>
      </c>
      <c r="E329" s="21" t="s">
        <v>1635</v>
      </c>
      <c r="F329" s="21" t="s">
        <v>12016</v>
      </c>
      <c r="G329" s="21" t="s">
        <v>11720</v>
      </c>
    </row>
    <row r="330" customFormat="false" ht="15" hidden="false" customHeight="false" outlineLevel="0" collapsed="false">
      <c r="B330" s="19" t="s">
        <v>12076</v>
      </c>
      <c r="C330" s="20" t="n">
        <f aca="false">ROUND(10.4/FX,2)</f>
        <v>1.44</v>
      </c>
      <c r="D330" s="21" t="s">
        <v>12021</v>
      </c>
      <c r="E330" s="21" t="s">
        <v>2002</v>
      </c>
      <c r="F330" s="21" t="s">
        <v>12016</v>
      </c>
      <c r="G330" s="21" t="s">
        <v>11720</v>
      </c>
    </row>
    <row r="331" customFormat="false" ht="15" hidden="false" customHeight="false" outlineLevel="0" collapsed="false">
      <c r="B331" s="19" t="s">
        <v>12077</v>
      </c>
      <c r="C331" s="20" t="n">
        <f aca="false">ROUND(10.53/FX,2)</f>
        <v>1.46</v>
      </c>
      <c r="D331" s="21" t="s">
        <v>12021</v>
      </c>
      <c r="E331" s="21" t="s">
        <v>2067</v>
      </c>
      <c r="F331" s="21" t="s">
        <v>12016</v>
      </c>
      <c r="G331" s="21" t="s">
        <v>11720</v>
      </c>
    </row>
    <row r="332" customFormat="false" ht="15" hidden="false" customHeight="false" outlineLevel="0" collapsed="false">
      <c r="B332" s="19" t="s">
        <v>12078</v>
      </c>
      <c r="C332" s="20" t="n">
        <f aca="false">ROUND(11.7/FX,2)</f>
        <v>1.63</v>
      </c>
      <c r="D332" s="21" t="s">
        <v>12021</v>
      </c>
      <c r="E332" s="21" t="s">
        <v>2142</v>
      </c>
      <c r="F332" s="21" t="s">
        <v>12016</v>
      </c>
      <c r="G332" s="21" t="s">
        <v>11720</v>
      </c>
    </row>
    <row r="333" customFormat="false" ht="15" hidden="false" customHeight="false" outlineLevel="0" collapsed="false">
      <c r="B333" s="19" t="s">
        <v>12079</v>
      </c>
      <c r="C333" s="20" t="n">
        <f aca="false">ROUND(21.45/FX,2)</f>
        <v>2.98</v>
      </c>
      <c r="D333" s="21" t="s">
        <v>12021</v>
      </c>
      <c r="E333" s="21" t="s">
        <v>2187</v>
      </c>
      <c r="F333" s="21" t="s">
        <v>12016</v>
      </c>
      <c r="G333" s="21" t="s">
        <v>11720</v>
      </c>
    </row>
    <row r="334" customFormat="false" ht="15" hidden="false" customHeight="false" outlineLevel="0" collapsed="false">
      <c r="B334" s="19" t="s">
        <v>12080</v>
      </c>
      <c r="C334" s="20" t="n">
        <f aca="false">ROUND(2.6/FX,2)</f>
        <v>0.36</v>
      </c>
      <c r="D334" s="21" t="s">
        <v>12021</v>
      </c>
      <c r="E334" s="21" t="s">
        <v>2961</v>
      </c>
      <c r="F334" s="21" t="s">
        <v>12016</v>
      </c>
      <c r="G334" s="21" t="s">
        <v>11720</v>
      </c>
    </row>
    <row r="335" customFormat="false" ht="15" hidden="false" customHeight="false" outlineLevel="0" collapsed="false">
      <c r="B335" s="19" t="s">
        <v>12081</v>
      </c>
      <c r="C335" s="20" t="n">
        <f aca="false">ROUND(2.34/FX,2)</f>
        <v>0.33</v>
      </c>
      <c r="D335" s="21" t="s">
        <v>12021</v>
      </c>
      <c r="E335" s="21" t="s">
        <v>2600</v>
      </c>
      <c r="F335" s="21" t="s">
        <v>11719</v>
      </c>
      <c r="G335" s="21" t="s">
        <v>11720</v>
      </c>
    </row>
    <row r="336" customFormat="false" ht="15" hidden="false" customHeight="false" outlineLevel="0" collapsed="false">
      <c r="B336" s="19" t="s">
        <v>12082</v>
      </c>
      <c r="C336" s="20" t="n">
        <f aca="false">ROUND(23.4/FX,2)</f>
        <v>3.25</v>
      </c>
      <c r="D336" s="21" t="s">
        <v>12021</v>
      </c>
      <c r="E336" s="21" t="s">
        <v>1733</v>
      </c>
      <c r="F336" s="21" t="s">
        <v>11719</v>
      </c>
      <c r="G336" s="21" t="s">
        <v>11720</v>
      </c>
    </row>
    <row r="337" customFormat="false" ht="15" hidden="false" customHeight="false" outlineLevel="0" collapsed="false">
      <c r="B337" s="19" t="s">
        <v>12083</v>
      </c>
      <c r="C337" s="20" t="n">
        <f aca="false">ROUND(16.25/FX,2)</f>
        <v>2.26</v>
      </c>
      <c r="D337" s="21" t="s">
        <v>12084</v>
      </c>
      <c r="E337" s="21" t="s">
        <v>1733</v>
      </c>
      <c r="F337" s="21" t="s">
        <v>12085</v>
      </c>
      <c r="G337" s="21" t="s">
        <v>11720</v>
      </c>
    </row>
    <row r="338" customFormat="false" ht="15" hidden="false" customHeight="false" outlineLevel="0" collapsed="false">
      <c r="B338" s="19" t="s">
        <v>12086</v>
      </c>
      <c r="C338" s="20" t="n">
        <f aca="false">ROUND(4.06/FX,2)</f>
        <v>0.56</v>
      </c>
      <c r="D338" s="21" t="s">
        <v>12084</v>
      </c>
      <c r="E338" s="21" t="s">
        <v>1323</v>
      </c>
      <c r="F338" s="21" t="s">
        <v>12085</v>
      </c>
      <c r="G338" s="21" t="s">
        <v>11720</v>
      </c>
    </row>
    <row r="339" customFormat="false" ht="15" hidden="false" customHeight="false" outlineLevel="0" collapsed="false">
      <c r="B339" s="19" t="s">
        <v>12087</v>
      </c>
      <c r="C339" s="20" t="n">
        <f aca="false">ROUND(4.88/FX,2)</f>
        <v>0.68</v>
      </c>
      <c r="D339" s="21" t="s">
        <v>12084</v>
      </c>
      <c r="E339" s="21" t="s">
        <v>1520</v>
      </c>
      <c r="F339" s="21" t="s">
        <v>12085</v>
      </c>
      <c r="G339" s="21" t="s">
        <v>11720</v>
      </c>
    </row>
    <row r="340" customFormat="false" ht="15" hidden="false" customHeight="false" outlineLevel="0" collapsed="false">
      <c r="B340" s="19" t="s">
        <v>12088</v>
      </c>
      <c r="C340" s="20" t="n">
        <f aca="false">ROUND(2.34/FX,2)</f>
        <v>0.33</v>
      </c>
      <c r="D340" s="21" t="s">
        <v>12084</v>
      </c>
      <c r="E340" s="21" t="s">
        <v>2600</v>
      </c>
      <c r="F340" s="21" t="s">
        <v>12089</v>
      </c>
      <c r="G340" s="21" t="s">
        <v>11720</v>
      </c>
    </row>
    <row r="341" customFormat="false" ht="15" hidden="false" customHeight="false" outlineLevel="0" collapsed="false">
      <c r="B341" s="19" t="s">
        <v>12090</v>
      </c>
      <c r="C341" s="20" t="n">
        <f aca="false">ROUND(23.4/FX,2)</f>
        <v>3.25</v>
      </c>
      <c r="D341" s="21" t="s">
        <v>12084</v>
      </c>
      <c r="E341" s="21" t="s">
        <v>1733</v>
      </c>
      <c r="F341" s="21" t="s">
        <v>12089</v>
      </c>
      <c r="G341" s="21" t="s">
        <v>11720</v>
      </c>
    </row>
    <row r="342" customFormat="false" ht="15" hidden="false" customHeight="false" outlineLevel="0" collapsed="false">
      <c r="B342" s="19" t="s">
        <v>12091</v>
      </c>
      <c r="C342" s="20" t="n">
        <f aca="false">ROUND(7.02/FX,2)</f>
        <v>0.98</v>
      </c>
      <c r="D342" s="21" t="s">
        <v>12084</v>
      </c>
      <c r="E342" s="21" t="s">
        <v>1520</v>
      </c>
      <c r="F342" s="21" t="s">
        <v>12089</v>
      </c>
      <c r="G342" s="21" t="s">
        <v>11720</v>
      </c>
    </row>
    <row r="343" customFormat="false" ht="15" hidden="false" customHeight="false" outlineLevel="0" collapsed="false">
      <c r="B343" s="19" t="s">
        <v>12092</v>
      </c>
      <c r="C343" s="20" t="n">
        <f aca="false">ROUND(9.36/FX,2)</f>
        <v>1.3</v>
      </c>
      <c r="D343" s="21" t="s">
        <v>12084</v>
      </c>
      <c r="E343" s="21" t="s">
        <v>2002</v>
      </c>
      <c r="F343" s="21" t="s">
        <v>12089</v>
      </c>
      <c r="G343" s="21" t="s">
        <v>11720</v>
      </c>
    </row>
    <row r="344" customFormat="false" ht="15" hidden="false" customHeight="false" outlineLevel="0" collapsed="false">
      <c r="B344" s="19" t="s">
        <v>12093</v>
      </c>
      <c r="C344" s="20" t="n">
        <f aca="false">ROUND(1.63/FX,2)</f>
        <v>0.23</v>
      </c>
      <c r="D344" s="21" t="s">
        <v>12084</v>
      </c>
      <c r="E344" s="21" t="s">
        <v>2600</v>
      </c>
      <c r="F344" s="21" t="s">
        <v>11719</v>
      </c>
      <c r="G344" s="21" t="s">
        <v>11720</v>
      </c>
    </row>
    <row r="345" customFormat="false" ht="15" hidden="false" customHeight="false" outlineLevel="0" collapsed="false">
      <c r="B345" s="19" t="s">
        <v>12094</v>
      </c>
      <c r="C345" s="20" t="n">
        <f aca="false">ROUND(16.25/FX,2)</f>
        <v>2.26</v>
      </c>
      <c r="D345" s="21" t="s">
        <v>12084</v>
      </c>
      <c r="E345" s="21" t="s">
        <v>1733</v>
      </c>
      <c r="F345" s="21" t="s">
        <v>11719</v>
      </c>
      <c r="G345" s="21" t="s">
        <v>11720</v>
      </c>
    </row>
    <row r="346" customFormat="false" ht="15" hidden="false" customHeight="false" outlineLevel="0" collapsed="false">
      <c r="B346" s="19" t="s">
        <v>12095</v>
      </c>
      <c r="C346" s="20" t="n">
        <f aca="false">ROUND(1.63/FX,2)</f>
        <v>0.23</v>
      </c>
      <c r="D346" s="21" t="s">
        <v>12084</v>
      </c>
      <c r="E346" s="21" t="s">
        <v>12096</v>
      </c>
      <c r="F346" s="21" t="s">
        <v>11719</v>
      </c>
      <c r="G346" s="21" t="s">
        <v>11720</v>
      </c>
    </row>
    <row r="347" customFormat="false" ht="15" hidden="false" customHeight="false" outlineLevel="0" collapsed="false">
      <c r="B347" s="19" t="s">
        <v>12097</v>
      </c>
      <c r="C347" s="20" t="n">
        <f aca="false">ROUND(17.88/FX,2)</f>
        <v>2.48</v>
      </c>
      <c r="D347" s="21" t="s">
        <v>12084</v>
      </c>
      <c r="E347" s="21" t="s">
        <v>1768</v>
      </c>
      <c r="F347" s="21" t="s">
        <v>11719</v>
      </c>
      <c r="G347" s="21" t="s">
        <v>11720</v>
      </c>
    </row>
    <row r="348" customFormat="false" ht="15" hidden="false" customHeight="false" outlineLevel="0" collapsed="false">
      <c r="B348" s="19" t="s">
        <v>12098</v>
      </c>
      <c r="C348" s="20" t="n">
        <f aca="false">ROUND(19.5/FX,2)</f>
        <v>2.71</v>
      </c>
      <c r="D348" s="21" t="s">
        <v>12084</v>
      </c>
      <c r="E348" s="21" t="s">
        <v>3253</v>
      </c>
      <c r="F348" s="21" t="s">
        <v>11719</v>
      </c>
      <c r="G348" s="21" t="s">
        <v>11720</v>
      </c>
    </row>
    <row r="349" customFormat="false" ht="15" hidden="false" customHeight="false" outlineLevel="0" collapsed="false">
      <c r="B349" s="19" t="s">
        <v>12099</v>
      </c>
      <c r="C349" s="20" t="n">
        <f aca="false">ROUND(20.15/FX,2)</f>
        <v>2.8</v>
      </c>
      <c r="D349" s="21" t="s">
        <v>12084</v>
      </c>
      <c r="E349" s="21" t="s">
        <v>1817</v>
      </c>
      <c r="F349" s="21" t="s">
        <v>11719</v>
      </c>
      <c r="G349" s="21" t="s">
        <v>11720</v>
      </c>
    </row>
    <row r="350" customFormat="false" ht="15" hidden="false" customHeight="false" outlineLevel="0" collapsed="false">
      <c r="B350" s="19" t="s">
        <v>12100</v>
      </c>
      <c r="C350" s="20" t="n">
        <f aca="false">ROUND(2.08/FX,2)</f>
        <v>0.29</v>
      </c>
      <c r="D350" s="21" t="s">
        <v>12084</v>
      </c>
      <c r="E350" s="21" t="s">
        <v>12101</v>
      </c>
      <c r="F350" s="21" t="s">
        <v>11719</v>
      </c>
      <c r="G350" s="21" t="s">
        <v>11720</v>
      </c>
    </row>
    <row r="351" customFormat="false" ht="15" hidden="false" customHeight="false" outlineLevel="0" collapsed="false">
      <c r="B351" s="19" t="s">
        <v>12102</v>
      </c>
      <c r="C351" s="20" t="n">
        <f aca="false">ROUND(2.44/FX,2)</f>
        <v>0.34</v>
      </c>
      <c r="D351" s="21" t="s">
        <v>12084</v>
      </c>
      <c r="E351" s="21" t="s">
        <v>2851</v>
      </c>
      <c r="F351" s="21" t="s">
        <v>11719</v>
      </c>
      <c r="G351" s="21" t="s">
        <v>11720</v>
      </c>
    </row>
    <row r="352" customFormat="false" ht="15" hidden="false" customHeight="false" outlineLevel="0" collapsed="false">
      <c r="B352" s="19" t="s">
        <v>12103</v>
      </c>
      <c r="C352" s="20" t="n">
        <f aca="false">ROUND(24.38/FX,2)</f>
        <v>3.39</v>
      </c>
      <c r="D352" s="21" t="s">
        <v>12084</v>
      </c>
      <c r="E352" s="21" t="s">
        <v>1881</v>
      </c>
      <c r="F352" s="21" t="s">
        <v>11719</v>
      </c>
      <c r="G352" s="21" t="s">
        <v>11720</v>
      </c>
    </row>
    <row r="353" customFormat="false" ht="15" hidden="false" customHeight="false" outlineLevel="0" collapsed="false">
      <c r="B353" s="19" t="s">
        <v>12104</v>
      </c>
      <c r="C353" s="20" t="n">
        <f aca="false">ROUND(2.6/FX,2)</f>
        <v>0.36</v>
      </c>
      <c r="D353" s="21" t="s">
        <v>12084</v>
      </c>
      <c r="E353" s="21" t="s">
        <v>2901</v>
      </c>
      <c r="F353" s="21" t="s">
        <v>11719</v>
      </c>
      <c r="G353" s="21" t="s">
        <v>11720</v>
      </c>
    </row>
    <row r="354" customFormat="false" ht="15" hidden="false" customHeight="false" outlineLevel="0" collapsed="false">
      <c r="B354" s="19" t="s">
        <v>12105</v>
      </c>
      <c r="C354" s="20" t="n">
        <f aca="false">ROUND(2.52/FX,2)</f>
        <v>0.35</v>
      </c>
      <c r="D354" s="21" t="s">
        <v>12084</v>
      </c>
      <c r="E354" s="21" t="s">
        <v>12106</v>
      </c>
      <c r="F354" s="21" t="s">
        <v>11719</v>
      </c>
      <c r="G354" s="21" t="s">
        <v>11720</v>
      </c>
    </row>
    <row r="355" customFormat="false" ht="15" hidden="false" customHeight="false" outlineLevel="0" collapsed="false">
      <c r="B355" s="19" t="s">
        <v>12107</v>
      </c>
      <c r="C355" s="20" t="n">
        <f aca="false">ROUND(3.25/FX,2)</f>
        <v>0.45</v>
      </c>
      <c r="D355" s="21" t="s">
        <v>12084</v>
      </c>
      <c r="E355" s="21" t="s">
        <v>1048</v>
      </c>
      <c r="F355" s="21" t="s">
        <v>11719</v>
      </c>
      <c r="G355" s="21" t="s">
        <v>11720</v>
      </c>
    </row>
    <row r="356" customFormat="false" ht="15" hidden="false" customHeight="false" outlineLevel="0" collapsed="false">
      <c r="B356" s="19" t="s">
        <v>12108</v>
      </c>
      <c r="C356" s="20" t="n">
        <f aca="false">ROUND(3.41/FX,2)</f>
        <v>0.47</v>
      </c>
      <c r="D356" s="21" t="s">
        <v>12084</v>
      </c>
      <c r="E356" s="21" t="s">
        <v>1103</v>
      </c>
      <c r="F356" s="21" t="s">
        <v>11719</v>
      </c>
      <c r="G356" s="21" t="s">
        <v>11720</v>
      </c>
    </row>
    <row r="357" customFormat="false" ht="15" hidden="false" customHeight="false" outlineLevel="0" collapsed="false">
      <c r="B357" s="19" t="s">
        <v>12109</v>
      </c>
      <c r="C357" s="20" t="n">
        <f aca="false">ROUND(3.9/FX,2)</f>
        <v>0.54</v>
      </c>
      <c r="D357" s="21" t="s">
        <v>12084</v>
      </c>
      <c r="E357" s="21" t="s">
        <v>1268</v>
      </c>
      <c r="F357" s="21" t="s">
        <v>11719</v>
      </c>
      <c r="G357" s="21" t="s">
        <v>11720</v>
      </c>
    </row>
    <row r="358" customFormat="false" ht="15" hidden="false" customHeight="false" outlineLevel="0" collapsed="false">
      <c r="B358" s="19" t="s">
        <v>12110</v>
      </c>
      <c r="C358" s="20" t="n">
        <f aca="false">ROUND(4.06/FX,2)</f>
        <v>0.56</v>
      </c>
      <c r="D358" s="21" t="s">
        <v>12084</v>
      </c>
      <c r="E358" s="21" t="s">
        <v>1323</v>
      </c>
      <c r="F358" s="21" t="s">
        <v>11719</v>
      </c>
      <c r="G358" s="21" t="s">
        <v>11720</v>
      </c>
    </row>
    <row r="359" customFormat="false" ht="15" hidden="false" customHeight="false" outlineLevel="0" collapsed="false">
      <c r="B359" s="19" t="s">
        <v>12111</v>
      </c>
      <c r="C359" s="20" t="n">
        <f aca="false">ROUND(4.23/FX,2)</f>
        <v>0.59</v>
      </c>
      <c r="D359" s="21" t="s">
        <v>12084</v>
      </c>
      <c r="E359" s="21" t="s">
        <v>1378</v>
      </c>
      <c r="F359" s="21" t="s">
        <v>11719</v>
      </c>
      <c r="G359" s="21" t="s">
        <v>11720</v>
      </c>
    </row>
    <row r="360" customFormat="false" ht="15" hidden="false" customHeight="false" outlineLevel="0" collapsed="false">
      <c r="B360" s="19" t="s">
        <v>12112</v>
      </c>
      <c r="C360" s="20" t="n">
        <f aca="false">ROUND(4.71/FX,2)</f>
        <v>0.65</v>
      </c>
      <c r="D360" s="21" t="s">
        <v>12084</v>
      </c>
      <c r="E360" s="21" t="s">
        <v>1495</v>
      </c>
      <c r="F360" s="21" t="s">
        <v>11719</v>
      </c>
      <c r="G360" s="21" t="s">
        <v>11720</v>
      </c>
    </row>
    <row r="361" customFormat="false" ht="15" hidden="false" customHeight="false" outlineLevel="0" collapsed="false">
      <c r="B361" s="19" t="s">
        <v>12113</v>
      </c>
      <c r="C361" s="20" t="n">
        <f aca="false">ROUND(4.88/FX,2)</f>
        <v>0.68</v>
      </c>
      <c r="D361" s="21" t="s">
        <v>12084</v>
      </c>
      <c r="E361" s="21" t="s">
        <v>1520</v>
      </c>
      <c r="F361" s="21" t="s">
        <v>11719</v>
      </c>
      <c r="G361" s="21" t="s">
        <v>11720</v>
      </c>
    </row>
    <row r="362" customFormat="false" ht="15" hidden="false" customHeight="false" outlineLevel="0" collapsed="false">
      <c r="B362" s="19" t="s">
        <v>12114</v>
      </c>
      <c r="C362" s="20" t="n">
        <f aca="false">ROUND(5.2/FX,2)</f>
        <v>0.72</v>
      </c>
      <c r="D362" s="21" t="s">
        <v>12084</v>
      </c>
      <c r="E362" s="21" t="s">
        <v>1570</v>
      </c>
      <c r="F362" s="21" t="s">
        <v>11719</v>
      </c>
      <c r="G362" s="21" t="s">
        <v>11720</v>
      </c>
    </row>
    <row r="363" customFormat="false" ht="15" hidden="false" customHeight="false" outlineLevel="0" collapsed="false">
      <c r="B363" s="19" t="s">
        <v>12115</v>
      </c>
      <c r="C363" s="20" t="n">
        <f aca="false">ROUND(5.53/FX,2)</f>
        <v>0.77</v>
      </c>
      <c r="D363" s="21" t="s">
        <v>12084</v>
      </c>
      <c r="E363" s="21" t="s">
        <v>1615</v>
      </c>
      <c r="F363" s="21" t="s">
        <v>11719</v>
      </c>
      <c r="G363" s="21" t="s">
        <v>11720</v>
      </c>
    </row>
    <row r="364" customFormat="false" ht="15" hidden="false" customHeight="false" outlineLevel="0" collapsed="false">
      <c r="B364" s="19" t="s">
        <v>12116</v>
      </c>
      <c r="C364" s="20" t="n">
        <f aca="false">ROUND(5.69/FX,2)</f>
        <v>0.79</v>
      </c>
      <c r="D364" s="21" t="s">
        <v>12084</v>
      </c>
      <c r="E364" s="21" t="s">
        <v>1635</v>
      </c>
      <c r="F364" s="21" t="s">
        <v>11719</v>
      </c>
      <c r="G364" s="21" t="s">
        <v>11720</v>
      </c>
    </row>
    <row r="365" customFormat="false" ht="15" hidden="false" customHeight="false" outlineLevel="0" collapsed="false">
      <c r="B365" s="19" t="s">
        <v>12117</v>
      </c>
      <c r="C365" s="20" t="n">
        <f aca="false">ROUND(5.85/FX,2)</f>
        <v>0.81</v>
      </c>
      <c r="D365" s="21" t="s">
        <v>12084</v>
      </c>
      <c r="E365" s="21" t="s">
        <v>1655</v>
      </c>
      <c r="F365" s="21" t="s">
        <v>11719</v>
      </c>
      <c r="G365" s="21" t="s">
        <v>11720</v>
      </c>
    </row>
    <row r="366" customFormat="false" ht="15" hidden="false" customHeight="false" outlineLevel="0" collapsed="false">
      <c r="B366" s="19" t="s">
        <v>12118</v>
      </c>
      <c r="C366" s="20" t="n">
        <f aca="false">ROUND(6.02/FX,2)</f>
        <v>0.84</v>
      </c>
      <c r="D366" s="21" t="s">
        <v>12084</v>
      </c>
      <c r="E366" s="21" t="s">
        <v>1670</v>
      </c>
      <c r="F366" s="21" t="s">
        <v>11719</v>
      </c>
      <c r="G366" s="21" t="s">
        <v>11720</v>
      </c>
    </row>
    <row r="367" customFormat="false" ht="15" hidden="false" customHeight="false" outlineLevel="0" collapsed="false">
      <c r="B367" s="19" t="s">
        <v>12119</v>
      </c>
      <c r="C367" s="20" t="n">
        <f aca="false">ROUND(6.18/FX,2)</f>
        <v>0.86</v>
      </c>
      <c r="D367" s="21" t="s">
        <v>12084</v>
      </c>
      <c r="E367" s="21" t="s">
        <v>1685</v>
      </c>
      <c r="F367" s="21" t="s">
        <v>11719</v>
      </c>
      <c r="G367" s="21" t="s">
        <v>11720</v>
      </c>
    </row>
    <row r="368" customFormat="false" ht="15" hidden="false" customHeight="false" outlineLevel="0" collapsed="false">
      <c r="B368" s="19" t="s">
        <v>12120</v>
      </c>
      <c r="C368" s="20" t="n">
        <f aca="false">ROUND(6.5/FX,2)</f>
        <v>0.9</v>
      </c>
      <c r="D368" s="21" t="s">
        <v>12084</v>
      </c>
      <c r="E368" s="21" t="s">
        <v>2002</v>
      </c>
      <c r="F368" s="21" t="s">
        <v>11719</v>
      </c>
      <c r="G368" s="21" t="s">
        <v>11720</v>
      </c>
    </row>
    <row r="369" customFormat="false" ht="15" hidden="false" customHeight="false" outlineLevel="0" collapsed="false">
      <c r="B369" s="19" t="s">
        <v>12121</v>
      </c>
      <c r="C369" s="20" t="n">
        <f aca="false">ROUND(7.31/FX,2)</f>
        <v>1.02</v>
      </c>
      <c r="D369" s="21" t="s">
        <v>12084</v>
      </c>
      <c r="E369" s="21" t="s">
        <v>2067</v>
      </c>
      <c r="F369" s="21" t="s">
        <v>11719</v>
      </c>
      <c r="G369" s="21" t="s">
        <v>11720</v>
      </c>
    </row>
    <row r="370" customFormat="false" ht="15" hidden="false" customHeight="false" outlineLevel="0" collapsed="false">
      <c r="B370" s="19" t="s">
        <v>12122</v>
      </c>
      <c r="C370" s="20" t="n">
        <f aca="false">ROUND(7.4/FX,2)</f>
        <v>1.03</v>
      </c>
      <c r="D370" s="21" t="s">
        <v>12084</v>
      </c>
      <c r="E370" s="21" t="s">
        <v>5214</v>
      </c>
      <c r="F370" s="21" t="s">
        <v>11719</v>
      </c>
      <c r="G370" s="21" t="s">
        <v>11720</v>
      </c>
    </row>
    <row r="371" customFormat="false" ht="15" hidden="false" customHeight="false" outlineLevel="0" collapsed="false">
      <c r="B371" s="19" t="s">
        <v>12123</v>
      </c>
      <c r="C371" s="20" t="n">
        <f aca="false">ROUND(7.64/FX,2)</f>
        <v>1.06</v>
      </c>
      <c r="D371" s="21" t="s">
        <v>12084</v>
      </c>
      <c r="E371" s="21" t="s">
        <v>2097</v>
      </c>
      <c r="F371" s="21" t="s">
        <v>11719</v>
      </c>
      <c r="G371" s="21" t="s">
        <v>11720</v>
      </c>
    </row>
    <row r="372" customFormat="false" ht="15" hidden="false" customHeight="false" outlineLevel="0" collapsed="false">
      <c r="B372" s="19" t="s">
        <v>12124</v>
      </c>
      <c r="C372" s="20" t="n">
        <f aca="false">ROUND(8.13/FX,2)</f>
        <v>1.13</v>
      </c>
      <c r="D372" s="21" t="s">
        <v>12084</v>
      </c>
      <c r="E372" s="21" t="s">
        <v>2142</v>
      </c>
      <c r="F372" s="21" t="s">
        <v>11719</v>
      </c>
      <c r="G372" s="21" t="s">
        <v>11720</v>
      </c>
    </row>
    <row r="373" customFormat="false" ht="15" hidden="false" customHeight="false" outlineLevel="0" collapsed="false">
      <c r="B373" s="19" t="s">
        <v>12125</v>
      </c>
      <c r="C373" s="20" t="n">
        <f aca="false">ROUND(8.78/FX,2)</f>
        <v>1.22</v>
      </c>
      <c r="D373" s="21" t="s">
        <v>12084</v>
      </c>
      <c r="E373" s="21" t="s">
        <v>2182</v>
      </c>
      <c r="F373" s="21" t="s">
        <v>11719</v>
      </c>
      <c r="G373" s="21" t="s">
        <v>11720</v>
      </c>
    </row>
    <row r="374" customFormat="false" ht="15" hidden="false" customHeight="false" outlineLevel="0" collapsed="false">
      <c r="B374" s="19" t="s">
        <v>12126</v>
      </c>
      <c r="C374" s="20" t="n">
        <f aca="false">ROUND(8.94/FX,2)</f>
        <v>1.24</v>
      </c>
      <c r="D374" s="21" t="s">
        <v>12084</v>
      </c>
      <c r="E374" s="21" t="s">
        <v>2187</v>
      </c>
      <c r="F374" s="21" t="s">
        <v>11719</v>
      </c>
      <c r="G374" s="21" t="s">
        <v>11720</v>
      </c>
    </row>
    <row r="375" customFormat="false" ht="15" hidden="false" customHeight="false" outlineLevel="0" collapsed="false">
      <c r="B375" s="19" t="s">
        <v>12127</v>
      </c>
      <c r="C375" s="20" t="n">
        <f aca="false">ROUND(9.75/FX,2)</f>
        <v>1.35</v>
      </c>
      <c r="D375" s="21" t="s">
        <v>12084</v>
      </c>
      <c r="E375" s="21" t="s">
        <v>2227</v>
      </c>
      <c r="F375" s="21" t="s">
        <v>11719</v>
      </c>
      <c r="G375" s="21" t="s">
        <v>11720</v>
      </c>
    </row>
    <row r="376" customFormat="false" ht="15" hidden="false" customHeight="false" outlineLevel="0" collapsed="false">
      <c r="B376" s="19" t="s">
        <v>12128</v>
      </c>
      <c r="C376" s="20" t="n">
        <f aca="false">ROUND(10.56/FX,2)</f>
        <v>1.47</v>
      </c>
      <c r="D376" s="21" t="s">
        <v>12084</v>
      </c>
      <c r="E376" s="21" t="s">
        <v>2297</v>
      </c>
      <c r="F376" s="21" t="s">
        <v>11719</v>
      </c>
      <c r="G376" s="21" t="s">
        <v>11720</v>
      </c>
    </row>
    <row r="377" customFormat="false" ht="15" hidden="false" customHeight="false" outlineLevel="0" collapsed="false">
      <c r="B377" s="19" t="s">
        <v>12129</v>
      </c>
      <c r="C377" s="20" t="n">
        <f aca="false">ROUND(11.38/FX,2)</f>
        <v>1.58</v>
      </c>
      <c r="D377" s="21" t="s">
        <v>12084</v>
      </c>
      <c r="E377" s="21" t="s">
        <v>2351</v>
      </c>
      <c r="F377" s="21" t="s">
        <v>11719</v>
      </c>
      <c r="G377" s="21" t="s">
        <v>11720</v>
      </c>
    </row>
    <row r="378" customFormat="false" ht="15" hidden="false" customHeight="false" outlineLevel="0" collapsed="false">
      <c r="B378" s="19" t="s">
        <v>12130</v>
      </c>
      <c r="C378" s="20" t="n">
        <f aca="false">ROUND(13/FX,2)</f>
        <v>1.81</v>
      </c>
      <c r="D378" s="21" t="s">
        <v>12084</v>
      </c>
      <c r="E378" s="21" t="s">
        <v>2440</v>
      </c>
      <c r="F378" s="21" t="s">
        <v>11719</v>
      </c>
      <c r="G378" s="21" t="s">
        <v>11720</v>
      </c>
    </row>
    <row r="379" customFormat="false" ht="15" hidden="false" customHeight="false" outlineLevel="0" collapsed="false">
      <c r="B379" s="19" t="s">
        <v>12131</v>
      </c>
      <c r="C379" s="20" t="n">
        <f aca="false">ROUND(1.63/FX,2)</f>
        <v>0.23</v>
      </c>
      <c r="D379" s="21" t="s">
        <v>12084</v>
      </c>
      <c r="E379" s="21" t="s">
        <v>2600</v>
      </c>
      <c r="F379" s="21" t="s">
        <v>11746</v>
      </c>
      <c r="G379" s="21" t="s">
        <v>11720</v>
      </c>
    </row>
    <row r="380" customFormat="false" ht="15" hidden="false" customHeight="false" outlineLevel="0" collapsed="false">
      <c r="B380" s="19" t="s">
        <v>12132</v>
      </c>
      <c r="C380" s="20" t="n">
        <f aca="false">ROUND(15.6/FX,2)</f>
        <v>2.17</v>
      </c>
      <c r="D380" s="21" t="s">
        <v>12084</v>
      </c>
      <c r="E380" s="21" t="s">
        <v>1733</v>
      </c>
      <c r="F380" s="21" t="s">
        <v>11746</v>
      </c>
      <c r="G380" s="21" t="s">
        <v>11720</v>
      </c>
    </row>
    <row r="381" customFormat="false" ht="15" hidden="false" customHeight="false" outlineLevel="0" collapsed="false">
      <c r="B381" s="19" t="s">
        <v>12133</v>
      </c>
      <c r="C381" s="20" t="n">
        <f aca="false">ROUND(17.88/FX,2)</f>
        <v>2.48</v>
      </c>
      <c r="D381" s="21" t="s">
        <v>12084</v>
      </c>
      <c r="E381" s="21" t="s">
        <v>1768</v>
      </c>
      <c r="F381" s="21" t="s">
        <v>11746</v>
      </c>
      <c r="G381" s="21" t="s">
        <v>11720</v>
      </c>
    </row>
    <row r="382" customFormat="false" ht="15" hidden="false" customHeight="false" outlineLevel="0" collapsed="false">
      <c r="B382" s="19" t="s">
        <v>12134</v>
      </c>
      <c r="C382" s="20" t="n">
        <f aca="false">ROUND(1.95/FX,2)</f>
        <v>0.27</v>
      </c>
      <c r="D382" s="21" t="s">
        <v>12084</v>
      </c>
      <c r="E382" s="21" t="s">
        <v>2701</v>
      </c>
      <c r="F382" s="21" t="s">
        <v>11746</v>
      </c>
      <c r="G382" s="21" t="s">
        <v>11720</v>
      </c>
    </row>
    <row r="383" customFormat="false" ht="15" hidden="false" customHeight="false" outlineLevel="0" collapsed="false">
      <c r="B383" s="19" t="s">
        <v>12135</v>
      </c>
      <c r="C383" s="20" t="n">
        <f aca="false">ROUND(19.5/FX,2)</f>
        <v>2.71</v>
      </c>
      <c r="D383" s="21" t="s">
        <v>12084</v>
      </c>
      <c r="E383" s="21" t="s">
        <v>3253</v>
      </c>
      <c r="F383" s="21" t="s">
        <v>11746</v>
      </c>
      <c r="G383" s="21" t="s">
        <v>11720</v>
      </c>
    </row>
    <row r="384" customFormat="false" ht="15" hidden="false" customHeight="false" outlineLevel="0" collapsed="false">
      <c r="B384" s="19" t="s">
        <v>12136</v>
      </c>
      <c r="C384" s="20" t="n">
        <f aca="false">ROUND(1.76/FX,2)</f>
        <v>0.24</v>
      </c>
      <c r="D384" s="21" t="s">
        <v>12084</v>
      </c>
      <c r="E384" s="21" t="s">
        <v>12137</v>
      </c>
      <c r="F384" s="21" t="s">
        <v>11746</v>
      </c>
      <c r="G384" s="21" t="s">
        <v>11720</v>
      </c>
    </row>
    <row r="385" customFormat="false" ht="15" hidden="false" customHeight="false" outlineLevel="0" collapsed="false">
      <c r="B385" s="19" t="s">
        <v>12138</v>
      </c>
      <c r="C385" s="20" t="n">
        <f aca="false">ROUND(20/FX,2)</f>
        <v>2.78</v>
      </c>
      <c r="D385" s="21" t="s">
        <v>12084</v>
      </c>
      <c r="E385" s="21" t="s">
        <v>11780</v>
      </c>
      <c r="F385" s="21" t="s">
        <v>11746</v>
      </c>
      <c r="G385" s="21" t="s">
        <v>11720</v>
      </c>
    </row>
    <row r="386" customFormat="false" ht="15" hidden="false" customHeight="false" outlineLevel="0" collapsed="false">
      <c r="B386" s="19" t="s">
        <v>12139</v>
      </c>
      <c r="C386" s="20" t="n">
        <f aca="false">ROUND(2/FX,2)</f>
        <v>0.28</v>
      </c>
      <c r="D386" s="21" t="s">
        <v>12084</v>
      </c>
      <c r="E386" s="21" t="s">
        <v>2801</v>
      </c>
      <c r="F386" s="21" t="s">
        <v>11746</v>
      </c>
      <c r="G386" s="21" t="s">
        <v>11720</v>
      </c>
    </row>
    <row r="387" customFormat="false" ht="15" hidden="false" customHeight="false" outlineLevel="0" collapsed="false">
      <c r="B387" s="19" t="s">
        <v>12140</v>
      </c>
      <c r="C387" s="20" t="n">
        <f aca="false">ROUND(2.08/FX,2)</f>
        <v>0.29</v>
      </c>
      <c r="D387" s="21" t="s">
        <v>12084</v>
      </c>
      <c r="E387" s="21" t="s">
        <v>12101</v>
      </c>
      <c r="F387" s="21" t="s">
        <v>11746</v>
      </c>
      <c r="G387" s="21" t="s">
        <v>11720</v>
      </c>
    </row>
    <row r="388" customFormat="false" ht="15" hidden="false" customHeight="false" outlineLevel="0" collapsed="false">
      <c r="B388" s="19" t="s">
        <v>12141</v>
      </c>
      <c r="C388" s="20" t="n">
        <f aca="false">ROUND(2.44/FX,2)</f>
        <v>0.34</v>
      </c>
      <c r="D388" s="21" t="s">
        <v>12084</v>
      </c>
      <c r="E388" s="21" t="s">
        <v>2851</v>
      </c>
      <c r="F388" s="21" t="s">
        <v>11746</v>
      </c>
      <c r="G388" s="21" t="s">
        <v>11720</v>
      </c>
    </row>
    <row r="389" customFormat="false" ht="15" hidden="false" customHeight="false" outlineLevel="0" collapsed="false">
      <c r="B389" s="19" t="s">
        <v>12142</v>
      </c>
      <c r="C389" s="20" t="n">
        <f aca="false">ROUND(24.38/FX,2)</f>
        <v>3.39</v>
      </c>
      <c r="D389" s="21" t="s">
        <v>12084</v>
      </c>
      <c r="E389" s="21" t="s">
        <v>1881</v>
      </c>
      <c r="F389" s="21" t="s">
        <v>11746</v>
      </c>
      <c r="G389" s="21" t="s">
        <v>11720</v>
      </c>
    </row>
    <row r="390" customFormat="false" ht="15" hidden="false" customHeight="false" outlineLevel="0" collapsed="false">
      <c r="B390" s="19" t="s">
        <v>12143</v>
      </c>
      <c r="C390" s="20" t="n">
        <f aca="false">ROUND(2.25/FX,2)</f>
        <v>0.31</v>
      </c>
      <c r="D390" s="21" t="s">
        <v>12084</v>
      </c>
      <c r="E390" s="21" t="s">
        <v>12144</v>
      </c>
      <c r="F390" s="21" t="s">
        <v>11746</v>
      </c>
      <c r="G390" s="21" t="s">
        <v>11720</v>
      </c>
    </row>
    <row r="391" customFormat="false" ht="15" hidden="false" customHeight="false" outlineLevel="0" collapsed="false">
      <c r="B391" s="19" t="s">
        <v>12145</v>
      </c>
      <c r="C391" s="20" t="n">
        <f aca="false">ROUND(2.43/FX,2)</f>
        <v>0.34</v>
      </c>
      <c r="D391" s="21" t="s">
        <v>12084</v>
      </c>
      <c r="E391" s="21" t="s">
        <v>883</v>
      </c>
      <c r="F391" s="21" t="s">
        <v>11746</v>
      </c>
      <c r="G391" s="21" t="s">
        <v>11720</v>
      </c>
    </row>
    <row r="392" customFormat="false" ht="15" hidden="false" customHeight="false" outlineLevel="0" collapsed="false">
      <c r="B392" s="19" t="s">
        <v>12146</v>
      </c>
      <c r="C392" s="20" t="n">
        <f aca="false">ROUND(3.09/FX,2)</f>
        <v>0.43</v>
      </c>
      <c r="D392" s="21" t="s">
        <v>12084</v>
      </c>
      <c r="E392" s="21" t="s">
        <v>993</v>
      </c>
      <c r="F392" s="21" t="s">
        <v>11746</v>
      </c>
      <c r="G392" s="21" t="s">
        <v>11720</v>
      </c>
    </row>
    <row r="393" customFormat="false" ht="15" hidden="false" customHeight="false" outlineLevel="0" collapsed="false">
      <c r="B393" s="19" t="s">
        <v>12147</v>
      </c>
      <c r="C393" s="20" t="n">
        <f aca="false">ROUND(3.25/FX,2)</f>
        <v>0.45</v>
      </c>
      <c r="D393" s="21" t="s">
        <v>12084</v>
      </c>
      <c r="E393" s="21" t="s">
        <v>1048</v>
      </c>
      <c r="F393" s="21" t="s">
        <v>11746</v>
      </c>
      <c r="G393" s="21" t="s">
        <v>11720</v>
      </c>
    </row>
    <row r="394" customFormat="false" ht="15" hidden="false" customHeight="false" outlineLevel="0" collapsed="false">
      <c r="B394" s="19" t="s">
        <v>12148</v>
      </c>
      <c r="C394" s="20" t="n">
        <f aca="false">ROUND(28.6/FX,2)</f>
        <v>3.97</v>
      </c>
      <c r="D394" s="21" t="s">
        <v>12084</v>
      </c>
      <c r="E394" s="21" t="s">
        <v>1924</v>
      </c>
      <c r="F394" s="21" t="s">
        <v>11746</v>
      </c>
      <c r="G394" s="21" t="s">
        <v>11720</v>
      </c>
    </row>
    <row r="395" customFormat="false" ht="15" hidden="false" customHeight="false" outlineLevel="0" collapsed="false">
      <c r="B395" s="19" t="s">
        <v>12149</v>
      </c>
      <c r="C395" s="20" t="n">
        <f aca="false">ROUND(3.41/FX,2)</f>
        <v>0.47</v>
      </c>
      <c r="D395" s="21" t="s">
        <v>12084</v>
      </c>
      <c r="E395" s="21" t="s">
        <v>1103</v>
      </c>
      <c r="F395" s="21" t="s">
        <v>11746</v>
      </c>
      <c r="G395" s="21" t="s">
        <v>11720</v>
      </c>
    </row>
    <row r="396" customFormat="false" ht="15" hidden="false" customHeight="false" outlineLevel="0" collapsed="false">
      <c r="B396" s="19" t="s">
        <v>12150</v>
      </c>
      <c r="C396" s="20" t="n">
        <f aca="false">ROUND(3.74/FX,2)</f>
        <v>0.52</v>
      </c>
      <c r="D396" s="21" t="s">
        <v>12084</v>
      </c>
      <c r="E396" s="21" t="s">
        <v>1213</v>
      </c>
      <c r="F396" s="21" t="s">
        <v>11746</v>
      </c>
      <c r="G396" s="21" t="s">
        <v>11720</v>
      </c>
    </row>
    <row r="397" customFormat="false" ht="15" hidden="false" customHeight="false" outlineLevel="0" collapsed="false">
      <c r="B397" s="19" t="s">
        <v>12151</v>
      </c>
      <c r="C397" s="20" t="n">
        <f aca="false">ROUND(4.06/FX,2)</f>
        <v>0.56</v>
      </c>
      <c r="D397" s="21" t="s">
        <v>12084</v>
      </c>
      <c r="E397" s="21" t="s">
        <v>1323</v>
      </c>
      <c r="F397" s="21" t="s">
        <v>11746</v>
      </c>
      <c r="G397" s="21" t="s">
        <v>11720</v>
      </c>
    </row>
    <row r="398" customFormat="false" ht="15" hidden="false" customHeight="false" outlineLevel="0" collapsed="false">
      <c r="B398" s="19" t="s">
        <v>12152</v>
      </c>
      <c r="C398" s="20" t="n">
        <f aca="false">ROUND(4.23/FX,2)</f>
        <v>0.59</v>
      </c>
      <c r="D398" s="21" t="s">
        <v>12084</v>
      </c>
      <c r="E398" s="21" t="s">
        <v>1378</v>
      </c>
      <c r="F398" s="21" t="s">
        <v>11746</v>
      </c>
      <c r="G398" s="21" t="s">
        <v>11720</v>
      </c>
    </row>
    <row r="399" customFormat="false" ht="15" hidden="false" customHeight="false" outlineLevel="0" collapsed="false">
      <c r="B399" s="19" t="s">
        <v>12153</v>
      </c>
      <c r="C399" s="20" t="n">
        <f aca="false">ROUND(4.47/FX,2)</f>
        <v>0.62</v>
      </c>
      <c r="D399" s="21" t="s">
        <v>12084</v>
      </c>
      <c r="E399" s="21" t="s">
        <v>4883</v>
      </c>
      <c r="F399" s="21" t="s">
        <v>11746</v>
      </c>
      <c r="G399" s="21" t="s">
        <v>11720</v>
      </c>
    </row>
    <row r="400" customFormat="false" ht="15" hidden="false" customHeight="false" outlineLevel="0" collapsed="false">
      <c r="B400" s="19" t="s">
        <v>12154</v>
      </c>
      <c r="C400" s="20" t="n">
        <f aca="false">ROUND(4.71/FX,2)</f>
        <v>0.65</v>
      </c>
      <c r="D400" s="21" t="s">
        <v>12084</v>
      </c>
      <c r="E400" s="21" t="s">
        <v>1495</v>
      </c>
      <c r="F400" s="21" t="s">
        <v>11746</v>
      </c>
      <c r="G400" s="21" t="s">
        <v>11720</v>
      </c>
    </row>
    <row r="401" customFormat="false" ht="15" hidden="false" customHeight="false" outlineLevel="0" collapsed="false">
      <c r="B401" s="19" t="s">
        <v>12155</v>
      </c>
      <c r="C401" s="20" t="n">
        <f aca="false">ROUND(4.88/FX,2)</f>
        <v>0.68</v>
      </c>
      <c r="D401" s="21" t="s">
        <v>12084</v>
      </c>
      <c r="E401" s="21" t="s">
        <v>1520</v>
      </c>
      <c r="F401" s="21" t="s">
        <v>11746</v>
      </c>
      <c r="G401" s="21" t="s">
        <v>11720</v>
      </c>
    </row>
    <row r="402" customFormat="false" ht="15" hidden="false" customHeight="false" outlineLevel="0" collapsed="false">
      <c r="B402" s="19" t="s">
        <v>12156</v>
      </c>
      <c r="C402" s="20" t="n">
        <f aca="false">ROUND(5.2/FX,2)</f>
        <v>0.72</v>
      </c>
      <c r="D402" s="21" t="s">
        <v>12084</v>
      </c>
      <c r="E402" s="21" t="s">
        <v>1570</v>
      </c>
      <c r="F402" s="21" t="s">
        <v>11746</v>
      </c>
      <c r="G402" s="21" t="s">
        <v>11720</v>
      </c>
    </row>
    <row r="403" customFormat="false" ht="15" hidden="false" customHeight="false" outlineLevel="0" collapsed="false">
      <c r="B403" s="19" t="s">
        <v>12157</v>
      </c>
      <c r="C403" s="20" t="n">
        <f aca="false">ROUND(5.44/FX,2)</f>
        <v>0.76</v>
      </c>
      <c r="D403" s="21" t="s">
        <v>12084</v>
      </c>
      <c r="E403" s="21" t="s">
        <v>4975</v>
      </c>
      <c r="F403" s="21" t="s">
        <v>11746</v>
      </c>
      <c r="G403" s="21" t="s">
        <v>11720</v>
      </c>
    </row>
    <row r="404" customFormat="false" ht="15" hidden="false" customHeight="false" outlineLevel="0" collapsed="false">
      <c r="B404" s="19" t="s">
        <v>12158</v>
      </c>
      <c r="C404" s="20" t="n">
        <f aca="false">ROUND(5.69/FX,2)</f>
        <v>0.79</v>
      </c>
      <c r="D404" s="21" t="s">
        <v>12084</v>
      </c>
      <c r="E404" s="21" t="s">
        <v>1635</v>
      </c>
      <c r="F404" s="21" t="s">
        <v>11746</v>
      </c>
      <c r="G404" s="21" t="s">
        <v>11720</v>
      </c>
    </row>
    <row r="405" customFormat="false" ht="15" hidden="false" customHeight="false" outlineLevel="0" collapsed="false">
      <c r="B405" s="19" t="s">
        <v>12159</v>
      </c>
      <c r="C405" s="20" t="n">
        <f aca="false">ROUND(5.85/FX,2)</f>
        <v>0.81</v>
      </c>
      <c r="D405" s="21" t="s">
        <v>12084</v>
      </c>
      <c r="E405" s="21" t="s">
        <v>1655</v>
      </c>
      <c r="F405" s="21" t="s">
        <v>11746</v>
      </c>
      <c r="G405" s="21" t="s">
        <v>11720</v>
      </c>
    </row>
    <row r="406" customFormat="false" ht="15" hidden="false" customHeight="false" outlineLevel="0" collapsed="false">
      <c r="B406" s="19" t="s">
        <v>12160</v>
      </c>
      <c r="C406" s="20" t="n">
        <f aca="false">ROUND(6.18/FX,2)</f>
        <v>0.86</v>
      </c>
      <c r="D406" s="21" t="s">
        <v>12084</v>
      </c>
      <c r="E406" s="21" t="s">
        <v>1685</v>
      </c>
      <c r="F406" s="21" t="s">
        <v>11746</v>
      </c>
      <c r="G406" s="21" t="s">
        <v>11720</v>
      </c>
    </row>
    <row r="407" customFormat="false" ht="15" hidden="false" customHeight="false" outlineLevel="0" collapsed="false">
      <c r="B407" s="19" t="s">
        <v>12161</v>
      </c>
      <c r="C407" s="20" t="n">
        <f aca="false">ROUND(6.34/FX,2)</f>
        <v>0.88</v>
      </c>
      <c r="D407" s="21" t="s">
        <v>12084</v>
      </c>
      <c r="E407" s="21" t="s">
        <v>1982</v>
      </c>
      <c r="F407" s="21" t="s">
        <v>11746</v>
      </c>
      <c r="G407" s="21" t="s">
        <v>11720</v>
      </c>
    </row>
    <row r="408" customFormat="false" ht="15" hidden="false" customHeight="false" outlineLevel="0" collapsed="false">
      <c r="B408" s="19" t="s">
        <v>12162</v>
      </c>
      <c r="C408" s="20" t="n">
        <f aca="false">ROUND(6.5/FX,2)</f>
        <v>0.9</v>
      </c>
      <c r="D408" s="21" t="s">
        <v>12084</v>
      </c>
      <c r="E408" s="21" t="s">
        <v>2002</v>
      </c>
      <c r="F408" s="21" t="s">
        <v>11746</v>
      </c>
      <c r="G408" s="21" t="s">
        <v>11720</v>
      </c>
    </row>
    <row r="409" customFormat="false" ht="15" hidden="false" customHeight="false" outlineLevel="0" collapsed="false">
      <c r="B409" s="19" t="s">
        <v>12163</v>
      </c>
      <c r="C409" s="20" t="n">
        <f aca="false">ROUND(6.91/FX,2)</f>
        <v>0.96</v>
      </c>
      <c r="D409" s="21" t="s">
        <v>12084</v>
      </c>
      <c r="E409" s="21" t="s">
        <v>5153</v>
      </c>
      <c r="F409" s="21" t="s">
        <v>11746</v>
      </c>
      <c r="G409" s="21" t="s">
        <v>11720</v>
      </c>
    </row>
    <row r="410" customFormat="false" ht="15" hidden="false" customHeight="false" outlineLevel="0" collapsed="false">
      <c r="B410" s="19" t="s">
        <v>12164</v>
      </c>
      <c r="C410" s="20" t="n">
        <f aca="false">ROUND(7.15/FX,2)</f>
        <v>0.99</v>
      </c>
      <c r="D410" s="21" t="s">
        <v>12084</v>
      </c>
      <c r="E410" s="21" t="s">
        <v>2052</v>
      </c>
      <c r="F410" s="21" t="s">
        <v>11746</v>
      </c>
      <c r="G410" s="21" t="s">
        <v>11720</v>
      </c>
    </row>
    <row r="411" customFormat="false" ht="15" hidden="false" customHeight="false" outlineLevel="0" collapsed="false">
      <c r="B411" s="19" t="s">
        <v>12165</v>
      </c>
      <c r="C411" s="20" t="n">
        <f aca="false">ROUND(7.31/FX,2)</f>
        <v>1.02</v>
      </c>
      <c r="D411" s="21" t="s">
        <v>12084</v>
      </c>
      <c r="E411" s="21" t="s">
        <v>2067</v>
      </c>
      <c r="F411" s="21" t="s">
        <v>11746</v>
      </c>
      <c r="G411" s="21" t="s">
        <v>11720</v>
      </c>
    </row>
    <row r="412" customFormat="false" ht="15" hidden="false" customHeight="false" outlineLevel="0" collapsed="false">
      <c r="B412" s="19" t="s">
        <v>12166</v>
      </c>
      <c r="C412" s="20" t="n">
        <f aca="false">ROUND(7.96/FX,2)</f>
        <v>1.11</v>
      </c>
      <c r="D412" s="21" t="s">
        <v>12084</v>
      </c>
      <c r="E412" s="21" t="s">
        <v>2127</v>
      </c>
      <c r="F412" s="21" t="s">
        <v>11746</v>
      </c>
      <c r="G412" s="21" t="s">
        <v>11720</v>
      </c>
    </row>
    <row r="413" customFormat="false" ht="15" hidden="false" customHeight="false" outlineLevel="0" collapsed="false">
      <c r="B413" s="19" t="s">
        <v>12167</v>
      </c>
      <c r="C413" s="20" t="n">
        <f aca="false">ROUND(8.13/FX,2)</f>
        <v>1.13</v>
      </c>
      <c r="D413" s="21" t="s">
        <v>12084</v>
      </c>
      <c r="E413" s="21" t="s">
        <v>2142</v>
      </c>
      <c r="F413" s="21" t="s">
        <v>11746</v>
      </c>
      <c r="G413" s="21" t="s">
        <v>11720</v>
      </c>
    </row>
    <row r="414" customFormat="false" ht="15" hidden="false" customHeight="false" outlineLevel="0" collapsed="false">
      <c r="B414" s="19" t="s">
        <v>12168</v>
      </c>
      <c r="C414" s="20" t="n">
        <f aca="false">ROUND(8.94/FX,2)</f>
        <v>1.24</v>
      </c>
      <c r="D414" s="21" t="s">
        <v>12084</v>
      </c>
      <c r="E414" s="21" t="s">
        <v>2187</v>
      </c>
      <c r="F414" s="21" t="s">
        <v>11746</v>
      </c>
      <c r="G414" s="21" t="s">
        <v>11720</v>
      </c>
    </row>
    <row r="415" customFormat="false" ht="15" hidden="false" customHeight="false" outlineLevel="0" collapsed="false">
      <c r="B415" s="19" t="s">
        <v>12169</v>
      </c>
      <c r="C415" s="20" t="n">
        <f aca="false">ROUND(9.75/FX,2)</f>
        <v>1.35</v>
      </c>
      <c r="D415" s="21" t="s">
        <v>12084</v>
      </c>
      <c r="E415" s="21" t="s">
        <v>2227</v>
      </c>
      <c r="F415" s="21" t="s">
        <v>11746</v>
      </c>
      <c r="G415" s="21" t="s">
        <v>11720</v>
      </c>
    </row>
    <row r="416" customFormat="false" ht="15" hidden="false" customHeight="false" outlineLevel="0" collapsed="false">
      <c r="B416" s="19" t="s">
        <v>12170</v>
      </c>
      <c r="C416" s="20" t="n">
        <f aca="false">ROUND(11.38/FX,2)</f>
        <v>1.58</v>
      </c>
      <c r="D416" s="21" t="s">
        <v>12084</v>
      </c>
      <c r="E416" s="21" t="s">
        <v>2351</v>
      </c>
      <c r="F416" s="21" t="s">
        <v>11746</v>
      </c>
      <c r="G416" s="21" t="s">
        <v>11720</v>
      </c>
    </row>
    <row r="417" customFormat="false" ht="15" hidden="false" customHeight="false" outlineLevel="0" collapsed="false">
      <c r="B417" s="19" t="s">
        <v>12171</v>
      </c>
      <c r="C417" s="20" t="n">
        <f aca="false">ROUND(13/FX,2)</f>
        <v>1.81</v>
      </c>
      <c r="D417" s="21" t="s">
        <v>12084</v>
      </c>
      <c r="E417" s="21" t="s">
        <v>2440</v>
      </c>
      <c r="F417" s="21" t="s">
        <v>11746</v>
      </c>
      <c r="G417" s="21" t="s">
        <v>11720</v>
      </c>
    </row>
    <row r="418" customFormat="false" ht="15" hidden="false" customHeight="false" outlineLevel="0" collapsed="false">
      <c r="B418" s="19" t="s">
        <v>12172</v>
      </c>
      <c r="C418" s="20" t="n">
        <f aca="false">ROUND(1.63/FX,2)</f>
        <v>0.23</v>
      </c>
      <c r="D418" s="21" t="s">
        <v>12084</v>
      </c>
      <c r="E418" s="21" t="s">
        <v>2600</v>
      </c>
      <c r="F418" s="21" t="s">
        <v>11767</v>
      </c>
      <c r="G418" s="21" t="s">
        <v>11720</v>
      </c>
    </row>
    <row r="419" customFormat="false" ht="15" hidden="false" customHeight="false" outlineLevel="0" collapsed="false">
      <c r="B419" s="19" t="s">
        <v>12173</v>
      </c>
      <c r="C419" s="20" t="n">
        <f aca="false">ROUND(16.25/FX,2)</f>
        <v>2.26</v>
      </c>
      <c r="D419" s="21" t="s">
        <v>12084</v>
      </c>
      <c r="E419" s="21" t="s">
        <v>1733</v>
      </c>
      <c r="F419" s="21" t="s">
        <v>11767</v>
      </c>
      <c r="G419" s="21" t="s">
        <v>11720</v>
      </c>
    </row>
    <row r="420" customFormat="false" ht="15" hidden="false" customHeight="false" outlineLevel="0" collapsed="false">
      <c r="B420" s="19" t="s">
        <v>12174</v>
      </c>
      <c r="C420" s="20" t="n">
        <f aca="false">ROUND(19.5/FX,2)</f>
        <v>2.71</v>
      </c>
      <c r="D420" s="21" t="s">
        <v>12084</v>
      </c>
      <c r="E420" s="21" t="s">
        <v>3253</v>
      </c>
      <c r="F420" s="21" t="s">
        <v>11767</v>
      </c>
      <c r="G420" s="21" t="s">
        <v>11720</v>
      </c>
    </row>
    <row r="421" customFormat="false" ht="15" hidden="false" customHeight="false" outlineLevel="0" collapsed="false">
      <c r="B421" s="19" t="s">
        <v>12175</v>
      </c>
      <c r="C421" s="20" t="n">
        <f aca="false">ROUND(20/FX,2)</f>
        <v>2.78</v>
      </c>
      <c r="D421" s="21" t="s">
        <v>12084</v>
      </c>
      <c r="E421" s="21" t="s">
        <v>11780</v>
      </c>
      <c r="F421" s="21" t="s">
        <v>11767</v>
      </c>
      <c r="G421" s="21" t="s">
        <v>11720</v>
      </c>
    </row>
    <row r="422" customFormat="false" ht="15" hidden="false" customHeight="false" outlineLevel="0" collapsed="false">
      <c r="B422" s="19" t="s">
        <v>12176</v>
      </c>
      <c r="C422" s="20" t="n">
        <f aca="false">ROUND(2.44/FX,2)</f>
        <v>0.34</v>
      </c>
      <c r="D422" s="21" t="s">
        <v>12084</v>
      </c>
      <c r="E422" s="21" t="s">
        <v>2851</v>
      </c>
      <c r="F422" s="21" t="s">
        <v>11767</v>
      </c>
      <c r="G422" s="21" t="s">
        <v>11720</v>
      </c>
    </row>
    <row r="423" customFormat="false" ht="15" hidden="false" customHeight="false" outlineLevel="0" collapsed="false">
      <c r="B423" s="19" t="s">
        <v>12177</v>
      </c>
      <c r="C423" s="20" t="n">
        <f aca="false">ROUND(24.38/FX,2)</f>
        <v>3.39</v>
      </c>
      <c r="D423" s="21" t="s">
        <v>12084</v>
      </c>
      <c r="E423" s="21" t="s">
        <v>1881</v>
      </c>
      <c r="F423" s="21" t="s">
        <v>11767</v>
      </c>
      <c r="G423" s="21" t="s">
        <v>11720</v>
      </c>
    </row>
    <row r="424" customFormat="false" ht="15" hidden="false" customHeight="false" outlineLevel="0" collapsed="false">
      <c r="B424" s="19" t="s">
        <v>12178</v>
      </c>
      <c r="C424" s="20" t="n">
        <f aca="false">ROUND(2.6/FX,2)</f>
        <v>0.36</v>
      </c>
      <c r="D424" s="21" t="s">
        <v>12084</v>
      </c>
      <c r="E424" s="21" t="s">
        <v>2901</v>
      </c>
      <c r="F424" s="21" t="s">
        <v>11767</v>
      </c>
      <c r="G424" s="21" t="s">
        <v>11720</v>
      </c>
    </row>
    <row r="425" customFormat="false" ht="15" hidden="false" customHeight="false" outlineLevel="0" collapsed="false">
      <c r="B425" s="19" t="s">
        <v>12179</v>
      </c>
      <c r="C425" s="20" t="n">
        <f aca="false">ROUND(3.09/FX,2)</f>
        <v>0.43</v>
      </c>
      <c r="D425" s="21" t="s">
        <v>12084</v>
      </c>
      <c r="E425" s="21" t="s">
        <v>993</v>
      </c>
      <c r="F425" s="21" t="s">
        <v>11767</v>
      </c>
      <c r="G425" s="21" t="s">
        <v>11720</v>
      </c>
    </row>
    <row r="426" customFormat="false" ht="15" hidden="false" customHeight="false" outlineLevel="0" collapsed="false">
      <c r="B426" s="19" t="s">
        <v>12180</v>
      </c>
      <c r="C426" s="20" t="n">
        <f aca="false">ROUND(3.25/FX,2)</f>
        <v>0.45</v>
      </c>
      <c r="D426" s="21" t="s">
        <v>12084</v>
      </c>
      <c r="E426" s="21" t="s">
        <v>1048</v>
      </c>
      <c r="F426" s="21" t="s">
        <v>11767</v>
      </c>
      <c r="G426" s="21" t="s">
        <v>11720</v>
      </c>
    </row>
    <row r="427" customFormat="false" ht="15" hidden="false" customHeight="false" outlineLevel="0" collapsed="false">
      <c r="B427" s="19" t="s">
        <v>12181</v>
      </c>
      <c r="C427" s="20" t="n">
        <f aca="false">ROUND(3.41/FX,2)</f>
        <v>0.47</v>
      </c>
      <c r="D427" s="21" t="s">
        <v>12084</v>
      </c>
      <c r="E427" s="21" t="s">
        <v>1103</v>
      </c>
      <c r="F427" s="21" t="s">
        <v>11767</v>
      </c>
      <c r="G427" s="21" t="s">
        <v>11720</v>
      </c>
    </row>
    <row r="428" customFormat="false" ht="15" hidden="false" customHeight="false" outlineLevel="0" collapsed="false">
      <c r="B428" s="19" t="s">
        <v>12182</v>
      </c>
      <c r="C428" s="20" t="n">
        <f aca="false">ROUND(3.74/FX,2)</f>
        <v>0.52</v>
      </c>
      <c r="D428" s="21" t="s">
        <v>12084</v>
      </c>
      <c r="E428" s="21" t="s">
        <v>1213</v>
      </c>
      <c r="F428" s="21" t="s">
        <v>11767</v>
      </c>
      <c r="G428" s="21" t="s">
        <v>11720</v>
      </c>
    </row>
    <row r="429" customFormat="false" ht="15" hidden="false" customHeight="false" outlineLevel="0" collapsed="false">
      <c r="B429" s="19" t="s">
        <v>12183</v>
      </c>
      <c r="C429" s="20" t="n">
        <f aca="false">ROUND(3.9/FX,2)</f>
        <v>0.54</v>
      </c>
      <c r="D429" s="21" t="s">
        <v>12084</v>
      </c>
      <c r="E429" s="21" t="s">
        <v>1268</v>
      </c>
      <c r="F429" s="21" t="s">
        <v>11767</v>
      </c>
      <c r="G429" s="21" t="s">
        <v>11720</v>
      </c>
    </row>
    <row r="430" customFormat="false" ht="15" hidden="false" customHeight="false" outlineLevel="0" collapsed="false">
      <c r="B430" s="19" t="s">
        <v>12184</v>
      </c>
      <c r="C430" s="20" t="n">
        <f aca="false">ROUND(4.06/FX,2)</f>
        <v>0.56</v>
      </c>
      <c r="D430" s="21" t="s">
        <v>12084</v>
      </c>
      <c r="E430" s="21" t="s">
        <v>1323</v>
      </c>
      <c r="F430" s="21" t="s">
        <v>11767</v>
      </c>
      <c r="G430" s="21" t="s">
        <v>11720</v>
      </c>
    </row>
    <row r="431" customFormat="false" ht="15" hidden="false" customHeight="false" outlineLevel="0" collapsed="false">
      <c r="B431" s="19" t="s">
        <v>12185</v>
      </c>
      <c r="C431" s="20" t="n">
        <f aca="false">ROUND(4.23/FX,2)</f>
        <v>0.59</v>
      </c>
      <c r="D431" s="21" t="s">
        <v>12084</v>
      </c>
      <c r="E431" s="21" t="s">
        <v>1378</v>
      </c>
      <c r="F431" s="21" t="s">
        <v>11767</v>
      </c>
      <c r="G431" s="21" t="s">
        <v>11720</v>
      </c>
    </row>
    <row r="432" customFormat="false" ht="15" hidden="false" customHeight="false" outlineLevel="0" collapsed="false">
      <c r="B432" s="19" t="s">
        <v>12186</v>
      </c>
      <c r="C432" s="20" t="n">
        <f aca="false">ROUND(4.39/FX,2)</f>
        <v>0.61</v>
      </c>
      <c r="D432" s="21" t="s">
        <v>12084</v>
      </c>
      <c r="E432" s="21" t="s">
        <v>1433</v>
      </c>
      <c r="F432" s="21" t="s">
        <v>11767</v>
      </c>
      <c r="G432" s="21" t="s">
        <v>11720</v>
      </c>
    </row>
    <row r="433" customFormat="false" ht="15" hidden="false" customHeight="false" outlineLevel="0" collapsed="false">
      <c r="B433" s="19" t="s">
        <v>12187</v>
      </c>
      <c r="C433" s="20" t="n">
        <f aca="false">ROUND(4.71/FX,2)</f>
        <v>0.65</v>
      </c>
      <c r="D433" s="21" t="s">
        <v>12084</v>
      </c>
      <c r="E433" s="21" t="s">
        <v>1495</v>
      </c>
      <c r="F433" s="21" t="s">
        <v>11767</v>
      </c>
      <c r="G433" s="21" t="s">
        <v>11720</v>
      </c>
    </row>
    <row r="434" customFormat="false" ht="15" hidden="false" customHeight="false" outlineLevel="0" collapsed="false">
      <c r="B434" s="19" t="s">
        <v>12188</v>
      </c>
      <c r="C434" s="20" t="n">
        <f aca="false">ROUND(4.88/FX,2)</f>
        <v>0.68</v>
      </c>
      <c r="D434" s="21" t="s">
        <v>12084</v>
      </c>
      <c r="E434" s="21" t="s">
        <v>1520</v>
      </c>
      <c r="F434" s="21" t="s">
        <v>11767</v>
      </c>
      <c r="G434" s="21" t="s">
        <v>11720</v>
      </c>
    </row>
    <row r="435" customFormat="false" ht="15" hidden="false" customHeight="false" outlineLevel="0" collapsed="false">
      <c r="B435" s="19" t="s">
        <v>12189</v>
      </c>
      <c r="C435" s="20" t="n">
        <f aca="false">ROUND(5.2/FX,2)</f>
        <v>0.72</v>
      </c>
      <c r="D435" s="21" t="s">
        <v>12084</v>
      </c>
      <c r="E435" s="21" t="s">
        <v>1570</v>
      </c>
      <c r="F435" s="21" t="s">
        <v>11767</v>
      </c>
      <c r="G435" s="21" t="s">
        <v>11720</v>
      </c>
    </row>
    <row r="436" customFormat="false" ht="15" hidden="false" customHeight="false" outlineLevel="0" collapsed="false">
      <c r="B436" s="19" t="s">
        <v>12190</v>
      </c>
      <c r="C436" s="20" t="n">
        <f aca="false">ROUND(5.44/FX,2)</f>
        <v>0.76</v>
      </c>
      <c r="D436" s="21" t="s">
        <v>12084</v>
      </c>
      <c r="E436" s="21" t="s">
        <v>4975</v>
      </c>
      <c r="F436" s="21" t="s">
        <v>11767</v>
      </c>
      <c r="G436" s="21" t="s">
        <v>11720</v>
      </c>
    </row>
    <row r="437" customFormat="false" ht="15" hidden="false" customHeight="false" outlineLevel="0" collapsed="false">
      <c r="B437" s="19" t="s">
        <v>12191</v>
      </c>
      <c r="C437" s="20" t="n">
        <f aca="false">ROUND(5.69/FX,2)</f>
        <v>0.79</v>
      </c>
      <c r="D437" s="21" t="s">
        <v>12084</v>
      </c>
      <c r="E437" s="21" t="s">
        <v>1635</v>
      </c>
      <c r="F437" s="21" t="s">
        <v>11767</v>
      </c>
      <c r="G437" s="21" t="s">
        <v>11720</v>
      </c>
    </row>
    <row r="438" customFormat="false" ht="15" hidden="false" customHeight="false" outlineLevel="0" collapsed="false">
      <c r="B438" s="19" t="s">
        <v>12192</v>
      </c>
      <c r="C438" s="20" t="n">
        <f aca="false">ROUND(6.02/FX,2)</f>
        <v>0.84</v>
      </c>
      <c r="D438" s="21" t="s">
        <v>12084</v>
      </c>
      <c r="E438" s="21" t="s">
        <v>1670</v>
      </c>
      <c r="F438" s="21" t="s">
        <v>11767</v>
      </c>
      <c r="G438" s="21" t="s">
        <v>11720</v>
      </c>
    </row>
    <row r="439" customFormat="false" ht="15" hidden="false" customHeight="false" outlineLevel="0" collapsed="false">
      <c r="B439" s="19" t="s">
        <v>12193</v>
      </c>
      <c r="C439" s="20" t="n">
        <f aca="false">ROUND(6.5/FX,2)</f>
        <v>0.9</v>
      </c>
      <c r="D439" s="21" t="s">
        <v>12084</v>
      </c>
      <c r="E439" s="21" t="s">
        <v>2002</v>
      </c>
      <c r="F439" s="21" t="s">
        <v>11767</v>
      </c>
      <c r="G439" s="21" t="s">
        <v>11720</v>
      </c>
    </row>
    <row r="440" customFormat="false" ht="15" hidden="false" customHeight="false" outlineLevel="0" collapsed="false">
      <c r="B440" s="19" t="s">
        <v>12194</v>
      </c>
      <c r="C440" s="20" t="n">
        <f aca="false">ROUND(6.91/FX,2)</f>
        <v>0.96</v>
      </c>
      <c r="D440" s="21" t="s">
        <v>12084</v>
      </c>
      <c r="E440" s="21" t="s">
        <v>5153</v>
      </c>
      <c r="F440" s="21" t="s">
        <v>11767</v>
      </c>
      <c r="G440" s="21" t="s">
        <v>11720</v>
      </c>
    </row>
    <row r="441" customFormat="false" ht="15" hidden="false" customHeight="false" outlineLevel="0" collapsed="false">
      <c r="B441" s="19" t="s">
        <v>12195</v>
      </c>
      <c r="C441" s="20" t="n">
        <f aca="false">ROUND(7.31/FX,2)</f>
        <v>1.02</v>
      </c>
      <c r="D441" s="21" t="s">
        <v>12084</v>
      </c>
      <c r="E441" s="21" t="s">
        <v>2067</v>
      </c>
      <c r="F441" s="21" t="s">
        <v>11767</v>
      </c>
      <c r="G441" s="21" t="s">
        <v>11720</v>
      </c>
    </row>
    <row r="442" customFormat="false" ht="15" hidden="false" customHeight="false" outlineLevel="0" collapsed="false">
      <c r="B442" s="19" t="s">
        <v>12196</v>
      </c>
      <c r="C442" s="20" t="n">
        <f aca="false">ROUND(7.48/FX,2)</f>
        <v>1.04</v>
      </c>
      <c r="D442" s="21" t="s">
        <v>12084</v>
      </c>
      <c r="E442" s="21" t="s">
        <v>2082</v>
      </c>
      <c r="F442" s="21" t="s">
        <v>11767</v>
      </c>
      <c r="G442" s="21" t="s">
        <v>11720</v>
      </c>
    </row>
    <row r="443" customFormat="false" ht="15" hidden="false" customHeight="false" outlineLevel="0" collapsed="false">
      <c r="B443" s="19" t="s">
        <v>12197</v>
      </c>
      <c r="C443" s="20" t="n">
        <f aca="false">ROUND(7.64/FX,2)</f>
        <v>1.06</v>
      </c>
      <c r="D443" s="21" t="s">
        <v>12084</v>
      </c>
      <c r="E443" s="21" t="s">
        <v>2097</v>
      </c>
      <c r="F443" s="21" t="s">
        <v>11767</v>
      </c>
      <c r="G443" s="21" t="s">
        <v>11720</v>
      </c>
    </row>
    <row r="444" customFormat="false" ht="15" hidden="false" customHeight="false" outlineLevel="0" collapsed="false">
      <c r="B444" s="19" t="s">
        <v>12198</v>
      </c>
      <c r="C444" s="20" t="n">
        <f aca="false">ROUND(7.96/FX,2)</f>
        <v>1.11</v>
      </c>
      <c r="D444" s="21" t="s">
        <v>12084</v>
      </c>
      <c r="E444" s="21" t="s">
        <v>2127</v>
      </c>
      <c r="F444" s="21" t="s">
        <v>11767</v>
      </c>
      <c r="G444" s="21" t="s">
        <v>11720</v>
      </c>
    </row>
    <row r="445" customFormat="false" ht="15" hidden="false" customHeight="false" outlineLevel="0" collapsed="false">
      <c r="B445" s="19" t="s">
        <v>12199</v>
      </c>
      <c r="C445" s="20" t="n">
        <f aca="false">ROUND(8.13/FX,2)</f>
        <v>1.13</v>
      </c>
      <c r="D445" s="21" t="s">
        <v>12084</v>
      </c>
      <c r="E445" s="21" t="s">
        <v>2142</v>
      </c>
      <c r="F445" s="21" t="s">
        <v>11767</v>
      </c>
      <c r="G445" s="21" t="s">
        <v>11720</v>
      </c>
    </row>
    <row r="446" customFormat="false" ht="15" hidden="false" customHeight="false" outlineLevel="0" collapsed="false">
      <c r="B446" s="19" t="s">
        <v>12200</v>
      </c>
      <c r="C446" s="20" t="n">
        <f aca="false">ROUND(8.94/FX,2)</f>
        <v>1.24</v>
      </c>
      <c r="D446" s="21" t="s">
        <v>12084</v>
      </c>
      <c r="E446" s="21" t="s">
        <v>2187</v>
      </c>
      <c r="F446" s="21" t="s">
        <v>11767</v>
      </c>
      <c r="G446" s="21" t="s">
        <v>11720</v>
      </c>
    </row>
    <row r="447" customFormat="false" ht="15" hidden="false" customHeight="false" outlineLevel="0" collapsed="false">
      <c r="B447" s="19" t="s">
        <v>12201</v>
      </c>
      <c r="C447" s="20" t="n">
        <f aca="false">ROUND(9.75/FX,2)</f>
        <v>1.35</v>
      </c>
      <c r="D447" s="21" t="s">
        <v>12084</v>
      </c>
      <c r="E447" s="21" t="s">
        <v>2227</v>
      </c>
      <c r="F447" s="21" t="s">
        <v>11767</v>
      </c>
      <c r="G447" s="21" t="s">
        <v>11720</v>
      </c>
    </row>
    <row r="448" customFormat="false" ht="15" hidden="false" customHeight="false" outlineLevel="0" collapsed="false">
      <c r="B448" s="19" t="s">
        <v>12202</v>
      </c>
      <c r="C448" s="20" t="n">
        <f aca="false">ROUND(11.38/FX,2)</f>
        <v>1.58</v>
      </c>
      <c r="D448" s="21" t="s">
        <v>12084</v>
      </c>
      <c r="E448" s="21" t="s">
        <v>2351</v>
      </c>
      <c r="F448" s="21" t="s">
        <v>11767</v>
      </c>
      <c r="G448" s="21" t="s">
        <v>11720</v>
      </c>
    </row>
    <row r="449" customFormat="false" ht="15" hidden="false" customHeight="false" outlineLevel="0" collapsed="false">
      <c r="B449" s="19" t="s">
        <v>12203</v>
      </c>
      <c r="C449" s="20" t="n">
        <f aca="false">ROUND(12.19/FX,2)</f>
        <v>1.69</v>
      </c>
      <c r="D449" s="21" t="s">
        <v>12084</v>
      </c>
      <c r="E449" s="21" t="s">
        <v>2400</v>
      </c>
      <c r="F449" s="21" t="s">
        <v>11767</v>
      </c>
      <c r="G449" s="21" t="s">
        <v>11720</v>
      </c>
    </row>
    <row r="450" customFormat="false" ht="15" hidden="false" customHeight="false" outlineLevel="0" collapsed="false">
      <c r="B450" s="19" t="s">
        <v>12204</v>
      </c>
      <c r="C450" s="20" t="n">
        <f aca="false">ROUND(13/FX,2)</f>
        <v>1.81</v>
      </c>
      <c r="D450" s="21" t="s">
        <v>12084</v>
      </c>
      <c r="E450" s="21" t="s">
        <v>2440</v>
      </c>
      <c r="F450" s="21" t="s">
        <v>11767</v>
      </c>
      <c r="G450" s="21" t="s">
        <v>11720</v>
      </c>
    </row>
    <row r="451" customFormat="false" ht="15" hidden="false" customHeight="false" outlineLevel="0" collapsed="false">
      <c r="B451" s="19" t="s">
        <v>12205</v>
      </c>
      <c r="C451" s="20" t="n">
        <f aca="false">ROUND(1.63/FX,2)</f>
        <v>0.23</v>
      </c>
      <c r="D451" s="21" t="s">
        <v>12084</v>
      </c>
      <c r="E451" s="21" t="s">
        <v>2600</v>
      </c>
      <c r="F451" s="21" t="s">
        <v>11775</v>
      </c>
      <c r="G451" s="21" t="s">
        <v>11720</v>
      </c>
    </row>
    <row r="452" customFormat="false" ht="15" hidden="false" customHeight="false" outlineLevel="0" collapsed="false">
      <c r="B452" s="19" t="s">
        <v>12206</v>
      </c>
      <c r="C452" s="20" t="n">
        <f aca="false">ROUND(16.25/FX,2)</f>
        <v>2.26</v>
      </c>
      <c r="D452" s="21" t="s">
        <v>12084</v>
      </c>
      <c r="E452" s="21" t="s">
        <v>1733</v>
      </c>
      <c r="F452" s="21" t="s">
        <v>11775</v>
      </c>
      <c r="G452" s="21" t="s">
        <v>11720</v>
      </c>
    </row>
    <row r="453" customFormat="false" ht="15" hidden="false" customHeight="false" outlineLevel="0" collapsed="false">
      <c r="B453" s="19" t="s">
        <v>12207</v>
      </c>
      <c r="C453" s="20" t="n">
        <f aca="false">ROUND(16.58/FX,2)</f>
        <v>2.3</v>
      </c>
      <c r="D453" s="21" t="s">
        <v>12084</v>
      </c>
      <c r="E453" s="21" t="s">
        <v>12208</v>
      </c>
      <c r="F453" s="21" t="s">
        <v>11775</v>
      </c>
      <c r="G453" s="21" t="s">
        <v>11720</v>
      </c>
    </row>
    <row r="454" customFormat="false" ht="15" hidden="false" customHeight="false" outlineLevel="0" collapsed="false">
      <c r="B454" s="19" t="s">
        <v>12209</v>
      </c>
      <c r="C454" s="20" t="n">
        <f aca="false">ROUND(16.66/FX,2)</f>
        <v>2.31</v>
      </c>
      <c r="D454" s="21" t="s">
        <v>12084</v>
      </c>
      <c r="E454" s="21" t="s">
        <v>12210</v>
      </c>
      <c r="F454" s="21" t="s">
        <v>11775</v>
      </c>
      <c r="G454" s="21" t="s">
        <v>11720</v>
      </c>
    </row>
    <row r="455" customFormat="false" ht="15" hidden="false" customHeight="false" outlineLevel="0" collapsed="false">
      <c r="B455" s="19" t="s">
        <v>12211</v>
      </c>
      <c r="C455" s="20" t="n">
        <f aca="false">ROUND(16.9/FX,2)</f>
        <v>2.35</v>
      </c>
      <c r="D455" s="21" t="s">
        <v>12084</v>
      </c>
      <c r="E455" s="21" t="s">
        <v>1740</v>
      </c>
      <c r="F455" s="21" t="s">
        <v>11775</v>
      </c>
      <c r="G455" s="21" t="s">
        <v>11720</v>
      </c>
    </row>
    <row r="456" customFormat="false" ht="15" hidden="false" customHeight="false" outlineLevel="0" collapsed="false">
      <c r="B456" s="19" t="s">
        <v>12212</v>
      </c>
      <c r="C456" s="20" t="n">
        <f aca="false">ROUND(17.23/FX,2)</f>
        <v>2.39</v>
      </c>
      <c r="D456" s="21" t="s">
        <v>12084</v>
      </c>
      <c r="E456" s="21" t="s">
        <v>1752</v>
      </c>
      <c r="F456" s="21" t="s">
        <v>11775</v>
      </c>
      <c r="G456" s="21" t="s">
        <v>11720</v>
      </c>
    </row>
    <row r="457" customFormat="false" ht="15" hidden="false" customHeight="false" outlineLevel="0" collapsed="false">
      <c r="B457" s="19" t="s">
        <v>12213</v>
      </c>
      <c r="C457" s="20" t="n">
        <f aca="false">ROUND(17.88/FX,2)</f>
        <v>2.48</v>
      </c>
      <c r="D457" s="21" t="s">
        <v>12084</v>
      </c>
      <c r="E457" s="21" t="s">
        <v>1768</v>
      </c>
      <c r="F457" s="21" t="s">
        <v>11775</v>
      </c>
      <c r="G457" s="21" t="s">
        <v>11720</v>
      </c>
    </row>
    <row r="458" customFormat="false" ht="15" hidden="false" customHeight="false" outlineLevel="0" collapsed="false">
      <c r="B458" s="19" t="s">
        <v>12214</v>
      </c>
      <c r="C458" s="20" t="n">
        <f aca="false">ROUND(1.95/FX,2)</f>
        <v>0.27</v>
      </c>
      <c r="D458" s="21" t="s">
        <v>12084</v>
      </c>
      <c r="E458" s="21" t="s">
        <v>2701</v>
      </c>
      <c r="F458" s="21" t="s">
        <v>11775</v>
      </c>
      <c r="G458" s="21" t="s">
        <v>11720</v>
      </c>
    </row>
    <row r="459" customFormat="false" ht="15" hidden="false" customHeight="false" outlineLevel="0" collapsed="false">
      <c r="B459" s="19" t="s">
        <v>12215</v>
      </c>
      <c r="C459" s="20" t="n">
        <f aca="false">ROUND(19.5/FX,2)</f>
        <v>2.71</v>
      </c>
      <c r="D459" s="21" t="s">
        <v>12084</v>
      </c>
      <c r="E459" s="21" t="s">
        <v>3253</v>
      </c>
      <c r="F459" s="21" t="s">
        <v>11775</v>
      </c>
      <c r="G459" s="21" t="s">
        <v>11720</v>
      </c>
    </row>
    <row r="460" customFormat="false" ht="15" hidden="false" customHeight="false" outlineLevel="0" collapsed="false">
      <c r="B460" s="19" t="s">
        <v>12216</v>
      </c>
      <c r="C460" s="20" t="n">
        <f aca="false">ROUND(2.03/FX,2)</f>
        <v>0.28</v>
      </c>
      <c r="D460" s="21" t="s">
        <v>12084</v>
      </c>
      <c r="E460" s="21" t="s">
        <v>11968</v>
      </c>
      <c r="F460" s="21" t="s">
        <v>11775</v>
      </c>
      <c r="G460" s="21" t="s">
        <v>11720</v>
      </c>
    </row>
    <row r="461" customFormat="false" ht="15" hidden="false" customHeight="false" outlineLevel="0" collapsed="false">
      <c r="B461" s="19" t="s">
        <v>12217</v>
      </c>
      <c r="C461" s="20" t="n">
        <f aca="false">ROUND(20.32/FX,2)</f>
        <v>2.82</v>
      </c>
      <c r="D461" s="21" t="s">
        <v>12084</v>
      </c>
      <c r="E461" s="21" t="s">
        <v>1822</v>
      </c>
      <c r="F461" s="21" t="s">
        <v>11775</v>
      </c>
      <c r="G461" s="21" t="s">
        <v>11720</v>
      </c>
    </row>
    <row r="462" customFormat="false" ht="15" hidden="false" customHeight="false" outlineLevel="0" collapsed="false">
      <c r="B462" s="19" t="s">
        <v>12218</v>
      </c>
      <c r="C462" s="20" t="n">
        <f aca="false">ROUND(20.48/FX,2)</f>
        <v>2.84</v>
      </c>
      <c r="D462" s="21" t="s">
        <v>12084</v>
      </c>
      <c r="E462" s="21" t="s">
        <v>12219</v>
      </c>
      <c r="F462" s="21" t="s">
        <v>11775</v>
      </c>
      <c r="G462" s="21" t="s">
        <v>11720</v>
      </c>
    </row>
    <row r="463" customFormat="false" ht="15" hidden="false" customHeight="false" outlineLevel="0" collapsed="false">
      <c r="B463" s="19" t="s">
        <v>12220</v>
      </c>
      <c r="C463" s="20" t="n">
        <f aca="false">ROUND(2.11/FX,2)</f>
        <v>0.29</v>
      </c>
      <c r="D463" s="21" t="s">
        <v>12084</v>
      </c>
      <c r="E463" s="21" t="s">
        <v>2751</v>
      </c>
      <c r="F463" s="21" t="s">
        <v>11775</v>
      </c>
      <c r="G463" s="21" t="s">
        <v>11720</v>
      </c>
    </row>
    <row r="464" customFormat="false" ht="15" hidden="false" customHeight="false" outlineLevel="0" collapsed="false">
      <c r="B464" s="19" t="s">
        <v>12221</v>
      </c>
      <c r="C464" s="20" t="n">
        <f aca="false">ROUND(2.15/FX,2)</f>
        <v>0.3</v>
      </c>
      <c r="D464" s="21" t="s">
        <v>12084</v>
      </c>
      <c r="E464" s="21" t="s">
        <v>2761</v>
      </c>
      <c r="F464" s="21" t="s">
        <v>11775</v>
      </c>
      <c r="G464" s="21" t="s">
        <v>11720</v>
      </c>
    </row>
    <row r="465" customFormat="false" ht="15" hidden="false" customHeight="false" outlineLevel="0" collapsed="false">
      <c r="B465" s="19" t="s">
        <v>12222</v>
      </c>
      <c r="C465" s="20" t="n">
        <f aca="false">ROUND(2.2/FX,2)</f>
        <v>0.31</v>
      </c>
      <c r="D465" s="21" t="s">
        <v>12084</v>
      </c>
      <c r="E465" s="21" t="s">
        <v>12223</v>
      </c>
      <c r="F465" s="21" t="s">
        <v>11775</v>
      </c>
      <c r="G465" s="21" t="s">
        <v>11720</v>
      </c>
    </row>
    <row r="466" customFormat="false" ht="15" hidden="false" customHeight="false" outlineLevel="0" collapsed="false">
      <c r="B466" s="19" t="s">
        <v>12224</v>
      </c>
      <c r="C466" s="20" t="n">
        <f aca="false">ROUND(2/FX,2)</f>
        <v>0.28</v>
      </c>
      <c r="D466" s="21" t="s">
        <v>12084</v>
      </c>
      <c r="E466" s="21" t="s">
        <v>2801</v>
      </c>
      <c r="F466" s="21" t="s">
        <v>11775</v>
      </c>
      <c r="G466" s="21" t="s">
        <v>11720</v>
      </c>
    </row>
    <row r="467" customFormat="false" ht="15" hidden="false" customHeight="false" outlineLevel="0" collapsed="false">
      <c r="B467" s="19" t="s">
        <v>12225</v>
      </c>
      <c r="C467" s="20" t="n">
        <f aca="false">ROUND(2.36/FX,2)</f>
        <v>0.33</v>
      </c>
      <c r="D467" s="21" t="s">
        <v>12084</v>
      </c>
      <c r="E467" s="21" t="s">
        <v>12101</v>
      </c>
      <c r="F467" s="21" t="s">
        <v>11775</v>
      </c>
      <c r="G467" s="21" t="s">
        <v>11720</v>
      </c>
    </row>
    <row r="468" customFormat="false" ht="15" hidden="false" customHeight="false" outlineLevel="0" collapsed="false">
      <c r="B468" s="19" t="s">
        <v>12226</v>
      </c>
      <c r="C468" s="20" t="n">
        <f aca="false">ROUND(2.44/FX,2)</f>
        <v>0.34</v>
      </c>
      <c r="D468" s="21" t="s">
        <v>12084</v>
      </c>
      <c r="E468" s="21" t="s">
        <v>2851</v>
      </c>
      <c r="F468" s="21" t="s">
        <v>11775</v>
      </c>
      <c r="G468" s="21" t="s">
        <v>11720</v>
      </c>
    </row>
    <row r="469" customFormat="false" ht="15" hidden="false" customHeight="false" outlineLevel="0" collapsed="false">
      <c r="B469" s="19" t="s">
        <v>12227</v>
      </c>
      <c r="C469" s="20" t="n">
        <f aca="false">ROUND(24.38/FX,2)</f>
        <v>3.39</v>
      </c>
      <c r="D469" s="21" t="s">
        <v>12084</v>
      </c>
      <c r="E469" s="21" t="s">
        <v>1881</v>
      </c>
      <c r="F469" s="21" t="s">
        <v>11775</v>
      </c>
      <c r="G469" s="21" t="s">
        <v>11720</v>
      </c>
    </row>
    <row r="470" customFormat="false" ht="15" hidden="false" customHeight="false" outlineLevel="0" collapsed="false">
      <c r="B470" s="19" t="s">
        <v>12228</v>
      </c>
      <c r="C470" s="20" t="n">
        <f aca="false">ROUND(25.19/FX,2)</f>
        <v>3.5</v>
      </c>
      <c r="D470" s="21" t="s">
        <v>12084</v>
      </c>
      <c r="E470" s="21" t="s">
        <v>12229</v>
      </c>
      <c r="F470" s="21" t="s">
        <v>11775</v>
      </c>
      <c r="G470" s="21" t="s">
        <v>11720</v>
      </c>
    </row>
    <row r="471" customFormat="false" ht="15" hidden="false" customHeight="false" outlineLevel="0" collapsed="false">
      <c r="B471" s="19" t="s">
        <v>12230</v>
      </c>
      <c r="C471" s="20" t="n">
        <f aca="false">ROUND(2.6/FX,2)</f>
        <v>0.36</v>
      </c>
      <c r="D471" s="21" t="s">
        <v>12084</v>
      </c>
      <c r="E471" s="21" t="s">
        <v>2901</v>
      </c>
      <c r="F471" s="21" t="s">
        <v>11775</v>
      </c>
      <c r="G471" s="21" t="s">
        <v>11720</v>
      </c>
    </row>
    <row r="472" customFormat="false" ht="15" hidden="false" customHeight="false" outlineLevel="0" collapsed="false">
      <c r="B472" s="19" t="s">
        <v>12231</v>
      </c>
      <c r="C472" s="20" t="n">
        <f aca="false">ROUND(2.68/FX,2)</f>
        <v>0.37</v>
      </c>
      <c r="D472" s="21" t="s">
        <v>12084</v>
      </c>
      <c r="E472" s="21" t="s">
        <v>3881</v>
      </c>
      <c r="F472" s="21" t="s">
        <v>11775</v>
      </c>
      <c r="G472" s="21" t="s">
        <v>11720</v>
      </c>
    </row>
    <row r="473" customFormat="false" ht="15" hidden="false" customHeight="false" outlineLevel="0" collapsed="false">
      <c r="B473" s="19" t="s">
        <v>12232</v>
      </c>
      <c r="C473" s="20" t="n">
        <f aca="false">ROUND(2.93/FX,2)</f>
        <v>0.41</v>
      </c>
      <c r="D473" s="21" t="s">
        <v>12084</v>
      </c>
      <c r="E473" s="21" t="s">
        <v>938</v>
      </c>
      <c r="F473" s="21" t="s">
        <v>11775</v>
      </c>
      <c r="G473" s="21" t="s">
        <v>11720</v>
      </c>
    </row>
    <row r="474" customFormat="false" ht="15" hidden="false" customHeight="false" outlineLevel="0" collapsed="false">
      <c r="B474" s="19" t="s">
        <v>12233</v>
      </c>
      <c r="C474" s="20" t="n">
        <f aca="false">ROUND(2.72/FX,2)</f>
        <v>0.38</v>
      </c>
      <c r="D474" s="21" t="s">
        <v>12084</v>
      </c>
      <c r="E474" s="21" t="s">
        <v>993</v>
      </c>
      <c r="F474" s="21" t="s">
        <v>11775</v>
      </c>
      <c r="G474" s="21" t="s">
        <v>11720</v>
      </c>
    </row>
    <row r="475" customFormat="false" ht="15" hidden="false" customHeight="false" outlineLevel="0" collapsed="false">
      <c r="B475" s="19" t="s">
        <v>12234</v>
      </c>
      <c r="C475" s="20" t="n">
        <f aca="false">ROUND(3.25/FX,2)</f>
        <v>0.45</v>
      </c>
      <c r="D475" s="21" t="s">
        <v>12084</v>
      </c>
      <c r="E475" s="21" t="s">
        <v>1048</v>
      </c>
      <c r="F475" s="21" t="s">
        <v>11775</v>
      </c>
      <c r="G475" s="21" t="s">
        <v>11720</v>
      </c>
    </row>
    <row r="476" customFormat="false" ht="15" hidden="false" customHeight="false" outlineLevel="0" collapsed="false">
      <c r="B476" s="19" t="s">
        <v>12235</v>
      </c>
      <c r="C476" s="20" t="n">
        <f aca="false">ROUND(28.6/FX,2)</f>
        <v>3.97</v>
      </c>
      <c r="D476" s="21" t="s">
        <v>12084</v>
      </c>
      <c r="E476" s="21" t="s">
        <v>1924</v>
      </c>
      <c r="F476" s="21" t="s">
        <v>11775</v>
      </c>
      <c r="G476" s="21" t="s">
        <v>11720</v>
      </c>
    </row>
    <row r="477" customFormat="false" ht="15" hidden="false" customHeight="false" outlineLevel="0" collapsed="false">
      <c r="B477" s="19" t="s">
        <v>12236</v>
      </c>
      <c r="C477" s="20" t="n">
        <f aca="false">ROUND(28.75/FX,2)</f>
        <v>3.99</v>
      </c>
      <c r="D477" s="21" t="s">
        <v>12084</v>
      </c>
      <c r="E477" s="21" t="s">
        <v>12237</v>
      </c>
      <c r="F477" s="21" t="s">
        <v>11775</v>
      </c>
      <c r="G477" s="21" t="s">
        <v>11720</v>
      </c>
    </row>
    <row r="478" customFormat="false" ht="15" hidden="false" customHeight="false" outlineLevel="0" collapsed="false">
      <c r="B478" s="19" t="s">
        <v>12238</v>
      </c>
      <c r="C478" s="20" t="n">
        <f aca="false">ROUND(3.28/FX,2)</f>
        <v>0.46</v>
      </c>
      <c r="D478" s="21" t="s">
        <v>12084</v>
      </c>
      <c r="E478" s="21" t="s">
        <v>1059</v>
      </c>
      <c r="F478" s="21" t="s">
        <v>11775</v>
      </c>
      <c r="G478" s="21" t="s">
        <v>11720</v>
      </c>
    </row>
    <row r="479" customFormat="false" ht="15" hidden="false" customHeight="false" outlineLevel="0" collapsed="false">
      <c r="B479" s="19" t="s">
        <v>12239</v>
      </c>
      <c r="C479" s="20" t="n">
        <f aca="false">ROUND(3.41/FX,2)</f>
        <v>0.47</v>
      </c>
      <c r="D479" s="21" t="s">
        <v>12084</v>
      </c>
      <c r="E479" s="21" t="s">
        <v>1103</v>
      </c>
      <c r="F479" s="21" t="s">
        <v>11775</v>
      </c>
      <c r="G479" s="21" t="s">
        <v>11720</v>
      </c>
    </row>
    <row r="480" customFormat="false" ht="15" hidden="false" customHeight="false" outlineLevel="0" collapsed="false">
      <c r="B480" s="19" t="s">
        <v>12240</v>
      </c>
      <c r="C480" s="20" t="n">
        <f aca="false">ROUND(3.58/FX,2)</f>
        <v>0.5</v>
      </c>
      <c r="D480" s="21" t="s">
        <v>12084</v>
      </c>
      <c r="E480" s="21" t="s">
        <v>1158</v>
      </c>
      <c r="F480" s="21" t="s">
        <v>11775</v>
      </c>
      <c r="G480" s="21" t="s">
        <v>11720</v>
      </c>
    </row>
    <row r="481" customFormat="false" ht="15" hidden="false" customHeight="false" outlineLevel="0" collapsed="false">
      <c r="B481" s="19" t="s">
        <v>12241</v>
      </c>
      <c r="C481" s="20" t="n">
        <f aca="false">ROUND(3.74/FX,2)</f>
        <v>0.52</v>
      </c>
      <c r="D481" s="21" t="s">
        <v>12084</v>
      </c>
      <c r="E481" s="21" t="s">
        <v>1213</v>
      </c>
      <c r="F481" s="21" t="s">
        <v>11775</v>
      </c>
      <c r="G481" s="21" t="s">
        <v>11720</v>
      </c>
    </row>
    <row r="482" customFormat="false" ht="15" hidden="false" customHeight="false" outlineLevel="0" collapsed="false">
      <c r="B482" s="19" t="s">
        <v>12242</v>
      </c>
      <c r="C482" s="20" t="n">
        <f aca="false">ROUND(3.9/FX,2)</f>
        <v>0.54</v>
      </c>
      <c r="D482" s="21" t="s">
        <v>12084</v>
      </c>
      <c r="E482" s="21" t="s">
        <v>1268</v>
      </c>
      <c r="F482" s="21" t="s">
        <v>11775</v>
      </c>
      <c r="G482" s="21" t="s">
        <v>11720</v>
      </c>
    </row>
    <row r="483" customFormat="false" ht="15" hidden="false" customHeight="false" outlineLevel="0" collapsed="false">
      <c r="B483" s="19" t="s">
        <v>12243</v>
      </c>
      <c r="C483" s="20" t="n">
        <f aca="false">ROUND(3.98/FX,2)</f>
        <v>0.55</v>
      </c>
      <c r="D483" s="21" t="s">
        <v>12084</v>
      </c>
      <c r="E483" s="21" t="s">
        <v>6278</v>
      </c>
      <c r="F483" s="21" t="s">
        <v>11775</v>
      </c>
      <c r="G483" s="21" t="s">
        <v>11720</v>
      </c>
    </row>
    <row r="484" customFormat="false" ht="15" hidden="false" customHeight="false" outlineLevel="0" collapsed="false">
      <c r="B484" s="19" t="s">
        <v>12244</v>
      </c>
      <c r="C484" s="20" t="n">
        <f aca="false">ROUND(4.06/FX,2)</f>
        <v>0.56</v>
      </c>
      <c r="D484" s="21" t="s">
        <v>12084</v>
      </c>
      <c r="E484" s="21" t="s">
        <v>1323</v>
      </c>
      <c r="F484" s="21" t="s">
        <v>11775</v>
      </c>
      <c r="G484" s="21" t="s">
        <v>11720</v>
      </c>
    </row>
    <row r="485" customFormat="false" ht="15" hidden="false" customHeight="false" outlineLevel="0" collapsed="false">
      <c r="B485" s="19" t="s">
        <v>12245</v>
      </c>
      <c r="C485" s="20" t="n">
        <f aca="false">ROUND(4.23/FX,2)</f>
        <v>0.59</v>
      </c>
      <c r="D485" s="21" t="s">
        <v>12084</v>
      </c>
      <c r="E485" s="21" t="s">
        <v>1378</v>
      </c>
      <c r="F485" s="21" t="s">
        <v>11775</v>
      </c>
      <c r="G485" s="21" t="s">
        <v>11720</v>
      </c>
    </row>
    <row r="486" customFormat="false" ht="15" hidden="false" customHeight="false" outlineLevel="0" collapsed="false">
      <c r="B486" s="19" t="s">
        <v>12246</v>
      </c>
      <c r="C486" s="20" t="n">
        <f aca="false">ROUND(4.31/FX,2)</f>
        <v>0.6</v>
      </c>
      <c r="D486" s="21" t="s">
        <v>12084</v>
      </c>
      <c r="E486" s="21" t="s">
        <v>4130</v>
      </c>
      <c r="F486" s="21" t="s">
        <v>11775</v>
      </c>
      <c r="G486" s="21" t="s">
        <v>11720</v>
      </c>
    </row>
    <row r="487" customFormat="false" ht="15" hidden="false" customHeight="false" outlineLevel="0" collapsed="false">
      <c r="B487" s="19" t="s">
        <v>12247</v>
      </c>
      <c r="C487" s="20" t="n">
        <f aca="false">ROUND(4.39/FX,2)</f>
        <v>0.61</v>
      </c>
      <c r="D487" s="21" t="s">
        <v>12084</v>
      </c>
      <c r="E487" s="21" t="s">
        <v>1433</v>
      </c>
      <c r="F487" s="21" t="s">
        <v>11775</v>
      </c>
      <c r="G487" s="21" t="s">
        <v>11720</v>
      </c>
    </row>
    <row r="488" customFormat="false" ht="15" hidden="false" customHeight="false" outlineLevel="0" collapsed="false">
      <c r="B488" s="19" t="s">
        <v>12248</v>
      </c>
      <c r="C488" s="20" t="n">
        <f aca="false">ROUND(4.08/FX,2)</f>
        <v>0.57</v>
      </c>
      <c r="D488" s="21" t="s">
        <v>12084</v>
      </c>
      <c r="E488" s="21" t="s">
        <v>4197</v>
      </c>
      <c r="F488" s="21" t="s">
        <v>11775</v>
      </c>
      <c r="G488" s="21" t="s">
        <v>11720</v>
      </c>
    </row>
    <row r="489" customFormat="false" ht="15" hidden="false" customHeight="false" outlineLevel="0" collapsed="false">
      <c r="B489" s="19" t="s">
        <v>12249</v>
      </c>
      <c r="C489" s="20" t="n">
        <f aca="false">ROUND(4.71/FX,2)</f>
        <v>0.65</v>
      </c>
      <c r="D489" s="21" t="s">
        <v>12084</v>
      </c>
      <c r="E489" s="21" t="s">
        <v>1495</v>
      </c>
      <c r="F489" s="21" t="s">
        <v>11775</v>
      </c>
      <c r="G489" s="21" t="s">
        <v>11720</v>
      </c>
    </row>
    <row r="490" customFormat="false" ht="15" hidden="false" customHeight="false" outlineLevel="0" collapsed="false">
      <c r="B490" s="19" t="s">
        <v>12250</v>
      </c>
      <c r="C490" s="20" t="n">
        <f aca="false">ROUND(1.43/FX,2)</f>
        <v>0.2</v>
      </c>
      <c r="D490" s="21" t="s">
        <v>12084</v>
      </c>
      <c r="E490" s="21" t="s">
        <v>784</v>
      </c>
      <c r="F490" s="21" t="s">
        <v>11775</v>
      </c>
      <c r="G490" s="21" t="s">
        <v>11720</v>
      </c>
    </row>
    <row r="491" customFormat="false" ht="15" hidden="false" customHeight="false" outlineLevel="0" collapsed="false">
      <c r="B491" s="19" t="s">
        <v>12251</v>
      </c>
      <c r="C491" s="20" t="n">
        <f aca="false">ROUND(4.88/FX,2)</f>
        <v>0.68</v>
      </c>
      <c r="D491" s="21" t="s">
        <v>12084</v>
      </c>
      <c r="E491" s="21" t="s">
        <v>1520</v>
      </c>
      <c r="F491" s="21" t="s">
        <v>11775</v>
      </c>
      <c r="G491" s="21" t="s">
        <v>11720</v>
      </c>
    </row>
    <row r="492" customFormat="false" ht="15" hidden="false" customHeight="false" outlineLevel="0" collapsed="false">
      <c r="B492" s="19" t="s">
        <v>12252</v>
      </c>
      <c r="C492" s="20" t="n">
        <f aca="false">ROUND(5.04/FX,2)</f>
        <v>0.7</v>
      </c>
      <c r="D492" s="21" t="s">
        <v>12084</v>
      </c>
      <c r="E492" s="21" t="s">
        <v>1545</v>
      </c>
      <c r="F492" s="21" t="s">
        <v>11775</v>
      </c>
      <c r="G492" s="21" t="s">
        <v>11720</v>
      </c>
    </row>
    <row r="493" customFormat="false" ht="15" hidden="false" customHeight="false" outlineLevel="0" collapsed="false">
      <c r="B493" s="19" t="s">
        <v>12253</v>
      </c>
      <c r="C493" s="20" t="n">
        <f aca="false">ROUND(5.12/FX,2)</f>
        <v>0.71</v>
      </c>
      <c r="D493" s="21" t="s">
        <v>12084</v>
      </c>
      <c r="E493" s="21" t="s">
        <v>4292</v>
      </c>
      <c r="F493" s="21" t="s">
        <v>11775</v>
      </c>
      <c r="G493" s="21" t="s">
        <v>11720</v>
      </c>
    </row>
    <row r="494" customFormat="false" ht="15" hidden="false" customHeight="false" outlineLevel="0" collapsed="false">
      <c r="B494" s="19" t="s">
        <v>12254</v>
      </c>
      <c r="C494" s="20" t="n">
        <f aca="false">ROUND(5.2/FX,2)</f>
        <v>0.72</v>
      </c>
      <c r="D494" s="21" t="s">
        <v>12084</v>
      </c>
      <c r="E494" s="21" t="s">
        <v>1570</v>
      </c>
      <c r="F494" s="21" t="s">
        <v>11775</v>
      </c>
      <c r="G494" s="21" t="s">
        <v>11720</v>
      </c>
    </row>
    <row r="495" customFormat="false" ht="15" hidden="false" customHeight="false" outlineLevel="0" collapsed="false">
      <c r="B495" s="19" t="s">
        <v>12255</v>
      </c>
      <c r="C495" s="20" t="n">
        <f aca="false">ROUND(5.27/FX,2)</f>
        <v>0.73</v>
      </c>
      <c r="D495" s="21" t="s">
        <v>12084</v>
      </c>
      <c r="E495" s="21" t="s">
        <v>1580</v>
      </c>
      <c r="F495" s="21" t="s">
        <v>11775</v>
      </c>
      <c r="G495" s="21" t="s">
        <v>11720</v>
      </c>
    </row>
    <row r="496" customFormat="false" ht="15" hidden="false" customHeight="false" outlineLevel="0" collapsed="false">
      <c r="B496" s="19" t="s">
        <v>12256</v>
      </c>
      <c r="C496" s="20" t="n">
        <f aca="false">ROUND(5.32/FX,2)</f>
        <v>0.74</v>
      </c>
      <c r="D496" s="21" t="s">
        <v>12084</v>
      </c>
      <c r="E496" s="21" t="s">
        <v>4330</v>
      </c>
      <c r="F496" s="21" t="s">
        <v>11775</v>
      </c>
      <c r="G496" s="21" t="s">
        <v>11720</v>
      </c>
    </row>
    <row r="497" customFormat="false" ht="15" hidden="false" customHeight="false" outlineLevel="0" collapsed="false">
      <c r="B497" s="19" t="s">
        <v>12257</v>
      </c>
      <c r="C497" s="20" t="n">
        <f aca="false">ROUND(5.36/FX,2)</f>
        <v>0.74</v>
      </c>
      <c r="D497" s="21" t="s">
        <v>12084</v>
      </c>
      <c r="E497" s="21" t="s">
        <v>1595</v>
      </c>
      <c r="F497" s="21" t="s">
        <v>11775</v>
      </c>
      <c r="G497" s="21" t="s">
        <v>11720</v>
      </c>
    </row>
    <row r="498" customFormat="false" ht="15" hidden="false" customHeight="false" outlineLevel="0" collapsed="false">
      <c r="B498" s="19" t="s">
        <v>12258</v>
      </c>
      <c r="C498" s="20" t="n">
        <f aca="false">ROUND(5.44/FX,2)</f>
        <v>0.76</v>
      </c>
      <c r="D498" s="21" t="s">
        <v>12084</v>
      </c>
      <c r="E498" s="21" t="s">
        <v>4975</v>
      </c>
      <c r="F498" s="21" t="s">
        <v>11775</v>
      </c>
      <c r="G498" s="21" t="s">
        <v>11720</v>
      </c>
    </row>
    <row r="499" customFormat="false" ht="15" hidden="false" customHeight="false" outlineLevel="0" collapsed="false">
      <c r="B499" s="19" t="s">
        <v>12259</v>
      </c>
      <c r="C499" s="20" t="n">
        <f aca="false">ROUND(5.53/FX,2)</f>
        <v>0.77</v>
      </c>
      <c r="D499" s="21" t="s">
        <v>12084</v>
      </c>
      <c r="E499" s="21" t="s">
        <v>1615</v>
      </c>
      <c r="F499" s="21" t="s">
        <v>11775</v>
      </c>
      <c r="G499" s="21" t="s">
        <v>11720</v>
      </c>
    </row>
    <row r="500" customFormat="false" ht="15" hidden="false" customHeight="false" outlineLevel="0" collapsed="false">
      <c r="B500" s="19" t="s">
        <v>12260</v>
      </c>
      <c r="C500" s="20" t="n">
        <f aca="false">ROUND(5.69/FX,2)</f>
        <v>0.79</v>
      </c>
      <c r="D500" s="21" t="s">
        <v>12084</v>
      </c>
      <c r="E500" s="21" t="s">
        <v>1635</v>
      </c>
      <c r="F500" s="21" t="s">
        <v>11775</v>
      </c>
      <c r="G500" s="21" t="s">
        <v>11720</v>
      </c>
    </row>
    <row r="501" customFormat="false" ht="15" hidden="false" customHeight="false" outlineLevel="0" collapsed="false">
      <c r="B501" s="19" t="s">
        <v>12261</v>
      </c>
      <c r="C501" s="20" t="n">
        <f aca="false">ROUND(5.85/FX,2)</f>
        <v>0.81</v>
      </c>
      <c r="D501" s="21" t="s">
        <v>12084</v>
      </c>
      <c r="E501" s="21" t="s">
        <v>1655</v>
      </c>
      <c r="F501" s="21" t="s">
        <v>11775</v>
      </c>
      <c r="G501" s="21" t="s">
        <v>11720</v>
      </c>
    </row>
    <row r="502" customFormat="false" ht="15" hidden="false" customHeight="false" outlineLevel="0" collapsed="false">
      <c r="B502" s="19" t="s">
        <v>12262</v>
      </c>
      <c r="C502" s="20" t="n">
        <f aca="false">ROUND(6.02/FX,2)</f>
        <v>0.84</v>
      </c>
      <c r="D502" s="21" t="s">
        <v>12084</v>
      </c>
      <c r="E502" s="21" t="s">
        <v>1670</v>
      </c>
      <c r="F502" s="21" t="s">
        <v>11775</v>
      </c>
      <c r="G502" s="21" t="s">
        <v>11720</v>
      </c>
    </row>
    <row r="503" customFormat="false" ht="15" hidden="false" customHeight="false" outlineLevel="0" collapsed="false">
      <c r="B503" s="19" t="s">
        <v>12263</v>
      </c>
      <c r="C503" s="20" t="n">
        <f aca="false">ROUND(6.18/FX,2)</f>
        <v>0.86</v>
      </c>
      <c r="D503" s="21" t="s">
        <v>12084</v>
      </c>
      <c r="E503" s="21" t="s">
        <v>1685</v>
      </c>
      <c r="F503" s="21" t="s">
        <v>11775</v>
      </c>
      <c r="G503" s="21" t="s">
        <v>11720</v>
      </c>
    </row>
    <row r="504" customFormat="false" ht="15" hidden="false" customHeight="false" outlineLevel="0" collapsed="false">
      <c r="B504" s="19" t="s">
        <v>12264</v>
      </c>
      <c r="C504" s="20" t="n">
        <f aca="false">ROUND(5.51/FX,2)</f>
        <v>0.77</v>
      </c>
      <c r="D504" s="21" t="s">
        <v>12084</v>
      </c>
      <c r="E504" s="21" t="s">
        <v>5058</v>
      </c>
      <c r="F504" s="21" t="s">
        <v>11775</v>
      </c>
      <c r="G504" s="21" t="s">
        <v>11720</v>
      </c>
    </row>
    <row r="505" customFormat="false" ht="15" hidden="false" customHeight="false" outlineLevel="0" collapsed="false">
      <c r="B505" s="19" t="s">
        <v>12265</v>
      </c>
      <c r="C505" s="20" t="n">
        <f aca="false">ROUND(6.34/FX,2)</f>
        <v>0.88</v>
      </c>
      <c r="D505" s="21" t="s">
        <v>12084</v>
      </c>
      <c r="E505" s="21" t="s">
        <v>1982</v>
      </c>
      <c r="F505" s="21" t="s">
        <v>11775</v>
      </c>
      <c r="G505" s="21" t="s">
        <v>11720</v>
      </c>
    </row>
    <row r="506" customFormat="false" ht="15" hidden="false" customHeight="false" outlineLevel="0" collapsed="false">
      <c r="B506" s="19" t="s">
        <v>12266</v>
      </c>
      <c r="C506" s="20" t="n">
        <f aca="false">ROUND(6.5/FX,2)</f>
        <v>0.9</v>
      </c>
      <c r="D506" s="21" t="s">
        <v>12084</v>
      </c>
      <c r="E506" s="21" t="s">
        <v>2002</v>
      </c>
      <c r="F506" s="21" t="s">
        <v>11775</v>
      </c>
      <c r="G506" s="21" t="s">
        <v>11720</v>
      </c>
    </row>
    <row r="507" customFormat="false" ht="15" hidden="false" customHeight="false" outlineLevel="0" collapsed="false">
      <c r="B507" s="19" t="s">
        <v>12267</v>
      </c>
      <c r="C507" s="20" t="n">
        <f aca="false">ROUND(6.83/FX,2)</f>
        <v>0.95</v>
      </c>
      <c r="D507" s="21" t="s">
        <v>12084</v>
      </c>
      <c r="E507" s="21" t="s">
        <v>2022</v>
      </c>
      <c r="F507" s="21" t="s">
        <v>11775</v>
      </c>
      <c r="G507" s="21" t="s">
        <v>11720</v>
      </c>
    </row>
    <row r="508" customFormat="false" ht="15" hidden="false" customHeight="false" outlineLevel="0" collapsed="false">
      <c r="B508" s="19" t="s">
        <v>12268</v>
      </c>
      <c r="C508" s="20" t="n">
        <f aca="false">ROUND(6.91/FX,2)</f>
        <v>0.96</v>
      </c>
      <c r="D508" s="21" t="s">
        <v>12084</v>
      </c>
      <c r="E508" s="21" t="s">
        <v>5153</v>
      </c>
      <c r="F508" s="21" t="s">
        <v>11775</v>
      </c>
      <c r="G508" s="21" t="s">
        <v>11720</v>
      </c>
    </row>
    <row r="509" customFormat="false" ht="15" hidden="false" customHeight="false" outlineLevel="0" collapsed="false">
      <c r="B509" s="19" t="s">
        <v>12269</v>
      </c>
      <c r="C509" s="20" t="n">
        <f aca="false">ROUND(7.15/FX,2)</f>
        <v>0.99</v>
      </c>
      <c r="D509" s="21" t="s">
        <v>12084</v>
      </c>
      <c r="E509" s="21" t="s">
        <v>2052</v>
      </c>
      <c r="F509" s="21" t="s">
        <v>11775</v>
      </c>
      <c r="G509" s="21" t="s">
        <v>11720</v>
      </c>
    </row>
    <row r="510" customFormat="false" ht="15" hidden="false" customHeight="false" outlineLevel="0" collapsed="false">
      <c r="B510" s="19" t="s">
        <v>12270</v>
      </c>
      <c r="C510" s="20" t="n">
        <f aca="false">ROUND(7.23/FX,2)</f>
        <v>1</v>
      </c>
      <c r="D510" s="21" t="s">
        <v>12084</v>
      </c>
      <c r="E510" s="21" t="s">
        <v>12271</v>
      </c>
      <c r="F510" s="21" t="s">
        <v>11775</v>
      </c>
      <c r="G510" s="21" t="s">
        <v>11720</v>
      </c>
    </row>
    <row r="511" customFormat="false" ht="15" hidden="false" customHeight="false" outlineLevel="0" collapsed="false">
      <c r="B511" s="19" t="s">
        <v>12272</v>
      </c>
      <c r="C511" s="20" t="n">
        <f aca="false">ROUND(7.31/FX,2)</f>
        <v>1.02</v>
      </c>
      <c r="D511" s="21" t="s">
        <v>12084</v>
      </c>
      <c r="E511" s="21" t="s">
        <v>2067</v>
      </c>
      <c r="F511" s="21" t="s">
        <v>11775</v>
      </c>
      <c r="G511" s="21" t="s">
        <v>11720</v>
      </c>
    </row>
    <row r="512" customFormat="false" ht="15" hidden="false" customHeight="false" outlineLevel="0" collapsed="false">
      <c r="B512" s="19" t="s">
        <v>12273</v>
      </c>
      <c r="C512" s="20" t="n">
        <f aca="false">ROUND(7.35/FX,2)</f>
        <v>1.02</v>
      </c>
      <c r="D512" s="21" t="s">
        <v>12084</v>
      </c>
      <c r="E512" s="21" t="s">
        <v>12274</v>
      </c>
      <c r="F512" s="21" t="s">
        <v>11775</v>
      </c>
      <c r="G512" s="21" t="s">
        <v>11720</v>
      </c>
    </row>
    <row r="513" customFormat="false" ht="15" hidden="false" customHeight="false" outlineLevel="0" collapsed="false">
      <c r="B513" s="19" t="s">
        <v>12275</v>
      </c>
      <c r="C513" s="20" t="n">
        <f aca="false">ROUND(7.48/FX,2)</f>
        <v>1.04</v>
      </c>
      <c r="D513" s="21" t="s">
        <v>12084</v>
      </c>
      <c r="E513" s="21" t="s">
        <v>2082</v>
      </c>
      <c r="F513" s="21" t="s">
        <v>11775</v>
      </c>
      <c r="G513" s="21" t="s">
        <v>11720</v>
      </c>
    </row>
    <row r="514" customFormat="false" ht="15" hidden="false" customHeight="false" outlineLevel="0" collapsed="false">
      <c r="B514" s="19" t="s">
        <v>12276</v>
      </c>
      <c r="C514" s="20" t="n">
        <f aca="false">ROUND(7.64/FX,2)</f>
        <v>1.06</v>
      </c>
      <c r="D514" s="21" t="s">
        <v>12084</v>
      </c>
      <c r="E514" s="21" t="s">
        <v>2097</v>
      </c>
      <c r="F514" s="21" t="s">
        <v>11775</v>
      </c>
      <c r="G514" s="21" t="s">
        <v>11720</v>
      </c>
    </row>
    <row r="515" customFormat="false" ht="15" hidden="false" customHeight="false" outlineLevel="0" collapsed="false">
      <c r="B515" s="19" t="s">
        <v>12277</v>
      </c>
      <c r="C515" s="20" t="n">
        <f aca="false">ROUND(7.96/FX,2)</f>
        <v>1.11</v>
      </c>
      <c r="D515" s="21" t="s">
        <v>12084</v>
      </c>
      <c r="E515" s="21" t="s">
        <v>2127</v>
      </c>
      <c r="F515" s="21" t="s">
        <v>11775</v>
      </c>
      <c r="G515" s="21" t="s">
        <v>11720</v>
      </c>
    </row>
    <row r="516" customFormat="false" ht="15" hidden="false" customHeight="false" outlineLevel="0" collapsed="false">
      <c r="B516" s="19" t="s">
        <v>12278</v>
      </c>
      <c r="C516" s="20" t="n">
        <f aca="false">ROUND(8.13/FX,2)</f>
        <v>1.13</v>
      </c>
      <c r="D516" s="21" t="s">
        <v>12084</v>
      </c>
      <c r="E516" s="21" t="s">
        <v>2142</v>
      </c>
      <c r="F516" s="21" t="s">
        <v>11775</v>
      </c>
      <c r="G516" s="21" t="s">
        <v>11720</v>
      </c>
    </row>
    <row r="517" customFormat="false" ht="15" hidden="false" customHeight="false" outlineLevel="0" collapsed="false">
      <c r="B517" s="19" t="s">
        <v>12279</v>
      </c>
      <c r="C517" s="20" t="n">
        <f aca="false">ROUND(8.35/FX,2)</f>
        <v>1.16</v>
      </c>
      <c r="D517" s="21" t="s">
        <v>12084</v>
      </c>
      <c r="E517" s="21" t="s">
        <v>12280</v>
      </c>
      <c r="F517" s="21" t="s">
        <v>11775</v>
      </c>
      <c r="G517" s="21" t="s">
        <v>11720</v>
      </c>
    </row>
    <row r="518" customFormat="false" ht="15" hidden="false" customHeight="false" outlineLevel="0" collapsed="false">
      <c r="B518" s="19" t="s">
        <v>12281</v>
      </c>
      <c r="C518" s="20" t="n">
        <f aca="false">ROUND(8.45/FX,2)</f>
        <v>1.17</v>
      </c>
      <c r="D518" s="21" t="s">
        <v>12084</v>
      </c>
      <c r="E518" s="21" t="s">
        <v>2162</v>
      </c>
      <c r="F518" s="21" t="s">
        <v>11775</v>
      </c>
      <c r="G518" s="21" t="s">
        <v>11720</v>
      </c>
    </row>
    <row r="519" customFormat="false" ht="15" hidden="false" customHeight="false" outlineLevel="0" collapsed="false">
      <c r="B519" s="19" t="s">
        <v>12282</v>
      </c>
      <c r="C519" s="20" t="n">
        <f aca="false">ROUND(8.61/FX,2)</f>
        <v>1.2</v>
      </c>
      <c r="D519" s="21" t="s">
        <v>12084</v>
      </c>
      <c r="E519" s="21" t="s">
        <v>2177</v>
      </c>
      <c r="F519" s="21" t="s">
        <v>11775</v>
      </c>
      <c r="G519" s="21" t="s">
        <v>11720</v>
      </c>
    </row>
    <row r="520" customFormat="false" ht="15" hidden="false" customHeight="false" outlineLevel="0" collapsed="false">
      <c r="B520" s="19" t="s">
        <v>12283</v>
      </c>
      <c r="C520" s="20" t="n">
        <f aca="false">ROUND(8.78/FX,2)</f>
        <v>1.22</v>
      </c>
      <c r="D520" s="21" t="s">
        <v>12084</v>
      </c>
      <c r="E520" s="21" t="s">
        <v>2182</v>
      </c>
      <c r="F520" s="21" t="s">
        <v>11775</v>
      </c>
      <c r="G520" s="21" t="s">
        <v>11720</v>
      </c>
    </row>
    <row r="521" customFormat="false" ht="15" hidden="false" customHeight="false" outlineLevel="0" collapsed="false">
      <c r="B521" s="19" t="s">
        <v>12284</v>
      </c>
      <c r="C521" s="20" t="n">
        <f aca="false">ROUND(8.94/FX,2)</f>
        <v>1.24</v>
      </c>
      <c r="D521" s="21" t="s">
        <v>12084</v>
      </c>
      <c r="E521" s="21" t="s">
        <v>2187</v>
      </c>
      <c r="F521" s="21" t="s">
        <v>11775</v>
      </c>
      <c r="G521" s="21" t="s">
        <v>11720</v>
      </c>
    </row>
    <row r="522" customFormat="false" ht="15" hidden="false" customHeight="false" outlineLevel="0" collapsed="false">
      <c r="B522" s="19" t="s">
        <v>12285</v>
      </c>
      <c r="C522" s="20" t="n">
        <f aca="false">ROUND(9.27/FX,2)</f>
        <v>1.29</v>
      </c>
      <c r="D522" s="21" t="s">
        <v>12084</v>
      </c>
      <c r="E522" s="21" t="s">
        <v>2212</v>
      </c>
      <c r="F522" s="21" t="s">
        <v>11775</v>
      </c>
      <c r="G522" s="21" t="s">
        <v>11720</v>
      </c>
    </row>
    <row r="523" customFormat="false" ht="15" hidden="false" customHeight="false" outlineLevel="0" collapsed="false">
      <c r="B523" s="19" t="s">
        <v>12286</v>
      </c>
      <c r="C523" s="20" t="n">
        <f aca="false">ROUND(9.59/FX,2)</f>
        <v>1.33</v>
      </c>
      <c r="D523" s="21" t="s">
        <v>12084</v>
      </c>
      <c r="E523" s="21" t="s">
        <v>12287</v>
      </c>
      <c r="F523" s="21" t="s">
        <v>11775</v>
      </c>
      <c r="G523" s="21" t="s">
        <v>11720</v>
      </c>
    </row>
    <row r="524" customFormat="false" ht="15" hidden="false" customHeight="false" outlineLevel="0" collapsed="false">
      <c r="B524" s="19" t="s">
        <v>12288</v>
      </c>
      <c r="C524" s="20" t="n">
        <f aca="false">ROUND(9.75/FX,2)</f>
        <v>1.35</v>
      </c>
      <c r="D524" s="21" t="s">
        <v>12084</v>
      </c>
      <c r="E524" s="21" t="s">
        <v>2227</v>
      </c>
      <c r="F524" s="21" t="s">
        <v>11775</v>
      </c>
      <c r="G524" s="21" t="s">
        <v>11720</v>
      </c>
    </row>
    <row r="525" customFormat="false" ht="15" hidden="false" customHeight="false" outlineLevel="0" collapsed="false">
      <c r="B525" s="19" t="s">
        <v>12289</v>
      </c>
      <c r="C525" s="20" t="n">
        <f aca="false">ROUND(10.08/FX,2)</f>
        <v>1.4</v>
      </c>
      <c r="D525" s="21" t="s">
        <v>12084</v>
      </c>
      <c r="E525" s="21" t="s">
        <v>5448</v>
      </c>
      <c r="F525" s="21" t="s">
        <v>11775</v>
      </c>
      <c r="G525" s="21" t="s">
        <v>11720</v>
      </c>
    </row>
    <row r="526" customFormat="false" ht="15" hidden="false" customHeight="false" outlineLevel="0" collapsed="false">
      <c r="B526" s="19" t="s">
        <v>12290</v>
      </c>
      <c r="C526" s="20" t="n">
        <f aca="false">ROUND(10.4/FX,2)</f>
        <v>1.44</v>
      </c>
      <c r="D526" s="21" t="s">
        <v>12084</v>
      </c>
      <c r="E526" s="21" t="s">
        <v>2279</v>
      </c>
      <c r="F526" s="21" t="s">
        <v>11775</v>
      </c>
      <c r="G526" s="21" t="s">
        <v>11720</v>
      </c>
    </row>
    <row r="527" customFormat="false" ht="15" hidden="false" customHeight="false" outlineLevel="0" collapsed="false">
      <c r="B527" s="19" t="s">
        <v>12291</v>
      </c>
      <c r="C527" s="20" t="n">
        <f aca="false">ROUND(10.56/FX,2)</f>
        <v>1.47</v>
      </c>
      <c r="D527" s="21" t="s">
        <v>12084</v>
      </c>
      <c r="E527" s="21" t="s">
        <v>2297</v>
      </c>
      <c r="F527" s="21" t="s">
        <v>11775</v>
      </c>
      <c r="G527" s="21" t="s">
        <v>11720</v>
      </c>
    </row>
    <row r="528" customFormat="false" ht="15" hidden="false" customHeight="false" outlineLevel="0" collapsed="false">
      <c r="B528" s="19" t="s">
        <v>12292</v>
      </c>
      <c r="C528" s="20" t="n">
        <f aca="false">ROUND(1.53/FX,2)</f>
        <v>0.21</v>
      </c>
      <c r="D528" s="21" t="s">
        <v>12084</v>
      </c>
      <c r="E528" s="21" t="s">
        <v>2991</v>
      </c>
      <c r="F528" s="21" t="s">
        <v>11775</v>
      </c>
      <c r="G528" s="21" t="s">
        <v>11720</v>
      </c>
    </row>
    <row r="529" customFormat="false" ht="15" hidden="false" customHeight="false" outlineLevel="0" collapsed="false">
      <c r="B529" s="19" t="s">
        <v>12293</v>
      </c>
      <c r="C529" s="20" t="n">
        <f aca="false">ROUND(10.73/FX,2)</f>
        <v>1.49</v>
      </c>
      <c r="D529" s="21" t="s">
        <v>12084</v>
      </c>
      <c r="E529" s="21" t="s">
        <v>2309</v>
      </c>
      <c r="F529" s="21" t="s">
        <v>11775</v>
      </c>
      <c r="G529" s="21" t="s">
        <v>11720</v>
      </c>
    </row>
    <row r="530" customFormat="false" ht="15" hidden="false" customHeight="false" outlineLevel="0" collapsed="false">
      <c r="B530" s="19" t="s">
        <v>12294</v>
      </c>
      <c r="C530" s="20" t="n">
        <f aca="false">ROUND(11.38/FX,2)</f>
        <v>1.58</v>
      </c>
      <c r="D530" s="21" t="s">
        <v>12084</v>
      </c>
      <c r="E530" s="21" t="s">
        <v>2351</v>
      </c>
      <c r="F530" s="21" t="s">
        <v>11775</v>
      </c>
      <c r="G530" s="21" t="s">
        <v>11720</v>
      </c>
    </row>
    <row r="531" customFormat="false" ht="15" hidden="false" customHeight="false" outlineLevel="0" collapsed="false">
      <c r="B531" s="19" t="s">
        <v>12295</v>
      </c>
      <c r="C531" s="20" t="n">
        <f aca="false">ROUND(1.53/FX,2)</f>
        <v>0.21</v>
      </c>
      <c r="D531" s="21" t="s">
        <v>12084</v>
      </c>
      <c r="E531" s="21" t="s">
        <v>3021</v>
      </c>
      <c r="F531" s="21" t="s">
        <v>11775</v>
      </c>
      <c r="G531" s="21" t="s">
        <v>11720</v>
      </c>
    </row>
    <row r="532" customFormat="false" ht="15" hidden="false" customHeight="false" outlineLevel="0" collapsed="false">
      <c r="B532" s="19" t="s">
        <v>12296</v>
      </c>
      <c r="C532" s="20" t="n">
        <f aca="false">ROUND(12.03/FX,2)</f>
        <v>1.67</v>
      </c>
      <c r="D532" s="21" t="s">
        <v>12084</v>
      </c>
      <c r="E532" s="21" t="s">
        <v>2390</v>
      </c>
      <c r="F532" s="21" t="s">
        <v>11775</v>
      </c>
      <c r="G532" s="21" t="s">
        <v>11720</v>
      </c>
    </row>
    <row r="533" customFormat="false" ht="15" hidden="false" customHeight="false" outlineLevel="0" collapsed="false">
      <c r="B533" s="19" t="s">
        <v>12297</v>
      </c>
      <c r="C533" s="20" t="n">
        <f aca="false">ROUND(12.19/FX,2)</f>
        <v>1.69</v>
      </c>
      <c r="D533" s="21" t="s">
        <v>12084</v>
      </c>
      <c r="E533" s="21" t="s">
        <v>2400</v>
      </c>
      <c r="F533" s="21" t="s">
        <v>11775</v>
      </c>
      <c r="G533" s="21" t="s">
        <v>11720</v>
      </c>
    </row>
    <row r="534" customFormat="false" ht="15" hidden="false" customHeight="false" outlineLevel="0" collapsed="false">
      <c r="B534" s="19" t="s">
        <v>12298</v>
      </c>
      <c r="C534" s="20" t="n">
        <f aca="false">ROUND(1.63/FX,2)</f>
        <v>0.23</v>
      </c>
      <c r="D534" s="21" t="s">
        <v>12084</v>
      </c>
      <c r="E534" s="21" t="s">
        <v>3061</v>
      </c>
      <c r="F534" s="21" t="s">
        <v>11775</v>
      </c>
      <c r="G534" s="21" t="s">
        <v>11720</v>
      </c>
    </row>
    <row r="535" customFormat="false" ht="15" hidden="false" customHeight="false" outlineLevel="0" collapsed="false">
      <c r="B535" s="19" t="s">
        <v>12299</v>
      </c>
      <c r="C535" s="20" t="n">
        <f aca="false">ROUND(13/FX,2)</f>
        <v>1.81</v>
      </c>
      <c r="D535" s="21" t="s">
        <v>12084</v>
      </c>
      <c r="E535" s="21" t="s">
        <v>2440</v>
      </c>
      <c r="F535" s="21" t="s">
        <v>11775</v>
      </c>
      <c r="G535" s="21" t="s">
        <v>11720</v>
      </c>
    </row>
    <row r="536" customFormat="false" ht="15" hidden="false" customHeight="false" outlineLevel="0" collapsed="false">
      <c r="B536" s="19" t="s">
        <v>12300</v>
      </c>
      <c r="C536" s="20" t="n">
        <f aca="false">ROUND(1.95/FX,2)</f>
        <v>0.27</v>
      </c>
      <c r="D536" s="21" t="s">
        <v>12084</v>
      </c>
      <c r="E536" s="21" t="s">
        <v>11870</v>
      </c>
      <c r="F536" s="21" t="s">
        <v>11775</v>
      </c>
      <c r="G536" s="21" t="s">
        <v>11720</v>
      </c>
    </row>
    <row r="537" customFormat="false" ht="15" hidden="false" customHeight="false" outlineLevel="0" collapsed="false">
      <c r="B537" s="19" t="s">
        <v>12301</v>
      </c>
      <c r="C537" s="20" t="n">
        <f aca="false">ROUND(14.63/FX,2)</f>
        <v>2.03</v>
      </c>
      <c r="D537" s="21" t="s">
        <v>12084</v>
      </c>
      <c r="E537" s="21" t="s">
        <v>2500</v>
      </c>
      <c r="F537" s="21" t="s">
        <v>11775</v>
      </c>
      <c r="G537" s="21" t="s">
        <v>11720</v>
      </c>
    </row>
    <row r="538" customFormat="false" ht="15" hidden="false" customHeight="false" outlineLevel="0" collapsed="false">
      <c r="B538" s="19" t="s">
        <v>12302</v>
      </c>
      <c r="C538" s="20" t="n">
        <f aca="false">ROUND(1.3/FX,2)</f>
        <v>0.18</v>
      </c>
      <c r="D538" s="21" t="s">
        <v>12084</v>
      </c>
      <c r="E538" s="21" t="s">
        <v>3121</v>
      </c>
      <c r="F538" s="21" t="s">
        <v>11775</v>
      </c>
      <c r="G538" s="21" t="s">
        <v>11720</v>
      </c>
    </row>
    <row r="539" customFormat="false" ht="15" hidden="false" customHeight="false" outlineLevel="0" collapsed="false">
      <c r="B539" s="19" t="s">
        <v>12303</v>
      </c>
      <c r="C539" s="20" t="n">
        <f aca="false">ROUND(15.28/FX,2)</f>
        <v>2.12</v>
      </c>
      <c r="D539" s="21" t="s">
        <v>12084</v>
      </c>
      <c r="E539" s="21" t="s">
        <v>12304</v>
      </c>
      <c r="F539" s="21" t="s">
        <v>11775</v>
      </c>
      <c r="G539" s="21" t="s">
        <v>11720</v>
      </c>
    </row>
    <row r="540" customFormat="false" ht="15" hidden="false" customHeight="false" outlineLevel="0" collapsed="false">
      <c r="B540" s="19" t="s">
        <v>12305</v>
      </c>
      <c r="C540" s="20" t="n">
        <f aca="false">ROUND(1.63/FX,2)</f>
        <v>0.23</v>
      </c>
      <c r="D540" s="21" t="s">
        <v>12084</v>
      </c>
      <c r="E540" s="21" t="s">
        <v>12306</v>
      </c>
      <c r="F540" s="21" t="s">
        <v>11775</v>
      </c>
      <c r="G540" s="21" t="s">
        <v>11720</v>
      </c>
    </row>
    <row r="541" customFormat="false" ht="15" hidden="false" customHeight="false" outlineLevel="0" collapsed="false">
      <c r="B541" s="19" t="s">
        <v>12307</v>
      </c>
      <c r="C541" s="20" t="n">
        <f aca="false">ROUND(1.43/FX,2)</f>
        <v>0.2</v>
      </c>
      <c r="D541" s="21" t="s">
        <v>12084</v>
      </c>
      <c r="E541" s="21" t="s">
        <v>12308</v>
      </c>
      <c r="F541" s="21" t="s">
        <v>11775</v>
      </c>
      <c r="G541" s="21" t="s">
        <v>11720</v>
      </c>
    </row>
    <row r="542" customFormat="false" ht="15" hidden="false" customHeight="false" outlineLevel="0" collapsed="false">
      <c r="B542" s="19" t="s">
        <v>12309</v>
      </c>
      <c r="C542" s="20" t="n">
        <f aca="false">ROUND(7.02/FX,2)</f>
        <v>0.98</v>
      </c>
      <c r="D542" s="21" t="s">
        <v>12084</v>
      </c>
      <c r="E542" s="21" t="s">
        <v>1520</v>
      </c>
      <c r="F542" s="21" t="s">
        <v>11775</v>
      </c>
      <c r="G542" s="21" t="s">
        <v>11810</v>
      </c>
    </row>
    <row r="543" customFormat="false" ht="15" hidden="false" customHeight="false" outlineLevel="0" collapsed="false">
      <c r="B543" s="19" t="s">
        <v>12310</v>
      </c>
      <c r="C543" s="20" t="n">
        <f aca="false">ROUND(9.36/FX,2)</f>
        <v>1.3</v>
      </c>
      <c r="D543" s="21" t="s">
        <v>12084</v>
      </c>
      <c r="E543" s="21" t="s">
        <v>2002</v>
      </c>
      <c r="F543" s="21" t="s">
        <v>11775</v>
      </c>
      <c r="G543" s="21" t="s">
        <v>11810</v>
      </c>
    </row>
    <row r="544" customFormat="false" ht="15" hidden="false" customHeight="false" outlineLevel="0" collapsed="false">
      <c r="B544" s="19" t="s">
        <v>12311</v>
      </c>
      <c r="C544" s="20" t="n">
        <f aca="false">ROUND(1.63/FX,2)</f>
        <v>0.23</v>
      </c>
      <c r="D544" s="21" t="s">
        <v>12084</v>
      </c>
      <c r="E544" s="21" t="s">
        <v>2600</v>
      </c>
      <c r="F544" s="21" t="s">
        <v>11820</v>
      </c>
      <c r="G544" s="21" t="s">
        <v>11720</v>
      </c>
    </row>
    <row r="545" customFormat="false" ht="15" hidden="false" customHeight="false" outlineLevel="0" collapsed="false">
      <c r="B545" s="19" t="s">
        <v>12312</v>
      </c>
      <c r="C545" s="20" t="n">
        <f aca="false">ROUND(14.3/FX,2)</f>
        <v>1.99</v>
      </c>
      <c r="D545" s="21" t="s">
        <v>12084</v>
      </c>
      <c r="E545" s="21" t="s">
        <v>1733</v>
      </c>
      <c r="F545" s="21" t="s">
        <v>11820</v>
      </c>
      <c r="G545" s="21" t="s">
        <v>11720</v>
      </c>
    </row>
    <row r="546" customFormat="false" ht="15" hidden="false" customHeight="false" outlineLevel="0" collapsed="false">
      <c r="B546" s="19" t="s">
        <v>12313</v>
      </c>
      <c r="C546" s="20" t="n">
        <f aca="false">ROUND(16.9/FX,2)</f>
        <v>2.35</v>
      </c>
      <c r="D546" s="21" t="s">
        <v>12084</v>
      </c>
      <c r="E546" s="21" t="s">
        <v>1740</v>
      </c>
      <c r="F546" s="21" t="s">
        <v>11820</v>
      </c>
      <c r="G546" s="21" t="s">
        <v>11720</v>
      </c>
    </row>
    <row r="547" customFormat="false" ht="15" hidden="false" customHeight="false" outlineLevel="0" collapsed="false">
      <c r="B547" s="19" t="s">
        <v>12314</v>
      </c>
      <c r="C547" s="20" t="n">
        <f aca="false">ROUND(17.06/FX,2)</f>
        <v>2.37</v>
      </c>
      <c r="D547" s="21" t="s">
        <v>12084</v>
      </c>
      <c r="E547" s="21" t="s">
        <v>1746</v>
      </c>
      <c r="F547" s="21" t="s">
        <v>11820</v>
      </c>
      <c r="G547" s="21" t="s">
        <v>11720</v>
      </c>
    </row>
    <row r="548" customFormat="false" ht="15" hidden="false" customHeight="false" outlineLevel="0" collapsed="false">
      <c r="B548" s="19" t="s">
        <v>12315</v>
      </c>
      <c r="C548" s="20" t="n">
        <f aca="false">ROUND(17.88/FX,2)</f>
        <v>2.48</v>
      </c>
      <c r="D548" s="21" t="s">
        <v>12084</v>
      </c>
      <c r="E548" s="21" t="s">
        <v>1768</v>
      </c>
      <c r="F548" s="21" t="s">
        <v>11820</v>
      </c>
      <c r="G548" s="21" t="s">
        <v>11720</v>
      </c>
    </row>
    <row r="549" customFormat="false" ht="15" hidden="false" customHeight="false" outlineLevel="0" collapsed="false">
      <c r="B549" s="19" t="s">
        <v>12316</v>
      </c>
      <c r="C549" s="20" t="n">
        <f aca="false">ROUND(1.95/FX,2)</f>
        <v>0.27</v>
      </c>
      <c r="D549" s="21" t="s">
        <v>12084</v>
      </c>
      <c r="E549" s="21" t="s">
        <v>2701</v>
      </c>
      <c r="F549" s="21" t="s">
        <v>11820</v>
      </c>
      <c r="G549" s="21" t="s">
        <v>11720</v>
      </c>
    </row>
    <row r="550" customFormat="false" ht="15" hidden="false" customHeight="false" outlineLevel="0" collapsed="false">
      <c r="B550" s="19" t="s">
        <v>12317</v>
      </c>
      <c r="C550" s="20" t="n">
        <f aca="false">ROUND(19.5/FX,2)</f>
        <v>2.71</v>
      </c>
      <c r="D550" s="21" t="s">
        <v>12084</v>
      </c>
      <c r="E550" s="21" t="s">
        <v>3253</v>
      </c>
      <c r="F550" s="21" t="s">
        <v>11820</v>
      </c>
      <c r="G550" s="21" t="s">
        <v>11720</v>
      </c>
    </row>
    <row r="551" customFormat="false" ht="15" hidden="false" customHeight="false" outlineLevel="0" collapsed="false">
      <c r="B551" s="19" t="s">
        <v>12318</v>
      </c>
      <c r="C551" s="20" t="n">
        <f aca="false">ROUND(17.3/FX,2)</f>
        <v>2.4</v>
      </c>
      <c r="D551" s="21" t="s">
        <v>12084</v>
      </c>
      <c r="E551" s="21" t="s">
        <v>1802</v>
      </c>
      <c r="F551" s="21" t="s">
        <v>11820</v>
      </c>
      <c r="G551" s="21" t="s">
        <v>11720</v>
      </c>
    </row>
    <row r="552" customFormat="false" ht="15" hidden="false" customHeight="false" outlineLevel="0" collapsed="false">
      <c r="B552" s="19" t="s">
        <v>12319</v>
      </c>
      <c r="C552" s="20" t="n">
        <f aca="false">ROUND(20/FX,2)</f>
        <v>2.78</v>
      </c>
      <c r="D552" s="21" t="s">
        <v>12084</v>
      </c>
      <c r="E552" s="21" t="s">
        <v>11780</v>
      </c>
      <c r="F552" s="21" t="s">
        <v>11820</v>
      </c>
      <c r="G552" s="21" t="s">
        <v>11720</v>
      </c>
    </row>
    <row r="553" customFormat="false" ht="15" hidden="false" customHeight="false" outlineLevel="0" collapsed="false">
      <c r="B553" s="19" t="s">
        <v>12320</v>
      </c>
      <c r="C553" s="20" t="n">
        <f aca="false">ROUND(20.15/FX,2)</f>
        <v>2.8</v>
      </c>
      <c r="D553" s="21" t="s">
        <v>12084</v>
      </c>
      <c r="E553" s="21" t="s">
        <v>1817</v>
      </c>
      <c r="F553" s="21" t="s">
        <v>11820</v>
      </c>
      <c r="G553" s="21" t="s">
        <v>11720</v>
      </c>
    </row>
    <row r="554" customFormat="false" ht="15" hidden="false" customHeight="false" outlineLevel="0" collapsed="false">
      <c r="B554" s="19" t="s">
        <v>12321</v>
      </c>
      <c r="C554" s="20" t="n">
        <f aca="false">ROUND(2.03/FX,2)</f>
        <v>0.28</v>
      </c>
      <c r="D554" s="21" t="s">
        <v>12084</v>
      </c>
      <c r="E554" s="21" t="s">
        <v>11968</v>
      </c>
      <c r="F554" s="21" t="s">
        <v>11820</v>
      </c>
      <c r="G554" s="21" t="s">
        <v>11720</v>
      </c>
    </row>
    <row r="555" customFormat="false" ht="15" hidden="false" customHeight="false" outlineLevel="0" collapsed="false">
      <c r="B555" s="19" t="s">
        <v>12322</v>
      </c>
      <c r="C555" s="20" t="n">
        <f aca="false">ROUND(2.28/FX,2)</f>
        <v>0.32</v>
      </c>
      <c r="D555" s="21" t="s">
        <v>12084</v>
      </c>
      <c r="E555" s="21" t="s">
        <v>2801</v>
      </c>
      <c r="F555" s="21" t="s">
        <v>11820</v>
      </c>
      <c r="G555" s="21" t="s">
        <v>11720</v>
      </c>
    </row>
    <row r="556" customFormat="false" ht="15" hidden="false" customHeight="false" outlineLevel="0" collapsed="false">
      <c r="B556" s="19" t="s">
        <v>12323</v>
      </c>
      <c r="C556" s="20" t="n">
        <f aca="false">ROUND(2.44/FX,2)</f>
        <v>0.34</v>
      </c>
      <c r="D556" s="21" t="s">
        <v>12084</v>
      </c>
      <c r="E556" s="21" t="s">
        <v>2851</v>
      </c>
      <c r="F556" s="21" t="s">
        <v>11820</v>
      </c>
      <c r="G556" s="21" t="s">
        <v>11720</v>
      </c>
    </row>
    <row r="557" customFormat="false" ht="15" hidden="false" customHeight="false" outlineLevel="0" collapsed="false">
      <c r="B557" s="19" t="s">
        <v>12324</v>
      </c>
      <c r="C557" s="20" t="n">
        <f aca="false">ROUND(24.96/FX,2)</f>
        <v>3.47</v>
      </c>
      <c r="D557" s="21" t="s">
        <v>12084</v>
      </c>
      <c r="E557" s="21" t="s">
        <v>1881</v>
      </c>
      <c r="F557" s="21" t="s">
        <v>11820</v>
      </c>
      <c r="G557" s="21" t="s">
        <v>11720</v>
      </c>
    </row>
    <row r="558" customFormat="false" ht="15" hidden="false" customHeight="false" outlineLevel="0" collapsed="false">
      <c r="B558" s="19" t="s">
        <v>12325</v>
      </c>
      <c r="C558" s="20" t="n">
        <f aca="false">ROUND(2.6/FX,2)</f>
        <v>0.36</v>
      </c>
      <c r="D558" s="21" t="s">
        <v>12084</v>
      </c>
      <c r="E558" s="21" t="s">
        <v>2901</v>
      </c>
      <c r="F558" s="21" t="s">
        <v>11820</v>
      </c>
      <c r="G558" s="21" t="s">
        <v>11720</v>
      </c>
    </row>
    <row r="559" customFormat="false" ht="15" hidden="false" customHeight="false" outlineLevel="0" collapsed="false">
      <c r="B559" s="19" t="s">
        <v>12326</v>
      </c>
      <c r="C559" s="20" t="n">
        <f aca="false">ROUND(2.76/FX,2)</f>
        <v>0.38</v>
      </c>
      <c r="D559" s="21" t="s">
        <v>12084</v>
      </c>
      <c r="E559" s="21" t="s">
        <v>883</v>
      </c>
      <c r="F559" s="21" t="s">
        <v>11820</v>
      </c>
      <c r="G559" s="21" t="s">
        <v>11720</v>
      </c>
    </row>
    <row r="560" customFormat="false" ht="15" hidden="false" customHeight="false" outlineLevel="0" collapsed="false">
      <c r="B560" s="19" t="s">
        <v>12327</v>
      </c>
      <c r="C560" s="20" t="n">
        <f aca="false">ROUND(2.85/FX,2)</f>
        <v>0.4</v>
      </c>
      <c r="D560" s="21" t="s">
        <v>12084</v>
      </c>
      <c r="E560" s="21" t="s">
        <v>6497</v>
      </c>
      <c r="F560" s="21" t="s">
        <v>11820</v>
      </c>
      <c r="G560" s="21" t="s">
        <v>11720</v>
      </c>
    </row>
    <row r="561" customFormat="false" ht="15" hidden="false" customHeight="false" outlineLevel="0" collapsed="false">
      <c r="B561" s="19" t="s">
        <v>12328</v>
      </c>
      <c r="C561" s="20" t="n">
        <f aca="false">ROUND(2.86/FX,2)</f>
        <v>0.4</v>
      </c>
      <c r="D561" s="21" t="s">
        <v>12084</v>
      </c>
      <c r="E561" s="21" t="s">
        <v>916</v>
      </c>
      <c r="F561" s="21" t="s">
        <v>11820</v>
      </c>
      <c r="G561" s="21" t="s">
        <v>11720</v>
      </c>
    </row>
    <row r="562" customFormat="false" ht="15" hidden="false" customHeight="false" outlineLevel="0" collapsed="false">
      <c r="B562" s="19" t="s">
        <v>12329</v>
      </c>
      <c r="C562" s="20" t="n">
        <f aca="false">ROUND(3.09/FX,2)</f>
        <v>0.43</v>
      </c>
      <c r="D562" s="21" t="s">
        <v>12084</v>
      </c>
      <c r="E562" s="21" t="s">
        <v>993</v>
      </c>
      <c r="F562" s="21" t="s">
        <v>11820</v>
      </c>
      <c r="G562" s="21" t="s">
        <v>11720</v>
      </c>
    </row>
    <row r="563" customFormat="false" ht="15" hidden="false" customHeight="false" outlineLevel="0" collapsed="false">
      <c r="B563" s="19" t="s">
        <v>12330</v>
      </c>
      <c r="C563" s="20" t="n">
        <f aca="false">ROUND(3.25/FX,2)</f>
        <v>0.45</v>
      </c>
      <c r="D563" s="21" t="s">
        <v>12084</v>
      </c>
      <c r="E563" s="21" t="s">
        <v>1048</v>
      </c>
      <c r="F563" s="21" t="s">
        <v>11820</v>
      </c>
      <c r="G563" s="21" t="s">
        <v>11720</v>
      </c>
    </row>
    <row r="564" customFormat="false" ht="15" hidden="false" customHeight="false" outlineLevel="0" collapsed="false">
      <c r="B564" s="19" t="s">
        <v>12331</v>
      </c>
      <c r="C564" s="20" t="n">
        <f aca="false">ROUND(32.5/FX,2)</f>
        <v>4.51</v>
      </c>
      <c r="D564" s="21" t="s">
        <v>12084</v>
      </c>
      <c r="E564" s="21" t="s">
        <v>1924</v>
      </c>
      <c r="F564" s="21" t="s">
        <v>11820</v>
      </c>
      <c r="G564" s="21" t="s">
        <v>11720</v>
      </c>
    </row>
    <row r="565" customFormat="false" ht="15" hidden="false" customHeight="false" outlineLevel="0" collapsed="false">
      <c r="B565" s="19" t="s">
        <v>12332</v>
      </c>
      <c r="C565" s="20" t="n">
        <f aca="false">ROUND(28.75/FX,2)</f>
        <v>3.99</v>
      </c>
      <c r="D565" s="21" t="s">
        <v>12084</v>
      </c>
      <c r="E565" s="21" t="s">
        <v>12237</v>
      </c>
      <c r="F565" s="21" t="s">
        <v>11820</v>
      </c>
      <c r="G565" s="21" t="s">
        <v>11720</v>
      </c>
    </row>
    <row r="566" customFormat="false" ht="15" hidden="false" customHeight="false" outlineLevel="0" collapsed="false">
      <c r="B566" s="19" t="s">
        <v>12333</v>
      </c>
      <c r="C566" s="20" t="n">
        <f aca="false">ROUND(3.41/FX,2)</f>
        <v>0.47</v>
      </c>
      <c r="D566" s="21" t="s">
        <v>12084</v>
      </c>
      <c r="E566" s="21" t="s">
        <v>1103</v>
      </c>
      <c r="F566" s="21" t="s">
        <v>11820</v>
      </c>
      <c r="G566" s="21" t="s">
        <v>11720</v>
      </c>
    </row>
    <row r="567" customFormat="false" ht="15" hidden="false" customHeight="false" outlineLevel="0" collapsed="false">
      <c r="B567" s="19" t="s">
        <v>12334</v>
      </c>
      <c r="C567" s="20" t="n">
        <f aca="false">ROUND(3.58/FX,2)</f>
        <v>0.5</v>
      </c>
      <c r="D567" s="21" t="s">
        <v>12084</v>
      </c>
      <c r="E567" s="21" t="s">
        <v>1158</v>
      </c>
      <c r="F567" s="21" t="s">
        <v>11820</v>
      </c>
      <c r="G567" s="21" t="s">
        <v>11720</v>
      </c>
    </row>
    <row r="568" customFormat="false" ht="15" hidden="false" customHeight="false" outlineLevel="0" collapsed="false">
      <c r="B568" s="19" t="s">
        <v>12335</v>
      </c>
      <c r="C568" s="20" t="n">
        <f aca="false">ROUND(3.67/FX,2)</f>
        <v>0.51</v>
      </c>
      <c r="D568" s="21" t="s">
        <v>12084</v>
      </c>
      <c r="E568" s="21" t="s">
        <v>1191</v>
      </c>
      <c r="F568" s="21" t="s">
        <v>11820</v>
      </c>
      <c r="G568" s="21" t="s">
        <v>11720</v>
      </c>
    </row>
    <row r="569" customFormat="false" ht="15" hidden="false" customHeight="false" outlineLevel="0" collapsed="false">
      <c r="B569" s="19" t="s">
        <v>12336</v>
      </c>
      <c r="C569" s="20" t="n">
        <f aca="false">ROUND(3.74/FX,2)</f>
        <v>0.52</v>
      </c>
      <c r="D569" s="21" t="s">
        <v>12084</v>
      </c>
      <c r="E569" s="21" t="s">
        <v>1213</v>
      </c>
      <c r="F569" s="21" t="s">
        <v>11820</v>
      </c>
      <c r="G569" s="21" t="s">
        <v>11720</v>
      </c>
    </row>
    <row r="570" customFormat="false" ht="15" hidden="false" customHeight="false" outlineLevel="0" collapsed="false">
      <c r="B570" s="19" t="s">
        <v>12337</v>
      </c>
      <c r="C570" s="20" t="n">
        <f aca="false">ROUND(3.9/FX,2)</f>
        <v>0.54</v>
      </c>
      <c r="D570" s="21" t="s">
        <v>12084</v>
      </c>
      <c r="E570" s="21" t="s">
        <v>1268</v>
      </c>
      <c r="F570" s="21" t="s">
        <v>11820</v>
      </c>
      <c r="G570" s="21" t="s">
        <v>11720</v>
      </c>
    </row>
    <row r="571" customFormat="false" ht="15" hidden="false" customHeight="false" outlineLevel="0" collapsed="false">
      <c r="B571" s="19" t="s">
        <v>12338</v>
      </c>
      <c r="C571" s="20" t="n">
        <f aca="false">ROUND(3.58/FX,2)</f>
        <v>0.5</v>
      </c>
      <c r="D571" s="21" t="s">
        <v>12084</v>
      </c>
      <c r="E571" s="21" t="s">
        <v>1323</v>
      </c>
      <c r="F571" s="21" t="s">
        <v>11820</v>
      </c>
      <c r="G571" s="21" t="s">
        <v>11720</v>
      </c>
    </row>
    <row r="572" customFormat="false" ht="15" hidden="false" customHeight="false" outlineLevel="0" collapsed="false">
      <c r="B572" s="19" t="s">
        <v>12339</v>
      </c>
      <c r="C572" s="20" t="n">
        <f aca="false">ROUND(4.23/FX,2)</f>
        <v>0.59</v>
      </c>
      <c r="D572" s="21" t="s">
        <v>12084</v>
      </c>
      <c r="E572" s="21" t="s">
        <v>1378</v>
      </c>
      <c r="F572" s="21" t="s">
        <v>11820</v>
      </c>
      <c r="G572" s="21" t="s">
        <v>11720</v>
      </c>
    </row>
    <row r="573" customFormat="false" ht="15" hidden="false" customHeight="false" outlineLevel="0" collapsed="false">
      <c r="B573" s="19" t="s">
        <v>12340</v>
      </c>
      <c r="C573" s="20" t="n">
        <f aca="false">ROUND(4.39/FX,2)</f>
        <v>0.61</v>
      </c>
      <c r="D573" s="21" t="s">
        <v>12084</v>
      </c>
      <c r="E573" s="21" t="s">
        <v>1433</v>
      </c>
      <c r="F573" s="21" t="s">
        <v>11820</v>
      </c>
      <c r="G573" s="21" t="s">
        <v>11720</v>
      </c>
    </row>
    <row r="574" customFormat="false" ht="15" hidden="false" customHeight="false" outlineLevel="0" collapsed="false">
      <c r="B574" s="19" t="s">
        <v>12341</v>
      </c>
      <c r="C574" s="20" t="n">
        <f aca="false">ROUND(4.55/FX,2)</f>
        <v>0.63</v>
      </c>
      <c r="D574" s="21" t="s">
        <v>12084</v>
      </c>
      <c r="E574" s="21" t="s">
        <v>1470</v>
      </c>
      <c r="F574" s="21" t="s">
        <v>11820</v>
      </c>
      <c r="G574" s="21" t="s">
        <v>11720</v>
      </c>
    </row>
    <row r="575" customFormat="false" ht="15" hidden="false" customHeight="false" outlineLevel="0" collapsed="false">
      <c r="B575" s="19" t="s">
        <v>12342</v>
      </c>
      <c r="C575" s="20" t="n">
        <f aca="false">ROUND(4.71/FX,2)</f>
        <v>0.65</v>
      </c>
      <c r="D575" s="21" t="s">
        <v>12084</v>
      </c>
      <c r="E575" s="21" t="s">
        <v>1495</v>
      </c>
      <c r="F575" s="21" t="s">
        <v>11820</v>
      </c>
      <c r="G575" s="21" t="s">
        <v>11720</v>
      </c>
    </row>
    <row r="576" customFormat="false" ht="15" hidden="false" customHeight="false" outlineLevel="0" collapsed="false">
      <c r="B576" s="19" t="s">
        <v>12343</v>
      </c>
      <c r="C576" s="20" t="n">
        <f aca="false">ROUND(4.29/FX,2)</f>
        <v>0.6</v>
      </c>
      <c r="D576" s="21" t="s">
        <v>12084</v>
      </c>
      <c r="E576" s="21" t="s">
        <v>1520</v>
      </c>
      <c r="F576" s="21" t="s">
        <v>11820</v>
      </c>
      <c r="G576" s="21" t="s">
        <v>11720</v>
      </c>
    </row>
    <row r="577" customFormat="false" ht="15" hidden="false" customHeight="false" outlineLevel="0" collapsed="false">
      <c r="B577" s="19" t="s">
        <v>12344</v>
      </c>
      <c r="C577" s="20" t="n">
        <f aca="false">ROUND(5.04/FX,2)</f>
        <v>0.7</v>
      </c>
      <c r="D577" s="21" t="s">
        <v>12084</v>
      </c>
      <c r="E577" s="21" t="s">
        <v>1545</v>
      </c>
      <c r="F577" s="21" t="s">
        <v>11820</v>
      </c>
      <c r="G577" s="21" t="s">
        <v>11720</v>
      </c>
    </row>
    <row r="578" customFormat="false" ht="15" hidden="false" customHeight="false" outlineLevel="0" collapsed="false">
      <c r="B578" s="19" t="s">
        <v>12345</v>
      </c>
      <c r="C578" s="20" t="n">
        <f aca="false">ROUND(5.2/FX,2)</f>
        <v>0.72</v>
      </c>
      <c r="D578" s="21" t="s">
        <v>12084</v>
      </c>
      <c r="E578" s="21" t="s">
        <v>1570</v>
      </c>
      <c r="F578" s="21" t="s">
        <v>11820</v>
      </c>
      <c r="G578" s="21" t="s">
        <v>11720</v>
      </c>
    </row>
    <row r="579" customFormat="false" ht="15" hidden="false" customHeight="false" outlineLevel="0" collapsed="false">
      <c r="B579" s="19" t="s">
        <v>12346</v>
      </c>
      <c r="C579" s="20" t="n">
        <f aca="false">ROUND(5.36/FX,2)</f>
        <v>0.74</v>
      </c>
      <c r="D579" s="21" t="s">
        <v>12084</v>
      </c>
      <c r="E579" s="21" t="s">
        <v>1595</v>
      </c>
      <c r="F579" s="21" t="s">
        <v>11820</v>
      </c>
      <c r="G579" s="21" t="s">
        <v>11720</v>
      </c>
    </row>
    <row r="580" customFormat="false" ht="15" hidden="false" customHeight="false" outlineLevel="0" collapsed="false">
      <c r="B580" s="19" t="s">
        <v>12347</v>
      </c>
      <c r="C580" s="20" t="n">
        <f aca="false">ROUND(5.44/FX,2)</f>
        <v>0.76</v>
      </c>
      <c r="D580" s="21" t="s">
        <v>12084</v>
      </c>
      <c r="E580" s="21" t="s">
        <v>4975</v>
      </c>
      <c r="F580" s="21" t="s">
        <v>11820</v>
      </c>
      <c r="G580" s="21" t="s">
        <v>11720</v>
      </c>
    </row>
    <row r="581" customFormat="false" ht="15" hidden="false" customHeight="false" outlineLevel="0" collapsed="false">
      <c r="B581" s="19" t="s">
        <v>12348</v>
      </c>
      <c r="C581" s="20" t="n">
        <f aca="false">ROUND(5.53/FX,2)</f>
        <v>0.77</v>
      </c>
      <c r="D581" s="21" t="s">
        <v>12084</v>
      </c>
      <c r="E581" s="21" t="s">
        <v>1615</v>
      </c>
      <c r="F581" s="21" t="s">
        <v>11820</v>
      </c>
      <c r="G581" s="21" t="s">
        <v>11720</v>
      </c>
    </row>
    <row r="582" customFormat="false" ht="15" hidden="false" customHeight="false" outlineLevel="0" collapsed="false">
      <c r="B582" s="19" t="s">
        <v>12349</v>
      </c>
      <c r="C582" s="20" t="n">
        <f aca="false">ROUND(5.69/FX,2)</f>
        <v>0.79</v>
      </c>
      <c r="D582" s="21" t="s">
        <v>12084</v>
      </c>
      <c r="E582" s="21" t="s">
        <v>1635</v>
      </c>
      <c r="F582" s="21" t="s">
        <v>11820</v>
      </c>
      <c r="G582" s="21" t="s">
        <v>11720</v>
      </c>
    </row>
    <row r="583" customFormat="false" ht="15" hidden="false" customHeight="false" outlineLevel="0" collapsed="false">
      <c r="B583" s="19" t="s">
        <v>12350</v>
      </c>
      <c r="C583" s="20" t="n">
        <f aca="false">ROUND(5.85/FX,2)</f>
        <v>0.81</v>
      </c>
      <c r="D583" s="21" t="s">
        <v>12084</v>
      </c>
      <c r="E583" s="21" t="s">
        <v>1655</v>
      </c>
      <c r="F583" s="21" t="s">
        <v>11820</v>
      </c>
      <c r="G583" s="21" t="s">
        <v>11720</v>
      </c>
    </row>
    <row r="584" customFormat="false" ht="15" hidden="false" customHeight="false" outlineLevel="0" collapsed="false">
      <c r="B584" s="19" t="s">
        <v>12351</v>
      </c>
      <c r="C584" s="20" t="n">
        <f aca="false">ROUND(6.02/FX,2)</f>
        <v>0.84</v>
      </c>
      <c r="D584" s="21" t="s">
        <v>12084</v>
      </c>
      <c r="E584" s="21" t="s">
        <v>1670</v>
      </c>
      <c r="F584" s="21" t="s">
        <v>11820</v>
      </c>
      <c r="G584" s="21" t="s">
        <v>11720</v>
      </c>
    </row>
    <row r="585" customFormat="false" ht="15" hidden="false" customHeight="false" outlineLevel="0" collapsed="false">
      <c r="B585" s="19" t="s">
        <v>12352</v>
      </c>
      <c r="C585" s="20" t="n">
        <f aca="false">ROUND(5.37/FX,2)</f>
        <v>0.75</v>
      </c>
      <c r="D585" s="21" t="s">
        <v>12084</v>
      </c>
      <c r="E585" s="21" t="s">
        <v>4482</v>
      </c>
      <c r="F585" s="21" t="s">
        <v>11820</v>
      </c>
      <c r="G585" s="21" t="s">
        <v>11720</v>
      </c>
    </row>
    <row r="586" customFormat="false" ht="15" hidden="false" customHeight="false" outlineLevel="0" collapsed="false">
      <c r="B586" s="19" t="s">
        <v>12353</v>
      </c>
      <c r="C586" s="20" t="n">
        <f aca="false">ROUND(6.18/FX,2)</f>
        <v>0.86</v>
      </c>
      <c r="D586" s="21" t="s">
        <v>12084</v>
      </c>
      <c r="E586" s="21" t="s">
        <v>1685</v>
      </c>
      <c r="F586" s="21" t="s">
        <v>11820</v>
      </c>
      <c r="G586" s="21" t="s">
        <v>11720</v>
      </c>
    </row>
    <row r="587" customFormat="false" ht="15" hidden="false" customHeight="false" outlineLevel="0" collapsed="false">
      <c r="B587" s="19" t="s">
        <v>12354</v>
      </c>
      <c r="C587" s="20" t="n">
        <f aca="false">ROUND(6.34/FX,2)</f>
        <v>0.88</v>
      </c>
      <c r="D587" s="21" t="s">
        <v>12084</v>
      </c>
      <c r="E587" s="21" t="s">
        <v>1982</v>
      </c>
      <c r="F587" s="21" t="s">
        <v>11820</v>
      </c>
      <c r="G587" s="21" t="s">
        <v>11720</v>
      </c>
    </row>
    <row r="588" customFormat="false" ht="15" hidden="false" customHeight="false" outlineLevel="0" collapsed="false">
      <c r="B588" s="19" t="s">
        <v>12355</v>
      </c>
      <c r="C588" s="20" t="n">
        <f aca="false">ROUND(5.72/FX,2)</f>
        <v>0.79</v>
      </c>
      <c r="D588" s="21" t="s">
        <v>12084</v>
      </c>
      <c r="E588" s="21" t="s">
        <v>2002</v>
      </c>
      <c r="F588" s="21" t="s">
        <v>11820</v>
      </c>
      <c r="G588" s="21" t="s">
        <v>11720</v>
      </c>
    </row>
    <row r="589" customFormat="false" ht="15" hidden="false" customHeight="false" outlineLevel="0" collapsed="false">
      <c r="B589" s="19" t="s">
        <v>12356</v>
      </c>
      <c r="C589" s="20" t="n">
        <f aca="false">ROUND(6.91/FX,2)</f>
        <v>0.96</v>
      </c>
      <c r="D589" s="21" t="s">
        <v>12084</v>
      </c>
      <c r="E589" s="21" t="s">
        <v>5153</v>
      </c>
      <c r="F589" s="21" t="s">
        <v>11820</v>
      </c>
      <c r="G589" s="21" t="s">
        <v>11720</v>
      </c>
    </row>
    <row r="590" customFormat="false" ht="15" hidden="false" customHeight="false" outlineLevel="0" collapsed="false">
      <c r="B590" s="19" t="s">
        <v>12357</v>
      </c>
      <c r="C590" s="20" t="n">
        <f aca="false">ROUND(7.15/FX,2)</f>
        <v>0.99</v>
      </c>
      <c r="D590" s="21" t="s">
        <v>12084</v>
      </c>
      <c r="E590" s="21" t="s">
        <v>2052</v>
      </c>
      <c r="F590" s="21" t="s">
        <v>11820</v>
      </c>
      <c r="G590" s="21" t="s">
        <v>11720</v>
      </c>
    </row>
    <row r="591" customFormat="false" ht="15" hidden="false" customHeight="false" outlineLevel="0" collapsed="false">
      <c r="B591" s="19" t="s">
        <v>12358</v>
      </c>
      <c r="C591" s="20" t="n">
        <f aca="false">ROUND(7.31/FX,2)</f>
        <v>1.02</v>
      </c>
      <c r="D591" s="21" t="s">
        <v>12084</v>
      </c>
      <c r="E591" s="21" t="s">
        <v>2067</v>
      </c>
      <c r="F591" s="21" t="s">
        <v>11820</v>
      </c>
      <c r="G591" s="21" t="s">
        <v>11720</v>
      </c>
    </row>
    <row r="592" customFormat="false" ht="15" hidden="false" customHeight="false" outlineLevel="0" collapsed="false">
      <c r="B592" s="19" t="s">
        <v>12359</v>
      </c>
      <c r="C592" s="20" t="n">
        <f aca="false">ROUND(7.48/FX,2)</f>
        <v>1.04</v>
      </c>
      <c r="D592" s="21" t="s">
        <v>12084</v>
      </c>
      <c r="E592" s="21" t="s">
        <v>2082</v>
      </c>
      <c r="F592" s="21" t="s">
        <v>11820</v>
      </c>
      <c r="G592" s="21" t="s">
        <v>11720</v>
      </c>
    </row>
    <row r="593" customFormat="false" ht="15" hidden="false" customHeight="false" outlineLevel="0" collapsed="false">
      <c r="B593" s="19" t="s">
        <v>12360</v>
      </c>
      <c r="C593" s="20" t="n">
        <f aca="false">ROUND(7.64/FX,2)</f>
        <v>1.06</v>
      </c>
      <c r="D593" s="21" t="s">
        <v>12084</v>
      </c>
      <c r="E593" s="21" t="s">
        <v>2097</v>
      </c>
      <c r="F593" s="21" t="s">
        <v>11820</v>
      </c>
      <c r="G593" s="21" t="s">
        <v>11720</v>
      </c>
    </row>
    <row r="594" customFormat="false" ht="15" hidden="false" customHeight="false" outlineLevel="0" collapsed="false">
      <c r="B594" s="19" t="s">
        <v>12361</v>
      </c>
      <c r="C594" s="20" t="n">
        <f aca="false">ROUND(7.76/FX,2)</f>
        <v>1.08</v>
      </c>
      <c r="D594" s="21" t="s">
        <v>12084</v>
      </c>
      <c r="E594" s="21" t="s">
        <v>3551</v>
      </c>
      <c r="F594" s="21" t="s">
        <v>11820</v>
      </c>
      <c r="G594" s="21" t="s">
        <v>11720</v>
      </c>
    </row>
    <row r="595" customFormat="false" ht="15" hidden="false" customHeight="false" outlineLevel="0" collapsed="false">
      <c r="B595" s="19" t="s">
        <v>12362</v>
      </c>
      <c r="C595" s="20" t="n">
        <f aca="false">ROUND(7.8/FX,2)</f>
        <v>1.08</v>
      </c>
      <c r="D595" s="21" t="s">
        <v>12084</v>
      </c>
      <c r="E595" s="21" t="s">
        <v>2112</v>
      </c>
      <c r="F595" s="21" t="s">
        <v>11820</v>
      </c>
      <c r="G595" s="21" t="s">
        <v>11720</v>
      </c>
    </row>
    <row r="596" customFormat="false" ht="15" hidden="false" customHeight="false" outlineLevel="0" collapsed="false">
      <c r="B596" s="19" t="s">
        <v>12363</v>
      </c>
      <c r="C596" s="20" t="n">
        <f aca="false">ROUND(7.96/FX,2)</f>
        <v>1.11</v>
      </c>
      <c r="D596" s="21" t="s">
        <v>12084</v>
      </c>
      <c r="E596" s="21" t="s">
        <v>2127</v>
      </c>
      <c r="F596" s="21" t="s">
        <v>11820</v>
      </c>
      <c r="G596" s="21" t="s">
        <v>11720</v>
      </c>
    </row>
    <row r="597" customFormat="false" ht="15" hidden="false" customHeight="false" outlineLevel="0" collapsed="false">
      <c r="B597" s="19" t="s">
        <v>12364</v>
      </c>
      <c r="C597" s="20" t="n">
        <f aca="false">ROUND(7.15/FX,2)</f>
        <v>0.99</v>
      </c>
      <c r="D597" s="21" t="s">
        <v>12084</v>
      </c>
      <c r="E597" s="21" t="s">
        <v>2142</v>
      </c>
      <c r="F597" s="21" t="s">
        <v>11820</v>
      </c>
      <c r="G597" s="21" t="s">
        <v>11720</v>
      </c>
    </row>
    <row r="598" customFormat="false" ht="15" hidden="false" customHeight="false" outlineLevel="0" collapsed="false">
      <c r="B598" s="19" t="s">
        <v>12365</v>
      </c>
      <c r="C598" s="20" t="n">
        <f aca="false">ROUND(8.45/FX,2)</f>
        <v>1.17</v>
      </c>
      <c r="D598" s="21" t="s">
        <v>12084</v>
      </c>
      <c r="E598" s="21" t="s">
        <v>2162</v>
      </c>
      <c r="F598" s="21" t="s">
        <v>11820</v>
      </c>
      <c r="G598" s="21" t="s">
        <v>11720</v>
      </c>
    </row>
    <row r="599" customFormat="false" ht="15" hidden="false" customHeight="false" outlineLevel="0" collapsed="false">
      <c r="B599" s="19" t="s">
        <v>12366</v>
      </c>
      <c r="C599" s="20" t="n">
        <f aca="false">ROUND(8.68/FX,2)</f>
        <v>1.21</v>
      </c>
      <c r="D599" s="21" t="s">
        <v>12084</v>
      </c>
      <c r="E599" s="21" t="s">
        <v>12367</v>
      </c>
      <c r="F599" s="21" t="s">
        <v>11820</v>
      </c>
      <c r="G599" s="21" t="s">
        <v>11720</v>
      </c>
    </row>
    <row r="600" customFormat="false" ht="15" hidden="false" customHeight="false" outlineLevel="0" collapsed="false">
      <c r="B600" s="19" t="s">
        <v>12368</v>
      </c>
      <c r="C600" s="20" t="n">
        <f aca="false">ROUND(8.78/FX,2)</f>
        <v>1.22</v>
      </c>
      <c r="D600" s="21" t="s">
        <v>12084</v>
      </c>
      <c r="E600" s="21" t="s">
        <v>2182</v>
      </c>
      <c r="F600" s="21" t="s">
        <v>11820</v>
      </c>
      <c r="G600" s="21" t="s">
        <v>11720</v>
      </c>
    </row>
    <row r="601" customFormat="false" ht="15" hidden="false" customHeight="false" outlineLevel="0" collapsed="false">
      <c r="B601" s="19" t="s">
        <v>12369</v>
      </c>
      <c r="C601" s="20" t="n">
        <f aca="false">ROUND(8.94/FX,2)</f>
        <v>1.24</v>
      </c>
      <c r="D601" s="21" t="s">
        <v>12084</v>
      </c>
      <c r="E601" s="21" t="s">
        <v>2187</v>
      </c>
      <c r="F601" s="21" t="s">
        <v>11820</v>
      </c>
      <c r="G601" s="21" t="s">
        <v>11720</v>
      </c>
    </row>
    <row r="602" customFormat="false" ht="15" hidden="false" customHeight="false" outlineLevel="0" collapsed="false">
      <c r="B602" s="19" t="s">
        <v>12370</v>
      </c>
      <c r="C602" s="20" t="n">
        <f aca="false">ROUND(9.43/FX,2)</f>
        <v>1.31</v>
      </c>
      <c r="D602" s="21" t="s">
        <v>12084</v>
      </c>
      <c r="E602" s="21" t="s">
        <v>12371</v>
      </c>
      <c r="F602" s="21" t="s">
        <v>11820</v>
      </c>
      <c r="G602" s="21" t="s">
        <v>11720</v>
      </c>
    </row>
    <row r="603" customFormat="false" ht="15" hidden="false" customHeight="false" outlineLevel="0" collapsed="false">
      <c r="B603" s="19" t="s">
        <v>12372</v>
      </c>
      <c r="C603" s="20" t="n">
        <f aca="false">ROUND(9.59/FX,2)</f>
        <v>1.33</v>
      </c>
      <c r="D603" s="21" t="s">
        <v>12084</v>
      </c>
      <c r="E603" s="21" t="s">
        <v>12287</v>
      </c>
      <c r="F603" s="21" t="s">
        <v>11820</v>
      </c>
      <c r="G603" s="21" t="s">
        <v>11720</v>
      </c>
    </row>
    <row r="604" customFormat="false" ht="15" hidden="false" customHeight="false" outlineLevel="0" collapsed="false">
      <c r="B604" s="19" t="s">
        <v>12373</v>
      </c>
      <c r="C604" s="20" t="n">
        <f aca="false">ROUND(9.75/FX,2)</f>
        <v>1.35</v>
      </c>
      <c r="D604" s="21" t="s">
        <v>12084</v>
      </c>
      <c r="E604" s="21" t="s">
        <v>2227</v>
      </c>
      <c r="F604" s="21" t="s">
        <v>11820</v>
      </c>
      <c r="G604" s="21" t="s">
        <v>11720</v>
      </c>
    </row>
    <row r="605" customFormat="false" ht="15" hidden="false" customHeight="false" outlineLevel="0" collapsed="false">
      <c r="B605" s="19" t="s">
        <v>12374</v>
      </c>
      <c r="C605" s="20" t="n">
        <f aca="false">ROUND(9.83/FX,2)</f>
        <v>1.37</v>
      </c>
      <c r="D605" s="21" t="s">
        <v>12084</v>
      </c>
      <c r="E605" s="21" t="s">
        <v>12375</v>
      </c>
      <c r="F605" s="21" t="s">
        <v>11820</v>
      </c>
      <c r="G605" s="21" t="s">
        <v>11720</v>
      </c>
    </row>
    <row r="606" customFormat="false" ht="15" hidden="false" customHeight="false" outlineLevel="0" collapsed="false">
      <c r="B606" s="19" t="s">
        <v>12376</v>
      </c>
      <c r="C606" s="20" t="n">
        <f aca="false">ROUND(10.08/FX,2)</f>
        <v>1.4</v>
      </c>
      <c r="D606" s="21" t="s">
        <v>12084</v>
      </c>
      <c r="E606" s="21" t="s">
        <v>5448</v>
      </c>
      <c r="F606" s="21" t="s">
        <v>11820</v>
      </c>
      <c r="G606" s="21" t="s">
        <v>11720</v>
      </c>
    </row>
    <row r="607" customFormat="false" ht="15" hidden="false" customHeight="false" outlineLevel="0" collapsed="false">
      <c r="B607" s="19" t="s">
        <v>12377</v>
      </c>
      <c r="C607" s="20" t="n">
        <f aca="false">ROUND(10.56/FX,2)</f>
        <v>1.47</v>
      </c>
      <c r="D607" s="21" t="s">
        <v>12084</v>
      </c>
      <c r="E607" s="21" t="s">
        <v>2297</v>
      </c>
      <c r="F607" s="21" t="s">
        <v>11820</v>
      </c>
      <c r="G607" s="21" t="s">
        <v>11720</v>
      </c>
    </row>
    <row r="608" customFormat="false" ht="15" hidden="false" customHeight="false" outlineLevel="0" collapsed="false">
      <c r="B608" s="19" t="s">
        <v>12378</v>
      </c>
      <c r="C608" s="20" t="n">
        <f aca="false">ROUND(1.3/FX,2)</f>
        <v>0.18</v>
      </c>
      <c r="D608" s="21" t="s">
        <v>12084</v>
      </c>
      <c r="E608" s="21" t="s">
        <v>2991</v>
      </c>
      <c r="F608" s="21" t="s">
        <v>11820</v>
      </c>
      <c r="G608" s="21" t="s">
        <v>11720</v>
      </c>
    </row>
    <row r="609" customFormat="false" ht="15" hidden="false" customHeight="false" outlineLevel="0" collapsed="false">
      <c r="B609" s="19" t="s">
        <v>12379</v>
      </c>
      <c r="C609" s="20" t="n">
        <f aca="false">ROUND(11.21/FX,2)</f>
        <v>1.56</v>
      </c>
      <c r="D609" s="21" t="s">
        <v>12084</v>
      </c>
      <c r="E609" s="21" t="s">
        <v>2339</v>
      </c>
      <c r="F609" s="21" t="s">
        <v>11820</v>
      </c>
      <c r="G609" s="21" t="s">
        <v>11720</v>
      </c>
    </row>
    <row r="610" customFormat="false" ht="15" hidden="false" customHeight="false" outlineLevel="0" collapsed="false">
      <c r="B610" s="19" t="s">
        <v>12380</v>
      </c>
      <c r="C610" s="20" t="n">
        <f aca="false">ROUND(11.38/FX,2)</f>
        <v>1.58</v>
      </c>
      <c r="D610" s="21" t="s">
        <v>12084</v>
      </c>
      <c r="E610" s="21" t="s">
        <v>2351</v>
      </c>
      <c r="F610" s="21" t="s">
        <v>11820</v>
      </c>
      <c r="G610" s="21" t="s">
        <v>11720</v>
      </c>
    </row>
    <row r="611" customFormat="false" ht="15" hidden="false" customHeight="false" outlineLevel="0" collapsed="false">
      <c r="B611" s="19" t="s">
        <v>12381</v>
      </c>
      <c r="C611" s="20" t="n">
        <f aca="false">ROUND(12.03/FX,2)</f>
        <v>1.67</v>
      </c>
      <c r="D611" s="21" t="s">
        <v>12084</v>
      </c>
      <c r="E611" s="21" t="s">
        <v>2390</v>
      </c>
      <c r="F611" s="21" t="s">
        <v>11820</v>
      </c>
      <c r="G611" s="21" t="s">
        <v>11720</v>
      </c>
    </row>
    <row r="612" customFormat="false" ht="15" hidden="false" customHeight="false" outlineLevel="0" collapsed="false">
      <c r="B612" s="19" t="s">
        <v>12382</v>
      </c>
      <c r="C612" s="20" t="n">
        <f aca="false">ROUND(12.19/FX,2)</f>
        <v>1.69</v>
      </c>
      <c r="D612" s="21" t="s">
        <v>12084</v>
      </c>
      <c r="E612" s="21" t="s">
        <v>2400</v>
      </c>
      <c r="F612" s="21" t="s">
        <v>11820</v>
      </c>
      <c r="G612" s="21" t="s">
        <v>11720</v>
      </c>
    </row>
    <row r="613" customFormat="false" ht="15" hidden="false" customHeight="false" outlineLevel="0" collapsed="false">
      <c r="B613" s="19" t="s">
        <v>12383</v>
      </c>
      <c r="C613" s="20" t="n">
        <f aca="false">ROUND(13/FX,2)</f>
        <v>1.81</v>
      </c>
      <c r="D613" s="21" t="s">
        <v>12084</v>
      </c>
      <c r="E613" s="21" t="s">
        <v>2440</v>
      </c>
      <c r="F613" s="21" t="s">
        <v>11820</v>
      </c>
      <c r="G613" s="21" t="s">
        <v>11720</v>
      </c>
    </row>
    <row r="614" customFormat="false" ht="15" hidden="false" customHeight="false" outlineLevel="0" collapsed="false">
      <c r="B614" s="19" t="s">
        <v>12384</v>
      </c>
      <c r="C614" s="20" t="n">
        <f aca="false">ROUND(13.65/FX,2)</f>
        <v>1.9</v>
      </c>
      <c r="D614" s="21" t="s">
        <v>12084</v>
      </c>
      <c r="E614" s="21" t="s">
        <v>2460</v>
      </c>
      <c r="F614" s="21" t="s">
        <v>11820</v>
      </c>
      <c r="G614" s="21" t="s">
        <v>11720</v>
      </c>
    </row>
    <row r="615" customFormat="false" ht="15" hidden="false" customHeight="false" outlineLevel="0" collapsed="false">
      <c r="B615" s="19" t="s">
        <v>12385</v>
      </c>
      <c r="C615" s="20" t="n">
        <f aca="false">ROUND(13.81/FX,2)</f>
        <v>1.92</v>
      </c>
      <c r="D615" s="21" t="s">
        <v>12084</v>
      </c>
      <c r="E615" s="21" t="s">
        <v>2470</v>
      </c>
      <c r="F615" s="21" t="s">
        <v>11820</v>
      </c>
      <c r="G615" s="21" t="s">
        <v>11720</v>
      </c>
    </row>
    <row r="616" customFormat="false" ht="15" hidden="false" customHeight="false" outlineLevel="0" collapsed="false">
      <c r="B616" s="19" t="s">
        <v>12386</v>
      </c>
      <c r="C616" s="20" t="n">
        <f aca="false">ROUND(14.63/FX,2)</f>
        <v>2.03</v>
      </c>
      <c r="D616" s="21" t="s">
        <v>12084</v>
      </c>
      <c r="E616" s="21" t="s">
        <v>2500</v>
      </c>
      <c r="F616" s="21" t="s">
        <v>11820</v>
      </c>
      <c r="G616" s="21" t="s">
        <v>11720</v>
      </c>
    </row>
    <row r="617" customFormat="false" ht="15" hidden="false" customHeight="false" outlineLevel="0" collapsed="false">
      <c r="B617" s="19" t="s">
        <v>12387</v>
      </c>
      <c r="C617" s="20" t="n">
        <f aca="false">ROUND(16.25/FX,2)</f>
        <v>2.26</v>
      </c>
      <c r="D617" s="21" t="s">
        <v>12084</v>
      </c>
      <c r="E617" s="21" t="s">
        <v>1733</v>
      </c>
      <c r="F617" s="21" t="s">
        <v>11820</v>
      </c>
      <c r="G617" s="21" t="s">
        <v>11810</v>
      </c>
    </row>
    <row r="618" customFormat="false" ht="15" hidden="false" customHeight="false" outlineLevel="0" collapsed="false">
      <c r="B618" s="19" t="s">
        <v>12388</v>
      </c>
      <c r="C618" s="20" t="n">
        <f aca="false">ROUND(8.13/FX,2)</f>
        <v>1.13</v>
      </c>
      <c r="D618" s="21" t="s">
        <v>12084</v>
      </c>
      <c r="E618" s="21" t="s">
        <v>2142</v>
      </c>
      <c r="F618" s="21" t="s">
        <v>11820</v>
      </c>
      <c r="G618" s="21" t="s">
        <v>11810</v>
      </c>
    </row>
    <row r="619" customFormat="false" ht="15" hidden="false" customHeight="false" outlineLevel="0" collapsed="false">
      <c r="B619" s="19" t="s">
        <v>12389</v>
      </c>
      <c r="C619" s="20" t="n">
        <f aca="false">ROUND(14.3/FX,2)</f>
        <v>1.99</v>
      </c>
      <c r="D619" s="21" t="s">
        <v>12084</v>
      </c>
      <c r="E619" s="21" t="s">
        <v>2227</v>
      </c>
      <c r="F619" s="21" t="s">
        <v>11820</v>
      </c>
      <c r="G619" s="21" t="s">
        <v>11810</v>
      </c>
    </row>
    <row r="620" customFormat="false" ht="15" hidden="false" customHeight="false" outlineLevel="0" collapsed="false">
      <c r="B620" s="19" t="s">
        <v>12390</v>
      </c>
      <c r="C620" s="20" t="n">
        <f aca="false">ROUND(5.43/FX,2)</f>
        <v>0.75</v>
      </c>
      <c r="D620" s="21" t="s">
        <v>12084</v>
      </c>
      <c r="E620" s="21" t="s">
        <v>1520</v>
      </c>
      <c r="F620" s="21" t="s">
        <v>11843</v>
      </c>
      <c r="G620" s="21" t="s">
        <v>11720</v>
      </c>
    </row>
    <row r="621" customFormat="false" ht="15" hidden="false" customHeight="false" outlineLevel="0" collapsed="false">
      <c r="B621" s="19" t="s">
        <v>12391</v>
      </c>
      <c r="C621" s="20" t="n">
        <f aca="false">ROUND(13.65/FX,2)</f>
        <v>1.9</v>
      </c>
      <c r="D621" s="21" t="s">
        <v>12084</v>
      </c>
      <c r="E621" s="21" t="s">
        <v>2351</v>
      </c>
      <c r="F621" s="21" t="s">
        <v>11843</v>
      </c>
      <c r="G621" s="21" t="s">
        <v>11720</v>
      </c>
    </row>
    <row r="622" customFormat="false" ht="15" hidden="false" customHeight="false" outlineLevel="0" collapsed="false">
      <c r="B622" s="19" t="s">
        <v>12392</v>
      </c>
      <c r="C622" s="20" t="n">
        <f aca="false">ROUND(1.63/FX,2)</f>
        <v>0.23</v>
      </c>
      <c r="D622" s="21" t="s">
        <v>12084</v>
      </c>
      <c r="E622" s="21" t="s">
        <v>2600</v>
      </c>
      <c r="F622" s="21" t="s">
        <v>11845</v>
      </c>
      <c r="G622" s="21" t="s">
        <v>11720</v>
      </c>
    </row>
    <row r="623" customFormat="false" ht="15" hidden="false" customHeight="false" outlineLevel="0" collapsed="false">
      <c r="B623" s="19" t="s">
        <v>12393</v>
      </c>
      <c r="C623" s="20" t="n">
        <f aca="false">ROUND(14.3/FX,2)</f>
        <v>1.99</v>
      </c>
      <c r="D623" s="21" t="s">
        <v>12084</v>
      </c>
      <c r="E623" s="21" t="s">
        <v>1733</v>
      </c>
      <c r="F623" s="21" t="s">
        <v>11845</v>
      </c>
      <c r="G623" s="21" t="s">
        <v>11720</v>
      </c>
    </row>
    <row r="624" customFormat="false" ht="15" hidden="false" customHeight="false" outlineLevel="0" collapsed="false">
      <c r="B624" s="19" t="s">
        <v>12394</v>
      </c>
      <c r="C624" s="20" t="n">
        <f aca="false">ROUND(16.58/FX,2)</f>
        <v>2.3</v>
      </c>
      <c r="D624" s="21" t="s">
        <v>12084</v>
      </c>
      <c r="E624" s="21" t="s">
        <v>12208</v>
      </c>
      <c r="F624" s="21" t="s">
        <v>11845</v>
      </c>
      <c r="G624" s="21" t="s">
        <v>11720</v>
      </c>
    </row>
    <row r="625" customFormat="false" ht="15" hidden="false" customHeight="false" outlineLevel="0" collapsed="false">
      <c r="B625" s="19" t="s">
        <v>12395</v>
      </c>
      <c r="C625" s="20" t="n">
        <f aca="false">ROUND(16.9/FX,2)</f>
        <v>2.35</v>
      </c>
      <c r="D625" s="21" t="s">
        <v>12084</v>
      </c>
      <c r="E625" s="21" t="s">
        <v>1740</v>
      </c>
      <c r="F625" s="21" t="s">
        <v>11845</v>
      </c>
      <c r="G625" s="21" t="s">
        <v>11720</v>
      </c>
    </row>
    <row r="626" customFormat="false" ht="15" hidden="false" customHeight="false" outlineLevel="0" collapsed="false">
      <c r="B626" s="19" t="s">
        <v>12396</v>
      </c>
      <c r="C626" s="20" t="n">
        <f aca="false">ROUND(17.06/FX,2)</f>
        <v>2.37</v>
      </c>
      <c r="D626" s="21" t="s">
        <v>12084</v>
      </c>
      <c r="E626" s="21" t="s">
        <v>1746</v>
      </c>
      <c r="F626" s="21" t="s">
        <v>11845</v>
      </c>
      <c r="G626" s="21" t="s">
        <v>11720</v>
      </c>
    </row>
    <row r="627" customFormat="false" ht="15" hidden="false" customHeight="false" outlineLevel="0" collapsed="false">
      <c r="B627" s="19" t="s">
        <v>12397</v>
      </c>
      <c r="C627" s="20" t="n">
        <f aca="false">ROUND(17.23/FX,2)</f>
        <v>2.39</v>
      </c>
      <c r="D627" s="21" t="s">
        <v>12084</v>
      </c>
      <c r="E627" s="21" t="s">
        <v>1752</v>
      </c>
      <c r="F627" s="21" t="s">
        <v>11845</v>
      </c>
      <c r="G627" s="21" t="s">
        <v>11720</v>
      </c>
    </row>
    <row r="628" customFormat="false" ht="15" hidden="false" customHeight="false" outlineLevel="0" collapsed="false">
      <c r="B628" s="19" t="s">
        <v>12398</v>
      </c>
      <c r="C628" s="20" t="n">
        <f aca="false">ROUND(17.88/FX,2)</f>
        <v>2.48</v>
      </c>
      <c r="D628" s="21" t="s">
        <v>12084</v>
      </c>
      <c r="E628" s="21" t="s">
        <v>1768</v>
      </c>
      <c r="F628" s="21" t="s">
        <v>11845</v>
      </c>
      <c r="G628" s="21" t="s">
        <v>11720</v>
      </c>
    </row>
    <row r="629" customFormat="false" ht="15" hidden="false" customHeight="false" outlineLevel="0" collapsed="false">
      <c r="B629" s="19" t="s">
        <v>12399</v>
      </c>
      <c r="C629" s="20" t="n">
        <f aca="false">ROUND(1.95/FX,2)</f>
        <v>0.27</v>
      </c>
      <c r="D629" s="21" t="s">
        <v>12084</v>
      </c>
      <c r="E629" s="21" t="s">
        <v>2701</v>
      </c>
      <c r="F629" s="21" t="s">
        <v>11845</v>
      </c>
      <c r="G629" s="21" t="s">
        <v>11720</v>
      </c>
    </row>
    <row r="630" customFormat="false" ht="15" hidden="false" customHeight="false" outlineLevel="0" collapsed="false">
      <c r="B630" s="19" t="s">
        <v>12400</v>
      </c>
      <c r="C630" s="20" t="n">
        <f aca="false">ROUND(19.5/FX,2)</f>
        <v>2.71</v>
      </c>
      <c r="D630" s="21" t="s">
        <v>12084</v>
      </c>
      <c r="E630" s="21" t="s">
        <v>3253</v>
      </c>
      <c r="F630" s="21" t="s">
        <v>11845</v>
      </c>
      <c r="G630" s="21" t="s">
        <v>11720</v>
      </c>
    </row>
    <row r="631" customFormat="false" ht="15" hidden="false" customHeight="false" outlineLevel="0" collapsed="false">
      <c r="B631" s="19" t="s">
        <v>12401</v>
      </c>
      <c r="C631" s="20" t="n">
        <f aca="false">ROUND(20.15/FX,2)</f>
        <v>2.8</v>
      </c>
      <c r="D631" s="21" t="s">
        <v>12084</v>
      </c>
      <c r="E631" s="21" t="s">
        <v>1817</v>
      </c>
      <c r="F631" s="21" t="s">
        <v>11845</v>
      </c>
      <c r="G631" s="21" t="s">
        <v>11720</v>
      </c>
    </row>
    <row r="632" customFormat="false" ht="15" hidden="false" customHeight="false" outlineLevel="0" collapsed="false">
      <c r="B632" s="19" t="s">
        <v>12402</v>
      </c>
      <c r="C632" s="20" t="n">
        <f aca="false">ROUND(2.03/FX,2)</f>
        <v>0.28</v>
      </c>
      <c r="D632" s="21" t="s">
        <v>12084</v>
      </c>
      <c r="E632" s="21" t="s">
        <v>11968</v>
      </c>
      <c r="F632" s="21" t="s">
        <v>11845</v>
      </c>
      <c r="G632" s="21" t="s">
        <v>11720</v>
      </c>
    </row>
    <row r="633" customFormat="false" ht="15" hidden="false" customHeight="false" outlineLevel="0" collapsed="false">
      <c r="B633" s="19" t="s">
        <v>12403</v>
      </c>
      <c r="C633" s="20" t="n">
        <f aca="false">ROUND(20.32/FX,2)</f>
        <v>2.82</v>
      </c>
      <c r="D633" s="21" t="s">
        <v>12084</v>
      </c>
      <c r="E633" s="21" t="s">
        <v>1822</v>
      </c>
      <c r="F633" s="21" t="s">
        <v>11845</v>
      </c>
      <c r="G633" s="21" t="s">
        <v>11720</v>
      </c>
    </row>
    <row r="634" customFormat="false" ht="15" hidden="false" customHeight="false" outlineLevel="0" collapsed="false">
      <c r="B634" s="19" t="s">
        <v>12404</v>
      </c>
      <c r="C634" s="20" t="n">
        <f aca="false">ROUND(2.11/FX,2)</f>
        <v>0.29</v>
      </c>
      <c r="D634" s="21" t="s">
        <v>12084</v>
      </c>
      <c r="E634" s="21" t="s">
        <v>2751</v>
      </c>
      <c r="F634" s="21" t="s">
        <v>11845</v>
      </c>
      <c r="G634" s="21" t="s">
        <v>11720</v>
      </c>
    </row>
    <row r="635" customFormat="false" ht="15" hidden="false" customHeight="false" outlineLevel="0" collapsed="false">
      <c r="B635" s="19" t="s">
        <v>12405</v>
      </c>
      <c r="C635" s="20" t="n">
        <f aca="false">ROUND(1.93/FX,2)</f>
        <v>0.27</v>
      </c>
      <c r="D635" s="21" t="s">
        <v>12084</v>
      </c>
      <c r="E635" s="21" t="s">
        <v>12223</v>
      </c>
      <c r="F635" s="21" t="s">
        <v>11845</v>
      </c>
      <c r="G635" s="21" t="s">
        <v>11720</v>
      </c>
    </row>
    <row r="636" customFormat="false" ht="15" hidden="false" customHeight="false" outlineLevel="0" collapsed="false">
      <c r="B636" s="19" t="s">
        <v>12406</v>
      </c>
      <c r="C636" s="20" t="n">
        <f aca="false">ROUND(23.4/FX,2)</f>
        <v>3.25</v>
      </c>
      <c r="D636" s="21" t="s">
        <v>12084</v>
      </c>
      <c r="E636" s="21" t="s">
        <v>1866</v>
      </c>
      <c r="F636" s="21" t="s">
        <v>11845</v>
      </c>
      <c r="G636" s="21" t="s">
        <v>11720</v>
      </c>
    </row>
    <row r="637" customFormat="false" ht="15" hidden="false" customHeight="false" outlineLevel="0" collapsed="false">
      <c r="B637" s="19" t="s">
        <v>12407</v>
      </c>
      <c r="C637" s="20" t="n">
        <f aca="false">ROUND(2.15/FX,2)</f>
        <v>0.3</v>
      </c>
      <c r="D637" s="21" t="s">
        <v>12084</v>
      </c>
      <c r="E637" s="21" t="s">
        <v>2851</v>
      </c>
      <c r="F637" s="21" t="s">
        <v>11845</v>
      </c>
      <c r="G637" s="21" t="s">
        <v>11720</v>
      </c>
    </row>
    <row r="638" customFormat="false" ht="15" hidden="false" customHeight="false" outlineLevel="0" collapsed="false">
      <c r="B638" s="19" t="s">
        <v>12408</v>
      </c>
      <c r="C638" s="20" t="n">
        <f aca="false">ROUND(21.45/FX,2)</f>
        <v>2.98</v>
      </c>
      <c r="D638" s="21" t="s">
        <v>12084</v>
      </c>
      <c r="E638" s="21" t="s">
        <v>1881</v>
      </c>
      <c r="F638" s="21" t="s">
        <v>11845</v>
      </c>
      <c r="G638" s="21" t="s">
        <v>11720</v>
      </c>
    </row>
    <row r="639" customFormat="false" ht="15" hidden="false" customHeight="false" outlineLevel="0" collapsed="false">
      <c r="B639" s="19" t="s">
        <v>12409</v>
      </c>
      <c r="C639" s="20" t="n">
        <f aca="false">ROUND(24.7/FX,2)</f>
        <v>3.43</v>
      </c>
      <c r="D639" s="21" t="s">
        <v>12084</v>
      </c>
      <c r="E639" s="21" t="s">
        <v>1894</v>
      </c>
      <c r="F639" s="21" t="s">
        <v>11845</v>
      </c>
      <c r="G639" s="21" t="s">
        <v>11720</v>
      </c>
    </row>
    <row r="640" customFormat="false" ht="15" hidden="false" customHeight="false" outlineLevel="0" collapsed="false">
      <c r="B640" s="19" t="s">
        <v>12410</v>
      </c>
      <c r="C640" s="20" t="n">
        <f aca="false">ROUND(25.03/FX,2)</f>
        <v>3.48</v>
      </c>
      <c r="D640" s="21" t="s">
        <v>12084</v>
      </c>
      <c r="E640" s="21" t="s">
        <v>1902</v>
      </c>
      <c r="F640" s="21" t="s">
        <v>11845</v>
      </c>
      <c r="G640" s="21" t="s">
        <v>11720</v>
      </c>
    </row>
    <row r="641" customFormat="false" ht="15" hidden="false" customHeight="false" outlineLevel="0" collapsed="false">
      <c r="B641" s="19" t="s">
        <v>12411</v>
      </c>
      <c r="C641" s="20" t="n">
        <f aca="false">ROUND(25.19/FX,2)</f>
        <v>3.5</v>
      </c>
      <c r="D641" s="21" t="s">
        <v>12084</v>
      </c>
      <c r="E641" s="21" t="s">
        <v>12229</v>
      </c>
      <c r="F641" s="21" t="s">
        <v>11845</v>
      </c>
      <c r="G641" s="21" t="s">
        <v>11720</v>
      </c>
    </row>
    <row r="642" customFormat="false" ht="15" hidden="false" customHeight="false" outlineLevel="0" collapsed="false">
      <c r="B642" s="19" t="s">
        <v>12412</v>
      </c>
      <c r="C642" s="20" t="n">
        <f aca="false">ROUND(25.35/FX,2)</f>
        <v>3.52</v>
      </c>
      <c r="D642" s="21" t="s">
        <v>12084</v>
      </c>
      <c r="E642" s="21" t="s">
        <v>12413</v>
      </c>
      <c r="F642" s="21" t="s">
        <v>11845</v>
      </c>
      <c r="G642" s="21" t="s">
        <v>11720</v>
      </c>
    </row>
    <row r="643" customFormat="false" ht="15" hidden="false" customHeight="false" outlineLevel="0" collapsed="false">
      <c r="B643" s="19" t="s">
        <v>12414</v>
      </c>
      <c r="C643" s="20" t="n">
        <f aca="false">ROUND(2.6/FX,2)</f>
        <v>0.36</v>
      </c>
      <c r="D643" s="21" t="s">
        <v>12084</v>
      </c>
      <c r="E643" s="21" t="s">
        <v>2901</v>
      </c>
      <c r="F643" s="21" t="s">
        <v>11845</v>
      </c>
      <c r="G643" s="21" t="s">
        <v>11720</v>
      </c>
    </row>
    <row r="644" customFormat="false" ht="15" hidden="false" customHeight="false" outlineLevel="0" collapsed="false">
      <c r="B644" s="19" t="s">
        <v>12415</v>
      </c>
      <c r="C644" s="20" t="n">
        <f aca="false">ROUND(2.76/FX,2)</f>
        <v>0.38</v>
      </c>
      <c r="D644" s="21" t="s">
        <v>12084</v>
      </c>
      <c r="E644" s="21" t="s">
        <v>883</v>
      </c>
      <c r="F644" s="21" t="s">
        <v>11845</v>
      </c>
      <c r="G644" s="21" t="s">
        <v>11720</v>
      </c>
    </row>
    <row r="645" customFormat="false" ht="15" hidden="false" customHeight="false" outlineLevel="0" collapsed="false">
      <c r="B645" s="19" t="s">
        <v>12416</v>
      </c>
      <c r="C645" s="20" t="n">
        <f aca="false">ROUND(2.58/FX,2)</f>
        <v>0.36</v>
      </c>
      <c r="D645" s="21" t="s">
        <v>12084</v>
      </c>
      <c r="E645" s="21" t="s">
        <v>938</v>
      </c>
      <c r="F645" s="21" t="s">
        <v>11845</v>
      </c>
      <c r="G645" s="21" t="s">
        <v>11720</v>
      </c>
    </row>
    <row r="646" customFormat="false" ht="15" hidden="false" customHeight="false" outlineLevel="0" collapsed="false">
      <c r="B646" s="19" t="s">
        <v>12417</v>
      </c>
      <c r="C646" s="20" t="n">
        <f aca="false">ROUND(3.09/FX,2)</f>
        <v>0.43</v>
      </c>
      <c r="D646" s="21" t="s">
        <v>12084</v>
      </c>
      <c r="E646" s="21" t="s">
        <v>993</v>
      </c>
      <c r="F646" s="21" t="s">
        <v>11845</v>
      </c>
      <c r="G646" s="21" t="s">
        <v>11720</v>
      </c>
    </row>
    <row r="647" customFormat="false" ht="15" hidden="false" customHeight="false" outlineLevel="0" collapsed="false">
      <c r="B647" s="19" t="s">
        <v>12418</v>
      </c>
      <c r="C647" s="20" t="n">
        <f aca="false">ROUND(3.25/FX,2)</f>
        <v>0.45</v>
      </c>
      <c r="D647" s="21" t="s">
        <v>12084</v>
      </c>
      <c r="E647" s="21" t="s">
        <v>1048</v>
      </c>
      <c r="F647" s="21" t="s">
        <v>11845</v>
      </c>
      <c r="G647" s="21" t="s">
        <v>11720</v>
      </c>
    </row>
    <row r="648" customFormat="false" ht="15" hidden="false" customHeight="false" outlineLevel="0" collapsed="false">
      <c r="B648" s="19" t="s">
        <v>12419</v>
      </c>
      <c r="C648" s="20" t="n">
        <f aca="false">ROUND(28.6/FX,2)</f>
        <v>3.97</v>
      </c>
      <c r="D648" s="21" t="s">
        <v>12084</v>
      </c>
      <c r="E648" s="21" t="s">
        <v>1924</v>
      </c>
      <c r="F648" s="21" t="s">
        <v>11845</v>
      </c>
      <c r="G648" s="21" t="s">
        <v>11720</v>
      </c>
    </row>
    <row r="649" customFormat="false" ht="15" hidden="false" customHeight="false" outlineLevel="0" collapsed="false">
      <c r="B649" s="19" t="s">
        <v>12420</v>
      </c>
      <c r="C649" s="20" t="n">
        <f aca="false">ROUND(28.75/FX,2)</f>
        <v>3.99</v>
      </c>
      <c r="D649" s="21" t="s">
        <v>12084</v>
      </c>
      <c r="E649" s="21" t="s">
        <v>12237</v>
      </c>
      <c r="F649" s="21" t="s">
        <v>11845</v>
      </c>
      <c r="G649" s="21" t="s">
        <v>11720</v>
      </c>
    </row>
    <row r="650" customFormat="false" ht="15" hidden="false" customHeight="false" outlineLevel="0" collapsed="false">
      <c r="B650" s="19" t="s">
        <v>12421</v>
      </c>
      <c r="C650" s="20" t="n">
        <f aca="false">ROUND(33.15/FX,2)</f>
        <v>4.6</v>
      </c>
      <c r="D650" s="21" t="s">
        <v>12084</v>
      </c>
      <c r="E650" s="21" t="s">
        <v>12422</v>
      </c>
      <c r="F650" s="21" t="s">
        <v>11845</v>
      </c>
      <c r="G650" s="21" t="s">
        <v>11720</v>
      </c>
    </row>
    <row r="651" customFormat="false" ht="15" hidden="false" customHeight="false" outlineLevel="0" collapsed="false">
      <c r="B651" s="19" t="s">
        <v>12423</v>
      </c>
      <c r="C651" s="20" t="n">
        <f aca="false">ROUND(3.41/FX,2)</f>
        <v>0.47</v>
      </c>
      <c r="D651" s="21" t="s">
        <v>12084</v>
      </c>
      <c r="E651" s="21" t="s">
        <v>1103</v>
      </c>
      <c r="F651" s="21" t="s">
        <v>11845</v>
      </c>
      <c r="G651" s="21" t="s">
        <v>11720</v>
      </c>
    </row>
    <row r="652" customFormat="false" ht="15" hidden="false" customHeight="false" outlineLevel="0" collapsed="false">
      <c r="B652" s="19" t="s">
        <v>12424</v>
      </c>
      <c r="C652" s="20" t="n">
        <f aca="false">ROUND(3.58/FX,2)</f>
        <v>0.5</v>
      </c>
      <c r="D652" s="21" t="s">
        <v>12084</v>
      </c>
      <c r="E652" s="21" t="s">
        <v>1158</v>
      </c>
      <c r="F652" s="21" t="s">
        <v>11845</v>
      </c>
      <c r="G652" s="21" t="s">
        <v>11720</v>
      </c>
    </row>
    <row r="653" customFormat="false" ht="15" hidden="false" customHeight="false" outlineLevel="0" collapsed="false">
      <c r="B653" s="19" t="s">
        <v>12425</v>
      </c>
      <c r="C653" s="20" t="n">
        <f aca="false">ROUND(3.74/FX,2)</f>
        <v>0.52</v>
      </c>
      <c r="D653" s="21" t="s">
        <v>12084</v>
      </c>
      <c r="E653" s="21" t="s">
        <v>1213</v>
      </c>
      <c r="F653" s="21" t="s">
        <v>11845</v>
      </c>
      <c r="G653" s="21" t="s">
        <v>11720</v>
      </c>
    </row>
    <row r="654" customFormat="false" ht="15" hidden="false" customHeight="false" outlineLevel="0" collapsed="false">
      <c r="B654" s="19" t="s">
        <v>12426</v>
      </c>
      <c r="C654" s="20" t="n">
        <f aca="false">ROUND(3.9/FX,2)</f>
        <v>0.54</v>
      </c>
      <c r="D654" s="21" t="s">
        <v>12084</v>
      </c>
      <c r="E654" s="21" t="s">
        <v>1268</v>
      </c>
      <c r="F654" s="21" t="s">
        <v>11845</v>
      </c>
      <c r="G654" s="21" t="s">
        <v>11720</v>
      </c>
    </row>
    <row r="655" customFormat="false" ht="15" hidden="false" customHeight="false" outlineLevel="0" collapsed="false">
      <c r="B655" s="19" t="s">
        <v>12427</v>
      </c>
      <c r="C655" s="20" t="n">
        <f aca="false">ROUND(3.51/FX,2)</f>
        <v>0.49</v>
      </c>
      <c r="D655" s="21" t="s">
        <v>12084</v>
      </c>
      <c r="E655" s="21" t="s">
        <v>6278</v>
      </c>
      <c r="F655" s="21" t="s">
        <v>11845</v>
      </c>
      <c r="G655" s="21" t="s">
        <v>11720</v>
      </c>
    </row>
    <row r="656" customFormat="false" ht="15" hidden="false" customHeight="false" outlineLevel="0" collapsed="false">
      <c r="B656" s="19" t="s">
        <v>12428</v>
      </c>
      <c r="C656" s="20" t="n">
        <f aca="false">ROUND(4.06/FX,2)</f>
        <v>0.56</v>
      </c>
      <c r="D656" s="21" t="s">
        <v>12084</v>
      </c>
      <c r="E656" s="21" t="s">
        <v>1323</v>
      </c>
      <c r="F656" s="21" t="s">
        <v>11845</v>
      </c>
      <c r="G656" s="21" t="s">
        <v>11720</v>
      </c>
    </row>
    <row r="657" customFormat="false" ht="15" hidden="false" customHeight="false" outlineLevel="0" collapsed="false">
      <c r="B657" s="19" t="s">
        <v>12429</v>
      </c>
      <c r="C657" s="20" t="n">
        <f aca="false">ROUND(4.23/FX,2)</f>
        <v>0.59</v>
      </c>
      <c r="D657" s="21" t="s">
        <v>12084</v>
      </c>
      <c r="E657" s="21" t="s">
        <v>1378</v>
      </c>
      <c r="F657" s="21" t="s">
        <v>11845</v>
      </c>
      <c r="G657" s="21" t="s">
        <v>11720</v>
      </c>
    </row>
    <row r="658" customFormat="false" ht="15" hidden="false" customHeight="false" outlineLevel="0" collapsed="false">
      <c r="B658" s="19" t="s">
        <v>12430</v>
      </c>
      <c r="C658" s="20" t="n">
        <f aca="false">ROUND(4.39/FX,2)</f>
        <v>0.61</v>
      </c>
      <c r="D658" s="21" t="s">
        <v>12084</v>
      </c>
      <c r="E658" s="21" t="s">
        <v>1433</v>
      </c>
      <c r="F658" s="21" t="s">
        <v>11845</v>
      </c>
      <c r="G658" s="21" t="s">
        <v>11720</v>
      </c>
    </row>
    <row r="659" customFormat="false" ht="15" hidden="false" customHeight="false" outlineLevel="0" collapsed="false">
      <c r="B659" s="19" t="s">
        <v>12431</v>
      </c>
      <c r="C659" s="20" t="n">
        <f aca="false">ROUND(4.55/FX,2)</f>
        <v>0.63</v>
      </c>
      <c r="D659" s="21" t="s">
        <v>12084</v>
      </c>
      <c r="E659" s="21" t="s">
        <v>1470</v>
      </c>
      <c r="F659" s="21" t="s">
        <v>11845</v>
      </c>
      <c r="G659" s="21" t="s">
        <v>11720</v>
      </c>
    </row>
    <row r="660" customFormat="false" ht="15" hidden="false" customHeight="false" outlineLevel="0" collapsed="false">
      <c r="B660" s="19" t="s">
        <v>12432</v>
      </c>
      <c r="C660" s="20" t="n">
        <f aca="false">ROUND(4.58/FX,2)</f>
        <v>0.64</v>
      </c>
      <c r="D660" s="21" t="s">
        <v>12084</v>
      </c>
      <c r="E660" s="21" t="s">
        <v>1475</v>
      </c>
      <c r="F660" s="21" t="s">
        <v>11845</v>
      </c>
      <c r="G660" s="21" t="s">
        <v>11720</v>
      </c>
    </row>
    <row r="661" customFormat="false" ht="15" hidden="false" customHeight="false" outlineLevel="0" collapsed="false">
      <c r="B661" s="19" t="s">
        <v>12433</v>
      </c>
      <c r="C661" s="20" t="n">
        <f aca="false">ROUND(4.71/FX,2)</f>
        <v>0.65</v>
      </c>
      <c r="D661" s="21" t="s">
        <v>12084</v>
      </c>
      <c r="E661" s="21" t="s">
        <v>1495</v>
      </c>
      <c r="F661" s="21" t="s">
        <v>11845</v>
      </c>
      <c r="G661" s="21" t="s">
        <v>11720</v>
      </c>
    </row>
    <row r="662" customFormat="false" ht="15" hidden="false" customHeight="false" outlineLevel="0" collapsed="false">
      <c r="B662" s="19" t="s">
        <v>12434</v>
      </c>
      <c r="C662" s="20" t="n">
        <f aca="false">ROUND(4.29/FX,2)</f>
        <v>0.6</v>
      </c>
      <c r="D662" s="21" t="s">
        <v>12084</v>
      </c>
      <c r="E662" s="21" t="s">
        <v>1520</v>
      </c>
      <c r="F662" s="21" t="s">
        <v>11845</v>
      </c>
      <c r="G662" s="21" t="s">
        <v>11720</v>
      </c>
    </row>
    <row r="663" customFormat="false" ht="15" hidden="false" customHeight="false" outlineLevel="0" collapsed="false">
      <c r="B663" s="19" t="s">
        <v>12435</v>
      </c>
      <c r="C663" s="20" t="n">
        <f aca="false">ROUND(4.36/FX,2)</f>
        <v>0.61</v>
      </c>
      <c r="D663" s="21" t="s">
        <v>12084</v>
      </c>
      <c r="E663" s="21" t="s">
        <v>4925</v>
      </c>
      <c r="F663" s="21" t="s">
        <v>11845</v>
      </c>
      <c r="G663" s="21" t="s">
        <v>11720</v>
      </c>
    </row>
    <row r="664" customFormat="false" ht="15" hidden="false" customHeight="false" outlineLevel="0" collapsed="false">
      <c r="B664" s="19" t="s">
        <v>12436</v>
      </c>
      <c r="C664" s="20" t="n">
        <f aca="false">ROUND(5.04/FX,2)</f>
        <v>0.7</v>
      </c>
      <c r="D664" s="21" t="s">
        <v>12084</v>
      </c>
      <c r="E664" s="21" t="s">
        <v>1545</v>
      </c>
      <c r="F664" s="21" t="s">
        <v>11845</v>
      </c>
      <c r="G664" s="21" t="s">
        <v>11720</v>
      </c>
    </row>
    <row r="665" customFormat="false" ht="15" hidden="false" customHeight="false" outlineLevel="0" collapsed="false">
      <c r="B665" s="19" t="s">
        <v>12437</v>
      </c>
      <c r="C665" s="20" t="n">
        <f aca="false">ROUND(5.12/FX,2)</f>
        <v>0.71</v>
      </c>
      <c r="D665" s="21" t="s">
        <v>12084</v>
      </c>
      <c r="E665" s="21" t="s">
        <v>4292</v>
      </c>
      <c r="F665" s="21" t="s">
        <v>11845</v>
      </c>
      <c r="G665" s="21" t="s">
        <v>11720</v>
      </c>
    </row>
    <row r="666" customFormat="false" ht="15" hidden="false" customHeight="false" outlineLevel="0" collapsed="false">
      <c r="B666" s="19" t="s">
        <v>12438</v>
      </c>
      <c r="C666" s="20" t="n">
        <f aca="false">ROUND(5.2/FX,2)</f>
        <v>0.72</v>
      </c>
      <c r="D666" s="21" t="s">
        <v>12084</v>
      </c>
      <c r="E666" s="21" t="s">
        <v>1570</v>
      </c>
      <c r="F666" s="21" t="s">
        <v>11845</v>
      </c>
      <c r="G666" s="21" t="s">
        <v>11720</v>
      </c>
    </row>
    <row r="667" customFormat="false" ht="15" hidden="false" customHeight="false" outlineLevel="0" collapsed="false">
      <c r="B667" s="19" t="s">
        <v>12439</v>
      </c>
      <c r="C667" s="20" t="n">
        <f aca="false">ROUND(5.36/FX,2)</f>
        <v>0.74</v>
      </c>
      <c r="D667" s="21" t="s">
        <v>12084</v>
      </c>
      <c r="E667" s="21" t="s">
        <v>1595</v>
      </c>
      <c r="F667" s="21" t="s">
        <v>11845</v>
      </c>
      <c r="G667" s="21" t="s">
        <v>11720</v>
      </c>
    </row>
    <row r="668" customFormat="false" ht="15" hidden="false" customHeight="false" outlineLevel="0" collapsed="false">
      <c r="B668" s="19" t="s">
        <v>12440</v>
      </c>
      <c r="C668" s="20" t="n">
        <f aca="false">ROUND(5.44/FX,2)</f>
        <v>0.76</v>
      </c>
      <c r="D668" s="21" t="s">
        <v>12084</v>
      </c>
      <c r="E668" s="21" t="s">
        <v>4975</v>
      </c>
      <c r="F668" s="21" t="s">
        <v>11845</v>
      </c>
      <c r="G668" s="21" t="s">
        <v>11720</v>
      </c>
    </row>
    <row r="669" customFormat="false" ht="15" hidden="false" customHeight="false" outlineLevel="0" collapsed="false">
      <c r="B669" s="19" t="s">
        <v>12441</v>
      </c>
      <c r="C669" s="20" t="n">
        <f aca="false">ROUND(5.53/FX,2)</f>
        <v>0.77</v>
      </c>
      <c r="D669" s="21" t="s">
        <v>12084</v>
      </c>
      <c r="E669" s="21" t="s">
        <v>1615</v>
      </c>
      <c r="F669" s="21" t="s">
        <v>11845</v>
      </c>
      <c r="G669" s="21" t="s">
        <v>11720</v>
      </c>
    </row>
    <row r="670" customFormat="false" ht="15" hidden="false" customHeight="false" outlineLevel="0" collapsed="false">
      <c r="B670" s="19" t="s">
        <v>12442</v>
      </c>
      <c r="C670" s="20" t="n">
        <f aca="false">ROUND(5/FX,2)</f>
        <v>0.69</v>
      </c>
      <c r="D670" s="21" t="s">
        <v>12084</v>
      </c>
      <c r="E670" s="21" t="s">
        <v>1635</v>
      </c>
      <c r="F670" s="21" t="s">
        <v>11845</v>
      </c>
      <c r="G670" s="21" t="s">
        <v>11720</v>
      </c>
    </row>
    <row r="671" customFormat="false" ht="15" hidden="false" customHeight="false" outlineLevel="0" collapsed="false">
      <c r="B671" s="19" t="s">
        <v>12443</v>
      </c>
      <c r="C671" s="20" t="n">
        <f aca="false">ROUND(5.85/FX,2)</f>
        <v>0.81</v>
      </c>
      <c r="D671" s="21" t="s">
        <v>12084</v>
      </c>
      <c r="E671" s="21" t="s">
        <v>1655</v>
      </c>
      <c r="F671" s="21" t="s">
        <v>11845</v>
      </c>
      <c r="G671" s="21" t="s">
        <v>11720</v>
      </c>
    </row>
    <row r="672" customFormat="false" ht="15" hidden="false" customHeight="false" outlineLevel="0" collapsed="false">
      <c r="B672" s="19" t="s">
        <v>12444</v>
      </c>
      <c r="C672" s="20" t="n">
        <f aca="false">ROUND(5.93/FX,2)</f>
        <v>0.82</v>
      </c>
      <c r="D672" s="21" t="s">
        <v>12084</v>
      </c>
      <c r="E672" s="21" t="s">
        <v>5025</v>
      </c>
      <c r="F672" s="21" t="s">
        <v>11845</v>
      </c>
      <c r="G672" s="21" t="s">
        <v>11720</v>
      </c>
    </row>
    <row r="673" customFormat="false" ht="15" hidden="false" customHeight="false" outlineLevel="0" collapsed="false">
      <c r="B673" s="19" t="s">
        <v>12445</v>
      </c>
      <c r="C673" s="20" t="n">
        <f aca="false">ROUND(6.02/FX,2)</f>
        <v>0.84</v>
      </c>
      <c r="D673" s="21" t="s">
        <v>12084</v>
      </c>
      <c r="E673" s="21" t="s">
        <v>1670</v>
      </c>
      <c r="F673" s="21" t="s">
        <v>11845</v>
      </c>
      <c r="G673" s="21" t="s">
        <v>11720</v>
      </c>
    </row>
    <row r="674" customFormat="false" ht="15" hidden="false" customHeight="false" outlineLevel="0" collapsed="false">
      <c r="B674" s="19" t="s">
        <v>12446</v>
      </c>
      <c r="C674" s="20" t="n">
        <f aca="false">ROUND(6.18/FX,2)</f>
        <v>0.86</v>
      </c>
      <c r="D674" s="21" t="s">
        <v>12084</v>
      </c>
      <c r="E674" s="21" t="s">
        <v>1685</v>
      </c>
      <c r="F674" s="21" t="s">
        <v>11845</v>
      </c>
      <c r="G674" s="21" t="s">
        <v>11720</v>
      </c>
    </row>
    <row r="675" customFormat="false" ht="15" hidden="false" customHeight="false" outlineLevel="0" collapsed="false">
      <c r="B675" s="19" t="s">
        <v>12447</v>
      </c>
      <c r="C675" s="20" t="n">
        <f aca="false">ROUND(5.5/FX,2)</f>
        <v>0.76</v>
      </c>
      <c r="D675" s="21" t="s">
        <v>12084</v>
      </c>
      <c r="E675" s="21" t="s">
        <v>1690</v>
      </c>
      <c r="F675" s="21" t="s">
        <v>11845</v>
      </c>
      <c r="G675" s="21" t="s">
        <v>11720</v>
      </c>
    </row>
    <row r="676" customFormat="false" ht="15" hidden="false" customHeight="false" outlineLevel="0" collapsed="false">
      <c r="B676" s="19" t="s">
        <v>12448</v>
      </c>
      <c r="C676" s="20" t="n">
        <f aca="false">ROUND(6.34/FX,2)</f>
        <v>0.88</v>
      </c>
      <c r="D676" s="21" t="s">
        <v>12084</v>
      </c>
      <c r="E676" s="21" t="s">
        <v>1982</v>
      </c>
      <c r="F676" s="21" t="s">
        <v>11845</v>
      </c>
      <c r="G676" s="21" t="s">
        <v>11720</v>
      </c>
    </row>
    <row r="677" customFormat="false" ht="15" hidden="false" customHeight="false" outlineLevel="0" collapsed="false">
      <c r="B677" s="19" t="s">
        <v>12449</v>
      </c>
      <c r="C677" s="20" t="n">
        <f aca="false">ROUND(5.72/FX,2)</f>
        <v>0.79</v>
      </c>
      <c r="D677" s="21" t="s">
        <v>12084</v>
      </c>
      <c r="E677" s="21" t="s">
        <v>2002</v>
      </c>
      <c r="F677" s="21" t="s">
        <v>11845</v>
      </c>
      <c r="G677" s="21" t="s">
        <v>11720</v>
      </c>
    </row>
    <row r="678" customFormat="false" ht="15" hidden="false" customHeight="false" outlineLevel="0" collapsed="false">
      <c r="B678" s="19" t="s">
        <v>12450</v>
      </c>
      <c r="C678" s="20" t="n">
        <f aca="false">ROUND(6.83/FX,2)</f>
        <v>0.95</v>
      </c>
      <c r="D678" s="21" t="s">
        <v>12084</v>
      </c>
      <c r="E678" s="21" t="s">
        <v>2022</v>
      </c>
      <c r="F678" s="21" t="s">
        <v>11845</v>
      </c>
      <c r="G678" s="21" t="s">
        <v>11720</v>
      </c>
    </row>
    <row r="679" customFormat="false" ht="15" hidden="false" customHeight="false" outlineLevel="0" collapsed="false">
      <c r="B679" s="19" t="s">
        <v>12451</v>
      </c>
      <c r="C679" s="20" t="n">
        <f aca="false">ROUND(6.91/FX,2)</f>
        <v>0.96</v>
      </c>
      <c r="D679" s="21" t="s">
        <v>12084</v>
      </c>
      <c r="E679" s="21" t="s">
        <v>5153</v>
      </c>
      <c r="F679" s="21" t="s">
        <v>11845</v>
      </c>
      <c r="G679" s="21" t="s">
        <v>11720</v>
      </c>
    </row>
    <row r="680" customFormat="false" ht="15" hidden="false" customHeight="false" outlineLevel="0" collapsed="false">
      <c r="B680" s="19" t="s">
        <v>12452</v>
      </c>
      <c r="C680" s="20" t="n">
        <f aca="false">ROUND(7.15/FX,2)</f>
        <v>0.99</v>
      </c>
      <c r="D680" s="21" t="s">
        <v>12084</v>
      </c>
      <c r="E680" s="21" t="s">
        <v>2052</v>
      </c>
      <c r="F680" s="21" t="s">
        <v>11845</v>
      </c>
      <c r="G680" s="21" t="s">
        <v>11720</v>
      </c>
    </row>
    <row r="681" customFormat="false" ht="15" hidden="false" customHeight="false" outlineLevel="0" collapsed="false">
      <c r="B681" s="19" t="s">
        <v>12453</v>
      </c>
      <c r="C681" s="20" t="n">
        <f aca="false">ROUND(7.23/FX,2)</f>
        <v>1</v>
      </c>
      <c r="D681" s="21" t="s">
        <v>12084</v>
      </c>
      <c r="E681" s="21" t="s">
        <v>12271</v>
      </c>
      <c r="F681" s="21" t="s">
        <v>11845</v>
      </c>
      <c r="G681" s="21" t="s">
        <v>11720</v>
      </c>
    </row>
    <row r="682" customFormat="false" ht="15" hidden="false" customHeight="false" outlineLevel="0" collapsed="false">
      <c r="B682" s="19" t="s">
        <v>12454</v>
      </c>
      <c r="C682" s="20" t="n">
        <f aca="false">ROUND(6.44/FX,2)</f>
        <v>0.89</v>
      </c>
      <c r="D682" s="21" t="s">
        <v>12084</v>
      </c>
      <c r="E682" s="21" t="s">
        <v>2067</v>
      </c>
      <c r="F682" s="21" t="s">
        <v>11845</v>
      </c>
      <c r="G682" s="21" t="s">
        <v>11720</v>
      </c>
    </row>
    <row r="683" customFormat="false" ht="15" hidden="false" customHeight="false" outlineLevel="0" collapsed="false">
      <c r="B683" s="19" t="s">
        <v>12455</v>
      </c>
      <c r="C683" s="20" t="n">
        <f aca="false">ROUND(7.4/FX,2)</f>
        <v>1.03</v>
      </c>
      <c r="D683" s="21" t="s">
        <v>12084</v>
      </c>
      <c r="E683" s="21" t="s">
        <v>5214</v>
      </c>
      <c r="F683" s="21" t="s">
        <v>11845</v>
      </c>
      <c r="G683" s="21" t="s">
        <v>11720</v>
      </c>
    </row>
    <row r="684" customFormat="false" ht="15" hidden="false" customHeight="false" outlineLevel="0" collapsed="false">
      <c r="B684" s="19" t="s">
        <v>12456</v>
      </c>
      <c r="C684" s="20" t="n">
        <f aca="false">ROUND(7.48/FX,2)</f>
        <v>1.04</v>
      </c>
      <c r="D684" s="21" t="s">
        <v>12084</v>
      </c>
      <c r="E684" s="21" t="s">
        <v>2082</v>
      </c>
      <c r="F684" s="21" t="s">
        <v>11845</v>
      </c>
      <c r="G684" s="21" t="s">
        <v>11720</v>
      </c>
    </row>
    <row r="685" customFormat="false" ht="15" hidden="false" customHeight="false" outlineLevel="0" collapsed="false">
      <c r="B685" s="19" t="s">
        <v>12457</v>
      </c>
      <c r="C685" s="20" t="n">
        <f aca="false">ROUND(7.64/FX,2)</f>
        <v>1.06</v>
      </c>
      <c r="D685" s="21" t="s">
        <v>12084</v>
      </c>
      <c r="E685" s="21" t="s">
        <v>2097</v>
      </c>
      <c r="F685" s="21" t="s">
        <v>11845</v>
      </c>
      <c r="G685" s="21" t="s">
        <v>11720</v>
      </c>
    </row>
    <row r="686" customFormat="false" ht="15" hidden="false" customHeight="false" outlineLevel="0" collapsed="false">
      <c r="B686" s="19" t="s">
        <v>12458</v>
      </c>
      <c r="C686" s="20" t="n">
        <f aca="false">ROUND(7.8/FX,2)</f>
        <v>1.08</v>
      </c>
      <c r="D686" s="21" t="s">
        <v>12084</v>
      </c>
      <c r="E686" s="21" t="s">
        <v>2112</v>
      </c>
      <c r="F686" s="21" t="s">
        <v>11845</v>
      </c>
      <c r="G686" s="21" t="s">
        <v>11720</v>
      </c>
    </row>
    <row r="687" customFormat="false" ht="15" hidden="false" customHeight="false" outlineLevel="0" collapsed="false">
      <c r="B687" s="19" t="s">
        <v>12459</v>
      </c>
      <c r="C687" s="20" t="n">
        <f aca="false">ROUND(7.85/FX,2)</f>
        <v>1.09</v>
      </c>
      <c r="D687" s="21" t="s">
        <v>12084</v>
      </c>
      <c r="E687" s="21" t="s">
        <v>3566</v>
      </c>
      <c r="F687" s="21" t="s">
        <v>11845</v>
      </c>
      <c r="G687" s="21" t="s">
        <v>11720</v>
      </c>
    </row>
    <row r="688" customFormat="false" ht="15" hidden="false" customHeight="false" outlineLevel="0" collapsed="false">
      <c r="B688" s="19" t="s">
        <v>12460</v>
      </c>
      <c r="C688" s="20" t="n">
        <f aca="false">ROUND(7.93/FX,2)</f>
        <v>1.1</v>
      </c>
      <c r="D688" s="21" t="s">
        <v>12084</v>
      </c>
      <c r="E688" s="21" t="s">
        <v>2122</v>
      </c>
      <c r="F688" s="21" t="s">
        <v>11845</v>
      </c>
      <c r="G688" s="21" t="s">
        <v>11720</v>
      </c>
    </row>
    <row r="689" customFormat="false" ht="15" hidden="false" customHeight="false" outlineLevel="0" collapsed="false">
      <c r="B689" s="19" t="s">
        <v>12461</v>
      </c>
      <c r="C689" s="20" t="n">
        <f aca="false">ROUND(7.96/FX,2)</f>
        <v>1.11</v>
      </c>
      <c r="D689" s="21" t="s">
        <v>12084</v>
      </c>
      <c r="E689" s="21" t="s">
        <v>2127</v>
      </c>
      <c r="F689" s="21" t="s">
        <v>11845</v>
      </c>
      <c r="G689" s="21" t="s">
        <v>11720</v>
      </c>
    </row>
    <row r="690" customFormat="false" ht="15" hidden="false" customHeight="false" outlineLevel="0" collapsed="false">
      <c r="B690" s="19" t="s">
        <v>12462</v>
      </c>
      <c r="C690" s="20" t="n">
        <f aca="false">ROUND(8/FX,2)</f>
        <v>1.11</v>
      </c>
      <c r="D690" s="21" t="s">
        <v>12084</v>
      </c>
      <c r="E690" s="21" t="s">
        <v>2132</v>
      </c>
      <c r="F690" s="21" t="s">
        <v>11845</v>
      </c>
      <c r="G690" s="21" t="s">
        <v>11720</v>
      </c>
    </row>
    <row r="691" customFormat="false" ht="15" hidden="false" customHeight="false" outlineLevel="0" collapsed="false">
      <c r="B691" s="19" t="s">
        <v>12463</v>
      </c>
      <c r="C691" s="20" t="n">
        <f aca="false">ROUND(8.13/FX,2)</f>
        <v>1.13</v>
      </c>
      <c r="D691" s="21" t="s">
        <v>12084</v>
      </c>
      <c r="E691" s="21" t="s">
        <v>2142</v>
      </c>
      <c r="F691" s="21" t="s">
        <v>11845</v>
      </c>
      <c r="G691" s="21" t="s">
        <v>11720</v>
      </c>
    </row>
    <row r="692" customFormat="false" ht="15" hidden="false" customHeight="false" outlineLevel="0" collapsed="false">
      <c r="B692" s="19" t="s">
        <v>12464</v>
      </c>
      <c r="C692" s="20" t="n">
        <f aca="false">ROUND(8.29/FX,2)</f>
        <v>1.15</v>
      </c>
      <c r="D692" s="21" t="s">
        <v>12084</v>
      </c>
      <c r="E692" s="21" t="s">
        <v>3637</v>
      </c>
      <c r="F692" s="21" t="s">
        <v>11845</v>
      </c>
      <c r="G692" s="21" t="s">
        <v>11720</v>
      </c>
    </row>
    <row r="693" customFormat="false" ht="15" hidden="false" customHeight="false" outlineLevel="0" collapsed="false">
      <c r="B693" s="19" t="s">
        <v>12465</v>
      </c>
      <c r="C693" s="20" t="n">
        <f aca="false">ROUND(8.35/FX,2)</f>
        <v>1.16</v>
      </c>
      <c r="D693" s="21" t="s">
        <v>12084</v>
      </c>
      <c r="E693" s="21" t="s">
        <v>12280</v>
      </c>
      <c r="F693" s="21" t="s">
        <v>11845</v>
      </c>
      <c r="G693" s="21" t="s">
        <v>11720</v>
      </c>
    </row>
    <row r="694" customFormat="false" ht="15" hidden="false" customHeight="false" outlineLevel="0" collapsed="false">
      <c r="B694" s="19" t="s">
        <v>12466</v>
      </c>
      <c r="C694" s="20" t="n">
        <f aca="false">ROUND(8.45/FX,2)</f>
        <v>1.17</v>
      </c>
      <c r="D694" s="21" t="s">
        <v>12084</v>
      </c>
      <c r="E694" s="21" t="s">
        <v>2162</v>
      </c>
      <c r="F694" s="21" t="s">
        <v>11845</v>
      </c>
      <c r="G694" s="21" t="s">
        <v>11720</v>
      </c>
    </row>
    <row r="695" customFormat="false" ht="15" hidden="false" customHeight="false" outlineLevel="0" collapsed="false">
      <c r="B695" s="19" t="s">
        <v>12467</v>
      </c>
      <c r="C695" s="20" t="n">
        <f aca="false">ROUND(8.61/FX,2)</f>
        <v>1.2</v>
      </c>
      <c r="D695" s="21" t="s">
        <v>12084</v>
      </c>
      <c r="E695" s="21" t="s">
        <v>2177</v>
      </c>
      <c r="F695" s="21" t="s">
        <v>11845</v>
      </c>
      <c r="G695" s="21" t="s">
        <v>11720</v>
      </c>
    </row>
    <row r="696" customFormat="false" ht="15" hidden="false" customHeight="false" outlineLevel="0" collapsed="false">
      <c r="B696" s="19" t="s">
        <v>12468</v>
      </c>
      <c r="C696" s="20" t="n">
        <f aca="false">ROUND(8.78/FX,2)</f>
        <v>1.22</v>
      </c>
      <c r="D696" s="21" t="s">
        <v>12084</v>
      </c>
      <c r="E696" s="21" t="s">
        <v>2182</v>
      </c>
      <c r="F696" s="21" t="s">
        <v>11845</v>
      </c>
      <c r="G696" s="21" t="s">
        <v>11720</v>
      </c>
    </row>
    <row r="697" customFormat="false" ht="15" hidden="false" customHeight="false" outlineLevel="0" collapsed="false">
      <c r="B697" s="19" t="s">
        <v>12469</v>
      </c>
      <c r="C697" s="20" t="n">
        <f aca="false">ROUND(8.86/FX,2)</f>
        <v>1.23</v>
      </c>
      <c r="D697" s="21" t="s">
        <v>12084</v>
      </c>
      <c r="E697" s="21" t="s">
        <v>12470</v>
      </c>
      <c r="F697" s="21" t="s">
        <v>11845</v>
      </c>
      <c r="G697" s="21" t="s">
        <v>11720</v>
      </c>
    </row>
    <row r="698" customFormat="false" ht="15" hidden="false" customHeight="false" outlineLevel="0" collapsed="false">
      <c r="B698" s="19" t="s">
        <v>12471</v>
      </c>
      <c r="C698" s="20" t="n">
        <f aca="false">ROUND(8.94/FX,2)</f>
        <v>1.24</v>
      </c>
      <c r="D698" s="21" t="s">
        <v>12084</v>
      </c>
      <c r="E698" s="21" t="s">
        <v>2187</v>
      </c>
      <c r="F698" s="21" t="s">
        <v>11845</v>
      </c>
      <c r="G698" s="21" t="s">
        <v>11720</v>
      </c>
    </row>
    <row r="699" customFormat="false" ht="15" hidden="false" customHeight="false" outlineLevel="0" collapsed="false">
      <c r="B699" s="19" t="s">
        <v>12472</v>
      </c>
      <c r="C699" s="20" t="n">
        <f aca="false">ROUND(9.27/FX,2)</f>
        <v>1.29</v>
      </c>
      <c r="D699" s="21" t="s">
        <v>12084</v>
      </c>
      <c r="E699" s="21" t="s">
        <v>2212</v>
      </c>
      <c r="F699" s="21" t="s">
        <v>11845</v>
      </c>
      <c r="G699" s="21" t="s">
        <v>11720</v>
      </c>
    </row>
    <row r="700" customFormat="false" ht="15" hidden="false" customHeight="false" outlineLevel="0" collapsed="false">
      <c r="B700" s="19" t="s">
        <v>12473</v>
      </c>
      <c r="C700" s="20" t="n">
        <f aca="false">ROUND(8.3/FX,2)</f>
        <v>1.15</v>
      </c>
      <c r="D700" s="21" t="s">
        <v>12084</v>
      </c>
      <c r="E700" s="21" t="s">
        <v>12371</v>
      </c>
      <c r="F700" s="21" t="s">
        <v>11845</v>
      </c>
      <c r="G700" s="21" t="s">
        <v>11720</v>
      </c>
    </row>
    <row r="701" customFormat="false" ht="15" hidden="false" customHeight="false" outlineLevel="0" collapsed="false">
      <c r="B701" s="19" t="s">
        <v>12474</v>
      </c>
      <c r="C701" s="20" t="n">
        <f aca="false">ROUND(9.59/FX,2)</f>
        <v>1.33</v>
      </c>
      <c r="D701" s="21" t="s">
        <v>12084</v>
      </c>
      <c r="E701" s="21" t="s">
        <v>12287</v>
      </c>
      <c r="F701" s="21" t="s">
        <v>11845</v>
      </c>
      <c r="G701" s="21" t="s">
        <v>11720</v>
      </c>
    </row>
    <row r="702" customFormat="false" ht="15" hidden="false" customHeight="false" outlineLevel="0" collapsed="false">
      <c r="B702" s="19" t="s">
        <v>12475</v>
      </c>
      <c r="C702" s="20" t="n">
        <f aca="false">ROUND(8.58/FX,2)</f>
        <v>1.19</v>
      </c>
      <c r="D702" s="21" t="s">
        <v>12084</v>
      </c>
      <c r="E702" s="21" t="s">
        <v>2227</v>
      </c>
      <c r="F702" s="21" t="s">
        <v>11845</v>
      </c>
      <c r="G702" s="21" t="s">
        <v>11720</v>
      </c>
    </row>
    <row r="703" customFormat="false" ht="15" hidden="false" customHeight="false" outlineLevel="0" collapsed="false">
      <c r="B703" s="19" t="s">
        <v>12476</v>
      </c>
      <c r="C703" s="20" t="n">
        <f aca="false">ROUND(9.83/FX,2)</f>
        <v>1.37</v>
      </c>
      <c r="D703" s="21" t="s">
        <v>12084</v>
      </c>
      <c r="E703" s="21" t="s">
        <v>12375</v>
      </c>
      <c r="F703" s="21" t="s">
        <v>11845</v>
      </c>
      <c r="G703" s="21" t="s">
        <v>11720</v>
      </c>
    </row>
    <row r="704" customFormat="false" ht="15" hidden="false" customHeight="false" outlineLevel="0" collapsed="false">
      <c r="B704" s="19" t="s">
        <v>12477</v>
      </c>
      <c r="C704" s="20" t="n">
        <f aca="false">ROUND(10.08/FX,2)</f>
        <v>1.4</v>
      </c>
      <c r="D704" s="21" t="s">
        <v>12084</v>
      </c>
      <c r="E704" s="21" t="s">
        <v>5448</v>
      </c>
      <c r="F704" s="21" t="s">
        <v>11845</v>
      </c>
      <c r="G704" s="21" t="s">
        <v>11720</v>
      </c>
    </row>
    <row r="705" customFormat="false" ht="15" hidden="false" customHeight="false" outlineLevel="0" collapsed="false">
      <c r="B705" s="19" t="s">
        <v>12478</v>
      </c>
      <c r="C705" s="20" t="n">
        <f aca="false">ROUND(9.99/FX,2)</f>
        <v>1.39</v>
      </c>
      <c r="D705" s="21" t="s">
        <v>12084</v>
      </c>
      <c r="E705" s="21" t="s">
        <v>2279</v>
      </c>
      <c r="F705" s="21" t="s">
        <v>11845</v>
      </c>
      <c r="G705" s="21" t="s">
        <v>11720</v>
      </c>
    </row>
    <row r="706" customFormat="false" ht="15" hidden="false" customHeight="false" outlineLevel="0" collapsed="false">
      <c r="B706" s="19" t="s">
        <v>12479</v>
      </c>
      <c r="C706" s="20" t="n">
        <f aca="false">ROUND(10.56/FX,2)</f>
        <v>1.47</v>
      </c>
      <c r="D706" s="21" t="s">
        <v>12084</v>
      </c>
      <c r="E706" s="21" t="s">
        <v>2297</v>
      </c>
      <c r="F706" s="21" t="s">
        <v>11845</v>
      </c>
      <c r="G706" s="21" t="s">
        <v>11720</v>
      </c>
    </row>
    <row r="707" customFormat="false" ht="15" hidden="false" customHeight="false" outlineLevel="0" collapsed="false">
      <c r="B707" s="19" t="s">
        <v>12480</v>
      </c>
      <c r="C707" s="20" t="n">
        <f aca="false">ROUND(11.21/FX,2)</f>
        <v>1.56</v>
      </c>
      <c r="D707" s="21" t="s">
        <v>12084</v>
      </c>
      <c r="E707" s="21" t="s">
        <v>2339</v>
      </c>
      <c r="F707" s="21" t="s">
        <v>11845</v>
      </c>
      <c r="G707" s="21" t="s">
        <v>11720</v>
      </c>
    </row>
    <row r="708" customFormat="false" ht="15" hidden="false" customHeight="false" outlineLevel="0" collapsed="false">
      <c r="B708" s="19" t="s">
        <v>12481</v>
      </c>
      <c r="C708" s="20" t="n">
        <f aca="false">ROUND(10.01/FX,2)</f>
        <v>1.39</v>
      </c>
      <c r="D708" s="21" t="s">
        <v>12084</v>
      </c>
      <c r="E708" s="21" t="s">
        <v>2351</v>
      </c>
      <c r="F708" s="21" t="s">
        <v>11845</v>
      </c>
      <c r="G708" s="21" t="s">
        <v>11720</v>
      </c>
    </row>
    <row r="709" customFormat="false" ht="15" hidden="false" customHeight="false" outlineLevel="0" collapsed="false">
      <c r="B709" s="19" t="s">
        <v>12482</v>
      </c>
      <c r="C709" s="20" t="n">
        <f aca="false">ROUND(10.3/FX,2)</f>
        <v>1.43</v>
      </c>
      <c r="D709" s="21" t="s">
        <v>12084</v>
      </c>
      <c r="E709" s="21" t="s">
        <v>2369</v>
      </c>
      <c r="F709" s="21" t="s">
        <v>11845</v>
      </c>
      <c r="G709" s="21" t="s">
        <v>11720</v>
      </c>
    </row>
    <row r="710" customFormat="false" ht="15" hidden="false" customHeight="false" outlineLevel="0" collapsed="false">
      <c r="B710" s="19" t="s">
        <v>12483</v>
      </c>
      <c r="C710" s="20" t="n">
        <f aca="false">ROUND(12.03/FX,2)</f>
        <v>1.67</v>
      </c>
      <c r="D710" s="21" t="s">
        <v>12084</v>
      </c>
      <c r="E710" s="21" t="s">
        <v>2390</v>
      </c>
      <c r="F710" s="21" t="s">
        <v>11845</v>
      </c>
      <c r="G710" s="21" t="s">
        <v>11720</v>
      </c>
    </row>
    <row r="711" customFormat="false" ht="15" hidden="false" customHeight="false" outlineLevel="0" collapsed="false">
      <c r="B711" s="19" t="s">
        <v>12484</v>
      </c>
      <c r="C711" s="20" t="n">
        <f aca="false">ROUND(10.73/FX,2)</f>
        <v>1.49</v>
      </c>
      <c r="D711" s="21" t="s">
        <v>12084</v>
      </c>
      <c r="E711" s="21" t="s">
        <v>2400</v>
      </c>
      <c r="F711" s="21" t="s">
        <v>11845</v>
      </c>
      <c r="G711" s="21" t="s">
        <v>11720</v>
      </c>
    </row>
    <row r="712" customFormat="false" ht="15" hidden="false" customHeight="false" outlineLevel="0" collapsed="false">
      <c r="B712" s="19" t="s">
        <v>12485</v>
      </c>
      <c r="C712" s="20" t="n">
        <f aca="false">ROUND(12.68/FX,2)</f>
        <v>1.76</v>
      </c>
      <c r="D712" s="21" t="s">
        <v>12084</v>
      </c>
      <c r="E712" s="21" t="s">
        <v>6291</v>
      </c>
      <c r="F712" s="21" t="s">
        <v>11845</v>
      </c>
      <c r="G712" s="21" t="s">
        <v>11720</v>
      </c>
    </row>
    <row r="713" customFormat="false" ht="15" hidden="false" customHeight="false" outlineLevel="0" collapsed="false">
      <c r="B713" s="19" t="s">
        <v>12486</v>
      </c>
      <c r="C713" s="20" t="n">
        <f aca="false">ROUND(1.63/FX,2)</f>
        <v>0.23</v>
      </c>
      <c r="D713" s="21" t="s">
        <v>12084</v>
      </c>
      <c r="E713" s="21" t="s">
        <v>3061</v>
      </c>
      <c r="F713" s="21" t="s">
        <v>11845</v>
      </c>
      <c r="G713" s="21" t="s">
        <v>11720</v>
      </c>
    </row>
    <row r="714" customFormat="false" ht="15" hidden="false" customHeight="false" outlineLevel="0" collapsed="false">
      <c r="B714" s="19" t="s">
        <v>12487</v>
      </c>
      <c r="C714" s="20" t="n">
        <f aca="false">ROUND(13/FX,2)</f>
        <v>1.81</v>
      </c>
      <c r="D714" s="21" t="s">
        <v>12084</v>
      </c>
      <c r="E714" s="21" t="s">
        <v>2440</v>
      </c>
      <c r="F714" s="21" t="s">
        <v>11845</v>
      </c>
      <c r="G714" s="21" t="s">
        <v>11720</v>
      </c>
    </row>
    <row r="715" customFormat="false" ht="15" hidden="false" customHeight="false" outlineLevel="0" collapsed="false">
      <c r="B715" s="19" t="s">
        <v>12488</v>
      </c>
      <c r="C715" s="20" t="n">
        <f aca="false">ROUND(13.33/FX,2)</f>
        <v>1.85</v>
      </c>
      <c r="D715" s="21" t="s">
        <v>12084</v>
      </c>
      <c r="E715" s="21" t="s">
        <v>5587</v>
      </c>
      <c r="F715" s="21" t="s">
        <v>11845</v>
      </c>
      <c r="G715" s="21" t="s">
        <v>11720</v>
      </c>
    </row>
    <row r="716" customFormat="false" ht="15" hidden="false" customHeight="false" outlineLevel="0" collapsed="false">
      <c r="B716" s="19" t="s">
        <v>12489</v>
      </c>
      <c r="C716" s="20" t="n">
        <f aca="false">ROUND(13.65/FX,2)</f>
        <v>1.9</v>
      </c>
      <c r="D716" s="21" t="s">
        <v>12084</v>
      </c>
      <c r="E716" s="21" t="s">
        <v>2460</v>
      </c>
      <c r="F716" s="21" t="s">
        <v>11845</v>
      </c>
      <c r="G716" s="21" t="s">
        <v>11720</v>
      </c>
    </row>
    <row r="717" customFormat="false" ht="15" hidden="false" customHeight="false" outlineLevel="0" collapsed="false">
      <c r="B717" s="19" t="s">
        <v>12490</v>
      </c>
      <c r="C717" s="20" t="n">
        <f aca="false">ROUND(13.81/FX,2)</f>
        <v>1.92</v>
      </c>
      <c r="D717" s="21" t="s">
        <v>12084</v>
      </c>
      <c r="E717" s="21" t="s">
        <v>2470</v>
      </c>
      <c r="F717" s="21" t="s">
        <v>11845</v>
      </c>
      <c r="G717" s="21" t="s">
        <v>11720</v>
      </c>
    </row>
    <row r="718" customFormat="false" ht="15" hidden="false" customHeight="false" outlineLevel="0" collapsed="false">
      <c r="B718" s="19" t="s">
        <v>12491</v>
      </c>
      <c r="C718" s="20" t="n">
        <f aca="false">ROUND(14.63/FX,2)</f>
        <v>2.03</v>
      </c>
      <c r="D718" s="21" t="s">
        <v>12084</v>
      </c>
      <c r="E718" s="21" t="s">
        <v>2500</v>
      </c>
      <c r="F718" s="21" t="s">
        <v>11845</v>
      </c>
      <c r="G718" s="21" t="s">
        <v>11720</v>
      </c>
    </row>
    <row r="719" customFormat="false" ht="15" hidden="false" customHeight="false" outlineLevel="0" collapsed="false">
      <c r="B719" s="19" t="s">
        <v>12492</v>
      </c>
      <c r="C719" s="20" t="n">
        <f aca="false">ROUND(14.79/FX,2)</f>
        <v>2.05</v>
      </c>
      <c r="D719" s="21" t="s">
        <v>12084</v>
      </c>
      <c r="E719" s="21" t="s">
        <v>2510</v>
      </c>
      <c r="F719" s="21" t="s">
        <v>11845</v>
      </c>
      <c r="G719" s="21" t="s">
        <v>11720</v>
      </c>
    </row>
    <row r="720" customFormat="false" ht="15" hidden="false" customHeight="false" outlineLevel="0" collapsed="false">
      <c r="B720" s="19" t="s">
        <v>12493</v>
      </c>
      <c r="C720" s="20" t="n">
        <f aca="false">ROUND(13.16/FX,2)</f>
        <v>1.83</v>
      </c>
      <c r="D720" s="21" t="s">
        <v>12084</v>
      </c>
      <c r="E720" s="21" t="s">
        <v>2520</v>
      </c>
      <c r="F720" s="21" t="s">
        <v>11845</v>
      </c>
      <c r="G720" s="21" t="s">
        <v>11720</v>
      </c>
    </row>
    <row r="721" customFormat="false" ht="15" hidden="false" customHeight="false" outlineLevel="0" collapsed="false">
      <c r="B721" s="19" t="s">
        <v>12494</v>
      </c>
      <c r="C721" s="20" t="n">
        <f aca="false">ROUND(15.28/FX,2)</f>
        <v>2.12</v>
      </c>
      <c r="D721" s="21" t="s">
        <v>12084</v>
      </c>
      <c r="E721" s="21" t="s">
        <v>12304</v>
      </c>
      <c r="F721" s="21" t="s">
        <v>11845</v>
      </c>
      <c r="G721" s="21" t="s">
        <v>11720</v>
      </c>
    </row>
    <row r="722" customFormat="false" ht="15" hidden="false" customHeight="false" outlineLevel="0" collapsed="false">
      <c r="B722" s="19" t="s">
        <v>12495</v>
      </c>
      <c r="C722" s="20" t="n">
        <f aca="false">ROUND(16.01/FX,2)</f>
        <v>2.22</v>
      </c>
      <c r="D722" s="21" t="s">
        <v>12084</v>
      </c>
      <c r="E722" s="21" t="s">
        <v>12496</v>
      </c>
      <c r="F722" s="21" t="s">
        <v>11845</v>
      </c>
      <c r="G722" s="21" t="s">
        <v>11720</v>
      </c>
    </row>
    <row r="723" customFormat="false" ht="15" hidden="false" customHeight="false" outlineLevel="0" collapsed="false">
      <c r="B723" s="19" t="s">
        <v>12497</v>
      </c>
      <c r="C723" s="20" t="n">
        <f aca="false">ROUND(16.06/FX,2)</f>
        <v>2.23</v>
      </c>
      <c r="D723" s="21" t="s">
        <v>12084</v>
      </c>
      <c r="E723" s="21" t="s">
        <v>12498</v>
      </c>
      <c r="F723" s="21" t="s">
        <v>11845</v>
      </c>
      <c r="G723" s="21" t="s">
        <v>11720</v>
      </c>
    </row>
    <row r="724" customFormat="false" ht="15" hidden="false" customHeight="false" outlineLevel="0" collapsed="false">
      <c r="B724" s="19" t="s">
        <v>12499</v>
      </c>
      <c r="C724" s="20" t="n">
        <f aca="false">ROUND(15.54/FX,2)</f>
        <v>2.16</v>
      </c>
      <c r="D724" s="21" t="s">
        <v>12084</v>
      </c>
      <c r="E724" s="21" t="s">
        <v>12500</v>
      </c>
      <c r="F724" s="21" t="s">
        <v>11845</v>
      </c>
      <c r="G724" s="21" t="s">
        <v>11720</v>
      </c>
    </row>
    <row r="725" customFormat="false" ht="15" hidden="false" customHeight="false" outlineLevel="0" collapsed="false">
      <c r="B725" s="19" t="s">
        <v>12501</v>
      </c>
      <c r="C725" s="20" t="n">
        <f aca="false">ROUND(23.4/FX,2)</f>
        <v>3.25</v>
      </c>
      <c r="D725" s="21" t="s">
        <v>12084</v>
      </c>
      <c r="E725" s="21" t="s">
        <v>1733</v>
      </c>
      <c r="F725" s="21" t="s">
        <v>11845</v>
      </c>
      <c r="G725" s="21" t="s">
        <v>11810</v>
      </c>
    </row>
    <row r="726" customFormat="false" ht="15" hidden="false" customHeight="false" outlineLevel="0" collapsed="false">
      <c r="B726" s="19" t="s">
        <v>12502</v>
      </c>
      <c r="C726" s="20" t="n">
        <f aca="false">ROUND(28.08/FX,2)</f>
        <v>3.9</v>
      </c>
      <c r="D726" s="21" t="s">
        <v>12084</v>
      </c>
      <c r="E726" s="21" t="s">
        <v>3253</v>
      </c>
      <c r="F726" s="21" t="s">
        <v>11845</v>
      </c>
      <c r="G726" s="21" t="s">
        <v>11810</v>
      </c>
    </row>
    <row r="727" customFormat="false" ht="15" hidden="false" customHeight="false" outlineLevel="0" collapsed="false">
      <c r="B727" s="19" t="s">
        <v>12503</v>
      </c>
      <c r="C727" s="20" t="n">
        <f aca="false">ROUND(4.68/FX,2)</f>
        <v>0.65</v>
      </c>
      <c r="D727" s="21" t="s">
        <v>12084</v>
      </c>
      <c r="E727" s="21" t="s">
        <v>1048</v>
      </c>
      <c r="F727" s="21" t="s">
        <v>11845</v>
      </c>
      <c r="G727" s="21" t="s">
        <v>11810</v>
      </c>
    </row>
    <row r="728" customFormat="false" ht="15" hidden="false" customHeight="false" outlineLevel="0" collapsed="false">
      <c r="B728" s="19" t="s">
        <v>12504</v>
      </c>
      <c r="C728" s="20" t="n">
        <f aca="false">ROUND(5.85/FX,2)</f>
        <v>0.81</v>
      </c>
      <c r="D728" s="21" t="s">
        <v>12084</v>
      </c>
      <c r="E728" s="21" t="s">
        <v>1323</v>
      </c>
      <c r="F728" s="21" t="s">
        <v>11845</v>
      </c>
      <c r="G728" s="21" t="s">
        <v>11810</v>
      </c>
    </row>
    <row r="729" customFormat="false" ht="15" hidden="false" customHeight="false" outlineLevel="0" collapsed="false">
      <c r="B729" s="19" t="s">
        <v>12505</v>
      </c>
      <c r="C729" s="20" t="n">
        <f aca="false">ROUND(7.02/FX,2)</f>
        <v>0.98</v>
      </c>
      <c r="D729" s="21" t="s">
        <v>12084</v>
      </c>
      <c r="E729" s="21" t="s">
        <v>1520</v>
      </c>
      <c r="F729" s="21" t="s">
        <v>11845</v>
      </c>
      <c r="G729" s="21" t="s">
        <v>11810</v>
      </c>
    </row>
    <row r="730" customFormat="false" ht="15" hidden="false" customHeight="false" outlineLevel="0" collapsed="false">
      <c r="B730" s="19" t="s">
        <v>12506</v>
      </c>
      <c r="C730" s="20" t="n">
        <f aca="false">ROUND(9.36/FX,2)</f>
        <v>1.3</v>
      </c>
      <c r="D730" s="21" t="s">
        <v>12084</v>
      </c>
      <c r="E730" s="21" t="s">
        <v>2002</v>
      </c>
      <c r="F730" s="21" t="s">
        <v>11845</v>
      </c>
      <c r="G730" s="21" t="s">
        <v>11810</v>
      </c>
    </row>
    <row r="731" customFormat="false" ht="15" hidden="false" customHeight="false" outlineLevel="0" collapsed="false">
      <c r="B731" s="19" t="s">
        <v>12507</v>
      </c>
      <c r="C731" s="20" t="n">
        <f aca="false">ROUND(10.53/FX,2)</f>
        <v>1.46</v>
      </c>
      <c r="D731" s="21" t="s">
        <v>12084</v>
      </c>
      <c r="E731" s="21" t="s">
        <v>2067</v>
      </c>
      <c r="F731" s="21" t="s">
        <v>11845</v>
      </c>
      <c r="G731" s="21" t="s">
        <v>11810</v>
      </c>
    </row>
    <row r="732" customFormat="false" ht="15" hidden="false" customHeight="false" outlineLevel="0" collapsed="false">
      <c r="B732" s="19" t="s">
        <v>12508</v>
      </c>
      <c r="C732" s="20" t="n">
        <f aca="false">ROUND(11.7/FX,2)</f>
        <v>1.63</v>
      </c>
      <c r="D732" s="21" t="s">
        <v>12084</v>
      </c>
      <c r="E732" s="21" t="s">
        <v>2142</v>
      </c>
      <c r="F732" s="21" t="s">
        <v>11845</v>
      </c>
      <c r="G732" s="21" t="s">
        <v>11810</v>
      </c>
    </row>
    <row r="733" customFormat="false" ht="15" hidden="false" customHeight="false" outlineLevel="0" collapsed="false">
      <c r="B733" s="19" t="s">
        <v>12509</v>
      </c>
      <c r="C733" s="20" t="n">
        <f aca="false">ROUND(26/FX,2)</f>
        <v>3.61</v>
      </c>
      <c r="D733" s="21" t="s">
        <v>12084</v>
      </c>
      <c r="E733" s="21" t="s">
        <v>1733</v>
      </c>
      <c r="F733" s="21" t="s">
        <v>11845</v>
      </c>
      <c r="G733" s="21" t="s">
        <v>12510</v>
      </c>
    </row>
    <row r="734" customFormat="false" ht="15" hidden="false" customHeight="false" outlineLevel="0" collapsed="false">
      <c r="B734" s="19" t="s">
        <v>12511</v>
      </c>
      <c r="C734" s="20" t="n">
        <f aca="false">ROUND(2.34/FX,2)</f>
        <v>0.33</v>
      </c>
      <c r="D734" s="21" t="s">
        <v>12084</v>
      </c>
      <c r="E734" s="21" t="s">
        <v>2600</v>
      </c>
      <c r="F734" s="21" t="s">
        <v>11874</v>
      </c>
      <c r="G734" s="21" t="s">
        <v>11720</v>
      </c>
    </row>
    <row r="735" customFormat="false" ht="15" hidden="false" customHeight="false" outlineLevel="0" collapsed="false">
      <c r="B735" s="19" t="s">
        <v>12512</v>
      </c>
      <c r="C735" s="20" t="n">
        <f aca="false">ROUND(28.08/FX,2)</f>
        <v>3.9</v>
      </c>
      <c r="D735" s="21" t="s">
        <v>12084</v>
      </c>
      <c r="E735" s="21" t="s">
        <v>3253</v>
      </c>
      <c r="F735" s="21" t="s">
        <v>11874</v>
      </c>
      <c r="G735" s="21" t="s">
        <v>11720</v>
      </c>
    </row>
    <row r="736" customFormat="false" ht="15" hidden="false" customHeight="false" outlineLevel="0" collapsed="false">
      <c r="B736" s="19" t="s">
        <v>12513</v>
      </c>
      <c r="C736" s="20" t="n">
        <f aca="false">ROUND(36.04/FX,2)</f>
        <v>5.01</v>
      </c>
      <c r="D736" s="21" t="s">
        <v>12084</v>
      </c>
      <c r="E736" s="21" t="s">
        <v>1902</v>
      </c>
      <c r="F736" s="21" t="s">
        <v>11874</v>
      </c>
      <c r="G736" s="21" t="s">
        <v>11720</v>
      </c>
    </row>
    <row r="737" customFormat="false" ht="15" hidden="false" customHeight="false" outlineLevel="0" collapsed="false">
      <c r="B737" s="19" t="s">
        <v>12514</v>
      </c>
      <c r="C737" s="20" t="n">
        <f aca="false">ROUND(4.45/FX,2)</f>
        <v>0.62</v>
      </c>
      <c r="D737" s="21" t="s">
        <v>12084</v>
      </c>
      <c r="E737" s="21" t="s">
        <v>993</v>
      </c>
      <c r="F737" s="21" t="s">
        <v>11874</v>
      </c>
      <c r="G737" s="21" t="s">
        <v>11720</v>
      </c>
    </row>
    <row r="738" customFormat="false" ht="15" hidden="false" customHeight="false" outlineLevel="0" collapsed="false">
      <c r="B738" s="19" t="s">
        <v>12515</v>
      </c>
      <c r="C738" s="20" t="n">
        <f aca="false">ROUND(4.68/FX,2)</f>
        <v>0.65</v>
      </c>
      <c r="D738" s="21" t="s">
        <v>12084</v>
      </c>
      <c r="E738" s="21" t="s">
        <v>1048</v>
      </c>
      <c r="F738" s="21" t="s">
        <v>11874</v>
      </c>
      <c r="G738" s="21" t="s">
        <v>11720</v>
      </c>
    </row>
    <row r="739" customFormat="false" ht="15" hidden="false" customHeight="false" outlineLevel="0" collapsed="false">
      <c r="B739" s="19" t="s">
        <v>12516</v>
      </c>
      <c r="C739" s="20" t="n">
        <f aca="false">ROUND(5.62/FX,2)</f>
        <v>0.78</v>
      </c>
      <c r="D739" s="21" t="s">
        <v>12084</v>
      </c>
      <c r="E739" s="21" t="s">
        <v>1268</v>
      </c>
      <c r="F739" s="21" t="s">
        <v>11874</v>
      </c>
      <c r="G739" s="21" t="s">
        <v>11720</v>
      </c>
    </row>
    <row r="740" customFormat="false" ht="15" hidden="false" customHeight="false" outlineLevel="0" collapsed="false">
      <c r="B740" s="19" t="s">
        <v>12517</v>
      </c>
      <c r="C740" s="20" t="n">
        <f aca="false">ROUND(5.85/FX,2)</f>
        <v>0.81</v>
      </c>
      <c r="D740" s="21" t="s">
        <v>12084</v>
      </c>
      <c r="E740" s="21" t="s">
        <v>1323</v>
      </c>
      <c r="F740" s="21" t="s">
        <v>11874</v>
      </c>
      <c r="G740" s="21" t="s">
        <v>11720</v>
      </c>
    </row>
    <row r="741" customFormat="false" ht="15" hidden="false" customHeight="false" outlineLevel="0" collapsed="false">
      <c r="B741" s="19" t="s">
        <v>12518</v>
      </c>
      <c r="C741" s="20" t="n">
        <f aca="false">ROUND(7.02/FX,2)</f>
        <v>0.98</v>
      </c>
      <c r="D741" s="21" t="s">
        <v>12084</v>
      </c>
      <c r="E741" s="21" t="s">
        <v>1520</v>
      </c>
      <c r="F741" s="21" t="s">
        <v>11874</v>
      </c>
      <c r="G741" s="21" t="s">
        <v>11720</v>
      </c>
    </row>
    <row r="742" customFormat="false" ht="15" hidden="false" customHeight="false" outlineLevel="0" collapsed="false">
      <c r="B742" s="19" t="s">
        <v>12519</v>
      </c>
      <c r="C742" s="20" t="n">
        <f aca="false">ROUND(7.25/FX,2)</f>
        <v>1.01</v>
      </c>
      <c r="D742" s="21" t="s">
        <v>12084</v>
      </c>
      <c r="E742" s="21" t="s">
        <v>1545</v>
      </c>
      <c r="F742" s="21" t="s">
        <v>11874</v>
      </c>
      <c r="G742" s="21" t="s">
        <v>11720</v>
      </c>
    </row>
    <row r="743" customFormat="false" ht="15" hidden="false" customHeight="false" outlineLevel="0" collapsed="false">
      <c r="B743" s="19" t="s">
        <v>12520</v>
      </c>
      <c r="C743" s="20" t="n">
        <f aca="false">ROUND(8.19/FX,2)</f>
        <v>1.14</v>
      </c>
      <c r="D743" s="21" t="s">
        <v>12084</v>
      </c>
      <c r="E743" s="21" t="s">
        <v>1635</v>
      </c>
      <c r="F743" s="21" t="s">
        <v>11874</v>
      </c>
      <c r="G743" s="21" t="s">
        <v>11720</v>
      </c>
    </row>
    <row r="744" customFormat="false" ht="15" hidden="false" customHeight="false" outlineLevel="0" collapsed="false">
      <c r="B744" s="19" t="s">
        <v>12521</v>
      </c>
      <c r="C744" s="20" t="n">
        <f aca="false">ROUND(9.36/FX,2)</f>
        <v>1.3</v>
      </c>
      <c r="D744" s="21" t="s">
        <v>12084</v>
      </c>
      <c r="E744" s="21" t="s">
        <v>2002</v>
      </c>
      <c r="F744" s="21" t="s">
        <v>11874</v>
      </c>
      <c r="G744" s="21" t="s">
        <v>11720</v>
      </c>
    </row>
    <row r="745" customFormat="false" ht="15" hidden="false" customHeight="false" outlineLevel="0" collapsed="false">
      <c r="B745" s="19" t="s">
        <v>12522</v>
      </c>
      <c r="C745" s="20" t="n">
        <f aca="false">ROUND(11.7/FX,2)</f>
        <v>1.63</v>
      </c>
      <c r="D745" s="21" t="s">
        <v>12084</v>
      </c>
      <c r="E745" s="21" t="s">
        <v>2142</v>
      </c>
      <c r="F745" s="21" t="s">
        <v>11874</v>
      </c>
      <c r="G745" s="21" t="s">
        <v>11720</v>
      </c>
    </row>
    <row r="748" customFormat="false" ht="61.5" hidden="false" customHeight="true" outlineLevel="0" collapsed="false">
      <c r="A748" s="9"/>
      <c r="B748" s="10" t="s">
        <v>12523</v>
      </c>
      <c r="C748" s="10"/>
      <c r="D748" s="10"/>
      <c r="E748" s="10"/>
      <c r="F748" s="10"/>
      <c r="G748" s="10"/>
      <c r="H748" s="10"/>
    </row>
    <row r="749" customFormat="false" ht="15" hidden="false" customHeight="false" outlineLevel="0" collapsed="false">
      <c r="A749" s="12" t="s">
        <v>700</v>
      </c>
      <c r="B749" s="13" t="s">
        <v>701</v>
      </c>
      <c r="C749" s="13" t="s">
        <v>702</v>
      </c>
      <c r="D749" s="13" t="s">
        <v>5610</v>
      </c>
      <c r="E749" s="13" t="s">
        <v>11716</v>
      </c>
      <c r="F749" s="13" t="s">
        <v>11717</v>
      </c>
      <c r="G749" s="13" t="s">
        <v>11718</v>
      </c>
      <c r="H749" s="13" t="s">
        <v>12524</v>
      </c>
    </row>
    <row r="750" customFormat="false" ht="30" hidden="false" customHeight="true" outlineLevel="0" collapsed="false">
      <c r="A750" s="14" t="s">
        <v>706</v>
      </c>
      <c r="B750" s="15" t="str">
        <f aca="false">IF(COUNTIFS($D$753:$D$1016,IF(D750="","*",D750),$E$753:$E$1016,IF(E750="","*",E750),$F$753:$F$1016,IF(F750="","*",F750),$G$753:$G$1016,IF(G750="","*",G750),$H$753:$H$1016,IF(H750="","*",H750))=1,INDEX($B:$B,SUMPRODUCT(((D750="")+($D$753:$D$1016=D750)&gt;0)*((E750="")+($E$753:$E$1016=E750)&gt;0)*((F750="")+($F$753:$F$1016=F750)&gt;0)*((G750="")+($G$753:$G$1016=G750)&gt;0)*((H750="")+($H$753:$H$1016=H750)&gt;0)*ROW($B$753:$B$1016))),IF(COUNTIFS($D$753:$D$1016,IF(D750="","*",D750),$E$753:$E$1016,IF(E750="","*",E750),$F$753:$F$1016,IF(F750="","*",F750),$G$753:$G$1016,IF(G750="","*",G750),$H$753:$H$1016,IF(H750="","*",H750))=0,"Not available",COUNTIFS($D$753:$D$1016,IF(D750="","*",D750),$E$753:$E$1016,IF(E750="","*",E750),$F$753:$F$1016,IF(F750="","*",F750),$G$753:$G$1016,IF(G750="","*",G750),$H$753:$H$1016,IF(H750="","*",H750))&amp;" match, keep choosing"))</f>
        <v>TSN-T10-P1L1-L300</v>
      </c>
      <c r="C750" s="16" t="n">
        <f aca="false">IF(COUNTIFS($D$753:$D$1016,IF(D750="","*",D750),$E$753:$E$1016,IF(E750="","*",E750),$F$753:$F$1016,IF(F750="","*",F750),$G$753:$G$1016,IF(G750="","*",G750),$H$753:$H$1016,IF(H750="","*",H750))=1,INDEX($C:$C,SUMPRODUCT(((D750="")+($D$753:$D$1016=D750)&gt;0)*((E750="")+($E$753:$E$1016=E750)&gt;0)*((F750="")+($F$753:$F$1016=F750)&gt;0)*((G750="")+($G$753:$G$1016=G750)&gt;0)*((H750="")+($H$753:$H$1016=H750)&gt;0)*ROW($B$753:$B$1016))),"")</f>
        <v>3.07</v>
      </c>
      <c r="D750" s="17" t="s">
        <v>6242</v>
      </c>
      <c r="E750" s="17" t="s">
        <v>1520</v>
      </c>
      <c r="F750" s="17" t="s">
        <v>11957</v>
      </c>
      <c r="G750" s="17" t="s">
        <v>11720</v>
      </c>
      <c r="H750" s="17" t="s">
        <v>12525</v>
      </c>
    </row>
    <row r="752" customFormat="false" ht="15" hidden="false" customHeight="false" outlineLevel="0" collapsed="false">
      <c r="B752" s="18" t="s">
        <v>701</v>
      </c>
      <c r="C752" s="18" t="s">
        <v>702</v>
      </c>
      <c r="D752" s="18" t="s">
        <v>5610</v>
      </c>
      <c r="E752" s="18" t="s">
        <v>11716</v>
      </c>
      <c r="F752" s="18" t="s">
        <v>11717</v>
      </c>
      <c r="G752" s="18" t="s">
        <v>11718</v>
      </c>
      <c r="H752" s="18" t="s">
        <v>12524</v>
      </c>
    </row>
    <row r="753" customFormat="false" ht="15" hidden="false" customHeight="false" outlineLevel="0" collapsed="false">
      <c r="B753" s="19" t="s">
        <v>12526</v>
      </c>
      <c r="C753" s="20" t="n">
        <f aca="false">ROUND(22.1/FX,2)</f>
        <v>3.07</v>
      </c>
      <c r="D753" s="21" t="s">
        <v>6242</v>
      </c>
      <c r="E753" s="21" t="s">
        <v>1520</v>
      </c>
      <c r="F753" s="21" t="s">
        <v>11957</v>
      </c>
      <c r="G753" s="21" t="s">
        <v>11720</v>
      </c>
      <c r="H753" s="21" t="s">
        <v>12525</v>
      </c>
    </row>
    <row r="754" customFormat="false" ht="15" hidden="false" customHeight="false" outlineLevel="0" collapsed="false">
      <c r="B754" s="19" t="s">
        <v>12527</v>
      </c>
      <c r="C754" s="20" t="n">
        <f aca="false">ROUND(46.7/FX,2)</f>
        <v>6.49</v>
      </c>
      <c r="D754" s="21" t="s">
        <v>6242</v>
      </c>
      <c r="E754" s="21" t="s">
        <v>2227</v>
      </c>
      <c r="F754" s="21" t="s">
        <v>11719</v>
      </c>
      <c r="G754" s="21" t="s">
        <v>11720</v>
      </c>
      <c r="H754" s="21" t="s">
        <v>12528</v>
      </c>
    </row>
    <row r="755" customFormat="false" ht="15" hidden="false" customHeight="false" outlineLevel="0" collapsed="false">
      <c r="B755" s="19" t="s">
        <v>12529</v>
      </c>
      <c r="C755" s="20" t="n">
        <f aca="false">ROUND(57.2/FX,2)</f>
        <v>7.94</v>
      </c>
      <c r="D755" s="21" t="s">
        <v>11888</v>
      </c>
      <c r="E755" s="21" t="s">
        <v>1733</v>
      </c>
      <c r="F755" s="21" t="s">
        <v>11746</v>
      </c>
      <c r="G755" s="21" t="s">
        <v>11720</v>
      </c>
      <c r="H755" s="21" t="s">
        <v>12525</v>
      </c>
    </row>
    <row r="756" customFormat="false" ht="15" hidden="false" customHeight="false" outlineLevel="0" collapsed="false">
      <c r="B756" s="19" t="s">
        <v>12530</v>
      </c>
      <c r="C756" s="20" t="n">
        <f aca="false">ROUND(67.08/FX,2)</f>
        <v>9.32</v>
      </c>
      <c r="D756" s="21" t="s">
        <v>11888</v>
      </c>
      <c r="E756" s="21" t="s">
        <v>3253</v>
      </c>
      <c r="F756" s="21" t="s">
        <v>11746</v>
      </c>
      <c r="G756" s="21" t="s">
        <v>11720</v>
      </c>
      <c r="H756" s="21" t="s">
        <v>12525</v>
      </c>
    </row>
    <row r="757" customFormat="false" ht="15" hidden="false" customHeight="false" outlineLevel="0" collapsed="false">
      <c r="B757" s="19" t="s">
        <v>12531</v>
      </c>
      <c r="C757" s="20" t="n">
        <f aca="false">ROUND(45.83/FX,2)</f>
        <v>6.37</v>
      </c>
      <c r="D757" s="21" t="s">
        <v>11888</v>
      </c>
      <c r="E757" s="21" t="s">
        <v>1802</v>
      </c>
      <c r="F757" s="21" t="s">
        <v>11746</v>
      </c>
      <c r="G757" s="21" t="s">
        <v>11720</v>
      </c>
      <c r="H757" s="21" t="s">
        <v>12525</v>
      </c>
    </row>
    <row r="758" customFormat="false" ht="15" hidden="false" customHeight="false" outlineLevel="0" collapsed="false">
      <c r="B758" s="19" t="s">
        <v>12532</v>
      </c>
      <c r="C758" s="20" t="n">
        <f aca="false">ROUND(81.9/FX,2)</f>
        <v>11.38</v>
      </c>
      <c r="D758" s="21" t="s">
        <v>11888</v>
      </c>
      <c r="E758" s="21" t="s">
        <v>1881</v>
      </c>
      <c r="F758" s="21" t="s">
        <v>11746</v>
      </c>
      <c r="G758" s="21" t="s">
        <v>11720</v>
      </c>
      <c r="H758" s="21" t="s">
        <v>12525</v>
      </c>
    </row>
    <row r="759" customFormat="false" ht="15" hidden="false" customHeight="false" outlineLevel="0" collapsed="false">
      <c r="B759" s="19" t="s">
        <v>12533</v>
      </c>
      <c r="C759" s="20" t="n">
        <f aca="false">ROUND(83.88/FX,2)</f>
        <v>11.65</v>
      </c>
      <c r="D759" s="21" t="s">
        <v>11888</v>
      </c>
      <c r="E759" s="21" t="s">
        <v>1902</v>
      </c>
      <c r="F759" s="21" t="s">
        <v>11746</v>
      </c>
      <c r="G759" s="21" t="s">
        <v>11720</v>
      </c>
      <c r="H759" s="21" t="s">
        <v>12525</v>
      </c>
    </row>
    <row r="760" customFormat="false" ht="15" hidden="false" customHeight="false" outlineLevel="0" collapsed="false">
      <c r="B760" s="19" t="s">
        <v>12534</v>
      </c>
      <c r="C760" s="20" t="n">
        <f aca="false">ROUND(106.6/FX,2)</f>
        <v>14.81</v>
      </c>
      <c r="D760" s="21" t="s">
        <v>11888</v>
      </c>
      <c r="E760" s="21" t="s">
        <v>1924</v>
      </c>
      <c r="F760" s="21" t="s">
        <v>11746</v>
      </c>
      <c r="G760" s="21" t="s">
        <v>11720</v>
      </c>
      <c r="H760" s="21" t="s">
        <v>12525</v>
      </c>
    </row>
    <row r="761" customFormat="false" ht="15" hidden="false" customHeight="false" outlineLevel="0" collapsed="false">
      <c r="B761" s="19" t="s">
        <v>12535</v>
      </c>
      <c r="C761" s="20" t="n">
        <f aca="false">ROUND(20.15/FX,2)</f>
        <v>2.8</v>
      </c>
      <c r="D761" s="21" t="s">
        <v>11888</v>
      </c>
      <c r="E761" s="21" t="s">
        <v>1323</v>
      </c>
      <c r="F761" s="21" t="s">
        <v>11746</v>
      </c>
      <c r="G761" s="21" t="s">
        <v>11720</v>
      </c>
      <c r="H761" s="21" t="s">
        <v>12525</v>
      </c>
    </row>
    <row r="762" customFormat="false" ht="15" hidden="false" customHeight="false" outlineLevel="0" collapsed="false">
      <c r="B762" s="19" t="s">
        <v>12536</v>
      </c>
      <c r="C762" s="20" t="n">
        <f aca="false">ROUND(22.62/FX,2)</f>
        <v>3.14</v>
      </c>
      <c r="D762" s="21" t="s">
        <v>11888</v>
      </c>
      <c r="E762" s="21" t="s">
        <v>1520</v>
      </c>
      <c r="F762" s="21" t="s">
        <v>11746</v>
      </c>
      <c r="G762" s="21" t="s">
        <v>11720</v>
      </c>
      <c r="H762" s="21" t="s">
        <v>12525</v>
      </c>
    </row>
    <row r="763" customFormat="false" ht="15" hidden="false" customHeight="false" outlineLevel="0" collapsed="false">
      <c r="B763" s="19" t="s">
        <v>12537</v>
      </c>
      <c r="C763" s="20" t="n">
        <f aca="false">ROUND(25.58/FX,2)</f>
        <v>3.55</v>
      </c>
      <c r="D763" s="21" t="s">
        <v>11888</v>
      </c>
      <c r="E763" s="21" t="s">
        <v>1655</v>
      </c>
      <c r="F763" s="21" t="s">
        <v>11746</v>
      </c>
      <c r="G763" s="21" t="s">
        <v>11720</v>
      </c>
      <c r="H763" s="21" t="s">
        <v>12525</v>
      </c>
    </row>
    <row r="764" customFormat="false" ht="15" hidden="false" customHeight="false" outlineLevel="0" collapsed="false">
      <c r="B764" s="19" t="s">
        <v>12538</v>
      </c>
      <c r="C764" s="20" t="n">
        <f aca="false">ROUND(32.5/FX,2)</f>
        <v>4.51</v>
      </c>
      <c r="D764" s="21" t="s">
        <v>11888</v>
      </c>
      <c r="E764" s="21" t="s">
        <v>2142</v>
      </c>
      <c r="F764" s="21" t="s">
        <v>11746</v>
      </c>
      <c r="G764" s="21" t="s">
        <v>11720</v>
      </c>
      <c r="H764" s="21" t="s">
        <v>12525</v>
      </c>
    </row>
    <row r="765" customFormat="false" ht="15" hidden="false" customHeight="false" outlineLevel="0" collapsed="false">
      <c r="B765" s="19" t="s">
        <v>12539</v>
      </c>
      <c r="C765" s="20" t="n">
        <f aca="false">ROUND(39.91/FX,2)</f>
        <v>5.54</v>
      </c>
      <c r="D765" s="21" t="s">
        <v>11888</v>
      </c>
      <c r="E765" s="21" t="s">
        <v>2297</v>
      </c>
      <c r="F765" s="21" t="s">
        <v>11746</v>
      </c>
      <c r="G765" s="21" t="s">
        <v>11720</v>
      </c>
      <c r="H765" s="21" t="s">
        <v>12525</v>
      </c>
    </row>
    <row r="766" customFormat="false" ht="15" hidden="false" customHeight="false" outlineLevel="0" collapsed="false">
      <c r="B766" s="19" t="s">
        <v>12540</v>
      </c>
      <c r="C766" s="20" t="n">
        <f aca="false">ROUND(42.38/FX,2)</f>
        <v>5.89</v>
      </c>
      <c r="D766" s="21" t="s">
        <v>11888</v>
      </c>
      <c r="E766" s="21" t="s">
        <v>2351</v>
      </c>
      <c r="F766" s="21" t="s">
        <v>11746</v>
      </c>
      <c r="G766" s="21" t="s">
        <v>11720</v>
      </c>
      <c r="H766" s="21" t="s">
        <v>12525</v>
      </c>
    </row>
    <row r="767" customFormat="false" ht="15" hidden="false" customHeight="false" outlineLevel="0" collapsed="false">
      <c r="B767" s="19" t="s">
        <v>12541</v>
      </c>
      <c r="C767" s="20" t="n">
        <f aca="false">ROUND(44.85/FX,2)</f>
        <v>6.23</v>
      </c>
      <c r="D767" s="21" t="s">
        <v>11888</v>
      </c>
      <c r="E767" s="21" t="s">
        <v>2400</v>
      </c>
      <c r="F767" s="21" t="s">
        <v>11746</v>
      </c>
      <c r="G767" s="21" t="s">
        <v>11720</v>
      </c>
      <c r="H767" s="21" t="s">
        <v>12525</v>
      </c>
    </row>
    <row r="768" customFormat="false" ht="15" hidden="false" customHeight="false" outlineLevel="0" collapsed="false">
      <c r="B768" s="19" t="s">
        <v>12542</v>
      </c>
      <c r="C768" s="20" t="n">
        <f aca="false">ROUND(46.8/FX,2)</f>
        <v>6.5</v>
      </c>
      <c r="D768" s="21" t="s">
        <v>11888</v>
      </c>
      <c r="E768" s="21" t="s">
        <v>1733</v>
      </c>
      <c r="F768" s="21" t="s">
        <v>11767</v>
      </c>
      <c r="G768" s="21" t="s">
        <v>11720</v>
      </c>
      <c r="H768" s="21" t="s">
        <v>12525</v>
      </c>
    </row>
    <row r="769" customFormat="false" ht="15" hidden="false" customHeight="false" outlineLevel="0" collapsed="false">
      <c r="B769" s="19" t="s">
        <v>12543</v>
      </c>
      <c r="C769" s="20" t="n">
        <f aca="false">ROUND(54.6/FX,2)</f>
        <v>7.58</v>
      </c>
      <c r="D769" s="21" t="s">
        <v>11888</v>
      </c>
      <c r="E769" s="21" t="s">
        <v>3253</v>
      </c>
      <c r="F769" s="21" t="s">
        <v>11767</v>
      </c>
      <c r="G769" s="21" t="s">
        <v>11720</v>
      </c>
      <c r="H769" s="21" t="s">
        <v>12525</v>
      </c>
    </row>
    <row r="770" customFormat="false" ht="15" hidden="false" customHeight="false" outlineLevel="0" collapsed="false">
      <c r="B770" s="19" t="s">
        <v>12544</v>
      </c>
      <c r="C770" s="20" t="n">
        <f aca="false">ROUND(13.65/FX,2)</f>
        <v>1.9</v>
      </c>
      <c r="D770" s="21" t="s">
        <v>11888</v>
      </c>
      <c r="E770" s="21" t="s">
        <v>2851</v>
      </c>
      <c r="F770" s="21" t="s">
        <v>11767</v>
      </c>
      <c r="G770" s="21" t="s">
        <v>11720</v>
      </c>
      <c r="H770" s="21" t="s">
        <v>12525</v>
      </c>
    </row>
    <row r="771" customFormat="false" ht="15" hidden="false" customHeight="false" outlineLevel="0" collapsed="false">
      <c r="B771" s="19" t="s">
        <v>12545</v>
      </c>
      <c r="C771" s="20" t="n">
        <f aca="false">ROUND(15.6/FX,2)</f>
        <v>2.17</v>
      </c>
      <c r="D771" s="21" t="s">
        <v>11888</v>
      </c>
      <c r="E771" s="21" t="s">
        <v>1048</v>
      </c>
      <c r="F771" s="21" t="s">
        <v>11767</v>
      </c>
      <c r="G771" s="21" t="s">
        <v>11720</v>
      </c>
      <c r="H771" s="21" t="s">
        <v>12525</v>
      </c>
    </row>
    <row r="772" customFormat="false" ht="15" hidden="false" customHeight="false" outlineLevel="0" collapsed="false">
      <c r="B772" s="19" t="s">
        <v>12546</v>
      </c>
      <c r="C772" s="20" t="n">
        <f aca="false">ROUND(85.8/FX,2)</f>
        <v>11.92</v>
      </c>
      <c r="D772" s="21" t="s">
        <v>11888</v>
      </c>
      <c r="E772" s="21" t="s">
        <v>1924</v>
      </c>
      <c r="F772" s="21" t="s">
        <v>11767</v>
      </c>
      <c r="G772" s="21" t="s">
        <v>11720</v>
      </c>
      <c r="H772" s="21" t="s">
        <v>12525</v>
      </c>
    </row>
    <row r="773" customFormat="false" ht="15" hidden="false" customHeight="false" outlineLevel="0" collapsed="false">
      <c r="B773" s="19" t="s">
        <v>12547</v>
      </c>
      <c r="C773" s="20" t="n">
        <f aca="false">ROUND(21.45/FX,2)</f>
        <v>2.98</v>
      </c>
      <c r="D773" s="21" t="s">
        <v>11888</v>
      </c>
      <c r="E773" s="21" t="s">
        <v>1635</v>
      </c>
      <c r="F773" s="21" t="s">
        <v>11767</v>
      </c>
      <c r="G773" s="21" t="s">
        <v>11720</v>
      </c>
      <c r="H773" s="21" t="s">
        <v>12525</v>
      </c>
    </row>
    <row r="774" customFormat="false" ht="15" hidden="false" customHeight="false" outlineLevel="0" collapsed="false">
      <c r="B774" s="19" t="s">
        <v>12548</v>
      </c>
      <c r="C774" s="20" t="n">
        <f aca="false">ROUND(23.4/FX,2)</f>
        <v>3.25</v>
      </c>
      <c r="D774" s="21" t="s">
        <v>11888</v>
      </c>
      <c r="E774" s="21" t="s">
        <v>2002</v>
      </c>
      <c r="F774" s="21" t="s">
        <v>11767</v>
      </c>
      <c r="G774" s="21" t="s">
        <v>11720</v>
      </c>
      <c r="H774" s="21" t="s">
        <v>12525</v>
      </c>
    </row>
    <row r="775" customFormat="false" ht="15" hidden="false" customHeight="false" outlineLevel="0" collapsed="false">
      <c r="B775" s="19" t="s">
        <v>12549</v>
      </c>
      <c r="C775" s="20" t="n">
        <f aca="false">ROUND(27.3/FX,2)</f>
        <v>3.79</v>
      </c>
      <c r="D775" s="21" t="s">
        <v>11888</v>
      </c>
      <c r="E775" s="21" t="s">
        <v>2142</v>
      </c>
      <c r="F775" s="21" t="s">
        <v>11767</v>
      </c>
      <c r="G775" s="21" t="s">
        <v>11720</v>
      </c>
      <c r="H775" s="21" t="s">
        <v>12525</v>
      </c>
    </row>
    <row r="776" customFormat="false" ht="15" hidden="false" customHeight="false" outlineLevel="0" collapsed="false">
      <c r="B776" s="19" t="s">
        <v>12550</v>
      </c>
      <c r="C776" s="20" t="n">
        <f aca="false">ROUND(29.25/FX,2)</f>
        <v>4.06</v>
      </c>
      <c r="D776" s="21" t="s">
        <v>11888</v>
      </c>
      <c r="E776" s="21" t="s">
        <v>2187</v>
      </c>
      <c r="F776" s="21" t="s">
        <v>11767</v>
      </c>
      <c r="G776" s="21" t="s">
        <v>11720</v>
      </c>
      <c r="H776" s="21" t="s">
        <v>12525</v>
      </c>
    </row>
    <row r="777" customFormat="false" ht="15" hidden="false" customHeight="false" outlineLevel="0" collapsed="false">
      <c r="B777" s="19" t="s">
        <v>12551</v>
      </c>
      <c r="C777" s="20" t="n">
        <f aca="false">ROUND(35.1/FX,2)</f>
        <v>4.88</v>
      </c>
      <c r="D777" s="21" t="s">
        <v>11888</v>
      </c>
      <c r="E777" s="21" t="s">
        <v>2351</v>
      </c>
      <c r="F777" s="21" t="s">
        <v>11767</v>
      </c>
      <c r="G777" s="21" t="s">
        <v>11720</v>
      </c>
      <c r="H777" s="21" t="s">
        <v>12525</v>
      </c>
    </row>
    <row r="778" customFormat="false" ht="15" hidden="false" customHeight="false" outlineLevel="0" collapsed="false">
      <c r="B778" s="19" t="s">
        <v>12552</v>
      </c>
      <c r="C778" s="20" t="n">
        <f aca="false">ROUND(44.85/FX,2)</f>
        <v>6.23</v>
      </c>
      <c r="D778" s="21" t="s">
        <v>11888</v>
      </c>
      <c r="E778" s="21" t="s">
        <v>2540</v>
      </c>
      <c r="F778" s="21" t="s">
        <v>11767</v>
      </c>
      <c r="G778" s="21" t="s">
        <v>11720</v>
      </c>
      <c r="H778" s="21" t="s">
        <v>12525</v>
      </c>
    </row>
    <row r="779" customFormat="false" ht="15" hidden="false" customHeight="false" outlineLevel="0" collapsed="false">
      <c r="B779" s="19" t="s">
        <v>12553</v>
      </c>
      <c r="C779" s="20" t="n">
        <f aca="false">ROUND(10.01/FX,2)</f>
        <v>1.39</v>
      </c>
      <c r="D779" s="21" t="s">
        <v>11888</v>
      </c>
      <c r="E779" s="21" t="s">
        <v>2600</v>
      </c>
      <c r="F779" s="21" t="s">
        <v>11775</v>
      </c>
      <c r="G779" s="21" t="s">
        <v>11720</v>
      </c>
      <c r="H779" s="21" t="s">
        <v>12525</v>
      </c>
    </row>
    <row r="780" customFormat="false" ht="15" hidden="false" customHeight="false" outlineLevel="0" collapsed="false">
      <c r="B780" s="19" t="s">
        <v>12554</v>
      </c>
      <c r="C780" s="20" t="n">
        <f aca="false">ROUND(41.6/FX,2)</f>
        <v>5.78</v>
      </c>
      <c r="D780" s="21" t="s">
        <v>11888</v>
      </c>
      <c r="E780" s="21" t="s">
        <v>1733</v>
      </c>
      <c r="F780" s="21" t="s">
        <v>11775</v>
      </c>
      <c r="G780" s="21" t="s">
        <v>11720</v>
      </c>
      <c r="H780" s="21" t="s">
        <v>12525</v>
      </c>
    </row>
    <row r="781" customFormat="false" ht="15" hidden="false" customHeight="false" outlineLevel="0" collapsed="false">
      <c r="B781" s="19" t="s">
        <v>12555</v>
      </c>
      <c r="C781" s="20" t="n">
        <f aca="false">ROUND(45.11/FX,2)</f>
        <v>6.27</v>
      </c>
      <c r="D781" s="21" t="s">
        <v>11888</v>
      </c>
      <c r="E781" s="21" t="s">
        <v>1768</v>
      </c>
      <c r="F781" s="21" t="s">
        <v>11775</v>
      </c>
      <c r="G781" s="21" t="s">
        <v>11720</v>
      </c>
      <c r="H781" s="21" t="s">
        <v>12525</v>
      </c>
    </row>
    <row r="782" customFormat="false" ht="15" hidden="false" customHeight="false" outlineLevel="0" collapsed="false">
      <c r="B782" s="19" t="s">
        <v>12556</v>
      </c>
      <c r="C782" s="20" t="n">
        <f aca="false">ROUND(11.77/FX,2)</f>
        <v>1.63</v>
      </c>
      <c r="D782" s="21" t="s">
        <v>11888</v>
      </c>
      <c r="E782" s="21" t="s">
        <v>2851</v>
      </c>
      <c r="F782" s="21" t="s">
        <v>11775</v>
      </c>
      <c r="G782" s="21" t="s">
        <v>11720</v>
      </c>
      <c r="H782" s="21" t="s">
        <v>12525</v>
      </c>
    </row>
    <row r="783" customFormat="false" ht="15" hidden="false" customHeight="false" outlineLevel="0" collapsed="false">
      <c r="B783" s="19" t="s">
        <v>12557</v>
      </c>
      <c r="C783" s="20" t="n">
        <f aca="false">ROUND(58.5/FX,2)</f>
        <v>8.13</v>
      </c>
      <c r="D783" s="21" t="s">
        <v>11888</v>
      </c>
      <c r="E783" s="21" t="s">
        <v>1881</v>
      </c>
      <c r="F783" s="21" t="s">
        <v>11775</v>
      </c>
      <c r="G783" s="21" t="s">
        <v>11720</v>
      </c>
      <c r="H783" s="21" t="s">
        <v>12525</v>
      </c>
    </row>
    <row r="784" customFormat="false" ht="15" hidden="false" customHeight="false" outlineLevel="0" collapsed="false">
      <c r="B784" s="19" t="s">
        <v>12558</v>
      </c>
      <c r="C784" s="20" t="n">
        <f aca="false">ROUND(12.12/FX,2)</f>
        <v>1.68</v>
      </c>
      <c r="D784" s="21" t="s">
        <v>11888</v>
      </c>
      <c r="E784" s="21" t="s">
        <v>2901</v>
      </c>
      <c r="F784" s="21" t="s">
        <v>11775</v>
      </c>
      <c r="G784" s="21" t="s">
        <v>11720</v>
      </c>
      <c r="H784" s="21" t="s">
        <v>12525</v>
      </c>
    </row>
    <row r="785" customFormat="false" ht="28.35" hidden="false" customHeight="false" outlineLevel="0" collapsed="false">
      <c r="B785" s="19" t="s">
        <v>12559</v>
      </c>
      <c r="C785" s="20" t="n">
        <f aca="false">ROUND(21.5/FX,2)</f>
        <v>2.99</v>
      </c>
      <c r="D785" s="21" t="s">
        <v>11888</v>
      </c>
      <c r="E785" s="21" t="s">
        <v>2901</v>
      </c>
      <c r="F785" s="21" t="s">
        <v>11775</v>
      </c>
      <c r="G785" s="21" t="s">
        <v>11720</v>
      </c>
      <c r="H785" s="21" t="s">
        <v>12560</v>
      </c>
    </row>
    <row r="786" customFormat="false" ht="15" hidden="false" customHeight="false" outlineLevel="0" collapsed="false">
      <c r="B786" s="19" t="s">
        <v>12561</v>
      </c>
      <c r="C786" s="20" t="n">
        <f aca="false">ROUND(13.52/FX,2)</f>
        <v>1.88</v>
      </c>
      <c r="D786" s="21" t="s">
        <v>11888</v>
      </c>
      <c r="E786" s="21" t="s">
        <v>1048</v>
      </c>
      <c r="F786" s="21" t="s">
        <v>11775</v>
      </c>
      <c r="G786" s="21" t="s">
        <v>11720</v>
      </c>
      <c r="H786" s="21" t="s">
        <v>12525</v>
      </c>
    </row>
    <row r="787" customFormat="false" ht="28.35" hidden="false" customHeight="false" outlineLevel="0" collapsed="false">
      <c r="B787" s="19" t="s">
        <v>12562</v>
      </c>
      <c r="C787" s="20" t="n">
        <f aca="false">ROUND(23.26/FX,2)</f>
        <v>3.23</v>
      </c>
      <c r="D787" s="21" t="s">
        <v>11888</v>
      </c>
      <c r="E787" s="21" t="s">
        <v>1048</v>
      </c>
      <c r="F787" s="21" t="s">
        <v>11775</v>
      </c>
      <c r="G787" s="21" t="s">
        <v>11720</v>
      </c>
      <c r="H787" s="21" t="s">
        <v>12560</v>
      </c>
    </row>
    <row r="788" customFormat="false" ht="15" hidden="false" customHeight="false" outlineLevel="0" collapsed="false">
      <c r="B788" s="19" t="s">
        <v>12563</v>
      </c>
      <c r="C788" s="20" t="n">
        <f aca="false">ROUND(74.1/FX,2)</f>
        <v>10.29</v>
      </c>
      <c r="D788" s="21" t="s">
        <v>11888</v>
      </c>
      <c r="E788" s="21" t="s">
        <v>1924</v>
      </c>
      <c r="F788" s="21" t="s">
        <v>11775</v>
      </c>
      <c r="G788" s="21" t="s">
        <v>11720</v>
      </c>
      <c r="H788" s="21" t="s">
        <v>12525</v>
      </c>
    </row>
    <row r="789" customFormat="false" ht="15" hidden="false" customHeight="false" outlineLevel="0" collapsed="false">
      <c r="B789" s="19" t="s">
        <v>12564</v>
      </c>
      <c r="C789" s="20" t="n">
        <f aca="false">ROUND(19.5/FX,2)</f>
        <v>2.71</v>
      </c>
      <c r="D789" s="21" t="s">
        <v>11888</v>
      </c>
      <c r="E789" s="21" t="s">
        <v>1323</v>
      </c>
      <c r="F789" s="21" t="s">
        <v>11775</v>
      </c>
      <c r="G789" s="21" t="s">
        <v>11720</v>
      </c>
      <c r="H789" s="21" t="s">
        <v>12525</v>
      </c>
    </row>
    <row r="790" customFormat="false" ht="28.35" hidden="false" customHeight="false" outlineLevel="0" collapsed="false">
      <c r="B790" s="19" t="s">
        <v>12565</v>
      </c>
      <c r="C790" s="20" t="n">
        <f aca="false">ROUND(28.78/FX,2)</f>
        <v>4</v>
      </c>
      <c r="D790" s="21" t="s">
        <v>11888</v>
      </c>
      <c r="E790" s="21" t="s">
        <v>1323</v>
      </c>
      <c r="F790" s="21" t="s">
        <v>11775</v>
      </c>
      <c r="G790" s="21" t="s">
        <v>11720</v>
      </c>
      <c r="H790" s="21" t="s">
        <v>12560</v>
      </c>
    </row>
    <row r="791" customFormat="false" ht="15" hidden="false" customHeight="false" outlineLevel="0" collapsed="false">
      <c r="B791" s="19" t="s">
        <v>12566</v>
      </c>
      <c r="C791" s="20" t="n">
        <f aca="false">ROUND(17.03/FX,2)</f>
        <v>2.37</v>
      </c>
      <c r="D791" s="21" t="s">
        <v>11888</v>
      </c>
      <c r="E791" s="21" t="s">
        <v>1520</v>
      </c>
      <c r="F791" s="21" t="s">
        <v>11775</v>
      </c>
      <c r="G791" s="21" t="s">
        <v>11720</v>
      </c>
      <c r="H791" s="21" t="s">
        <v>12525</v>
      </c>
    </row>
    <row r="792" customFormat="false" ht="15" hidden="false" customHeight="false" outlineLevel="0" collapsed="false">
      <c r="B792" s="19" t="s">
        <v>12567</v>
      </c>
      <c r="C792" s="20" t="n">
        <f aca="false">ROUND(18.79/FX,2)</f>
        <v>2.61</v>
      </c>
      <c r="D792" s="21" t="s">
        <v>11888</v>
      </c>
      <c r="E792" s="21" t="s">
        <v>1635</v>
      </c>
      <c r="F792" s="21" t="s">
        <v>11775</v>
      </c>
      <c r="G792" s="21" t="s">
        <v>11720</v>
      </c>
      <c r="H792" s="21" t="s">
        <v>12525</v>
      </c>
    </row>
    <row r="793" customFormat="false" ht="28.35" hidden="false" customHeight="false" outlineLevel="0" collapsed="false">
      <c r="B793" s="19" t="s">
        <v>12568</v>
      </c>
      <c r="C793" s="20" t="n">
        <f aca="false">ROUND(30.92/FX,2)</f>
        <v>4.29</v>
      </c>
      <c r="D793" s="21" t="s">
        <v>11888</v>
      </c>
      <c r="E793" s="21" t="s">
        <v>1635</v>
      </c>
      <c r="F793" s="21" t="s">
        <v>11775</v>
      </c>
      <c r="G793" s="21" t="s">
        <v>11720</v>
      </c>
      <c r="H793" s="21" t="s">
        <v>12560</v>
      </c>
    </row>
    <row r="794" customFormat="false" ht="15" hidden="false" customHeight="false" outlineLevel="0" collapsed="false">
      <c r="B794" s="19" t="s">
        <v>12569</v>
      </c>
      <c r="C794" s="20" t="n">
        <f aca="false">ROUND(19.14/FX,2)</f>
        <v>2.66</v>
      </c>
      <c r="D794" s="21" t="s">
        <v>11888</v>
      </c>
      <c r="E794" s="21" t="s">
        <v>1655</v>
      </c>
      <c r="F794" s="21" t="s">
        <v>11775</v>
      </c>
      <c r="G794" s="21" t="s">
        <v>11720</v>
      </c>
      <c r="H794" s="21" t="s">
        <v>12525</v>
      </c>
    </row>
    <row r="795" customFormat="false" ht="15" hidden="false" customHeight="false" outlineLevel="0" collapsed="false">
      <c r="B795" s="19" t="s">
        <v>12570</v>
      </c>
      <c r="C795" s="20" t="n">
        <f aca="false">ROUND(20.54/FX,2)</f>
        <v>2.85</v>
      </c>
      <c r="D795" s="21" t="s">
        <v>11888</v>
      </c>
      <c r="E795" s="21" t="s">
        <v>2002</v>
      </c>
      <c r="F795" s="21" t="s">
        <v>11775</v>
      </c>
      <c r="G795" s="21" t="s">
        <v>11720</v>
      </c>
      <c r="H795" s="21" t="s">
        <v>12525</v>
      </c>
    </row>
    <row r="796" customFormat="false" ht="28.35" hidden="false" customHeight="false" outlineLevel="0" collapsed="false">
      <c r="B796" s="19" t="s">
        <v>12571</v>
      </c>
      <c r="C796" s="20" t="n">
        <f aca="false">ROUND(32.48/FX,2)</f>
        <v>4.51</v>
      </c>
      <c r="D796" s="21" t="s">
        <v>11888</v>
      </c>
      <c r="E796" s="21" t="s">
        <v>2002</v>
      </c>
      <c r="F796" s="21" t="s">
        <v>11775</v>
      </c>
      <c r="G796" s="21" t="s">
        <v>11720</v>
      </c>
      <c r="H796" s="21" t="s">
        <v>12560</v>
      </c>
    </row>
    <row r="797" customFormat="false" ht="15" hidden="false" customHeight="false" outlineLevel="0" collapsed="false">
      <c r="B797" s="19" t="s">
        <v>12572</v>
      </c>
      <c r="C797" s="20" t="n">
        <f aca="false">ROUND(22.3/FX,2)</f>
        <v>3.1</v>
      </c>
      <c r="D797" s="21" t="s">
        <v>11888</v>
      </c>
      <c r="E797" s="21" t="s">
        <v>2067</v>
      </c>
      <c r="F797" s="21" t="s">
        <v>11775</v>
      </c>
      <c r="G797" s="21" t="s">
        <v>11720</v>
      </c>
      <c r="H797" s="21" t="s">
        <v>12525</v>
      </c>
    </row>
    <row r="798" customFormat="false" ht="28.35" hidden="false" customHeight="false" outlineLevel="0" collapsed="false">
      <c r="B798" s="19" t="s">
        <v>12573</v>
      </c>
      <c r="C798" s="20" t="n">
        <f aca="false">ROUND(35.21/FX,2)</f>
        <v>4.89</v>
      </c>
      <c r="D798" s="21" t="s">
        <v>11888</v>
      </c>
      <c r="E798" s="21" t="s">
        <v>2067</v>
      </c>
      <c r="F798" s="21" t="s">
        <v>11775</v>
      </c>
      <c r="G798" s="21" t="s">
        <v>11720</v>
      </c>
      <c r="H798" s="21" t="s">
        <v>12560</v>
      </c>
    </row>
    <row r="799" customFormat="false" ht="15" hidden="false" customHeight="false" outlineLevel="0" collapsed="false">
      <c r="B799" s="19" t="s">
        <v>12574</v>
      </c>
      <c r="C799" s="20" t="n">
        <f aca="false">ROUND(24.05/FX,2)</f>
        <v>3.34</v>
      </c>
      <c r="D799" s="21" t="s">
        <v>11888</v>
      </c>
      <c r="E799" s="21" t="s">
        <v>2142</v>
      </c>
      <c r="F799" s="21" t="s">
        <v>11775</v>
      </c>
      <c r="G799" s="21" t="s">
        <v>11720</v>
      </c>
      <c r="H799" s="21" t="s">
        <v>12525</v>
      </c>
    </row>
    <row r="800" customFormat="false" ht="15" hidden="false" customHeight="false" outlineLevel="0" collapsed="false">
      <c r="B800" s="19" t="s">
        <v>12575</v>
      </c>
      <c r="C800" s="20" t="n">
        <f aca="false">ROUND(25.81/FX,2)</f>
        <v>3.58</v>
      </c>
      <c r="D800" s="21" t="s">
        <v>11888</v>
      </c>
      <c r="E800" s="21" t="s">
        <v>2187</v>
      </c>
      <c r="F800" s="21" t="s">
        <v>11775</v>
      </c>
      <c r="G800" s="21" t="s">
        <v>11720</v>
      </c>
      <c r="H800" s="21" t="s">
        <v>12525</v>
      </c>
    </row>
    <row r="801" customFormat="false" ht="15" hidden="false" customHeight="false" outlineLevel="0" collapsed="false">
      <c r="B801" s="19" t="s">
        <v>12576</v>
      </c>
      <c r="C801" s="20" t="n">
        <f aca="false">ROUND(27.56/FX,2)</f>
        <v>3.83</v>
      </c>
      <c r="D801" s="21" t="s">
        <v>11888</v>
      </c>
      <c r="E801" s="21" t="s">
        <v>2227</v>
      </c>
      <c r="F801" s="21" t="s">
        <v>11775</v>
      </c>
      <c r="G801" s="21" t="s">
        <v>11720</v>
      </c>
      <c r="H801" s="21" t="s">
        <v>12525</v>
      </c>
    </row>
    <row r="802" customFormat="false" ht="28.35" hidden="false" customHeight="false" outlineLevel="0" collapsed="false">
      <c r="B802" s="19" t="s">
        <v>12577</v>
      </c>
      <c r="C802" s="20" t="n">
        <f aca="false">ROUND(37.17/FX,2)</f>
        <v>5.16</v>
      </c>
      <c r="D802" s="21" t="s">
        <v>11888</v>
      </c>
      <c r="E802" s="21" t="s">
        <v>2227</v>
      </c>
      <c r="F802" s="21" t="s">
        <v>11775</v>
      </c>
      <c r="G802" s="21" t="s">
        <v>11720</v>
      </c>
      <c r="H802" s="21" t="s">
        <v>12560</v>
      </c>
    </row>
    <row r="803" customFormat="false" ht="15" hidden="false" customHeight="false" outlineLevel="0" collapsed="false">
      <c r="B803" s="19" t="s">
        <v>12578</v>
      </c>
      <c r="C803" s="20" t="n">
        <f aca="false">ROUND(29.32/FX,2)</f>
        <v>4.07</v>
      </c>
      <c r="D803" s="21" t="s">
        <v>11888</v>
      </c>
      <c r="E803" s="21" t="s">
        <v>2297</v>
      </c>
      <c r="F803" s="21" t="s">
        <v>11775</v>
      </c>
      <c r="G803" s="21" t="s">
        <v>11720</v>
      </c>
      <c r="H803" s="21" t="s">
        <v>12525</v>
      </c>
    </row>
    <row r="804" customFormat="false" ht="15" hidden="false" customHeight="false" outlineLevel="0" collapsed="false">
      <c r="B804" s="19" t="s">
        <v>12579</v>
      </c>
      <c r="C804" s="20" t="n">
        <f aca="false">ROUND(31.07/FX,2)</f>
        <v>4.32</v>
      </c>
      <c r="D804" s="21" t="s">
        <v>11888</v>
      </c>
      <c r="E804" s="21" t="s">
        <v>2351</v>
      </c>
      <c r="F804" s="21" t="s">
        <v>11775</v>
      </c>
      <c r="G804" s="21" t="s">
        <v>11720</v>
      </c>
      <c r="H804" s="21" t="s">
        <v>12525</v>
      </c>
    </row>
    <row r="805" customFormat="false" ht="15" hidden="false" customHeight="false" outlineLevel="0" collapsed="false">
      <c r="B805" s="19" t="s">
        <v>12580</v>
      </c>
      <c r="C805" s="20" t="n">
        <f aca="false">ROUND(31.77/FX,2)</f>
        <v>4.41</v>
      </c>
      <c r="D805" s="21" t="s">
        <v>11888</v>
      </c>
      <c r="E805" s="21" t="s">
        <v>2369</v>
      </c>
      <c r="F805" s="21" t="s">
        <v>11775</v>
      </c>
      <c r="G805" s="21" t="s">
        <v>11720</v>
      </c>
      <c r="H805" s="21" t="s">
        <v>12525</v>
      </c>
    </row>
    <row r="806" customFormat="false" ht="15" hidden="false" customHeight="false" outlineLevel="0" collapsed="false">
      <c r="B806" s="19" t="s">
        <v>12581</v>
      </c>
      <c r="C806" s="20" t="n">
        <f aca="false">ROUND(32.83/FX,2)</f>
        <v>4.56</v>
      </c>
      <c r="D806" s="21" t="s">
        <v>11888</v>
      </c>
      <c r="E806" s="21" t="s">
        <v>2400</v>
      </c>
      <c r="F806" s="21" t="s">
        <v>11775</v>
      </c>
      <c r="G806" s="21" t="s">
        <v>11720</v>
      </c>
      <c r="H806" s="21" t="s">
        <v>12525</v>
      </c>
    </row>
    <row r="807" customFormat="false" ht="15" hidden="false" customHeight="false" outlineLevel="0" collapsed="false">
      <c r="B807" s="19" t="s">
        <v>12582</v>
      </c>
      <c r="C807" s="20" t="n">
        <f aca="false">ROUND(34.58/FX,2)</f>
        <v>4.8</v>
      </c>
      <c r="D807" s="21" t="s">
        <v>11888</v>
      </c>
      <c r="E807" s="21" t="s">
        <v>2440</v>
      </c>
      <c r="F807" s="21" t="s">
        <v>11775</v>
      </c>
      <c r="G807" s="21" t="s">
        <v>11720</v>
      </c>
      <c r="H807" s="21" t="s">
        <v>12525</v>
      </c>
    </row>
    <row r="808" customFormat="false" ht="15" hidden="false" customHeight="false" outlineLevel="0" collapsed="false">
      <c r="B808" s="19" t="s">
        <v>12583</v>
      </c>
      <c r="C808" s="20" t="n">
        <f aca="false">ROUND(59.8/FX,2)</f>
        <v>8.31</v>
      </c>
      <c r="D808" s="21" t="s">
        <v>11888</v>
      </c>
      <c r="E808" s="21" t="s">
        <v>1733</v>
      </c>
      <c r="F808" s="21" t="s">
        <v>11812</v>
      </c>
      <c r="G808" s="21" t="s">
        <v>11720</v>
      </c>
      <c r="H808" s="21" t="s">
        <v>12525</v>
      </c>
    </row>
    <row r="809" customFormat="false" ht="15" hidden="false" customHeight="false" outlineLevel="0" collapsed="false">
      <c r="B809" s="19" t="s">
        <v>12584</v>
      </c>
      <c r="C809" s="20" t="n">
        <f aca="false">ROUND(15.6/FX,2)</f>
        <v>2.17</v>
      </c>
      <c r="D809" s="21" t="s">
        <v>11888</v>
      </c>
      <c r="E809" s="21" t="s">
        <v>2851</v>
      </c>
      <c r="F809" s="21" t="s">
        <v>11812</v>
      </c>
      <c r="G809" s="21" t="s">
        <v>11720</v>
      </c>
      <c r="H809" s="21" t="s">
        <v>12525</v>
      </c>
    </row>
    <row r="810" customFormat="false" ht="15" hidden="false" customHeight="false" outlineLevel="0" collapsed="false">
      <c r="B810" s="19" t="s">
        <v>12585</v>
      </c>
      <c r="C810" s="20" t="n">
        <f aca="false">ROUND(23.4/FX,2)</f>
        <v>3.25</v>
      </c>
      <c r="D810" s="21" t="s">
        <v>11888</v>
      </c>
      <c r="E810" s="21" t="s">
        <v>1520</v>
      </c>
      <c r="F810" s="21" t="s">
        <v>11812</v>
      </c>
      <c r="G810" s="21" t="s">
        <v>11720</v>
      </c>
      <c r="H810" s="21" t="s">
        <v>12525</v>
      </c>
    </row>
    <row r="811" customFormat="false" ht="15" hidden="false" customHeight="false" outlineLevel="0" collapsed="false">
      <c r="B811" s="19" t="s">
        <v>12586</v>
      </c>
      <c r="C811" s="20" t="n">
        <f aca="false">ROUND(26/FX,2)</f>
        <v>3.61</v>
      </c>
      <c r="D811" s="21" t="s">
        <v>11888</v>
      </c>
      <c r="E811" s="21" t="s">
        <v>1635</v>
      </c>
      <c r="F811" s="21" t="s">
        <v>11812</v>
      </c>
      <c r="G811" s="21" t="s">
        <v>11720</v>
      </c>
      <c r="H811" s="21" t="s">
        <v>12525</v>
      </c>
    </row>
    <row r="812" customFormat="false" ht="15" hidden="false" customHeight="false" outlineLevel="0" collapsed="false">
      <c r="B812" s="19" t="s">
        <v>12587</v>
      </c>
      <c r="C812" s="20" t="n">
        <f aca="false">ROUND(27.56/FX,2)</f>
        <v>3.83</v>
      </c>
      <c r="D812" s="21" t="s">
        <v>11888</v>
      </c>
      <c r="E812" s="21" t="s">
        <v>1685</v>
      </c>
      <c r="F812" s="21" t="s">
        <v>11812</v>
      </c>
      <c r="G812" s="21" t="s">
        <v>11720</v>
      </c>
      <c r="H812" s="21" t="s">
        <v>12525</v>
      </c>
    </row>
    <row r="813" customFormat="false" ht="15" hidden="false" customHeight="false" outlineLevel="0" collapsed="false">
      <c r="B813" s="19" t="s">
        <v>12588</v>
      </c>
      <c r="C813" s="20" t="n">
        <f aca="false">ROUND(41.6/FX,2)</f>
        <v>5.78</v>
      </c>
      <c r="D813" s="21" t="s">
        <v>11888</v>
      </c>
      <c r="E813" s="21" t="s">
        <v>1733</v>
      </c>
      <c r="F813" s="21" t="s">
        <v>11820</v>
      </c>
      <c r="G813" s="21" t="s">
        <v>11720</v>
      </c>
      <c r="H813" s="21" t="s">
        <v>12525</v>
      </c>
    </row>
    <row r="814" customFormat="false" ht="15" hidden="false" customHeight="false" outlineLevel="0" collapsed="false">
      <c r="B814" s="19" t="s">
        <v>12589</v>
      </c>
      <c r="C814" s="20" t="n">
        <f aca="false">ROUND(45.11/FX,2)</f>
        <v>6.27</v>
      </c>
      <c r="D814" s="21" t="s">
        <v>11888</v>
      </c>
      <c r="E814" s="21" t="s">
        <v>1768</v>
      </c>
      <c r="F814" s="21" t="s">
        <v>11820</v>
      </c>
      <c r="G814" s="21" t="s">
        <v>11720</v>
      </c>
      <c r="H814" s="21" t="s">
        <v>12525</v>
      </c>
    </row>
    <row r="815" customFormat="false" ht="15" hidden="false" customHeight="false" outlineLevel="0" collapsed="false">
      <c r="B815" s="19" t="s">
        <v>12590</v>
      </c>
      <c r="C815" s="20" t="n">
        <f aca="false">ROUND(59.15/FX,2)</f>
        <v>8.22</v>
      </c>
      <c r="D815" s="21" t="s">
        <v>11888</v>
      </c>
      <c r="E815" s="21" t="s">
        <v>1881</v>
      </c>
      <c r="F815" s="21" t="s">
        <v>11820</v>
      </c>
      <c r="G815" s="21" t="s">
        <v>11720</v>
      </c>
      <c r="H815" s="21" t="s">
        <v>12525</v>
      </c>
    </row>
    <row r="816" customFormat="false" ht="15" hidden="false" customHeight="false" outlineLevel="0" collapsed="false">
      <c r="B816" s="19" t="s">
        <v>12591</v>
      </c>
      <c r="C816" s="20" t="n">
        <f aca="false">ROUND(13.55/FX,2)</f>
        <v>1.88</v>
      </c>
      <c r="D816" s="21" t="s">
        <v>11888</v>
      </c>
      <c r="E816" s="21" t="s">
        <v>883</v>
      </c>
      <c r="F816" s="21" t="s">
        <v>11820</v>
      </c>
      <c r="G816" s="21" t="s">
        <v>11720</v>
      </c>
      <c r="H816" s="21" t="s">
        <v>12525</v>
      </c>
    </row>
    <row r="817" customFormat="false" ht="15" hidden="false" customHeight="false" outlineLevel="0" collapsed="false">
      <c r="B817" s="19" t="s">
        <v>12592</v>
      </c>
      <c r="C817" s="20" t="n">
        <f aca="false">ROUND(13.52/FX,2)</f>
        <v>1.88</v>
      </c>
      <c r="D817" s="21" t="s">
        <v>11888</v>
      </c>
      <c r="E817" s="21" t="s">
        <v>1048</v>
      </c>
      <c r="F817" s="21" t="s">
        <v>11820</v>
      </c>
      <c r="G817" s="21" t="s">
        <v>11720</v>
      </c>
      <c r="H817" s="21" t="s">
        <v>12525</v>
      </c>
    </row>
    <row r="818" customFormat="false" ht="15" hidden="false" customHeight="false" outlineLevel="0" collapsed="false">
      <c r="B818" s="19" t="s">
        <v>12593</v>
      </c>
      <c r="C818" s="20" t="n">
        <f aca="false">ROUND(76.7/FX,2)</f>
        <v>10.65</v>
      </c>
      <c r="D818" s="21" t="s">
        <v>11888</v>
      </c>
      <c r="E818" s="21" t="s">
        <v>1924</v>
      </c>
      <c r="F818" s="21" t="s">
        <v>11820</v>
      </c>
      <c r="G818" s="21" t="s">
        <v>11720</v>
      </c>
      <c r="H818" s="21" t="s">
        <v>12525</v>
      </c>
    </row>
    <row r="819" customFormat="false" ht="15" hidden="false" customHeight="false" outlineLevel="0" collapsed="false">
      <c r="B819" s="19" t="s">
        <v>12594</v>
      </c>
      <c r="C819" s="20" t="n">
        <f aca="false">ROUND(13.87/FX,2)</f>
        <v>1.93</v>
      </c>
      <c r="D819" s="21" t="s">
        <v>11888</v>
      </c>
      <c r="E819" s="21" t="s">
        <v>1103</v>
      </c>
      <c r="F819" s="21" t="s">
        <v>11820</v>
      </c>
      <c r="G819" s="21" t="s">
        <v>11720</v>
      </c>
      <c r="H819" s="21" t="s">
        <v>12525</v>
      </c>
    </row>
    <row r="820" customFormat="false" ht="15" hidden="false" customHeight="false" outlineLevel="0" collapsed="false">
      <c r="B820" s="19" t="s">
        <v>12595</v>
      </c>
      <c r="C820" s="20" t="n">
        <f aca="false">ROUND(14.22/FX,2)</f>
        <v>1.98</v>
      </c>
      <c r="D820" s="21" t="s">
        <v>11888</v>
      </c>
      <c r="E820" s="21" t="s">
        <v>1158</v>
      </c>
      <c r="F820" s="21" t="s">
        <v>11820</v>
      </c>
      <c r="G820" s="21" t="s">
        <v>11720</v>
      </c>
      <c r="H820" s="21" t="s">
        <v>12525</v>
      </c>
    </row>
    <row r="821" customFormat="false" ht="15" hidden="false" customHeight="false" outlineLevel="0" collapsed="false">
      <c r="B821" s="19" t="s">
        <v>12596</v>
      </c>
      <c r="C821" s="20" t="n">
        <f aca="false">ROUND(14.73/FX,2)</f>
        <v>2.05</v>
      </c>
      <c r="D821" s="21" t="s">
        <v>11888</v>
      </c>
      <c r="E821" s="21" t="s">
        <v>1169</v>
      </c>
      <c r="F821" s="21" t="s">
        <v>11820</v>
      </c>
      <c r="G821" s="21" t="s">
        <v>11720</v>
      </c>
      <c r="H821" s="21" t="s">
        <v>12525</v>
      </c>
    </row>
    <row r="822" customFormat="false" ht="15" hidden="false" customHeight="false" outlineLevel="0" collapsed="false">
      <c r="B822" s="19" t="s">
        <v>12597</v>
      </c>
      <c r="C822" s="20" t="n">
        <f aca="false">ROUND(19.5/FX,2)</f>
        <v>2.71</v>
      </c>
      <c r="D822" s="21" t="s">
        <v>11888</v>
      </c>
      <c r="E822" s="21" t="s">
        <v>1323</v>
      </c>
      <c r="F822" s="21" t="s">
        <v>11820</v>
      </c>
      <c r="G822" s="21" t="s">
        <v>11720</v>
      </c>
      <c r="H822" s="21" t="s">
        <v>12525</v>
      </c>
    </row>
    <row r="823" customFormat="false" ht="15" hidden="false" customHeight="false" outlineLevel="0" collapsed="false">
      <c r="B823" s="19" t="s">
        <v>12598</v>
      </c>
      <c r="C823" s="20" t="n">
        <f aca="false">ROUND(17.03/FX,2)</f>
        <v>2.37</v>
      </c>
      <c r="D823" s="21" t="s">
        <v>11888</v>
      </c>
      <c r="E823" s="21" t="s">
        <v>1520</v>
      </c>
      <c r="F823" s="21" t="s">
        <v>11820</v>
      </c>
      <c r="G823" s="21" t="s">
        <v>11720</v>
      </c>
      <c r="H823" s="21" t="s">
        <v>12525</v>
      </c>
    </row>
    <row r="824" customFormat="false" ht="15" hidden="false" customHeight="false" outlineLevel="0" collapsed="false">
      <c r="B824" s="19" t="s">
        <v>12599</v>
      </c>
      <c r="C824" s="20" t="n">
        <f aca="false">ROUND(18.79/FX,2)</f>
        <v>2.61</v>
      </c>
      <c r="D824" s="21" t="s">
        <v>11888</v>
      </c>
      <c r="E824" s="21" t="s">
        <v>1635</v>
      </c>
      <c r="F824" s="21" t="s">
        <v>11820</v>
      </c>
      <c r="G824" s="21" t="s">
        <v>11720</v>
      </c>
      <c r="H824" s="21" t="s">
        <v>12525</v>
      </c>
    </row>
    <row r="825" customFormat="false" ht="15" hidden="false" customHeight="false" outlineLevel="0" collapsed="false">
      <c r="B825" s="19" t="s">
        <v>12600</v>
      </c>
      <c r="C825" s="20" t="n">
        <f aca="false">ROUND(19.14/FX,2)</f>
        <v>2.66</v>
      </c>
      <c r="D825" s="21" t="s">
        <v>11888</v>
      </c>
      <c r="E825" s="21" t="s">
        <v>1655</v>
      </c>
      <c r="F825" s="21" t="s">
        <v>11820</v>
      </c>
      <c r="G825" s="21" t="s">
        <v>11720</v>
      </c>
      <c r="H825" s="21" t="s">
        <v>12525</v>
      </c>
    </row>
    <row r="826" customFormat="false" ht="15" hidden="false" customHeight="false" outlineLevel="0" collapsed="false">
      <c r="B826" s="19" t="s">
        <v>12601</v>
      </c>
      <c r="C826" s="20" t="n">
        <f aca="false">ROUND(20.54/FX,2)</f>
        <v>2.85</v>
      </c>
      <c r="D826" s="21" t="s">
        <v>11888</v>
      </c>
      <c r="E826" s="21" t="s">
        <v>2002</v>
      </c>
      <c r="F826" s="21" t="s">
        <v>11820</v>
      </c>
      <c r="G826" s="21" t="s">
        <v>11720</v>
      </c>
      <c r="H826" s="21" t="s">
        <v>12525</v>
      </c>
    </row>
    <row r="827" customFormat="false" ht="15" hidden="false" customHeight="false" outlineLevel="0" collapsed="false">
      <c r="B827" s="19" t="s">
        <v>12602</v>
      </c>
      <c r="C827" s="20" t="n">
        <f aca="false">ROUND(24.05/FX,2)</f>
        <v>3.34</v>
      </c>
      <c r="D827" s="21" t="s">
        <v>11888</v>
      </c>
      <c r="E827" s="21" t="s">
        <v>2142</v>
      </c>
      <c r="F827" s="21" t="s">
        <v>11820</v>
      </c>
      <c r="G827" s="21" t="s">
        <v>11720</v>
      </c>
      <c r="H827" s="21" t="s">
        <v>12525</v>
      </c>
    </row>
    <row r="828" customFormat="false" ht="15" hidden="false" customHeight="false" outlineLevel="0" collapsed="false">
      <c r="B828" s="19" t="s">
        <v>12603</v>
      </c>
      <c r="C828" s="20" t="n">
        <f aca="false">ROUND(27.56/FX,2)</f>
        <v>3.83</v>
      </c>
      <c r="D828" s="21" t="s">
        <v>11888</v>
      </c>
      <c r="E828" s="21" t="s">
        <v>2227</v>
      </c>
      <c r="F828" s="21" t="s">
        <v>11820</v>
      </c>
      <c r="G828" s="21" t="s">
        <v>11720</v>
      </c>
      <c r="H828" s="21" t="s">
        <v>12525</v>
      </c>
    </row>
    <row r="829" customFormat="false" ht="15" hidden="false" customHeight="false" outlineLevel="0" collapsed="false">
      <c r="B829" s="19" t="s">
        <v>12604</v>
      </c>
      <c r="C829" s="20" t="n">
        <f aca="false">ROUND(31.07/FX,2)</f>
        <v>4.32</v>
      </c>
      <c r="D829" s="21" t="s">
        <v>11888</v>
      </c>
      <c r="E829" s="21" t="s">
        <v>2351</v>
      </c>
      <c r="F829" s="21" t="s">
        <v>11820</v>
      </c>
      <c r="G829" s="21" t="s">
        <v>11720</v>
      </c>
      <c r="H829" s="21" t="s">
        <v>12525</v>
      </c>
    </row>
    <row r="830" customFormat="false" ht="15" hidden="false" customHeight="false" outlineLevel="0" collapsed="false">
      <c r="B830" s="19" t="s">
        <v>12605</v>
      </c>
      <c r="C830" s="20" t="n">
        <f aca="false">ROUND(32.83/FX,2)</f>
        <v>4.56</v>
      </c>
      <c r="D830" s="21" t="s">
        <v>11888</v>
      </c>
      <c r="E830" s="21" t="s">
        <v>2400</v>
      </c>
      <c r="F830" s="21" t="s">
        <v>11820</v>
      </c>
      <c r="G830" s="21" t="s">
        <v>11720</v>
      </c>
      <c r="H830" s="21" t="s">
        <v>12525</v>
      </c>
    </row>
    <row r="831" customFormat="false" ht="15" hidden="false" customHeight="false" outlineLevel="0" collapsed="false">
      <c r="B831" s="19" t="s">
        <v>12606</v>
      </c>
      <c r="C831" s="20" t="n">
        <f aca="false">ROUND(34.58/FX,2)</f>
        <v>4.8</v>
      </c>
      <c r="D831" s="21" t="s">
        <v>11888</v>
      </c>
      <c r="E831" s="21" t="s">
        <v>2440</v>
      </c>
      <c r="F831" s="21" t="s">
        <v>11820</v>
      </c>
      <c r="G831" s="21" t="s">
        <v>11720</v>
      </c>
      <c r="H831" s="21" t="s">
        <v>12525</v>
      </c>
    </row>
    <row r="832" customFormat="false" ht="15" hidden="false" customHeight="false" outlineLevel="0" collapsed="false">
      <c r="B832" s="19" t="s">
        <v>12607</v>
      </c>
      <c r="C832" s="20" t="n">
        <f aca="false">ROUND(38.09/FX,2)</f>
        <v>5.29</v>
      </c>
      <c r="D832" s="21" t="s">
        <v>11888</v>
      </c>
      <c r="E832" s="21" t="s">
        <v>2500</v>
      </c>
      <c r="F832" s="21" t="s">
        <v>11820</v>
      </c>
      <c r="G832" s="21" t="s">
        <v>11720</v>
      </c>
      <c r="H832" s="21" t="s">
        <v>12525</v>
      </c>
    </row>
    <row r="833" customFormat="false" ht="15" hidden="false" customHeight="false" outlineLevel="0" collapsed="false">
      <c r="B833" s="19" t="s">
        <v>12608</v>
      </c>
      <c r="C833" s="20" t="n">
        <f aca="false">ROUND(39.85/FX,2)</f>
        <v>5.53</v>
      </c>
      <c r="D833" s="21" t="s">
        <v>11888</v>
      </c>
      <c r="E833" s="21" t="s">
        <v>2540</v>
      </c>
      <c r="F833" s="21" t="s">
        <v>11820</v>
      </c>
      <c r="G833" s="21" t="s">
        <v>11720</v>
      </c>
      <c r="H833" s="21" t="s">
        <v>12525</v>
      </c>
    </row>
    <row r="834" customFormat="false" ht="15" hidden="false" customHeight="false" outlineLevel="0" collapsed="false">
      <c r="B834" s="19" t="s">
        <v>12609</v>
      </c>
      <c r="C834" s="20" t="n">
        <f aca="false">ROUND(10.01/FX,2)</f>
        <v>1.39</v>
      </c>
      <c r="D834" s="21" t="s">
        <v>11888</v>
      </c>
      <c r="E834" s="21" t="s">
        <v>2600</v>
      </c>
      <c r="F834" s="21" t="s">
        <v>11874</v>
      </c>
      <c r="G834" s="21" t="s">
        <v>11720</v>
      </c>
      <c r="H834" s="21" t="s">
        <v>12525</v>
      </c>
    </row>
    <row r="835" customFormat="false" ht="15" hidden="false" customHeight="false" outlineLevel="0" collapsed="false">
      <c r="B835" s="19" t="s">
        <v>12610</v>
      </c>
      <c r="C835" s="20" t="n">
        <f aca="false">ROUND(41.6/FX,2)</f>
        <v>5.78</v>
      </c>
      <c r="D835" s="21" t="s">
        <v>11888</v>
      </c>
      <c r="E835" s="21" t="s">
        <v>1733</v>
      </c>
      <c r="F835" s="21" t="s">
        <v>11874</v>
      </c>
      <c r="G835" s="21" t="s">
        <v>11720</v>
      </c>
      <c r="H835" s="21" t="s">
        <v>12525</v>
      </c>
    </row>
    <row r="836" customFormat="false" ht="15" hidden="false" customHeight="false" outlineLevel="0" collapsed="false">
      <c r="B836" s="19" t="s">
        <v>12611</v>
      </c>
      <c r="C836" s="20" t="n">
        <f aca="false">ROUND(41.95/FX,2)</f>
        <v>5.83</v>
      </c>
      <c r="D836" s="21" t="s">
        <v>11888</v>
      </c>
      <c r="E836" s="21" t="s">
        <v>12612</v>
      </c>
      <c r="F836" s="21" t="s">
        <v>11874</v>
      </c>
      <c r="G836" s="21" t="s">
        <v>11720</v>
      </c>
      <c r="H836" s="21" t="s">
        <v>12525</v>
      </c>
    </row>
    <row r="837" customFormat="false" ht="15" hidden="false" customHeight="false" outlineLevel="0" collapsed="false">
      <c r="B837" s="19" t="s">
        <v>12613</v>
      </c>
      <c r="C837" s="20" t="n">
        <f aca="false">ROUND(48.62/FX,2)</f>
        <v>6.75</v>
      </c>
      <c r="D837" s="21" t="s">
        <v>11888</v>
      </c>
      <c r="E837" s="21" t="s">
        <v>3253</v>
      </c>
      <c r="F837" s="21" t="s">
        <v>11874</v>
      </c>
      <c r="G837" s="21" t="s">
        <v>11720</v>
      </c>
      <c r="H837" s="21" t="s">
        <v>12525</v>
      </c>
    </row>
    <row r="838" customFormat="false" ht="15" hidden="false" customHeight="false" outlineLevel="0" collapsed="false">
      <c r="B838" s="19" t="s">
        <v>12614</v>
      </c>
      <c r="C838" s="20" t="n">
        <f aca="false">ROUND(11.77/FX,2)</f>
        <v>1.63</v>
      </c>
      <c r="D838" s="21" t="s">
        <v>11888</v>
      </c>
      <c r="E838" s="21" t="s">
        <v>2851</v>
      </c>
      <c r="F838" s="21" t="s">
        <v>11874</v>
      </c>
      <c r="G838" s="21" t="s">
        <v>11720</v>
      </c>
      <c r="H838" s="21" t="s">
        <v>12525</v>
      </c>
    </row>
    <row r="839" customFormat="false" ht="15" hidden="false" customHeight="false" outlineLevel="0" collapsed="false">
      <c r="B839" s="19" t="s">
        <v>12615</v>
      </c>
      <c r="C839" s="20" t="n">
        <f aca="false">ROUND(59.15/FX,2)</f>
        <v>8.22</v>
      </c>
      <c r="D839" s="21" t="s">
        <v>11888</v>
      </c>
      <c r="E839" s="21" t="s">
        <v>1881</v>
      </c>
      <c r="F839" s="21" t="s">
        <v>11874</v>
      </c>
      <c r="G839" s="21" t="s">
        <v>11720</v>
      </c>
      <c r="H839" s="21" t="s">
        <v>12525</v>
      </c>
    </row>
    <row r="840" customFormat="false" ht="15" hidden="false" customHeight="false" outlineLevel="0" collapsed="false">
      <c r="B840" s="19" t="s">
        <v>12616</v>
      </c>
      <c r="C840" s="20" t="n">
        <f aca="false">ROUND(13.52/FX,2)</f>
        <v>1.88</v>
      </c>
      <c r="D840" s="21" t="s">
        <v>11888</v>
      </c>
      <c r="E840" s="21" t="s">
        <v>1048</v>
      </c>
      <c r="F840" s="21" t="s">
        <v>11874</v>
      </c>
      <c r="G840" s="21" t="s">
        <v>11720</v>
      </c>
      <c r="H840" s="21" t="s">
        <v>12525</v>
      </c>
    </row>
    <row r="841" customFormat="false" ht="15" hidden="false" customHeight="false" outlineLevel="0" collapsed="false">
      <c r="B841" s="19" t="s">
        <v>12617</v>
      </c>
      <c r="C841" s="20" t="n">
        <f aca="false">ROUND(76.7/FX,2)</f>
        <v>10.65</v>
      </c>
      <c r="D841" s="21" t="s">
        <v>11888</v>
      </c>
      <c r="E841" s="21" t="s">
        <v>1924</v>
      </c>
      <c r="F841" s="21" t="s">
        <v>11874</v>
      </c>
      <c r="G841" s="21" t="s">
        <v>11720</v>
      </c>
      <c r="H841" s="21" t="s">
        <v>12525</v>
      </c>
    </row>
    <row r="842" customFormat="false" ht="15" hidden="false" customHeight="false" outlineLevel="0" collapsed="false">
      <c r="B842" s="19" t="s">
        <v>12618</v>
      </c>
      <c r="C842" s="20" t="n">
        <f aca="false">ROUND(15.28/FX,2)</f>
        <v>2.12</v>
      </c>
      <c r="D842" s="21" t="s">
        <v>11888</v>
      </c>
      <c r="E842" s="21" t="s">
        <v>1323</v>
      </c>
      <c r="F842" s="21" t="s">
        <v>11874</v>
      </c>
      <c r="G842" s="21" t="s">
        <v>11720</v>
      </c>
      <c r="H842" s="21" t="s">
        <v>12525</v>
      </c>
    </row>
    <row r="843" customFormat="false" ht="15" hidden="false" customHeight="false" outlineLevel="0" collapsed="false">
      <c r="B843" s="19" t="s">
        <v>12619</v>
      </c>
      <c r="C843" s="20" t="n">
        <f aca="false">ROUND(17.03/FX,2)</f>
        <v>2.37</v>
      </c>
      <c r="D843" s="21" t="s">
        <v>11888</v>
      </c>
      <c r="E843" s="21" t="s">
        <v>1520</v>
      </c>
      <c r="F843" s="21" t="s">
        <v>11874</v>
      </c>
      <c r="G843" s="21" t="s">
        <v>11720</v>
      </c>
      <c r="H843" s="21" t="s">
        <v>12525</v>
      </c>
    </row>
    <row r="844" customFormat="false" ht="15" hidden="false" customHeight="false" outlineLevel="0" collapsed="false">
      <c r="B844" s="19" t="s">
        <v>12620</v>
      </c>
      <c r="C844" s="20" t="n">
        <f aca="false">ROUND(18.79/FX,2)</f>
        <v>2.61</v>
      </c>
      <c r="D844" s="21" t="s">
        <v>11888</v>
      </c>
      <c r="E844" s="21" t="s">
        <v>1635</v>
      </c>
      <c r="F844" s="21" t="s">
        <v>11874</v>
      </c>
      <c r="G844" s="21" t="s">
        <v>11720</v>
      </c>
      <c r="H844" s="21" t="s">
        <v>12525</v>
      </c>
    </row>
    <row r="845" customFormat="false" ht="15" hidden="false" customHeight="false" outlineLevel="0" collapsed="false">
      <c r="B845" s="19" t="s">
        <v>12621</v>
      </c>
      <c r="C845" s="20" t="n">
        <f aca="false">ROUND(19.14/FX,2)</f>
        <v>2.66</v>
      </c>
      <c r="D845" s="21" t="s">
        <v>11888</v>
      </c>
      <c r="E845" s="21" t="s">
        <v>1655</v>
      </c>
      <c r="F845" s="21" t="s">
        <v>11874</v>
      </c>
      <c r="G845" s="21" t="s">
        <v>11720</v>
      </c>
      <c r="H845" s="21" t="s">
        <v>12525</v>
      </c>
    </row>
    <row r="846" customFormat="false" ht="15" hidden="false" customHeight="false" outlineLevel="0" collapsed="false">
      <c r="B846" s="19" t="s">
        <v>12622</v>
      </c>
      <c r="C846" s="20" t="n">
        <f aca="false">ROUND(20.54/FX,2)</f>
        <v>2.85</v>
      </c>
      <c r="D846" s="21" t="s">
        <v>11888</v>
      </c>
      <c r="E846" s="21" t="s">
        <v>2002</v>
      </c>
      <c r="F846" s="21" t="s">
        <v>11874</v>
      </c>
      <c r="G846" s="21" t="s">
        <v>11720</v>
      </c>
      <c r="H846" s="21" t="s">
        <v>12525</v>
      </c>
    </row>
    <row r="847" customFormat="false" ht="15" hidden="false" customHeight="false" outlineLevel="0" collapsed="false">
      <c r="B847" s="19" t="s">
        <v>12623</v>
      </c>
      <c r="C847" s="20" t="n">
        <f aca="false">ROUND(22.3/FX,2)</f>
        <v>3.1</v>
      </c>
      <c r="D847" s="21" t="s">
        <v>11888</v>
      </c>
      <c r="E847" s="21" t="s">
        <v>2067</v>
      </c>
      <c r="F847" s="21" t="s">
        <v>11874</v>
      </c>
      <c r="G847" s="21" t="s">
        <v>11720</v>
      </c>
      <c r="H847" s="21" t="s">
        <v>12525</v>
      </c>
    </row>
    <row r="848" customFormat="false" ht="15" hidden="false" customHeight="false" outlineLevel="0" collapsed="false">
      <c r="B848" s="19" t="s">
        <v>12624</v>
      </c>
      <c r="C848" s="20" t="n">
        <f aca="false">ROUND(24.05/FX,2)</f>
        <v>3.34</v>
      </c>
      <c r="D848" s="21" t="s">
        <v>11888</v>
      </c>
      <c r="E848" s="21" t="s">
        <v>2142</v>
      </c>
      <c r="F848" s="21" t="s">
        <v>11874</v>
      </c>
      <c r="G848" s="21" t="s">
        <v>11720</v>
      </c>
      <c r="H848" s="21" t="s">
        <v>12525</v>
      </c>
    </row>
    <row r="849" customFormat="false" ht="15" hidden="false" customHeight="false" outlineLevel="0" collapsed="false">
      <c r="B849" s="19" t="s">
        <v>12625</v>
      </c>
      <c r="C849" s="20" t="n">
        <f aca="false">ROUND(25.81/FX,2)</f>
        <v>3.58</v>
      </c>
      <c r="D849" s="21" t="s">
        <v>11888</v>
      </c>
      <c r="E849" s="21" t="s">
        <v>2187</v>
      </c>
      <c r="F849" s="21" t="s">
        <v>11874</v>
      </c>
      <c r="G849" s="21" t="s">
        <v>11720</v>
      </c>
      <c r="H849" s="21" t="s">
        <v>12525</v>
      </c>
    </row>
    <row r="850" customFormat="false" ht="15" hidden="false" customHeight="false" outlineLevel="0" collapsed="false">
      <c r="B850" s="19" t="s">
        <v>12626</v>
      </c>
      <c r="C850" s="20" t="n">
        <f aca="false">ROUND(27.56/FX,2)</f>
        <v>3.83</v>
      </c>
      <c r="D850" s="21" t="s">
        <v>11888</v>
      </c>
      <c r="E850" s="21" t="s">
        <v>2227</v>
      </c>
      <c r="F850" s="21" t="s">
        <v>11874</v>
      </c>
      <c r="G850" s="21" t="s">
        <v>11720</v>
      </c>
      <c r="H850" s="21" t="s">
        <v>12525</v>
      </c>
    </row>
    <row r="851" customFormat="false" ht="15" hidden="false" customHeight="false" outlineLevel="0" collapsed="false">
      <c r="B851" s="19" t="s">
        <v>12627</v>
      </c>
      <c r="C851" s="20" t="n">
        <f aca="false">ROUND(29.32/FX,2)</f>
        <v>4.07</v>
      </c>
      <c r="D851" s="21" t="s">
        <v>11888</v>
      </c>
      <c r="E851" s="21" t="s">
        <v>2297</v>
      </c>
      <c r="F851" s="21" t="s">
        <v>11874</v>
      </c>
      <c r="G851" s="21" t="s">
        <v>11720</v>
      </c>
      <c r="H851" s="21" t="s">
        <v>12525</v>
      </c>
    </row>
    <row r="852" customFormat="false" ht="15" hidden="false" customHeight="false" outlineLevel="0" collapsed="false">
      <c r="B852" s="19" t="s">
        <v>12628</v>
      </c>
      <c r="C852" s="20" t="n">
        <f aca="false">ROUND(31.07/FX,2)</f>
        <v>4.32</v>
      </c>
      <c r="D852" s="21" t="s">
        <v>11888</v>
      </c>
      <c r="E852" s="21" t="s">
        <v>2351</v>
      </c>
      <c r="F852" s="21" t="s">
        <v>11874</v>
      </c>
      <c r="G852" s="21" t="s">
        <v>11720</v>
      </c>
      <c r="H852" s="21" t="s">
        <v>12525</v>
      </c>
    </row>
    <row r="853" customFormat="false" ht="15" hidden="false" customHeight="false" outlineLevel="0" collapsed="false">
      <c r="B853" s="19" t="s">
        <v>12629</v>
      </c>
      <c r="C853" s="20" t="n">
        <f aca="false">ROUND(32.83/FX,2)</f>
        <v>4.56</v>
      </c>
      <c r="D853" s="21" t="s">
        <v>11888</v>
      </c>
      <c r="E853" s="21" t="s">
        <v>2400</v>
      </c>
      <c r="F853" s="21" t="s">
        <v>11874</v>
      </c>
      <c r="G853" s="21" t="s">
        <v>11720</v>
      </c>
      <c r="H853" s="21" t="s">
        <v>12525</v>
      </c>
    </row>
    <row r="854" customFormat="false" ht="15" hidden="false" customHeight="false" outlineLevel="0" collapsed="false">
      <c r="B854" s="19" t="s">
        <v>12630</v>
      </c>
      <c r="C854" s="20" t="n">
        <f aca="false">ROUND(34.58/FX,2)</f>
        <v>4.8</v>
      </c>
      <c r="D854" s="21" t="s">
        <v>11888</v>
      </c>
      <c r="E854" s="21" t="s">
        <v>2440</v>
      </c>
      <c r="F854" s="21" t="s">
        <v>11874</v>
      </c>
      <c r="G854" s="21" t="s">
        <v>11720</v>
      </c>
      <c r="H854" s="21" t="s">
        <v>12525</v>
      </c>
    </row>
    <row r="855" customFormat="false" ht="15" hidden="false" customHeight="false" outlineLevel="0" collapsed="false">
      <c r="B855" s="19" t="s">
        <v>12631</v>
      </c>
      <c r="C855" s="20" t="n">
        <f aca="false">ROUND(39.85/FX,2)</f>
        <v>5.53</v>
      </c>
      <c r="D855" s="21" t="s">
        <v>11888</v>
      </c>
      <c r="E855" s="21" t="s">
        <v>2540</v>
      </c>
      <c r="F855" s="21" t="s">
        <v>11874</v>
      </c>
      <c r="G855" s="21" t="s">
        <v>11720</v>
      </c>
      <c r="H855" s="21" t="s">
        <v>12525</v>
      </c>
    </row>
    <row r="856" customFormat="false" ht="15" hidden="false" customHeight="false" outlineLevel="0" collapsed="false">
      <c r="B856" s="19" t="s">
        <v>12632</v>
      </c>
      <c r="C856" s="20" t="n">
        <f aca="false">ROUND(79.3/FX,2)</f>
        <v>11.01</v>
      </c>
      <c r="D856" s="21" t="s">
        <v>11888</v>
      </c>
      <c r="E856" s="21" t="s">
        <v>1733</v>
      </c>
      <c r="F856" s="21" t="s">
        <v>12633</v>
      </c>
      <c r="G856" s="21" t="s">
        <v>11720</v>
      </c>
      <c r="H856" s="21" t="s">
        <v>12525</v>
      </c>
    </row>
    <row r="857" customFormat="false" ht="15" hidden="false" customHeight="false" outlineLevel="0" collapsed="false">
      <c r="B857" s="19" t="s">
        <v>12634</v>
      </c>
      <c r="C857" s="20" t="n">
        <f aca="false">ROUND(58.5/FX,2)</f>
        <v>8.13</v>
      </c>
      <c r="D857" s="21" t="s">
        <v>12635</v>
      </c>
      <c r="E857" s="21" t="s">
        <v>1733</v>
      </c>
      <c r="F857" s="21" t="s">
        <v>11874</v>
      </c>
      <c r="G857" s="21" t="s">
        <v>11720</v>
      </c>
      <c r="H857" s="21" t="s">
        <v>12525</v>
      </c>
    </row>
    <row r="858" customFormat="false" ht="15" hidden="false" customHeight="false" outlineLevel="0" collapsed="false">
      <c r="B858" s="19" t="s">
        <v>12636</v>
      </c>
      <c r="C858" s="20" t="n">
        <f aca="false">ROUND(107.9/FX,2)</f>
        <v>14.99</v>
      </c>
      <c r="D858" s="21" t="s">
        <v>12635</v>
      </c>
      <c r="E858" s="21" t="s">
        <v>1924</v>
      </c>
      <c r="F858" s="21" t="s">
        <v>11874</v>
      </c>
      <c r="G858" s="21" t="s">
        <v>11720</v>
      </c>
      <c r="H858" s="21" t="s">
        <v>12525</v>
      </c>
    </row>
    <row r="859" customFormat="false" ht="15" hidden="false" customHeight="false" outlineLevel="0" collapsed="false">
      <c r="B859" s="19" t="s">
        <v>12637</v>
      </c>
      <c r="C859" s="20" t="n">
        <f aca="false">ROUND(24.82/FX,2)</f>
        <v>3.45</v>
      </c>
      <c r="D859" s="21" t="s">
        <v>12635</v>
      </c>
      <c r="E859" s="21" t="s">
        <v>1545</v>
      </c>
      <c r="F859" s="21" t="s">
        <v>11874</v>
      </c>
      <c r="G859" s="21" t="s">
        <v>11720</v>
      </c>
      <c r="H859" s="21" t="s">
        <v>12525</v>
      </c>
    </row>
    <row r="860" customFormat="false" ht="15" hidden="false" customHeight="false" outlineLevel="0" collapsed="false">
      <c r="B860" s="19" t="s">
        <v>12638</v>
      </c>
      <c r="C860" s="20" t="n">
        <f aca="false">ROUND(28.86/FX,2)</f>
        <v>4.01</v>
      </c>
      <c r="D860" s="21" t="s">
        <v>12635</v>
      </c>
      <c r="E860" s="21" t="s">
        <v>2002</v>
      </c>
      <c r="F860" s="21" t="s">
        <v>11874</v>
      </c>
      <c r="G860" s="21" t="s">
        <v>11720</v>
      </c>
      <c r="H860" s="21" t="s">
        <v>12525</v>
      </c>
    </row>
    <row r="861" customFormat="false" ht="15" hidden="false" customHeight="false" outlineLevel="0" collapsed="false">
      <c r="B861" s="19" t="s">
        <v>12639</v>
      </c>
      <c r="C861" s="20" t="n">
        <f aca="false">ROUND(44.2/FX,2)</f>
        <v>6.14</v>
      </c>
      <c r="D861" s="21" t="s">
        <v>12635</v>
      </c>
      <c r="E861" s="21" t="s">
        <v>2400</v>
      </c>
      <c r="F861" s="21" t="s">
        <v>11874</v>
      </c>
      <c r="G861" s="21" t="s">
        <v>11720</v>
      </c>
      <c r="H861" s="21" t="s">
        <v>12525</v>
      </c>
    </row>
    <row r="862" customFormat="false" ht="15" hidden="false" customHeight="false" outlineLevel="0" collapsed="false">
      <c r="B862" s="19" t="s">
        <v>12640</v>
      </c>
      <c r="C862" s="20" t="n">
        <f aca="false">ROUND(23.92/FX,2)</f>
        <v>3.32</v>
      </c>
      <c r="D862" s="21" t="s">
        <v>12635</v>
      </c>
      <c r="E862" s="21" t="s">
        <v>1520</v>
      </c>
      <c r="F862" s="21" t="s">
        <v>11922</v>
      </c>
      <c r="G862" s="21" t="s">
        <v>11720</v>
      </c>
      <c r="H862" s="21" t="s">
        <v>12525</v>
      </c>
    </row>
    <row r="863" customFormat="false" ht="15" hidden="false" customHeight="false" outlineLevel="0" collapsed="false">
      <c r="B863" s="19" t="s">
        <v>12641</v>
      </c>
      <c r="C863" s="20" t="n">
        <f aca="false">ROUND(52.39/FX,2)</f>
        <v>7.28</v>
      </c>
      <c r="D863" s="21" t="s">
        <v>12635</v>
      </c>
      <c r="E863" s="21" t="s">
        <v>2500</v>
      </c>
      <c r="F863" s="21" t="s">
        <v>11922</v>
      </c>
      <c r="G863" s="21" t="s">
        <v>11720</v>
      </c>
      <c r="H863" s="21" t="s">
        <v>12525</v>
      </c>
    </row>
    <row r="864" customFormat="false" ht="15" hidden="false" customHeight="false" outlineLevel="0" collapsed="false">
      <c r="B864" s="19" t="s">
        <v>12642</v>
      </c>
      <c r="C864" s="20" t="n">
        <f aca="false">ROUND(70.2/FX,2)</f>
        <v>9.75</v>
      </c>
      <c r="D864" s="21" t="s">
        <v>12643</v>
      </c>
      <c r="E864" s="21" t="s">
        <v>1733</v>
      </c>
      <c r="F864" s="21" t="s">
        <v>12644</v>
      </c>
      <c r="G864" s="21" t="s">
        <v>11720</v>
      </c>
      <c r="H864" s="21" t="s">
        <v>12525</v>
      </c>
    </row>
    <row r="865" customFormat="false" ht="15" hidden="false" customHeight="false" outlineLevel="0" collapsed="false">
      <c r="B865" s="19" t="s">
        <v>12645</v>
      </c>
      <c r="C865" s="20" t="n">
        <f aca="false">ROUND(75.92/FX,2)</f>
        <v>10.54</v>
      </c>
      <c r="D865" s="21" t="s">
        <v>12643</v>
      </c>
      <c r="E865" s="21" t="s">
        <v>1768</v>
      </c>
      <c r="F865" s="21" t="s">
        <v>12644</v>
      </c>
      <c r="G865" s="21" t="s">
        <v>11720</v>
      </c>
      <c r="H865" s="21" t="s">
        <v>12525</v>
      </c>
    </row>
    <row r="866" customFormat="false" ht="15" hidden="false" customHeight="false" outlineLevel="0" collapsed="false">
      <c r="B866" s="19" t="s">
        <v>12646</v>
      </c>
      <c r="C866" s="20" t="n">
        <f aca="false">ROUND(81.64/FX,2)</f>
        <v>11.34</v>
      </c>
      <c r="D866" s="21" t="s">
        <v>12643</v>
      </c>
      <c r="E866" s="21" t="s">
        <v>3253</v>
      </c>
      <c r="F866" s="21" t="s">
        <v>12644</v>
      </c>
      <c r="G866" s="21" t="s">
        <v>11720</v>
      </c>
      <c r="H866" s="21" t="s">
        <v>12525</v>
      </c>
    </row>
    <row r="867" customFormat="false" ht="15" hidden="false" customHeight="false" outlineLevel="0" collapsed="false">
      <c r="B867" s="19" t="s">
        <v>12647</v>
      </c>
      <c r="C867" s="20" t="n">
        <f aca="false">ROUND(74.62/FX,2)</f>
        <v>10.36</v>
      </c>
      <c r="D867" s="21" t="s">
        <v>12643</v>
      </c>
      <c r="E867" s="21" t="s">
        <v>5513</v>
      </c>
      <c r="F867" s="21" t="s">
        <v>12644</v>
      </c>
      <c r="G867" s="21" t="s">
        <v>11720</v>
      </c>
      <c r="H867" s="21" t="s">
        <v>12525</v>
      </c>
    </row>
    <row r="868" customFormat="false" ht="15" hidden="false" customHeight="false" outlineLevel="0" collapsed="false">
      <c r="B868" s="19" t="s">
        <v>12648</v>
      </c>
      <c r="C868" s="20" t="n">
        <f aca="false">ROUND(100.1/FX,2)</f>
        <v>13.9</v>
      </c>
      <c r="D868" s="21" t="s">
        <v>12643</v>
      </c>
      <c r="E868" s="21" t="s">
        <v>1881</v>
      </c>
      <c r="F868" s="21" t="s">
        <v>12644</v>
      </c>
      <c r="G868" s="21" t="s">
        <v>11720</v>
      </c>
      <c r="H868" s="21" t="s">
        <v>12525</v>
      </c>
    </row>
    <row r="869" customFormat="false" ht="15" hidden="false" customHeight="false" outlineLevel="0" collapsed="false">
      <c r="B869" s="19" t="s">
        <v>12649</v>
      </c>
      <c r="C869" s="20" t="n">
        <f aca="false">ROUND(122.2/FX,2)</f>
        <v>16.97</v>
      </c>
      <c r="D869" s="21" t="s">
        <v>12643</v>
      </c>
      <c r="E869" s="21" t="s">
        <v>1924</v>
      </c>
      <c r="F869" s="21" t="s">
        <v>12644</v>
      </c>
      <c r="G869" s="21" t="s">
        <v>11720</v>
      </c>
      <c r="H869" s="21" t="s">
        <v>12525</v>
      </c>
    </row>
    <row r="870" customFormat="false" ht="15" hidden="false" customHeight="false" outlineLevel="0" collapsed="false">
      <c r="B870" s="19" t="s">
        <v>12650</v>
      </c>
      <c r="C870" s="20" t="n">
        <f aca="false">ROUND(27.17/FX,2)</f>
        <v>3.77</v>
      </c>
      <c r="D870" s="21" t="s">
        <v>12643</v>
      </c>
      <c r="E870" s="21" t="s">
        <v>1520</v>
      </c>
      <c r="F870" s="21" t="s">
        <v>12644</v>
      </c>
      <c r="G870" s="21" t="s">
        <v>11720</v>
      </c>
      <c r="H870" s="21" t="s">
        <v>12525</v>
      </c>
    </row>
    <row r="871" customFormat="false" ht="15" hidden="false" customHeight="false" outlineLevel="0" collapsed="false">
      <c r="B871" s="19" t="s">
        <v>12651</v>
      </c>
      <c r="C871" s="20" t="n">
        <f aca="false">ROUND(38.74/FX,2)</f>
        <v>5.38</v>
      </c>
      <c r="D871" s="21" t="s">
        <v>12643</v>
      </c>
      <c r="E871" s="21" t="s">
        <v>2067</v>
      </c>
      <c r="F871" s="21" t="s">
        <v>12644</v>
      </c>
      <c r="G871" s="21" t="s">
        <v>11720</v>
      </c>
      <c r="H871" s="21" t="s">
        <v>12525</v>
      </c>
    </row>
    <row r="872" customFormat="false" ht="15" hidden="false" customHeight="false" outlineLevel="0" collapsed="false">
      <c r="B872" s="19" t="s">
        <v>12652</v>
      </c>
      <c r="C872" s="20" t="n">
        <f aca="false">ROUND(39.26/FX,2)</f>
        <v>5.45</v>
      </c>
      <c r="D872" s="21" t="s">
        <v>12643</v>
      </c>
      <c r="E872" s="21" t="s">
        <v>2082</v>
      </c>
      <c r="F872" s="21" t="s">
        <v>12644</v>
      </c>
      <c r="G872" s="21" t="s">
        <v>11720</v>
      </c>
      <c r="H872" s="21" t="s">
        <v>12525</v>
      </c>
    </row>
    <row r="873" customFormat="false" ht="15" hidden="false" customHeight="false" outlineLevel="0" collapsed="false">
      <c r="B873" s="19" t="s">
        <v>12653</v>
      </c>
      <c r="C873" s="20" t="n">
        <f aca="false">ROUND(35.1/FX,2)</f>
        <v>4.88</v>
      </c>
      <c r="D873" s="21" t="s">
        <v>12643</v>
      </c>
      <c r="E873" s="21" t="s">
        <v>2142</v>
      </c>
      <c r="F873" s="21" t="s">
        <v>12644</v>
      </c>
      <c r="G873" s="21" t="s">
        <v>11720</v>
      </c>
      <c r="H873" s="21" t="s">
        <v>12525</v>
      </c>
    </row>
    <row r="874" customFormat="false" ht="15" hidden="false" customHeight="false" outlineLevel="0" collapsed="false">
      <c r="B874" s="19" t="s">
        <v>12654</v>
      </c>
      <c r="C874" s="20" t="n">
        <f aca="false">ROUND(44.46/FX,2)</f>
        <v>6.18</v>
      </c>
      <c r="D874" s="21" t="s">
        <v>12643</v>
      </c>
      <c r="E874" s="21" t="s">
        <v>2187</v>
      </c>
      <c r="F874" s="21" t="s">
        <v>12644</v>
      </c>
      <c r="G874" s="21" t="s">
        <v>11720</v>
      </c>
      <c r="H874" s="21" t="s">
        <v>12525</v>
      </c>
    </row>
    <row r="875" customFormat="false" ht="15" hidden="false" customHeight="false" outlineLevel="0" collapsed="false">
      <c r="B875" s="19" t="s">
        <v>12655</v>
      </c>
      <c r="C875" s="20" t="n">
        <f aca="false">ROUND(35.62/FX,2)</f>
        <v>4.95</v>
      </c>
      <c r="D875" s="21" t="s">
        <v>12643</v>
      </c>
      <c r="E875" s="21" t="s">
        <v>2227</v>
      </c>
      <c r="F875" s="21" t="s">
        <v>12644</v>
      </c>
      <c r="G875" s="21" t="s">
        <v>11720</v>
      </c>
      <c r="H875" s="21" t="s">
        <v>12525</v>
      </c>
    </row>
    <row r="876" customFormat="false" ht="15" hidden="false" customHeight="false" outlineLevel="0" collapsed="false">
      <c r="B876" s="19" t="s">
        <v>12656</v>
      </c>
      <c r="C876" s="20" t="n">
        <f aca="false">ROUND(54.08/FX,2)</f>
        <v>7.51</v>
      </c>
      <c r="D876" s="21" t="s">
        <v>12643</v>
      </c>
      <c r="E876" s="21" t="s">
        <v>2470</v>
      </c>
      <c r="F876" s="21" t="s">
        <v>12644</v>
      </c>
      <c r="G876" s="21" t="s">
        <v>11720</v>
      </c>
      <c r="H876" s="21" t="s">
        <v>12525</v>
      </c>
    </row>
    <row r="877" customFormat="false" ht="15" hidden="false" customHeight="false" outlineLevel="0" collapsed="false">
      <c r="B877" s="19" t="s">
        <v>12657</v>
      </c>
      <c r="C877" s="20" t="n">
        <f aca="false">ROUND(27.95/FX,2)</f>
        <v>3.88</v>
      </c>
      <c r="D877" s="21" t="s">
        <v>12643</v>
      </c>
      <c r="E877" s="21" t="s">
        <v>1520</v>
      </c>
      <c r="F877" s="21" t="s">
        <v>12644</v>
      </c>
      <c r="G877" s="21" t="s">
        <v>11810</v>
      </c>
      <c r="H877" s="21" t="s">
        <v>12525</v>
      </c>
    </row>
    <row r="878" customFormat="false" ht="15" hidden="false" customHeight="false" outlineLevel="0" collapsed="false">
      <c r="B878" s="19" t="s">
        <v>12658</v>
      </c>
      <c r="C878" s="20" t="n">
        <f aca="false">ROUND(22.62/FX,2)</f>
        <v>3.14</v>
      </c>
      <c r="D878" s="21" t="s">
        <v>12643</v>
      </c>
      <c r="E878" s="21" t="s">
        <v>1520</v>
      </c>
      <c r="F878" s="21" t="s">
        <v>11775</v>
      </c>
      <c r="G878" s="21" t="s">
        <v>11720</v>
      </c>
      <c r="H878" s="21" t="s">
        <v>12525</v>
      </c>
    </row>
    <row r="879" customFormat="false" ht="15" hidden="false" customHeight="false" outlineLevel="0" collapsed="false">
      <c r="B879" s="19" t="s">
        <v>12659</v>
      </c>
      <c r="C879" s="20" t="n">
        <f aca="false">ROUND(63.7/FX,2)</f>
        <v>8.85</v>
      </c>
      <c r="D879" s="21" t="s">
        <v>12643</v>
      </c>
      <c r="E879" s="21" t="s">
        <v>1733</v>
      </c>
      <c r="F879" s="21" t="s">
        <v>11874</v>
      </c>
      <c r="G879" s="21" t="s">
        <v>11720</v>
      </c>
      <c r="H879" s="21" t="s">
        <v>12525</v>
      </c>
    </row>
    <row r="880" customFormat="false" ht="15" hidden="false" customHeight="false" outlineLevel="0" collapsed="false">
      <c r="B880" s="19" t="s">
        <v>12660</v>
      </c>
      <c r="C880" s="20" t="n">
        <f aca="false">ROUND(31.33/FX,2)</f>
        <v>4.35</v>
      </c>
      <c r="D880" s="21" t="s">
        <v>12643</v>
      </c>
      <c r="E880" s="21" t="s">
        <v>1520</v>
      </c>
      <c r="F880" s="21" t="s">
        <v>11874</v>
      </c>
      <c r="G880" s="21" t="s">
        <v>11720</v>
      </c>
      <c r="H880" s="21" t="s">
        <v>12525</v>
      </c>
    </row>
    <row r="881" customFormat="false" ht="15" hidden="false" customHeight="false" outlineLevel="0" collapsed="false">
      <c r="B881" s="19" t="s">
        <v>12661</v>
      </c>
      <c r="C881" s="20" t="n">
        <f aca="false">ROUND(41.6/FX,2)</f>
        <v>5.78</v>
      </c>
      <c r="D881" s="21" t="s">
        <v>12643</v>
      </c>
      <c r="E881" s="21" t="s">
        <v>2142</v>
      </c>
      <c r="F881" s="21" t="s">
        <v>11874</v>
      </c>
      <c r="G881" s="21" t="s">
        <v>11720</v>
      </c>
      <c r="H881" s="21" t="s">
        <v>12525</v>
      </c>
    </row>
    <row r="882" customFormat="false" ht="15" hidden="false" customHeight="false" outlineLevel="0" collapsed="false">
      <c r="B882" s="19" t="s">
        <v>12662</v>
      </c>
      <c r="C882" s="20" t="n">
        <f aca="false">ROUND(83.2/FX,2)</f>
        <v>11.56</v>
      </c>
      <c r="D882" s="21" t="s">
        <v>12643</v>
      </c>
      <c r="E882" s="21" t="s">
        <v>1733</v>
      </c>
      <c r="F882" s="21" t="s">
        <v>12663</v>
      </c>
      <c r="G882" s="21" t="s">
        <v>11720</v>
      </c>
      <c r="H882" s="21" t="s">
        <v>12525</v>
      </c>
    </row>
    <row r="883" customFormat="false" ht="15" hidden="false" customHeight="false" outlineLevel="0" collapsed="false">
      <c r="B883" s="19" t="s">
        <v>12664</v>
      </c>
      <c r="C883" s="20" t="n">
        <f aca="false">ROUND(26/FX,2)</f>
        <v>3.61</v>
      </c>
      <c r="D883" s="21" t="s">
        <v>12643</v>
      </c>
      <c r="E883" s="21" t="s">
        <v>1048</v>
      </c>
      <c r="F883" s="21" t="s">
        <v>12663</v>
      </c>
      <c r="G883" s="21" t="s">
        <v>11720</v>
      </c>
      <c r="H883" s="21" t="s">
        <v>12525</v>
      </c>
    </row>
    <row r="884" customFormat="false" ht="15" hidden="false" customHeight="false" outlineLevel="0" collapsed="false">
      <c r="B884" s="19" t="s">
        <v>12665</v>
      </c>
      <c r="C884" s="20" t="n">
        <f aca="false">ROUND(33.15/FX,2)</f>
        <v>4.6</v>
      </c>
      <c r="D884" s="21" t="s">
        <v>12643</v>
      </c>
      <c r="E884" s="21" t="s">
        <v>1520</v>
      </c>
      <c r="F884" s="21" t="s">
        <v>12663</v>
      </c>
      <c r="G884" s="21" t="s">
        <v>11720</v>
      </c>
      <c r="H884" s="21" t="s">
        <v>12525</v>
      </c>
    </row>
    <row r="885" customFormat="false" ht="15" hidden="false" customHeight="false" outlineLevel="0" collapsed="false">
      <c r="B885" s="19" t="s">
        <v>12666</v>
      </c>
      <c r="C885" s="20" t="n">
        <f aca="false">ROUND(47.45/FX,2)</f>
        <v>6.59</v>
      </c>
      <c r="D885" s="21" t="s">
        <v>12643</v>
      </c>
      <c r="E885" s="21" t="s">
        <v>2142</v>
      </c>
      <c r="F885" s="21" t="s">
        <v>12663</v>
      </c>
      <c r="G885" s="21" t="s">
        <v>11720</v>
      </c>
      <c r="H885" s="21" t="s">
        <v>12525</v>
      </c>
    </row>
    <row r="886" customFormat="false" ht="15" hidden="false" customHeight="false" outlineLevel="0" collapsed="false">
      <c r="B886" s="19" t="s">
        <v>12667</v>
      </c>
      <c r="C886" s="20" t="n">
        <f aca="false">ROUND(55.64/FX,2)</f>
        <v>7.73</v>
      </c>
      <c r="D886" s="21" t="s">
        <v>12643</v>
      </c>
      <c r="E886" s="21" t="s">
        <v>2227</v>
      </c>
      <c r="F886" s="21" t="s">
        <v>12663</v>
      </c>
      <c r="G886" s="21" t="s">
        <v>11720</v>
      </c>
      <c r="H886" s="21" t="s">
        <v>12525</v>
      </c>
    </row>
    <row r="887" customFormat="false" ht="15" hidden="false" customHeight="false" outlineLevel="0" collapsed="false">
      <c r="B887" s="19" t="s">
        <v>12668</v>
      </c>
      <c r="C887" s="20" t="n">
        <f aca="false">ROUND(149.5/FX,2)</f>
        <v>20.76</v>
      </c>
      <c r="D887" s="21" t="s">
        <v>12669</v>
      </c>
      <c r="E887" s="21" t="s">
        <v>1924</v>
      </c>
      <c r="F887" s="21" t="s">
        <v>12670</v>
      </c>
      <c r="G887" s="21" t="s">
        <v>11720</v>
      </c>
      <c r="H887" s="21" t="s">
        <v>12525</v>
      </c>
    </row>
    <row r="888" customFormat="false" ht="15" hidden="false" customHeight="false" outlineLevel="0" collapsed="false">
      <c r="B888" s="19" t="s">
        <v>12671</v>
      </c>
      <c r="C888" s="20" t="n">
        <f aca="false">ROUND(50.7/FX,2)</f>
        <v>7.04</v>
      </c>
      <c r="D888" s="21" t="s">
        <v>12669</v>
      </c>
      <c r="E888" s="21" t="s">
        <v>2142</v>
      </c>
      <c r="F888" s="21" t="s">
        <v>12670</v>
      </c>
      <c r="G888" s="21" t="s">
        <v>11720</v>
      </c>
      <c r="H888" s="21" t="s">
        <v>12525</v>
      </c>
    </row>
    <row r="889" customFormat="false" ht="15" hidden="false" customHeight="false" outlineLevel="0" collapsed="false">
      <c r="B889" s="19" t="s">
        <v>12672</v>
      </c>
      <c r="C889" s="20" t="n">
        <f aca="false">ROUND(100.75/FX,2)</f>
        <v>13.99</v>
      </c>
      <c r="D889" s="21" t="s">
        <v>11925</v>
      </c>
      <c r="E889" s="21" t="s">
        <v>1733</v>
      </c>
      <c r="F889" s="21" t="s">
        <v>12670</v>
      </c>
      <c r="G889" s="21" t="s">
        <v>11720</v>
      </c>
      <c r="H889" s="21" t="s">
        <v>12525</v>
      </c>
    </row>
    <row r="890" customFormat="false" ht="15" hidden="false" customHeight="false" outlineLevel="0" collapsed="false">
      <c r="B890" s="19" t="s">
        <v>12673</v>
      </c>
      <c r="C890" s="20" t="n">
        <f aca="false">ROUND(106.73/FX,2)</f>
        <v>14.82</v>
      </c>
      <c r="D890" s="21" t="s">
        <v>11925</v>
      </c>
      <c r="E890" s="21" t="s">
        <v>5513</v>
      </c>
      <c r="F890" s="21" t="s">
        <v>12670</v>
      </c>
      <c r="G890" s="21" t="s">
        <v>11720</v>
      </c>
      <c r="H890" s="21" t="s">
        <v>12525</v>
      </c>
    </row>
    <row r="891" customFormat="false" ht="15" hidden="false" customHeight="false" outlineLevel="0" collapsed="false">
      <c r="B891" s="19" t="s">
        <v>12674</v>
      </c>
      <c r="C891" s="20" t="n">
        <f aca="false">ROUND(189.15/FX,2)</f>
        <v>26.27</v>
      </c>
      <c r="D891" s="21" t="s">
        <v>11925</v>
      </c>
      <c r="E891" s="21" t="s">
        <v>1924</v>
      </c>
      <c r="F891" s="21" t="s">
        <v>12670</v>
      </c>
      <c r="G891" s="21" t="s">
        <v>11720</v>
      </c>
      <c r="H891" s="21" t="s">
        <v>12525</v>
      </c>
    </row>
    <row r="892" customFormat="false" ht="15" hidden="false" customHeight="false" outlineLevel="0" collapsed="false">
      <c r="B892" s="19" t="s">
        <v>12675</v>
      </c>
      <c r="C892" s="20" t="n">
        <f aca="false">ROUND(33.41/FX,2)</f>
        <v>4.64</v>
      </c>
      <c r="D892" s="21" t="s">
        <v>11925</v>
      </c>
      <c r="E892" s="21" t="s">
        <v>1520</v>
      </c>
      <c r="F892" s="21" t="s">
        <v>12670</v>
      </c>
      <c r="G892" s="21" t="s">
        <v>11720</v>
      </c>
      <c r="H892" s="21" t="s">
        <v>12525</v>
      </c>
    </row>
    <row r="893" customFormat="false" ht="15" hidden="false" customHeight="false" outlineLevel="0" collapsed="false">
      <c r="B893" s="19" t="s">
        <v>12676</v>
      </c>
      <c r="C893" s="20" t="n">
        <f aca="false">ROUND(37.7/FX,2)</f>
        <v>5.24</v>
      </c>
      <c r="D893" s="21" t="s">
        <v>11925</v>
      </c>
      <c r="E893" s="21" t="s">
        <v>1635</v>
      </c>
      <c r="F893" s="21" t="s">
        <v>12670</v>
      </c>
      <c r="G893" s="21" t="s">
        <v>11720</v>
      </c>
      <c r="H893" s="21" t="s">
        <v>12525</v>
      </c>
    </row>
    <row r="894" customFormat="false" ht="15" hidden="false" customHeight="false" outlineLevel="0" collapsed="false">
      <c r="B894" s="19" t="s">
        <v>12677</v>
      </c>
      <c r="C894" s="20" t="n">
        <f aca="false">ROUND(47.74/FX,2)</f>
        <v>6.63</v>
      </c>
      <c r="D894" s="21" t="s">
        <v>11925</v>
      </c>
      <c r="E894" s="21" t="s">
        <v>2002</v>
      </c>
      <c r="F894" s="21" t="s">
        <v>12670</v>
      </c>
      <c r="G894" s="21" t="s">
        <v>11720</v>
      </c>
      <c r="H894" s="21" t="s">
        <v>12525</v>
      </c>
    </row>
    <row r="895" customFormat="false" ht="15" hidden="false" customHeight="false" outlineLevel="0" collapsed="false">
      <c r="B895" s="19" t="s">
        <v>12678</v>
      </c>
      <c r="C895" s="20" t="n">
        <f aca="false">ROUND(52.13/FX,2)</f>
        <v>7.24</v>
      </c>
      <c r="D895" s="21" t="s">
        <v>11925</v>
      </c>
      <c r="E895" s="21" t="s">
        <v>2067</v>
      </c>
      <c r="F895" s="21" t="s">
        <v>12670</v>
      </c>
      <c r="G895" s="21" t="s">
        <v>11720</v>
      </c>
      <c r="H895" s="21" t="s">
        <v>12525</v>
      </c>
    </row>
    <row r="896" customFormat="false" ht="15" hidden="false" customHeight="false" outlineLevel="0" collapsed="false">
      <c r="B896" s="19" t="s">
        <v>12679</v>
      </c>
      <c r="C896" s="20" t="n">
        <f aca="false">ROUND(56.55/FX,2)</f>
        <v>7.85</v>
      </c>
      <c r="D896" s="21" t="s">
        <v>11925</v>
      </c>
      <c r="E896" s="21" t="s">
        <v>2142</v>
      </c>
      <c r="F896" s="21" t="s">
        <v>12670</v>
      </c>
      <c r="G896" s="21" t="s">
        <v>11720</v>
      </c>
      <c r="H896" s="21" t="s">
        <v>12525</v>
      </c>
    </row>
    <row r="897" customFormat="false" ht="15" hidden="false" customHeight="false" outlineLevel="0" collapsed="false">
      <c r="B897" s="19" t="s">
        <v>12680</v>
      </c>
      <c r="C897" s="20" t="n">
        <f aca="false">ROUND(60.97/FX,2)</f>
        <v>8.47</v>
      </c>
      <c r="D897" s="21" t="s">
        <v>11925</v>
      </c>
      <c r="E897" s="21" t="s">
        <v>2187</v>
      </c>
      <c r="F897" s="21" t="s">
        <v>12670</v>
      </c>
      <c r="G897" s="21" t="s">
        <v>11720</v>
      </c>
      <c r="H897" s="21" t="s">
        <v>12525</v>
      </c>
    </row>
    <row r="898" customFormat="false" ht="15" hidden="false" customHeight="false" outlineLevel="0" collapsed="false">
      <c r="B898" s="19" t="s">
        <v>12681</v>
      </c>
      <c r="C898" s="20" t="n">
        <f aca="false">ROUND(83.07/FX,2)</f>
        <v>11.54</v>
      </c>
      <c r="D898" s="21" t="s">
        <v>11925</v>
      </c>
      <c r="E898" s="21" t="s">
        <v>2440</v>
      </c>
      <c r="F898" s="21" t="s">
        <v>12670</v>
      </c>
      <c r="G898" s="21" t="s">
        <v>11720</v>
      </c>
      <c r="H898" s="21" t="s">
        <v>12525</v>
      </c>
    </row>
    <row r="899" customFormat="false" ht="15" hidden="false" customHeight="false" outlineLevel="0" collapsed="false">
      <c r="B899" s="19" t="s">
        <v>12682</v>
      </c>
      <c r="C899" s="20" t="n">
        <f aca="false">ROUND(37.31/FX,2)</f>
        <v>5.18</v>
      </c>
      <c r="D899" s="21" t="s">
        <v>11925</v>
      </c>
      <c r="E899" s="21" t="s">
        <v>1520</v>
      </c>
      <c r="F899" s="21" t="s">
        <v>12670</v>
      </c>
      <c r="G899" s="21" t="s">
        <v>11810</v>
      </c>
      <c r="H899" s="21" t="s">
        <v>12525</v>
      </c>
    </row>
    <row r="900" customFormat="false" ht="15" hidden="false" customHeight="false" outlineLevel="0" collapsed="false">
      <c r="B900" s="19" t="s">
        <v>12683</v>
      </c>
      <c r="C900" s="20" t="n">
        <f aca="false">ROUND(38.62/FX,2)</f>
        <v>5.36</v>
      </c>
      <c r="D900" s="21" t="s">
        <v>11925</v>
      </c>
      <c r="E900" s="21" t="s">
        <v>1520</v>
      </c>
      <c r="F900" s="21" t="s">
        <v>12663</v>
      </c>
      <c r="G900" s="21" t="s">
        <v>11720</v>
      </c>
      <c r="H900" s="21" t="s">
        <v>12525</v>
      </c>
    </row>
    <row r="901" customFormat="false" ht="15" hidden="false" customHeight="false" outlineLevel="0" collapsed="false">
      <c r="B901" s="19" t="s">
        <v>12684</v>
      </c>
      <c r="C901" s="20" t="n">
        <f aca="false">ROUND(126.75/FX,2)</f>
        <v>17.6</v>
      </c>
      <c r="D901" s="21" t="s">
        <v>12685</v>
      </c>
      <c r="E901" s="21" t="s">
        <v>1733</v>
      </c>
      <c r="F901" s="21" t="s">
        <v>12686</v>
      </c>
      <c r="G901" s="21" t="s">
        <v>11720</v>
      </c>
      <c r="H901" s="21" t="s">
        <v>12525</v>
      </c>
    </row>
    <row r="902" customFormat="false" ht="15" hidden="false" customHeight="false" outlineLevel="0" collapsed="false">
      <c r="B902" s="19" t="s">
        <v>12687</v>
      </c>
      <c r="C902" s="20" t="n">
        <f aca="false">ROUND(43.55/FX,2)</f>
        <v>6.05</v>
      </c>
      <c r="D902" s="21" t="s">
        <v>12685</v>
      </c>
      <c r="E902" s="21" t="s">
        <v>1048</v>
      </c>
      <c r="F902" s="21" t="s">
        <v>12686</v>
      </c>
      <c r="G902" s="21" t="s">
        <v>11720</v>
      </c>
      <c r="H902" s="21" t="s">
        <v>12525</v>
      </c>
    </row>
    <row r="903" customFormat="false" ht="15" hidden="false" customHeight="false" outlineLevel="0" collapsed="false">
      <c r="B903" s="19" t="s">
        <v>12688</v>
      </c>
      <c r="C903" s="20" t="n">
        <f aca="false">ROUND(98.8/FX,2)</f>
        <v>13.72</v>
      </c>
      <c r="D903" s="21" t="s">
        <v>12689</v>
      </c>
      <c r="E903" s="21" t="s">
        <v>2142</v>
      </c>
      <c r="F903" s="21" t="s">
        <v>12690</v>
      </c>
      <c r="G903" s="21" t="s">
        <v>11720</v>
      </c>
      <c r="H903" s="21" t="s">
        <v>12525</v>
      </c>
    </row>
    <row r="904" customFormat="false" ht="15" hidden="false" customHeight="false" outlineLevel="0" collapsed="false">
      <c r="B904" s="19" t="s">
        <v>12691</v>
      </c>
      <c r="C904" s="20" t="n">
        <f aca="false">ROUND(163.8/FX,2)</f>
        <v>22.75</v>
      </c>
      <c r="D904" s="21" t="s">
        <v>12689</v>
      </c>
      <c r="E904" s="21" t="s">
        <v>1733</v>
      </c>
      <c r="F904" s="21" t="s">
        <v>12686</v>
      </c>
      <c r="G904" s="21" t="s">
        <v>11720</v>
      </c>
      <c r="H904" s="21" t="s">
        <v>12525</v>
      </c>
    </row>
    <row r="905" customFormat="false" ht="15" hidden="false" customHeight="false" outlineLevel="0" collapsed="false">
      <c r="B905" s="19" t="s">
        <v>12692</v>
      </c>
      <c r="C905" s="20" t="n">
        <f aca="false">ROUND(304.2/FX,2)</f>
        <v>42.25</v>
      </c>
      <c r="D905" s="21" t="s">
        <v>12689</v>
      </c>
      <c r="E905" s="21" t="s">
        <v>1924</v>
      </c>
      <c r="F905" s="21" t="s">
        <v>12686</v>
      </c>
      <c r="G905" s="21" t="s">
        <v>11720</v>
      </c>
      <c r="H905" s="21" t="s">
        <v>12525</v>
      </c>
    </row>
    <row r="906" customFormat="false" ht="15" hidden="false" customHeight="false" outlineLevel="0" collapsed="false">
      <c r="B906" s="19" t="s">
        <v>12693</v>
      </c>
      <c r="C906" s="20" t="n">
        <f aca="false">ROUND(104/FX,2)</f>
        <v>14.44</v>
      </c>
      <c r="D906" s="21" t="s">
        <v>12689</v>
      </c>
      <c r="E906" s="21" t="s">
        <v>2142</v>
      </c>
      <c r="F906" s="21" t="s">
        <v>12686</v>
      </c>
      <c r="G906" s="21" t="s">
        <v>11720</v>
      </c>
      <c r="H906" s="21" t="s">
        <v>12525</v>
      </c>
    </row>
    <row r="907" customFormat="false" ht="15" hidden="false" customHeight="false" outlineLevel="0" collapsed="false">
      <c r="B907" s="19" t="s">
        <v>12694</v>
      </c>
      <c r="C907" s="20" t="n">
        <f aca="false">ROUND(108.68/FX,2)</f>
        <v>15.09</v>
      </c>
      <c r="D907" s="21" t="s">
        <v>12689</v>
      </c>
      <c r="E907" s="21" t="s">
        <v>2227</v>
      </c>
      <c r="F907" s="21" t="s">
        <v>12686</v>
      </c>
      <c r="G907" s="21" t="s">
        <v>11720</v>
      </c>
      <c r="H907" s="21" t="s">
        <v>12525</v>
      </c>
    </row>
    <row r="908" customFormat="false" ht="15" hidden="false" customHeight="false" outlineLevel="0" collapsed="false">
      <c r="B908" s="19" t="s">
        <v>12695</v>
      </c>
      <c r="C908" s="20" t="n">
        <f aca="false">ROUND(117/FX,2)</f>
        <v>16.25</v>
      </c>
      <c r="D908" s="21" t="s">
        <v>12696</v>
      </c>
      <c r="E908" s="21" t="s">
        <v>2142</v>
      </c>
      <c r="F908" s="21" t="s">
        <v>12686</v>
      </c>
      <c r="G908" s="21" t="s">
        <v>11720</v>
      </c>
      <c r="H908" s="21" t="s">
        <v>12525</v>
      </c>
    </row>
    <row r="909" customFormat="false" ht="28.35" hidden="false" customHeight="false" outlineLevel="0" collapsed="false">
      <c r="B909" s="19" t="s">
        <v>12697</v>
      </c>
      <c r="C909" s="20" t="n">
        <f aca="false">ROUND(4.55/FX,2)</f>
        <v>0.63</v>
      </c>
      <c r="D909" s="21" t="s">
        <v>11927</v>
      </c>
      <c r="E909" s="21" t="s">
        <v>2600</v>
      </c>
      <c r="F909" s="21" t="s">
        <v>12698</v>
      </c>
      <c r="G909" s="21" t="s">
        <v>11720</v>
      </c>
      <c r="H909" s="21" t="s">
        <v>12525</v>
      </c>
    </row>
    <row r="910" customFormat="false" ht="15" hidden="false" customHeight="false" outlineLevel="0" collapsed="false">
      <c r="B910" s="19" t="s">
        <v>12699</v>
      </c>
      <c r="C910" s="20" t="n">
        <f aca="false">ROUND(137.15/FX,2)</f>
        <v>19.05</v>
      </c>
      <c r="D910" s="21" t="s">
        <v>12700</v>
      </c>
      <c r="E910" s="21" t="s">
        <v>2142</v>
      </c>
      <c r="F910" s="21" t="s">
        <v>12701</v>
      </c>
      <c r="G910" s="21" t="s">
        <v>11720</v>
      </c>
      <c r="H910" s="21" t="s">
        <v>12525</v>
      </c>
    </row>
    <row r="911" customFormat="false" ht="15" hidden="false" customHeight="false" outlineLevel="0" collapsed="false">
      <c r="B911" s="19" t="s">
        <v>12702</v>
      </c>
      <c r="C911" s="20" t="n">
        <f aca="false">ROUND(149.5/FX,2)</f>
        <v>20.76</v>
      </c>
      <c r="D911" s="21" t="s">
        <v>12703</v>
      </c>
      <c r="E911" s="21" t="s">
        <v>2142</v>
      </c>
      <c r="F911" s="21" t="s">
        <v>12701</v>
      </c>
      <c r="G911" s="21" t="s">
        <v>11720</v>
      </c>
      <c r="H911" s="21" t="s">
        <v>12525</v>
      </c>
    </row>
    <row r="912" customFormat="false" ht="15" hidden="false" customHeight="false" outlineLevel="0" collapsed="false">
      <c r="B912" s="19" t="s">
        <v>12704</v>
      </c>
      <c r="C912" s="20" t="n">
        <f aca="false">ROUND(201.5/FX,2)</f>
        <v>27.99</v>
      </c>
      <c r="D912" s="21" t="s">
        <v>12705</v>
      </c>
      <c r="E912" s="21" t="s">
        <v>2142</v>
      </c>
      <c r="F912" s="21" t="s">
        <v>12701</v>
      </c>
      <c r="G912" s="21" t="s">
        <v>11720</v>
      </c>
      <c r="H912" s="21" t="s">
        <v>12525</v>
      </c>
    </row>
    <row r="913" customFormat="false" ht="15" hidden="false" customHeight="false" outlineLevel="0" collapsed="false">
      <c r="B913" s="19" t="s">
        <v>12706</v>
      </c>
      <c r="C913" s="20" t="n">
        <f aca="false">ROUND(263.25/FX,2)</f>
        <v>36.56</v>
      </c>
      <c r="D913" s="21" t="s">
        <v>12707</v>
      </c>
      <c r="E913" s="21" t="s">
        <v>2142</v>
      </c>
      <c r="F913" s="21" t="s">
        <v>12701</v>
      </c>
      <c r="G913" s="21" t="s">
        <v>11720</v>
      </c>
      <c r="H913" s="21" t="s">
        <v>12525</v>
      </c>
    </row>
    <row r="914" customFormat="false" ht="15" hidden="false" customHeight="false" outlineLevel="0" collapsed="false">
      <c r="B914" s="19" t="s">
        <v>12708</v>
      </c>
      <c r="C914" s="20" t="n">
        <f aca="false">ROUND(4.11/FX,2)</f>
        <v>0.57</v>
      </c>
      <c r="D914" s="21" t="s">
        <v>6239</v>
      </c>
      <c r="E914" s="21" t="s">
        <v>2701</v>
      </c>
      <c r="F914" s="21" t="s">
        <v>11947</v>
      </c>
      <c r="G914" s="21" t="s">
        <v>11720</v>
      </c>
      <c r="H914" s="21" t="s">
        <v>12709</v>
      </c>
    </row>
    <row r="915" customFormat="false" ht="15" hidden="false" customHeight="false" outlineLevel="0" collapsed="false">
      <c r="B915" s="19" t="s">
        <v>12710</v>
      </c>
      <c r="C915" s="20" t="n">
        <f aca="false">ROUND(6.89/FX,2)</f>
        <v>0.96</v>
      </c>
      <c r="D915" s="21" t="s">
        <v>12021</v>
      </c>
      <c r="E915" s="21" t="s">
        <v>2600</v>
      </c>
      <c r="F915" s="21" t="s">
        <v>11746</v>
      </c>
      <c r="G915" s="21" t="s">
        <v>11720</v>
      </c>
      <c r="H915" s="21" t="s">
        <v>12525</v>
      </c>
    </row>
    <row r="916" customFormat="false" ht="15" hidden="false" customHeight="false" outlineLevel="0" collapsed="false">
      <c r="B916" s="19" t="s">
        <v>12711</v>
      </c>
      <c r="C916" s="20" t="n">
        <f aca="false">ROUND(47.84/FX,2)</f>
        <v>6.64</v>
      </c>
      <c r="D916" s="21" t="s">
        <v>12021</v>
      </c>
      <c r="E916" s="21" t="s">
        <v>1733</v>
      </c>
      <c r="F916" s="21" t="s">
        <v>11746</v>
      </c>
      <c r="G916" s="21" t="s">
        <v>11720</v>
      </c>
      <c r="H916" s="21" t="s">
        <v>12525</v>
      </c>
    </row>
    <row r="917" customFormat="false" ht="15" hidden="false" customHeight="false" outlineLevel="0" collapsed="false">
      <c r="B917" s="19" t="s">
        <v>12712</v>
      </c>
      <c r="C917" s="20" t="n">
        <f aca="false">ROUND(9.17/FX,2)</f>
        <v>1.27</v>
      </c>
      <c r="D917" s="21" t="s">
        <v>12021</v>
      </c>
      <c r="E917" s="21" t="s">
        <v>2851</v>
      </c>
      <c r="F917" s="21" t="s">
        <v>11746</v>
      </c>
      <c r="G917" s="21" t="s">
        <v>11720</v>
      </c>
      <c r="H917" s="21" t="s">
        <v>12525</v>
      </c>
    </row>
    <row r="918" customFormat="false" ht="15" hidden="false" customHeight="false" outlineLevel="0" collapsed="false">
      <c r="B918" s="19" t="s">
        <v>12713</v>
      </c>
      <c r="C918" s="20" t="n">
        <f aca="false">ROUND(10.53/FX,2)</f>
        <v>1.46</v>
      </c>
      <c r="D918" s="21" t="s">
        <v>12021</v>
      </c>
      <c r="E918" s="21" t="s">
        <v>938</v>
      </c>
      <c r="F918" s="21" t="s">
        <v>11746</v>
      </c>
      <c r="G918" s="21" t="s">
        <v>11720</v>
      </c>
      <c r="H918" s="21" t="s">
        <v>12525</v>
      </c>
    </row>
    <row r="919" customFormat="false" ht="15" hidden="false" customHeight="false" outlineLevel="0" collapsed="false">
      <c r="B919" s="19" t="s">
        <v>12714</v>
      </c>
      <c r="C919" s="20" t="n">
        <f aca="false">ROUND(11.44/FX,2)</f>
        <v>1.59</v>
      </c>
      <c r="D919" s="21" t="s">
        <v>12021</v>
      </c>
      <c r="E919" s="21" t="s">
        <v>1048</v>
      </c>
      <c r="F919" s="21" t="s">
        <v>11746</v>
      </c>
      <c r="G919" s="21" t="s">
        <v>11720</v>
      </c>
      <c r="H919" s="21" t="s">
        <v>12525</v>
      </c>
    </row>
    <row r="920" customFormat="false" ht="15" hidden="false" customHeight="false" outlineLevel="0" collapsed="false">
      <c r="B920" s="19" t="s">
        <v>12715</v>
      </c>
      <c r="C920" s="20" t="n">
        <f aca="false">ROUND(13.72/FX,2)</f>
        <v>1.91</v>
      </c>
      <c r="D920" s="21" t="s">
        <v>12021</v>
      </c>
      <c r="E920" s="21" t="s">
        <v>1323</v>
      </c>
      <c r="F920" s="21" t="s">
        <v>11746</v>
      </c>
      <c r="G920" s="21" t="s">
        <v>11720</v>
      </c>
      <c r="H920" s="21" t="s">
        <v>12525</v>
      </c>
    </row>
    <row r="921" customFormat="false" ht="15" hidden="false" customHeight="false" outlineLevel="0" collapsed="false">
      <c r="B921" s="19" t="s">
        <v>12716</v>
      </c>
      <c r="C921" s="20" t="n">
        <f aca="false">ROUND(15.99/FX,2)</f>
        <v>2.22</v>
      </c>
      <c r="D921" s="21" t="s">
        <v>12021</v>
      </c>
      <c r="E921" s="21" t="s">
        <v>1520</v>
      </c>
      <c r="F921" s="21" t="s">
        <v>11746</v>
      </c>
      <c r="G921" s="21" t="s">
        <v>11720</v>
      </c>
      <c r="H921" s="21" t="s">
        <v>12525</v>
      </c>
    </row>
    <row r="922" customFormat="false" ht="15" hidden="false" customHeight="false" outlineLevel="0" collapsed="false">
      <c r="B922" s="19" t="s">
        <v>12717</v>
      </c>
      <c r="C922" s="20" t="n">
        <f aca="false">ROUND(18.27/FX,2)</f>
        <v>2.54</v>
      </c>
      <c r="D922" s="21" t="s">
        <v>12021</v>
      </c>
      <c r="E922" s="21" t="s">
        <v>1635</v>
      </c>
      <c r="F922" s="21" t="s">
        <v>11746</v>
      </c>
      <c r="G922" s="21" t="s">
        <v>11720</v>
      </c>
      <c r="H922" s="21" t="s">
        <v>12525</v>
      </c>
    </row>
    <row r="923" customFormat="false" ht="15" hidden="false" customHeight="false" outlineLevel="0" collapsed="false">
      <c r="B923" s="19" t="s">
        <v>12718</v>
      </c>
      <c r="C923" s="20" t="n">
        <f aca="false">ROUND(12.04/FX,2)</f>
        <v>1.67</v>
      </c>
      <c r="D923" s="21" t="s">
        <v>12021</v>
      </c>
      <c r="E923" s="21" t="s">
        <v>2002</v>
      </c>
      <c r="F923" s="21" t="s">
        <v>11746</v>
      </c>
      <c r="G923" s="21" t="s">
        <v>11720</v>
      </c>
      <c r="H923" s="21" t="s">
        <v>12525</v>
      </c>
    </row>
    <row r="924" customFormat="false" ht="15" hidden="false" customHeight="false" outlineLevel="0" collapsed="false">
      <c r="B924" s="19" t="s">
        <v>12719</v>
      </c>
      <c r="C924" s="20" t="n">
        <f aca="false">ROUND(22.82/FX,2)</f>
        <v>3.17</v>
      </c>
      <c r="D924" s="21" t="s">
        <v>12021</v>
      </c>
      <c r="E924" s="21" t="s">
        <v>2067</v>
      </c>
      <c r="F924" s="21" t="s">
        <v>11746</v>
      </c>
      <c r="G924" s="21" t="s">
        <v>11720</v>
      </c>
      <c r="H924" s="21" t="s">
        <v>12525</v>
      </c>
    </row>
    <row r="925" customFormat="false" ht="15" hidden="false" customHeight="false" outlineLevel="0" collapsed="false">
      <c r="B925" s="19" t="s">
        <v>12720</v>
      </c>
      <c r="C925" s="20" t="n">
        <f aca="false">ROUND(25.09/FX,2)</f>
        <v>3.48</v>
      </c>
      <c r="D925" s="21" t="s">
        <v>12021</v>
      </c>
      <c r="E925" s="21" t="s">
        <v>2142</v>
      </c>
      <c r="F925" s="21" t="s">
        <v>11746</v>
      </c>
      <c r="G925" s="21" t="s">
        <v>11720</v>
      </c>
      <c r="H925" s="21" t="s">
        <v>12525</v>
      </c>
    </row>
    <row r="926" customFormat="false" ht="15" hidden="false" customHeight="false" outlineLevel="0" collapsed="false">
      <c r="B926" s="19" t="s">
        <v>12721</v>
      </c>
      <c r="C926" s="20" t="n">
        <f aca="false">ROUND(27.37/FX,2)</f>
        <v>3.8</v>
      </c>
      <c r="D926" s="21" t="s">
        <v>12021</v>
      </c>
      <c r="E926" s="21" t="s">
        <v>2187</v>
      </c>
      <c r="F926" s="21" t="s">
        <v>11746</v>
      </c>
      <c r="G926" s="21" t="s">
        <v>11720</v>
      </c>
      <c r="H926" s="21" t="s">
        <v>12525</v>
      </c>
    </row>
    <row r="927" customFormat="false" ht="15" hidden="false" customHeight="false" outlineLevel="0" collapsed="false">
      <c r="B927" s="19" t="s">
        <v>12722</v>
      </c>
      <c r="C927" s="20" t="n">
        <f aca="false">ROUND(4.55/FX,2)</f>
        <v>0.63</v>
      </c>
      <c r="D927" s="21" t="s">
        <v>12021</v>
      </c>
      <c r="E927" s="21" t="s">
        <v>2941</v>
      </c>
      <c r="F927" s="21" t="s">
        <v>11746</v>
      </c>
      <c r="G927" s="21" t="s">
        <v>11720</v>
      </c>
      <c r="H927" s="21" t="s">
        <v>12525</v>
      </c>
    </row>
    <row r="928" customFormat="false" ht="15" hidden="false" customHeight="false" outlineLevel="0" collapsed="false">
      <c r="B928" s="19" t="s">
        <v>12723</v>
      </c>
      <c r="C928" s="20" t="n">
        <f aca="false">ROUND(3.97/FX,2)</f>
        <v>0.55</v>
      </c>
      <c r="D928" s="21" t="s">
        <v>12084</v>
      </c>
      <c r="E928" s="21" t="s">
        <v>2600</v>
      </c>
      <c r="F928" s="21" t="s">
        <v>11957</v>
      </c>
      <c r="G928" s="21" t="s">
        <v>11720</v>
      </c>
      <c r="H928" s="21" t="s">
        <v>12525</v>
      </c>
    </row>
    <row r="929" customFormat="false" ht="15" hidden="false" customHeight="false" outlineLevel="0" collapsed="false">
      <c r="B929" s="19" t="s">
        <v>12724</v>
      </c>
      <c r="C929" s="20" t="n">
        <f aca="false">ROUND(18.59/FX,2)</f>
        <v>2.58</v>
      </c>
      <c r="D929" s="21" t="s">
        <v>12084</v>
      </c>
      <c r="E929" s="21" t="s">
        <v>1733</v>
      </c>
      <c r="F929" s="21" t="s">
        <v>11957</v>
      </c>
      <c r="G929" s="21" t="s">
        <v>11720</v>
      </c>
      <c r="H929" s="21" t="s">
        <v>12525</v>
      </c>
    </row>
    <row r="930" customFormat="false" ht="15" hidden="false" customHeight="false" outlineLevel="0" collapsed="false">
      <c r="B930" s="19" t="s">
        <v>12725</v>
      </c>
      <c r="C930" s="20" t="n">
        <f aca="false">ROUND(20.22/FX,2)</f>
        <v>2.81</v>
      </c>
      <c r="D930" s="21" t="s">
        <v>12084</v>
      </c>
      <c r="E930" s="21" t="s">
        <v>1768</v>
      </c>
      <c r="F930" s="21" t="s">
        <v>11957</v>
      </c>
      <c r="G930" s="21" t="s">
        <v>11720</v>
      </c>
      <c r="H930" s="21" t="s">
        <v>12525</v>
      </c>
    </row>
    <row r="931" customFormat="false" ht="15" hidden="false" customHeight="false" outlineLevel="0" collapsed="false">
      <c r="B931" s="19" t="s">
        <v>12726</v>
      </c>
      <c r="C931" s="20" t="n">
        <f aca="false">ROUND(21.84/FX,2)</f>
        <v>3.03</v>
      </c>
      <c r="D931" s="21" t="s">
        <v>12084</v>
      </c>
      <c r="E931" s="21" t="s">
        <v>3253</v>
      </c>
      <c r="F931" s="21" t="s">
        <v>11957</v>
      </c>
      <c r="G931" s="21" t="s">
        <v>11720</v>
      </c>
      <c r="H931" s="21" t="s">
        <v>12525</v>
      </c>
    </row>
    <row r="932" customFormat="false" ht="15" hidden="false" customHeight="false" outlineLevel="0" collapsed="false">
      <c r="B932" s="19" t="s">
        <v>12727</v>
      </c>
      <c r="C932" s="20" t="n">
        <f aca="false">ROUND(4.37/FX,2)</f>
        <v>0.61</v>
      </c>
      <c r="D932" s="21" t="s">
        <v>12084</v>
      </c>
      <c r="E932" s="21" t="s">
        <v>11968</v>
      </c>
      <c r="F932" s="21" t="s">
        <v>11957</v>
      </c>
      <c r="G932" s="21" t="s">
        <v>11720</v>
      </c>
      <c r="H932" s="21" t="s">
        <v>12525</v>
      </c>
    </row>
    <row r="933" customFormat="false" ht="15" hidden="false" customHeight="false" outlineLevel="0" collapsed="false">
      <c r="B933" s="19" t="s">
        <v>12728</v>
      </c>
      <c r="C933" s="20" t="n">
        <f aca="false">ROUND(5.81/FX,2)</f>
        <v>0.81</v>
      </c>
      <c r="D933" s="21" t="s">
        <v>12084</v>
      </c>
      <c r="E933" s="21" t="s">
        <v>2801</v>
      </c>
      <c r="F933" s="21" t="s">
        <v>11957</v>
      </c>
      <c r="G933" s="21" t="s">
        <v>11720</v>
      </c>
      <c r="H933" s="21" t="s">
        <v>12729</v>
      </c>
    </row>
    <row r="934" customFormat="false" ht="15" hidden="false" customHeight="false" outlineLevel="0" collapsed="false">
      <c r="B934" s="19" t="s">
        <v>12730</v>
      </c>
      <c r="C934" s="20" t="n">
        <f aca="false">ROUND(4.7/FX,2)</f>
        <v>0.65</v>
      </c>
      <c r="D934" s="21" t="s">
        <v>12084</v>
      </c>
      <c r="E934" s="21" t="s">
        <v>12101</v>
      </c>
      <c r="F934" s="21" t="s">
        <v>11957</v>
      </c>
      <c r="G934" s="21" t="s">
        <v>11720</v>
      </c>
      <c r="H934" s="21" t="s">
        <v>12525</v>
      </c>
    </row>
    <row r="935" customFormat="false" ht="15" hidden="false" customHeight="false" outlineLevel="0" collapsed="false">
      <c r="B935" s="19" t="s">
        <v>12731</v>
      </c>
      <c r="C935" s="20" t="n">
        <f aca="false">ROUND(4.78/FX,2)</f>
        <v>0.66</v>
      </c>
      <c r="D935" s="21" t="s">
        <v>12084</v>
      </c>
      <c r="E935" s="21" t="s">
        <v>2851</v>
      </c>
      <c r="F935" s="21" t="s">
        <v>11957</v>
      </c>
      <c r="G935" s="21" t="s">
        <v>11720</v>
      </c>
      <c r="H935" s="21" t="s">
        <v>12525</v>
      </c>
    </row>
    <row r="936" customFormat="false" ht="15" hidden="false" customHeight="false" outlineLevel="0" collapsed="false">
      <c r="B936" s="19" t="s">
        <v>12732</v>
      </c>
      <c r="C936" s="20" t="n">
        <f aca="false">ROUND(5.17/FX,2)</f>
        <v>0.72</v>
      </c>
      <c r="D936" s="21" t="s">
        <v>12084</v>
      </c>
      <c r="E936" s="21" t="s">
        <v>2851</v>
      </c>
      <c r="F936" s="21" t="s">
        <v>11957</v>
      </c>
      <c r="G936" s="21" t="s">
        <v>11720</v>
      </c>
      <c r="H936" s="21" t="s">
        <v>12733</v>
      </c>
    </row>
    <row r="937" customFormat="false" ht="15" hidden="false" customHeight="false" outlineLevel="0" collapsed="false">
      <c r="B937" s="19" t="s">
        <v>12734</v>
      </c>
      <c r="C937" s="20" t="n">
        <f aca="false">ROUND(26.72/FX,2)</f>
        <v>3.71</v>
      </c>
      <c r="D937" s="21" t="s">
        <v>12084</v>
      </c>
      <c r="E937" s="21" t="s">
        <v>1881</v>
      </c>
      <c r="F937" s="21" t="s">
        <v>11957</v>
      </c>
      <c r="G937" s="21" t="s">
        <v>11720</v>
      </c>
      <c r="H937" s="21" t="s">
        <v>12525</v>
      </c>
    </row>
    <row r="938" customFormat="false" ht="15" hidden="false" customHeight="false" outlineLevel="0" collapsed="false">
      <c r="B938" s="19" t="s">
        <v>12735</v>
      </c>
      <c r="C938" s="20" t="n">
        <f aca="false">ROUND(4.95/FX,2)</f>
        <v>0.69</v>
      </c>
      <c r="D938" s="21" t="s">
        <v>12084</v>
      </c>
      <c r="E938" s="21" t="s">
        <v>12736</v>
      </c>
      <c r="F938" s="21" t="s">
        <v>11957</v>
      </c>
      <c r="G938" s="21" t="s">
        <v>11720</v>
      </c>
      <c r="H938" s="21" t="s">
        <v>12525</v>
      </c>
    </row>
    <row r="939" customFormat="false" ht="15" hidden="false" customHeight="false" outlineLevel="0" collapsed="false">
      <c r="B939" s="19" t="s">
        <v>12737</v>
      </c>
      <c r="C939" s="20" t="n">
        <f aca="false">ROUND(4.94/FX,2)</f>
        <v>0.69</v>
      </c>
      <c r="D939" s="21" t="s">
        <v>12084</v>
      </c>
      <c r="E939" s="21" t="s">
        <v>2901</v>
      </c>
      <c r="F939" s="21" t="s">
        <v>11957</v>
      </c>
      <c r="G939" s="21" t="s">
        <v>11720</v>
      </c>
      <c r="H939" s="21" t="s">
        <v>12525</v>
      </c>
    </row>
    <row r="940" customFormat="false" ht="15" hidden="false" customHeight="false" outlineLevel="0" collapsed="false">
      <c r="B940" s="19" t="s">
        <v>12738</v>
      </c>
      <c r="C940" s="20" t="n">
        <f aca="false">ROUND(5.02/FX,2)</f>
        <v>0.7</v>
      </c>
      <c r="D940" s="21" t="s">
        <v>12084</v>
      </c>
      <c r="E940" s="21" t="s">
        <v>3881</v>
      </c>
      <c r="F940" s="21" t="s">
        <v>11957</v>
      </c>
      <c r="G940" s="21" t="s">
        <v>11720</v>
      </c>
      <c r="H940" s="21" t="s">
        <v>12525</v>
      </c>
    </row>
    <row r="941" customFormat="false" ht="15" hidden="false" customHeight="false" outlineLevel="0" collapsed="false">
      <c r="B941" s="19" t="s">
        <v>12739</v>
      </c>
      <c r="C941" s="20" t="n">
        <f aca="false">ROUND(5.1/FX,2)</f>
        <v>0.71</v>
      </c>
      <c r="D941" s="21" t="s">
        <v>12084</v>
      </c>
      <c r="E941" s="21" t="s">
        <v>883</v>
      </c>
      <c r="F941" s="21" t="s">
        <v>11957</v>
      </c>
      <c r="G941" s="21" t="s">
        <v>11720</v>
      </c>
      <c r="H941" s="21" t="s">
        <v>12525</v>
      </c>
    </row>
    <row r="942" customFormat="false" ht="15" hidden="false" customHeight="false" outlineLevel="0" collapsed="false">
      <c r="B942" s="19" t="s">
        <v>12740</v>
      </c>
      <c r="C942" s="20" t="n">
        <f aca="false">ROUND(5.52/FX,2)</f>
        <v>0.77</v>
      </c>
      <c r="D942" s="21" t="s">
        <v>12084</v>
      </c>
      <c r="E942" s="21" t="s">
        <v>938</v>
      </c>
      <c r="F942" s="21" t="s">
        <v>11957</v>
      </c>
      <c r="G942" s="21" t="s">
        <v>11720</v>
      </c>
      <c r="H942" s="21" t="s">
        <v>12525</v>
      </c>
    </row>
    <row r="943" customFormat="false" ht="15" hidden="false" customHeight="false" outlineLevel="0" collapsed="false">
      <c r="B943" s="19" t="s">
        <v>12741</v>
      </c>
      <c r="C943" s="20" t="n">
        <f aca="false">ROUND(5.43/FX,2)</f>
        <v>0.75</v>
      </c>
      <c r="D943" s="21" t="s">
        <v>12084</v>
      </c>
      <c r="E943" s="21" t="s">
        <v>993</v>
      </c>
      <c r="F943" s="21" t="s">
        <v>11957</v>
      </c>
      <c r="G943" s="21" t="s">
        <v>11720</v>
      </c>
      <c r="H943" s="21" t="s">
        <v>12525</v>
      </c>
    </row>
    <row r="944" customFormat="false" ht="15" hidden="false" customHeight="false" outlineLevel="0" collapsed="false">
      <c r="B944" s="19" t="s">
        <v>12742</v>
      </c>
      <c r="C944" s="20" t="n">
        <f aca="false">ROUND(5.59/FX,2)</f>
        <v>0.78</v>
      </c>
      <c r="D944" s="21" t="s">
        <v>12084</v>
      </c>
      <c r="E944" s="21" t="s">
        <v>1048</v>
      </c>
      <c r="F944" s="21" t="s">
        <v>11957</v>
      </c>
      <c r="G944" s="21" t="s">
        <v>11720</v>
      </c>
      <c r="H944" s="21" t="s">
        <v>12525</v>
      </c>
    </row>
    <row r="945" customFormat="false" ht="15" hidden="false" customHeight="false" outlineLevel="0" collapsed="false">
      <c r="B945" s="19" t="s">
        <v>12743</v>
      </c>
      <c r="C945" s="20" t="n">
        <f aca="false">ROUND(5.82/FX,2)</f>
        <v>0.81</v>
      </c>
      <c r="D945" s="21" t="s">
        <v>12084</v>
      </c>
      <c r="E945" s="21" t="s">
        <v>1048</v>
      </c>
      <c r="F945" s="21" t="s">
        <v>11957</v>
      </c>
      <c r="G945" s="21" t="s">
        <v>11720</v>
      </c>
      <c r="H945" s="21" t="s">
        <v>12733</v>
      </c>
    </row>
    <row r="946" customFormat="false" ht="15" hidden="false" customHeight="false" outlineLevel="0" collapsed="false">
      <c r="B946" s="19" t="s">
        <v>12744</v>
      </c>
      <c r="C946" s="20" t="n">
        <f aca="false">ROUND(5.75/FX,2)</f>
        <v>0.8</v>
      </c>
      <c r="D946" s="21" t="s">
        <v>12084</v>
      </c>
      <c r="E946" s="21" t="s">
        <v>1103</v>
      </c>
      <c r="F946" s="21" t="s">
        <v>11957</v>
      </c>
      <c r="G946" s="21" t="s">
        <v>11720</v>
      </c>
      <c r="H946" s="21" t="s">
        <v>12525</v>
      </c>
    </row>
    <row r="947" customFormat="false" ht="15" hidden="false" customHeight="false" outlineLevel="0" collapsed="false">
      <c r="B947" s="19" t="s">
        <v>12745</v>
      </c>
      <c r="C947" s="20" t="n">
        <f aca="false">ROUND(7.05/FX,2)</f>
        <v>0.98</v>
      </c>
      <c r="D947" s="21" t="s">
        <v>12084</v>
      </c>
      <c r="E947" s="21" t="s">
        <v>1158</v>
      </c>
      <c r="F947" s="21" t="s">
        <v>11957</v>
      </c>
      <c r="G947" s="21" t="s">
        <v>11720</v>
      </c>
      <c r="H947" s="21" t="s">
        <v>12729</v>
      </c>
    </row>
    <row r="948" customFormat="false" ht="15" hidden="false" customHeight="false" outlineLevel="0" collapsed="false">
      <c r="B948" s="19" t="s">
        <v>12746</v>
      </c>
      <c r="C948" s="20" t="n">
        <f aca="false">ROUND(6.08/FX,2)</f>
        <v>0.84</v>
      </c>
      <c r="D948" s="21" t="s">
        <v>12084</v>
      </c>
      <c r="E948" s="21" t="s">
        <v>1213</v>
      </c>
      <c r="F948" s="21" t="s">
        <v>11957</v>
      </c>
      <c r="G948" s="21" t="s">
        <v>11720</v>
      </c>
      <c r="H948" s="21" t="s">
        <v>12525</v>
      </c>
    </row>
    <row r="949" customFormat="false" ht="15" hidden="false" customHeight="false" outlineLevel="0" collapsed="false">
      <c r="B949" s="19" t="s">
        <v>12747</v>
      </c>
      <c r="C949" s="20" t="n">
        <f aca="false">ROUND(6.34/FX,2)</f>
        <v>0.88</v>
      </c>
      <c r="D949" s="21" t="s">
        <v>12084</v>
      </c>
      <c r="E949" s="21" t="s">
        <v>12748</v>
      </c>
      <c r="F949" s="21" t="s">
        <v>11957</v>
      </c>
      <c r="G949" s="21" t="s">
        <v>11720</v>
      </c>
      <c r="H949" s="21" t="s">
        <v>12525</v>
      </c>
    </row>
    <row r="950" customFormat="false" ht="15" hidden="false" customHeight="false" outlineLevel="0" collapsed="false">
      <c r="B950" s="19" t="s">
        <v>12749</v>
      </c>
      <c r="C950" s="20" t="n">
        <f aca="false">ROUND(6.24/FX,2)</f>
        <v>0.87</v>
      </c>
      <c r="D950" s="21" t="s">
        <v>12084</v>
      </c>
      <c r="E950" s="21" t="s">
        <v>1268</v>
      </c>
      <c r="F950" s="21" t="s">
        <v>11957</v>
      </c>
      <c r="G950" s="21" t="s">
        <v>11720</v>
      </c>
      <c r="H950" s="21" t="s">
        <v>12525</v>
      </c>
    </row>
    <row r="951" customFormat="false" ht="15" hidden="false" customHeight="false" outlineLevel="0" collapsed="false">
      <c r="B951" s="19" t="s">
        <v>12750</v>
      </c>
      <c r="C951" s="20" t="n">
        <f aca="false">ROUND(6.4/FX,2)</f>
        <v>0.89</v>
      </c>
      <c r="D951" s="21" t="s">
        <v>12084</v>
      </c>
      <c r="E951" s="21" t="s">
        <v>1323</v>
      </c>
      <c r="F951" s="21" t="s">
        <v>11957</v>
      </c>
      <c r="G951" s="21" t="s">
        <v>11720</v>
      </c>
      <c r="H951" s="21" t="s">
        <v>12525</v>
      </c>
    </row>
    <row r="952" customFormat="false" ht="28.35" hidden="false" customHeight="false" outlineLevel="0" collapsed="false">
      <c r="B952" s="19" t="s">
        <v>12751</v>
      </c>
      <c r="C952" s="20" t="n">
        <f aca="false">ROUND(40.62/FX,2)</f>
        <v>5.64</v>
      </c>
      <c r="D952" s="21" t="s">
        <v>12084</v>
      </c>
      <c r="E952" s="21" t="s">
        <v>1323</v>
      </c>
      <c r="F952" s="21" t="s">
        <v>11957</v>
      </c>
      <c r="G952" s="21" t="s">
        <v>11720</v>
      </c>
      <c r="H952" s="21" t="s">
        <v>12752</v>
      </c>
    </row>
    <row r="953" customFormat="false" ht="15" hidden="false" customHeight="false" outlineLevel="0" collapsed="false">
      <c r="B953" s="19" t="s">
        <v>12753</v>
      </c>
      <c r="C953" s="20" t="n">
        <f aca="false">ROUND(6.57/FX,2)</f>
        <v>0.91</v>
      </c>
      <c r="D953" s="21" t="s">
        <v>12084</v>
      </c>
      <c r="E953" s="21" t="s">
        <v>1378</v>
      </c>
      <c r="F953" s="21" t="s">
        <v>11957</v>
      </c>
      <c r="G953" s="21" t="s">
        <v>11720</v>
      </c>
      <c r="H953" s="21" t="s">
        <v>12525</v>
      </c>
    </row>
    <row r="954" customFormat="false" ht="15" hidden="false" customHeight="false" outlineLevel="0" collapsed="false">
      <c r="B954" s="19" t="s">
        <v>12754</v>
      </c>
      <c r="C954" s="20" t="n">
        <f aca="false">ROUND(6.81/FX,2)</f>
        <v>0.95</v>
      </c>
      <c r="D954" s="21" t="s">
        <v>12084</v>
      </c>
      <c r="E954" s="21" t="s">
        <v>4883</v>
      </c>
      <c r="F954" s="21" t="s">
        <v>11957</v>
      </c>
      <c r="G954" s="21" t="s">
        <v>11720</v>
      </c>
      <c r="H954" s="21" t="s">
        <v>12525</v>
      </c>
    </row>
    <row r="955" customFormat="false" ht="15" hidden="false" customHeight="false" outlineLevel="0" collapsed="false">
      <c r="B955" s="19" t="s">
        <v>12755</v>
      </c>
      <c r="C955" s="20" t="n">
        <f aca="false">ROUND(7.22/FX,2)</f>
        <v>1</v>
      </c>
      <c r="D955" s="21" t="s">
        <v>12084</v>
      </c>
      <c r="E955" s="21" t="s">
        <v>1520</v>
      </c>
      <c r="F955" s="21" t="s">
        <v>11957</v>
      </c>
      <c r="G955" s="21" t="s">
        <v>11720</v>
      </c>
      <c r="H955" s="21" t="s">
        <v>12525</v>
      </c>
    </row>
    <row r="956" customFormat="false" ht="15" hidden="false" customHeight="false" outlineLevel="0" collapsed="false">
      <c r="B956" s="19" t="s">
        <v>12756</v>
      </c>
      <c r="C956" s="20" t="n">
        <f aca="false">ROUND(7.38/FX,2)</f>
        <v>1.03</v>
      </c>
      <c r="D956" s="21" t="s">
        <v>12084</v>
      </c>
      <c r="E956" s="21" t="s">
        <v>1545</v>
      </c>
      <c r="F956" s="21" t="s">
        <v>11957</v>
      </c>
      <c r="G956" s="21" t="s">
        <v>11720</v>
      </c>
      <c r="H956" s="21" t="s">
        <v>12525</v>
      </c>
    </row>
    <row r="957" customFormat="false" ht="15" hidden="false" customHeight="false" outlineLevel="0" collapsed="false">
      <c r="B957" s="19" t="s">
        <v>12757</v>
      </c>
      <c r="C957" s="20" t="n">
        <f aca="false">ROUND(7.54/FX,2)</f>
        <v>1.05</v>
      </c>
      <c r="D957" s="21" t="s">
        <v>12084</v>
      </c>
      <c r="E957" s="21" t="s">
        <v>1570</v>
      </c>
      <c r="F957" s="21" t="s">
        <v>11957</v>
      </c>
      <c r="G957" s="21" t="s">
        <v>11720</v>
      </c>
      <c r="H957" s="21" t="s">
        <v>12525</v>
      </c>
    </row>
    <row r="958" customFormat="false" ht="15" hidden="false" customHeight="false" outlineLevel="0" collapsed="false">
      <c r="B958" s="19" t="s">
        <v>12758</v>
      </c>
      <c r="C958" s="20" t="n">
        <f aca="false">ROUND(7.78/FX,2)</f>
        <v>1.08</v>
      </c>
      <c r="D958" s="21" t="s">
        <v>12084</v>
      </c>
      <c r="E958" s="21" t="s">
        <v>4975</v>
      </c>
      <c r="F958" s="21" t="s">
        <v>11957</v>
      </c>
      <c r="G958" s="21" t="s">
        <v>11720</v>
      </c>
      <c r="H958" s="21" t="s">
        <v>12525</v>
      </c>
    </row>
    <row r="959" customFormat="false" ht="15" hidden="false" customHeight="false" outlineLevel="0" collapsed="false">
      <c r="B959" s="19" t="s">
        <v>12759</v>
      </c>
      <c r="C959" s="20" t="n">
        <f aca="false">ROUND(7.87/FX,2)</f>
        <v>1.09</v>
      </c>
      <c r="D959" s="21" t="s">
        <v>12084</v>
      </c>
      <c r="E959" s="21" t="s">
        <v>1615</v>
      </c>
      <c r="F959" s="21" t="s">
        <v>11957</v>
      </c>
      <c r="G959" s="21" t="s">
        <v>11720</v>
      </c>
      <c r="H959" s="21" t="s">
        <v>12525</v>
      </c>
    </row>
    <row r="960" customFormat="false" ht="15" hidden="false" customHeight="false" outlineLevel="0" collapsed="false">
      <c r="B960" s="19" t="s">
        <v>12760</v>
      </c>
      <c r="C960" s="20" t="n">
        <f aca="false">ROUND(8.03/FX,2)</f>
        <v>1.12</v>
      </c>
      <c r="D960" s="21" t="s">
        <v>12084</v>
      </c>
      <c r="E960" s="21" t="s">
        <v>1635</v>
      </c>
      <c r="F960" s="21" t="s">
        <v>11957</v>
      </c>
      <c r="G960" s="21" t="s">
        <v>11720</v>
      </c>
      <c r="H960" s="21" t="s">
        <v>12525</v>
      </c>
    </row>
    <row r="961" customFormat="false" ht="15" hidden="false" customHeight="false" outlineLevel="0" collapsed="false">
      <c r="B961" s="19" t="s">
        <v>12761</v>
      </c>
      <c r="C961" s="20" t="n">
        <f aca="false">ROUND(8.19/FX,2)</f>
        <v>1.14</v>
      </c>
      <c r="D961" s="21" t="s">
        <v>12084</v>
      </c>
      <c r="E961" s="21" t="s">
        <v>1655</v>
      </c>
      <c r="F961" s="21" t="s">
        <v>11957</v>
      </c>
      <c r="G961" s="21" t="s">
        <v>11720</v>
      </c>
      <c r="H961" s="21" t="s">
        <v>12525</v>
      </c>
    </row>
    <row r="962" customFormat="false" ht="15" hidden="false" customHeight="false" outlineLevel="0" collapsed="false">
      <c r="B962" s="19" t="s">
        <v>12762</v>
      </c>
      <c r="C962" s="20" t="n">
        <f aca="false">ROUND(8.36/FX,2)</f>
        <v>1.16</v>
      </c>
      <c r="D962" s="21" t="s">
        <v>12084</v>
      </c>
      <c r="E962" s="21" t="s">
        <v>1670</v>
      </c>
      <c r="F962" s="21" t="s">
        <v>11957</v>
      </c>
      <c r="G962" s="21" t="s">
        <v>11720</v>
      </c>
      <c r="H962" s="21" t="s">
        <v>12525</v>
      </c>
    </row>
    <row r="963" customFormat="false" ht="15" hidden="false" customHeight="false" outlineLevel="0" collapsed="false">
      <c r="B963" s="19" t="s">
        <v>12763</v>
      </c>
      <c r="C963" s="20" t="n">
        <f aca="false">ROUND(8.52/FX,2)</f>
        <v>1.18</v>
      </c>
      <c r="D963" s="21" t="s">
        <v>12084</v>
      </c>
      <c r="E963" s="21" t="s">
        <v>1685</v>
      </c>
      <c r="F963" s="21" t="s">
        <v>11957</v>
      </c>
      <c r="G963" s="21" t="s">
        <v>11720</v>
      </c>
      <c r="H963" s="21" t="s">
        <v>12525</v>
      </c>
    </row>
    <row r="964" customFormat="false" ht="15" hidden="false" customHeight="false" outlineLevel="0" collapsed="false">
      <c r="B964" s="19" t="s">
        <v>12764</v>
      </c>
      <c r="C964" s="20" t="n">
        <f aca="false">ROUND(8.84/FX,2)</f>
        <v>1.23</v>
      </c>
      <c r="D964" s="21" t="s">
        <v>12084</v>
      </c>
      <c r="E964" s="21" t="s">
        <v>2002</v>
      </c>
      <c r="F964" s="21" t="s">
        <v>11957</v>
      </c>
      <c r="G964" s="21" t="s">
        <v>11720</v>
      </c>
      <c r="H964" s="21" t="s">
        <v>12525</v>
      </c>
    </row>
    <row r="965" customFormat="false" ht="15" hidden="false" customHeight="false" outlineLevel="0" collapsed="false">
      <c r="B965" s="19" t="s">
        <v>12765</v>
      </c>
      <c r="C965" s="20" t="n">
        <f aca="false">ROUND(9.25/FX,2)</f>
        <v>1.28</v>
      </c>
      <c r="D965" s="21" t="s">
        <v>12084</v>
      </c>
      <c r="E965" s="21" t="s">
        <v>5153</v>
      </c>
      <c r="F965" s="21" t="s">
        <v>11957</v>
      </c>
      <c r="G965" s="21" t="s">
        <v>11720</v>
      </c>
      <c r="H965" s="21" t="s">
        <v>12525</v>
      </c>
    </row>
    <row r="966" customFormat="false" ht="15" hidden="false" customHeight="false" outlineLevel="0" collapsed="false">
      <c r="B966" s="19" t="s">
        <v>12766</v>
      </c>
      <c r="C966" s="20" t="n">
        <f aca="false">ROUND(9.65/FX,2)</f>
        <v>1.34</v>
      </c>
      <c r="D966" s="21" t="s">
        <v>12084</v>
      </c>
      <c r="E966" s="21" t="s">
        <v>2067</v>
      </c>
      <c r="F966" s="21" t="s">
        <v>11957</v>
      </c>
      <c r="G966" s="21" t="s">
        <v>11720</v>
      </c>
      <c r="H966" s="21" t="s">
        <v>12525</v>
      </c>
    </row>
    <row r="967" customFormat="false" ht="15" hidden="false" customHeight="false" outlineLevel="0" collapsed="false">
      <c r="B967" s="19" t="s">
        <v>12767</v>
      </c>
      <c r="C967" s="20" t="n">
        <f aca="false">ROUND(9.82/FX,2)</f>
        <v>1.36</v>
      </c>
      <c r="D967" s="21" t="s">
        <v>12084</v>
      </c>
      <c r="E967" s="21" t="s">
        <v>2082</v>
      </c>
      <c r="F967" s="21" t="s">
        <v>11957</v>
      </c>
      <c r="G967" s="21" t="s">
        <v>11720</v>
      </c>
      <c r="H967" s="21" t="s">
        <v>12525</v>
      </c>
    </row>
    <row r="968" customFormat="false" ht="15" hidden="false" customHeight="false" outlineLevel="0" collapsed="false">
      <c r="B968" s="19" t="s">
        <v>12768</v>
      </c>
      <c r="C968" s="20" t="n">
        <f aca="false">ROUND(9.98/FX,2)</f>
        <v>1.39</v>
      </c>
      <c r="D968" s="21" t="s">
        <v>12084</v>
      </c>
      <c r="E968" s="21" t="s">
        <v>2097</v>
      </c>
      <c r="F968" s="21" t="s">
        <v>11957</v>
      </c>
      <c r="G968" s="21" t="s">
        <v>11720</v>
      </c>
      <c r="H968" s="21" t="s">
        <v>12525</v>
      </c>
    </row>
    <row r="969" customFormat="false" ht="15" hidden="false" customHeight="false" outlineLevel="0" collapsed="false">
      <c r="B969" s="19" t="s">
        <v>12769</v>
      </c>
      <c r="C969" s="20" t="n">
        <f aca="false">ROUND(10.47/FX,2)</f>
        <v>1.45</v>
      </c>
      <c r="D969" s="21" t="s">
        <v>12084</v>
      </c>
      <c r="E969" s="21" t="s">
        <v>2142</v>
      </c>
      <c r="F969" s="21" t="s">
        <v>11957</v>
      </c>
      <c r="G969" s="21" t="s">
        <v>11720</v>
      </c>
      <c r="H969" s="21" t="s">
        <v>12525</v>
      </c>
    </row>
    <row r="970" customFormat="false" ht="15" hidden="false" customHeight="false" outlineLevel="0" collapsed="false">
      <c r="B970" s="19" t="s">
        <v>12770</v>
      </c>
      <c r="C970" s="20" t="n">
        <f aca="false">ROUND(11.28/FX,2)</f>
        <v>1.57</v>
      </c>
      <c r="D970" s="21" t="s">
        <v>12084</v>
      </c>
      <c r="E970" s="21" t="s">
        <v>2187</v>
      </c>
      <c r="F970" s="21" t="s">
        <v>11957</v>
      </c>
      <c r="G970" s="21" t="s">
        <v>11720</v>
      </c>
      <c r="H970" s="21" t="s">
        <v>12525</v>
      </c>
    </row>
    <row r="971" customFormat="false" ht="15" hidden="false" customHeight="false" outlineLevel="0" collapsed="false">
      <c r="B971" s="19" t="s">
        <v>12771</v>
      </c>
      <c r="C971" s="20" t="n">
        <f aca="false">ROUND(11.74/FX,2)</f>
        <v>1.63</v>
      </c>
      <c r="D971" s="21" t="s">
        <v>12084</v>
      </c>
      <c r="E971" s="21" t="s">
        <v>12772</v>
      </c>
      <c r="F971" s="21" t="s">
        <v>11957</v>
      </c>
      <c r="G971" s="21" t="s">
        <v>11720</v>
      </c>
      <c r="H971" s="21" t="s">
        <v>12525</v>
      </c>
    </row>
    <row r="972" customFormat="false" ht="15" hidden="false" customHeight="false" outlineLevel="0" collapsed="false">
      <c r="B972" s="19" t="s">
        <v>12773</v>
      </c>
      <c r="C972" s="20" t="n">
        <f aca="false">ROUND(11.83/FX,2)</f>
        <v>1.64</v>
      </c>
      <c r="D972" s="21" t="s">
        <v>12084</v>
      </c>
      <c r="E972" s="21" t="s">
        <v>12774</v>
      </c>
      <c r="F972" s="21" t="s">
        <v>11957</v>
      </c>
      <c r="G972" s="21" t="s">
        <v>11720</v>
      </c>
      <c r="H972" s="21" t="s">
        <v>12525</v>
      </c>
    </row>
    <row r="973" customFormat="false" ht="15" hidden="false" customHeight="false" outlineLevel="0" collapsed="false">
      <c r="B973" s="19" t="s">
        <v>12775</v>
      </c>
      <c r="C973" s="20" t="n">
        <f aca="false">ROUND(12.09/FX,2)</f>
        <v>1.68</v>
      </c>
      <c r="D973" s="21" t="s">
        <v>12084</v>
      </c>
      <c r="E973" s="21" t="s">
        <v>2227</v>
      </c>
      <c r="F973" s="21" t="s">
        <v>11957</v>
      </c>
      <c r="G973" s="21" t="s">
        <v>11720</v>
      </c>
      <c r="H973" s="21" t="s">
        <v>12525</v>
      </c>
    </row>
    <row r="974" customFormat="false" ht="15" hidden="false" customHeight="false" outlineLevel="0" collapsed="false">
      <c r="B974" s="19" t="s">
        <v>12776</v>
      </c>
      <c r="C974" s="20" t="n">
        <f aca="false">ROUND(12.9/FX,2)</f>
        <v>1.79</v>
      </c>
      <c r="D974" s="21" t="s">
        <v>12084</v>
      </c>
      <c r="E974" s="21" t="s">
        <v>2297</v>
      </c>
      <c r="F974" s="21" t="s">
        <v>11957</v>
      </c>
      <c r="G974" s="21" t="s">
        <v>11720</v>
      </c>
      <c r="H974" s="21" t="s">
        <v>12525</v>
      </c>
    </row>
    <row r="975" customFormat="false" ht="15" hidden="false" customHeight="false" outlineLevel="0" collapsed="false">
      <c r="B975" s="19" t="s">
        <v>12777</v>
      </c>
      <c r="C975" s="20" t="n">
        <f aca="false">ROUND(13.72/FX,2)</f>
        <v>1.91</v>
      </c>
      <c r="D975" s="21" t="s">
        <v>12084</v>
      </c>
      <c r="E975" s="21" t="s">
        <v>2351</v>
      </c>
      <c r="F975" s="21" t="s">
        <v>11957</v>
      </c>
      <c r="G975" s="21" t="s">
        <v>11720</v>
      </c>
      <c r="H975" s="21" t="s">
        <v>12525</v>
      </c>
    </row>
    <row r="976" customFormat="false" ht="15" hidden="false" customHeight="false" outlineLevel="0" collapsed="false">
      <c r="B976" s="19" t="s">
        <v>12778</v>
      </c>
      <c r="C976" s="20" t="n">
        <f aca="false">ROUND(14.53/FX,2)</f>
        <v>2.02</v>
      </c>
      <c r="D976" s="21" t="s">
        <v>12084</v>
      </c>
      <c r="E976" s="21" t="s">
        <v>2400</v>
      </c>
      <c r="F976" s="21" t="s">
        <v>11957</v>
      </c>
      <c r="G976" s="21" t="s">
        <v>11720</v>
      </c>
      <c r="H976" s="21" t="s">
        <v>12525</v>
      </c>
    </row>
    <row r="977" customFormat="false" ht="15" hidden="false" customHeight="false" outlineLevel="0" collapsed="false">
      <c r="B977" s="19" t="s">
        <v>12779</v>
      </c>
      <c r="C977" s="20" t="n">
        <f aca="false">ROUND(3.97/FX,2)</f>
        <v>0.55</v>
      </c>
      <c r="D977" s="21" t="s">
        <v>12084</v>
      </c>
      <c r="E977" s="21" t="s">
        <v>3061</v>
      </c>
      <c r="F977" s="21" t="s">
        <v>11957</v>
      </c>
      <c r="G977" s="21" t="s">
        <v>11720</v>
      </c>
      <c r="H977" s="21" t="s">
        <v>12525</v>
      </c>
    </row>
    <row r="978" customFormat="false" ht="15" hidden="false" customHeight="false" outlineLevel="0" collapsed="false">
      <c r="B978" s="19" t="s">
        <v>12780</v>
      </c>
      <c r="C978" s="20" t="n">
        <f aca="false">ROUND(15.34/FX,2)</f>
        <v>2.13</v>
      </c>
      <c r="D978" s="21" t="s">
        <v>12084</v>
      </c>
      <c r="E978" s="21" t="s">
        <v>2440</v>
      </c>
      <c r="F978" s="21" t="s">
        <v>11957</v>
      </c>
      <c r="G978" s="21" t="s">
        <v>11720</v>
      </c>
      <c r="H978" s="21" t="s">
        <v>12525</v>
      </c>
    </row>
    <row r="979" customFormat="false" ht="15" hidden="false" customHeight="false" outlineLevel="0" collapsed="false">
      <c r="B979" s="19" t="s">
        <v>12781</v>
      </c>
      <c r="C979" s="20" t="n">
        <f aca="false">ROUND(2.98/FX,2)</f>
        <v>0.41</v>
      </c>
      <c r="D979" s="21" t="s">
        <v>12084</v>
      </c>
      <c r="E979" s="21" t="s">
        <v>11870</v>
      </c>
      <c r="F979" s="21" t="s">
        <v>11957</v>
      </c>
      <c r="G979" s="21" t="s">
        <v>11720</v>
      </c>
      <c r="H979" s="21" t="s">
        <v>12733</v>
      </c>
    </row>
    <row r="980" customFormat="false" ht="15" hidden="false" customHeight="false" outlineLevel="0" collapsed="false">
      <c r="B980" s="19" t="s">
        <v>12782</v>
      </c>
      <c r="C980" s="20" t="n">
        <f aca="false">ROUND(16.15/FX,2)</f>
        <v>2.24</v>
      </c>
      <c r="D980" s="21" t="s">
        <v>12084</v>
      </c>
      <c r="E980" s="21" t="s">
        <v>2470</v>
      </c>
      <c r="F980" s="21" t="s">
        <v>11957</v>
      </c>
      <c r="G980" s="21" t="s">
        <v>11720</v>
      </c>
      <c r="H980" s="21" t="s">
        <v>12525</v>
      </c>
    </row>
    <row r="981" customFormat="false" ht="15" hidden="false" customHeight="false" outlineLevel="0" collapsed="false">
      <c r="B981" s="19" t="s">
        <v>12783</v>
      </c>
      <c r="C981" s="20" t="n">
        <f aca="false">ROUND(7.54/FX,2)</f>
        <v>1.05</v>
      </c>
      <c r="D981" s="21" t="s">
        <v>12084</v>
      </c>
      <c r="E981" s="21" t="s">
        <v>2600</v>
      </c>
      <c r="F981" s="21" t="s">
        <v>12784</v>
      </c>
      <c r="G981" s="21" t="s">
        <v>11720</v>
      </c>
      <c r="H981" s="21" t="s">
        <v>12525</v>
      </c>
    </row>
    <row r="982" customFormat="false" ht="15" hidden="false" customHeight="false" outlineLevel="0" collapsed="false">
      <c r="B982" s="19" t="s">
        <v>12785</v>
      </c>
      <c r="C982" s="20" t="n">
        <f aca="false">ROUND(40.3/FX,2)</f>
        <v>5.6</v>
      </c>
      <c r="D982" s="21" t="s">
        <v>12084</v>
      </c>
      <c r="E982" s="21" t="s">
        <v>1733</v>
      </c>
      <c r="F982" s="21" t="s">
        <v>12784</v>
      </c>
      <c r="G982" s="21" t="s">
        <v>11720</v>
      </c>
      <c r="H982" s="21" t="s">
        <v>12525</v>
      </c>
    </row>
    <row r="983" customFormat="false" ht="15" hidden="false" customHeight="false" outlineLevel="0" collapsed="false">
      <c r="B983" s="19" t="s">
        <v>12786</v>
      </c>
      <c r="C983" s="20" t="n">
        <f aca="false">ROUND(11.18/FX,2)</f>
        <v>1.55</v>
      </c>
      <c r="D983" s="21" t="s">
        <v>12084</v>
      </c>
      <c r="E983" s="21" t="s">
        <v>1048</v>
      </c>
      <c r="F983" s="21" t="s">
        <v>12784</v>
      </c>
      <c r="G983" s="21" t="s">
        <v>11720</v>
      </c>
      <c r="H983" s="21" t="s">
        <v>12525</v>
      </c>
    </row>
    <row r="984" customFormat="false" ht="15" hidden="false" customHeight="false" outlineLevel="0" collapsed="false">
      <c r="B984" s="19" t="s">
        <v>12787</v>
      </c>
      <c r="C984" s="20" t="n">
        <f aca="false">ROUND(13.65/FX,2)</f>
        <v>1.9</v>
      </c>
      <c r="D984" s="21" t="s">
        <v>12084</v>
      </c>
      <c r="E984" s="21" t="s">
        <v>1323</v>
      </c>
      <c r="F984" s="21" t="s">
        <v>12784</v>
      </c>
      <c r="G984" s="21" t="s">
        <v>11720</v>
      </c>
      <c r="H984" s="21" t="s">
        <v>12525</v>
      </c>
    </row>
    <row r="985" customFormat="false" ht="15" hidden="false" customHeight="false" outlineLevel="0" collapsed="false">
      <c r="B985" s="19" t="s">
        <v>12788</v>
      </c>
      <c r="C985" s="20" t="n">
        <f aca="false">ROUND(16.64/FX,2)</f>
        <v>2.31</v>
      </c>
      <c r="D985" s="21" t="s">
        <v>12084</v>
      </c>
      <c r="E985" s="21" t="s">
        <v>1635</v>
      </c>
      <c r="F985" s="21" t="s">
        <v>12784</v>
      </c>
      <c r="G985" s="21" t="s">
        <v>11720</v>
      </c>
      <c r="H985" s="21" t="s">
        <v>12525</v>
      </c>
    </row>
    <row r="986" customFormat="false" ht="15" hidden="false" customHeight="false" outlineLevel="0" collapsed="false">
      <c r="B986" s="19" t="s">
        <v>12789</v>
      </c>
      <c r="C986" s="20" t="n">
        <f aca="false">ROUND(18.46/FX,2)</f>
        <v>2.56</v>
      </c>
      <c r="D986" s="21" t="s">
        <v>12084</v>
      </c>
      <c r="E986" s="21" t="s">
        <v>2002</v>
      </c>
      <c r="F986" s="21" t="s">
        <v>12784</v>
      </c>
      <c r="G986" s="21" t="s">
        <v>11720</v>
      </c>
      <c r="H986" s="21" t="s">
        <v>12525</v>
      </c>
    </row>
    <row r="987" customFormat="false" ht="15" hidden="false" customHeight="false" outlineLevel="0" collapsed="false">
      <c r="B987" s="19" t="s">
        <v>12790</v>
      </c>
      <c r="C987" s="20" t="n">
        <f aca="false">ROUND(22.1/FX,2)</f>
        <v>3.07</v>
      </c>
      <c r="D987" s="21" t="s">
        <v>12084</v>
      </c>
      <c r="E987" s="21" t="s">
        <v>2142</v>
      </c>
      <c r="F987" s="21" t="s">
        <v>12784</v>
      </c>
      <c r="G987" s="21" t="s">
        <v>11720</v>
      </c>
      <c r="H987" s="21" t="s">
        <v>12525</v>
      </c>
    </row>
    <row r="988" customFormat="false" ht="15" hidden="false" customHeight="false" outlineLevel="0" collapsed="false">
      <c r="B988" s="19" t="s">
        <v>12791</v>
      </c>
      <c r="C988" s="20" t="n">
        <f aca="false">ROUND(27.56/FX,2)</f>
        <v>3.83</v>
      </c>
      <c r="D988" s="21" t="s">
        <v>12084</v>
      </c>
      <c r="E988" s="21" t="s">
        <v>2297</v>
      </c>
      <c r="F988" s="21" t="s">
        <v>12784</v>
      </c>
      <c r="G988" s="21" t="s">
        <v>11720</v>
      </c>
      <c r="H988" s="21" t="s">
        <v>12525</v>
      </c>
    </row>
    <row r="989" customFormat="false" ht="15" hidden="false" customHeight="false" outlineLevel="0" collapsed="false">
      <c r="B989" s="19" t="s">
        <v>12792</v>
      </c>
      <c r="C989" s="20" t="n">
        <f aca="false">ROUND(7.54/FX,2)</f>
        <v>1.05</v>
      </c>
      <c r="D989" s="21" t="s">
        <v>12084</v>
      </c>
      <c r="E989" s="21" t="s">
        <v>2600</v>
      </c>
      <c r="F989" s="21" t="s">
        <v>11770</v>
      </c>
      <c r="G989" s="21" t="s">
        <v>11720</v>
      </c>
      <c r="H989" s="21" t="s">
        <v>12525</v>
      </c>
    </row>
    <row r="990" customFormat="false" ht="15" hidden="false" customHeight="false" outlineLevel="0" collapsed="false">
      <c r="B990" s="19" t="s">
        <v>12793</v>
      </c>
      <c r="C990" s="20" t="n">
        <f aca="false">ROUND(40.3/FX,2)</f>
        <v>5.6</v>
      </c>
      <c r="D990" s="21" t="s">
        <v>12084</v>
      </c>
      <c r="E990" s="21" t="s">
        <v>1733</v>
      </c>
      <c r="F990" s="21" t="s">
        <v>11770</v>
      </c>
      <c r="G990" s="21" t="s">
        <v>11720</v>
      </c>
      <c r="H990" s="21" t="s">
        <v>12525</v>
      </c>
    </row>
    <row r="991" customFormat="false" ht="15" hidden="false" customHeight="false" outlineLevel="0" collapsed="false">
      <c r="B991" s="19" t="s">
        <v>12794</v>
      </c>
      <c r="C991" s="20" t="n">
        <f aca="false">ROUND(8.27/FX,2)</f>
        <v>1.15</v>
      </c>
      <c r="D991" s="21" t="s">
        <v>12084</v>
      </c>
      <c r="E991" s="21" t="s">
        <v>2701</v>
      </c>
      <c r="F991" s="21" t="s">
        <v>11770</v>
      </c>
      <c r="G991" s="21" t="s">
        <v>11720</v>
      </c>
      <c r="H991" s="21" t="s">
        <v>12525</v>
      </c>
    </row>
    <row r="992" customFormat="false" ht="15" hidden="false" customHeight="false" outlineLevel="0" collapsed="false">
      <c r="B992" s="19" t="s">
        <v>12795</v>
      </c>
      <c r="C992" s="20" t="n">
        <f aca="false">ROUND(47.58/FX,2)</f>
        <v>6.61</v>
      </c>
      <c r="D992" s="21" t="s">
        <v>12084</v>
      </c>
      <c r="E992" s="21" t="s">
        <v>3253</v>
      </c>
      <c r="F992" s="21" t="s">
        <v>11770</v>
      </c>
      <c r="G992" s="21" t="s">
        <v>11720</v>
      </c>
      <c r="H992" s="21" t="s">
        <v>12525</v>
      </c>
    </row>
    <row r="993" customFormat="false" ht="15" hidden="false" customHeight="false" outlineLevel="0" collapsed="false">
      <c r="B993" s="19" t="s">
        <v>12796</v>
      </c>
      <c r="C993" s="20" t="n">
        <f aca="false">ROUND(9.36/FX,2)</f>
        <v>1.3</v>
      </c>
      <c r="D993" s="21" t="s">
        <v>12084</v>
      </c>
      <c r="E993" s="21" t="s">
        <v>2851</v>
      </c>
      <c r="F993" s="21" t="s">
        <v>11770</v>
      </c>
      <c r="G993" s="21" t="s">
        <v>11720</v>
      </c>
      <c r="H993" s="21" t="s">
        <v>12525</v>
      </c>
    </row>
    <row r="994" customFormat="false" ht="15" hidden="false" customHeight="false" outlineLevel="0" collapsed="false">
      <c r="B994" s="19" t="s">
        <v>12797</v>
      </c>
      <c r="C994" s="20" t="n">
        <f aca="false">ROUND(6.21/FX,2)</f>
        <v>0.86</v>
      </c>
      <c r="D994" s="21" t="s">
        <v>12084</v>
      </c>
      <c r="E994" s="21" t="s">
        <v>2901</v>
      </c>
      <c r="F994" s="21" t="s">
        <v>11770</v>
      </c>
      <c r="G994" s="21" t="s">
        <v>11720</v>
      </c>
      <c r="H994" s="21" t="s">
        <v>12525</v>
      </c>
    </row>
    <row r="995" customFormat="false" ht="15" hidden="false" customHeight="false" outlineLevel="0" collapsed="false">
      <c r="B995" s="19" t="s">
        <v>12798</v>
      </c>
      <c r="C995" s="20" t="n">
        <f aca="false">ROUND(10.82/FX,2)</f>
        <v>1.5</v>
      </c>
      <c r="D995" s="21" t="s">
        <v>12084</v>
      </c>
      <c r="E995" s="21" t="s">
        <v>993</v>
      </c>
      <c r="F995" s="21" t="s">
        <v>11770</v>
      </c>
      <c r="G995" s="21" t="s">
        <v>11720</v>
      </c>
      <c r="H995" s="21" t="s">
        <v>12525</v>
      </c>
    </row>
    <row r="996" customFormat="false" ht="15" hidden="false" customHeight="false" outlineLevel="0" collapsed="false">
      <c r="B996" s="19" t="s">
        <v>12799</v>
      </c>
      <c r="C996" s="20" t="n">
        <f aca="false">ROUND(11.18/FX,2)</f>
        <v>1.55</v>
      </c>
      <c r="D996" s="21" t="s">
        <v>12084</v>
      </c>
      <c r="E996" s="21" t="s">
        <v>1048</v>
      </c>
      <c r="F996" s="21" t="s">
        <v>11770</v>
      </c>
      <c r="G996" s="21" t="s">
        <v>11720</v>
      </c>
      <c r="H996" s="21" t="s">
        <v>12525</v>
      </c>
    </row>
    <row r="997" customFormat="false" ht="15" hidden="false" customHeight="false" outlineLevel="0" collapsed="false">
      <c r="B997" s="19" t="s">
        <v>12800</v>
      </c>
      <c r="C997" s="20" t="n">
        <f aca="false">ROUND(11.55/FX,2)</f>
        <v>1.6</v>
      </c>
      <c r="D997" s="21" t="s">
        <v>12084</v>
      </c>
      <c r="E997" s="21" t="s">
        <v>1103</v>
      </c>
      <c r="F997" s="21" t="s">
        <v>11770</v>
      </c>
      <c r="G997" s="21" t="s">
        <v>11720</v>
      </c>
      <c r="H997" s="21" t="s">
        <v>12525</v>
      </c>
    </row>
    <row r="998" customFormat="false" ht="15" hidden="false" customHeight="false" outlineLevel="0" collapsed="false">
      <c r="B998" s="19" t="s">
        <v>12801</v>
      </c>
      <c r="C998" s="20" t="n">
        <f aca="false">ROUND(12.27/FX,2)</f>
        <v>1.7</v>
      </c>
      <c r="D998" s="21" t="s">
        <v>12084</v>
      </c>
      <c r="E998" s="21" t="s">
        <v>1213</v>
      </c>
      <c r="F998" s="21" t="s">
        <v>11770</v>
      </c>
      <c r="G998" s="21" t="s">
        <v>11720</v>
      </c>
      <c r="H998" s="21" t="s">
        <v>12525</v>
      </c>
    </row>
    <row r="999" customFormat="false" ht="15" hidden="false" customHeight="false" outlineLevel="0" collapsed="false">
      <c r="B999" s="19" t="s">
        <v>12802</v>
      </c>
      <c r="C999" s="20" t="n">
        <f aca="false">ROUND(12.64/FX,2)</f>
        <v>1.76</v>
      </c>
      <c r="D999" s="21" t="s">
        <v>12084</v>
      </c>
      <c r="E999" s="21" t="s">
        <v>1268</v>
      </c>
      <c r="F999" s="21" t="s">
        <v>11770</v>
      </c>
      <c r="G999" s="21" t="s">
        <v>11720</v>
      </c>
      <c r="H999" s="21" t="s">
        <v>12525</v>
      </c>
    </row>
    <row r="1000" customFormat="false" ht="15" hidden="false" customHeight="false" outlineLevel="0" collapsed="false">
      <c r="B1000" s="19" t="s">
        <v>12803</v>
      </c>
      <c r="C1000" s="20" t="n">
        <f aca="false">ROUND(13/FX,2)</f>
        <v>1.81</v>
      </c>
      <c r="D1000" s="21" t="s">
        <v>12084</v>
      </c>
      <c r="E1000" s="21" t="s">
        <v>1323</v>
      </c>
      <c r="F1000" s="21" t="s">
        <v>11770</v>
      </c>
      <c r="G1000" s="21" t="s">
        <v>11720</v>
      </c>
      <c r="H1000" s="21" t="s">
        <v>12525</v>
      </c>
    </row>
    <row r="1001" customFormat="false" ht="15" hidden="false" customHeight="false" outlineLevel="0" collapsed="false">
      <c r="B1001" s="19" t="s">
        <v>12804</v>
      </c>
      <c r="C1001" s="20" t="n">
        <f aca="false">ROUND(13.36/FX,2)</f>
        <v>1.86</v>
      </c>
      <c r="D1001" s="21" t="s">
        <v>12084</v>
      </c>
      <c r="E1001" s="21" t="s">
        <v>1378</v>
      </c>
      <c r="F1001" s="21" t="s">
        <v>11770</v>
      </c>
      <c r="G1001" s="21" t="s">
        <v>11720</v>
      </c>
      <c r="H1001" s="21" t="s">
        <v>12525</v>
      </c>
    </row>
    <row r="1002" customFormat="false" ht="15" hidden="false" customHeight="false" outlineLevel="0" collapsed="false">
      <c r="B1002" s="19" t="s">
        <v>12805</v>
      </c>
      <c r="C1002" s="20" t="n">
        <f aca="false">ROUND(14.46/FX,2)</f>
        <v>2.01</v>
      </c>
      <c r="D1002" s="21" t="s">
        <v>12084</v>
      </c>
      <c r="E1002" s="21" t="s">
        <v>1495</v>
      </c>
      <c r="F1002" s="21" t="s">
        <v>11770</v>
      </c>
      <c r="G1002" s="21" t="s">
        <v>11720</v>
      </c>
      <c r="H1002" s="21" t="s">
        <v>12525</v>
      </c>
    </row>
    <row r="1003" customFormat="false" ht="15" hidden="false" customHeight="false" outlineLevel="0" collapsed="false">
      <c r="B1003" s="19" t="s">
        <v>12806</v>
      </c>
      <c r="C1003" s="20" t="n">
        <f aca="false">ROUND(14.82/FX,2)</f>
        <v>2.06</v>
      </c>
      <c r="D1003" s="21" t="s">
        <v>12084</v>
      </c>
      <c r="E1003" s="21" t="s">
        <v>1520</v>
      </c>
      <c r="F1003" s="21" t="s">
        <v>11770</v>
      </c>
      <c r="G1003" s="21" t="s">
        <v>11720</v>
      </c>
      <c r="H1003" s="21" t="s">
        <v>12525</v>
      </c>
    </row>
    <row r="1004" customFormat="false" ht="15" hidden="false" customHeight="false" outlineLevel="0" collapsed="false">
      <c r="B1004" s="19" t="s">
        <v>12807</v>
      </c>
      <c r="C1004" s="20" t="n">
        <f aca="false">ROUND(16.1/FX,2)</f>
        <v>2.24</v>
      </c>
      <c r="D1004" s="21" t="s">
        <v>12084</v>
      </c>
      <c r="E1004" s="21" t="s">
        <v>4975</v>
      </c>
      <c r="F1004" s="21" t="s">
        <v>11770</v>
      </c>
      <c r="G1004" s="21" t="s">
        <v>11720</v>
      </c>
      <c r="H1004" s="21" t="s">
        <v>12525</v>
      </c>
    </row>
    <row r="1005" customFormat="false" ht="15" hidden="false" customHeight="false" outlineLevel="0" collapsed="false">
      <c r="B1005" s="19" t="s">
        <v>12808</v>
      </c>
      <c r="C1005" s="20" t="n">
        <f aca="false">ROUND(16.64/FX,2)</f>
        <v>2.31</v>
      </c>
      <c r="D1005" s="21" t="s">
        <v>12084</v>
      </c>
      <c r="E1005" s="21" t="s">
        <v>1635</v>
      </c>
      <c r="F1005" s="21" t="s">
        <v>11770</v>
      </c>
      <c r="G1005" s="21" t="s">
        <v>11720</v>
      </c>
      <c r="H1005" s="21" t="s">
        <v>12525</v>
      </c>
    </row>
    <row r="1006" customFormat="false" ht="15" hidden="false" customHeight="false" outlineLevel="0" collapsed="false">
      <c r="B1006" s="19" t="s">
        <v>12809</v>
      </c>
      <c r="C1006" s="20" t="n">
        <f aca="false">ROUND(17/FX,2)</f>
        <v>2.36</v>
      </c>
      <c r="D1006" s="21" t="s">
        <v>12084</v>
      </c>
      <c r="E1006" s="21" t="s">
        <v>1655</v>
      </c>
      <c r="F1006" s="21" t="s">
        <v>11770</v>
      </c>
      <c r="G1006" s="21" t="s">
        <v>11720</v>
      </c>
      <c r="H1006" s="21" t="s">
        <v>12525</v>
      </c>
    </row>
    <row r="1007" customFormat="false" ht="15" hidden="false" customHeight="false" outlineLevel="0" collapsed="false">
      <c r="B1007" s="19" t="s">
        <v>12810</v>
      </c>
      <c r="C1007" s="20" t="n">
        <f aca="false">ROUND(18.46/FX,2)</f>
        <v>2.56</v>
      </c>
      <c r="D1007" s="21" t="s">
        <v>12084</v>
      </c>
      <c r="E1007" s="21" t="s">
        <v>2002</v>
      </c>
      <c r="F1007" s="21" t="s">
        <v>11770</v>
      </c>
      <c r="G1007" s="21" t="s">
        <v>11720</v>
      </c>
      <c r="H1007" s="21" t="s">
        <v>12525</v>
      </c>
    </row>
    <row r="1008" customFormat="false" ht="15" hidden="false" customHeight="false" outlineLevel="0" collapsed="false">
      <c r="B1008" s="19" t="s">
        <v>12811</v>
      </c>
      <c r="C1008" s="20" t="n">
        <f aca="false">ROUND(20.28/FX,2)</f>
        <v>2.82</v>
      </c>
      <c r="D1008" s="21" t="s">
        <v>12084</v>
      </c>
      <c r="E1008" s="21" t="s">
        <v>2067</v>
      </c>
      <c r="F1008" s="21" t="s">
        <v>11770</v>
      </c>
      <c r="G1008" s="21" t="s">
        <v>11720</v>
      </c>
      <c r="H1008" s="21" t="s">
        <v>12525</v>
      </c>
    </row>
    <row r="1009" customFormat="false" ht="15" hidden="false" customHeight="false" outlineLevel="0" collapsed="false">
      <c r="B1009" s="19" t="s">
        <v>12812</v>
      </c>
      <c r="C1009" s="20" t="n">
        <f aca="false">ROUND(21/FX,2)</f>
        <v>2.92</v>
      </c>
      <c r="D1009" s="21" t="s">
        <v>12084</v>
      </c>
      <c r="E1009" s="21" t="s">
        <v>2097</v>
      </c>
      <c r="F1009" s="21" t="s">
        <v>11770</v>
      </c>
      <c r="G1009" s="21" t="s">
        <v>11720</v>
      </c>
      <c r="H1009" s="21" t="s">
        <v>12525</v>
      </c>
    </row>
    <row r="1010" customFormat="false" ht="15" hidden="false" customHeight="false" outlineLevel="0" collapsed="false">
      <c r="B1010" s="19" t="s">
        <v>12813</v>
      </c>
      <c r="C1010" s="20" t="n">
        <f aca="false">ROUND(21.74/FX,2)</f>
        <v>3.02</v>
      </c>
      <c r="D1010" s="21" t="s">
        <v>12084</v>
      </c>
      <c r="E1010" s="21" t="s">
        <v>2127</v>
      </c>
      <c r="F1010" s="21" t="s">
        <v>11770</v>
      </c>
      <c r="G1010" s="21" t="s">
        <v>11720</v>
      </c>
      <c r="H1010" s="21" t="s">
        <v>12525</v>
      </c>
    </row>
    <row r="1011" customFormat="false" ht="15" hidden="false" customHeight="false" outlineLevel="0" collapsed="false">
      <c r="B1011" s="19" t="s">
        <v>12814</v>
      </c>
      <c r="C1011" s="20" t="n">
        <f aca="false">ROUND(22.1/FX,2)</f>
        <v>3.07</v>
      </c>
      <c r="D1011" s="21" t="s">
        <v>12084</v>
      </c>
      <c r="E1011" s="21" t="s">
        <v>2142</v>
      </c>
      <c r="F1011" s="21" t="s">
        <v>11770</v>
      </c>
      <c r="G1011" s="21" t="s">
        <v>11720</v>
      </c>
      <c r="H1011" s="21" t="s">
        <v>12525</v>
      </c>
    </row>
    <row r="1012" customFormat="false" ht="15" hidden="false" customHeight="false" outlineLevel="0" collapsed="false">
      <c r="B1012" s="19" t="s">
        <v>12815</v>
      </c>
      <c r="C1012" s="20" t="n">
        <f aca="false">ROUND(23.92/FX,2)</f>
        <v>3.32</v>
      </c>
      <c r="D1012" s="21" t="s">
        <v>12084</v>
      </c>
      <c r="E1012" s="21" t="s">
        <v>2187</v>
      </c>
      <c r="F1012" s="21" t="s">
        <v>11770</v>
      </c>
      <c r="G1012" s="21" t="s">
        <v>11720</v>
      </c>
      <c r="H1012" s="21" t="s">
        <v>12525</v>
      </c>
    </row>
    <row r="1013" customFormat="false" ht="15" hidden="false" customHeight="false" outlineLevel="0" collapsed="false">
      <c r="B1013" s="19" t="s">
        <v>12816</v>
      </c>
      <c r="C1013" s="20" t="n">
        <f aca="false">ROUND(25.74/FX,2)</f>
        <v>3.58</v>
      </c>
      <c r="D1013" s="21" t="s">
        <v>12084</v>
      </c>
      <c r="E1013" s="21" t="s">
        <v>2227</v>
      </c>
      <c r="F1013" s="21" t="s">
        <v>11770</v>
      </c>
      <c r="G1013" s="21" t="s">
        <v>11720</v>
      </c>
      <c r="H1013" s="21" t="s">
        <v>12525</v>
      </c>
    </row>
    <row r="1014" customFormat="false" ht="15" hidden="false" customHeight="false" outlineLevel="0" collapsed="false">
      <c r="B1014" s="19" t="s">
        <v>12817</v>
      </c>
      <c r="C1014" s="20" t="n">
        <f aca="false">ROUND(29.38/FX,2)</f>
        <v>4.08</v>
      </c>
      <c r="D1014" s="21" t="s">
        <v>12084</v>
      </c>
      <c r="E1014" s="21" t="s">
        <v>2351</v>
      </c>
      <c r="F1014" s="21" t="s">
        <v>11770</v>
      </c>
      <c r="G1014" s="21" t="s">
        <v>11720</v>
      </c>
      <c r="H1014" s="21" t="s">
        <v>12525</v>
      </c>
    </row>
    <row r="1015" customFormat="false" ht="15" hidden="false" customHeight="false" outlineLevel="0" collapsed="false">
      <c r="B1015" s="19" t="s">
        <v>12818</v>
      </c>
      <c r="C1015" s="20" t="n">
        <f aca="false">ROUND(33.02/FX,2)</f>
        <v>4.59</v>
      </c>
      <c r="D1015" s="21" t="s">
        <v>12084</v>
      </c>
      <c r="E1015" s="21" t="s">
        <v>2440</v>
      </c>
      <c r="F1015" s="21" t="s">
        <v>11770</v>
      </c>
      <c r="G1015" s="21" t="s">
        <v>11720</v>
      </c>
      <c r="H1015" s="21" t="s">
        <v>12525</v>
      </c>
    </row>
    <row r="1016" customFormat="false" ht="28.35" hidden="false" customHeight="false" outlineLevel="0" collapsed="false">
      <c r="B1016" s="19" t="s">
        <v>12819</v>
      </c>
      <c r="C1016" s="20" t="n">
        <f aca="false">ROUND(11.4/FX,2)</f>
        <v>1.58</v>
      </c>
      <c r="D1016" s="21" t="s">
        <v>12084</v>
      </c>
      <c r="E1016" s="21" t="s">
        <v>2002</v>
      </c>
      <c r="F1016" s="21" t="s">
        <v>11775</v>
      </c>
      <c r="G1016" s="21" t="s">
        <v>11720</v>
      </c>
      <c r="H1016" s="21" t="s">
        <v>12560</v>
      </c>
    </row>
    <row r="1019" customFormat="false" ht="61.5" hidden="false" customHeight="true" outlineLevel="0" collapsed="false">
      <c r="A1019" s="9"/>
      <c r="B1019" s="10" t="s">
        <v>12820</v>
      </c>
      <c r="C1019" s="10"/>
      <c r="D1019" s="10"/>
      <c r="E1019" s="10"/>
      <c r="F1019" s="10"/>
      <c r="G1019" s="10"/>
      <c r="H1019" s="10"/>
      <c r="I1019" s="10"/>
    </row>
    <row r="1020" customFormat="false" ht="15" hidden="false" customHeight="false" outlineLevel="0" collapsed="false">
      <c r="A1020" s="12" t="s">
        <v>700</v>
      </c>
      <c r="B1020" s="13" t="s">
        <v>701</v>
      </c>
      <c r="C1020" s="13" t="s">
        <v>702</v>
      </c>
      <c r="D1020" s="13" t="s">
        <v>5610</v>
      </c>
      <c r="E1020" s="13" t="s">
        <v>723</v>
      </c>
      <c r="F1020" s="13" t="s">
        <v>6328</v>
      </c>
      <c r="G1020" s="13" t="s">
        <v>11717</v>
      </c>
      <c r="H1020" s="13" t="s">
        <v>11718</v>
      </c>
      <c r="I1020" s="13" t="s">
        <v>12821</v>
      </c>
    </row>
    <row r="1021" customFormat="false" ht="30" hidden="false" customHeight="true" outlineLevel="0" collapsed="false">
      <c r="A1021" s="14" t="s">
        <v>706</v>
      </c>
      <c r="B1021" s="15" t="str">
        <f aca="false">IF(COUNTIFS($D$1024:$D$1145,IF(D1021="","*",D1021),$E$1024:$E$1145,IF(E1021="","*",E1021),$F$1024:$F$1145,IF(F1021="","*",F1021),$G$1024:$G$1145,IF(G1021="","*",G1021),$H$1024:$H$1145,IF(H1021="","*",H1021),$I$1024:$I$1145,IF(I1021="","*",I1021))=1,INDEX($B:$B,SUMPRODUCT(((D1021="")+($D$1024:$D$1145=D1021)&gt;0)*((E1021="")+($E$1024:$E$1145=E1021)&gt;0)*((F1021="")+($F$1024:$F$1145=F1021)&gt;0)*((G1021="")+($G$1024:$G$1145=G1021)&gt;0)*((H1021="")+($H$1024:$H$1145=H1021)&gt;0)*((I1021="")+($I$1024:$I$1145=I1021)&gt;0)*ROW($B$1024:$B$1145))),IF(COUNTIFS($D$1024:$D$1145,IF(D1021="","*",D1021),$E$1024:$E$1145,IF(E1021="","*",E1021),$F$1024:$F$1145,IF(F1021="","*",F1021),$G$1024:$G$1145,IF(G1021="","*",G1021),$H$1024:$H$1145,IF(H1021="","*",H1021),$I$1024:$I$1145,IF(I1021="","*",I1021))=0,"Not available",COUNTIFS($D$1024:$D$1145,IF(D1021="","*",D1021),$E$1024:$E$1145,IF(E1021="","*",E1021),$F$1024:$F$1145,IF(F1021="","*",F1021),$G$1024:$G$1145,IF(G1021="","*",G1021),$H$1024:$H$1145,IF(H1021="","*",H1021),$I$1024:$I$1145,IF(I1021="","*",I1021))&amp;" match, keep choosing"))</f>
        <v>NT-AL-T10-SEAT-BK</v>
      </c>
      <c r="C1021" s="16" t="n">
        <f aca="false">IF(COUNTIFS($D$1024:$D$1145,IF(D1021="","*",D1021),$E$1024:$E$1145,IF(E1021="","*",E1021),$F$1024:$F$1145,IF(F1021="","*",F1021),$G$1024:$G$1145,IF(G1021="","*",G1021),$H$1024:$H$1145,IF(H1021="","*",H1021),$I$1024:$I$1145,IF(I1021="","*",I1021))=1,INDEX($C:$C,SUMPRODUCT(((D1021="")+($D$1024:$D$1145=D1021)&gt;0)*((E1021="")+($E$1024:$E$1145=E1021)&gt;0)*((F1021="")+($F$1024:$F$1145=F1021)&gt;0)*((G1021="")+($G$1024:$G$1145=G1021)&gt;0)*((H1021="")+($H$1024:$H$1145=H1021)&gt;0)*((I1021="")+($I$1024:$I$1145=I1021)&gt;0)*ROW($B$1024:$B$1145))),"")</f>
        <v>1.5</v>
      </c>
      <c r="D1021" s="17" t="s">
        <v>6242</v>
      </c>
      <c r="E1021" s="17" t="s">
        <v>12822</v>
      </c>
      <c r="F1021" s="17" t="s">
        <v>12823</v>
      </c>
      <c r="G1021" s="17" t="s">
        <v>6336</v>
      </c>
      <c r="H1021" s="17" t="s">
        <v>11720</v>
      </c>
      <c r="I1021" s="17" t="s">
        <v>6336</v>
      </c>
    </row>
    <row r="1023" customFormat="false" ht="15" hidden="false" customHeight="false" outlineLevel="0" collapsed="false">
      <c r="B1023" s="18" t="s">
        <v>701</v>
      </c>
      <c r="C1023" s="18" t="s">
        <v>702</v>
      </c>
      <c r="D1023" s="18" t="s">
        <v>5610</v>
      </c>
      <c r="E1023" s="18" t="s">
        <v>723</v>
      </c>
      <c r="F1023" s="18" t="s">
        <v>6328</v>
      </c>
      <c r="G1023" s="18" t="s">
        <v>11717</v>
      </c>
      <c r="H1023" s="18" t="s">
        <v>11718</v>
      </c>
      <c r="I1023" s="18" t="s">
        <v>12821</v>
      </c>
    </row>
    <row r="1024" customFormat="false" ht="28.35" hidden="false" customHeight="false" outlineLevel="0" collapsed="false">
      <c r="B1024" s="19" t="s">
        <v>12824</v>
      </c>
      <c r="C1024" s="20" t="n">
        <f aca="false">ROUND(10.79/FX,2)</f>
        <v>1.5</v>
      </c>
      <c r="D1024" s="21" t="s">
        <v>6242</v>
      </c>
      <c r="E1024" s="21" t="s">
        <v>12822</v>
      </c>
      <c r="F1024" s="21" t="s">
        <v>12823</v>
      </c>
      <c r="G1024" s="21" t="s">
        <v>6336</v>
      </c>
      <c r="H1024" s="21" t="s">
        <v>11720</v>
      </c>
      <c r="I1024" s="21" t="s">
        <v>6336</v>
      </c>
    </row>
    <row r="1025" customFormat="false" ht="28.35" hidden="false" customHeight="false" outlineLevel="0" collapsed="false">
      <c r="B1025" s="19" t="s">
        <v>12825</v>
      </c>
      <c r="C1025" s="20" t="n">
        <f aca="false">ROUND(10.14/FX,2)</f>
        <v>1.41</v>
      </c>
      <c r="D1025" s="21" t="s">
        <v>6242</v>
      </c>
      <c r="E1025" s="21" t="s">
        <v>6549</v>
      </c>
      <c r="F1025" s="21" t="s">
        <v>12823</v>
      </c>
      <c r="G1025" s="21" t="s">
        <v>6336</v>
      </c>
      <c r="H1025" s="21" t="s">
        <v>11720</v>
      </c>
      <c r="I1025" s="21" t="s">
        <v>6336</v>
      </c>
    </row>
    <row r="1026" customFormat="false" ht="28.35" hidden="false" customHeight="false" outlineLevel="0" collapsed="false">
      <c r="B1026" s="19" t="s">
        <v>12826</v>
      </c>
      <c r="C1026" s="20" t="n">
        <f aca="false">ROUND(12.35/FX,2)</f>
        <v>1.72</v>
      </c>
      <c r="D1026" s="21" t="s">
        <v>11888</v>
      </c>
      <c r="E1026" s="21" t="s">
        <v>12822</v>
      </c>
      <c r="F1026" s="21" t="s">
        <v>12823</v>
      </c>
      <c r="G1026" s="21" t="s">
        <v>6336</v>
      </c>
      <c r="H1026" s="21" t="s">
        <v>11720</v>
      </c>
      <c r="I1026" s="21" t="s">
        <v>6336</v>
      </c>
    </row>
    <row r="1027" customFormat="false" ht="28.35" hidden="false" customHeight="false" outlineLevel="0" collapsed="false">
      <c r="B1027" s="19" t="s">
        <v>12827</v>
      </c>
      <c r="C1027" s="20" t="n">
        <f aca="false">ROUND(12.35/FX,2)</f>
        <v>1.72</v>
      </c>
      <c r="D1027" s="21" t="s">
        <v>11888</v>
      </c>
      <c r="E1027" s="21" t="s">
        <v>6549</v>
      </c>
      <c r="F1027" s="21" t="s">
        <v>12823</v>
      </c>
      <c r="G1027" s="21" t="s">
        <v>6336</v>
      </c>
      <c r="H1027" s="21" t="s">
        <v>11720</v>
      </c>
      <c r="I1027" s="21" t="s">
        <v>6336</v>
      </c>
    </row>
    <row r="1028" customFormat="false" ht="28.35" hidden="false" customHeight="false" outlineLevel="0" collapsed="false">
      <c r="B1028" s="19" t="s">
        <v>12828</v>
      </c>
      <c r="C1028" s="20" t="n">
        <f aca="false">ROUND(23.4/FX,2)</f>
        <v>3.25</v>
      </c>
      <c r="D1028" s="21" t="s">
        <v>12643</v>
      </c>
      <c r="E1028" s="21" t="s">
        <v>12829</v>
      </c>
      <c r="F1028" s="21" t="s">
        <v>12823</v>
      </c>
      <c r="G1028" s="21" t="s">
        <v>6336</v>
      </c>
      <c r="H1028" s="21" t="s">
        <v>11720</v>
      </c>
      <c r="I1028" s="21" t="s">
        <v>6336</v>
      </c>
    </row>
    <row r="1029" customFormat="false" ht="28.35" hidden="false" customHeight="false" outlineLevel="0" collapsed="false">
      <c r="B1029" s="19" t="s">
        <v>12830</v>
      </c>
      <c r="C1029" s="20" t="n">
        <f aca="false">ROUND(24.7/FX,2)</f>
        <v>3.43</v>
      </c>
      <c r="D1029" s="21" t="s">
        <v>11925</v>
      </c>
      <c r="E1029" s="21" t="s">
        <v>12831</v>
      </c>
      <c r="F1029" s="21" t="s">
        <v>12823</v>
      </c>
      <c r="G1029" s="21" t="s">
        <v>6336</v>
      </c>
      <c r="H1029" s="21" t="s">
        <v>11720</v>
      </c>
      <c r="I1029" s="21" t="s">
        <v>6336</v>
      </c>
    </row>
    <row r="1030" customFormat="false" ht="28.35" hidden="false" customHeight="false" outlineLevel="0" collapsed="false">
      <c r="B1030" s="19" t="s">
        <v>12832</v>
      </c>
      <c r="C1030" s="20" t="n">
        <f aca="false">ROUND(6.5/FX,2)</f>
        <v>0.9</v>
      </c>
      <c r="D1030" s="21" t="s">
        <v>12084</v>
      </c>
      <c r="E1030" s="21" t="s">
        <v>12822</v>
      </c>
      <c r="F1030" s="21" t="s">
        <v>12823</v>
      </c>
      <c r="G1030" s="21" t="s">
        <v>6336</v>
      </c>
      <c r="H1030" s="21" t="s">
        <v>11720</v>
      </c>
      <c r="I1030" s="21" t="s">
        <v>6336</v>
      </c>
    </row>
    <row r="1031" customFormat="false" ht="28.35" hidden="false" customHeight="false" outlineLevel="0" collapsed="false">
      <c r="B1031" s="19" t="s">
        <v>12833</v>
      </c>
      <c r="C1031" s="20" t="n">
        <f aca="false">ROUND(11.7/FX,2)</f>
        <v>1.63</v>
      </c>
      <c r="D1031" s="21" t="s">
        <v>12084</v>
      </c>
      <c r="E1031" s="21" t="s">
        <v>12834</v>
      </c>
      <c r="F1031" s="21" t="s">
        <v>12823</v>
      </c>
      <c r="G1031" s="21" t="s">
        <v>6336</v>
      </c>
      <c r="H1031" s="21" t="s">
        <v>11720</v>
      </c>
      <c r="I1031" s="21" t="s">
        <v>6336</v>
      </c>
    </row>
    <row r="1032" customFormat="false" ht="28.35" hidden="false" customHeight="false" outlineLevel="0" collapsed="false">
      <c r="B1032" s="19" t="s">
        <v>12835</v>
      </c>
      <c r="C1032" s="20" t="n">
        <f aca="false">ROUND(6.5/FX,2)</f>
        <v>0.9</v>
      </c>
      <c r="D1032" s="21" t="s">
        <v>12084</v>
      </c>
      <c r="E1032" s="21" t="s">
        <v>12836</v>
      </c>
      <c r="F1032" s="21" t="s">
        <v>12823</v>
      </c>
      <c r="G1032" s="21" t="s">
        <v>6336</v>
      </c>
      <c r="H1032" s="21" t="s">
        <v>11720</v>
      </c>
      <c r="I1032" s="21" t="s">
        <v>6336</v>
      </c>
    </row>
    <row r="1033" customFormat="false" ht="28.35" hidden="false" customHeight="false" outlineLevel="0" collapsed="false">
      <c r="B1033" s="19" t="s">
        <v>12837</v>
      </c>
      <c r="C1033" s="20" t="n">
        <f aca="false">ROUND(6.11/FX,2)</f>
        <v>0.85</v>
      </c>
      <c r="D1033" s="21" t="s">
        <v>12084</v>
      </c>
      <c r="E1033" s="21" t="s">
        <v>6549</v>
      </c>
      <c r="F1033" s="21" t="s">
        <v>12823</v>
      </c>
      <c r="G1033" s="21" t="s">
        <v>6336</v>
      </c>
      <c r="H1033" s="21" t="s">
        <v>11720</v>
      </c>
      <c r="I1033" s="21" t="s">
        <v>6336</v>
      </c>
    </row>
    <row r="1034" customFormat="false" ht="28.35" hidden="false" customHeight="false" outlineLevel="0" collapsed="false">
      <c r="B1034" s="19" t="s">
        <v>12838</v>
      </c>
      <c r="C1034" s="20" t="n">
        <f aca="false">ROUND(11.7/FX,2)</f>
        <v>1.63</v>
      </c>
      <c r="D1034" s="21" t="s">
        <v>12084</v>
      </c>
      <c r="E1034" s="21" t="s">
        <v>12839</v>
      </c>
      <c r="F1034" s="21" t="s">
        <v>12823</v>
      </c>
      <c r="G1034" s="21" t="s">
        <v>6336</v>
      </c>
      <c r="H1034" s="21" t="s">
        <v>11720</v>
      </c>
      <c r="I1034" s="21" t="s">
        <v>6336</v>
      </c>
    </row>
    <row r="1035" customFormat="false" ht="28.35" hidden="false" customHeight="false" outlineLevel="0" collapsed="false">
      <c r="B1035" s="19" t="s">
        <v>12840</v>
      </c>
      <c r="C1035" s="20" t="n">
        <f aca="false">ROUND(6.5/FX,2)</f>
        <v>0.9</v>
      </c>
      <c r="D1035" s="21" t="s">
        <v>12084</v>
      </c>
      <c r="E1035" s="21" t="s">
        <v>12841</v>
      </c>
      <c r="F1035" s="21" t="s">
        <v>12823</v>
      </c>
      <c r="G1035" s="21" t="s">
        <v>6336</v>
      </c>
      <c r="H1035" s="21" t="s">
        <v>11720</v>
      </c>
      <c r="I1035" s="21" t="s">
        <v>6336</v>
      </c>
    </row>
    <row r="1036" customFormat="false" ht="28.35" hidden="false" customHeight="false" outlineLevel="0" collapsed="false">
      <c r="B1036" s="19" t="s">
        <v>12842</v>
      </c>
      <c r="C1036" s="20" t="n">
        <f aca="false">ROUND(3.38/FX,2)</f>
        <v>0.47</v>
      </c>
      <c r="D1036" s="21" t="s">
        <v>6242</v>
      </c>
      <c r="E1036" s="21" t="s">
        <v>7941</v>
      </c>
      <c r="F1036" s="21" t="s">
        <v>12843</v>
      </c>
      <c r="G1036" s="21" t="s">
        <v>11820</v>
      </c>
      <c r="H1036" s="21" t="s">
        <v>11720</v>
      </c>
      <c r="I1036" s="21" t="s">
        <v>12844</v>
      </c>
    </row>
    <row r="1037" customFormat="false" ht="28.35" hidden="false" customHeight="false" outlineLevel="0" collapsed="false">
      <c r="B1037" s="19" t="s">
        <v>12845</v>
      </c>
      <c r="C1037" s="20" t="n">
        <f aca="false">ROUND(3.25/FX,2)</f>
        <v>0.45</v>
      </c>
      <c r="D1037" s="21" t="s">
        <v>6242</v>
      </c>
      <c r="E1037" s="21" t="s">
        <v>7939</v>
      </c>
      <c r="F1037" s="21" t="s">
        <v>12843</v>
      </c>
      <c r="G1037" s="21" t="s">
        <v>11820</v>
      </c>
      <c r="H1037" s="21" t="s">
        <v>11720</v>
      </c>
      <c r="I1037" s="21" t="s">
        <v>12844</v>
      </c>
    </row>
    <row r="1038" customFormat="false" ht="28.35" hidden="false" customHeight="false" outlineLevel="0" collapsed="false">
      <c r="B1038" s="19" t="s">
        <v>12846</v>
      </c>
      <c r="C1038" s="20" t="n">
        <f aca="false">ROUND(3.51/FX,2)</f>
        <v>0.49</v>
      </c>
      <c r="D1038" s="21" t="s">
        <v>6242</v>
      </c>
      <c r="E1038" s="21" t="s">
        <v>12847</v>
      </c>
      <c r="F1038" s="21" t="s">
        <v>12843</v>
      </c>
      <c r="G1038" s="21" t="s">
        <v>11820</v>
      </c>
      <c r="H1038" s="21" t="s">
        <v>11720</v>
      </c>
      <c r="I1038" s="21" t="s">
        <v>12844</v>
      </c>
    </row>
    <row r="1039" customFormat="false" ht="15" hidden="false" customHeight="false" outlineLevel="0" collapsed="false">
      <c r="B1039" s="19" t="s">
        <v>12848</v>
      </c>
      <c r="C1039" s="20" t="n">
        <f aca="false">ROUND(2.73/FX,2)</f>
        <v>0.38</v>
      </c>
      <c r="D1039" s="21" t="s">
        <v>6242</v>
      </c>
      <c r="E1039" s="21" t="s">
        <v>7941</v>
      </c>
      <c r="F1039" s="21" t="s">
        <v>12849</v>
      </c>
      <c r="G1039" s="21" t="s">
        <v>11775</v>
      </c>
      <c r="H1039" s="21" t="s">
        <v>11720</v>
      </c>
      <c r="I1039" s="21" t="s">
        <v>12850</v>
      </c>
    </row>
    <row r="1040" customFormat="false" ht="15" hidden="false" customHeight="false" outlineLevel="0" collapsed="false">
      <c r="B1040" s="19" t="s">
        <v>12851</v>
      </c>
      <c r="C1040" s="20" t="n">
        <f aca="false">ROUND(2.73/FX,2)</f>
        <v>0.38</v>
      </c>
      <c r="D1040" s="21" t="s">
        <v>6242</v>
      </c>
      <c r="E1040" s="21" t="s">
        <v>7941</v>
      </c>
      <c r="F1040" s="21" t="s">
        <v>12849</v>
      </c>
      <c r="G1040" s="21" t="s">
        <v>11820</v>
      </c>
      <c r="H1040" s="21" t="s">
        <v>11720</v>
      </c>
      <c r="I1040" s="21" t="s">
        <v>12844</v>
      </c>
    </row>
    <row r="1041" customFormat="false" ht="15" hidden="false" customHeight="false" outlineLevel="0" collapsed="false">
      <c r="B1041" s="19" t="s">
        <v>12852</v>
      </c>
      <c r="C1041" s="20" t="n">
        <f aca="false">ROUND(3.77/FX,2)</f>
        <v>0.52</v>
      </c>
      <c r="D1041" s="21" t="s">
        <v>6242</v>
      </c>
      <c r="E1041" s="21" t="s">
        <v>7939</v>
      </c>
      <c r="F1041" s="21" t="s">
        <v>12849</v>
      </c>
      <c r="G1041" s="21" t="s">
        <v>11820</v>
      </c>
      <c r="H1041" s="21" t="s">
        <v>11720</v>
      </c>
      <c r="I1041" s="21" t="s">
        <v>12844</v>
      </c>
    </row>
    <row r="1042" customFormat="false" ht="15" hidden="false" customHeight="false" outlineLevel="0" collapsed="false">
      <c r="B1042" s="19" t="s">
        <v>12853</v>
      </c>
      <c r="C1042" s="20" t="n">
        <f aca="false">ROUND(2.73/FX,2)</f>
        <v>0.38</v>
      </c>
      <c r="D1042" s="21" t="s">
        <v>6242</v>
      </c>
      <c r="E1042" s="21" t="s">
        <v>7941</v>
      </c>
      <c r="F1042" s="21" t="s">
        <v>12849</v>
      </c>
      <c r="G1042" s="21" t="s">
        <v>11845</v>
      </c>
      <c r="H1042" s="21" t="s">
        <v>11720</v>
      </c>
      <c r="I1042" s="21" t="s">
        <v>12854</v>
      </c>
    </row>
    <row r="1043" customFormat="false" ht="28.35" hidden="false" customHeight="false" outlineLevel="0" collapsed="false">
      <c r="B1043" s="19" t="s">
        <v>12855</v>
      </c>
      <c r="C1043" s="20" t="n">
        <f aca="false">ROUND(16/FX,2)</f>
        <v>2.22</v>
      </c>
      <c r="D1043" s="21" t="s">
        <v>6242</v>
      </c>
      <c r="E1043" s="21" t="s">
        <v>7941</v>
      </c>
      <c r="F1043" s="21" t="s">
        <v>12856</v>
      </c>
      <c r="G1043" s="21" t="s">
        <v>11719</v>
      </c>
      <c r="H1043" s="21" t="s">
        <v>11720</v>
      </c>
      <c r="I1043" s="21" t="s">
        <v>12857</v>
      </c>
    </row>
    <row r="1044" customFormat="false" ht="28.35" hidden="false" customHeight="false" outlineLevel="0" collapsed="false">
      <c r="B1044" s="19" t="s">
        <v>12858</v>
      </c>
      <c r="C1044" s="20" t="n">
        <f aca="false">ROUND(16/FX,2)</f>
        <v>2.22</v>
      </c>
      <c r="D1044" s="21" t="s">
        <v>6242</v>
      </c>
      <c r="E1044" s="21" t="s">
        <v>7941</v>
      </c>
      <c r="F1044" s="21" t="s">
        <v>12856</v>
      </c>
      <c r="G1044" s="21" t="s">
        <v>11746</v>
      </c>
      <c r="H1044" s="21" t="s">
        <v>11720</v>
      </c>
      <c r="I1044" s="21" t="s">
        <v>12859</v>
      </c>
    </row>
    <row r="1045" customFormat="false" ht="28.35" hidden="false" customHeight="false" outlineLevel="0" collapsed="false">
      <c r="B1045" s="19" t="s">
        <v>12860</v>
      </c>
      <c r="C1045" s="20" t="n">
        <f aca="false">ROUND(16.5/FX,2)</f>
        <v>2.29</v>
      </c>
      <c r="D1045" s="21" t="s">
        <v>6242</v>
      </c>
      <c r="E1045" s="21" t="s">
        <v>7941</v>
      </c>
      <c r="F1045" s="21" t="s">
        <v>12856</v>
      </c>
      <c r="G1045" s="21" t="s">
        <v>11775</v>
      </c>
      <c r="H1045" s="21" t="s">
        <v>11720</v>
      </c>
      <c r="I1045" s="21" t="s">
        <v>12850</v>
      </c>
    </row>
    <row r="1046" customFormat="false" ht="28.35" hidden="false" customHeight="false" outlineLevel="0" collapsed="false">
      <c r="B1046" s="19" t="s">
        <v>12861</v>
      </c>
      <c r="C1046" s="20" t="n">
        <f aca="false">ROUND(17/FX,2)</f>
        <v>2.36</v>
      </c>
      <c r="D1046" s="21" t="s">
        <v>6242</v>
      </c>
      <c r="E1046" s="21" t="s">
        <v>7939</v>
      </c>
      <c r="F1046" s="21" t="s">
        <v>12856</v>
      </c>
      <c r="G1046" s="21" t="s">
        <v>11775</v>
      </c>
      <c r="H1046" s="21" t="s">
        <v>11720</v>
      </c>
      <c r="I1046" s="21" t="s">
        <v>12850</v>
      </c>
    </row>
    <row r="1047" customFormat="false" ht="28.35" hidden="false" customHeight="false" outlineLevel="0" collapsed="false">
      <c r="B1047" s="19" t="s">
        <v>12862</v>
      </c>
      <c r="C1047" s="20" t="n">
        <f aca="false">ROUND(17/FX,2)</f>
        <v>2.36</v>
      </c>
      <c r="D1047" s="21" t="s">
        <v>6242</v>
      </c>
      <c r="E1047" s="21" t="s">
        <v>12847</v>
      </c>
      <c r="F1047" s="21" t="s">
        <v>12856</v>
      </c>
      <c r="G1047" s="21" t="s">
        <v>11775</v>
      </c>
      <c r="H1047" s="21" t="s">
        <v>11720</v>
      </c>
      <c r="I1047" s="21" t="s">
        <v>12850</v>
      </c>
    </row>
    <row r="1048" customFormat="false" ht="28.35" hidden="false" customHeight="false" outlineLevel="0" collapsed="false">
      <c r="B1048" s="19" t="s">
        <v>12863</v>
      </c>
      <c r="C1048" s="20" t="n">
        <f aca="false">ROUND(16/FX,2)</f>
        <v>2.22</v>
      </c>
      <c r="D1048" s="21" t="s">
        <v>6242</v>
      </c>
      <c r="E1048" s="21" t="s">
        <v>7941</v>
      </c>
      <c r="F1048" s="21" t="s">
        <v>12856</v>
      </c>
      <c r="G1048" s="21" t="s">
        <v>11820</v>
      </c>
      <c r="H1048" s="21" t="s">
        <v>11720</v>
      </c>
      <c r="I1048" s="21" t="s">
        <v>12844</v>
      </c>
    </row>
    <row r="1049" customFormat="false" ht="28.35" hidden="false" customHeight="false" outlineLevel="0" collapsed="false">
      <c r="B1049" s="19" t="s">
        <v>12864</v>
      </c>
      <c r="C1049" s="20" t="n">
        <f aca="false">ROUND(17/FX,2)</f>
        <v>2.36</v>
      </c>
      <c r="D1049" s="21" t="s">
        <v>6242</v>
      </c>
      <c r="E1049" s="21" t="s">
        <v>7939</v>
      </c>
      <c r="F1049" s="21" t="s">
        <v>12856</v>
      </c>
      <c r="G1049" s="21" t="s">
        <v>11820</v>
      </c>
      <c r="H1049" s="21" t="s">
        <v>11720</v>
      </c>
      <c r="I1049" s="21" t="s">
        <v>12844</v>
      </c>
    </row>
    <row r="1050" customFormat="false" ht="28.35" hidden="false" customHeight="false" outlineLevel="0" collapsed="false">
      <c r="B1050" s="19" t="s">
        <v>12865</v>
      </c>
      <c r="C1050" s="20" t="n">
        <f aca="false">ROUND(16/FX,2)</f>
        <v>2.22</v>
      </c>
      <c r="D1050" s="21" t="s">
        <v>6242</v>
      </c>
      <c r="E1050" s="21" t="s">
        <v>7941</v>
      </c>
      <c r="F1050" s="21" t="s">
        <v>12856</v>
      </c>
      <c r="G1050" s="21" t="s">
        <v>11845</v>
      </c>
      <c r="H1050" s="21" t="s">
        <v>11720</v>
      </c>
      <c r="I1050" s="21" t="s">
        <v>12854</v>
      </c>
    </row>
    <row r="1051" customFormat="false" ht="28.35" hidden="false" customHeight="false" outlineLevel="0" collapsed="false">
      <c r="B1051" s="19" t="s">
        <v>12866</v>
      </c>
      <c r="C1051" s="20" t="n">
        <f aca="false">ROUND(17/FX,2)</f>
        <v>2.36</v>
      </c>
      <c r="D1051" s="21" t="s">
        <v>6242</v>
      </c>
      <c r="E1051" s="21" t="s">
        <v>7939</v>
      </c>
      <c r="F1051" s="21" t="s">
        <v>12856</v>
      </c>
      <c r="G1051" s="21" t="s">
        <v>11845</v>
      </c>
      <c r="H1051" s="21" t="s">
        <v>11720</v>
      </c>
      <c r="I1051" s="21" t="s">
        <v>12854</v>
      </c>
    </row>
    <row r="1052" customFormat="false" ht="28.35" hidden="false" customHeight="false" outlineLevel="0" collapsed="false">
      <c r="B1052" s="19" t="s">
        <v>12867</v>
      </c>
      <c r="C1052" s="20" t="n">
        <f aca="false">ROUND(17/FX,2)</f>
        <v>2.36</v>
      </c>
      <c r="D1052" s="21" t="s">
        <v>6242</v>
      </c>
      <c r="E1052" s="21" t="s">
        <v>12847</v>
      </c>
      <c r="F1052" s="21" t="s">
        <v>12856</v>
      </c>
      <c r="G1052" s="21" t="s">
        <v>11845</v>
      </c>
      <c r="H1052" s="21" t="s">
        <v>11720</v>
      </c>
      <c r="I1052" s="21" t="s">
        <v>12854</v>
      </c>
    </row>
    <row r="1053" customFormat="false" ht="15" hidden="false" customHeight="false" outlineLevel="0" collapsed="false">
      <c r="B1053" s="19" t="s">
        <v>12868</v>
      </c>
      <c r="C1053" s="20" t="n">
        <f aca="false">ROUND(2.86/FX,2)</f>
        <v>0.4</v>
      </c>
      <c r="D1053" s="21" t="s">
        <v>11888</v>
      </c>
      <c r="E1053" s="21" t="s">
        <v>734</v>
      </c>
      <c r="F1053" s="21" t="s">
        <v>12849</v>
      </c>
      <c r="G1053" s="21" t="s">
        <v>12869</v>
      </c>
      <c r="H1053" s="21" t="s">
        <v>11720</v>
      </c>
      <c r="I1053" s="21" t="s">
        <v>12854</v>
      </c>
    </row>
    <row r="1054" customFormat="false" ht="15" hidden="false" customHeight="false" outlineLevel="0" collapsed="false">
      <c r="B1054" s="19" t="s">
        <v>12870</v>
      </c>
      <c r="C1054" s="20" t="n">
        <f aca="false">ROUND(2.86/FX,2)</f>
        <v>0.4</v>
      </c>
      <c r="D1054" s="21" t="s">
        <v>11888</v>
      </c>
      <c r="E1054" s="21" t="s">
        <v>734</v>
      </c>
      <c r="F1054" s="21" t="s">
        <v>12849</v>
      </c>
      <c r="G1054" s="21" t="s">
        <v>11775</v>
      </c>
      <c r="H1054" s="21" t="s">
        <v>11720</v>
      </c>
      <c r="I1054" s="21" t="s">
        <v>12850</v>
      </c>
    </row>
    <row r="1055" customFormat="false" ht="15" hidden="false" customHeight="false" outlineLevel="0" collapsed="false">
      <c r="B1055" s="19" t="s">
        <v>12871</v>
      </c>
      <c r="C1055" s="20" t="n">
        <f aca="false">ROUND(2.86/FX,2)</f>
        <v>0.4</v>
      </c>
      <c r="D1055" s="21" t="s">
        <v>11888</v>
      </c>
      <c r="E1055" s="21" t="s">
        <v>734</v>
      </c>
      <c r="F1055" s="21" t="s">
        <v>12849</v>
      </c>
      <c r="G1055" s="21" t="s">
        <v>11820</v>
      </c>
      <c r="H1055" s="21" t="s">
        <v>11720</v>
      </c>
      <c r="I1055" s="21" t="s">
        <v>12844</v>
      </c>
    </row>
    <row r="1056" customFormat="false" ht="28.35" hidden="false" customHeight="false" outlineLevel="0" collapsed="false">
      <c r="B1056" s="19" t="s">
        <v>12872</v>
      </c>
      <c r="C1056" s="20" t="n">
        <f aca="false">ROUND(16.5/FX,2)</f>
        <v>2.29</v>
      </c>
      <c r="D1056" s="21" t="s">
        <v>11888</v>
      </c>
      <c r="E1056" s="21" t="s">
        <v>734</v>
      </c>
      <c r="F1056" s="21" t="s">
        <v>12856</v>
      </c>
      <c r="G1056" s="21" t="s">
        <v>11775</v>
      </c>
      <c r="H1056" s="21" t="s">
        <v>11720</v>
      </c>
      <c r="I1056" s="21" t="s">
        <v>12850</v>
      </c>
    </row>
    <row r="1057" customFormat="false" ht="28.35" hidden="false" customHeight="false" outlineLevel="0" collapsed="false">
      <c r="B1057" s="19" t="s">
        <v>12873</v>
      </c>
      <c r="C1057" s="20" t="n">
        <f aca="false">ROUND(16.5/FX,2)</f>
        <v>2.29</v>
      </c>
      <c r="D1057" s="21" t="s">
        <v>11888</v>
      </c>
      <c r="E1057" s="21" t="s">
        <v>734</v>
      </c>
      <c r="F1057" s="21" t="s">
        <v>12856</v>
      </c>
      <c r="G1057" s="21" t="s">
        <v>11820</v>
      </c>
      <c r="H1057" s="21" t="s">
        <v>11720</v>
      </c>
      <c r="I1057" s="21" t="s">
        <v>12844</v>
      </c>
    </row>
    <row r="1058" customFormat="false" ht="28.35" hidden="false" customHeight="false" outlineLevel="0" collapsed="false">
      <c r="B1058" s="19" t="s">
        <v>12874</v>
      </c>
      <c r="C1058" s="20" t="n">
        <f aca="false">ROUND(16.5/FX,2)</f>
        <v>2.29</v>
      </c>
      <c r="D1058" s="21" t="s">
        <v>11888</v>
      </c>
      <c r="E1058" s="21" t="s">
        <v>734</v>
      </c>
      <c r="F1058" s="21" t="s">
        <v>12856</v>
      </c>
      <c r="G1058" s="21" t="s">
        <v>11845</v>
      </c>
      <c r="H1058" s="21" t="s">
        <v>11720</v>
      </c>
      <c r="I1058" s="21" t="s">
        <v>12854</v>
      </c>
    </row>
    <row r="1059" customFormat="false" ht="28.35" hidden="false" customHeight="false" outlineLevel="0" collapsed="false">
      <c r="B1059" s="19" t="s">
        <v>12875</v>
      </c>
      <c r="C1059" s="20" t="n">
        <f aca="false">ROUND(16.5/FX,2)</f>
        <v>2.29</v>
      </c>
      <c r="D1059" s="21" t="s">
        <v>11888</v>
      </c>
      <c r="E1059" s="21" t="s">
        <v>734</v>
      </c>
      <c r="F1059" s="21" t="s">
        <v>12856</v>
      </c>
      <c r="G1059" s="21" t="s">
        <v>11874</v>
      </c>
      <c r="H1059" s="21" t="s">
        <v>11720</v>
      </c>
      <c r="I1059" s="21" t="s">
        <v>12850</v>
      </c>
    </row>
    <row r="1060" customFormat="false" ht="15" hidden="false" customHeight="false" outlineLevel="0" collapsed="false">
      <c r="B1060" s="19" t="s">
        <v>12876</v>
      </c>
      <c r="C1060" s="20" t="n">
        <f aca="false">ROUND(1.3/FX,2)</f>
        <v>0.18</v>
      </c>
      <c r="D1060" s="21" t="s">
        <v>11927</v>
      </c>
      <c r="E1060" s="21" t="s">
        <v>734</v>
      </c>
      <c r="F1060" s="21" t="s">
        <v>12849</v>
      </c>
      <c r="G1060" s="21" t="s">
        <v>11928</v>
      </c>
      <c r="H1060" s="21" t="s">
        <v>11720</v>
      </c>
      <c r="I1060" s="21" t="s">
        <v>12844</v>
      </c>
    </row>
    <row r="1061" customFormat="false" ht="28.35" hidden="false" customHeight="false" outlineLevel="0" collapsed="false">
      <c r="B1061" s="19" t="s">
        <v>12877</v>
      </c>
      <c r="C1061" s="20" t="n">
        <f aca="false">ROUND(1.3/FX,2)</f>
        <v>0.18</v>
      </c>
      <c r="D1061" s="21" t="s">
        <v>11927</v>
      </c>
      <c r="E1061" s="21" t="s">
        <v>734</v>
      </c>
      <c r="F1061" s="21" t="s">
        <v>12849</v>
      </c>
      <c r="G1061" s="21" t="s">
        <v>12698</v>
      </c>
      <c r="H1061" s="21" t="s">
        <v>11720</v>
      </c>
      <c r="I1061" s="21" t="s">
        <v>12850</v>
      </c>
    </row>
    <row r="1062" customFormat="false" ht="15" hidden="false" customHeight="false" outlineLevel="0" collapsed="false">
      <c r="B1062" s="19" t="s">
        <v>12878</v>
      </c>
      <c r="C1062" s="20" t="n">
        <f aca="false">ROUND(1.3/FX,2)</f>
        <v>0.18</v>
      </c>
      <c r="D1062" s="21" t="s">
        <v>11927</v>
      </c>
      <c r="E1062" s="21" t="s">
        <v>734</v>
      </c>
      <c r="F1062" s="21" t="s">
        <v>12849</v>
      </c>
      <c r="G1062" s="21" t="s">
        <v>11935</v>
      </c>
      <c r="H1062" s="21" t="s">
        <v>11720</v>
      </c>
      <c r="I1062" s="21" t="s">
        <v>12844</v>
      </c>
    </row>
    <row r="1063" customFormat="false" ht="15" hidden="false" customHeight="false" outlineLevel="0" collapsed="false">
      <c r="B1063" s="19" t="s">
        <v>12879</v>
      </c>
      <c r="C1063" s="20" t="n">
        <f aca="false">ROUND(1.56/FX,2)</f>
        <v>0.22</v>
      </c>
      <c r="D1063" s="21" t="s">
        <v>11927</v>
      </c>
      <c r="E1063" s="21" t="s">
        <v>734</v>
      </c>
      <c r="F1063" s="21" t="s">
        <v>12849</v>
      </c>
      <c r="G1063" s="21" t="s">
        <v>11947</v>
      </c>
      <c r="H1063" s="21" t="s">
        <v>11720</v>
      </c>
      <c r="I1063" s="21" t="s">
        <v>12844</v>
      </c>
    </row>
    <row r="1064" customFormat="false" ht="15" hidden="false" customHeight="false" outlineLevel="0" collapsed="false">
      <c r="B1064" s="19" t="s">
        <v>12880</v>
      </c>
      <c r="C1064" s="20" t="n">
        <f aca="false">ROUND(2.6/FX,2)</f>
        <v>0.36</v>
      </c>
      <c r="D1064" s="21" t="s">
        <v>11956</v>
      </c>
      <c r="E1064" s="21" t="s">
        <v>734</v>
      </c>
      <c r="F1064" s="21" t="s">
        <v>12849</v>
      </c>
      <c r="G1064" s="21" t="s">
        <v>11947</v>
      </c>
      <c r="H1064" s="21" t="s">
        <v>11720</v>
      </c>
      <c r="I1064" s="21" t="s">
        <v>12844</v>
      </c>
    </row>
    <row r="1065" customFormat="false" ht="15" hidden="false" customHeight="false" outlineLevel="0" collapsed="false">
      <c r="B1065" s="19" t="s">
        <v>12881</v>
      </c>
      <c r="C1065" s="20" t="n">
        <f aca="false">ROUND(1.3/FX,2)</f>
        <v>0.18</v>
      </c>
      <c r="D1065" s="21" t="s">
        <v>6239</v>
      </c>
      <c r="E1065" s="21" t="s">
        <v>734</v>
      </c>
      <c r="F1065" s="21" t="s">
        <v>12849</v>
      </c>
      <c r="G1065" s="21" t="s">
        <v>11957</v>
      </c>
      <c r="H1065" s="21" t="s">
        <v>11720</v>
      </c>
      <c r="I1065" s="21" t="s">
        <v>12850</v>
      </c>
    </row>
    <row r="1066" customFormat="false" ht="15" hidden="false" customHeight="false" outlineLevel="0" collapsed="false">
      <c r="B1066" s="19" t="s">
        <v>12882</v>
      </c>
      <c r="C1066" s="20" t="n">
        <f aca="false">ROUND(1.3/FX,2)</f>
        <v>0.18</v>
      </c>
      <c r="D1066" s="21" t="s">
        <v>6239</v>
      </c>
      <c r="E1066" s="21" t="s">
        <v>734</v>
      </c>
      <c r="F1066" s="21" t="s">
        <v>12849</v>
      </c>
      <c r="G1066" s="21" t="s">
        <v>11947</v>
      </c>
      <c r="H1066" s="21" t="s">
        <v>11720</v>
      </c>
      <c r="I1066" s="21" t="s">
        <v>12844</v>
      </c>
    </row>
    <row r="1067" customFormat="false" ht="15" hidden="false" customHeight="false" outlineLevel="0" collapsed="false">
      <c r="B1067" s="19" t="s">
        <v>12883</v>
      </c>
      <c r="C1067" s="20" t="n">
        <f aca="false">ROUND(1.3/FX,2)</f>
        <v>0.18</v>
      </c>
      <c r="D1067" s="21" t="s">
        <v>6239</v>
      </c>
      <c r="E1067" s="21" t="s">
        <v>734</v>
      </c>
      <c r="F1067" s="21" t="s">
        <v>12849</v>
      </c>
      <c r="G1067" s="21" t="s">
        <v>12001</v>
      </c>
      <c r="H1067" s="21" t="s">
        <v>11720</v>
      </c>
      <c r="I1067" s="21" t="s">
        <v>12854</v>
      </c>
    </row>
    <row r="1068" customFormat="false" ht="15" hidden="false" customHeight="false" outlineLevel="0" collapsed="false">
      <c r="B1068" s="19" t="s">
        <v>12884</v>
      </c>
      <c r="C1068" s="20" t="n">
        <f aca="false">ROUND(1.43/FX,2)</f>
        <v>0.2</v>
      </c>
      <c r="D1068" s="21" t="s">
        <v>6239</v>
      </c>
      <c r="E1068" s="21" t="s">
        <v>734</v>
      </c>
      <c r="F1068" s="21" t="s">
        <v>12849</v>
      </c>
      <c r="G1068" s="21" t="s">
        <v>12016</v>
      </c>
      <c r="H1068" s="21" t="s">
        <v>11720</v>
      </c>
      <c r="I1068" s="21" t="s">
        <v>12859</v>
      </c>
    </row>
    <row r="1069" customFormat="false" ht="28.35" hidden="false" customHeight="false" outlineLevel="0" collapsed="false">
      <c r="B1069" s="19" t="s">
        <v>12885</v>
      </c>
      <c r="C1069" s="20" t="n">
        <f aca="false">ROUND(1.56/FX,2)</f>
        <v>0.22</v>
      </c>
      <c r="D1069" s="21" t="s">
        <v>12021</v>
      </c>
      <c r="E1069" s="21" t="s">
        <v>7941</v>
      </c>
      <c r="F1069" s="21" t="s">
        <v>12843</v>
      </c>
      <c r="G1069" s="21" t="s">
        <v>11957</v>
      </c>
      <c r="H1069" s="21" t="s">
        <v>11720</v>
      </c>
      <c r="I1069" s="21" t="s">
        <v>12850</v>
      </c>
    </row>
    <row r="1070" customFormat="false" ht="28.35" hidden="false" customHeight="false" outlineLevel="0" collapsed="false">
      <c r="B1070" s="19" t="s">
        <v>12886</v>
      </c>
      <c r="C1070" s="20" t="n">
        <f aca="false">ROUND(1.56/FX,2)</f>
        <v>0.22</v>
      </c>
      <c r="D1070" s="21" t="s">
        <v>12021</v>
      </c>
      <c r="E1070" s="21" t="s">
        <v>7941</v>
      </c>
      <c r="F1070" s="21" t="s">
        <v>12843</v>
      </c>
      <c r="G1070" s="21" t="s">
        <v>11947</v>
      </c>
      <c r="H1070" s="21" t="s">
        <v>11720</v>
      </c>
      <c r="I1070" s="21" t="s">
        <v>12844</v>
      </c>
    </row>
    <row r="1071" customFormat="false" ht="28.35" hidden="false" customHeight="false" outlineLevel="0" collapsed="false">
      <c r="B1071" s="19" t="s">
        <v>12887</v>
      </c>
      <c r="C1071" s="20" t="n">
        <f aca="false">ROUND(1.56/FX,2)</f>
        <v>0.22</v>
      </c>
      <c r="D1071" s="21" t="s">
        <v>12021</v>
      </c>
      <c r="E1071" s="21" t="s">
        <v>7941</v>
      </c>
      <c r="F1071" s="21" t="s">
        <v>12843</v>
      </c>
      <c r="G1071" s="21" t="s">
        <v>12001</v>
      </c>
      <c r="H1071" s="21" t="s">
        <v>11720</v>
      </c>
      <c r="I1071" s="21" t="s">
        <v>12854</v>
      </c>
    </row>
    <row r="1072" customFormat="false" ht="28.35" hidden="false" customHeight="false" outlineLevel="0" collapsed="false">
      <c r="B1072" s="19" t="s">
        <v>12888</v>
      </c>
      <c r="C1072" s="20" t="n">
        <f aca="false">ROUND(1.69/FX,2)</f>
        <v>0.23</v>
      </c>
      <c r="D1072" s="21" t="s">
        <v>12021</v>
      </c>
      <c r="E1072" s="21" t="s">
        <v>7941</v>
      </c>
      <c r="F1072" s="21" t="s">
        <v>12843</v>
      </c>
      <c r="G1072" s="21" t="s">
        <v>12016</v>
      </c>
      <c r="H1072" s="21" t="s">
        <v>11720</v>
      </c>
      <c r="I1072" s="21" t="s">
        <v>12859</v>
      </c>
    </row>
    <row r="1073" customFormat="false" ht="28.35" hidden="false" customHeight="false" outlineLevel="0" collapsed="false">
      <c r="B1073" s="19" t="s">
        <v>12889</v>
      </c>
      <c r="C1073" s="20" t="n">
        <f aca="false">ROUND(1.69/FX,2)</f>
        <v>0.23</v>
      </c>
      <c r="D1073" s="21" t="s">
        <v>12021</v>
      </c>
      <c r="E1073" s="21" t="s">
        <v>12847</v>
      </c>
      <c r="F1073" s="21" t="s">
        <v>12843</v>
      </c>
      <c r="G1073" s="21" t="s">
        <v>11719</v>
      </c>
      <c r="H1073" s="21" t="s">
        <v>11720</v>
      </c>
      <c r="I1073" s="21" t="s">
        <v>12857</v>
      </c>
    </row>
    <row r="1074" customFormat="false" ht="28.35" hidden="false" customHeight="false" outlineLevel="0" collapsed="false">
      <c r="B1074" s="19" t="s">
        <v>12890</v>
      </c>
      <c r="C1074" s="20" t="n">
        <f aca="false">ROUND(1.82/FX,2)</f>
        <v>0.25</v>
      </c>
      <c r="D1074" s="21" t="s">
        <v>12021</v>
      </c>
      <c r="E1074" s="21" t="s">
        <v>7939</v>
      </c>
      <c r="F1074" s="21" t="s">
        <v>12843</v>
      </c>
      <c r="G1074" s="21" t="s">
        <v>11746</v>
      </c>
      <c r="H1074" s="21" t="s">
        <v>11720</v>
      </c>
      <c r="I1074" s="21" t="s">
        <v>12859</v>
      </c>
    </row>
    <row r="1075" customFormat="false" ht="15" hidden="false" customHeight="false" outlineLevel="0" collapsed="false">
      <c r="B1075" s="19" t="s">
        <v>12891</v>
      </c>
      <c r="C1075" s="20" t="n">
        <f aca="false">ROUND(1.3/FX,2)</f>
        <v>0.18</v>
      </c>
      <c r="D1075" s="21" t="s">
        <v>12021</v>
      </c>
      <c r="E1075" s="21" t="s">
        <v>734</v>
      </c>
      <c r="F1075" s="21" t="s">
        <v>12849</v>
      </c>
      <c r="G1075" s="21" t="s">
        <v>11957</v>
      </c>
      <c r="H1075" s="21" t="s">
        <v>11720</v>
      </c>
      <c r="I1075" s="21" t="s">
        <v>12850</v>
      </c>
    </row>
    <row r="1076" customFormat="false" ht="15" hidden="false" customHeight="false" outlineLevel="0" collapsed="false">
      <c r="B1076" s="19" t="s">
        <v>12892</v>
      </c>
      <c r="C1076" s="20" t="n">
        <f aca="false">ROUND(1.3/FX,2)</f>
        <v>0.18</v>
      </c>
      <c r="D1076" s="21" t="s">
        <v>12021</v>
      </c>
      <c r="E1076" s="21" t="s">
        <v>734</v>
      </c>
      <c r="F1076" s="21" t="s">
        <v>12849</v>
      </c>
      <c r="G1076" s="21" t="s">
        <v>11947</v>
      </c>
      <c r="H1076" s="21" t="s">
        <v>11720</v>
      </c>
      <c r="I1076" s="21" t="s">
        <v>12844</v>
      </c>
    </row>
    <row r="1077" customFormat="false" ht="15" hidden="false" customHeight="false" outlineLevel="0" collapsed="false">
      <c r="B1077" s="19" t="s">
        <v>12893</v>
      </c>
      <c r="C1077" s="20" t="n">
        <f aca="false">ROUND(1.3/FX,2)</f>
        <v>0.18</v>
      </c>
      <c r="D1077" s="21" t="s">
        <v>12021</v>
      </c>
      <c r="E1077" s="21" t="s">
        <v>734</v>
      </c>
      <c r="F1077" s="21" t="s">
        <v>12849</v>
      </c>
      <c r="G1077" s="21" t="s">
        <v>12001</v>
      </c>
      <c r="H1077" s="21" t="s">
        <v>11720</v>
      </c>
      <c r="I1077" s="21" t="s">
        <v>12854</v>
      </c>
    </row>
    <row r="1078" customFormat="false" ht="15" hidden="false" customHeight="false" outlineLevel="0" collapsed="false">
      <c r="B1078" s="19" t="s">
        <v>12894</v>
      </c>
      <c r="C1078" s="20" t="n">
        <f aca="false">ROUND(1.3/FX,2)</f>
        <v>0.18</v>
      </c>
      <c r="D1078" s="21" t="s">
        <v>12021</v>
      </c>
      <c r="E1078" s="21" t="s">
        <v>734</v>
      </c>
      <c r="F1078" s="21" t="s">
        <v>12849</v>
      </c>
      <c r="G1078" s="21" t="s">
        <v>12016</v>
      </c>
      <c r="H1078" s="21" t="s">
        <v>11720</v>
      </c>
      <c r="I1078" s="21" t="s">
        <v>12859</v>
      </c>
    </row>
    <row r="1079" customFormat="false" ht="15" hidden="false" customHeight="false" outlineLevel="0" collapsed="false">
      <c r="B1079" s="19" t="s">
        <v>12895</v>
      </c>
      <c r="C1079" s="20" t="n">
        <f aca="false">ROUND(1.43/FX,2)</f>
        <v>0.2</v>
      </c>
      <c r="D1079" s="21" t="s">
        <v>12021</v>
      </c>
      <c r="E1079" s="21" t="s">
        <v>734</v>
      </c>
      <c r="F1079" s="21" t="s">
        <v>12849</v>
      </c>
      <c r="G1079" s="21" t="s">
        <v>11719</v>
      </c>
      <c r="H1079" s="21" t="s">
        <v>11720</v>
      </c>
      <c r="I1079" s="21" t="s">
        <v>12857</v>
      </c>
    </row>
    <row r="1080" customFormat="false" ht="15" hidden="false" customHeight="false" outlineLevel="0" collapsed="false">
      <c r="B1080" s="19" t="s">
        <v>12896</v>
      </c>
      <c r="C1080" s="20" t="n">
        <f aca="false">ROUND(1.43/FX,2)</f>
        <v>0.2</v>
      </c>
      <c r="D1080" s="21" t="s">
        <v>12021</v>
      </c>
      <c r="E1080" s="21" t="s">
        <v>734</v>
      </c>
      <c r="F1080" s="21" t="s">
        <v>12849</v>
      </c>
      <c r="G1080" s="21" t="s">
        <v>11746</v>
      </c>
      <c r="H1080" s="21" t="s">
        <v>11720</v>
      </c>
      <c r="I1080" s="21" t="s">
        <v>12859</v>
      </c>
    </row>
    <row r="1081" customFormat="false" ht="15" hidden="false" customHeight="false" outlineLevel="0" collapsed="false">
      <c r="B1081" s="19" t="s">
        <v>12897</v>
      </c>
      <c r="C1081" s="20" t="n">
        <f aca="false">ROUND(6.5/FX,2)</f>
        <v>0.9</v>
      </c>
      <c r="D1081" s="21" t="s">
        <v>12084</v>
      </c>
      <c r="E1081" s="21" t="s">
        <v>12898</v>
      </c>
      <c r="F1081" s="21" t="s">
        <v>12899</v>
      </c>
      <c r="G1081" s="21" t="s">
        <v>11957</v>
      </c>
      <c r="H1081" s="21" t="s">
        <v>11720</v>
      </c>
      <c r="I1081" s="21" t="s">
        <v>12850</v>
      </c>
    </row>
    <row r="1082" customFormat="false" ht="15" hidden="false" customHeight="false" outlineLevel="0" collapsed="false">
      <c r="B1082" s="19" t="s">
        <v>12900</v>
      </c>
      <c r="C1082" s="20" t="n">
        <f aca="false">ROUND(2.17/FX,2)</f>
        <v>0.3</v>
      </c>
      <c r="D1082" s="21" t="s">
        <v>12084</v>
      </c>
      <c r="E1082" s="21" t="s">
        <v>12901</v>
      </c>
      <c r="F1082" s="21" t="s">
        <v>12899</v>
      </c>
      <c r="G1082" s="21" t="s">
        <v>11957</v>
      </c>
      <c r="H1082" s="21" t="s">
        <v>11720</v>
      </c>
      <c r="I1082" s="21" t="s">
        <v>12850</v>
      </c>
    </row>
    <row r="1083" customFormat="false" ht="15" hidden="false" customHeight="false" outlineLevel="0" collapsed="false">
      <c r="B1083" s="19" t="s">
        <v>12902</v>
      </c>
      <c r="C1083" s="20" t="n">
        <f aca="false">ROUND(6.5/FX,2)</f>
        <v>0.9</v>
      </c>
      <c r="D1083" s="21" t="s">
        <v>12084</v>
      </c>
      <c r="E1083" s="21" t="s">
        <v>12898</v>
      </c>
      <c r="F1083" s="21" t="s">
        <v>12899</v>
      </c>
      <c r="G1083" s="21" t="s">
        <v>11719</v>
      </c>
      <c r="H1083" s="21" t="s">
        <v>11720</v>
      </c>
      <c r="I1083" s="21" t="s">
        <v>12857</v>
      </c>
    </row>
    <row r="1084" customFormat="false" ht="15" hidden="false" customHeight="false" outlineLevel="0" collapsed="false">
      <c r="B1084" s="19" t="s">
        <v>12903</v>
      </c>
      <c r="C1084" s="20" t="n">
        <f aca="false">ROUND(2.17/FX,2)</f>
        <v>0.3</v>
      </c>
      <c r="D1084" s="21" t="s">
        <v>12084</v>
      </c>
      <c r="E1084" s="21" t="s">
        <v>12901</v>
      </c>
      <c r="F1084" s="21" t="s">
        <v>12899</v>
      </c>
      <c r="G1084" s="21" t="s">
        <v>11719</v>
      </c>
      <c r="H1084" s="21" t="s">
        <v>11720</v>
      </c>
      <c r="I1084" s="21" t="s">
        <v>12857</v>
      </c>
    </row>
    <row r="1085" customFormat="false" ht="15" hidden="false" customHeight="false" outlineLevel="0" collapsed="false">
      <c r="B1085" s="19" t="s">
        <v>12904</v>
      </c>
      <c r="C1085" s="20" t="n">
        <f aca="false">ROUND(2.17/FX,2)</f>
        <v>0.3</v>
      </c>
      <c r="D1085" s="21" t="s">
        <v>12084</v>
      </c>
      <c r="E1085" s="21" t="s">
        <v>12901</v>
      </c>
      <c r="F1085" s="21" t="s">
        <v>12899</v>
      </c>
      <c r="G1085" s="21" t="s">
        <v>11746</v>
      </c>
      <c r="H1085" s="21" t="s">
        <v>11720</v>
      </c>
      <c r="I1085" s="21" t="s">
        <v>12859</v>
      </c>
    </row>
    <row r="1086" customFormat="false" ht="15" hidden="false" customHeight="false" outlineLevel="0" collapsed="false">
      <c r="B1086" s="19" t="s">
        <v>12905</v>
      </c>
      <c r="C1086" s="20" t="n">
        <f aca="false">ROUND(2.17/FX,2)</f>
        <v>0.3</v>
      </c>
      <c r="D1086" s="21" t="s">
        <v>12084</v>
      </c>
      <c r="E1086" s="21" t="s">
        <v>12901</v>
      </c>
      <c r="F1086" s="21" t="s">
        <v>12899</v>
      </c>
      <c r="G1086" s="21" t="s">
        <v>11767</v>
      </c>
      <c r="H1086" s="21" t="s">
        <v>11720</v>
      </c>
      <c r="I1086" s="21" t="s">
        <v>12906</v>
      </c>
    </row>
    <row r="1087" customFormat="false" ht="15" hidden="false" customHeight="false" outlineLevel="0" collapsed="false">
      <c r="B1087" s="19" t="s">
        <v>12907</v>
      </c>
      <c r="C1087" s="20" t="n">
        <f aca="false">ROUND(2.17/FX,2)</f>
        <v>0.3</v>
      </c>
      <c r="D1087" s="21" t="s">
        <v>12084</v>
      </c>
      <c r="E1087" s="21" t="s">
        <v>12901</v>
      </c>
      <c r="F1087" s="21" t="s">
        <v>12899</v>
      </c>
      <c r="G1087" s="21" t="s">
        <v>11770</v>
      </c>
      <c r="H1087" s="21" t="s">
        <v>11720</v>
      </c>
      <c r="I1087" s="21" t="s">
        <v>12908</v>
      </c>
    </row>
    <row r="1088" customFormat="false" ht="15" hidden="false" customHeight="false" outlineLevel="0" collapsed="false">
      <c r="B1088" s="19" t="s">
        <v>12909</v>
      </c>
      <c r="C1088" s="20" t="n">
        <f aca="false">ROUND(6.5/FX,2)</f>
        <v>0.9</v>
      </c>
      <c r="D1088" s="21" t="s">
        <v>12084</v>
      </c>
      <c r="E1088" s="21" t="s">
        <v>12898</v>
      </c>
      <c r="F1088" s="21" t="s">
        <v>12899</v>
      </c>
      <c r="G1088" s="21" t="s">
        <v>11775</v>
      </c>
      <c r="H1088" s="21" t="s">
        <v>11720</v>
      </c>
      <c r="I1088" s="21" t="s">
        <v>12850</v>
      </c>
    </row>
    <row r="1089" customFormat="false" ht="15" hidden="false" customHeight="false" outlineLevel="0" collapsed="false">
      <c r="B1089" s="19" t="s">
        <v>12910</v>
      </c>
      <c r="C1089" s="20" t="n">
        <f aca="false">ROUND(2.17/FX,2)</f>
        <v>0.3</v>
      </c>
      <c r="D1089" s="21" t="s">
        <v>12084</v>
      </c>
      <c r="E1089" s="21" t="s">
        <v>12901</v>
      </c>
      <c r="F1089" s="21" t="s">
        <v>12899</v>
      </c>
      <c r="G1089" s="21" t="s">
        <v>11775</v>
      </c>
      <c r="H1089" s="21" t="s">
        <v>11720</v>
      </c>
      <c r="I1089" s="21" t="s">
        <v>12850</v>
      </c>
    </row>
    <row r="1090" customFormat="false" ht="15" hidden="false" customHeight="false" outlineLevel="0" collapsed="false">
      <c r="B1090" s="19" t="s">
        <v>12911</v>
      </c>
      <c r="C1090" s="20" t="n">
        <f aca="false">ROUND(6.5/FX,2)</f>
        <v>0.9</v>
      </c>
      <c r="D1090" s="21" t="s">
        <v>12084</v>
      </c>
      <c r="E1090" s="21" t="s">
        <v>12898</v>
      </c>
      <c r="F1090" s="21" t="s">
        <v>12899</v>
      </c>
      <c r="G1090" s="21" t="s">
        <v>11775</v>
      </c>
      <c r="H1090" s="21" t="s">
        <v>11810</v>
      </c>
      <c r="I1090" s="21" t="s">
        <v>12850</v>
      </c>
    </row>
    <row r="1091" customFormat="false" ht="15" hidden="false" customHeight="false" outlineLevel="0" collapsed="false">
      <c r="B1091" s="19" t="s">
        <v>12912</v>
      </c>
      <c r="C1091" s="20" t="n">
        <f aca="false">ROUND(6.5/FX,2)</f>
        <v>0.9</v>
      </c>
      <c r="D1091" s="21" t="s">
        <v>12084</v>
      </c>
      <c r="E1091" s="21" t="s">
        <v>12898</v>
      </c>
      <c r="F1091" s="21" t="s">
        <v>12899</v>
      </c>
      <c r="G1091" s="21" t="s">
        <v>11820</v>
      </c>
      <c r="H1091" s="21" t="s">
        <v>11720</v>
      </c>
      <c r="I1091" s="21" t="s">
        <v>12844</v>
      </c>
    </row>
    <row r="1092" customFormat="false" ht="15" hidden="false" customHeight="false" outlineLevel="0" collapsed="false">
      <c r="B1092" s="19" t="s">
        <v>12913</v>
      </c>
      <c r="C1092" s="20" t="n">
        <f aca="false">ROUND(2.17/FX,2)</f>
        <v>0.3</v>
      </c>
      <c r="D1092" s="21" t="s">
        <v>12084</v>
      </c>
      <c r="E1092" s="21" t="s">
        <v>12901</v>
      </c>
      <c r="F1092" s="21" t="s">
        <v>12899</v>
      </c>
      <c r="G1092" s="21" t="s">
        <v>11820</v>
      </c>
      <c r="H1092" s="21" t="s">
        <v>11720</v>
      </c>
      <c r="I1092" s="21" t="s">
        <v>12844</v>
      </c>
    </row>
    <row r="1093" customFormat="false" ht="15" hidden="false" customHeight="false" outlineLevel="0" collapsed="false">
      <c r="B1093" s="19" t="s">
        <v>12914</v>
      </c>
      <c r="C1093" s="20" t="n">
        <f aca="false">ROUND(6.5/FX,2)</f>
        <v>0.9</v>
      </c>
      <c r="D1093" s="21" t="s">
        <v>12084</v>
      </c>
      <c r="E1093" s="21" t="s">
        <v>12898</v>
      </c>
      <c r="F1093" s="21" t="s">
        <v>12899</v>
      </c>
      <c r="G1093" s="21" t="s">
        <v>11845</v>
      </c>
      <c r="H1093" s="21" t="s">
        <v>11720</v>
      </c>
      <c r="I1093" s="21" t="s">
        <v>12854</v>
      </c>
    </row>
    <row r="1094" customFormat="false" ht="15" hidden="false" customHeight="false" outlineLevel="0" collapsed="false">
      <c r="B1094" s="19" t="s">
        <v>12915</v>
      </c>
      <c r="C1094" s="20" t="n">
        <f aca="false">ROUND(6.56/FX,2)</f>
        <v>0.91</v>
      </c>
      <c r="D1094" s="21" t="s">
        <v>12084</v>
      </c>
      <c r="E1094" s="21" t="s">
        <v>12916</v>
      </c>
      <c r="F1094" s="21" t="s">
        <v>12899</v>
      </c>
      <c r="G1094" s="21" t="s">
        <v>11845</v>
      </c>
      <c r="H1094" s="21" t="s">
        <v>11720</v>
      </c>
      <c r="I1094" s="21" t="s">
        <v>12854</v>
      </c>
    </row>
    <row r="1095" customFormat="false" ht="15" hidden="false" customHeight="false" outlineLevel="0" collapsed="false">
      <c r="B1095" s="19" t="s">
        <v>12917</v>
      </c>
      <c r="C1095" s="20" t="n">
        <f aca="false">ROUND(2.17/FX,2)</f>
        <v>0.3</v>
      </c>
      <c r="D1095" s="21" t="s">
        <v>12084</v>
      </c>
      <c r="E1095" s="21" t="s">
        <v>12901</v>
      </c>
      <c r="F1095" s="21" t="s">
        <v>12899</v>
      </c>
      <c r="G1095" s="21" t="s">
        <v>11845</v>
      </c>
      <c r="H1095" s="21" t="s">
        <v>11720</v>
      </c>
      <c r="I1095" s="21" t="s">
        <v>12854</v>
      </c>
    </row>
    <row r="1096" customFormat="false" ht="28.35" hidden="false" customHeight="false" outlineLevel="0" collapsed="false">
      <c r="B1096" s="19" t="s">
        <v>12918</v>
      </c>
      <c r="C1096" s="20" t="n">
        <f aca="false">ROUND(2.23/FX,2)</f>
        <v>0.31</v>
      </c>
      <c r="D1096" s="21" t="s">
        <v>12084</v>
      </c>
      <c r="E1096" s="21" t="s">
        <v>12919</v>
      </c>
      <c r="F1096" s="21" t="s">
        <v>12899</v>
      </c>
      <c r="G1096" s="21" t="s">
        <v>11845</v>
      </c>
      <c r="H1096" s="21" t="s">
        <v>11720</v>
      </c>
      <c r="I1096" s="21" t="s">
        <v>12854</v>
      </c>
    </row>
    <row r="1097" customFormat="false" ht="28.35" hidden="false" customHeight="false" outlineLevel="0" collapsed="false">
      <c r="B1097" s="19" t="s">
        <v>12920</v>
      </c>
      <c r="C1097" s="20" t="n">
        <f aca="false">ROUND(1.69/FX,2)</f>
        <v>0.23</v>
      </c>
      <c r="D1097" s="21" t="s">
        <v>12084</v>
      </c>
      <c r="E1097" s="21" t="s">
        <v>7941</v>
      </c>
      <c r="F1097" s="21" t="s">
        <v>12843</v>
      </c>
      <c r="G1097" s="21" t="s">
        <v>11719</v>
      </c>
      <c r="H1097" s="21" t="s">
        <v>11720</v>
      </c>
      <c r="I1097" s="21" t="s">
        <v>12857</v>
      </c>
    </row>
    <row r="1098" customFormat="false" ht="28.35" hidden="false" customHeight="false" outlineLevel="0" collapsed="false">
      <c r="B1098" s="19" t="s">
        <v>12921</v>
      </c>
      <c r="C1098" s="20" t="n">
        <f aca="false">ROUND(1.69/FX,2)</f>
        <v>0.23</v>
      </c>
      <c r="D1098" s="21" t="s">
        <v>12084</v>
      </c>
      <c r="E1098" s="21" t="s">
        <v>7941</v>
      </c>
      <c r="F1098" s="21" t="s">
        <v>12843</v>
      </c>
      <c r="G1098" s="21" t="s">
        <v>11746</v>
      </c>
      <c r="H1098" s="21" t="s">
        <v>11720</v>
      </c>
      <c r="I1098" s="21" t="s">
        <v>12859</v>
      </c>
    </row>
    <row r="1099" customFormat="false" ht="28.35" hidden="false" customHeight="false" outlineLevel="0" collapsed="false">
      <c r="B1099" s="19" t="s">
        <v>12922</v>
      </c>
      <c r="C1099" s="20" t="n">
        <f aca="false">ROUND(1.69/FX,2)</f>
        <v>0.23</v>
      </c>
      <c r="D1099" s="21" t="s">
        <v>12084</v>
      </c>
      <c r="E1099" s="21" t="s">
        <v>7941</v>
      </c>
      <c r="F1099" s="21" t="s">
        <v>12843</v>
      </c>
      <c r="G1099" s="21" t="s">
        <v>11775</v>
      </c>
      <c r="H1099" s="21" t="s">
        <v>11720</v>
      </c>
      <c r="I1099" s="21" t="s">
        <v>12850</v>
      </c>
    </row>
    <row r="1100" customFormat="false" ht="28.35" hidden="false" customHeight="false" outlineLevel="0" collapsed="false">
      <c r="B1100" s="19" t="s">
        <v>12923</v>
      </c>
      <c r="C1100" s="20" t="n">
        <f aca="false">ROUND(1.69/FX,2)</f>
        <v>0.23</v>
      </c>
      <c r="D1100" s="21" t="s">
        <v>12084</v>
      </c>
      <c r="E1100" s="21" t="s">
        <v>7941</v>
      </c>
      <c r="F1100" s="21" t="s">
        <v>12843</v>
      </c>
      <c r="G1100" s="21" t="s">
        <v>11820</v>
      </c>
      <c r="H1100" s="21" t="s">
        <v>11720</v>
      </c>
      <c r="I1100" s="21" t="s">
        <v>12844</v>
      </c>
    </row>
    <row r="1101" customFormat="false" ht="28.35" hidden="false" customHeight="false" outlineLevel="0" collapsed="false">
      <c r="B1101" s="19" t="s">
        <v>12924</v>
      </c>
      <c r="C1101" s="20" t="n">
        <f aca="false">ROUND(1.56/FX,2)</f>
        <v>0.22</v>
      </c>
      <c r="D1101" s="21" t="s">
        <v>12084</v>
      </c>
      <c r="E1101" s="21" t="s">
        <v>7941</v>
      </c>
      <c r="F1101" s="21" t="s">
        <v>12843</v>
      </c>
      <c r="G1101" s="21" t="s">
        <v>11845</v>
      </c>
      <c r="H1101" s="21" t="s">
        <v>11720</v>
      </c>
      <c r="I1101" s="21" t="s">
        <v>12854</v>
      </c>
    </row>
    <row r="1102" customFormat="false" ht="28.35" hidden="false" customHeight="false" outlineLevel="0" collapsed="false">
      <c r="B1102" s="19" t="s">
        <v>12925</v>
      </c>
      <c r="C1102" s="20" t="n">
        <f aca="false">ROUND(1.56/FX,2)</f>
        <v>0.22</v>
      </c>
      <c r="D1102" s="21" t="s">
        <v>12084</v>
      </c>
      <c r="E1102" s="21" t="s">
        <v>7939</v>
      </c>
      <c r="F1102" s="21" t="s">
        <v>12843</v>
      </c>
      <c r="G1102" s="21" t="s">
        <v>11845</v>
      </c>
      <c r="H1102" s="21" t="s">
        <v>11720</v>
      </c>
      <c r="I1102" s="21" t="s">
        <v>12854</v>
      </c>
    </row>
    <row r="1103" customFormat="false" ht="28.35" hidden="false" customHeight="false" outlineLevel="0" collapsed="false">
      <c r="B1103" s="19" t="s">
        <v>12926</v>
      </c>
      <c r="C1103" s="20" t="n">
        <f aca="false">ROUND(3.9/FX,2)</f>
        <v>0.54</v>
      </c>
      <c r="D1103" s="21" t="s">
        <v>12084</v>
      </c>
      <c r="E1103" s="21" t="s">
        <v>734</v>
      </c>
      <c r="F1103" s="21" t="s">
        <v>12927</v>
      </c>
      <c r="G1103" s="21" t="s">
        <v>11775</v>
      </c>
      <c r="H1103" s="21" t="s">
        <v>11720</v>
      </c>
      <c r="I1103" s="21" t="s">
        <v>12850</v>
      </c>
    </row>
    <row r="1104" customFormat="false" ht="28.35" hidden="false" customHeight="false" outlineLevel="0" collapsed="false">
      <c r="B1104" s="19" t="s">
        <v>12928</v>
      </c>
      <c r="C1104" s="20" t="n">
        <f aca="false">ROUND(3.9/FX,2)</f>
        <v>0.54</v>
      </c>
      <c r="D1104" s="21" t="s">
        <v>12084</v>
      </c>
      <c r="E1104" s="21" t="s">
        <v>734</v>
      </c>
      <c r="F1104" s="21" t="s">
        <v>12927</v>
      </c>
      <c r="G1104" s="21" t="s">
        <v>11820</v>
      </c>
      <c r="H1104" s="21" t="s">
        <v>11720</v>
      </c>
      <c r="I1104" s="21" t="s">
        <v>12844</v>
      </c>
    </row>
    <row r="1105" customFormat="false" ht="28.35" hidden="false" customHeight="false" outlineLevel="0" collapsed="false">
      <c r="B1105" s="19" t="s">
        <v>12929</v>
      </c>
      <c r="C1105" s="20" t="n">
        <f aca="false">ROUND(3.9/FX,2)</f>
        <v>0.54</v>
      </c>
      <c r="D1105" s="21" t="s">
        <v>12084</v>
      </c>
      <c r="E1105" s="21" t="s">
        <v>734</v>
      </c>
      <c r="F1105" s="21" t="s">
        <v>12927</v>
      </c>
      <c r="G1105" s="21" t="s">
        <v>11845</v>
      </c>
      <c r="H1105" s="21" t="s">
        <v>11720</v>
      </c>
      <c r="I1105" s="21" t="s">
        <v>12854</v>
      </c>
    </row>
    <row r="1106" customFormat="false" ht="15" hidden="false" customHeight="false" outlineLevel="0" collapsed="false">
      <c r="B1106" s="19" t="s">
        <v>12930</v>
      </c>
      <c r="C1106" s="20" t="n">
        <f aca="false">ROUND(1.76/FX,2)</f>
        <v>0.24</v>
      </c>
      <c r="D1106" s="21" t="s">
        <v>12084</v>
      </c>
      <c r="E1106" s="21" t="s">
        <v>734</v>
      </c>
      <c r="F1106" s="21" t="s">
        <v>12849</v>
      </c>
      <c r="G1106" s="21" t="s">
        <v>11957</v>
      </c>
      <c r="H1106" s="21" t="s">
        <v>11720</v>
      </c>
      <c r="I1106" s="21" t="s">
        <v>12850</v>
      </c>
    </row>
    <row r="1107" customFormat="false" ht="15" hidden="false" customHeight="false" outlineLevel="0" collapsed="false">
      <c r="B1107" s="19" t="s">
        <v>12931</v>
      </c>
      <c r="C1107" s="20" t="n">
        <f aca="false">ROUND(1.43/FX,2)</f>
        <v>0.2</v>
      </c>
      <c r="D1107" s="21" t="s">
        <v>12084</v>
      </c>
      <c r="E1107" s="21" t="s">
        <v>12822</v>
      </c>
      <c r="F1107" s="21" t="s">
        <v>12849</v>
      </c>
      <c r="G1107" s="21" t="s">
        <v>11957</v>
      </c>
      <c r="H1107" s="21" t="s">
        <v>11720</v>
      </c>
      <c r="I1107" s="21" t="s">
        <v>12850</v>
      </c>
    </row>
    <row r="1108" customFormat="false" ht="15" hidden="false" customHeight="false" outlineLevel="0" collapsed="false">
      <c r="B1108" s="19" t="s">
        <v>12932</v>
      </c>
      <c r="C1108" s="20" t="n">
        <f aca="false">ROUND(1.43/FX,2)</f>
        <v>0.2</v>
      </c>
      <c r="D1108" s="21" t="s">
        <v>12084</v>
      </c>
      <c r="E1108" s="21" t="s">
        <v>12822</v>
      </c>
      <c r="F1108" s="21" t="s">
        <v>12849</v>
      </c>
      <c r="G1108" s="21" t="s">
        <v>11719</v>
      </c>
      <c r="H1108" s="21" t="s">
        <v>11720</v>
      </c>
      <c r="I1108" s="21" t="s">
        <v>12857</v>
      </c>
    </row>
    <row r="1109" customFormat="false" ht="15" hidden="false" customHeight="false" outlineLevel="0" collapsed="false">
      <c r="B1109" s="19" t="s">
        <v>12933</v>
      </c>
      <c r="C1109" s="20" t="n">
        <f aca="false">ROUND(1.43/FX,2)</f>
        <v>0.2</v>
      </c>
      <c r="D1109" s="21" t="s">
        <v>12084</v>
      </c>
      <c r="E1109" s="21" t="s">
        <v>12822</v>
      </c>
      <c r="F1109" s="21" t="s">
        <v>12849</v>
      </c>
      <c r="G1109" s="21" t="s">
        <v>11746</v>
      </c>
      <c r="H1109" s="21" t="s">
        <v>11720</v>
      </c>
      <c r="I1109" s="21" t="s">
        <v>12859</v>
      </c>
    </row>
    <row r="1110" customFormat="false" ht="15" hidden="false" customHeight="false" outlineLevel="0" collapsed="false">
      <c r="B1110" s="19" t="s">
        <v>12934</v>
      </c>
      <c r="C1110" s="20" t="n">
        <f aca="false">ROUND(1.76/FX,2)</f>
        <v>0.24</v>
      </c>
      <c r="D1110" s="21" t="s">
        <v>12084</v>
      </c>
      <c r="E1110" s="21" t="s">
        <v>734</v>
      </c>
      <c r="F1110" s="21" t="s">
        <v>12849</v>
      </c>
      <c r="G1110" s="21" t="s">
        <v>11775</v>
      </c>
      <c r="H1110" s="21" t="s">
        <v>11720</v>
      </c>
      <c r="I1110" s="21" t="s">
        <v>12850</v>
      </c>
    </row>
    <row r="1111" customFormat="false" ht="15" hidden="false" customHeight="false" outlineLevel="0" collapsed="false">
      <c r="B1111" s="19" t="s">
        <v>12935</v>
      </c>
      <c r="C1111" s="20" t="n">
        <f aca="false">ROUND(1.3/FX,2)</f>
        <v>0.18</v>
      </c>
      <c r="D1111" s="21" t="s">
        <v>12084</v>
      </c>
      <c r="E1111" s="21" t="s">
        <v>12822</v>
      </c>
      <c r="F1111" s="21" t="s">
        <v>12849</v>
      </c>
      <c r="G1111" s="21" t="s">
        <v>11775</v>
      </c>
      <c r="H1111" s="21" t="s">
        <v>11720</v>
      </c>
      <c r="I1111" s="21" t="s">
        <v>12850</v>
      </c>
    </row>
    <row r="1112" customFormat="false" ht="15" hidden="false" customHeight="false" outlineLevel="0" collapsed="false">
      <c r="B1112" s="19" t="s">
        <v>12936</v>
      </c>
      <c r="C1112" s="20" t="n">
        <f aca="false">ROUND(1.76/FX,2)</f>
        <v>0.24</v>
      </c>
      <c r="D1112" s="21" t="s">
        <v>12084</v>
      </c>
      <c r="E1112" s="21" t="s">
        <v>734</v>
      </c>
      <c r="F1112" s="21" t="s">
        <v>12849</v>
      </c>
      <c r="G1112" s="21" t="s">
        <v>11820</v>
      </c>
      <c r="H1112" s="21" t="s">
        <v>11720</v>
      </c>
      <c r="I1112" s="21" t="s">
        <v>12844</v>
      </c>
    </row>
    <row r="1113" customFormat="false" ht="15" hidden="false" customHeight="false" outlineLevel="0" collapsed="false">
      <c r="B1113" s="19" t="s">
        <v>12937</v>
      </c>
      <c r="C1113" s="20" t="n">
        <f aca="false">ROUND(1.3/FX,2)</f>
        <v>0.18</v>
      </c>
      <c r="D1113" s="21" t="s">
        <v>12084</v>
      </c>
      <c r="E1113" s="21" t="s">
        <v>12822</v>
      </c>
      <c r="F1113" s="21" t="s">
        <v>12849</v>
      </c>
      <c r="G1113" s="21" t="s">
        <v>11820</v>
      </c>
      <c r="H1113" s="21" t="s">
        <v>11720</v>
      </c>
      <c r="I1113" s="21" t="s">
        <v>12844</v>
      </c>
    </row>
    <row r="1114" customFormat="false" ht="15" hidden="false" customHeight="false" outlineLevel="0" collapsed="false">
      <c r="B1114" s="19" t="s">
        <v>12938</v>
      </c>
      <c r="C1114" s="20" t="n">
        <f aca="false">ROUND(1.76/FX,2)</f>
        <v>0.24</v>
      </c>
      <c r="D1114" s="21" t="s">
        <v>12084</v>
      </c>
      <c r="E1114" s="21" t="s">
        <v>734</v>
      </c>
      <c r="F1114" s="21" t="s">
        <v>12849</v>
      </c>
      <c r="G1114" s="21" t="s">
        <v>11845</v>
      </c>
      <c r="H1114" s="21" t="s">
        <v>11720</v>
      </c>
      <c r="I1114" s="21" t="s">
        <v>12854</v>
      </c>
    </row>
    <row r="1115" customFormat="false" ht="15" hidden="false" customHeight="false" outlineLevel="0" collapsed="false">
      <c r="B1115" s="19" t="s">
        <v>12939</v>
      </c>
      <c r="C1115" s="20" t="n">
        <f aca="false">ROUND(1.3/FX,2)</f>
        <v>0.18</v>
      </c>
      <c r="D1115" s="21" t="s">
        <v>12084</v>
      </c>
      <c r="E1115" s="21" t="s">
        <v>12822</v>
      </c>
      <c r="F1115" s="21" t="s">
        <v>12849</v>
      </c>
      <c r="G1115" s="21" t="s">
        <v>11845</v>
      </c>
      <c r="H1115" s="21" t="s">
        <v>11720</v>
      </c>
      <c r="I1115" s="21" t="s">
        <v>12854</v>
      </c>
    </row>
    <row r="1116" customFormat="false" ht="15" hidden="false" customHeight="false" outlineLevel="0" collapsed="false">
      <c r="B1116" s="19" t="s">
        <v>12940</v>
      </c>
      <c r="C1116" s="20" t="n">
        <f aca="false">ROUND(1.43/FX,2)</f>
        <v>0.2</v>
      </c>
      <c r="D1116" s="21" t="s">
        <v>12084</v>
      </c>
      <c r="E1116" s="21" t="s">
        <v>751</v>
      </c>
      <c r="F1116" s="21" t="s">
        <v>12849</v>
      </c>
      <c r="G1116" s="21" t="s">
        <v>11845</v>
      </c>
      <c r="H1116" s="21" t="s">
        <v>11720</v>
      </c>
      <c r="I1116" s="21" t="s">
        <v>12854</v>
      </c>
    </row>
    <row r="1117" customFormat="false" ht="28.35" hidden="false" customHeight="false" outlineLevel="0" collapsed="false">
      <c r="B1117" s="19" t="s">
        <v>12941</v>
      </c>
      <c r="C1117" s="20" t="n">
        <f aca="false">ROUND(15/FX,2)</f>
        <v>2.08</v>
      </c>
      <c r="D1117" s="21" t="s">
        <v>12084</v>
      </c>
      <c r="E1117" s="21" t="s">
        <v>734</v>
      </c>
      <c r="F1117" s="21" t="s">
        <v>12856</v>
      </c>
      <c r="G1117" s="21" t="s">
        <v>11957</v>
      </c>
      <c r="H1117" s="21" t="s">
        <v>11720</v>
      </c>
      <c r="I1117" s="21" t="s">
        <v>12850</v>
      </c>
    </row>
    <row r="1118" customFormat="false" ht="28.35" hidden="false" customHeight="false" outlineLevel="0" collapsed="false">
      <c r="B1118" s="19" t="s">
        <v>12942</v>
      </c>
      <c r="C1118" s="20" t="n">
        <f aca="false">ROUND(15/FX,2)</f>
        <v>2.08</v>
      </c>
      <c r="D1118" s="21" t="s">
        <v>12084</v>
      </c>
      <c r="E1118" s="21" t="s">
        <v>734</v>
      </c>
      <c r="F1118" s="21" t="s">
        <v>12856</v>
      </c>
      <c r="G1118" s="21" t="s">
        <v>11719</v>
      </c>
      <c r="H1118" s="21" t="s">
        <v>11720</v>
      </c>
      <c r="I1118" s="21" t="s">
        <v>12857</v>
      </c>
    </row>
    <row r="1119" customFormat="false" ht="28.35" hidden="false" customHeight="false" outlineLevel="0" collapsed="false">
      <c r="B1119" s="19" t="s">
        <v>12943</v>
      </c>
      <c r="C1119" s="20" t="n">
        <f aca="false">ROUND(15/FX,2)</f>
        <v>2.08</v>
      </c>
      <c r="D1119" s="21" t="s">
        <v>12084</v>
      </c>
      <c r="E1119" s="21" t="s">
        <v>734</v>
      </c>
      <c r="F1119" s="21" t="s">
        <v>12856</v>
      </c>
      <c r="G1119" s="21" t="s">
        <v>11746</v>
      </c>
      <c r="H1119" s="21" t="s">
        <v>11720</v>
      </c>
      <c r="I1119" s="21" t="s">
        <v>12859</v>
      </c>
    </row>
    <row r="1120" customFormat="false" ht="28.35" hidden="false" customHeight="false" outlineLevel="0" collapsed="false">
      <c r="B1120" s="19" t="s">
        <v>12944</v>
      </c>
      <c r="C1120" s="20" t="n">
        <f aca="false">ROUND(15/FX,2)</f>
        <v>2.08</v>
      </c>
      <c r="D1120" s="21" t="s">
        <v>12084</v>
      </c>
      <c r="E1120" s="21" t="s">
        <v>734</v>
      </c>
      <c r="F1120" s="21" t="s">
        <v>12856</v>
      </c>
      <c r="G1120" s="21" t="s">
        <v>11767</v>
      </c>
      <c r="H1120" s="21" t="s">
        <v>11720</v>
      </c>
      <c r="I1120" s="21" t="s">
        <v>12906</v>
      </c>
    </row>
    <row r="1121" customFormat="false" ht="28.35" hidden="false" customHeight="false" outlineLevel="0" collapsed="false">
      <c r="B1121" s="19" t="s">
        <v>12945</v>
      </c>
      <c r="C1121" s="20" t="n">
        <f aca="false">ROUND(15/FX,2)</f>
        <v>2.08</v>
      </c>
      <c r="D1121" s="21" t="s">
        <v>12084</v>
      </c>
      <c r="E1121" s="21" t="s">
        <v>734</v>
      </c>
      <c r="F1121" s="21" t="s">
        <v>12856</v>
      </c>
      <c r="G1121" s="21" t="s">
        <v>11775</v>
      </c>
      <c r="H1121" s="21" t="s">
        <v>11720</v>
      </c>
      <c r="I1121" s="21" t="s">
        <v>12850</v>
      </c>
    </row>
    <row r="1122" customFormat="false" ht="28.35" hidden="false" customHeight="false" outlineLevel="0" collapsed="false">
      <c r="B1122" s="19" t="s">
        <v>12946</v>
      </c>
      <c r="C1122" s="20" t="n">
        <f aca="false">ROUND(15/FX,2)</f>
        <v>2.08</v>
      </c>
      <c r="D1122" s="21" t="s">
        <v>12084</v>
      </c>
      <c r="E1122" s="21" t="s">
        <v>734</v>
      </c>
      <c r="F1122" s="21" t="s">
        <v>12856</v>
      </c>
      <c r="G1122" s="21" t="s">
        <v>11820</v>
      </c>
      <c r="H1122" s="21" t="s">
        <v>11720</v>
      </c>
      <c r="I1122" s="21" t="s">
        <v>12844</v>
      </c>
    </row>
    <row r="1123" customFormat="false" ht="28.35" hidden="false" customHeight="false" outlineLevel="0" collapsed="false">
      <c r="B1123" s="19" t="s">
        <v>12947</v>
      </c>
      <c r="C1123" s="20" t="n">
        <f aca="false">ROUND(15/FX,2)</f>
        <v>2.08</v>
      </c>
      <c r="D1123" s="21" t="s">
        <v>12084</v>
      </c>
      <c r="E1123" s="21" t="s">
        <v>734</v>
      </c>
      <c r="F1123" s="21" t="s">
        <v>12856</v>
      </c>
      <c r="G1123" s="21" t="s">
        <v>11845</v>
      </c>
      <c r="H1123" s="21" t="s">
        <v>11720</v>
      </c>
      <c r="I1123" s="21" t="s">
        <v>12854</v>
      </c>
    </row>
    <row r="1124" customFormat="false" ht="28.35" hidden="false" customHeight="false" outlineLevel="0" collapsed="false">
      <c r="B1124" s="19" t="s">
        <v>12948</v>
      </c>
      <c r="C1124" s="20" t="n">
        <f aca="false">ROUND(3.17/FX,2)</f>
        <v>0.44</v>
      </c>
      <c r="D1124" s="21" t="s">
        <v>12084</v>
      </c>
      <c r="E1124" s="21" t="s">
        <v>734</v>
      </c>
      <c r="F1124" s="21" t="s">
        <v>12949</v>
      </c>
      <c r="G1124" s="21" t="s">
        <v>11957</v>
      </c>
      <c r="H1124" s="21" t="s">
        <v>11720</v>
      </c>
      <c r="I1124" s="21" t="s">
        <v>12850</v>
      </c>
    </row>
    <row r="1125" customFormat="false" ht="28.35" hidden="false" customHeight="false" outlineLevel="0" collapsed="false">
      <c r="B1125" s="19" t="s">
        <v>12950</v>
      </c>
      <c r="C1125" s="20" t="n">
        <f aca="false">ROUND(3.17/FX,2)</f>
        <v>0.44</v>
      </c>
      <c r="D1125" s="21" t="s">
        <v>12084</v>
      </c>
      <c r="E1125" s="21" t="s">
        <v>734</v>
      </c>
      <c r="F1125" s="21" t="s">
        <v>12949</v>
      </c>
      <c r="G1125" s="21" t="s">
        <v>11775</v>
      </c>
      <c r="H1125" s="21" t="s">
        <v>11720</v>
      </c>
      <c r="I1125" s="21" t="s">
        <v>12850</v>
      </c>
    </row>
    <row r="1126" customFormat="false" ht="28.35" hidden="false" customHeight="false" outlineLevel="0" collapsed="false">
      <c r="B1126" s="19" t="s">
        <v>12951</v>
      </c>
      <c r="C1126" s="20" t="n">
        <f aca="false">ROUND(10.4/FX,2)</f>
        <v>1.44</v>
      </c>
      <c r="D1126" s="21" t="s">
        <v>12084</v>
      </c>
      <c r="E1126" s="21" t="s">
        <v>12952</v>
      </c>
      <c r="F1126" s="21" t="s">
        <v>12949</v>
      </c>
      <c r="G1126" s="21" t="s">
        <v>11775</v>
      </c>
      <c r="H1126" s="21" t="s">
        <v>11720</v>
      </c>
      <c r="I1126" s="21" t="s">
        <v>12850</v>
      </c>
    </row>
    <row r="1127" customFormat="false" ht="28.35" hidden="false" customHeight="false" outlineLevel="0" collapsed="false">
      <c r="B1127" s="19" t="s">
        <v>12953</v>
      </c>
      <c r="C1127" s="20" t="n">
        <f aca="false">ROUND(3.17/FX,2)</f>
        <v>0.44</v>
      </c>
      <c r="D1127" s="21" t="s">
        <v>12084</v>
      </c>
      <c r="E1127" s="21" t="s">
        <v>734</v>
      </c>
      <c r="F1127" s="21" t="s">
        <v>12949</v>
      </c>
      <c r="G1127" s="21" t="s">
        <v>11820</v>
      </c>
      <c r="H1127" s="21" t="s">
        <v>11720</v>
      </c>
      <c r="I1127" s="21" t="s">
        <v>12844</v>
      </c>
    </row>
    <row r="1128" customFormat="false" ht="28.35" hidden="false" customHeight="false" outlineLevel="0" collapsed="false">
      <c r="B1128" s="19" t="s">
        <v>12954</v>
      </c>
      <c r="C1128" s="20" t="n">
        <f aca="false">ROUND(3.17/FX,2)</f>
        <v>0.44</v>
      </c>
      <c r="D1128" s="21" t="s">
        <v>12084</v>
      </c>
      <c r="E1128" s="21" t="s">
        <v>734</v>
      </c>
      <c r="F1128" s="21" t="s">
        <v>12949</v>
      </c>
      <c r="G1128" s="21" t="s">
        <v>11845</v>
      </c>
      <c r="H1128" s="21" t="s">
        <v>11720</v>
      </c>
      <c r="I1128" s="21" t="s">
        <v>12854</v>
      </c>
    </row>
    <row r="1129" customFormat="false" ht="28.35" hidden="false" customHeight="false" outlineLevel="0" collapsed="false">
      <c r="B1129" s="19" t="s">
        <v>12955</v>
      </c>
      <c r="C1129" s="20" t="n">
        <f aca="false">ROUND(10.4/FX,2)</f>
        <v>1.44</v>
      </c>
      <c r="D1129" s="21" t="s">
        <v>12084</v>
      </c>
      <c r="E1129" s="21" t="s">
        <v>12952</v>
      </c>
      <c r="F1129" s="21" t="s">
        <v>12949</v>
      </c>
      <c r="G1129" s="21" t="s">
        <v>11845</v>
      </c>
      <c r="H1129" s="21" t="s">
        <v>11720</v>
      </c>
      <c r="I1129" s="21" t="s">
        <v>12854</v>
      </c>
    </row>
    <row r="1130" customFormat="false" ht="15" hidden="false" customHeight="false" outlineLevel="0" collapsed="false">
      <c r="B1130" s="19" t="s">
        <v>12956</v>
      </c>
      <c r="C1130" s="20" t="n">
        <f aca="false">ROUND(9.75/FX,2)</f>
        <v>1.35</v>
      </c>
      <c r="D1130" s="21" t="s">
        <v>12084</v>
      </c>
      <c r="E1130" s="21" t="s">
        <v>12957</v>
      </c>
      <c r="F1130" s="21" t="s">
        <v>12958</v>
      </c>
      <c r="G1130" s="21" t="s">
        <v>11957</v>
      </c>
      <c r="H1130" s="21" t="s">
        <v>11720</v>
      </c>
      <c r="I1130" s="21" t="s">
        <v>12850</v>
      </c>
    </row>
    <row r="1131" customFormat="false" ht="28.35" hidden="false" customHeight="false" outlineLevel="0" collapsed="false">
      <c r="B1131" s="19" t="s">
        <v>12959</v>
      </c>
      <c r="C1131" s="20" t="n">
        <f aca="false">ROUND(2.47/FX,2)</f>
        <v>0.34</v>
      </c>
      <c r="D1131" s="21" t="s">
        <v>12084</v>
      </c>
      <c r="E1131" s="21" t="s">
        <v>12960</v>
      </c>
      <c r="F1131" s="21" t="s">
        <v>12958</v>
      </c>
      <c r="G1131" s="21" t="s">
        <v>11957</v>
      </c>
      <c r="H1131" s="21" t="s">
        <v>11720</v>
      </c>
      <c r="I1131" s="21" t="s">
        <v>12850</v>
      </c>
    </row>
    <row r="1132" customFormat="false" ht="15" hidden="false" customHeight="false" outlineLevel="0" collapsed="false">
      <c r="B1132" s="19" t="s">
        <v>12961</v>
      </c>
      <c r="C1132" s="20" t="n">
        <f aca="false">ROUND(9.75/FX,2)</f>
        <v>1.35</v>
      </c>
      <c r="D1132" s="21" t="s">
        <v>12084</v>
      </c>
      <c r="E1132" s="21" t="s">
        <v>12957</v>
      </c>
      <c r="F1132" s="21" t="s">
        <v>12958</v>
      </c>
      <c r="G1132" s="21" t="s">
        <v>11719</v>
      </c>
      <c r="H1132" s="21" t="s">
        <v>11720</v>
      </c>
      <c r="I1132" s="21" t="s">
        <v>12850</v>
      </c>
    </row>
    <row r="1133" customFormat="false" ht="28.35" hidden="false" customHeight="false" outlineLevel="0" collapsed="false">
      <c r="B1133" s="19" t="s">
        <v>12962</v>
      </c>
      <c r="C1133" s="20" t="n">
        <f aca="false">ROUND(2.47/FX,2)</f>
        <v>0.34</v>
      </c>
      <c r="D1133" s="21" t="s">
        <v>12084</v>
      </c>
      <c r="E1133" s="21" t="s">
        <v>12960</v>
      </c>
      <c r="F1133" s="21" t="s">
        <v>12958</v>
      </c>
      <c r="G1133" s="21" t="s">
        <v>11719</v>
      </c>
      <c r="H1133" s="21" t="s">
        <v>11720</v>
      </c>
      <c r="I1133" s="21" t="s">
        <v>12850</v>
      </c>
    </row>
    <row r="1134" customFormat="false" ht="28.35" hidden="false" customHeight="false" outlineLevel="0" collapsed="false">
      <c r="B1134" s="19" t="s">
        <v>12963</v>
      </c>
      <c r="C1134" s="20" t="n">
        <f aca="false">ROUND(2.47/FX,2)</f>
        <v>0.34</v>
      </c>
      <c r="D1134" s="21" t="s">
        <v>12084</v>
      </c>
      <c r="E1134" s="21" t="s">
        <v>12960</v>
      </c>
      <c r="F1134" s="21" t="s">
        <v>12958</v>
      </c>
      <c r="G1134" s="21" t="s">
        <v>11746</v>
      </c>
      <c r="H1134" s="21" t="s">
        <v>11720</v>
      </c>
      <c r="I1134" s="21" t="s">
        <v>12850</v>
      </c>
    </row>
    <row r="1135" customFormat="false" ht="15" hidden="false" customHeight="false" outlineLevel="0" collapsed="false">
      <c r="B1135" s="19" t="s">
        <v>12964</v>
      </c>
      <c r="C1135" s="20" t="n">
        <f aca="false">ROUND(9.84/FX,2)</f>
        <v>1.37</v>
      </c>
      <c r="D1135" s="21" t="s">
        <v>12084</v>
      </c>
      <c r="E1135" s="21" t="s">
        <v>12957</v>
      </c>
      <c r="F1135" s="21" t="s">
        <v>12958</v>
      </c>
      <c r="G1135" s="21" t="s">
        <v>11746</v>
      </c>
      <c r="H1135" s="21" t="s">
        <v>11720</v>
      </c>
      <c r="I1135" s="21" t="s">
        <v>12859</v>
      </c>
    </row>
    <row r="1136" customFormat="false" ht="28.35" hidden="false" customHeight="false" outlineLevel="0" collapsed="false">
      <c r="B1136" s="19" t="s">
        <v>12965</v>
      </c>
      <c r="C1136" s="20" t="n">
        <f aca="false">ROUND(2.47/FX,2)</f>
        <v>0.34</v>
      </c>
      <c r="D1136" s="21" t="s">
        <v>12084</v>
      </c>
      <c r="E1136" s="21" t="s">
        <v>12960</v>
      </c>
      <c r="F1136" s="21" t="s">
        <v>12958</v>
      </c>
      <c r="G1136" s="21" t="s">
        <v>11767</v>
      </c>
      <c r="H1136" s="21" t="s">
        <v>11720</v>
      </c>
      <c r="I1136" s="21" t="s">
        <v>12850</v>
      </c>
    </row>
    <row r="1137" customFormat="false" ht="28.35" hidden="false" customHeight="false" outlineLevel="0" collapsed="false">
      <c r="B1137" s="19" t="s">
        <v>12966</v>
      </c>
      <c r="C1137" s="20" t="n">
        <f aca="false">ROUND(2.47/FX,2)</f>
        <v>0.34</v>
      </c>
      <c r="D1137" s="21" t="s">
        <v>12084</v>
      </c>
      <c r="E1137" s="21" t="s">
        <v>12960</v>
      </c>
      <c r="F1137" s="21" t="s">
        <v>12958</v>
      </c>
      <c r="G1137" s="21" t="s">
        <v>11770</v>
      </c>
      <c r="H1137" s="21" t="s">
        <v>11720</v>
      </c>
      <c r="I1137" s="21" t="s">
        <v>12850</v>
      </c>
    </row>
    <row r="1138" customFormat="false" ht="15" hidden="false" customHeight="false" outlineLevel="0" collapsed="false">
      <c r="B1138" s="19" t="s">
        <v>12967</v>
      </c>
      <c r="C1138" s="20" t="n">
        <f aca="false">ROUND(9.75/FX,2)</f>
        <v>1.35</v>
      </c>
      <c r="D1138" s="21" t="s">
        <v>12084</v>
      </c>
      <c r="E1138" s="21" t="s">
        <v>12957</v>
      </c>
      <c r="F1138" s="21" t="s">
        <v>12958</v>
      </c>
      <c r="G1138" s="21" t="s">
        <v>11775</v>
      </c>
      <c r="H1138" s="21" t="s">
        <v>11720</v>
      </c>
      <c r="I1138" s="21" t="s">
        <v>12850</v>
      </c>
    </row>
    <row r="1139" customFormat="false" ht="28.35" hidden="false" customHeight="false" outlineLevel="0" collapsed="false">
      <c r="B1139" s="19" t="s">
        <v>12968</v>
      </c>
      <c r="C1139" s="20" t="n">
        <f aca="false">ROUND(5.19/FX,2)</f>
        <v>0.72</v>
      </c>
      <c r="D1139" s="21" t="s">
        <v>12084</v>
      </c>
      <c r="E1139" s="21" t="s">
        <v>12969</v>
      </c>
      <c r="F1139" s="21" t="s">
        <v>12958</v>
      </c>
      <c r="G1139" s="21" t="s">
        <v>11775</v>
      </c>
      <c r="H1139" s="21" t="s">
        <v>11720</v>
      </c>
      <c r="I1139" s="21" t="s">
        <v>12850</v>
      </c>
    </row>
    <row r="1140" customFormat="false" ht="28.35" hidden="false" customHeight="false" outlineLevel="0" collapsed="false">
      <c r="B1140" s="19" t="s">
        <v>12970</v>
      </c>
      <c r="C1140" s="20" t="n">
        <f aca="false">ROUND(2.57/FX,2)</f>
        <v>0.36</v>
      </c>
      <c r="D1140" s="21" t="s">
        <v>12084</v>
      </c>
      <c r="E1140" s="21" t="s">
        <v>12971</v>
      </c>
      <c r="F1140" s="21" t="s">
        <v>12958</v>
      </c>
      <c r="G1140" s="21" t="s">
        <v>11775</v>
      </c>
      <c r="H1140" s="21" t="s">
        <v>11720</v>
      </c>
      <c r="I1140" s="21" t="s">
        <v>12850</v>
      </c>
    </row>
    <row r="1141" customFormat="false" ht="28.35" hidden="false" customHeight="false" outlineLevel="0" collapsed="false">
      <c r="B1141" s="19" t="s">
        <v>12972</v>
      </c>
      <c r="C1141" s="20" t="n">
        <f aca="false">ROUND(2.47/FX,2)</f>
        <v>0.34</v>
      </c>
      <c r="D1141" s="21" t="s">
        <v>12084</v>
      </c>
      <c r="E1141" s="21" t="s">
        <v>12960</v>
      </c>
      <c r="F1141" s="21" t="s">
        <v>12958</v>
      </c>
      <c r="G1141" s="21" t="s">
        <v>11775</v>
      </c>
      <c r="H1141" s="21" t="s">
        <v>11720</v>
      </c>
      <c r="I1141" s="21" t="s">
        <v>12850</v>
      </c>
    </row>
    <row r="1142" customFormat="false" ht="15" hidden="false" customHeight="false" outlineLevel="0" collapsed="false">
      <c r="B1142" s="19" t="s">
        <v>12973</v>
      </c>
      <c r="C1142" s="20" t="n">
        <f aca="false">ROUND(9.75/FX,2)</f>
        <v>1.35</v>
      </c>
      <c r="D1142" s="21" t="s">
        <v>12084</v>
      </c>
      <c r="E1142" s="21" t="s">
        <v>12957</v>
      </c>
      <c r="F1142" s="21" t="s">
        <v>12958</v>
      </c>
      <c r="G1142" s="21" t="s">
        <v>11820</v>
      </c>
      <c r="H1142" s="21" t="s">
        <v>11720</v>
      </c>
      <c r="I1142" s="21" t="s">
        <v>12850</v>
      </c>
    </row>
    <row r="1143" customFormat="false" ht="28.35" hidden="false" customHeight="false" outlineLevel="0" collapsed="false">
      <c r="B1143" s="19" t="s">
        <v>12974</v>
      </c>
      <c r="C1143" s="20" t="n">
        <f aca="false">ROUND(2.47/FX,2)</f>
        <v>0.34</v>
      </c>
      <c r="D1143" s="21" t="s">
        <v>12084</v>
      </c>
      <c r="E1143" s="21" t="s">
        <v>12960</v>
      </c>
      <c r="F1143" s="21" t="s">
        <v>12958</v>
      </c>
      <c r="G1143" s="21" t="s">
        <v>11820</v>
      </c>
      <c r="H1143" s="21" t="s">
        <v>11720</v>
      </c>
      <c r="I1143" s="21" t="s">
        <v>12850</v>
      </c>
    </row>
    <row r="1144" customFormat="false" ht="28.35" hidden="false" customHeight="false" outlineLevel="0" collapsed="false">
      <c r="B1144" s="19" t="s">
        <v>12975</v>
      </c>
      <c r="C1144" s="20" t="n">
        <f aca="false">ROUND(2.47/FX,2)</f>
        <v>0.34</v>
      </c>
      <c r="D1144" s="21" t="s">
        <v>12084</v>
      </c>
      <c r="E1144" s="21" t="s">
        <v>12960</v>
      </c>
      <c r="F1144" s="21" t="s">
        <v>12958</v>
      </c>
      <c r="G1144" s="21" t="s">
        <v>11845</v>
      </c>
      <c r="H1144" s="21" t="s">
        <v>11720</v>
      </c>
      <c r="I1144" s="21" t="s">
        <v>12850</v>
      </c>
    </row>
    <row r="1145" customFormat="false" ht="15" hidden="false" customHeight="false" outlineLevel="0" collapsed="false">
      <c r="B1145" s="19" t="s">
        <v>12976</v>
      </c>
      <c r="C1145" s="20" t="n">
        <f aca="false">ROUND(9.84/FX,2)</f>
        <v>1.37</v>
      </c>
      <c r="D1145" s="21" t="s">
        <v>12084</v>
      </c>
      <c r="E1145" s="21" t="s">
        <v>12957</v>
      </c>
      <c r="F1145" s="21" t="s">
        <v>12958</v>
      </c>
      <c r="G1145" s="21" t="s">
        <v>11845</v>
      </c>
      <c r="H1145" s="21" t="s">
        <v>11720</v>
      </c>
      <c r="I1145" s="21" t="s">
        <v>12854</v>
      </c>
    </row>
    <row r="1148" customFormat="false" ht="61.5" hidden="false" customHeight="true" outlineLevel="0" collapsed="false">
      <c r="A1148" s="9"/>
      <c r="B1148" s="10" t="s">
        <v>12977</v>
      </c>
      <c r="C1148" s="10"/>
      <c r="D1148" s="10"/>
      <c r="E1148" s="10"/>
      <c r="F1148" s="10"/>
      <c r="G1148" s="10"/>
      <c r="H1148" s="10"/>
      <c r="I1148" s="10"/>
      <c r="J1148" s="10"/>
    </row>
    <row r="1149" customFormat="false" ht="15" hidden="false" customHeight="false" outlineLevel="0" collapsed="false">
      <c r="A1149" s="12" t="s">
        <v>700</v>
      </c>
      <c r="B1149" s="13" t="s">
        <v>701</v>
      </c>
      <c r="C1149" s="13" t="s">
        <v>702</v>
      </c>
      <c r="D1149" s="13" t="s">
        <v>5610</v>
      </c>
      <c r="E1149" s="13" t="s">
        <v>723</v>
      </c>
      <c r="F1149" s="13" t="s">
        <v>6328</v>
      </c>
      <c r="G1149" s="13" t="s">
        <v>11717</v>
      </c>
      <c r="H1149" s="13" t="s">
        <v>11718</v>
      </c>
      <c r="I1149" s="13" t="s">
        <v>12821</v>
      </c>
      <c r="J1149" s="13" t="s">
        <v>12978</v>
      </c>
    </row>
    <row r="1150" customFormat="false" ht="30" hidden="false" customHeight="true" outlineLevel="0" collapsed="false">
      <c r="A1150" s="14" t="s">
        <v>706</v>
      </c>
      <c r="B1150" s="15" t="str">
        <f aca="false">IF(COUNTIFS($D$1153:$D$1311,IF(D1150="","*",D1150),$E$1153:$E$1311,IF(E1150="","*",E1150),$F$1153:$F$1311,IF(F1150="","*",F1150),$G$1153:$G$1311,IF(G1150="","*",G1150),$H$1153:$H$1311,IF(H1150="","*",H1150),$I$1153:$I$1311,IF(I1150="","*",I1150),$J$1153:$J$1311,IF(J1150="","*",J1150))=1,INDEX($B:$B,SUMPRODUCT(((D1150="")+($D$1153:$D$1311=D1150)&gt;0)*((E1150="")+($E$1153:$E$1311=E1150)&gt;0)*((F1150="")+($F$1153:$F$1311=F1150)&gt;0)*((G1150="")+($G$1153:$G$1311=G1150)&gt;0)*((H1150="")+($H$1153:$H$1311=H1150)&gt;0)*((I1150="")+($I$1153:$I$1311=I1150)&gt;0)*((J1150="")+($J$1153:$J$1311=J1150)&gt;0)*ROW($B$1153:$B$1311))),IF(COUNTIFS($D$1153:$D$1311,IF(D1150="","*",D1150),$E$1153:$E$1311,IF(E1150="","*",E1150),$F$1153:$F$1311,IF(F1150="","*",F1150),$G$1153:$G$1311,IF(G1150="","*",G1150),$H$1153:$H$1311,IF(H1150="","*",H1150),$I$1153:$I$1311,IF(I1150="","*",I1150),$J$1153:$J$1311,IF(J1150="","*",J1150))=0,"Not available",COUNTIFS($D$1153:$D$1311,IF(D1150="","*",D1150),$E$1153:$E$1311,IF(E1150="","*",E1150),$F$1153:$F$1311,IF(F1150="","*",F1150),$G$1153:$G$1311,IF(G1150="","*",G1150),$H$1153:$H$1311,IF(H1150="","*",H1150),$I$1153:$I$1311,IF(I1150="","*",I1150),$J$1153:$J$1311,IF(J1150="","*",J1150))&amp;" match, keep choosing"))</f>
        <v>NT-CU-T10-BOX-P2L2-1H-LF</v>
      </c>
      <c r="C1150" s="16" t="n">
        <f aca="false">IF(COUNTIFS($D$1153:$D$1311,IF(D1150="","*",D1150),$E$1153:$E$1311,IF(E1150="","*",E1150),$F$1153:$F$1311,IF(F1150="","*",F1150),$G$1153:$G$1311,IF(G1150="","*",G1150),$H$1153:$H$1311,IF(H1150="","*",H1150),$I$1153:$I$1311,IF(I1150="","*",I1150),$J$1153:$J$1311,IF(J1150="","*",J1150))=1,INDEX($C:$C,SUMPRODUCT(((D1150="")+($D$1153:$D$1311=D1150)&gt;0)*((E1150="")+($E$1153:$E$1311=E1150)&gt;0)*((F1150="")+($F$1153:$F$1311=F1150)&gt;0)*((G1150="")+($G$1153:$G$1311=G1150)&gt;0)*((H1150="")+($H$1153:$H$1311=H1150)&gt;0)*((I1150="")+($I$1153:$I$1311=I1150)&gt;0)*((J1150="")+($J$1153:$J$1311=J1150)&gt;0)*ROW($B$1153:$B$1311))),"")</f>
        <v>2.35</v>
      </c>
      <c r="D1150" s="17" t="s">
        <v>6242</v>
      </c>
      <c r="E1150" s="17" t="s">
        <v>734</v>
      </c>
      <c r="F1150" s="17" t="s">
        <v>12979</v>
      </c>
      <c r="G1150" s="17" t="s">
        <v>11775</v>
      </c>
      <c r="H1150" s="17" t="s">
        <v>11720</v>
      </c>
      <c r="I1150" s="17" t="s">
        <v>12850</v>
      </c>
      <c r="J1150" s="17" t="s">
        <v>12980</v>
      </c>
    </row>
    <row r="1152" customFormat="false" ht="15" hidden="false" customHeight="false" outlineLevel="0" collapsed="false">
      <c r="B1152" s="18" t="s">
        <v>701</v>
      </c>
      <c r="C1152" s="18" t="s">
        <v>702</v>
      </c>
      <c r="D1152" s="18" t="s">
        <v>5610</v>
      </c>
      <c r="E1152" s="18" t="s">
        <v>723</v>
      </c>
      <c r="F1152" s="18" t="s">
        <v>6328</v>
      </c>
      <c r="G1152" s="18" t="s">
        <v>11717</v>
      </c>
      <c r="H1152" s="18" t="s">
        <v>11718</v>
      </c>
      <c r="I1152" s="18" t="s">
        <v>12821</v>
      </c>
      <c r="J1152" s="18" t="s">
        <v>12978</v>
      </c>
    </row>
    <row r="1153" customFormat="false" ht="15" hidden="false" customHeight="false" outlineLevel="0" collapsed="false">
      <c r="B1153" s="19" t="s">
        <v>12981</v>
      </c>
      <c r="C1153" s="20" t="n">
        <f aca="false">ROUND(16.9/FX,2)</f>
        <v>2.35</v>
      </c>
      <c r="D1153" s="21" t="s">
        <v>6242</v>
      </c>
      <c r="E1153" s="21" t="s">
        <v>734</v>
      </c>
      <c r="F1153" s="21" t="s">
        <v>12979</v>
      </c>
      <c r="G1153" s="21" t="s">
        <v>11775</v>
      </c>
      <c r="H1153" s="21" t="s">
        <v>11720</v>
      </c>
      <c r="I1153" s="21" t="s">
        <v>12850</v>
      </c>
      <c r="J1153" s="21" t="s">
        <v>12980</v>
      </c>
    </row>
    <row r="1154" customFormat="false" ht="28.35" hidden="false" customHeight="false" outlineLevel="0" collapsed="false">
      <c r="B1154" s="19" t="s">
        <v>12982</v>
      </c>
      <c r="C1154" s="20" t="n">
        <f aca="false">ROUND(4.94/FX,2)</f>
        <v>0.69</v>
      </c>
      <c r="D1154" s="21" t="s">
        <v>6242</v>
      </c>
      <c r="E1154" s="21" t="s">
        <v>734</v>
      </c>
      <c r="F1154" s="21" t="s">
        <v>12843</v>
      </c>
      <c r="G1154" s="21" t="s">
        <v>11719</v>
      </c>
      <c r="H1154" s="21" t="s">
        <v>11720</v>
      </c>
      <c r="I1154" s="21" t="s">
        <v>12857</v>
      </c>
      <c r="J1154" s="21" t="s">
        <v>12983</v>
      </c>
    </row>
    <row r="1155" customFormat="false" ht="28.35" hidden="false" customHeight="false" outlineLevel="0" collapsed="false">
      <c r="B1155" s="19" t="s">
        <v>12984</v>
      </c>
      <c r="C1155" s="20" t="n">
        <f aca="false">ROUND(6.89/FX,2)</f>
        <v>0.96</v>
      </c>
      <c r="D1155" s="21" t="s">
        <v>6242</v>
      </c>
      <c r="E1155" s="21" t="s">
        <v>734</v>
      </c>
      <c r="F1155" s="21" t="s">
        <v>12843</v>
      </c>
      <c r="G1155" s="21" t="s">
        <v>11775</v>
      </c>
      <c r="H1155" s="21" t="s">
        <v>11720</v>
      </c>
      <c r="I1155" s="21" t="s">
        <v>12850</v>
      </c>
      <c r="J1155" s="21" t="s">
        <v>12983</v>
      </c>
    </row>
    <row r="1156" customFormat="false" ht="28.35" hidden="false" customHeight="false" outlineLevel="0" collapsed="false">
      <c r="B1156" s="19" t="s">
        <v>12985</v>
      </c>
      <c r="C1156" s="20" t="n">
        <f aca="false">ROUND(4.94/FX,2)</f>
        <v>0.69</v>
      </c>
      <c r="D1156" s="21" t="s">
        <v>6242</v>
      </c>
      <c r="E1156" s="21" t="s">
        <v>734</v>
      </c>
      <c r="F1156" s="21" t="s">
        <v>12843</v>
      </c>
      <c r="G1156" s="21" t="s">
        <v>11820</v>
      </c>
      <c r="H1156" s="21" t="s">
        <v>11720</v>
      </c>
      <c r="I1156" s="21" t="s">
        <v>12844</v>
      </c>
      <c r="J1156" s="21" t="s">
        <v>12983</v>
      </c>
    </row>
    <row r="1157" customFormat="false" ht="15" hidden="false" customHeight="false" outlineLevel="0" collapsed="false">
      <c r="B1157" s="19" t="s">
        <v>12986</v>
      </c>
      <c r="C1157" s="20" t="n">
        <f aca="false">ROUND(4.55/FX,2)</f>
        <v>0.63</v>
      </c>
      <c r="D1157" s="21" t="s">
        <v>6242</v>
      </c>
      <c r="E1157" s="21" t="s">
        <v>734</v>
      </c>
      <c r="F1157" s="21" t="s">
        <v>12987</v>
      </c>
      <c r="G1157" s="21" t="s">
        <v>11775</v>
      </c>
      <c r="H1157" s="21" t="s">
        <v>11720</v>
      </c>
      <c r="I1157" s="21" t="s">
        <v>12850</v>
      </c>
      <c r="J1157" s="21" t="s">
        <v>12983</v>
      </c>
    </row>
    <row r="1158" customFormat="false" ht="15" hidden="false" customHeight="false" outlineLevel="0" collapsed="false">
      <c r="B1158" s="19" t="s">
        <v>12988</v>
      </c>
      <c r="C1158" s="20" t="n">
        <f aca="false">ROUND(10.4/FX,2)</f>
        <v>1.44</v>
      </c>
      <c r="D1158" s="21" t="s">
        <v>6242</v>
      </c>
      <c r="E1158" s="21" t="s">
        <v>734</v>
      </c>
      <c r="F1158" s="21" t="s">
        <v>12989</v>
      </c>
      <c r="G1158" s="21" t="s">
        <v>11957</v>
      </c>
      <c r="H1158" s="21" t="s">
        <v>11720</v>
      </c>
      <c r="I1158" s="21" t="s">
        <v>12850</v>
      </c>
      <c r="J1158" s="21" t="s">
        <v>12980</v>
      </c>
    </row>
    <row r="1159" customFormat="false" ht="15" hidden="false" customHeight="false" outlineLevel="0" collapsed="false">
      <c r="B1159" s="19" t="s">
        <v>12990</v>
      </c>
      <c r="C1159" s="20" t="n">
        <f aca="false">ROUND(5.59/FX,2)</f>
        <v>0.78</v>
      </c>
      <c r="D1159" s="21" t="s">
        <v>6242</v>
      </c>
      <c r="E1159" s="21" t="s">
        <v>734</v>
      </c>
      <c r="F1159" s="21" t="s">
        <v>12989</v>
      </c>
      <c r="G1159" s="21" t="s">
        <v>11719</v>
      </c>
      <c r="H1159" s="21" t="s">
        <v>11720</v>
      </c>
      <c r="I1159" s="21" t="s">
        <v>12857</v>
      </c>
      <c r="J1159" s="21" t="s">
        <v>12983</v>
      </c>
    </row>
    <row r="1160" customFormat="false" ht="15" hidden="false" customHeight="false" outlineLevel="0" collapsed="false">
      <c r="B1160" s="19" t="s">
        <v>12991</v>
      </c>
      <c r="C1160" s="20" t="n">
        <f aca="false">ROUND(5.59/FX,2)</f>
        <v>0.78</v>
      </c>
      <c r="D1160" s="21" t="s">
        <v>6242</v>
      </c>
      <c r="E1160" s="21" t="s">
        <v>734</v>
      </c>
      <c r="F1160" s="21" t="s">
        <v>12989</v>
      </c>
      <c r="G1160" s="21" t="s">
        <v>11746</v>
      </c>
      <c r="H1160" s="21" t="s">
        <v>11720</v>
      </c>
      <c r="I1160" s="21" t="s">
        <v>12859</v>
      </c>
      <c r="J1160" s="21" t="s">
        <v>12983</v>
      </c>
    </row>
    <row r="1161" customFormat="false" ht="15" hidden="false" customHeight="false" outlineLevel="0" collapsed="false">
      <c r="B1161" s="19" t="s">
        <v>12992</v>
      </c>
      <c r="C1161" s="20" t="n">
        <f aca="false">ROUND(5.59/FX,2)</f>
        <v>0.78</v>
      </c>
      <c r="D1161" s="21" t="s">
        <v>6242</v>
      </c>
      <c r="E1161" s="21" t="s">
        <v>734</v>
      </c>
      <c r="F1161" s="21" t="s">
        <v>12989</v>
      </c>
      <c r="G1161" s="21" t="s">
        <v>11767</v>
      </c>
      <c r="H1161" s="21" t="s">
        <v>11720</v>
      </c>
      <c r="I1161" s="21" t="s">
        <v>12906</v>
      </c>
      <c r="J1161" s="21" t="s">
        <v>12983</v>
      </c>
    </row>
    <row r="1162" customFormat="false" ht="15" hidden="false" customHeight="false" outlineLevel="0" collapsed="false">
      <c r="B1162" s="19" t="s">
        <v>12993</v>
      </c>
      <c r="C1162" s="20" t="n">
        <f aca="false">ROUND(6.83/FX,2)</f>
        <v>0.95</v>
      </c>
      <c r="D1162" s="21" t="s">
        <v>6242</v>
      </c>
      <c r="E1162" s="21" t="s">
        <v>734</v>
      </c>
      <c r="F1162" s="21" t="s">
        <v>12989</v>
      </c>
      <c r="G1162" s="21" t="s">
        <v>11770</v>
      </c>
      <c r="H1162" s="21" t="s">
        <v>11720</v>
      </c>
      <c r="I1162" s="21" t="s">
        <v>12908</v>
      </c>
      <c r="J1162" s="21" t="s">
        <v>12983</v>
      </c>
    </row>
    <row r="1163" customFormat="false" ht="15" hidden="false" customHeight="false" outlineLevel="0" collapsed="false">
      <c r="B1163" s="19" t="s">
        <v>12994</v>
      </c>
      <c r="C1163" s="20" t="n">
        <f aca="false">ROUND(4.29/FX,2)</f>
        <v>0.6</v>
      </c>
      <c r="D1163" s="21" t="s">
        <v>6242</v>
      </c>
      <c r="E1163" s="21" t="s">
        <v>734</v>
      </c>
      <c r="F1163" s="21" t="s">
        <v>12989</v>
      </c>
      <c r="G1163" s="21" t="s">
        <v>11775</v>
      </c>
      <c r="H1163" s="21" t="s">
        <v>11720</v>
      </c>
      <c r="I1163" s="21" t="s">
        <v>12850</v>
      </c>
      <c r="J1163" s="21" t="s">
        <v>12980</v>
      </c>
    </row>
    <row r="1164" customFormat="false" ht="15" hidden="false" customHeight="false" outlineLevel="0" collapsed="false">
      <c r="B1164" s="19" t="s">
        <v>12995</v>
      </c>
      <c r="C1164" s="20" t="n">
        <f aca="false">ROUND(5.59/FX,2)</f>
        <v>0.78</v>
      </c>
      <c r="D1164" s="21" t="s">
        <v>6242</v>
      </c>
      <c r="E1164" s="21" t="s">
        <v>734</v>
      </c>
      <c r="F1164" s="21" t="s">
        <v>12989</v>
      </c>
      <c r="G1164" s="21" t="s">
        <v>11775</v>
      </c>
      <c r="H1164" s="21" t="s">
        <v>11720</v>
      </c>
      <c r="I1164" s="21" t="s">
        <v>12850</v>
      </c>
      <c r="J1164" s="21" t="s">
        <v>12983</v>
      </c>
    </row>
    <row r="1165" customFormat="false" ht="15" hidden="false" customHeight="false" outlineLevel="0" collapsed="false">
      <c r="B1165" s="19" t="s">
        <v>12996</v>
      </c>
      <c r="C1165" s="20" t="n">
        <f aca="false">ROUND(5.59/FX,2)</f>
        <v>0.78</v>
      </c>
      <c r="D1165" s="21" t="s">
        <v>6242</v>
      </c>
      <c r="E1165" s="21" t="s">
        <v>734</v>
      </c>
      <c r="F1165" s="21" t="s">
        <v>12989</v>
      </c>
      <c r="G1165" s="21" t="s">
        <v>11775</v>
      </c>
      <c r="H1165" s="21" t="s">
        <v>11810</v>
      </c>
      <c r="I1165" s="21" t="s">
        <v>12850</v>
      </c>
      <c r="J1165" s="21" t="s">
        <v>12983</v>
      </c>
    </row>
    <row r="1166" customFormat="false" ht="15" hidden="false" customHeight="false" outlineLevel="0" collapsed="false">
      <c r="B1166" s="19" t="s">
        <v>12997</v>
      </c>
      <c r="C1166" s="20" t="n">
        <f aca="false">ROUND(5.85/FX,2)</f>
        <v>0.81</v>
      </c>
      <c r="D1166" s="21" t="s">
        <v>6242</v>
      </c>
      <c r="E1166" s="21" t="s">
        <v>734</v>
      </c>
      <c r="F1166" s="21" t="s">
        <v>12989</v>
      </c>
      <c r="G1166" s="21" t="s">
        <v>11812</v>
      </c>
      <c r="H1166" s="21" t="s">
        <v>11720</v>
      </c>
      <c r="I1166" s="21" t="s">
        <v>12998</v>
      </c>
      <c r="J1166" s="21" t="s">
        <v>12980</v>
      </c>
    </row>
    <row r="1167" customFormat="false" ht="15" hidden="false" customHeight="false" outlineLevel="0" collapsed="false">
      <c r="B1167" s="19" t="s">
        <v>12999</v>
      </c>
      <c r="C1167" s="20" t="n">
        <f aca="false">ROUND(4.29/FX,2)</f>
        <v>0.6</v>
      </c>
      <c r="D1167" s="21" t="s">
        <v>6242</v>
      </c>
      <c r="E1167" s="21" t="s">
        <v>734</v>
      </c>
      <c r="F1167" s="21" t="s">
        <v>12989</v>
      </c>
      <c r="G1167" s="21" t="s">
        <v>11820</v>
      </c>
      <c r="H1167" s="21" t="s">
        <v>11720</v>
      </c>
      <c r="I1167" s="21" t="s">
        <v>12844</v>
      </c>
      <c r="J1167" s="21" t="s">
        <v>12980</v>
      </c>
    </row>
    <row r="1168" customFormat="false" ht="15" hidden="false" customHeight="false" outlineLevel="0" collapsed="false">
      <c r="B1168" s="19" t="s">
        <v>13000</v>
      </c>
      <c r="C1168" s="20" t="n">
        <f aca="false">ROUND(6.89/FX,2)</f>
        <v>0.96</v>
      </c>
      <c r="D1168" s="21" t="s">
        <v>6242</v>
      </c>
      <c r="E1168" s="21" t="s">
        <v>734</v>
      </c>
      <c r="F1168" s="21" t="s">
        <v>12989</v>
      </c>
      <c r="G1168" s="21" t="s">
        <v>11820</v>
      </c>
      <c r="H1168" s="21" t="s">
        <v>11720</v>
      </c>
      <c r="I1168" s="21" t="s">
        <v>12844</v>
      </c>
      <c r="J1168" s="21" t="s">
        <v>12983</v>
      </c>
    </row>
    <row r="1169" customFormat="false" ht="15" hidden="false" customHeight="false" outlineLevel="0" collapsed="false">
      <c r="B1169" s="19" t="s">
        <v>13001</v>
      </c>
      <c r="C1169" s="20" t="n">
        <f aca="false">ROUND(5.59/FX,2)</f>
        <v>0.78</v>
      </c>
      <c r="D1169" s="21" t="s">
        <v>6242</v>
      </c>
      <c r="E1169" s="21" t="s">
        <v>734</v>
      </c>
      <c r="F1169" s="21" t="s">
        <v>12989</v>
      </c>
      <c r="G1169" s="21" t="s">
        <v>11843</v>
      </c>
      <c r="H1169" s="21" t="s">
        <v>11720</v>
      </c>
      <c r="I1169" s="21" t="s">
        <v>13002</v>
      </c>
      <c r="J1169" s="21" t="s">
        <v>12983</v>
      </c>
    </row>
    <row r="1170" customFormat="false" ht="15" hidden="false" customHeight="false" outlineLevel="0" collapsed="false">
      <c r="B1170" s="19" t="s">
        <v>13003</v>
      </c>
      <c r="C1170" s="20" t="n">
        <f aca="false">ROUND(4.55/FX,2)</f>
        <v>0.63</v>
      </c>
      <c r="D1170" s="21" t="s">
        <v>6242</v>
      </c>
      <c r="E1170" s="21" t="s">
        <v>734</v>
      </c>
      <c r="F1170" s="21" t="s">
        <v>12989</v>
      </c>
      <c r="G1170" s="21" t="s">
        <v>11845</v>
      </c>
      <c r="H1170" s="21" t="s">
        <v>11720</v>
      </c>
      <c r="I1170" s="21" t="s">
        <v>12854</v>
      </c>
      <c r="J1170" s="21" t="s">
        <v>12980</v>
      </c>
    </row>
    <row r="1171" customFormat="false" ht="15" hidden="false" customHeight="false" outlineLevel="0" collapsed="false">
      <c r="B1171" s="19" t="s">
        <v>13004</v>
      </c>
      <c r="C1171" s="20" t="n">
        <f aca="false">ROUND(5.59/FX,2)</f>
        <v>0.78</v>
      </c>
      <c r="D1171" s="21" t="s">
        <v>6242</v>
      </c>
      <c r="E1171" s="21" t="s">
        <v>734</v>
      </c>
      <c r="F1171" s="21" t="s">
        <v>12989</v>
      </c>
      <c r="G1171" s="21" t="s">
        <v>11845</v>
      </c>
      <c r="H1171" s="21" t="s">
        <v>11720</v>
      </c>
      <c r="I1171" s="21" t="s">
        <v>12854</v>
      </c>
      <c r="J1171" s="21" t="s">
        <v>12983</v>
      </c>
    </row>
    <row r="1172" customFormat="false" ht="15" hidden="false" customHeight="false" outlineLevel="0" collapsed="false">
      <c r="B1172" s="19" t="s">
        <v>13005</v>
      </c>
      <c r="C1172" s="20" t="n">
        <f aca="false">ROUND(5.59/FX,2)</f>
        <v>0.78</v>
      </c>
      <c r="D1172" s="21" t="s">
        <v>6242</v>
      </c>
      <c r="E1172" s="21" t="s">
        <v>734</v>
      </c>
      <c r="F1172" s="21" t="s">
        <v>12989</v>
      </c>
      <c r="G1172" s="21" t="s">
        <v>11845</v>
      </c>
      <c r="H1172" s="21" t="s">
        <v>11810</v>
      </c>
      <c r="I1172" s="21" t="s">
        <v>12854</v>
      </c>
      <c r="J1172" s="21" t="s">
        <v>12983</v>
      </c>
    </row>
    <row r="1173" customFormat="false" ht="15" hidden="false" customHeight="false" outlineLevel="0" collapsed="false">
      <c r="B1173" s="19" t="s">
        <v>13006</v>
      </c>
      <c r="C1173" s="20" t="n">
        <f aca="false">ROUND(5.59/FX,2)</f>
        <v>0.78</v>
      </c>
      <c r="D1173" s="21" t="s">
        <v>6242</v>
      </c>
      <c r="E1173" s="21" t="s">
        <v>734</v>
      </c>
      <c r="F1173" s="21" t="s">
        <v>12989</v>
      </c>
      <c r="G1173" s="21" t="s">
        <v>11874</v>
      </c>
      <c r="H1173" s="21" t="s">
        <v>11720</v>
      </c>
      <c r="I1173" s="21" t="s">
        <v>12850</v>
      </c>
      <c r="J1173" s="21" t="s">
        <v>12983</v>
      </c>
    </row>
    <row r="1174" customFormat="false" ht="28.35" hidden="false" customHeight="false" outlineLevel="0" collapsed="false">
      <c r="B1174" s="19" t="s">
        <v>13007</v>
      </c>
      <c r="C1174" s="20" t="n">
        <f aca="false">ROUND(5.72/FX,2)</f>
        <v>0.79</v>
      </c>
      <c r="D1174" s="21" t="s">
        <v>11888</v>
      </c>
      <c r="E1174" s="21" t="s">
        <v>734</v>
      </c>
      <c r="F1174" s="21" t="s">
        <v>12843</v>
      </c>
      <c r="G1174" s="21" t="s">
        <v>11820</v>
      </c>
      <c r="H1174" s="21" t="s">
        <v>11720</v>
      </c>
      <c r="I1174" s="21" t="s">
        <v>12844</v>
      </c>
      <c r="J1174" s="21" t="s">
        <v>12980</v>
      </c>
    </row>
    <row r="1175" customFormat="false" ht="28.35" hidden="false" customHeight="false" outlineLevel="0" collapsed="false">
      <c r="B1175" s="19" t="s">
        <v>13008</v>
      </c>
      <c r="C1175" s="20" t="n">
        <f aca="false">ROUND(7.8/FX,2)</f>
        <v>1.08</v>
      </c>
      <c r="D1175" s="21" t="s">
        <v>11888</v>
      </c>
      <c r="E1175" s="21" t="s">
        <v>734</v>
      </c>
      <c r="F1175" s="21" t="s">
        <v>12843</v>
      </c>
      <c r="G1175" s="21" t="s">
        <v>11820</v>
      </c>
      <c r="H1175" s="21" t="s">
        <v>11720</v>
      </c>
      <c r="I1175" s="21" t="s">
        <v>12844</v>
      </c>
      <c r="J1175" s="21" t="s">
        <v>12983</v>
      </c>
    </row>
    <row r="1176" customFormat="false" ht="28.35" hidden="false" customHeight="false" outlineLevel="0" collapsed="false">
      <c r="B1176" s="19" t="s">
        <v>13009</v>
      </c>
      <c r="C1176" s="20" t="n">
        <f aca="false">ROUND(7.8/FX,2)</f>
        <v>1.08</v>
      </c>
      <c r="D1176" s="21" t="s">
        <v>11888</v>
      </c>
      <c r="E1176" s="21" t="s">
        <v>734</v>
      </c>
      <c r="F1176" s="21" t="s">
        <v>12843</v>
      </c>
      <c r="G1176" s="21" t="s">
        <v>11874</v>
      </c>
      <c r="H1176" s="21" t="s">
        <v>11720</v>
      </c>
      <c r="I1176" s="21" t="s">
        <v>12850</v>
      </c>
      <c r="J1176" s="21" t="s">
        <v>12983</v>
      </c>
    </row>
    <row r="1177" customFormat="false" ht="15" hidden="false" customHeight="false" outlineLevel="0" collapsed="false">
      <c r="B1177" s="19" t="s">
        <v>13010</v>
      </c>
      <c r="C1177" s="20" t="n">
        <f aca="false">ROUND(11.7/FX,2)</f>
        <v>1.63</v>
      </c>
      <c r="D1177" s="21" t="s">
        <v>11888</v>
      </c>
      <c r="E1177" s="21" t="s">
        <v>734</v>
      </c>
      <c r="F1177" s="21" t="s">
        <v>12989</v>
      </c>
      <c r="G1177" s="21" t="s">
        <v>11719</v>
      </c>
      <c r="H1177" s="21" t="s">
        <v>11720</v>
      </c>
      <c r="I1177" s="21" t="s">
        <v>12857</v>
      </c>
      <c r="J1177" s="21" t="s">
        <v>12983</v>
      </c>
    </row>
    <row r="1178" customFormat="false" ht="15" hidden="false" customHeight="false" outlineLevel="0" collapsed="false">
      <c r="B1178" s="19" t="s">
        <v>13011</v>
      </c>
      <c r="C1178" s="20" t="n">
        <f aca="false">ROUND(11.7/FX,2)</f>
        <v>1.63</v>
      </c>
      <c r="D1178" s="21" t="s">
        <v>11888</v>
      </c>
      <c r="E1178" s="21" t="s">
        <v>734</v>
      </c>
      <c r="F1178" s="21" t="s">
        <v>12989</v>
      </c>
      <c r="G1178" s="21" t="s">
        <v>11746</v>
      </c>
      <c r="H1178" s="21" t="s">
        <v>11720</v>
      </c>
      <c r="I1178" s="21" t="s">
        <v>12859</v>
      </c>
      <c r="J1178" s="21" t="s">
        <v>12983</v>
      </c>
    </row>
    <row r="1179" customFormat="false" ht="15" hidden="false" customHeight="false" outlineLevel="0" collapsed="false">
      <c r="B1179" s="19" t="s">
        <v>13012</v>
      </c>
      <c r="C1179" s="20" t="n">
        <f aca="false">ROUND(11.7/FX,2)</f>
        <v>1.63</v>
      </c>
      <c r="D1179" s="21" t="s">
        <v>11888</v>
      </c>
      <c r="E1179" s="21" t="s">
        <v>734</v>
      </c>
      <c r="F1179" s="21" t="s">
        <v>12989</v>
      </c>
      <c r="G1179" s="21" t="s">
        <v>11767</v>
      </c>
      <c r="H1179" s="21" t="s">
        <v>11720</v>
      </c>
      <c r="I1179" s="21" t="s">
        <v>12906</v>
      </c>
      <c r="J1179" s="21" t="s">
        <v>12983</v>
      </c>
    </row>
    <row r="1180" customFormat="false" ht="15" hidden="false" customHeight="false" outlineLevel="0" collapsed="false">
      <c r="B1180" s="19" t="s">
        <v>13013</v>
      </c>
      <c r="C1180" s="20" t="n">
        <f aca="false">ROUND(5.85/FX,2)</f>
        <v>0.81</v>
      </c>
      <c r="D1180" s="21" t="s">
        <v>11888</v>
      </c>
      <c r="E1180" s="21" t="s">
        <v>734</v>
      </c>
      <c r="F1180" s="21" t="s">
        <v>12989</v>
      </c>
      <c r="G1180" s="21" t="s">
        <v>11775</v>
      </c>
      <c r="H1180" s="21" t="s">
        <v>11720</v>
      </c>
      <c r="I1180" s="21" t="s">
        <v>12850</v>
      </c>
      <c r="J1180" s="21" t="s">
        <v>12980</v>
      </c>
    </row>
    <row r="1181" customFormat="false" ht="15" hidden="false" customHeight="false" outlineLevel="0" collapsed="false">
      <c r="B1181" s="19" t="s">
        <v>13014</v>
      </c>
      <c r="C1181" s="20" t="n">
        <f aca="false">ROUND(11.7/FX,2)</f>
        <v>1.63</v>
      </c>
      <c r="D1181" s="21" t="s">
        <v>11888</v>
      </c>
      <c r="E1181" s="21" t="s">
        <v>734</v>
      </c>
      <c r="F1181" s="21" t="s">
        <v>12989</v>
      </c>
      <c r="G1181" s="21" t="s">
        <v>11775</v>
      </c>
      <c r="H1181" s="21" t="s">
        <v>11720</v>
      </c>
      <c r="I1181" s="21" t="s">
        <v>12850</v>
      </c>
      <c r="J1181" s="21" t="s">
        <v>12983</v>
      </c>
    </row>
    <row r="1182" customFormat="false" ht="15" hidden="false" customHeight="false" outlineLevel="0" collapsed="false">
      <c r="B1182" s="19" t="s">
        <v>13015</v>
      </c>
      <c r="C1182" s="20" t="n">
        <f aca="false">ROUND(11.7/FX,2)</f>
        <v>1.63</v>
      </c>
      <c r="D1182" s="21" t="s">
        <v>11888</v>
      </c>
      <c r="E1182" s="21" t="s">
        <v>734</v>
      </c>
      <c r="F1182" s="21" t="s">
        <v>12989</v>
      </c>
      <c r="G1182" s="21" t="s">
        <v>11812</v>
      </c>
      <c r="H1182" s="21" t="s">
        <v>11720</v>
      </c>
      <c r="I1182" s="21" t="s">
        <v>12998</v>
      </c>
      <c r="J1182" s="21" t="s">
        <v>12983</v>
      </c>
    </row>
    <row r="1183" customFormat="false" ht="15" hidden="false" customHeight="false" outlineLevel="0" collapsed="false">
      <c r="B1183" s="19" t="s">
        <v>13016</v>
      </c>
      <c r="C1183" s="20" t="n">
        <f aca="false">ROUND(11.7/FX,2)</f>
        <v>1.63</v>
      </c>
      <c r="D1183" s="21" t="s">
        <v>11888</v>
      </c>
      <c r="E1183" s="21" t="s">
        <v>734</v>
      </c>
      <c r="F1183" s="21" t="s">
        <v>12989</v>
      </c>
      <c r="G1183" s="21" t="s">
        <v>11820</v>
      </c>
      <c r="H1183" s="21" t="s">
        <v>11720</v>
      </c>
      <c r="I1183" s="21" t="s">
        <v>12844</v>
      </c>
      <c r="J1183" s="21" t="s">
        <v>12983</v>
      </c>
    </row>
    <row r="1184" customFormat="false" ht="15" hidden="false" customHeight="false" outlineLevel="0" collapsed="false">
      <c r="B1184" s="19" t="s">
        <v>13017</v>
      </c>
      <c r="C1184" s="20" t="n">
        <f aca="false">ROUND(5.85/FX,2)</f>
        <v>0.81</v>
      </c>
      <c r="D1184" s="21" t="s">
        <v>11888</v>
      </c>
      <c r="E1184" s="21" t="s">
        <v>734</v>
      </c>
      <c r="F1184" s="21" t="s">
        <v>12989</v>
      </c>
      <c r="G1184" s="21" t="s">
        <v>11845</v>
      </c>
      <c r="H1184" s="21" t="s">
        <v>11720</v>
      </c>
      <c r="I1184" s="21" t="s">
        <v>12854</v>
      </c>
      <c r="J1184" s="21" t="s">
        <v>12980</v>
      </c>
    </row>
    <row r="1185" customFormat="false" ht="15" hidden="false" customHeight="false" outlineLevel="0" collapsed="false">
      <c r="B1185" s="19" t="s">
        <v>13018</v>
      </c>
      <c r="C1185" s="20" t="n">
        <f aca="false">ROUND(11.7/FX,2)</f>
        <v>1.63</v>
      </c>
      <c r="D1185" s="21" t="s">
        <v>11888</v>
      </c>
      <c r="E1185" s="21" t="s">
        <v>734</v>
      </c>
      <c r="F1185" s="21" t="s">
        <v>12989</v>
      </c>
      <c r="G1185" s="21" t="s">
        <v>11845</v>
      </c>
      <c r="H1185" s="21" t="s">
        <v>11720</v>
      </c>
      <c r="I1185" s="21" t="s">
        <v>12854</v>
      </c>
      <c r="J1185" s="21" t="s">
        <v>12983</v>
      </c>
    </row>
    <row r="1186" customFormat="false" ht="15" hidden="false" customHeight="false" outlineLevel="0" collapsed="false">
      <c r="B1186" s="19" t="s">
        <v>13019</v>
      </c>
      <c r="C1186" s="20" t="n">
        <f aca="false">ROUND(11.7/FX,2)</f>
        <v>1.63</v>
      </c>
      <c r="D1186" s="21" t="s">
        <v>11888</v>
      </c>
      <c r="E1186" s="21" t="s">
        <v>734</v>
      </c>
      <c r="F1186" s="21" t="s">
        <v>12989</v>
      </c>
      <c r="G1186" s="21" t="s">
        <v>11874</v>
      </c>
      <c r="H1186" s="21" t="s">
        <v>11720</v>
      </c>
      <c r="I1186" s="21" t="s">
        <v>12850</v>
      </c>
      <c r="J1186" s="21" t="s">
        <v>12983</v>
      </c>
    </row>
    <row r="1187" customFormat="false" ht="15" hidden="false" customHeight="false" outlineLevel="0" collapsed="false">
      <c r="B1187" s="19" t="s">
        <v>13020</v>
      </c>
      <c r="C1187" s="20" t="n">
        <f aca="false">ROUND(7.54/FX,2)</f>
        <v>1.05</v>
      </c>
      <c r="D1187" s="21" t="s">
        <v>11888</v>
      </c>
      <c r="E1187" s="21" t="s">
        <v>734</v>
      </c>
      <c r="F1187" s="21" t="s">
        <v>12989</v>
      </c>
      <c r="G1187" s="21" t="s">
        <v>11922</v>
      </c>
      <c r="H1187" s="21" t="s">
        <v>11720</v>
      </c>
      <c r="I1187" s="21" t="s">
        <v>12844</v>
      </c>
      <c r="J1187" s="21" t="s">
        <v>12980</v>
      </c>
    </row>
    <row r="1188" customFormat="false" ht="15" hidden="false" customHeight="false" outlineLevel="0" collapsed="false">
      <c r="B1188" s="19" t="s">
        <v>13021</v>
      </c>
      <c r="C1188" s="20" t="n">
        <f aca="false">ROUND(11.7/FX,2)</f>
        <v>1.63</v>
      </c>
      <c r="D1188" s="21" t="s">
        <v>11888</v>
      </c>
      <c r="E1188" s="21" t="s">
        <v>734</v>
      </c>
      <c r="F1188" s="21" t="s">
        <v>12989</v>
      </c>
      <c r="G1188" s="21" t="s">
        <v>12633</v>
      </c>
      <c r="H1188" s="21" t="s">
        <v>11720</v>
      </c>
      <c r="I1188" s="21" t="s">
        <v>12857</v>
      </c>
      <c r="J1188" s="21" t="s">
        <v>12983</v>
      </c>
    </row>
    <row r="1189" customFormat="false" ht="15" hidden="false" customHeight="false" outlineLevel="0" collapsed="false">
      <c r="B1189" s="19" t="s">
        <v>13022</v>
      </c>
      <c r="C1189" s="20" t="n">
        <f aca="false">ROUND(26/FX,2)</f>
        <v>3.61</v>
      </c>
      <c r="D1189" s="21" t="s">
        <v>12635</v>
      </c>
      <c r="E1189" s="21" t="s">
        <v>734</v>
      </c>
      <c r="F1189" s="21" t="s">
        <v>12979</v>
      </c>
      <c r="G1189" s="21" t="s">
        <v>11874</v>
      </c>
      <c r="H1189" s="21" t="s">
        <v>11720</v>
      </c>
      <c r="I1189" s="21" t="s">
        <v>12850</v>
      </c>
      <c r="J1189" s="21" t="s">
        <v>12980</v>
      </c>
    </row>
    <row r="1190" customFormat="false" ht="15" hidden="false" customHeight="false" outlineLevel="0" collapsed="false">
      <c r="B1190" s="19" t="s">
        <v>13023</v>
      </c>
      <c r="C1190" s="20" t="n">
        <f aca="false">ROUND(26/FX,2)</f>
        <v>3.61</v>
      </c>
      <c r="D1190" s="21" t="s">
        <v>12635</v>
      </c>
      <c r="E1190" s="21" t="s">
        <v>734</v>
      </c>
      <c r="F1190" s="21" t="s">
        <v>12979</v>
      </c>
      <c r="G1190" s="21" t="s">
        <v>11874</v>
      </c>
      <c r="H1190" s="21" t="s">
        <v>11810</v>
      </c>
      <c r="I1190" s="21" t="s">
        <v>12850</v>
      </c>
      <c r="J1190" s="21" t="s">
        <v>12980</v>
      </c>
    </row>
    <row r="1191" customFormat="false" ht="28.35" hidden="false" customHeight="false" outlineLevel="0" collapsed="false">
      <c r="B1191" s="19" t="s">
        <v>13024</v>
      </c>
      <c r="C1191" s="20" t="n">
        <f aca="false">ROUND(11.7/FX,2)</f>
        <v>1.63</v>
      </c>
      <c r="D1191" s="21" t="s">
        <v>12635</v>
      </c>
      <c r="E1191" s="21" t="s">
        <v>13025</v>
      </c>
      <c r="F1191" s="21" t="s">
        <v>12843</v>
      </c>
      <c r="G1191" s="21" t="s">
        <v>11775</v>
      </c>
      <c r="H1191" s="21" t="s">
        <v>11720</v>
      </c>
      <c r="I1191" s="21" t="s">
        <v>12850</v>
      </c>
      <c r="J1191" s="21" t="s">
        <v>12980</v>
      </c>
    </row>
    <row r="1192" customFormat="false" ht="28.35" hidden="false" customHeight="false" outlineLevel="0" collapsed="false">
      <c r="B1192" s="19" t="s">
        <v>13026</v>
      </c>
      <c r="C1192" s="20" t="n">
        <f aca="false">ROUND(6.89/FX,2)</f>
        <v>0.96</v>
      </c>
      <c r="D1192" s="21" t="s">
        <v>12635</v>
      </c>
      <c r="E1192" s="21" t="s">
        <v>734</v>
      </c>
      <c r="F1192" s="21" t="s">
        <v>12843</v>
      </c>
      <c r="G1192" s="21" t="s">
        <v>11874</v>
      </c>
      <c r="H1192" s="21" t="s">
        <v>11720</v>
      </c>
      <c r="I1192" s="21" t="s">
        <v>12850</v>
      </c>
      <c r="J1192" s="21" t="s">
        <v>12980</v>
      </c>
    </row>
    <row r="1193" customFormat="false" ht="28.35" hidden="false" customHeight="false" outlineLevel="0" collapsed="false">
      <c r="B1193" s="19" t="s">
        <v>13027</v>
      </c>
      <c r="C1193" s="20" t="n">
        <f aca="false">ROUND(6.89/FX,2)</f>
        <v>0.96</v>
      </c>
      <c r="D1193" s="21" t="s">
        <v>12635</v>
      </c>
      <c r="E1193" s="21" t="s">
        <v>734</v>
      </c>
      <c r="F1193" s="21" t="s">
        <v>12843</v>
      </c>
      <c r="G1193" s="21" t="s">
        <v>11874</v>
      </c>
      <c r="H1193" s="21" t="s">
        <v>11810</v>
      </c>
      <c r="I1193" s="21" t="s">
        <v>12850</v>
      </c>
      <c r="J1193" s="21" t="s">
        <v>12980</v>
      </c>
    </row>
    <row r="1194" customFormat="false" ht="28.35" hidden="false" customHeight="false" outlineLevel="0" collapsed="false">
      <c r="B1194" s="19" t="s">
        <v>13028</v>
      </c>
      <c r="C1194" s="20" t="n">
        <f aca="false">ROUND(7.02/FX,2)</f>
        <v>0.98</v>
      </c>
      <c r="D1194" s="21" t="s">
        <v>12635</v>
      </c>
      <c r="E1194" s="21" t="s">
        <v>13025</v>
      </c>
      <c r="F1194" s="21" t="s">
        <v>12843</v>
      </c>
      <c r="G1194" s="21" t="s">
        <v>11874</v>
      </c>
      <c r="H1194" s="21" t="s">
        <v>11810</v>
      </c>
      <c r="I1194" s="21" t="s">
        <v>12850</v>
      </c>
      <c r="J1194" s="21" t="s">
        <v>12980</v>
      </c>
    </row>
    <row r="1195" customFormat="false" ht="28.35" hidden="false" customHeight="false" outlineLevel="0" collapsed="false">
      <c r="B1195" s="19" t="s">
        <v>13029</v>
      </c>
      <c r="C1195" s="20" t="n">
        <f aca="false">ROUND(7.02/FX,2)</f>
        <v>0.98</v>
      </c>
      <c r="D1195" s="21" t="s">
        <v>12635</v>
      </c>
      <c r="E1195" s="21" t="s">
        <v>13025</v>
      </c>
      <c r="F1195" s="21" t="s">
        <v>12843</v>
      </c>
      <c r="G1195" s="21" t="s">
        <v>11874</v>
      </c>
      <c r="H1195" s="21" t="s">
        <v>11720</v>
      </c>
      <c r="I1195" s="21" t="s">
        <v>12850</v>
      </c>
      <c r="J1195" s="21" t="s">
        <v>12980</v>
      </c>
    </row>
    <row r="1196" customFormat="false" ht="28.35" hidden="false" customHeight="false" outlineLevel="0" collapsed="false">
      <c r="B1196" s="19" t="s">
        <v>13030</v>
      </c>
      <c r="C1196" s="20" t="n">
        <f aca="false">ROUND(7.41/FX,2)</f>
        <v>1.03</v>
      </c>
      <c r="D1196" s="21" t="s">
        <v>12635</v>
      </c>
      <c r="E1196" s="21" t="s">
        <v>13025</v>
      </c>
      <c r="F1196" s="21" t="s">
        <v>12843</v>
      </c>
      <c r="G1196" s="21" t="s">
        <v>11874</v>
      </c>
      <c r="H1196" s="21" t="s">
        <v>11720</v>
      </c>
      <c r="I1196" s="21" t="s">
        <v>12850</v>
      </c>
      <c r="J1196" s="21" t="s">
        <v>12983</v>
      </c>
    </row>
    <row r="1197" customFormat="false" ht="28.35" hidden="false" customHeight="false" outlineLevel="0" collapsed="false">
      <c r="B1197" s="19" t="s">
        <v>13031</v>
      </c>
      <c r="C1197" s="20" t="n">
        <f aca="false">ROUND(8.45/FX,2)</f>
        <v>1.17</v>
      </c>
      <c r="D1197" s="21" t="s">
        <v>12635</v>
      </c>
      <c r="E1197" s="21" t="s">
        <v>13025</v>
      </c>
      <c r="F1197" s="21" t="s">
        <v>12843</v>
      </c>
      <c r="G1197" s="21" t="s">
        <v>11922</v>
      </c>
      <c r="H1197" s="21" t="s">
        <v>11720</v>
      </c>
      <c r="I1197" s="21" t="s">
        <v>12844</v>
      </c>
      <c r="J1197" s="21" t="s">
        <v>12980</v>
      </c>
    </row>
    <row r="1198" customFormat="false" ht="28.35" hidden="false" customHeight="false" outlineLevel="0" collapsed="false">
      <c r="B1198" s="19" t="s">
        <v>13032</v>
      </c>
      <c r="C1198" s="20" t="n">
        <f aca="false">ROUND(7.15/FX,2)</f>
        <v>0.99</v>
      </c>
      <c r="D1198" s="21" t="s">
        <v>12643</v>
      </c>
      <c r="E1198" s="21" t="s">
        <v>734</v>
      </c>
      <c r="F1198" s="21" t="s">
        <v>12843</v>
      </c>
      <c r="G1198" s="21" t="s">
        <v>12670</v>
      </c>
      <c r="H1198" s="21" t="s">
        <v>11720</v>
      </c>
      <c r="I1198" s="21" t="s">
        <v>12850</v>
      </c>
      <c r="J1198" s="21" t="s">
        <v>12980</v>
      </c>
    </row>
    <row r="1199" customFormat="false" ht="15" hidden="false" customHeight="false" outlineLevel="0" collapsed="false">
      <c r="B1199" s="19" t="s">
        <v>13033</v>
      </c>
      <c r="C1199" s="20" t="n">
        <f aca="false">ROUND(7.8/FX,2)</f>
        <v>1.08</v>
      </c>
      <c r="D1199" s="21" t="s">
        <v>12643</v>
      </c>
      <c r="E1199" s="21" t="s">
        <v>734</v>
      </c>
      <c r="F1199" s="21" t="s">
        <v>12987</v>
      </c>
      <c r="G1199" s="21" t="s">
        <v>11775</v>
      </c>
      <c r="H1199" s="21" t="s">
        <v>11720</v>
      </c>
      <c r="I1199" s="21" t="s">
        <v>12850</v>
      </c>
      <c r="J1199" s="21" t="s">
        <v>12983</v>
      </c>
    </row>
    <row r="1200" customFormat="false" ht="15" hidden="false" customHeight="false" outlineLevel="0" collapsed="false">
      <c r="B1200" s="19" t="s">
        <v>13034</v>
      </c>
      <c r="C1200" s="20" t="n">
        <f aca="false">ROUND(10.4/FX,2)</f>
        <v>1.44</v>
      </c>
      <c r="D1200" s="21" t="s">
        <v>12643</v>
      </c>
      <c r="E1200" s="21" t="s">
        <v>734</v>
      </c>
      <c r="F1200" s="21" t="s">
        <v>12987</v>
      </c>
      <c r="G1200" s="21" t="s">
        <v>11874</v>
      </c>
      <c r="H1200" s="21" t="s">
        <v>11720</v>
      </c>
      <c r="I1200" s="21" t="s">
        <v>12850</v>
      </c>
      <c r="J1200" s="21" t="s">
        <v>12983</v>
      </c>
    </row>
    <row r="1201" customFormat="false" ht="15" hidden="false" customHeight="false" outlineLevel="0" collapsed="false">
      <c r="B1201" s="19" t="s">
        <v>13035</v>
      </c>
      <c r="C1201" s="20" t="n">
        <f aca="false">ROUND(7.15/FX,2)</f>
        <v>0.99</v>
      </c>
      <c r="D1201" s="21" t="s">
        <v>12643</v>
      </c>
      <c r="E1201" s="21" t="s">
        <v>734</v>
      </c>
      <c r="F1201" s="21" t="s">
        <v>12987</v>
      </c>
      <c r="G1201" s="21" t="s">
        <v>12670</v>
      </c>
      <c r="H1201" s="21" t="s">
        <v>11720</v>
      </c>
      <c r="I1201" s="21" t="s">
        <v>12850</v>
      </c>
      <c r="J1201" s="21" t="s">
        <v>12980</v>
      </c>
    </row>
    <row r="1202" customFormat="false" ht="15" hidden="false" customHeight="false" outlineLevel="0" collapsed="false">
      <c r="B1202" s="19" t="s">
        <v>13036</v>
      </c>
      <c r="C1202" s="20" t="n">
        <f aca="false">ROUND(10.4/FX,2)</f>
        <v>1.44</v>
      </c>
      <c r="D1202" s="21" t="s">
        <v>12643</v>
      </c>
      <c r="E1202" s="21" t="s">
        <v>734</v>
      </c>
      <c r="F1202" s="21" t="s">
        <v>12987</v>
      </c>
      <c r="G1202" s="21" t="s">
        <v>12670</v>
      </c>
      <c r="H1202" s="21" t="s">
        <v>11810</v>
      </c>
      <c r="I1202" s="21" t="s">
        <v>12850</v>
      </c>
      <c r="J1202" s="21" t="s">
        <v>12983</v>
      </c>
    </row>
    <row r="1203" customFormat="false" ht="15" hidden="false" customHeight="false" outlineLevel="0" collapsed="false">
      <c r="B1203" s="19" t="s">
        <v>13037</v>
      </c>
      <c r="C1203" s="20" t="n">
        <f aca="false">ROUND(9.1/FX,2)</f>
        <v>1.26</v>
      </c>
      <c r="D1203" s="21" t="s">
        <v>12643</v>
      </c>
      <c r="E1203" s="21" t="s">
        <v>734</v>
      </c>
      <c r="F1203" s="21" t="s">
        <v>12987</v>
      </c>
      <c r="G1203" s="21" t="s">
        <v>12663</v>
      </c>
      <c r="H1203" s="21" t="s">
        <v>11720</v>
      </c>
      <c r="I1203" s="21" t="s">
        <v>12844</v>
      </c>
      <c r="J1203" s="21" t="s">
        <v>12980</v>
      </c>
    </row>
    <row r="1204" customFormat="false" ht="15" hidden="false" customHeight="false" outlineLevel="0" collapsed="false">
      <c r="B1204" s="19" t="s">
        <v>13038</v>
      </c>
      <c r="C1204" s="20" t="n">
        <f aca="false">ROUND(11.83/FX,2)</f>
        <v>1.64</v>
      </c>
      <c r="D1204" s="21" t="s">
        <v>12643</v>
      </c>
      <c r="E1204" s="21" t="s">
        <v>734</v>
      </c>
      <c r="F1204" s="21" t="s">
        <v>12987</v>
      </c>
      <c r="G1204" s="21" t="s">
        <v>12663</v>
      </c>
      <c r="H1204" s="21" t="s">
        <v>11720</v>
      </c>
      <c r="I1204" s="21" t="s">
        <v>12844</v>
      </c>
      <c r="J1204" s="21" t="s">
        <v>12983</v>
      </c>
    </row>
    <row r="1205" customFormat="false" ht="15" hidden="false" customHeight="false" outlineLevel="0" collapsed="false">
      <c r="B1205" s="19" t="s">
        <v>13039</v>
      </c>
      <c r="C1205" s="20" t="n">
        <f aca="false">ROUND(11.7/FX,2)</f>
        <v>1.63</v>
      </c>
      <c r="D1205" s="21" t="s">
        <v>12669</v>
      </c>
      <c r="E1205" s="21" t="s">
        <v>734</v>
      </c>
      <c r="F1205" s="21" t="s">
        <v>12989</v>
      </c>
      <c r="G1205" s="21" t="s">
        <v>12670</v>
      </c>
      <c r="H1205" s="21" t="s">
        <v>11720</v>
      </c>
      <c r="I1205" s="21" t="s">
        <v>12850</v>
      </c>
      <c r="J1205" s="21" t="s">
        <v>12980</v>
      </c>
    </row>
    <row r="1206" customFormat="false" ht="15" hidden="false" customHeight="false" outlineLevel="0" collapsed="false">
      <c r="B1206" s="19" t="s">
        <v>13040</v>
      </c>
      <c r="C1206" s="20" t="n">
        <f aca="false">ROUND(62.4/FX,2)</f>
        <v>8.67</v>
      </c>
      <c r="D1206" s="21" t="s">
        <v>11925</v>
      </c>
      <c r="E1206" s="21" t="s">
        <v>734</v>
      </c>
      <c r="F1206" s="21" t="s">
        <v>12979</v>
      </c>
      <c r="G1206" s="21" t="s">
        <v>12670</v>
      </c>
      <c r="H1206" s="21" t="s">
        <v>11720</v>
      </c>
      <c r="I1206" s="21" t="s">
        <v>12850</v>
      </c>
      <c r="J1206" s="21" t="s">
        <v>12980</v>
      </c>
    </row>
    <row r="1207" customFormat="false" ht="15" hidden="false" customHeight="false" outlineLevel="0" collapsed="false">
      <c r="B1207" s="19" t="s">
        <v>13041</v>
      </c>
      <c r="C1207" s="20" t="n">
        <f aca="false">ROUND(12.48/FX,2)</f>
        <v>1.73</v>
      </c>
      <c r="D1207" s="21" t="s">
        <v>11925</v>
      </c>
      <c r="E1207" s="21" t="s">
        <v>734</v>
      </c>
      <c r="F1207" s="21" t="s">
        <v>12989</v>
      </c>
      <c r="G1207" s="21" t="s">
        <v>12670</v>
      </c>
      <c r="H1207" s="21" t="s">
        <v>11720</v>
      </c>
      <c r="I1207" s="21" t="s">
        <v>12850</v>
      </c>
      <c r="J1207" s="21" t="s">
        <v>6336</v>
      </c>
    </row>
    <row r="1208" customFormat="false" ht="15" hidden="false" customHeight="false" outlineLevel="0" collapsed="false">
      <c r="B1208" s="19" t="s">
        <v>13042</v>
      </c>
      <c r="C1208" s="20" t="n">
        <f aca="false">ROUND(10.4/FX,2)</f>
        <v>1.44</v>
      </c>
      <c r="D1208" s="21" t="s">
        <v>11925</v>
      </c>
      <c r="E1208" s="21" t="s">
        <v>734</v>
      </c>
      <c r="F1208" s="21" t="s">
        <v>12989</v>
      </c>
      <c r="G1208" s="21" t="s">
        <v>12670</v>
      </c>
      <c r="H1208" s="21" t="s">
        <v>11720</v>
      </c>
      <c r="I1208" s="21" t="s">
        <v>12850</v>
      </c>
      <c r="J1208" s="21" t="s">
        <v>12980</v>
      </c>
    </row>
    <row r="1209" customFormat="false" ht="15" hidden="false" customHeight="false" outlineLevel="0" collapsed="false">
      <c r="B1209" s="19" t="s">
        <v>13043</v>
      </c>
      <c r="C1209" s="20" t="n">
        <f aca="false">ROUND(13/FX,2)</f>
        <v>1.81</v>
      </c>
      <c r="D1209" s="21" t="s">
        <v>11925</v>
      </c>
      <c r="E1209" s="21" t="s">
        <v>734</v>
      </c>
      <c r="F1209" s="21" t="s">
        <v>12989</v>
      </c>
      <c r="G1209" s="21" t="s">
        <v>12670</v>
      </c>
      <c r="H1209" s="21" t="s">
        <v>11810</v>
      </c>
      <c r="I1209" s="21" t="s">
        <v>12850</v>
      </c>
      <c r="J1209" s="21" t="s">
        <v>6336</v>
      </c>
    </row>
    <row r="1210" customFormat="false" ht="15" hidden="false" customHeight="false" outlineLevel="0" collapsed="false">
      <c r="B1210" s="19" t="s">
        <v>13044</v>
      </c>
      <c r="C1210" s="20" t="n">
        <f aca="false">ROUND(13/FX,2)</f>
        <v>1.81</v>
      </c>
      <c r="D1210" s="21" t="s">
        <v>11925</v>
      </c>
      <c r="E1210" s="21" t="s">
        <v>734</v>
      </c>
      <c r="F1210" s="21" t="s">
        <v>12989</v>
      </c>
      <c r="G1210" s="21" t="s">
        <v>12670</v>
      </c>
      <c r="H1210" s="21" t="s">
        <v>11810</v>
      </c>
      <c r="I1210" s="21" t="s">
        <v>12850</v>
      </c>
      <c r="J1210" s="21" t="s">
        <v>12983</v>
      </c>
    </row>
    <row r="1211" customFormat="false" ht="15" hidden="false" customHeight="false" outlineLevel="0" collapsed="false">
      <c r="B1211" s="19" t="s">
        <v>13045</v>
      </c>
      <c r="C1211" s="20" t="n">
        <f aca="false">ROUND(13.78/FX,2)</f>
        <v>1.91</v>
      </c>
      <c r="D1211" s="21" t="s">
        <v>11925</v>
      </c>
      <c r="E1211" s="21" t="s">
        <v>734</v>
      </c>
      <c r="F1211" s="21" t="s">
        <v>12989</v>
      </c>
      <c r="G1211" s="21" t="s">
        <v>12663</v>
      </c>
      <c r="H1211" s="21" t="s">
        <v>11720</v>
      </c>
      <c r="I1211" s="21" t="s">
        <v>12844</v>
      </c>
      <c r="J1211" s="21" t="s">
        <v>6336</v>
      </c>
    </row>
    <row r="1212" customFormat="false" ht="15" hidden="false" customHeight="false" outlineLevel="0" collapsed="false">
      <c r="B1212" s="19" t="s">
        <v>13046</v>
      </c>
      <c r="C1212" s="20" t="n">
        <f aca="false">ROUND(13.78/FX,2)</f>
        <v>1.91</v>
      </c>
      <c r="D1212" s="21" t="s">
        <v>11925</v>
      </c>
      <c r="E1212" s="21" t="s">
        <v>734</v>
      </c>
      <c r="F1212" s="21" t="s">
        <v>12989</v>
      </c>
      <c r="G1212" s="21" t="s">
        <v>12663</v>
      </c>
      <c r="H1212" s="21" t="s">
        <v>11720</v>
      </c>
      <c r="I1212" s="21" t="s">
        <v>12844</v>
      </c>
      <c r="J1212" s="21" t="s">
        <v>12983</v>
      </c>
    </row>
    <row r="1213" customFormat="false" ht="15" hidden="false" customHeight="false" outlineLevel="0" collapsed="false">
      <c r="B1213" s="19" t="s">
        <v>13047</v>
      </c>
      <c r="C1213" s="20" t="n">
        <f aca="false">ROUND(22.75/FX,2)</f>
        <v>3.16</v>
      </c>
      <c r="D1213" s="21" t="s">
        <v>12685</v>
      </c>
      <c r="E1213" s="21" t="s">
        <v>734</v>
      </c>
      <c r="F1213" s="21" t="s">
        <v>12989</v>
      </c>
      <c r="G1213" s="21" t="s">
        <v>12686</v>
      </c>
      <c r="H1213" s="21" t="s">
        <v>11720</v>
      </c>
      <c r="I1213" s="21" t="s">
        <v>12850</v>
      </c>
      <c r="J1213" s="21" t="s">
        <v>12983</v>
      </c>
    </row>
    <row r="1214" customFormat="false" ht="15" hidden="false" customHeight="false" outlineLevel="0" collapsed="false">
      <c r="B1214" s="19" t="s">
        <v>13048</v>
      </c>
      <c r="C1214" s="20" t="n">
        <f aca="false">ROUND(104/FX,2)</f>
        <v>14.44</v>
      </c>
      <c r="D1214" s="21" t="s">
        <v>12689</v>
      </c>
      <c r="E1214" s="21" t="s">
        <v>734</v>
      </c>
      <c r="F1214" s="21" t="s">
        <v>12979</v>
      </c>
      <c r="G1214" s="21" t="s">
        <v>12686</v>
      </c>
      <c r="H1214" s="21" t="s">
        <v>11720</v>
      </c>
      <c r="I1214" s="21" t="s">
        <v>12850</v>
      </c>
      <c r="J1214" s="21" t="s">
        <v>12980</v>
      </c>
    </row>
    <row r="1215" customFormat="false" ht="28.35" hidden="false" customHeight="false" outlineLevel="0" collapsed="false">
      <c r="B1215" s="19" t="s">
        <v>13049</v>
      </c>
      <c r="C1215" s="20" t="n">
        <f aca="false">ROUND(16.9/FX,2)</f>
        <v>2.35</v>
      </c>
      <c r="D1215" s="21" t="s">
        <v>12689</v>
      </c>
      <c r="E1215" s="21" t="s">
        <v>734</v>
      </c>
      <c r="F1215" s="21" t="s">
        <v>12843</v>
      </c>
      <c r="G1215" s="21" t="s">
        <v>12686</v>
      </c>
      <c r="H1215" s="21" t="s">
        <v>11720</v>
      </c>
      <c r="I1215" s="21" t="s">
        <v>12850</v>
      </c>
      <c r="J1215" s="21" t="s">
        <v>12980</v>
      </c>
    </row>
    <row r="1216" customFormat="false" ht="15" hidden="false" customHeight="false" outlineLevel="0" collapsed="false">
      <c r="B1216" s="19" t="s">
        <v>13050</v>
      </c>
      <c r="C1216" s="20" t="n">
        <f aca="false">ROUND(28.6/FX,2)</f>
        <v>3.97</v>
      </c>
      <c r="D1216" s="21" t="s">
        <v>12689</v>
      </c>
      <c r="E1216" s="21" t="s">
        <v>734</v>
      </c>
      <c r="F1216" s="21" t="s">
        <v>12989</v>
      </c>
      <c r="G1216" s="21" t="s">
        <v>12690</v>
      </c>
      <c r="H1216" s="21" t="s">
        <v>11720</v>
      </c>
      <c r="I1216" s="21" t="s">
        <v>12844</v>
      </c>
      <c r="J1216" s="21" t="s">
        <v>12983</v>
      </c>
    </row>
    <row r="1217" customFormat="false" ht="15" hidden="false" customHeight="false" outlineLevel="0" collapsed="false">
      <c r="B1217" s="19" t="s">
        <v>13051</v>
      </c>
      <c r="C1217" s="20" t="n">
        <f aca="false">ROUND(16.9/FX,2)</f>
        <v>2.35</v>
      </c>
      <c r="D1217" s="21" t="s">
        <v>12689</v>
      </c>
      <c r="E1217" s="21" t="s">
        <v>734</v>
      </c>
      <c r="F1217" s="21" t="s">
        <v>12989</v>
      </c>
      <c r="G1217" s="21" t="s">
        <v>12686</v>
      </c>
      <c r="H1217" s="21" t="s">
        <v>11720</v>
      </c>
      <c r="I1217" s="21" t="s">
        <v>12850</v>
      </c>
      <c r="J1217" s="21" t="s">
        <v>12980</v>
      </c>
    </row>
    <row r="1218" customFormat="false" ht="15" hidden="false" customHeight="false" outlineLevel="0" collapsed="false">
      <c r="B1218" s="19" t="s">
        <v>13052</v>
      </c>
      <c r="C1218" s="20" t="n">
        <f aca="false">ROUND(32.5/FX,2)</f>
        <v>4.51</v>
      </c>
      <c r="D1218" s="21" t="s">
        <v>12696</v>
      </c>
      <c r="E1218" s="21" t="s">
        <v>734</v>
      </c>
      <c r="F1218" s="21" t="s">
        <v>12989</v>
      </c>
      <c r="G1218" s="21" t="s">
        <v>12686</v>
      </c>
      <c r="H1218" s="21" t="s">
        <v>11720</v>
      </c>
      <c r="I1218" s="21" t="s">
        <v>12850</v>
      </c>
      <c r="J1218" s="21" t="s">
        <v>12983</v>
      </c>
    </row>
    <row r="1219" customFormat="false" ht="15" hidden="false" customHeight="false" outlineLevel="0" collapsed="false">
      <c r="B1219" s="19" t="s">
        <v>13053</v>
      </c>
      <c r="C1219" s="20" t="n">
        <f aca="false">ROUND(36.4/FX,2)</f>
        <v>5.06</v>
      </c>
      <c r="D1219" s="21" t="s">
        <v>12700</v>
      </c>
      <c r="E1219" s="21" t="s">
        <v>734</v>
      </c>
      <c r="F1219" s="21" t="s">
        <v>12989</v>
      </c>
      <c r="G1219" s="21" t="s">
        <v>12701</v>
      </c>
      <c r="H1219" s="21" t="s">
        <v>11720</v>
      </c>
      <c r="I1219" s="21" t="s">
        <v>12850</v>
      </c>
      <c r="J1219" s="21" t="s">
        <v>12983</v>
      </c>
    </row>
    <row r="1220" customFormat="false" ht="15" hidden="false" customHeight="false" outlineLevel="0" collapsed="false">
      <c r="B1220" s="19" t="s">
        <v>13054</v>
      </c>
      <c r="C1220" s="20" t="n">
        <f aca="false">ROUND(39/FX,2)</f>
        <v>5.42</v>
      </c>
      <c r="D1220" s="21" t="s">
        <v>12703</v>
      </c>
      <c r="E1220" s="21" t="s">
        <v>734</v>
      </c>
      <c r="F1220" s="21" t="s">
        <v>12989</v>
      </c>
      <c r="G1220" s="21" t="s">
        <v>12701</v>
      </c>
      <c r="H1220" s="21" t="s">
        <v>11720</v>
      </c>
      <c r="I1220" s="21" t="s">
        <v>12850</v>
      </c>
      <c r="J1220" s="21" t="s">
        <v>12983</v>
      </c>
    </row>
    <row r="1221" customFormat="false" ht="15" hidden="false" customHeight="false" outlineLevel="0" collapsed="false">
      <c r="B1221" s="19" t="s">
        <v>13055</v>
      </c>
      <c r="C1221" s="20" t="n">
        <f aca="false">ROUND(65/FX,2)</f>
        <v>9.03</v>
      </c>
      <c r="D1221" s="21" t="s">
        <v>12705</v>
      </c>
      <c r="E1221" s="21" t="s">
        <v>734</v>
      </c>
      <c r="F1221" s="21" t="s">
        <v>12989</v>
      </c>
      <c r="G1221" s="21" t="s">
        <v>12701</v>
      </c>
      <c r="H1221" s="21" t="s">
        <v>11720</v>
      </c>
      <c r="I1221" s="21" t="s">
        <v>12850</v>
      </c>
      <c r="J1221" s="21" t="s">
        <v>12983</v>
      </c>
    </row>
    <row r="1222" customFormat="false" ht="28.35" hidden="false" customHeight="false" outlineLevel="0" collapsed="false">
      <c r="B1222" s="19" t="s">
        <v>13056</v>
      </c>
      <c r="C1222" s="20" t="n">
        <f aca="false">ROUND(1.56/FX,2)</f>
        <v>0.22</v>
      </c>
      <c r="D1222" s="21" t="s">
        <v>11956</v>
      </c>
      <c r="E1222" s="21" t="s">
        <v>734</v>
      </c>
      <c r="F1222" s="21" t="s">
        <v>13057</v>
      </c>
      <c r="G1222" s="21" t="s">
        <v>11957</v>
      </c>
      <c r="H1222" s="21" t="s">
        <v>11720</v>
      </c>
      <c r="I1222" s="21" t="s">
        <v>12850</v>
      </c>
      <c r="J1222" s="21" t="s">
        <v>12983</v>
      </c>
    </row>
    <row r="1223" customFormat="false" ht="28.35" hidden="false" customHeight="false" outlineLevel="0" collapsed="false">
      <c r="B1223" s="19" t="s">
        <v>13058</v>
      </c>
      <c r="C1223" s="20" t="n">
        <f aca="false">ROUND(1.56/FX,2)</f>
        <v>0.22</v>
      </c>
      <c r="D1223" s="21" t="s">
        <v>11956</v>
      </c>
      <c r="E1223" s="21" t="s">
        <v>734</v>
      </c>
      <c r="F1223" s="21" t="s">
        <v>13057</v>
      </c>
      <c r="G1223" s="21" t="s">
        <v>11947</v>
      </c>
      <c r="H1223" s="21" t="s">
        <v>11720</v>
      </c>
      <c r="I1223" s="21" t="s">
        <v>12844</v>
      </c>
      <c r="J1223" s="21" t="s">
        <v>12983</v>
      </c>
    </row>
    <row r="1224" customFormat="false" ht="15" hidden="false" customHeight="false" outlineLevel="0" collapsed="false">
      <c r="B1224" s="19" t="s">
        <v>13059</v>
      </c>
      <c r="C1224" s="20" t="n">
        <f aca="false">ROUND(2.08/FX,2)</f>
        <v>0.29</v>
      </c>
      <c r="D1224" s="21" t="s">
        <v>11956</v>
      </c>
      <c r="E1224" s="21" t="s">
        <v>734</v>
      </c>
      <c r="F1224" s="21" t="s">
        <v>12989</v>
      </c>
      <c r="G1224" s="21" t="s">
        <v>11957</v>
      </c>
      <c r="H1224" s="21" t="s">
        <v>11720</v>
      </c>
      <c r="I1224" s="21" t="s">
        <v>12850</v>
      </c>
      <c r="J1224" s="21" t="s">
        <v>12983</v>
      </c>
    </row>
    <row r="1225" customFormat="false" ht="15" hidden="false" customHeight="false" outlineLevel="0" collapsed="false">
      <c r="B1225" s="19" t="s">
        <v>13060</v>
      </c>
      <c r="C1225" s="20" t="n">
        <f aca="false">ROUND(2.08/FX,2)</f>
        <v>0.29</v>
      </c>
      <c r="D1225" s="21" t="s">
        <v>11956</v>
      </c>
      <c r="E1225" s="21" t="s">
        <v>734</v>
      </c>
      <c r="F1225" s="21" t="s">
        <v>12989</v>
      </c>
      <c r="G1225" s="21" t="s">
        <v>11947</v>
      </c>
      <c r="H1225" s="21" t="s">
        <v>11720</v>
      </c>
      <c r="I1225" s="21" t="s">
        <v>12844</v>
      </c>
      <c r="J1225" s="21" t="s">
        <v>12983</v>
      </c>
    </row>
    <row r="1226" customFormat="false" ht="15" hidden="false" customHeight="false" outlineLevel="0" collapsed="false">
      <c r="B1226" s="19" t="s">
        <v>13061</v>
      </c>
      <c r="C1226" s="20" t="n">
        <f aca="false">ROUND(91/FX,2)</f>
        <v>12.64</v>
      </c>
      <c r="D1226" s="21" t="s">
        <v>12707</v>
      </c>
      <c r="E1226" s="21" t="s">
        <v>734</v>
      </c>
      <c r="F1226" s="21" t="s">
        <v>12989</v>
      </c>
      <c r="G1226" s="21" t="s">
        <v>12701</v>
      </c>
      <c r="H1226" s="21" t="s">
        <v>11720</v>
      </c>
      <c r="I1226" s="21" t="s">
        <v>12850</v>
      </c>
      <c r="J1226" s="21" t="s">
        <v>12983</v>
      </c>
    </row>
    <row r="1227" customFormat="false" ht="28.35" hidden="false" customHeight="false" outlineLevel="0" collapsed="false">
      <c r="B1227" s="19" t="s">
        <v>13062</v>
      </c>
      <c r="C1227" s="20" t="n">
        <f aca="false">ROUND(2.34/FX,2)</f>
        <v>0.33</v>
      </c>
      <c r="D1227" s="21" t="s">
        <v>6239</v>
      </c>
      <c r="E1227" s="21" t="s">
        <v>734</v>
      </c>
      <c r="F1227" s="21" t="s">
        <v>12843</v>
      </c>
      <c r="G1227" s="21" t="s">
        <v>12001</v>
      </c>
      <c r="H1227" s="21" t="s">
        <v>11720</v>
      </c>
      <c r="I1227" s="21" t="s">
        <v>12854</v>
      </c>
      <c r="J1227" s="21" t="s">
        <v>12983</v>
      </c>
    </row>
    <row r="1228" customFormat="false" ht="15" hidden="false" customHeight="false" outlineLevel="0" collapsed="false">
      <c r="B1228" s="19" t="s">
        <v>13063</v>
      </c>
      <c r="C1228" s="20" t="n">
        <f aca="false">ROUND(2.34/FX,2)</f>
        <v>0.33</v>
      </c>
      <c r="D1228" s="21" t="s">
        <v>6239</v>
      </c>
      <c r="E1228" s="21" t="s">
        <v>734</v>
      </c>
      <c r="F1228" s="21" t="s">
        <v>12989</v>
      </c>
      <c r="G1228" s="21" t="s">
        <v>11957</v>
      </c>
      <c r="H1228" s="21" t="s">
        <v>11720</v>
      </c>
      <c r="I1228" s="21" t="s">
        <v>12850</v>
      </c>
      <c r="J1228" s="21" t="s">
        <v>6336</v>
      </c>
    </row>
    <row r="1229" customFormat="false" ht="15" hidden="false" customHeight="false" outlineLevel="0" collapsed="false">
      <c r="B1229" s="19" t="s">
        <v>13064</v>
      </c>
      <c r="C1229" s="20" t="n">
        <f aca="false">ROUND(2.34/FX,2)</f>
        <v>0.33</v>
      </c>
      <c r="D1229" s="21" t="s">
        <v>6239</v>
      </c>
      <c r="E1229" s="21" t="s">
        <v>734</v>
      </c>
      <c r="F1229" s="21" t="s">
        <v>12989</v>
      </c>
      <c r="G1229" s="21" t="s">
        <v>11947</v>
      </c>
      <c r="H1229" s="21" t="s">
        <v>11720</v>
      </c>
      <c r="I1229" s="21" t="s">
        <v>12844</v>
      </c>
      <c r="J1229" s="21" t="s">
        <v>6336</v>
      </c>
    </row>
    <row r="1230" customFormat="false" ht="15" hidden="false" customHeight="false" outlineLevel="0" collapsed="false">
      <c r="B1230" s="19" t="s">
        <v>13065</v>
      </c>
      <c r="C1230" s="20" t="n">
        <f aca="false">ROUND(2.34/FX,2)</f>
        <v>0.33</v>
      </c>
      <c r="D1230" s="21" t="s">
        <v>6239</v>
      </c>
      <c r="E1230" s="21" t="s">
        <v>734</v>
      </c>
      <c r="F1230" s="21" t="s">
        <v>12989</v>
      </c>
      <c r="G1230" s="21" t="s">
        <v>12001</v>
      </c>
      <c r="H1230" s="21" t="s">
        <v>11720</v>
      </c>
      <c r="I1230" s="21" t="s">
        <v>12854</v>
      </c>
      <c r="J1230" s="21" t="s">
        <v>6336</v>
      </c>
    </row>
    <row r="1231" customFormat="false" ht="15" hidden="false" customHeight="false" outlineLevel="0" collapsed="false">
      <c r="B1231" s="19" t="s">
        <v>13066</v>
      </c>
      <c r="C1231" s="20" t="n">
        <f aca="false">ROUND(2.47/FX,2)</f>
        <v>0.34</v>
      </c>
      <c r="D1231" s="21" t="s">
        <v>6239</v>
      </c>
      <c r="E1231" s="21" t="s">
        <v>734</v>
      </c>
      <c r="F1231" s="21" t="s">
        <v>12989</v>
      </c>
      <c r="G1231" s="21" t="s">
        <v>12016</v>
      </c>
      <c r="H1231" s="21" t="s">
        <v>11720</v>
      </c>
      <c r="I1231" s="21" t="s">
        <v>12859</v>
      </c>
      <c r="J1231" s="21" t="s">
        <v>6336</v>
      </c>
    </row>
    <row r="1232" customFormat="false" ht="28.35" hidden="false" customHeight="false" outlineLevel="0" collapsed="false">
      <c r="B1232" s="19" t="s">
        <v>13067</v>
      </c>
      <c r="C1232" s="20" t="n">
        <f aca="false">ROUND(2.86/FX,2)</f>
        <v>0.4</v>
      </c>
      <c r="D1232" s="21" t="s">
        <v>12021</v>
      </c>
      <c r="E1232" s="21" t="s">
        <v>734</v>
      </c>
      <c r="F1232" s="21" t="s">
        <v>12843</v>
      </c>
      <c r="G1232" s="21" t="s">
        <v>11957</v>
      </c>
      <c r="H1232" s="21" t="s">
        <v>11720</v>
      </c>
      <c r="I1232" s="21" t="s">
        <v>12850</v>
      </c>
      <c r="J1232" s="21" t="s">
        <v>12980</v>
      </c>
    </row>
    <row r="1233" customFormat="false" ht="28.35" hidden="false" customHeight="false" outlineLevel="0" collapsed="false">
      <c r="B1233" s="19" t="s">
        <v>13068</v>
      </c>
      <c r="C1233" s="20" t="n">
        <f aca="false">ROUND(2.86/FX,2)</f>
        <v>0.4</v>
      </c>
      <c r="D1233" s="21" t="s">
        <v>12021</v>
      </c>
      <c r="E1233" s="21" t="s">
        <v>734</v>
      </c>
      <c r="F1233" s="21" t="s">
        <v>12843</v>
      </c>
      <c r="G1233" s="21" t="s">
        <v>13069</v>
      </c>
      <c r="H1233" s="21" t="s">
        <v>11720</v>
      </c>
      <c r="I1233" s="21" t="s">
        <v>12859</v>
      </c>
      <c r="J1233" s="21" t="s">
        <v>12980</v>
      </c>
    </row>
    <row r="1234" customFormat="false" ht="28.35" hidden="false" customHeight="false" outlineLevel="0" collapsed="false">
      <c r="B1234" s="19" t="s">
        <v>13070</v>
      </c>
      <c r="C1234" s="20" t="n">
        <f aca="false">ROUND(2.86/FX,2)</f>
        <v>0.4</v>
      </c>
      <c r="D1234" s="21" t="s">
        <v>12021</v>
      </c>
      <c r="E1234" s="21" t="s">
        <v>734</v>
      </c>
      <c r="F1234" s="21" t="s">
        <v>12843</v>
      </c>
      <c r="G1234" s="21" t="s">
        <v>11947</v>
      </c>
      <c r="H1234" s="21" t="s">
        <v>11720</v>
      </c>
      <c r="I1234" s="21" t="s">
        <v>12844</v>
      </c>
      <c r="J1234" s="21" t="s">
        <v>12980</v>
      </c>
    </row>
    <row r="1235" customFormat="false" ht="28.35" hidden="false" customHeight="false" outlineLevel="0" collapsed="false">
      <c r="B1235" s="19" t="s">
        <v>13071</v>
      </c>
      <c r="C1235" s="20" t="n">
        <f aca="false">ROUND(2.86/FX,2)</f>
        <v>0.4</v>
      </c>
      <c r="D1235" s="21" t="s">
        <v>12021</v>
      </c>
      <c r="E1235" s="21" t="s">
        <v>734</v>
      </c>
      <c r="F1235" s="21" t="s">
        <v>12843</v>
      </c>
      <c r="G1235" s="21" t="s">
        <v>12001</v>
      </c>
      <c r="H1235" s="21" t="s">
        <v>11720</v>
      </c>
      <c r="I1235" s="21" t="s">
        <v>12854</v>
      </c>
      <c r="J1235" s="21" t="s">
        <v>12980</v>
      </c>
    </row>
    <row r="1236" customFormat="false" ht="28.35" hidden="false" customHeight="false" outlineLevel="0" collapsed="false">
      <c r="B1236" s="19" t="s">
        <v>13072</v>
      </c>
      <c r="C1236" s="20" t="n">
        <f aca="false">ROUND(2.86/FX,2)</f>
        <v>0.4</v>
      </c>
      <c r="D1236" s="21" t="s">
        <v>12021</v>
      </c>
      <c r="E1236" s="21" t="s">
        <v>734</v>
      </c>
      <c r="F1236" s="21" t="s">
        <v>12843</v>
      </c>
      <c r="G1236" s="21" t="s">
        <v>12016</v>
      </c>
      <c r="H1236" s="21" t="s">
        <v>11720</v>
      </c>
      <c r="I1236" s="21" t="s">
        <v>12859</v>
      </c>
      <c r="J1236" s="21" t="s">
        <v>12980</v>
      </c>
    </row>
    <row r="1237" customFormat="false" ht="28.35" hidden="false" customHeight="false" outlineLevel="0" collapsed="false">
      <c r="B1237" s="19" t="s">
        <v>13073</v>
      </c>
      <c r="C1237" s="20" t="n">
        <f aca="false">ROUND(2.34/FX,2)</f>
        <v>0.33</v>
      </c>
      <c r="D1237" s="21" t="s">
        <v>12021</v>
      </c>
      <c r="E1237" s="21" t="s">
        <v>734</v>
      </c>
      <c r="F1237" s="21" t="s">
        <v>12843</v>
      </c>
      <c r="G1237" s="21" t="s">
        <v>11746</v>
      </c>
      <c r="H1237" s="21" t="s">
        <v>11720</v>
      </c>
      <c r="I1237" s="21" t="s">
        <v>12859</v>
      </c>
      <c r="J1237" s="21" t="s">
        <v>12983</v>
      </c>
    </row>
    <row r="1238" customFormat="false" ht="15" hidden="false" customHeight="false" outlineLevel="0" collapsed="false">
      <c r="B1238" s="19" t="s">
        <v>13074</v>
      </c>
      <c r="C1238" s="20" t="n">
        <f aca="false">ROUND(2.34/FX,2)</f>
        <v>0.33</v>
      </c>
      <c r="D1238" s="21" t="s">
        <v>12021</v>
      </c>
      <c r="E1238" s="21" t="s">
        <v>734</v>
      </c>
      <c r="F1238" s="21" t="s">
        <v>12989</v>
      </c>
      <c r="G1238" s="21" t="s">
        <v>11957</v>
      </c>
      <c r="H1238" s="21" t="s">
        <v>11720</v>
      </c>
      <c r="I1238" s="21" t="s">
        <v>12850</v>
      </c>
      <c r="J1238" s="21" t="s">
        <v>12983</v>
      </c>
    </row>
    <row r="1239" customFormat="false" ht="15" hidden="false" customHeight="false" outlineLevel="0" collapsed="false">
      <c r="B1239" s="19" t="s">
        <v>13075</v>
      </c>
      <c r="C1239" s="20" t="n">
        <f aca="false">ROUND(2.34/FX,2)</f>
        <v>0.33</v>
      </c>
      <c r="D1239" s="21" t="s">
        <v>12021</v>
      </c>
      <c r="E1239" s="21" t="s">
        <v>734</v>
      </c>
      <c r="F1239" s="21" t="s">
        <v>12989</v>
      </c>
      <c r="G1239" s="21" t="s">
        <v>11947</v>
      </c>
      <c r="H1239" s="21" t="s">
        <v>11720</v>
      </c>
      <c r="I1239" s="21" t="s">
        <v>12844</v>
      </c>
      <c r="J1239" s="21" t="s">
        <v>12983</v>
      </c>
    </row>
    <row r="1240" customFormat="false" ht="15" hidden="false" customHeight="false" outlineLevel="0" collapsed="false">
      <c r="B1240" s="19" t="s">
        <v>13076</v>
      </c>
      <c r="C1240" s="20" t="n">
        <f aca="false">ROUND(2.34/FX,2)</f>
        <v>0.33</v>
      </c>
      <c r="D1240" s="21" t="s">
        <v>12021</v>
      </c>
      <c r="E1240" s="21" t="s">
        <v>734</v>
      </c>
      <c r="F1240" s="21" t="s">
        <v>12989</v>
      </c>
      <c r="G1240" s="21" t="s">
        <v>12001</v>
      </c>
      <c r="H1240" s="21" t="s">
        <v>11720</v>
      </c>
      <c r="I1240" s="21" t="s">
        <v>12854</v>
      </c>
      <c r="J1240" s="21" t="s">
        <v>12983</v>
      </c>
    </row>
    <row r="1241" customFormat="false" ht="15" hidden="false" customHeight="false" outlineLevel="0" collapsed="false">
      <c r="B1241" s="19" t="s">
        <v>13077</v>
      </c>
      <c r="C1241" s="20" t="n">
        <f aca="false">ROUND(2.34/FX,2)</f>
        <v>0.33</v>
      </c>
      <c r="D1241" s="21" t="s">
        <v>12021</v>
      </c>
      <c r="E1241" s="21" t="s">
        <v>734</v>
      </c>
      <c r="F1241" s="21" t="s">
        <v>12989</v>
      </c>
      <c r="G1241" s="21" t="s">
        <v>12016</v>
      </c>
      <c r="H1241" s="21" t="s">
        <v>11720</v>
      </c>
      <c r="I1241" s="21" t="s">
        <v>12859</v>
      </c>
      <c r="J1241" s="21" t="s">
        <v>12983</v>
      </c>
    </row>
    <row r="1242" customFormat="false" ht="15" hidden="false" customHeight="false" outlineLevel="0" collapsed="false">
      <c r="B1242" s="19" t="s">
        <v>13078</v>
      </c>
      <c r="C1242" s="20" t="n">
        <f aca="false">ROUND(2.47/FX,2)</f>
        <v>0.34</v>
      </c>
      <c r="D1242" s="21" t="s">
        <v>12021</v>
      </c>
      <c r="E1242" s="21" t="s">
        <v>734</v>
      </c>
      <c r="F1242" s="21" t="s">
        <v>12989</v>
      </c>
      <c r="G1242" s="21" t="s">
        <v>11719</v>
      </c>
      <c r="H1242" s="21" t="s">
        <v>11720</v>
      </c>
      <c r="I1242" s="21" t="s">
        <v>12857</v>
      </c>
      <c r="J1242" s="21" t="s">
        <v>12983</v>
      </c>
    </row>
    <row r="1243" customFormat="false" ht="15" hidden="false" customHeight="false" outlineLevel="0" collapsed="false">
      <c r="B1243" s="19" t="s">
        <v>13079</v>
      </c>
      <c r="C1243" s="20" t="n">
        <f aca="false">ROUND(2.68/FX,2)</f>
        <v>0.37</v>
      </c>
      <c r="D1243" s="21" t="s">
        <v>12021</v>
      </c>
      <c r="E1243" s="21" t="s">
        <v>734</v>
      </c>
      <c r="F1243" s="21" t="s">
        <v>12989</v>
      </c>
      <c r="G1243" s="21" t="s">
        <v>11746</v>
      </c>
      <c r="H1243" s="21" t="s">
        <v>11720</v>
      </c>
      <c r="I1243" s="21" t="s">
        <v>12859</v>
      </c>
      <c r="J1243" s="21" t="s">
        <v>12980</v>
      </c>
    </row>
    <row r="1244" customFormat="false" ht="15" hidden="false" customHeight="false" outlineLevel="0" collapsed="false">
      <c r="B1244" s="19" t="s">
        <v>13080</v>
      </c>
      <c r="C1244" s="20" t="n">
        <f aca="false">ROUND(2.34/FX,2)</f>
        <v>0.33</v>
      </c>
      <c r="D1244" s="21" t="s">
        <v>12021</v>
      </c>
      <c r="E1244" s="21" t="s">
        <v>734</v>
      </c>
      <c r="F1244" s="21" t="s">
        <v>12989</v>
      </c>
      <c r="G1244" s="21" t="s">
        <v>11746</v>
      </c>
      <c r="H1244" s="21" t="s">
        <v>11720</v>
      </c>
      <c r="I1244" s="21" t="s">
        <v>12859</v>
      </c>
      <c r="J1244" s="21" t="s">
        <v>12983</v>
      </c>
    </row>
    <row r="1245" customFormat="false" ht="28.35" hidden="false" customHeight="false" outlineLevel="0" collapsed="false">
      <c r="B1245" s="19" t="s">
        <v>13081</v>
      </c>
      <c r="C1245" s="20" t="n">
        <f aca="false">ROUND(1.43/FX,2)</f>
        <v>0.2</v>
      </c>
      <c r="D1245" s="21" t="s">
        <v>12084</v>
      </c>
      <c r="E1245" s="21" t="s">
        <v>7941</v>
      </c>
      <c r="F1245" s="21" t="s">
        <v>12843</v>
      </c>
      <c r="G1245" s="21" t="s">
        <v>11957</v>
      </c>
      <c r="H1245" s="21" t="s">
        <v>11720</v>
      </c>
      <c r="I1245" s="21" t="s">
        <v>12850</v>
      </c>
      <c r="J1245" s="21" t="s">
        <v>12980</v>
      </c>
    </row>
    <row r="1246" customFormat="false" ht="28.35" hidden="false" customHeight="false" outlineLevel="0" collapsed="false">
      <c r="B1246" s="19" t="s">
        <v>13082</v>
      </c>
      <c r="C1246" s="20" t="n">
        <f aca="false">ROUND(2.73/FX,2)</f>
        <v>0.38</v>
      </c>
      <c r="D1246" s="21" t="s">
        <v>12084</v>
      </c>
      <c r="E1246" s="21" t="s">
        <v>7941</v>
      </c>
      <c r="F1246" s="21" t="s">
        <v>12843</v>
      </c>
      <c r="G1246" s="21" t="s">
        <v>11957</v>
      </c>
      <c r="H1246" s="21" t="s">
        <v>11720</v>
      </c>
      <c r="I1246" s="21" t="s">
        <v>12850</v>
      </c>
      <c r="J1246" s="21" t="s">
        <v>12983</v>
      </c>
    </row>
    <row r="1247" customFormat="false" ht="28.35" hidden="false" customHeight="false" outlineLevel="0" collapsed="false">
      <c r="B1247" s="19" t="s">
        <v>13083</v>
      </c>
      <c r="C1247" s="20" t="n">
        <f aca="false">ROUND(2.47/FX,2)</f>
        <v>0.34</v>
      </c>
      <c r="D1247" s="21" t="s">
        <v>12084</v>
      </c>
      <c r="E1247" s="21" t="s">
        <v>7941</v>
      </c>
      <c r="F1247" s="21" t="s">
        <v>12843</v>
      </c>
      <c r="G1247" s="21" t="s">
        <v>11746</v>
      </c>
      <c r="H1247" s="21" t="s">
        <v>11720</v>
      </c>
      <c r="I1247" s="21" t="s">
        <v>12859</v>
      </c>
      <c r="J1247" s="21" t="s">
        <v>12983</v>
      </c>
    </row>
    <row r="1248" customFormat="false" ht="28.35" hidden="false" customHeight="false" outlineLevel="0" collapsed="false">
      <c r="B1248" s="19" t="s">
        <v>13084</v>
      </c>
      <c r="C1248" s="20" t="n">
        <f aca="false">ROUND(1.43/FX,2)</f>
        <v>0.2</v>
      </c>
      <c r="D1248" s="21" t="s">
        <v>12084</v>
      </c>
      <c r="E1248" s="21" t="s">
        <v>7941</v>
      </c>
      <c r="F1248" s="21" t="s">
        <v>12843</v>
      </c>
      <c r="G1248" s="21" t="s">
        <v>11775</v>
      </c>
      <c r="H1248" s="21" t="s">
        <v>11720</v>
      </c>
      <c r="I1248" s="21" t="s">
        <v>12850</v>
      </c>
      <c r="J1248" s="21" t="s">
        <v>12980</v>
      </c>
    </row>
    <row r="1249" customFormat="false" ht="28.35" hidden="false" customHeight="false" outlineLevel="0" collapsed="false">
      <c r="B1249" s="19" t="s">
        <v>13085</v>
      </c>
      <c r="C1249" s="20" t="n">
        <f aca="false">ROUND(2.73/FX,2)</f>
        <v>0.38</v>
      </c>
      <c r="D1249" s="21" t="s">
        <v>12084</v>
      </c>
      <c r="E1249" s="21" t="s">
        <v>7941</v>
      </c>
      <c r="F1249" s="21" t="s">
        <v>12843</v>
      </c>
      <c r="G1249" s="21" t="s">
        <v>11775</v>
      </c>
      <c r="H1249" s="21" t="s">
        <v>11720</v>
      </c>
      <c r="I1249" s="21" t="s">
        <v>12850</v>
      </c>
      <c r="J1249" s="21" t="s">
        <v>12983</v>
      </c>
    </row>
    <row r="1250" customFormat="false" ht="28.35" hidden="false" customHeight="false" outlineLevel="0" collapsed="false">
      <c r="B1250" s="19" t="s">
        <v>13086</v>
      </c>
      <c r="C1250" s="20" t="n">
        <f aca="false">ROUND(1.43/FX,2)</f>
        <v>0.2</v>
      </c>
      <c r="D1250" s="21" t="s">
        <v>12084</v>
      </c>
      <c r="E1250" s="21" t="s">
        <v>7941</v>
      </c>
      <c r="F1250" s="21" t="s">
        <v>12843</v>
      </c>
      <c r="G1250" s="21" t="s">
        <v>11820</v>
      </c>
      <c r="H1250" s="21" t="s">
        <v>11720</v>
      </c>
      <c r="I1250" s="21" t="s">
        <v>12844</v>
      </c>
      <c r="J1250" s="21" t="s">
        <v>12980</v>
      </c>
    </row>
    <row r="1251" customFormat="false" ht="28.35" hidden="false" customHeight="false" outlineLevel="0" collapsed="false">
      <c r="B1251" s="19" t="s">
        <v>13087</v>
      </c>
      <c r="C1251" s="20" t="n">
        <f aca="false">ROUND(2.73/FX,2)</f>
        <v>0.38</v>
      </c>
      <c r="D1251" s="21" t="s">
        <v>12084</v>
      </c>
      <c r="E1251" s="21" t="s">
        <v>7941</v>
      </c>
      <c r="F1251" s="21" t="s">
        <v>12843</v>
      </c>
      <c r="G1251" s="21" t="s">
        <v>11820</v>
      </c>
      <c r="H1251" s="21" t="s">
        <v>11720</v>
      </c>
      <c r="I1251" s="21" t="s">
        <v>12844</v>
      </c>
      <c r="J1251" s="21" t="s">
        <v>12983</v>
      </c>
    </row>
    <row r="1252" customFormat="false" ht="28.35" hidden="false" customHeight="false" outlineLevel="0" collapsed="false">
      <c r="B1252" s="19" t="s">
        <v>13088</v>
      </c>
      <c r="C1252" s="20" t="n">
        <f aca="false">ROUND(1.3/FX,2)</f>
        <v>0.18</v>
      </c>
      <c r="D1252" s="21" t="s">
        <v>12084</v>
      </c>
      <c r="E1252" s="21" t="s">
        <v>7941</v>
      </c>
      <c r="F1252" s="21" t="s">
        <v>12843</v>
      </c>
      <c r="G1252" s="21" t="s">
        <v>11845</v>
      </c>
      <c r="H1252" s="21" t="s">
        <v>11720</v>
      </c>
      <c r="I1252" s="21" t="s">
        <v>12854</v>
      </c>
      <c r="J1252" s="21" t="s">
        <v>12980</v>
      </c>
    </row>
    <row r="1253" customFormat="false" ht="28.35" hidden="false" customHeight="false" outlineLevel="0" collapsed="false">
      <c r="B1253" s="19" t="s">
        <v>13089</v>
      </c>
      <c r="C1253" s="20" t="n">
        <f aca="false">ROUND(2.34/FX,2)</f>
        <v>0.33</v>
      </c>
      <c r="D1253" s="21" t="s">
        <v>12084</v>
      </c>
      <c r="E1253" s="21" t="s">
        <v>7941</v>
      </c>
      <c r="F1253" s="21" t="s">
        <v>12843</v>
      </c>
      <c r="G1253" s="21" t="s">
        <v>11845</v>
      </c>
      <c r="H1253" s="21" t="s">
        <v>11720</v>
      </c>
      <c r="I1253" s="21" t="s">
        <v>12854</v>
      </c>
      <c r="J1253" s="21" t="s">
        <v>12983</v>
      </c>
    </row>
    <row r="1254" customFormat="false" ht="28.35" hidden="false" customHeight="false" outlineLevel="0" collapsed="false">
      <c r="B1254" s="19" t="s">
        <v>13090</v>
      </c>
      <c r="C1254" s="20" t="n">
        <f aca="false">ROUND(2.34/FX,2)</f>
        <v>0.33</v>
      </c>
      <c r="D1254" s="21" t="s">
        <v>12084</v>
      </c>
      <c r="E1254" s="21" t="s">
        <v>7939</v>
      </c>
      <c r="F1254" s="21" t="s">
        <v>12843</v>
      </c>
      <c r="G1254" s="21" t="s">
        <v>11845</v>
      </c>
      <c r="H1254" s="21" t="s">
        <v>11720</v>
      </c>
      <c r="I1254" s="21" t="s">
        <v>12854</v>
      </c>
      <c r="J1254" s="21" t="s">
        <v>12983</v>
      </c>
    </row>
    <row r="1255" customFormat="false" ht="28.35" hidden="false" customHeight="false" outlineLevel="0" collapsed="false">
      <c r="B1255" s="19" t="s">
        <v>13091</v>
      </c>
      <c r="C1255" s="20" t="n">
        <f aca="false">ROUND(3.9/FX,2)</f>
        <v>0.54</v>
      </c>
      <c r="D1255" s="21" t="s">
        <v>12084</v>
      </c>
      <c r="E1255" s="21" t="s">
        <v>734</v>
      </c>
      <c r="F1255" s="21" t="s">
        <v>12927</v>
      </c>
      <c r="G1255" s="21" t="s">
        <v>11775</v>
      </c>
      <c r="H1255" s="21" t="s">
        <v>11720</v>
      </c>
      <c r="I1255" s="21" t="s">
        <v>12850</v>
      </c>
      <c r="J1255" s="21" t="s">
        <v>12980</v>
      </c>
    </row>
    <row r="1256" customFormat="false" ht="28.35" hidden="false" customHeight="false" outlineLevel="0" collapsed="false">
      <c r="B1256" s="19" t="s">
        <v>13092</v>
      </c>
      <c r="C1256" s="20" t="n">
        <f aca="false">ROUND(5.35/FX,2)</f>
        <v>0.74</v>
      </c>
      <c r="D1256" s="21" t="s">
        <v>12084</v>
      </c>
      <c r="E1256" s="21" t="s">
        <v>734</v>
      </c>
      <c r="F1256" s="21" t="s">
        <v>12927</v>
      </c>
      <c r="G1256" s="21" t="s">
        <v>11820</v>
      </c>
      <c r="H1256" s="21" t="s">
        <v>11720</v>
      </c>
      <c r="I1256" s="21" t="s">
        <v>12844</v>
      </c>
      <c r="J1256" s="21" t="s">
        <v>12983</v>
      </c>
    </row>
    <row r="1257" customFormat="false" ht="28.35" hidden="false" customHeight="false" outlineLevel="0" collapsed="false">
      <c r="B1257" s="19" t="s">
        <v>13093</v>
      </c>
      <c r="C1257" s="20" t="n">
        <f aca="false">ROUND(4.81/FX,2)</f>
        <v>0.67</v>
      </c>
      <c r="D1257" s="21" t="s">
        <v>12084</v>
      </c>
      <c r="E1257" s="21" t="s">
        <v>734</v>
      </c>
      <c r="F1257" s="21" t="s">
        <v>12927</v>
      </c>
      <c r="G1257" s="21" t="s">
        <v>11820</v>
      </c>
      <c r="H1257" s="21" t="s">
        <v>11720</v>
      </c>
      <c r="I1257" s="21" t="s">
        <v>12854</v>
      </c>
      <c r="J1257" s="21" t="s">
        <v>6336</v>
      </c>
    </row>
    <row r="1258" customFormat="false" ht="28.35" hidden="false" customHeight="false" outlineLevel="0" collapsed="false">
      <c r="B1258" s="19" t="s">
        <v>13094</v>
      </c>
      <c r="C1258" s="20" t="n">
        <f aca="false">ROUND(4.94/FX,2)</f>
        <v>0.69</v>
      </c>
      <c r="D1258" s="21" t="s">
        <v>12084</v>
      </c>
      <c r="E1258" s="21" t="s">
        <v>734</v>
      </c>
      <c r="F1258" s="21" t="s">
        <v>12927</v>
      </c>
      <c r="G1258" s="21" t="s">
        <v>11845</v>
      </c>
      <c r="H1258" s="21" t="s">
        <v>11720</v>
      </c>
      <c r="I1258" s="21" t="s">
        <v>12854</v>
      </c>
      <c r="J1258" s="21" t="s">
        <v>6336</v>
      </c>
    </row>
    <row r="1259" customFormat="false" ht="28.35" hidden="false" customHeight="false" outlineLevel="0" collapsed="false">
      <c r="B1259" s="19" t="s">
        <v>13095</v>
      </c>
      <c r="C1259" s="20" t="n">
        <f aca="false">ROUND(3.9/FX,2)</f>
        <v>0.54</v>
      </c>
      <c r="D1259" s="21" t="s">
        <v>12084</v>
      </c>
      <c r="E1259" s="21" t="s">
        <v>734</v>
      </c>
      <c r="F1259" s="21" t="s">
        <v>12927</v>
      </c>
      <c r="G1259" s="21" t="s">
        <v>11845</v>
      </c>
      <c r="H1259" s="21" t="s">
        <v>11720</v>
      </c>
      <c r="I1259" s="21" t="s">
        <v>12854</v>
      </c>
      <c r="J1259" s="21" t="s">
        <v>12980</v>
      </c>
    </row>
    <row r="1260" customFormat="false" ht="28.35" hidden="false" customHeight="false" outlineLevel="0" collapsed="false">
      <c r="B1260" s="19" t="s">
        <v>13096</v>
      </c>
      <c r="C1260" s="20" t="n">
        <f aca="false">ROUND(4.6/FX,2)</f>
        <v>0.64</v>
      </c>
      <c r="D1260" s="21" t="s">
        <v>12084</v>
      </c>
      <c r="E1260" s="21" t="s">
        <v>734</v>
      </c>
      <c r="F1260" s="21" t="s">
        <v>12927</v>
      </c>
      <c r="G1260" s="21" t="s">
        <v>11845</v>
      </c>
      <c r="H1260" s="21" t="s">
        <v>11720</v>
      </c>
      <c r="I1260" s="21" t="s">
        <v>12854</v>
      </c>
      <c r="J1260" s="21" t="s">
        <v>12983</v>
      </c>
    </row>
    <row r="1261" customFormat="false" ht="15" hidden="false" customHeight="false" outlineLevel="0" collapsed="false">
      <c r="B1261" s="19" t="s">
        <v>13097</v>
      </c>
      <c r="C1261" s="20" t="n">
        <f aca="false">ROUND(2.1/FX,2)</f>
        <v>0.29</v>
      </c>
      <c r="D1261" s="21" t="s">
        <v>12084</v>
      </c>
      <c r="E1261" s="21" t="s">
        <v>734</v>
      </c>
      <c r="F1261" s="21" t="s">
        <v>13098</v>
      </c>
      <c r="G1261" s="21" t="s">
        <v>11775</v>
      </c>
      <c r="H1261" s="21" t="s">
        <v>11720</v>
      </c>
      <c r="I1261" s="21" t="s">
        <v>12850</v>
      </c>
      <c r="J1261" s="21" t="s">
        <v>6336</v>
      </c>
    </row>
    <row r="1262" customFormat="false" ht="15" hidden="false" customHeight="false" outlineLevel="0" collapsed="false">
      <c r="B1262" s="19" t="s">
        <v>13099</v>
      </c>
      <c r="C1262" s="20" t="n">
        <f aca="false">ROUND(2.1/FX,2)</f>
        <v>0.29</v>
      </c>
      <c r="D1262" s="21" t="s">
        <v>12084</v>
      </c>
      <c r="E1262" s="21" t="s">
        <v>734</v>
      </c>
      <c r="F1262" s="21" t="s">
        <v>13098</v>
      </c>
      <c r="G1262" s="21" t="s">
        <v>11820</v>
      </c>
      <c r="H1262" s="21" t="s">
        <v>11720</v>
      </c>
      <c r="I1262" s="21" t="s">
        <v>12844</v>
      </c>
      <c r="J1262" s="21" t="s">
        <v>6336</v>
      </c>
    </row>
    <row r="1263" customFormat="false" ht="15" hidden="false" customHeight="false" outlineLevel="0" collapsed="false">
      <c r="B1263" s="19" t="s">
        <v>13100</v>
      </c>
      <c r="C1263" s="20" t="n">
        <f aca="false">ROUND(2.1/FX,2)</f>
        <v>0.29</v>
      </c>
      <c r="D1263" s="21" t="s">
        <v>12084</v>
      </c>
      <c r="E1263" s="21" t="s">
        <v>734</v>
      </c>
      <c r="F1263" s="21" t="s">
        <v>13098</v>
      </c>
      <c r="G1263" s="21" t="s">
        <v>11845</v>
      </c>
      <c r="H1263" s="21" t="s">
        <v>11720</v>
      </c>
      <c r="I1263" s="21" t="s">
        <v>12854</v>
      </c>
      <c r="J1263" s="21" t="s">
        <v>6336</v>
      </c>
    </row>
    <row r="1264" customFormat="false" ht="28.35" hidden="false" customHeight="false" outlineLevel="0" collapsed="false">
      <c r="B1264" s="19" t="s">
        <v>13101</v>
      </c>
      <c r="C1264" s="20" t="n">
        <f aca="false">ROUND(3.64/FX,2)</f>
        <v>0.51</v>
      </c>
      <c r="D1264" s="21" t="s">
        <v>12084</v>
      </c>
      <c r="E1264" s="21" t="s">
        <v>734</v>
      </c>
      <c r="F1264" s="21" t="s">
        <v>12856</v>
      </c>
      <c r="G1264" s="21" t="s">
        <v>11957</v>
      </c>
      <c r="H1264" s="21" t="s">
        <v>11720</v>
      </c>
      <c r="I1264" s="21" t="s">
        <v>12850</v>
      </c>
      <c r="J1264" s="21" t="s">
        <v>12980</v>
      </c>
    </row>
    <row r="1265" customFormat="false" ht="28.35" hidden="false" customHeight="false" outlineLevel="0" collapsed="false">
      <c r="B1265" s="19" t="s">
        <v>13102</v>
      </c>
      <c r="C1265" s="20" t="n">
        <f aca="false">ROUND(4.9/FX,2)</f>
        <v>0.68</v>
      </c>
      <c r="D1265" s="21" t="s">
        <v>12084</v>
      </c>
      <c r="E1265" s="21" t="s">
        <v>734</v>
      </c>
      <c r="F1265" s="21" t="s">
        <v>12856</v>
      </c>
      <c r="G1265" s="21" t="s">
        <v>11957</v>
      </c>
      <c r="H1265" s="21" t="s">
        <v>11720</v>
      </c>
      <c r="I1265" s="21" t="s">
        <v>12850</v>
      </c>
      <c r="J1265" s="21" t="s">
        <v>12983</v>
      </c>
    </row>
    <row r="1266" customFormat="false" ht="28.35" hidden="false" customHeight="false" outlineLevel="0" collapsed="false">
      <c r="B1266" s="19" t="s">
        <v>13103</v>
      </c>
      <c r="C1266" s="20" t="n">
        <f aca="false">ROUND(4.16/FX,2)</f>
        <v>0.58</v>
      </c>
      <c r="D1266" s="21" t="s">
        <v>12084</v>
      </c>
      <c r="E1266" s="21" t="s">
        <v>734</v>
      </c>
      <c r="F1266" s="21" t="s">
        <v>12856</v>
      </c>
      <c r="G1266" s="21" t="s">
        <v>11719</v>
      </c>
      <c r="H1266" s="21" t="s">
        <v>11720</v>
      </c>
      <c r="I1266" s="21" t="s">
        <v>12850</v>
      </c>
      <c r="J1266" s="21" t="s">
        <v>12980</v>
      </c>
    </row>
    <row r="1267" customFormat="false" ht="28.35" hidden="false" customHeight="false" outlineLevel="0" collapsed="false">
      <c r="B1267" s="19" t="s">
        <v>13104</v>
      </c>
      <c r="C1267" s="20" t="n">
        <f aca="false">ROUND(4.9/FX,2)</f>
        <v>0.68</v>
      </c>
      <c r="D1267" s="21" t="s">
        <v>12084</v>
      </c>
      <c r="E1267" s="21" t="s">
        <v>734</v>
      </c>
      <c r="F1267" s="21" t="s">
        <v>12856</v>
      </c>
      <c r="G1267" s="21" t="s">
        <v>11719</v>
      </c>
      <c r="H1267" s="21" t="s">
        <v>11720</v>
      </c>
      <c r="I1267" s="21" t="s">
        <v>12857</v>
      </c>
      <c r="J1267" s="21" t="s">
        <v>12983</v>
      </c>
    </row>
    <row r="1268" customFormat="false" ht="28.35" hidden="false" customHeight="false" outlineLevel="0" collapsed="false">
      <c r="B1268" s="19" t="s">
        <v>13105</v>
      </c>
      <c r="C1268" s="20" t="n">
        <f aca="false">ROUND(4.16/FX,2)</f>
        <v>0.58</v>
      </c>
      <c r="D1268" s="21" t="s">
        <v>12084</v>
      </c>
      <c r="E1268" s="21" t="s">
        <v>734</v>
      </c>
      <c r="F1268" s="21" t="s">
        <v>12856</v>
      </c>
      <c r="G1268" s="21" t="s">
        <v>11746</v>
      </c>
      <c r="H1268" s="21" t="s">
        <v>11720</v>
      </c>
      <c r="I1268" s="21" t="s">
        <v>12850</v>
      </c>
      <c r="J1268" s="21" t="s">
        <v>12980</v>
      </c>
    </row>
    <row r="1269" customFormat="false" ht="28.35" hidden="false" customHeight="false" outlineLevel="0" collapsed="false">
      <c r="B1269" s="19" t="s">
        <v>13106</v>
      </c>
      <c r="C1269" s="20" t="n">
        <f aca="false">ROUND(4.9/FX,2)</f>
        <v>0.68</v>
      </c>
      <c r="D1269" s="21" t="s">
        <v>12084</v>
      </c>
      <c r="E1269" s="21" t="s">
        <v>734</v>
      </c>
      <c r="F1269" s="21" t="s">
        <v>12856</v>
      </c>
      <c r="G1269" s="21" t="s">
        <v>11746</v>
      </c>
      <c r="H1269" s="21" t="s">
        <v>11720</v>
      </c>
      <c r="I1269" s="21" t="s">
        <v>12859</v>
      </c>
      <c r="J1269" s="21" t="s">
        <v>12983</v>
      </c>
    </row>
    <row r="1270" customFormat="false" ht="28.35" hidden="false" customHeight="false" outlineLevel="0" collapsed="false">
      <c r="B1270" s="19" t="s">
        <v>13107</v>
      </c>
      <c r="C1270" s="20" t="n">
        <f aca="false">ROUND(4.16/FX,2)</f>
        <v>0.58</v>
      </c>
      <c r="D1270" s="21" t="s">
        <v>12084</v>
      </c>
      <c r="E1270" s="21" t="s">
        <v>734</v>
      </c>
      <c r="F1270" s="21" t="s">
        <v>12856</v>
      </c>
      <c r="G1270" s="21" t="s">
        <v>11767</v>
      </c>
      <c r="H1270" s="21" t="s">
        <v>11720</v>
      </c>
      <c r="I1270" s="21" t="s">
        <v>12850</v>
      </c>
      <c r="J1270" s="21" t="s">
        <v>12980</v>
      </c>
    </row>
    <row r="1271" customFormat="false" ht="28.35" hidden="false" customHeight="false" outlineLevel="0" collapsed="false">
      <c r="B1271" s="19" t="s">
        <v>13108</v>
      </c>
      <c r="C1271" s="20" t="n">
        <f aca="false">ROUND(4.9/FX,2)</f>
        <v>0.68</v>
      </c>
      <c r="D1271" s="21" t="s">
        <v>12084</v>
      </c>
      <c r="E1271" s="21" t="s">
        <v>734</v>
      </c>
      <c r="F1271" s="21" t="s">
        <v>12856</v>
      </c>
      <c r="G1271" s="21" t="s">
        <v>11767</v>
      </c>
      <c r="H1271" s="21" t="s">
        <v>11720</v>
      </c>
      <c r="I1271" s="21" t="s">
        <v>12906</v>
      </c>
      <c r="J1271" s="21" t="s">
        <v>12983</v>
      </c>
    </row>
    <row r="1272" customFormat="false" ht="28.35" hidden="false" customHeight="false" outlineLevel="0" collapsed="false">
      <c r="B1272" s="19" t="s">
        <v>13109</v>
      </c>
      <c r="C1272" s="20" t="n">
        <f aca="false">ROUND(3.64/FX,2)</f>
        <v>0.51</v>
      </c>
      <c r="D1272" s="21" t="s">
        <v>12084</v>
      </c>
      <c r="E1272" s="21" t="s">
        <v>734</v>
      </c>
      <c r="F1272" s="21" t="s">
        <v>12856</v>
      </c>
      <c r="G1272" s="21" t="s">
        <v>11775</v>
      </c>
      <c r="H1272" s="21" t="s">
        <v>11720</v>
      </c>
      <c r="I1272" s="21" t="s">
        <v>12850</v>
      </c>
      <c r="J1272" s="21" t="s">
        <v>12980</v>
      </c>
    </row>
    <row r="1273" customFormat="false" ht="28.35" hidden="false" customHeight="false" outlineLevel="0" collapsed="false">
      <c r="B1273" s="19" t="s">
        <v>13110</v>
      </c>
      <c r="C1273" s="20" t="n">
        <f aca="false">ROUND(4.9/FX,2)</f>
        <v>0.68</v>
      </c>
      <c r="D1273" s="21" t="s">
        <v>12084</v>
      </c>
      <c r="E1273" s="21" t="s">
        <v>734</v>
      </c>
      <c r="F1273" s="21" t="s">
        <v>12856</v>
      </c>
      <c r="G1273" s="21" t="s">
        <v>11775</v>
      </c>
      <c r="H1273" s="21" t="s">
        <v>11720</v>
      </c>
      <c r="I1273" s="21" t="s">
        <v>12850</v>
      </c>
      <c r="J1273" s="21" t="s">
        <v>12983</v>
      </c>
    </row>
    <row r="1274" customFormat="false" ht="28.35" hidden="false" customHeight="false" outlineLevel="0" collapsed="false">
      <c r="B1274" s="19" t="s">
        <v>13111</v>
      </c>
      <c r="C1274" s="20" t="n">
        <f aca="false">ROUND(3.64/FX,2)</f>
        <v>0.51</v>
      </c>
      <c r="D1274" s="21" t="s">
        <v>12084</v>
      </c>
      <c r="E1274" s="21" t="s">
        <v>734</v>
      </c>
      <c r="F1274" s="21" t="s">
        <v>12856</v>
      </c>
      <c r="G1274" s="21" t="s">
        <v>11820</v>
      </c>
      <c r="H1274" s="21" t="s">
        <v>11720</v>
      </c>
      <c r="I1274" s="21" t="s">
        <v>12850</v>
      </c>
      <c r="J1274" s="21" t="s">
        <v>12980</v>
      </c>
    </row>
    <row r="1275" customFormat="false" ht="28.35" hidden="false" customHeight="false" outlineLevel="0" collapsed="false">
      <c r="B1275" s="19" t="s">
        <v>13112</v>
      </c>
      <c r="C1275" s="20" t="n">
        <f aca="false">ROUND(5.25/FX,2)</f>
        <v>0.73</v>
      </c>
      <c r="D1275" s="21" t="s">
        <v>12084</v>
      </c>
      <c r="E1275" s="21" t="s">
        <v>734</v>
      </c>
      <c r="F1275" s="21" t="s">
        <v>12856</v>
      </c>
      <c r="G1275" s="21" t="s">
        <v>11820</v>
      </c>
      <c r="H1275" s="21" t="s">
        <v>11720</v>
      </c>
      <c r="I1275" s="21" t="s">
        <v>12844</v>
      </c>
      <c r="J1275" s="21" t="s">
        <v>12983</v>
      </c>
    </row>
    <row r="1276" customFormat="false" ht="28.35" hidden="false" customHeight="false" outlineLevel="0" collapsed="false">
      <c r="B1276" s="19" t="s">
        <v>13113</v>
      </c>
      <c r="C1276" s="20" t="n">
        <f aca="false">ROUND(3.64/FX,2)</f>
        <v>0.51</v>
      </c>
      <c r="D1276" s="21" t="s">
        <v>12084</v>
      </c>
      <c r="E1276" s="21" t="s">
        <v>734</v>
      </c>
      <c r="F1276" s="21" t="s">
        <v>12856</v>
      </c>
      <c r="G1276" s="21" t="s">
        <v>11845</v>
      </c>
      <c r="H1276" s="21" t="s">
        <v>11720</v>
      </c>
      <c r="I1276" s="21" t="s">
        <v>12854</v>
      </c>
      <c r="J1276" s="21" t="s">
        <v>12980</v>
      </c>
    </row>
    <row r="1277" customFormat="false" ht="28.35" hidden="false" customHeight="false" outlineLevel="0" collapsed="false">
      <c r="B1277" s="19" t="s">
        <v>13114</v>
      </c>
      <c r="C1277" s="20" t="n">
        <f aca="false">ROUND(5.53/FX,2)</f>
        <v>0.77</v>
      </c>
      <c r="D1277" s="21" t="s">
        <v>12084</v>
      </c>
      <c r="E1277" s="21" t="s">
        <v>734</v>
      </c>
      <c r="F1277" s="21" t="s">
        <v>12856</v>
      </c>
      <c r="G1277" s="21" t="s">
        <v>11845</v>
      </c>
      <c r="H1277" s="21" t="s">
        <v>11720</v>
      </c>
      <c r="I1277" s="21" t="s">
        <v>12854</v>
      </c>
      <c r="J1277" s="21" t="s">
        <v>12983</v>
      </c>
    </row>
    <row r="1278" customFormat="false" ht="28.35" hidden="false" customHeight="false" outlineLevel="0" collapsed="false">
      <c r="B1278" s="19" t="s">
        <v>13115</v>
      </c>
      <c r="C1278" s="20" t="n">
        <f aca="false">ROUND(2.34/FX,2)</f>
        <v>0.33</v>
      </c>
      <c r="D1278" s="21" t="s">
        <v>12084</v>
      </c>
      <c r="E1278" s="21" t="s">
        <v>734</v>
      </c>
      <c r="F1278" s="21" t="s">
        <v>13057</v>
      </c>
      <c r="G1278" s="21" t="s">
        <v>11820</v>
      </c>
      <c r="H1278" s="21" t="s">
        <v>11720</v>
      </c>
      <c r="I1278" s="21" t="s">
        <v>12844</v>
      </c>
      <c r="J1278" s="21" t="s">
        <v>6336</v>
      </c>
    </row>
    <row r="1279" customFormat="false" ht="28.35" hidden="false" customHeight="false" outlineLevel="0" collapsed="false">
      <c r="B1279" s="19" t="s">
        <v>13116</v>
      </c>
      <c r="C1279" s="20" t="n">
        <f aca="false">ROUND(2.34/FX,2)</f>
        <v>0.33</v>
      </c>
      <c r="D1279" s="21" t="s">
        <v>12084</v>
      </c>
      <c r="E1279" s="21" t="s">
        <v>734</v>
      </c>
      <c r="F1279" s="21" t="s">
        <v>13057</v>
      </c>
      <c r="G1279" s="21" t="s">
        <v>11820</v>
      </c>
      <c r="H1279" s="21" t="s">
        <v>11720</v>
      </c>
      <c r="I1279" s="21" t="s">
        <v>12844</v>
      </c>
      <c r="J1279" s="21" t="s">
        <v>12983</v>
      </c>
    </row>
    <row r="1280" customFormat="false" ht="15" hidden="false" customHeight="false" outlineLevel="0" collapsed="false">
      <c r="B1280" s="19" t="s">
        <v>13117</v>
      </c>
      <c r="C1280" s="20" t="n">
        <f aca="false">ROUND(4.68/FX,2)</f>
        <v>0.65</v>
      </c>
      <c r="D1280" s="21" t="s">
        <v>12084</v>
      </c>
      <c r="E1280" s="21" t="s">
        <v>734</v>
      </c>
      <c r="F1280" s="21" t="s">
        <v>13118</v>
      </c>
      <c r="G1280" s="21" t="s">
        <v>11957</v>
      </c>
      <c r="H1280" s="21" t="s">
        <v>11720</v>
      </c>
      <c r="I1280" s="21" t="s">
        <v>12850</v>
      </c>
      <c r="J1280" s="21" t="s">
        <v>6336</v>
      </c>
    </row>
    <row r="1281" customFormat="false" ht="15" hidden="false" customHeight="false" outlineLevel="0" collapsed="false">
      <c r="B1281" s="19" t="s">
        <v>13119</v>
      </c>
      <c r="C1281" s="20" t="n">
        <f aca="false">ROUND(4.68/FX,2)</f>
        <v>0.65</v>
      </c>
      <c r="D1281" s="21" t="s">
        <v>12084</v>
      </c>
      <c r="E1281" s="21" t="s">
        <v>734</v>
      </c>
      <c r="F1281" s="21" t="s">
        <v>13118</v>
      </c>
      <c r="G1281" s="21" t="s">
        <v>11719</v>
      </c>
      <c r="H1281" s="21" t="s">
        <v>11720</v>
      </c>
      <c r="I1281" s="21" t="s">
        <v>12857</v>
      </c>
      <c r="J1281" s="21" t="s">
        <v>6336</v>
      </c>
    </row>
    <row r="1282" customFormat="false" ht="15" hidden="false" customHeight="false" outlineLevel="0" collapsed="false">
      <c r="B1282" s="19" t="s">
        <v>13120</v>
      </c>
      <c r="C1282" s="20" t="n">
        <f aca="false">ROUND(4.81/FX,2)</f>
        <v>0.67</v>
      </c>
      <c r="D1282" s="21" t="s">
        <v>12084</v>
      </c>
      <c r="E1282" s="21" t="s">
        <v>734</v>
      </c>
      <c r="F1282" s="21" t="s">
        <v>13118</v>
      </c>
      <c r="G1282" s="21" t="s">
        <v>11746</v>
      </c>
      <c r="H1282" s="21" t="s">
        <v>11720</v>
      </c>
      <c r="I1282" s="21" t="s">
        <v>12859</v>
      </c>
      <c r="J1282" s="21" t="s">
        <v>6336</v>
      </c>
    </row>
    <row r="1283" customFormat="false" ht="15" hidden="false" customHeight="false" outlineLevel="0" collapsed="false">
      <c r="B1283" s="19" t="s">
        <v>13121</v>
      </c>
      <c r="C1283" s="20" t="n">
        <f aca="false">ROUND(4.68/FX,2)</f>
        <v>0.65</v>
      </c>
      <c r="D1283" s="21" t="s">
        <v>12084</v>
      </c>
      <c r="E1283" s="21" t="s">
        <v>734</v>
      </c>
      <c r="F1283" s="21" t="s">
        <v>13118</v>
      </c>
      <c r="G1283" s="21" t="s">
        <v>11775</v>
      </c>
      <c r="H1283" s="21" t="s">
        <v>11720</v>
      </c>
      <c r="I1283" s="21" t="s">
        <v>12850</v>
      </c>
      <c r="J1283" s="21" t="s">
        <v>6336</v>
      </c>
    </row>
    <row r="1284" customFormat="false" ht="15" hidden="false" customHeight="false" outlineLevel="0" collapsed="false">
      <c r="B1284" s="19" t="s">
        <v>13122</v>
      </c>
      <c r="C1284" s="20" t="n">
        <f aca="false">ROUND(4.68/FX,2)</f>
        <v>0.65</v>
      </c>
      <c r="D1284" s="21" t="s">
        <v>12084</v>
      </c>
      <c r="E1284" s="21" t="s">
        <v>734</v>
      </c>
      <c r="F1284" s="21" t="s">
        <v>13118</v>
      </c>
      <c r="G1284" s="21" t="s">
        <v>11820</v>
      </c>
      <c r="H1284" s="21" t="s">
        <v>11720</v>
      </c>
      <c r="I1284" s="21" t="s">
        <v>12844</v>
      </c>
      <c r="J1284" s="21" t="s">
        <v>6336</v>
      </c>
    </row>
    <row r="1285" customFormat="false" ht="15" hidden="false" customHeight="false" outlineLevel="0" collapsed="false">
      <c r="B1285" s="19" t="s">
        <v>13123</v>
      </c>
      <c r="C1285" s="20" t="n">
        <f aca="false">ROUND(5.07/FX,2)</f>
        <v>0.7</v>
      </c>
      <c r="D1285" s="21" t="s">
        <v>12084</v>
      </c>
      <c r="E1285" s="21" t="s">
        <v>734</v>
      </c>
      <c r="F1285" s="21" t="s">
        <v>13118</v>
      </c>
      <c r="G1285" s="21" t="s">
        <v>11820</v>
      </c>
      <c r="H1285" s="21" t="s">
        <v>11810</v>
      </c>
      <c r="I1285" s="21" t="s">
        <v>12844</v>
      </c>
      <c r="J1285" s="21" t="s">
        <v>6336</v>
      </c>
    </row>
    <row r="1286" customFormat="false" ht="15" hidden="false" customHeight="false" outlineLevel="0" collapsed="false">
      <c r="B1286" s="19" t="s">
        <v>13124</v>
      </c>
      <c r="C1286" s="20" t="n">
        <f aca="false">ROUND(4.68/FX,2)</f>
        <v>0.65</v>
      </c>
      <c r="D1286" s="21" t="s">
        <v>12084</v>
      </c>
      <c r="E1286" s="21" t="s">
        <v>734</v>
      </c>
      <c r="F1286" s="21" t="s">
        <v>13118</v>
      </c>
      <c r="G1286" s="21" t="s">
        <v>11845</v>
      </c>
      <c r="H1286" s="21" t="s">
        <v>11720</v>
      </c>
      <c r="I1286" s="21" t="s">
        <v>12854</v>
      </c>
      <c r="J1286" s="21" t="s">
        <v>6336</v>
      </c>
    </row>
    <row r="1287" customFormat="false" ht="15" hidden="false" customHeight="false" outlineLevel="0" collapsed="false">
      <c r="B1287" s="19" t="s">
        <v>13125</v>
      </c>
      <c r="C1287" s="20" t="n">
        <f aca="false">ROUND(5.07/FX,2)</f>
        <v>0.7</v>
      </c>
      <c r="D1287" s="21" t="s">
        <v>12084</v>
      </c>
      <c r="E1287" s="21" t="s">
        <v>734</v>
      </c>
      <c r="F1287" s="21" t="s">
        <v>13118</v>
      </c>
      <c r="G1287" s="21" t="s">
        <v>11845</v>
      </c>
      <c r="H1287" s="21" t="s">
        <v>11810</v>
      </c>
      <c r="I1287" s="21" t="s">
        <v>12854</v>
      </c>
      <c r="J1287" s="21" t="s">
        <v>6336</v>
      </c>
    </row>
    <row r="1288" customFormat="false" ht="15" hidden="false" customHeight="false" outlineLevel="0" collapsed="false">
      <c r="B1288" s="19" t="s">
        <v>13126</v>
      </c>
      <c r="C1288" s="20" t="n">
        <f aca="false">ROUND(2.34/FX,2)</f>
        <v>0.33</v>
      </c>
      <c r="D1288" s="21" t="s">
        <v>12084</v>
      </c>
      <c r="E1288" s="21" t="s">
        <v>734</v>
      </c>
      <c r="F1288" s="21" t="s">
        <v>13127</v>
      </c>
      <c r="G1288" s="21" t="s">
        <v>11820</v>
      </c>
      <c r="H1288" s="21" t="s">
        <v>11720</v>
      </c>
      <c r="I1288" s="21" t="s">
        <v>12844</v>
      </c>
      <c r="J1288" s="21" t="s">
        <v>6336</v>
      </c>
    </row>
    <row r="1289" customFormat="false" ht="15" hidden="false" customHeight="false" outlineLevel="0" collapsed="false">
      <c r="B1289" s="19" t="s">
        <v>13128</v>
      </c>
      <c r="C1289" s="20" t="n">
        <f aca="false">ROUND(1.43/FX,2)</f>
        <v>0.2</v>
      </c>
      <c r="D1289" s="21" t="s">
        <v>12084</v>
      </c>
      <c r="E1289" s="21" t="s">
        <v>734</v>
      </c>
      <c r="F1289" s="21" t="s">
        <v>12989</v>
      </c>
      <c r="G1289" s="21" t="s">
        <v>12085</v>
      </c>
      <c r="H1289" s="21" t="s">
        <v>11720</v>
      </c>
      <c r="I1289" s="21" t="s">
        <v>12850</v>
      </c>
      <c r="J1289" s="21" t="s">
        <v>12980</v>
      </c>
    </row>
    <row r="1290" customFormat="false" ht="15" hidden="false" customHeight="false" outlineLevel="0" collapsed="false">
      <c r="B1290" s="19" t="s">
        <v>13129</v>
      </c>
      <c r="C1290" s="20" t="n">
        <f aca="false">ROUND(2.73/FX,2)</f>
        <v>0.38</v>
      </c>
      <c r="D1290" s="21" t="s">
        <v>12084</v>
      </c>
      <c r="E1290" s="21" t="s">
        <v>734</v>
      </c>
      <c r="F1290" s="21" t="s">
        <v>12989</v>
      </c>
      <c r="G1290" s="21" t="s">
        <v>12089</v>
      </c>
      <c r="H1290" s="21" t="s">
        <v>11720</v>
      </c>
      <c r="I1290" s="21" t="s">
        <v>12844</v>
      </c>
      <c r="J1290" s="21" t="s">
        <v>12983</v>
      </c>
    </row>
    <row r="1291" customFormat="false" ht="15" hidden="false" customHeight="false" outlineLevel="0" collapsed="false">
      <c r="B1291" s="19" t="s">
        <v>13130</v>
      </c>
      <c r="C1291" s="20" t="n">
        <f aca="false">ROUND(1.43/FX,2)</f>
        <v>0.2</v>
      </c>
      <c r="D1291" s="21" t="s">
        <v>12084</v>
      </c>
      <c r="E1291" s="21" t="s">
        <v>734</v>
      </c>
      <c r="F1291" s="21" t="s">
        <v>12989</v>
      </c>
      <c r="G1291" s="21" t="s">
        <v>11957</v>
      </c>
      <c r="H1291" s="21" t="s">
        <v>11720</v>
      </c>
      <c r="I1291" s="21" t="s">
        <v>12850</v>
      </c>
      <c r="J1291" s="21" t="s">
        <v>12980</v>
      </c>
    </row>
    <row r="1292" customFormat="false" ht="15" hidden="false" customHeight="false" outlineLevel="0" collapsed="false">
      <c r="B1292" s="19" t="s">
        <v>13131</v>
      </c>
      <c r="C1292" s="20" t="n">
        <f aca="false">ROUND(2.73/FX,2)</f>
        <v>0.38</v>
      </c>
      <c r="D1292" s="21" t="s">
        <v>12084</v>
      </c>
      <c r="E1292" s="21" t="s">
        <v>734</v>
      </c>
      <c r="F1292" s="21" t="s">
        <v>12989</v>
      </c>
      <c r="G1292" s="21" t="s">
        <v>11957</v>
      </c>
      <c r="H1292" s="21" t="s">
        <v>11720</v>
      </c>
      <c r="I1292" s="21" t="s">
        <v>12850</v>
      </c>
      <c r="J1292" s="21" t="s">
        <v>12983</v>
      </c>
    </row>
    <row r="1293" customFormat="false" ht="15" hidden="false" customHeight="false" outlineLevel="0" collapsed="false">
      <c r="B1293" s="19" t="s">
        <v>13132</v>
      </c>
      <c r="C1293" s="20" t="n">
        <f aca="false">ROUND(3.9/FX,2)</f>
        <v>0.54</v>
      </c>
      <c r="D1293" s="21" t="s">
        <v>12084</v>
      </c>
      <c r="E1293" s="21" t="s">
        <v>734</v>
      </c>
      <c r="F1293" s="21" t="s">
        <v>12989</v>
      </c>
      <c r="G1293" s="21" t="s">
        <v>12784</v>
      </c>
      <c r="H1293" s="21" t="s">
        <v>11720</v>
      </c>
      <c r="I1293" s="21" t="s">
        <v>12908</v>
      </c>
      <c r="J1293" s="21" t="s">
        <v>12980</v>
      </c>
    </row>
    <row r="1294" customFormat="false" ht="15" hidden="false" customHeight="false" outlineLevel="0" collapsed="false">
      <c r="B1294" s="19" t="s">
        <v>13133</v>
      </c>
      <c r="C1294" s="20" t="n">
        <f aca="false">ROUND(3.9/FX,2)</f>
        <v>0.54</v>
      </c>
      <c r="D1294" s="21" t="s">
        <v>12084</v>
      </c>
      <c r="E1294" s="21" t="s">
        <v>734</v>
      </c>
      <c r="F1294" s="21" t="s">
        <v>12989</v>
      </c>
      <c r="G1294" s="21" t="s">
        <v>12784</v>
      </c>
      <c r="H1294" s="21" t="s">
        <v>11720</v>
      </c>
      <c r="I1294" s="21" t="s">
        <v>12908</v>
      </c>
      <c r="J1294" s="21" t="s">
        <v>12983</v>
      </c>
    </row>
    <row r="1295" customFormat="false" ht="15" hidden="false" customHeight="false" outlineLevel="0" collapsed="false">
      <c r="B1295" s="19" t="s">
        <v>13134</v>
      </c>
      <c r="C1295" s="20" t="n">
        <f aca="false">ROUND(2.73/FX,2)</f>
        <v>0.38</v>
      </c>
      <c r="D1295" s="21" t="s">
        <v>12084</v>
      </c>
      <c r="E1295" s="21" t="s">
        <v>734</v>
      </c>
      <c r="F1295" s="21" t="s">
        <v>12989</v>
      </c>
      <c r="G1295" s="21" t="s">
        <v>11719</v>
      </c>
      <c r="H1295" s="21" t="s">
        <v>11720</v>
      </c>
      <c r="I1295" s="21" t="s">
        <v>12857</v>
      </c>
      <c r="J1295" s="21" t="s">
        <v>12983</v>
      </c>
    </row>
    <row r="1296" customFormat="false" ht="15" hidden="false" customHeight="false" outlineLevel="0" collapsed="false">
      <c r="B1296" s="19" t="s">
        <v>13135</v>
      </c>
      <c r="C1296" s="20" t="n">
        <f aca="false">ROUND(2.73/FX,2)</f>
        <v>0.38</v>
      </c>
      <c r="D1296" s="21" t="s">
        <v>12084</v>
      </c>
      <c r="E1296" s="21" t="s">
        <v>734</v>
      </c>
      <c r="F1296" s="21" t="s">
        <v>12989</v>
      </c>
      <c r="G1296" s="21" t="s">
        <v>11746</v>
      </c>
      <c r="H1296" s="21" t="s">
        <v>11720</v>
      </c>
      <c r="I1296" s="21" t="s">
        <v>12859</v>
      </c>
      <c r="J1296" s="21" t="s">
        <v>12983</v>
      </c>
    </row>
    <row r="1297" customFormat="false" ht="15" hidden="false" customHeight="false" outlineLevel="0" collapsed="false">
      <c r="B1297" s="19" t="s">
        <v>13136</v>
      </c>
      <c r="C1297" s="20" t="n">
        <f aca="false">ROUND(1.4/FX,2)</f>
        <v>0.19</v>
      </c>
      <c r="D1297" s="21" t="s">
        <v>12084</v>
      </c>
      <c r="E1297" s="21" t="s">
        <v>734</v>
      </c>
      <c r="F1297" s="21" t="s">
        <v>12989</v>
      </c>
      <c r="G1297" s="21" t="s">
        <v>11767</v>
      </c>
      <c r="H1297" s="21" t="s">
        <v>11720</v>
      </c>
      <c r="I1297" s="21" t="s">
        <v>12906</v>
      </c>
      <c r="J1297" s="21" t="s">
        <v>12980</v>
      </c>
    </row>
    <row r="1298" customFormat="false" ht="15" hidden="false" customHeight="false" outlineLevel="0" collapsed="false">
      <c r="B1298" s="19" t="s">
        <v>13137</v>
      </c>
      <c r="C1298" s="20" t="n">
        <f aca="false">ROUND(2.86/FX,2)</f>
        <v>0.4</v>
      </c>
      <c r="D1298" s="21" t="s">
        <v>12084</v>
      </c>
      <c r="E1298" s="21" t="s">
        <v>734</v>
      </c>
      <c r="F1298" s="21" t="s">
        <v>12989</v>
      </c>
      <c r="G1298" s="21" t="s">
        <v>11767</v>
      </c>
      <c r="H1298" s="21" t="s">
        <v>11720</v>
      </c>
      <c r="I1298" s="21" t="s">
        <v>12906</v>
      </c>
      <c r="J1298" s="21" t="s">
        <v>12983</v>
      </c>
    </row>
    <row r="1299" customFormat="false" ht="15" hidden="false" customHeight="false" outlineLevel="0" collapsed="false">
      <c r="B1299" s="19" t="s">
        <v>13138</v>
      </c>
      <c r="C1299" s="20" t="n">
        <f aca="false">ROUND(1.69/FX,2)</f>
        <v>0.23</v>
      </c>
      <c r="D1299" s="21" t="s">
        <v>12084</v>
      </c>
      <c r="E1299" s="21" t="s">
        <v>734</v>
      </c>
      <c r="F1299" s="21" t="s">
        <v>12989</v>
      </c>
      <c r="G1299" s="21" t="s">
        <v>11770</v>
      </c>
      <c r="H1299" s="21" t="s">
        <v>11720</v>
      </c>
      <c r="I1299" s="21" t="s">
        <v>12908</v>
      </c>
      <c r="J1299" s="21" t="s">
        <v>12980</v>
      </c>
    </row>
    <row r="1300" customFormat="false" ht="15" hidden="false" customHeight="false" outlineLevel="0" collapsed="false">
      <c r="B1300" s="19" t="s">
        <v>13139</v>
      </c>
      <c r="C1300" s="20" t="n">
        <f aca="false">ROUND(1.43/FX,2)</f>
        <v>0.2</v>
      </c>
      <c r="D1300" s="21" t="s">
        <v>12084</v>
      </c>
      <c r="E1300" s="21" t="s">
        <v>734</v>
      </c>
      <c r="F1300" s="21" t="s">
        <v>12989</v>
      </c>
      <c r="G1300" s="21" t="s">
        <v>11775</v>
      </c>
      <c r="H1300" s="21" t="s">
        <v>11720</v>
      </c>
      <c r="I1300" s="21" t="s">
        <v>12850</v>
      </c>
      <c r="J1300" s="21" t="s">
        <v>12980</v>
      </c>
    </row>
    <row r="1301" customFormat="false" ht="15" hidden="false" customHeight="false" outlineLevel="0" collapsed="false">
      <c r="B1301" s="19" t="s">
        <v>13140</v>
      </c>
      <c r="C1301" s="20" t="n">
        <f aca="false">ROUND(1.69/FX,2)</f>
        <v>0.23</v>
      </c>
      <c r="D1301" s="21" t="s">
        <v>12084</v>
      </c>
      <c r="E1301" s="21" t="s">
        <v>734</v>
      </c>
      <c r="F1301" s="21" t="s">
        <v>12989</v>
      </c>
      <c r="G1301" s="21" t="s">
        <v>11775</v>
      </c>
      <c r="H1301" s="21" t="s">
        <v>11810</v>
      </c>
      <c r="I1301" s="21" t="s">
        <v>12850</v>
      </c>
      <c r="J1301" s="21" t="s">
        <v>12980</v>
      </c>
    </row>
    <row r="1302" customFormat="false" ht="15" hidden="false" customHeight="false" outlineLevel="0" collapsed="false">
      <c r="B1302" s="19" t="s">
        <v>13141</v>
      </c>
      <c r="C1302" s="20" t="n">
        <f aca="false">ROUND(2.73/FX,2)</f>
        <v>0.38</v>
      </c>
      <c r="D1302" s="21" t="s">
        <v>12084</v>
      </c>
      <c r="E1302" s="21" t="s">
        <v>734</v>
      </c>
      <c r="F1302" s="21" t="s">
        <v>12989</v>
      </c>
      <c r="G1302" s="21" t="s">
        <v>11775</v>
      </c>
      <c r="H1302" s="21" t="s">
        <v>11720</v>
      </c>
      <c r="I1302" s="21" t="s">
        <v>12850</v>
      </c>
      <c r="J1302" s="21" t="s">
        <v>12983</v>
      </c>
    </row>
    <row r="1303" customFormat="false" ht="15" hidden="false" customHeight="false" outlineLevel="0" collapsed="false">
      <c r="B1303" s="19" t="s">
        <v>13142</v>
      </c>
      <c r="C1303" s="20" t="n">
        <f aca="false">ROUND(1.4/FX,2)</f>
        <v>0.19</v>
      </c>
      <c r="D1303" s="21" t="s">
        <v>12084</v>
      </c>
      <c r="E1303" s="21" t="s">
        <v>734</v>
      </c>
      <c r="F1303" s="21" t="s">
        <v>12989</v>
      </c>
      <c r="G1303" s="21" t="s">
        <v>11820</v>
      </c>
      <c r="H1303" s="21" t="s">
        <v>11720</v>
      </c>
      <c r="I1303" s="21" t="s">
        <v>12844</v>
      </c>
      <c r="J1303" s="21" t="s">
        <v>12980</v>
      </c>
    </row>
    <row r="1304" customFormat="false" ht="15" hidden="false" customHeight="false" outlineLevel="0" collapsed="false">
      <c r="B1304" s="19" t="s">
        <v>13143</v>
      </c>
      <c r="C1304" s="20" t="n">
        <f aca="false">ROUND(2.73/FX,2)</f>
        <v>0.38</v>
      </c>
      <c r="D1304" s="21" t="s">
        <v>12084</v>
      </c>
      <c r="E1304" s="21" t="s">
        <v>734</v>
      </c>
      <c r="F1304" s="21" t="s">
        <v>12989</v>
      </c>
      <c r="G1304" s="21" t="s">
        <v>11820</v>
      </c>
      <c r="H1304" s="21" t="s">
        <v>11720</v>
      </c>
      <c r="I1304" s="21" t="s">
        <v>12844</v>
      </c>
      <c r="J1304" s="21" t="s">
        <v>12983</v>
      </c>
    </row>
    <row r="1305" customFormat="false" ht="15" hidden="false" customHeight="false" outlineLevel="0" collapsed="false">
      <c r="B1305" s="19" t="s">
        <v>13144</v>
      </c>
      <c r="C1305" s="20" t="n">
        <f aca="false">ROUND(2.73/FX,2)</f>
        <v>0.38</v>
      </c>
      <c r="D1305" s="21" t="s">
        <v>12084</v>
      </c>
      <c r="E1305" s="21" t="s">
        <v>734</v>
      </c>
      <c r="F1305" s="21" t="s">
        <v>12989</v>
      </c>
      <c r="G1305" s="21" t="s">
        <v>11820</v>
      </c>
      <c r="H1305" s="21" t="s">
        <v>11810</v>
      </c>
      <c r="I1305" s="21" t="s">
        <v>12844</v>
      </c>
      <c r="J1305" s="21" t="s">
        <v>12983</v>
      </c>
    </row>
    <row r="1306" customFormat="false" ht="15" hidden="false" customHeight="false" outlineLevel="0" collapsed="false">
      <c r="B1306" s="19" t="s">
        <v>13145</v>
      </c>
      <c r="C1306" s="20" t="n">
        <f aca="false">ROUND(1.82/FX,2)</f>
        <v>0.25</v>
      </c>
      <c r="D1306" s="21" t="s">
        <v>12084</v>
      </c>
      <c r="E1306" s="21" t="s">
        <v>734</v>
      </c>
      <c r="F1306" s="21" t="s">
        <v>12989</v>
      </c>
      <c r="G1306" s="21" t="s">
        <v>11843</v>
      </c>
      <c r="H1306" s="21" t="s">
        <v>11720</v>
      </c>
      <c r="I1306" s="21" t="s">
        <v>13002</v>
      </c>
      <c r="J1306" s="21" t="s">
        <v>12980</v>
      </c>
    </row>
    <row r="1307" customFormat="false" ht="15" hidden="false" customHeight="false" outlineLevel="0" collapsed="false">
      <c r="B1307" s="19" t="s">
        <v>13146</v>
      </c>
      <c r="C1307" s="20" t="n">
        <f aca="false">ROUND(1.4/FX,2)</f>
        <v>0.19</v>
      </c>
      <c r="D1307" s="21" t="s">
        <v>12084</v>
      </c>
      <c r="E1307" s="21" t="s">
        <v>734</v>
      </c>
      <c r="F1307" s="21" t="s">
        <v>12989</v>
      </c>
      <c r="G1307" s="21" t="s">
        <v>11845</v>
      </c>
      <c r="H1307" s="21" t="s">
        <v>11720</v>
      </c>
      <c r="I1307" s="21" t="s">
        <v>12854</v>
      </c>
      <c r="J1307" s="21" t="s">
        <v>12980</v>
      </c>
    </row>
    <row r="1308" customFormat="false" ht="15" hidden="false" customHeight="false" outlineLevel="0" collapsed="false">
      <c r="B1308" s="19" t="s">
        <v>13147</v>
      </c>
      <c r="C1308" s="20" t="n">
        <f aca="false">ROUND(1.56/FX,2)</f>
        <v>0.22</v>
      </c>
      <c r="D1308" s="21" t="s">
        <v>12084</v>
      </c>
      <c r="E1308" s="21" t="s">
        <v>13148</v>
      </c>
      <c r="F1308" s="21" t="s">
        <v>12989</v>
      </c>
      <c r="G1308" s="21" t="s">
        <v>11845</v>
      </c>
      <c r="H1308" s="21" t="s">
        <v>11720</v>
      </c>
      <c r="I1308" s="21" t="s">
        <v>12854</v>
      </c>
      <c r="J1308" s="21" t="s">
        <v>12980</v>
      </c>
    </row>
    <row r="1309" customFormat="false" ht="15" hidden="false" customHeight="false" outlineLevel="0" collapsed="false">
      <c r="B1309" s="19" t="s">
        <v>13149</v>
      </c>
      <c r="C1309" s="20" t="n">
        <f aca="false">ROUND(2.73/FX,2)</f>
        <v>0.38</v>
      </c>
      <c r="D1309" s="21" t="s">
        <v>12084</v>
      </c>
      <c r="E1309" s="21" t="s">
        <v>734</v>
      </c>
      <c r="F1309" s="21" t="s">
        <v>12989</v>
      </c>
      <c r="G1309" s="21" t="s">
        <v>11845</v>
      </c>
      <c r="H1309" s="21" t="s">
        <v>11720</v>
      </c>
      <c r="I1309" s="21" t="s">
        <v>12854</v>
      </c>
      <c r="J1309" s="21" t="s">
        <v>12983</v>
      </c>
    </row>
    <row r="1310" customFormat="false" ht="15" hidden="false" customHeight="false" outlineLevel="0" collapsed="false">
      <c r="B1310" s="19" t="s">
        <v>13150</v>
      </c>
      <c r="C1310" s="20" t="n">
        <f aca="false">ROUND(2.73/FX,2)</f>
        <v>0.38</v>
      </c>
      <c r="D1310" s="21" t="s">
        <v>12084</v>
      </c>
      <c r="E1310" s="21" t="s">
        <v>734</v>
      </c>
      <c r="F1310" s="21" t="s">
        <v>12989</v>
      </c>
      <c r="G1310" s="21" t="s">
        <v>11845</v>
      </c>
      <c r="H1310" s="21" t="s">
        <v>11810</v>
      </c>
      <c r="I1310" s="21" t="s">
        <v>12854</v>
      </c>
      <c r="J1310" s="21" t="s">
        <v>12983</v>
      </c>
    </row>
    <row r="1311" customFormat="false" ht="15" hidden="false" customHeight="false" outlineLevel="0" collapsed="false">
      <c r="B1311" s="19" t="s">
        <v>13151</v>
      </c>
      <c r="C1311" s="20" t="n">
        <f aca="false">ROUND(2.73/FX,2)</f>
        <v>0.38</v>
      </c>
      <c r="D1311" s="21" t="s">
        <v>12084</v>
      </c>
      <c r="E1311" s="21" t="s">
        <v>734</v>
      </c>
      <c r="F1311" s="21" t="s">
        <v>12989</v>
      </c>
      <c r="G1311" s="21" t="s">
        <v>11874</v>
      </c>
      <c r="H1311" s="21" t="s">
        <v>11720</v>
      </c>
      <c r="I1311" s="21" t="s">
        <v>12850</v>
      </c>
      <c r="J1311" s="21" t="s">
        <v>12983</v>
      </c>
    </row>
  </sheetData>
  <mergeCells count="4">
    <mergeCell ref="B1:G1"/>
    <mergeCell ref="B748:H748"/>
    <mergeCell ref="B1019:I1019"/>
    <mergeCell ref="B1148:J1148"/>
  </mergeCells>
  <dataValidations count="22">
    <dataValidation allowBlank="true" error="Please choose from the list" errorStyle="stop" errorTitle="▶ Quick quote" operator="between" showDropDown="false" showErrorMessage="false" showInputMessage="false" sqref="D3" type="list">
      <formula1>_lists!$HY$1:$HY$8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_lists!$HZ$1:$HZ$157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_lists!$IA$1:$IA$19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" type="list">
      <formula1>_lists!$IB$1:$IB$3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50" type="list">
      <formula1>_lists!$IC$1:$IC$17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50" type="list">
      <formula1>_lists!$ID$1:$ID$63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750" type="list">
      <formula1>_lists!$IE$1:$IE$20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750" type="list">
      <formula1>_lists!$IF$1:$IF$2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750" type="list">
      <formula1>_lists!$IG$1:$IG$7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21" type="list">
      <formula1>_lists!$IH$1:$IH$9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21" type="list">
      <formula1>_lists!$II$1:$II$22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21" type="list">
      <formula1>_lists!$IJ$1:$IJ$8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021" type="list">
      <formula1>_lists!$IK$1:$IK$17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021" type="list">
      <formula1>_lists!$IL$1:$IL$2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1021" type="list">
      <formula1>_lists!$IM$1:$IM$8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50" type="list">
      <formula1>_lists!$IN$1:$IN$17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50" type="list">
      <formula1>_lists!$IO$1:$IO$5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150" type="list">
      <formula1>_lists!$IP$1:$IP$10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150" type="list">
      <formula1>_lists!$IQ$1:$IQ$25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150" type="list">
      <formula1>_lists!$IR$1:$IR$2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1150" type="list">
      <formula1>_lists!$IS$1:$IS$9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J1150" type="list">
      <formula1>_lists!$IT$1:$IT$3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5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13152</v>
      </c>
      <c r="C1" s="10"/>
      <c r="D1" s="10"/>
    </row>
    <row r="2" customFormat="false" ht="15" hidden="false" customHeight="false" outlineLevel="0" collapsed="false">
      <c r="A2" s="12" t="s">
        <v>700</v>
      </c>
      <c r="B2" s="13" t="s">
        <v>701</v>
      </c>
      <c r="C2" s="13" t="s">
        <v>702</v>
      </c>
      <c r="D2" s="13" t="s">
        <v>5610</v>
      </c>
    </row>
    <row r="3" customFormat="false" ht="30" hidden="false" customHeight="true" outlineLevel="0" collapsed="false">
      <c r="A3" s="14" t="s">
        <v>706</v>
      </c>
      <c r="B3" s="15" t="str">
        <f aca="false">IF(COUNTIFS($D$6:$D$8,IF(D3="","*",D3))=1,INDEX($B:$B,SUMPRODUCT(((D3="")+($D$6:$D$8=D3)&gt;0)*ROW($B$6:$B$8))),IF(COUNTIFS($D$6:$D$8,IF(D3="","*",D3))=0,"Not available",COUNTIFS($D$6:$D$8,IF(D3="","*",D3))&amp;" match, keep choosing"))</f>
        <v>RL-004-1000</v>
      </c>
      <c r="C3" s="16" t="n">
        <f aca="false">IF(COUNTIFS($D$6:$D$8,IF(D3="","*",D3))=1,INDEX($C:$C,SUMPRODUCT(((D3="")+($D$6:$D$8=D3)&gt;0)*ROW($B$6:$B$8))),"")</f>
        <v>1.81</v>
      </c>
      <c r="D3" s="17" t="s">
        <v>13153</v>
      </c>
    </row>
    <row r="5" customFormat="false" ht="15" hidden="false" customHeight="false" outlineLevel="0" collapsed="false">
      <c r="B5" s="18" t="s">
        <v>701</v>
      </c>
      <c r="C5" s="18" t="s">
        <v>702</v>
      </c>
      <c r="D5" s="18" t="s">
        <v>5610</v>
      </c>
    </row>
    <row r="6" customFormat="false" ht="15" hidden="false" customHeight="false" outlineLevel="0" collapsed="false">
      <c r="B6" s="19" t="s">
        <v>13154</v>
      </c>
      <c r="C6" s="20" t="n">
        <f aca="false">ROUND(13/FX,2)</f>
        <v>1.81</v>
      </c>
      <c r="D6" s="21" t="s">
        <v>13153</v>
      </c>
    </row>
    <row r="7" customFormat="false" ht="15" hidden="false" customHeight="false" outlineLevel="0" collapsed="false">
      <c r="B7" s="19" t="s">
        <v>13155</v>
      </c>
      <c r="C7" s="20" t="n">
        <f aca="false">ROUND(5.2/FX,2)</f>
        <v>0.72</v>
      </c>
      <c r="D7" s="21" t="s">
        <v>13156</v>
      </c>
    </row>
    <row r="8" customFormat="false" ht="15" hidden="false" customHeight="false" outlineLevel="0" collapsed="false">
      <c r="B8" s="19" t="s">
        <v>13157</v>
      </c>
      <c r="C8" s="20" t="n">
        <f aca="false">ROUND(5.98/FX,2)</f>
        <v>0.83</v>
      </c>
      <c r="D8" s="21" t="s">
        <v>13158</v>
      </c>
    </row>
    <row r="11" customFormat="false" ht="61.5" hidden="false" customHeight="true" outlineLevel="0" collapsed="false">
      <c r="A11" s="9"/>
      <c r="B11" s="10" t="s">
        <v>13159</v>
      </c>
      <c r="C11" s="10"/>
      <c r="D11" s="10"/>
      <c r="E11" s="10"/>
    </row>
    <row r="12" customFormat="false" ht="15" hidden="false" customHeight="false" outlineLevel="0" collapsed="false">
      <c r="A12" s="12" t="s">
        <v>700</v>
      </c>
      <c r="B12" s="13" t="s">
        <v>701</v>
      </c>
      <c r="C12" s="13" t="s">
        <v>702</v>
      </c>
      <c r="D12" s="13" t="s">
        <v>723</v>
      </c>
      <c r="E12" s="13" t="s">
        <v>6328</v>
      </c>
    </row>
    <row r="13" customFormat="false" ht="30" hidden="false" customHeight="true" outlineLevel="0" collapsed="false">
      <c r="A13" s="14" t="s">
        <v>706</v>
      </c>
      <c r="B13" s="15" t="str">
        <f aca="false">IF(COUNTIFS($D$16:$D$71,IF(D13="","*",D13),$E$16:$E$71,IF(E13="","*",E13))=1,INDEX($B:$B,SUMPRODUCT(((D13="")+($D$16:$D$71=D13)&gt;0)*((E13="")+($E$16:$E$71=E13)&gt;0)*ROW($B$16:$B$71))),IF(COUNTIFS($D$16:$D$71,IF(D13="","*",D13),$E$16:$E$71,IF(E13="","*",E13))=0,"Not available",COUNTIFS($D$16:$D$71,IF(D13="","*",D13),$E$16:$E$71,IF(E13="","*",E13))&amp;" match, keep choosing"))</f>
        <v>RL-035-SBR10-CD1000</v>
      </c>
      <c r="C13" s="16" t="n">
        <f aca="false">IF(COUNTIFS($D$16:$D$71,IF(D13="","*",D13),$E$16:$E$71,IF(E13="","*",E13))=1,INDEX($C:$C,SUMPRODUCT(((D13="")+($D$16:$D$71=D13)&gt;0)*((E13="")+($E$16:$E$71=E13)&gt;0)*ROW($B$16:$B$71))),"")</f>
        <v>6.86</v>
      </c>
      <c r="D13" s="17" t="s">
        <v>13160</v>
      </c>
      <c r="E13" s="17" t="s">
        <v>13161</v>
      </c>
    </row>
    <row r="15" customFormat="false" ht="15" hidden="false" customHeight="false" outlineLevel="0" collapsed="false">
      <c r="B15" s="18" t="s">
        <v>701</v>
      </c>
      <c r="C15" s="18" t="s">
        <v>702</v>
      </c>
      <c r="D15" s="18" t="s">
        <v>723</v>
      </c>
      <c r="E15" s="18" t="s">
        <v>6328</v>
      </c>
    </row>
    <row r="16" customFormat="false" ht="15" hidden="false" customHeight="false" outlineLevel="0" collapsed="false">
      <c r="B16" s="19" t="s">
        <v>13162</v>
      </c>
      <c r="C16" s="20" t="n">
        <f aca="false">ROUND(49.4/FX,2)</f>
        <v>6.86</v>
      </c>
      <c r="D16" s="21" t="s">
        <v>13160</v>
      </c>
      <c r="E16" s="21" t="s">
        <v>13161</v>
      </c>
    </row>
    <row r="17" customFormat="false" ht="15" hidden="false" customHeight="false" outlineLevel="0" collapsed="false">
      <c r="B17" s="19" t="s">
        <v>13163</v>
      </c>
      <c r="C17" s="20" t="n">
        <f aca="false">ROUND(7.41/FX,2)</f>
        <v>1.03</v>
      </c>
      <c r="D17" s="21" t="s">
        <v>13164</v>
      </c>
      <c r="E17" s="21" t="s">
        <v>13161</v>
      </c>
    </row>
    <row r="18" customFormat="false" ht="15" hidden="false" customHeight="false" outlineLevel="0" collapsed="false">
      <c r="B18" s="19" t="s">
        <v>13165</v>
      </c>
      <c r="C18" s="20" t="n">
        <f aca="false">ROUND(64.35/FX,2)</f>
        <v>8.94</v>
      </c>
      <c r="D18" s="21" t="s">
        <v>13166</v>
      </c>
      <c r="E18" s="21" t="s">
        <v>13161</v>
      </c>
    </row>
    <row r="19" customFormat="false" ht="15" hidden="false" customHeight="false" outlineLevel="0" collapsed="false">
      <c r="B19" s="19" t="s">
        <v>13167</v>
      </c>
      <c r="C19" s="20" t="n">
        <f aca="false">ROUND(9.88/FX,2)</f>
        <v>1.37</v>
      </c>
      <c r="D19" s="21" t="s">
        <v>13168</v>
      </c>
      <c r="E19" s="21" t="s">
        <v>13161</v>
      </c>
    </row>
    <row r="20" customFormat="false" ht="15" hidden="false" customHeight="false" outlineLevel="0" collapsed="false">
      <c r="B20" s="19" t="s">
        <v>13169</v>
      </c>
      <c r="C20" s="20" t="n">
        <f aca="false">ROUND(12.35/FX,2)</f>
        <v>1.72</v>
      </c>
      <c r="D20" s="21" t="s">
        <v>13170</v>
      </c>
      <c r="E20" s="21" t="s">
        <v>13161</v>
      </c>
    </row>
    <row r="21" customFormat="false" ht="15" hidden="false" customHeight="false" outlineLevel="0" collapsed="false">
      <c r="B21" s="19" t="s">
        <v>13171</v>
      </c>
      <c r="C21" s="20" t="n">
        <f aca="false">ROUND(14.82/FX,2)</f>
        <v>2.06</v>
      </c>
      <c r="D21" s="21" t="s">
        <v>13172</v>
      </c>
      <c r="E21" s="21" t="s">
        <v>13161</v>
      </c>
    </row>
    <row r="22" customFormat="false" ht="15" hidden="false" customHeight="false" outlineLevel="0" collapsed="false">
      <c r="B22" s="19" t="s">
        <v>13173</v>
      </c>
      <c r="C22" s="20" t="n">
        <f aca="false">ROUND(17.29/FX,2)</f>
        <v>2.4</v>
      </c>
      <c r="D22" s="21" t="s">
        <v>13174</v>
      </c>
      <c r="E22" s="21" t="s">
        <v>13161</v>
      </c>
    </row>
    <row r="23" customFormat="false" ht="15" hidden="false" customHeight="false" outlineLevel="0" collapsed="false">
      <c r="B23" s="19" t="s">
        <v>13175</v>
      </c>
      <c r="C23" s="20" t="n">
        <f aca="false">ROUND(19.76/FX,2)</f>
        <v>2.74</v>
      </c>
      <c r="D23" s="21" t="s">
        <v>13176</v>
      </c>
      <c r="E23" s="21" t="s">
        <v>13161</v>
      </c>
    </row>
    <row r="24" customFormat="false" ht="15" hidden="false" customHeight="false" outlineLevel="0" collapsed="false">
      <c r="B24" s="19" t="s">
        <v>13177</v>
      </c>
      <c r="C24" s="20" t="n">
        <f aca="false">ROUND(22.23/FX,2)</f>
        <v>3.09</v>
      </c>
      <c r="D24" s="21" t="s">
        <v>13178</v>
      </c>
      <c r="E24" s="21" t="s">
        <v>13161</v>
      </c>
    </row>
    <row r="25" customFormat="false" ht="15" hidden="false" customHeight="false" outlineLevel="0" collapsed="false">
      <c r="B25" s="19" t="s">
        <v>13179</v>
      </c>
      <c r="C25" s="20" t="n">
        <f aca="false">ROUND(24.7/FX,2)</f>
        <v>3.43</v>
      </c>
      <c r="D25" s="21" t="s">
        <v>13180</v>
      </c>
      <c r="E25" s="21" t="s">
        <v>13161</v>
      </c>
    </row>
    <row r="26" customFormat="false" ht="15" hidden="false" customHeight="false" outlineLevel="0" collapsed="false">
      <c r="B26" s="19" t="s">
        <v>13181</v>
      </c>
      <c r="C26" s="20" t="n">
        <f aca="false">ROUND(22.17/FX,2)</f>
        <v>3.08</v>
      </c>
      <c r="D26" s="21" t="s">
        <v>13182</v>
      </c>
      <c r="E26" s="21" t="s">
        <v>13161</v>
      </c>
    </row>
    <row r="27" customFormat="false" ht="15" hidden="false" customHeight="false" outlineLevel="0" collapsed="false">
      <c r="B27" s="19" t="s">
        <v>13183</v>
      </c>
      <c r="C27" s="20" t="n">
        <f aca="false">ROUND(29.64/FX,2)</f>
        <v>4.12</v>
      </c>
      <c r="D27" s="21" t="s">
        <v>13184</v>
      </c>
      <c r="E27" s="21" t="s">
        <v>13161</v>
      </c>
    </row>
    <row r="28" customFormat="false" ht="15" hidden="false" customHeight="false" outlineLevel="0" collapsed="false">
      <c r="B28" s="19" t="s">
        <v>13185</v>
      </c>
      <c r="C28" s="20" t="n">
        <f aca="false">ROUND(32.11/FX,2)</f>
        <v>4.46</v>
      </c>
      <c r="D28" s="21" t="s">
        <v>13186</v>
      </c>
      <c r="E28" s="21" t="s">
        <v>13161</v>
      </c>
    </row>
    <row r="29" customFormat="false" ht="15" hidden="false" customHeight="false" outlineLevel="0" collapsed="false">
      <c r="B29" s="19" t="s">
        <v>13187</v>
      </c>
      <c r="C29" s="20" t="n">
        <f aca="false">ROUND(46.8/FX,2)</f>
        <v>6.5</v>
      </c>
      <c r="D29" s="21" t="s">
        <v>13160</v>
      </c>
      <c r="E29" s="21" t="s">
        <v>13188</v>
      </c>
    </row>
    <row r="30" customFormat="false" ht="15" hidden="false" customHeight="false" outlineLevel="0" collapsed="false">
      <c r="B30" s="19" t="s">
        <v>13189</v>
      </c>
      <c r="C30" s="20" t="n">
        <f aca="false">ROUND(9.9/FX,2)</f>
        <v>1.38</v>
      </c>
      <c r="D30" s="21" t="s">
        <v>13168</v>
      </c>
      <c r="E30" s="21" t="s">
        <v>13188</v>
      </c>
    </row>
    <row r="31" customFormat="false" ht="15" hidden="false" customHeight="false" outlineLevel="0" collapsed="false">
      <c r="B31" s="19" t="s">
        <v>13190</v>
      </c>
      <c r="C31" s="20" t="n">
        <f aca="false">ROUND(106.47/FX,2)</f>
        <v>14.79</v>
      </c>
      <c r="D31" s="21" t="s">
        <v>13191</v>
      </c>
      <c r="E31" s="21" t="s">
        <v>13188</v>
      </c>
    </row>
    <row r="32" customFormat="false" ht="15" hidden="false" customHeight="false" outlineLevel="0" collapsed="false">
      <c r="B32" s="19" t="s">
        <v>13192</v>
      </c>
      <c r="C32" s="20" t="n">
        <f aca="false">ROUND(12.35/FX,2)</f>
        <v>1.72</v>
      </c>
      <c r="D32" s="21" t="s">
        <v>13170</v>
      </c>
      <c r="E32" s="21" t="s">
        <v>13188</v>
      </c>
    </row>
    <row r="33" customFormat="false" ht="15" hidden="false" customHeight="false" outlineLevel="0" collapsed="false">
      <c r="B33" s="19" t="s">
        <v>13193</v>
      </c>
      <c r="C33" s="20" t="n">
        <f aca="false">ROUND(13.26/FX,2)</f>
        <v>1.84</v>
      </c>
      <c r="D33" s="21" t="s">
        <v>13172</v>
      </c>
      <c r="E33" s="21" t="s">
        <v>13188</v>
      </c>
    </row>
    <row r="34" customFormat="false" ht="15" hidden="false" customHeight="false" outlineLevel="0" collapsed="false">
      <c r="B34" s="19" t="s">
        <v>13194</v>
      </c>
      <c r="C34" s="20" t="n">
        <f aca="false">ROUND(17.29/FX,2)</f>
        <v>2.4</v>
      </c>
      <c r="D34" s="21" t="s">
        <v>13174</v>
      </c>
      <c r="E34" s="21" t="s">
        <v>13188</v>
      </c>
    </row>
    <row r="35" customFormat="false" ht="15" hidden="false" customHeight="false" outlineLevel="0" collapsed="false">
      <c r="B35" s="19" t="s">
        <v>13195</v>
      </c>
      <c r="C35" s="20" t="n">
        <f aca="false">ROUND(20.8/FX,2)</f>
        <v>2.89</v>
      </c>
      <c r="D35" s="21" t="s">
        <v>13176</v>
      </c>
      <c r="E35" s="21" t="s">
        <v>13188</v>
      </c>
    </row>
    <row r="36" customFormat="false" ht="15" hidden="false" customHeight="false" outlineLevel="0" collapsed="false">
      <c r="B36" s="19" t="s">
        <v>13196</v>
      </c>
      <c r="C36" s="20" t="n">
        <f aca="false">ROUND(22.23/FX,2)</f>
        <v>3.09</v>
      </c>
      <c r="D36" s="21" t="s">
        <v>13197</v>
      </c>
      <c r="E36" s="21" t="s">
        <v>13188</v>
      </c>
    </row>
    <row r="37" customFormat="false" ht="15" hidden="false" customHeight="false" outlineLevel="0" collapsed="false">
      <c r="B37" s="19" t="s">
        <v>13198</v>
      </c>
      <c r="C37" s="20" t="n">
        <f aca="false">ROUND(26.65/FX,2)</f>
        <v>3.7</v>
      </c>
      <c r="D37" s="21" t="s">
        <v>13180</v>
      </c>
      <c r="E37" s="21" t="s">
        <v>13188</v>
      </c>
    </row>
    <row r="38" customFormat="false" ht="15" hidden="false" customHeight="false" outlineLevel="0" collapsed="false">
      <c r="B38" s="19" t="s">
        <v>13199</v>
      </c>
      <c r="C38" s="20" t="n">
        <f aca="false">ROUND(27.16/FX,2)</f>
        <v>3.77</v>
      </c>
      <c r="D38" s="21" t="s">
        <v>13182</v>
      </c>
      <c r="E38" s="21" t="s">
        <v>13188</v>
      </c>
    </row>
    <row r="39" customFormat="false" ht="15" hidden="false" customHeight="false" outlineLevel="0" collapsed="false">
      <c r="B39" s="19" t="s">
        <v>13200</v>
      </c>
      <c r="C39" s="20" t="n">
        <f aca="false">ROUND(29.64/FX,2)</f>
        <v>4.12</v>
      </c>
      <c r="D39" s="21" t="s">
        <v>13184</v>
      </c>
      <c r="E39" s="21" t="s">
        <v>13188</v>
      </c>
    </row>
    <row r="40" customFormat="false" ht="15" hidden="false" customHeight="false" outlineLevel="0" collapsed="false">
      <c r="B40" s="19" t="s">
        <v>13201</v>
      </c>
      <c r="C40" s="20" t="n">
        <f aca="false">ROUND(34.57/FX,2)</f>
        <v>4.8</v>
      </c>
      <c r="D40" s="21" t="s">
        <v>13202</v>
      </c>
      <c r="E40" s="21" t="s">
        <v>13188</v>
      </c>
    </row>
    <row r="41" customFormat="false" ht="15" hidden="false" customHeight="false" outlineLevel="0" collapsed="false">
      <c r="B41" s="19" t="s">
        <v>13203</v>
      </c>
      <c r="C41" s="20" t="n">
        <f aca="false">ROUND(37.04/FX,2)</f>
        <v>5.14</v>
      </c>
      <c r="D41" s="21" t="s">
        <v>13204</v>
      </c>
      <c r="E41" s="21" t="s">
        <v>13188</v>
      </c>
    </row>
    <row r="42" customFormat="false" ht="15" hidden="false" customHeight="false" outlineLevel="0" collapsed="false">
      <c r="B42" s="19" t="s">
        <v>13205</v>
      </c>
      <c r="C42" s="20" t="n">
        <f aca="false">ROUND(39.52/FX,2)</f>
        <v>5.49</v>
      </c>
      <c r="D42" s="21" t="s">
        <v>13206</v>
      </c>
      <c r="E42" s="21" t="s">
        <v>13188</v>
      </c>
    </row>
    <row r="43" customFormat="false" ht="15" hidden="false" customHeight="false" outlineLevel="0" collapsed="false">
      <c r="B43" s="19" t="s">
        <v>13207</v>
      </c>
      <c r="C43" s="20" t="n">
        <f aca="false">ROUND(29.64/FX,2)</f>
        <v>4.12</v>
      </c>
      <c r="D43" s="21" t="s">
        <v>13184</v>
      </c>
      <c r="E43" s="21" t="s">
        <v>13208</v>
      </c>
    </row>
    <row r="44" customFormat="false" ht="15" hidden="false" customHeight="false" outlineLevel="0" collapsed="false">
      <c r="B44" s="19" t="s">
        <v>13209</v>
      </c>
      <c r="C44" s="20" t="n">
        <f aca="false">ROUND(46.8/FX,2)</f>
        <v>6.5</v>
      </c>
      <c r="D44" s="21" t="s">
        <v>13160</v>
      </c>
      <c r="E44" s="21" t="s">
        <v>13210</v>
      </c>
    </row>
    <row r="45" customFormat="false" ht="15" hidden="false" customHeight="false" outlineLevel="0" collapsed="false">
      <c r="B45" s="19" t="s">
        <v>13211</v>
      </c>
      <c r="C45" s="20" t="n">
        <f aca="false">ROUND(51.48/FX,2)</f>
        <v>7.15</v>
      </c>
      <c r="D45" s="21" t="s">
        <v>13212</v>
      </c>
      <c r="E45" s="21" t="s">
        <v>13210</v>
      </c>
    </row>
    <row r="46" customFormat="false" ht="15" hidden="false" customHeight="false" outlineLevel="0" collapsed="false">
      <c r="B46" s="19" t="s">
        <v>13213</v>
      </c>
      <c r="C46" s="20" t="n">
        <f aca="false">ROUND(56.16/FX,2)</f>
        <v>7.8</v>
      </c>
      <c r="D46" s="21" t="s">
        <v>13214</v>
      </c>
      <c r="E46" s="21" t="s">
        <v>13210</v>
      </c>
    </row>
    <row r="47" customFormat="false" ht="15" hidden="false" customHeight="false" outlineLevel="0" collapsed="false">
      <c r="B47" s="19" t="s">
        <v>13215</v>
      </c>
      <c r="C47" s="20" t="n">
        <f aca="false">ROUND(74.1/FX,2)</f>
        <v>10.29</v>
      </c>
      <c r="D47" s="21" t="s">
        <v>13166</v>
      </c>
      <c r="E47" s="21" t="s">
        <v>13210</v>
      </c>
    </row>
    <row r="48" customFormat="false" ht="15" hidden="false" customHeight="false" outlineLevel="0" collapsed="false">
      <c r="B48" s="19" t="s">
        <v>13216</v>
      </c>
      <c r="C48" s="20" t="n">
        <f aca="false">ROUND(11.7/FX,2)</f>
        <v>1.63</v>
      </c>
      <c r="D48" s="21" t="s">
        <v>13168</v>
      </c>
      <c r="E48" s="21" t="s">
        <v>13210</v>
      </c>
    </row>
    <row r="49" customFormat="false" ht="15" hidden="false" customHeight="false" outlineLevel="0" collapsed="false">
      <c r="B49" s="19" t="s">
        <v>13217</v>
      </c>
      <c r="C49" s="20" t="n">
        <f aca="false">ROUND(11.7/FX,2)</f>
        <v>1.63</v>
      </c>
      <c r="D49" s="21" t="s">
        <v>13170</v>
      </c>
      <c r="E49" s="21" t="s">
        <v>13210</v>
      </c>
    </row>
    <row r="50" customFormat="false" ht="15" hidden="false" customHeight="false" outlineLevel="0" collapsed="false">
      <c r="B50" s="19" t="s">
        <v>13218</v>
      </c>
      <c r="C50" s="20" t="n">
        <f aca="false">ROUND(14.04/FX,2)</f>
        <v>1.95</v>
      </c>
      <c r="D50" s="21" t="s">
        <v>13172</v>
      </c>
      <c r="E50" s="21" t="s">
        <v>13210</v>
      </c>
    </row>
    <row r="51" customFormat="false" ht="15" hidden="false" customHeight="false" outlineLevel="0" collapsed="false">
      <c r="B51" s="19" t="s">
        <v>13219</v>
      </c>
      <c r="C51" s="20" t="n">
        <f aca="false">ROUND(18.72/FX,2)</f>
        <v>2.6</v>
      </c>
      <c r="D51" s="21" t="s">
        <v>13176</v>
      </c>
      <c r="E51" s="21" t="s">
        <v>13210</v>
      </c>
    </row>
    <row r="52" customFormat="false" ht="15" hidden="false" customHeight="false" outlineLevel="0" collapsed="false">
      <c r="B52" s="19" t="s">
        <v>13220</v>
      </c>
      <c r="C52" s="20" t="n">
        <f aca="false">ROUND(21.06/FX,2)</f>
        <v>2.93</v>
      </c>
      <c r="D52" s="21" t="s">
        <v>13197</v>
      </c>
      <c r="E52" s="21" t="s">
        <v>13210</v>
      </c>
    </row>
    <row r="53" customFormat="false" ht="15" hidden="false" customHeight="false" outlineLevel="0" collapsed="false">
      <c r="B53" s="19" t="s">
        <v>13221</v>
      </c>
      <c r="C53" s="20" t="n">
        <f aca="false">ROUND(23.4/FX,2)</f>
        <v>3.25</v>
      </c>
      <c r="D53" s="21" t="s">
        <v>13180</v>
      </c>
      <c r="E53" s="21" t="s">
        <v>13210</v>
      </c>
    </row>
    <row r="54" customFormat="false" ht="15" hidden="false" customHeight="false" outlineLevel="0" collapsed="false">
      <c r="B54" s="19" t="s">
        <v>13222</v>
      </c>
      <c r="C54" s="20" t="n">
        <f aca="false">ROUND(28.08/FX,2)</f>
        <v>3.9</v>
      </c>
      <c r="D54" s="21" t="s">
        <v>13184</v>
      </c>
      <c r="E54" s="21" t="s">
        <v>13210</v>
      </c>
    </row>
    <row r="55" customFormat="false" ht="15" hidden="false" customHeight="false" outlineLevel="0" collapsed="false">
      <c r="B55" s="19" t="s">
        <v>13223</v>
      </c>
      <c r="C55" s="20" t="n">
        <f aca="false">ROUND(32.76/FX,2)</f>
        <v>4.55</v>
      </c>
      <c r="D55" s="21" t="s">
        <v>13202</v>
      </c>
      <c r="E55" s="21" t="s">
        <v>13210</v>
      </c>
    </row>
    <row r="56" customFormat="false" ht="15" hidden="false" customHeight="false" outlineLevel="0" collapsed="false">
      <c r="B56" s="19" t="s">
        <v>13224</v>
      </c>
      <c r="C56" s="20" t="n">
        <f aca="false">ROUND(34.63/FX,2)</f>
        <v>4.81</v>
      </c>
      <c r="D56" s="21" t="s">
        <v>13225</v>
      </c>
      <c r="E56" s="21" t="s">
        <v>13210</v>
      </c>
    </row>
    <row r="57" customFormat="false" ht="15" hidden="false" customHeight="false" outlineLevel="0" collapsed="false">
      <c r="B57" s="19" t="s">
        <v>13226</v>
      </c>
      <c r="C57" s="20" t="n">
        <f aca="false">ROUND(37.44/FX,2)</f>
        <v>5.2</v>
      </c>
      <c r="D57" s="21" t="s">
        <v>13206</v>
      </c>
      <c r="E57" s="21" t="s">
        <v>13210</v>
      </c>
    </row>
    <row r="58" customFormat="false" ht="15" hidden="false" customHeight="false" outlineLevel="0" collapsed="false">
      <c r="B58" s="19" t="s">
        <v>13227</v>
      </c>
      <c r="C58" s="20" t="n">
        <f aca="false">ROUND(42.12/FX,2)</f>
        <v>5.85</v>
      </c>
      <c r="D58" s="21" t="s">
        <v>13228</v>
      </c>
      <c r="E58" s="21" t="s">
        <v>13210</v>
      </c>
    </row>
    <row r="59" customFormat="false" ht="15" hidden="false" customHeight="false" outlineLevel="0" collapsed="false">
      <c r="B59" s="19" t="s">
        <v>13229</v>
      </c>
      <c r="C59" s="20" t="n">
        <f aca="false">ROUND(65/FX,2)</f>
        <v>9.03</v>
      </c>
      <c r="D59" s="21" t="s">
        <v>13160</v>
      </c>
      <c r="E59" s="21" t="s">
        <v>13230</v>
      </c>
    </row>
    <row r="60" customFormat="false" ht="15" hidden="false" customHeight="false" outlineLevel="0" collapsed="false">
      <c r="B60" s="19" t="s">
        <v>13231</v>
      </c>
      <c r="C60" s="20" t="n">
        <f aca="false">ROUND(71.5/FX,2)</f>
        <v>9.93</v>
      </c>
      <c r="D60" s="21" t="s">
        <v>13212</v>
      </c>
      <c r="E60" s="21" t="s">
        <v>13230</v>
      </c>
    </row>
    <row r="61" customFormat="false" ht="15" hidden="false" customHeight="false" outlineLevel="0" collapsed="false">
      <c r="B61" s="19" t="s">
        <v>13232</v>
      </c>
      <c r="C61" s="20" t="n">
        <f aca="false">ROUND(19.5/FX,2)</f>
        <v>2.71</v>
      </c>
      <c r="D61" s="21" t="s">
        <v>13172</v>
      </c>
      <c r="E61" s="21" t="s">
        <v>13230</v>
      </c>
    </row>
    <row r="62" customFormat="false" ht="15" hidden="false" customHeight="false" outlineLevel="0" collapsed="false">
      <c r="B62" s="19" t="s">
        <v>13233</v>
      </c>
      <c r="C62" s="20" t="n">
        <f aca="false">ROUND(22.75/FX,2)</f>
        <v>3.16</v>
      </c>
      <c r="D62" s="21" t="s">
        <v>13174</v>
      </c>
      <c r="E62" s="21" t="s">
        <v>13230</v>
      </c>
    </row>
    <row r="63" customFormat="false" ht="15" hidden="false" customHeight="false" outlineLevel="0" collapsed="false">
      <c r="B63" s="19" t="s">
        <v>13234</v>
      </c>
      <c r="C63" s="20" t="n">
        <f aca="false">ROUND(26/FX,2)</f>
        <v>3.61</v>
      </c>
      <c r="D63" s="21" t="s">
        <v>13176</v>
      </c>
      <c r="E63" s="21" t="s">
        <v>13230</v>
      </c>
    </row>
    <row r="64" customFormat="false" ht="15" hidden="false" customHeight="false" outlineLevel="0" collapsed="false">
      <c r="B64" s="19" t="s">
        <v>13235</v>
      </c>
      <c r="C64" s="20" t="n">
        <f aca="false">ROUND(228.8/FX,2)</f>
        <v>31.78</v>
      </c>
      <c r="D64" s="21" t="s">
        <v>13236</v>
      </c>
      <c r="E64" s="21" t="s">
        <v>13230</v>
      </c>
    </row>
    <row r="65" customFormat="false" ht="15" hidden="false" customHeight="false" outlineLevel="0" collapsed="false">
      <c r="B65" s="19" t="s">
        <v>13237</v>
      </c>
      <c r="C65" s="20" t="n">
        <f aca="false">ROUND(30.71/FX,2)</f>
        <v>4.27</v>
      </c>
      <c r="D65" s="21" t="s">
        <v>13197</v>
      </c>
      <c r="E65" s="21" t="s">
        <v>13230</v>
      </c>
    </row>
    <row r="66" customFormat="false" ht="15" hidden="false" customHeight="false" outlineLevel="0" collapsed="false">
      <c r="B66" s="19" t="s">
        <v>13238</v>
      </c>
      <c r="C66" s="20" t="n">
        <f aca="false">ROUND(32.5/FX,2)</f>
        <v>4.51</v>
      </c>
      <c r="D66" s="21" t="s">
        <v>13180</v>
      </c>
      <c r="E66" s="21" t="s">
        <v>13230</v>
      </c>
    </row>
    <row r="67" customFormat="false" ht="15" hidden="false" customHeight="false" outlineLevel="0" collapsed="false">
      <c r="B67" s="19" t="s">
        <v>13239</v>
      </c>
      <c r="C67" s="20" t="n">
        <f aca="false">ROUND(28.6/FX,2)</f>
        <v>3.97</v>
      </c>
      <c r="D67" s="21" t="s">
        <v>13182</v>
      </c>
      <c r="E67" s="21" t="s">
        <v>13230</v>
      </c>
    </row>
    <row r="68" customFormat="false" ht="15" hidden="false" customHeight="false" outlineLevel="0" collapsed="false">
      <c r="B68" s="19" t="s">
        <v>13240</v>
      </c>
      <c r="C68" s="20" t="n">
        <f aca="false">ROUND(39/FX,2)</f>
        <v>5.42</v>
      </c>
      <c r="D68" s="21" t="s">
        <v>13184</v>
      </c>
      <c r="E68" s="21" t="s">
        <v>13230</v>
      </c>
    </row>
    <row r="69" customFormat="false" ht="15" hidden="false" customHeight="false" outlineLevel="0" collapsed="false">
      <c r="B69" s="19" t="s">
        <v>13241</v>
      </c>
      <c r="C69" s="20" t="n">
        <f aca="false">ROUND(42.25/FX,2)</f>
        <v>5.87</v>
      </c>
      <c r="D69" s="21" t="s">
        <v>13186</v>
      </c>
      <c r="E69" s="21" t="s">
        <v>13230</v>
      </c>
    </row>
    <row r="70" customFormat="false" ht="15" hidden="false" customHeight="false" outlineLevel="0" collapsed="false">
      <c r="B70" s="19" t="s">
        <v>13242</v>
      </c>
      <c r="C70" s="20" t="n">
        <f aca="false">ROUND(88.4/FX,2)</f>
        <v>12.28</v>
      </c>
      <c r="D70" s="21" t="s">
        <v>13160</v>
      </c>
      <c r="E70" s="21" t="s">
        <v>13243</v>
      </c>
    </row>
    <row r="71" customFormat="false" ht="15" hidden="false" customHeight="false" outlineLevel="0" collapsed="false">
      <c r="B71" s="19" t="s">
        <v>13244</v>
      </c>
      <c r="C71" s="20" t="n">
        <f aca="false">ROUND(70.72/FX,2)</f>
        <v>9.82</v>
      </c>
      <c r="D71" s="21" t="s">
        <v>13206</v>
      </c>
      <c r="E71" s="21" t="s">
        <v>13243</v>
      </c>
    </row>
    <row r="74" customFormat="false" ht="61.5" hidden="false" customHeight="true" outlineLevel="0" collapsed="false">
      <c r="A74" s="9"/>
      <c r="B74" s="10" t="s">
        <v>13245</v>
      </c>
      <c r="C74" s="10"/>
      <c r="D74" s="10"/>
    </row>
    <row r="75" customFormat="false" ht="15" hidden="false" customHeight="false" outlineLevel="0" collapsed="false">
      <c r="B75" s="18" t="s">
        <v>701</v>
      </c>
      <c r="C75" s="18" t="s">
        <v>702</v>
      </c>
      <c r="D75" s="18" t="s">
        <v>5610</v>
      </c>
    </row>
    <row r="76" customFormat="false" ht="15" hidden="false" customHeight="false" outlineLevel="0" collapsed="false">
      <c r="B76" s="19" t="s">
        <v>13246</v>
      </c>
      <c r="C76" s="20" t="n">
        <f aca="false">ROUND(71.76/FX,2)</f>
        <v>9.97</v>
      </c>
      <c r="D76" s="22" t="s">
        <v>5612</v>
      </c>
    </row>
    <row r="79" customFormat="false" ht="61.5" hidden="false" customHeight="true" outlineLevel="0" collapsed="false">
      <c r="A79" s="9"/>
      <c r="B79" s="10" t="s">
        <v>13247</v>
      </c>
      <c r="C79" s="10"/>
      <c r="D79" s="10"/>
      <c r="E79" s="10"/>
    </row>
    <row r="80" customFormat="false" ht="15" hidden="false" customHeight="false" outlineLevel="0" collapsed="false">
      <c r="A80" s="12" t="s">
        <v>700</v>
      </c>
      <c r="B80" s="13" t="s">
        <v>701</v>
      </c>
      <c r="C80" s="13" t="s">
        <v>702</v>
      </c>
      <c r="D80" s="13" t="s">
        <v>723</v>
      </c>
      <c r="E80" s="13" t="s">
        <v>6523</v>
      </c>
    </row>
    <row r="81" customFormat="false" ht="30" hidden="false" customHeight="true" outlineLevel="0" collapsed="false">
      <c r="A81" s="14" t="s">
        <v>706</v>
      </c>
      <c r="B81" s="15" t="str">
        <f aca="false">IF(COUNTIFS($D$84:$D$91,IF(D81="","*",D81),$E$84:$E$91,IF(E81="","*",E81))=1,INDEX($B:$B,SUMPRODUCT(((D81="")+($D$84:$D$91=D81)&gt;0)*((E81="")+($E$84:$E$91=E81)&gt;0)*ROW($B$84:$B$91))),IF(COUNTIFS($D$84:$D$91,IF(D81="","*",D81),$E$84:$E$91,IF(E81="","*",E81))=0,"Not available",COUNTIFS($D$84:$D$91,IF(D81="","*",D81),$E$84:$E$91,IF(E81="","*",E81))&amp;" match, keep choosing"))</f>
        <v>RL-050-12x30x10-SBR12</v>
      </c>
      <c r="C81" s="16" t="n">
        <f aca="false">IF(COUNTIFS($D$84:$D$91,IF(D81="","*",D81),$E$84:$E$91,IF(E81="","*",E81))=1,INDEX($C:$C,SUMPRODUCT(((D81="")+($D$84:$D$91=D81)&gt;0)*((E81="")+($E$84:$E$91=E81)&gt;0)*ROW($B$84:$B$91))),"")</f>
        <v>0.22</v>
      </c>
      <c r="D81" s="17" t="s">
        <v>13188</v>
      </c>
      <c r="E81" s="17" t="s">
        <v>13248</v>
      </c>
    </row>
    <row r="83" customFormat="false" ht="15" hidden="false" customHeight="false" outlineLevel="0" collapsed="false">
      <c r="B83" s="18" t="s">
        <v>701</v>
      </c>
      <c r="C83" s="18" t="s">
        <v>702</v>
      </c>
      <c r="D83" s="18" t="s">
        <v>723</v>
      </c>
      <c r="E83" s="18" t="s">
        <v>6523</v>
      </c>
    </row>
    <row r="84" customFormat="false" ht="15" hidden="false" customHeight="false" outlineLevel="0" collapsed="false">
      <c r="B84" s="19" t="s">
        <v>13249</v>
      </c>
      <c r="C84" s="20" t="n">
        <f aca="false">ROUND(1.56/FX,2)</f>
        <v>0.22</v>
      </c>
      <c r="D84" s="21" t="s">
        <v>13188</v>
      </c>
      <c r="E84" s="21" t="s">
        <v>13248</v>
      </c>
    </row>
    <row r="85" customFormat="false" ht="15" hidden="false" customHeight="false" outlineLevel="0" collapsed="false">
      <c r="B85" s="19" t="s">
        <v>13250</v>
      </c>
      <c r="C85" s="20" t="n">
        <f aca="false">ROUND(1.95/FX,2)</f>
        <v>0.27</v>
      </c>
      <c r="D85" s="21" t="s">
        <v>13210</v>
      </c>
      <c r="E85" s="21" t="s">
        <v>13251</v>
      </c>
    </row>
    <row r="86" customFormat="false" ht="15" hidden="false" customHeight="false" outlineLevel="0" collapsed="false">
      <c r="B86" s="19" t="s">
        <v>13252</v>
      </c>
      <c r="C86" s="20" t="n">
        <f aca="false">ROUND(2.08/FX,2)</f>
        <v>0.29</v>
      </c>
      <c r="D86" s="21" t="s">
        <v>13230</v>
      </c>
      <c r="E86" s="21" t="s">
        <v>13253</v>
      </c>
    </row>
    <row r="87" customFormat="false" ht="15" hidden="false" customHeight="false" outlineLevel="0" collapsed="false">
      <c r="B87" s="19" t="s">
        <v>13254</v>
      </c>
      <c r="C87" s="20" t="n">
        <f aca="false">ROUND(16.8/FX,2)</f>
        <v>2.33</v>
      </c>
      <c r="D87" s="21" t="s">
        <v>13255</v>
      </c>
      <c r="E87" s="21" t="s">
        <v>13253</v>
      </c>
    </row>
    <row r="88" customFormat="false" ht="15" hidden="false" customHeight="false" outlineLevel="0" collapsed="false">
      <c r="B88" s="19" t="s">
        <v>13256</v>
      </c>
      <c r="C88" s="20" t="n">
        <f aca="false">ROUND(3.25/FX,2)</f>
        <v>0.45</v>
      </c>
      <c r="D88" s="21" t="s">
        <v>13243</v>
      </c>
      <c r="E88" s="21" t="s">
        <v>13257</v>
      </c>
    </row>
    <row r="89" customFormat="false" ht="15" hidden="false" customHeight="false" outlineLevel="0" collapsed="false">
      <c r="B89" s="19" t="s">
        <v>13258</v>
      </c>
      <c r="C89" s="20" t="n">
        <f aca="false">ROUND(4.55/FX,2)</f>
        <v>0.63</v>
      </c>
      <c r="D89" s="21" t="s">
        <v>13259</v>
      </c>
      <c r="E89" s="21" t="s">
        <v>13260</v>
      </c>
    </row>
    <row r="90" customFormat="false" ht="15" hidden="false" customHeight="false" outlineLevel="0" collapsed="false">
      <c r="B90" s="19" t="s">
        <v>13261</v>
      </c>
      <c r="C90" s="20" t="n">
        <f aca="false">ROUND(5.2/FX,2)</f>
        <v>0.72</v>
      </c>
      <c r="D90" s="21" t="s">
        <v>13262</v>
      </c>
      <c r="E90" s="21" t="s">
        <v>13263</v>
      </c>
    </row>
    <row r="91" customFormat="false" ht="15" hidden="false" customHeight="false" outlineLevel="0" collapsed="false">
      <c r="B91" s="19" t="s">
        <v>13264</v>
      </c>
      <c r="C91" s="20" t="n">
        <f aca="false">ROUND(7.8/FX,2)</f>
        <v>1.08</v>
      </c>
      <c r="D91" s="21" t="s">
        <v>13265</v>
      </c>
      <c r="E91" s="21" t="s">
        <v>13266</v>
      </c>
    </row>
    <row r="94" customFormat="false" ht="61.5" hidden="false" customHeight="true" outlineLevel="0" collapsed="false">
      <c r="A94" s="9"/>
      <c r="B94" s="10" t="s">
        <v>13267</v>
      </c>
      <c r="C94" s="10"/>
      <c r="D94" s="10"/>
      <c r="E94" s="10"/>
    </row>
    <row r="95" customFormat="false" ht="15" hidden="false" customHeight="false" outlineLevel="0" collapsed="false">
      <c r="A95" s="12" t="s">
        <v>700</v>
      </c>
      <c r="B95" s="13" t="s">
        <v>701</v>
      </c>
      <c r="C95" s="13" t="s">
        <v>702</v>
      </c>
      <c r="D95" s="13" t="s">
        <v>722</v>
      </c>
      <c r="E95" s="13" t="s">
        <v>723</v>
      </c>
    </row>
    <row r="96" customFormat="false" ht="30" hidden="false" customHeight="true" outlineLevel="0" collapsed="false">
      <c r="A96" s="14" t="s">
        <v>706</v>
      </c>
      <c r="B96" s="15" t="str">
        <f aca="false">IF(COUNTIFS($D$99:$D$120,IF(D96="","*",D96),$E$99:$E$120,IF(E96="","*",E96))=1,INDEX($B:$B,SUMPRODUCT(((D96="")+($D$99:$D$120=D96)&gt;0)*((E96="")+($E$99:$E$120=E96)&gt;0)*ROW($B$99:$B$120))),IF(COUNTIFS($D$99:$D$120,IF(D96="","*",D96),$E$99:$E$120,IF(E96="","*",E96))=0,"Not available",COUNTIFS($D$99:$D$120,IF(D96="","*",D96),$E$99:$E$120,IF(E96="","*",E96))&amp;" match, keep choosing"))</f>
        <v>RL-031-RD-SFU1204-WJ22-SLYKFXQ</v>
      </c>
      <c r="C96" s="16" t="n">
        <f aca="false">IF(COUNTIFS($D$99:$D$120,IF(D96="","*",D96),$E$99:$E$120,IF(E96="","*",E96))=1,INDEX($C:$C,SUMPRODUCT(((D96="")+($D$99:$D$120=D96)&gt;0)*((E96="")+($E$99:$E$120=E96)&gt;0)*ROW($B$99:$B$120))),"")</f>
        <v>5.06</v>
      </c>
      <c r="D96" s="17" t="s">
        <v>6362</v>
      </c>
      <c r="E96" s="17" t="s">
        <v>13268</v>
      </c>
    </row>
    <row r="98" customFormat="false" ht="15" hidden="false" customHeight="false" outlineLevel="0" collapsed="false">
      <c r="B98" s="18" t="s">
        <v>701</v>
      </c>
      <c r="C98" s="18" t="s">
        <v>702</v>
      </c>
      <c r="D98" s="18" t="s">
        <v>722</v>
      </c>
      <c r="E98" s="18" t="s">
        <v>723</v>
      </c>
    </row>
    <row r="99" customFormat="false" ht="28.35" hidden="false" customHeight="false" outlineLevel="0" collapsed="false">
      <c r="B99" s="19" t="s">
        <v>13269</v>
      </c>
      <c r="C99" s="20" t="n">
        <f aca="false">ROUND(36.4/FX,2)</f>
        <v>5.06</v>
      </c>
      <c r="D99" s="21" t="s">
        <v>6362</v>
      </c>
      <c r="E99" s="21" t="s">
        <v>13268</v>
      </c>
    </row>
    <row r="100" customFormat="false" ht="28.35" hidden="false" customHeight="false" outlineLevel="0" collapsed="false">
      <c r="B100" s="19" t="s">
        <v>13270</v>
      </c>
      <c r="C100" s="20" t="n">
        <f aca="false">ROUND(39/FX,2)</f>
        <v>5.42</v>
      </c>
      <c r="D100" s="21" t="s">
        <v>6362</v>
      </c>
      <c r="E100" s="21" t="s">
        <v>13271</v>
      </c>
    </row>
    <row r="101" customFormat="false" ht="41.75" hidden="false" customHeight="false" outlineLevel="0" collapsed="false">
      <c r="B101" s="19" t="s">
        <v>13272</v>
      </c>
      <c r="C101" s="20" t="n">
        <f aca="false">ROUND(45.5/FX,2)</f>
        <v>6.32</v>
      </c>
      <c r="D101" s="21" t="s">
        <v>6336</v>
      </c>
      <c r="E101" s="21" t="s">
        <v>13273</v>
      </c>
    </row>
    <row r="102" customFormat="false" ht="28.35" hidden="false" customHeight="false" outlineLevel="0" collapsed="false">
      <c r="B102" s="19" t="s">
        <v>13274</v>
      </c>
      <c r="C102" s="20" t="n">
        <f aca="false">ROUND(41.6/FX,2)</f>
        <v>5.78</v>
      </c>
      <c r="D102" s="21" t="s">
        <v>6336</v>
      </c>
      <c r="E102" s="21" t="s">
        <v>13275</v>
      </c>
    </row>
    <row r="103" customFormat="false" ht="41.75" hidden="false" customHeight="false" outlineLevel="0" collapsed="false">
      <c r="B103" s="19" t="s">
        <v>13276</v>
      </c>
      <c r="C103" s="20" t="n">
        <f aca="false">ROUND(36.4/FX,2)</f>
        <v>5.06</v>
      </c>
      <c r="D103" s="21" t="s">
        <v>6336</v>
      </c>
      <c r="E103" s="21" t="s">
        <v>13277</v>
      </c>
    </row>
    <row r="104" customFormat="false" ht="28.35" hidden="false" customHeight="false" outlineLevel="0" collapsed="false">
      <c r="B104" s="19" t="s">
        <v>13278</v>
      </c>
      <c r="C104" s="20" t="n">
        <f aca="false">ROUND(50.7/FX,2)</f>
        <v>7.04</v>
      </c>
      <c r="D104" s="21" t="s">
        <v>6336</v>
      </c>
      <c r="E104" s="21" t="s">
        <v>13279</v>
      </c>
    </row>
    <row r="105" customFormat="false" ht="41.75" hidden="false" customHeight="false" outlineLevel="0" collapsed="false">
      <c r="B105" s="19" t="s">
        <v>13280</v>
      </c>
      <c r="C105" s="20" t="n">
        <f aca="false">ROUND(50.7/FX,2)</f>
        <v>7.04</v>
      </c>
      <c r="D105" s="21" t="s">
        <v>6336</v>
      </c>
      <c r="E105" s="21" t="s">
        <v>13281</v>
      </c>
    </row>
    <row r="106" customFormat="false" ht="41.75" hidden="false" customHeight="false" outlineLevel="0" collapsed="false">
      <c r="B106" s="19" t="s">
        <v>13282</v>
      </c>
      <c r="C106" s="20" t="n">
        <f aca="false">ROUND(50.7/FX,2)</f>
        <v>7.04</v>
      </c>
      <c r="D106" s="21" t="s">
        <v>6336</v>
      </c>
      <c r="E106" s="21" t="s">
        <v>13283</v>
      </c>
    </row>
    <row r="107" customFormat="false" ht="41.75" hidden="false" customHeight="false" outlineLevel="0" collapsed="false">
      <c r="B107" s="19" t="s">
        <v>13284</v>
      </c>
      <c r="C107" s="20" t="n">
        <f aca="false">ROUND(49.4/FX,2)</f>
        <v>6.86</v>
      </c>
      <c r="D107" s="21" t="s">
        <v>6336</v>
      </c>
      <c r="E107" s="21" t="s">
        <v>13285</v>
      </c>
    </row>
    <row r="108" customFormat="false" ht="41.75" hidden="false" customHeight="false" outlineLevel="0" collapsed="false">
      <c r="B108" s="19" t="s">
        <v>13286</v>
      </c>
      <c r="C108" s="20" t="n">
        <f aca="false">ROUND(62.4/FX,2)</f>
        <v>8.67</v>
      </c>
      <c r="D108" s="21" t="s">
        <v>6336</v>
      </c>
      <c r="E108" s="21" t="s">
        <v>13287</v>
      </c>
    </row>
    <row r="109" customFormat="false" ht="41.75" hidden="false" customHeight="false" outlineLevel="0" collapsed="false">
      <c r="B109" s="19" t="s">
        <v>13288</v>
      </c>
      <c r="C109" s="20" t="n">
        <f aca="false">ROUND(57.2/FX,2)</f>
        <v>7.94</v>
      </c>
      <c r="D109" s="21" t="s">
        <v>6336</v>
      </c>
      <c r="E109" s="21" t="s">
        <v>13289</v>
      </c>
    </row>
    <row r="110" customFormat="false" ht="41.75" hidden="false" customHeight="false" outlineLevel="0" collapsed="false">
      <c r="B110" s="19" t="s">
        <v>13290</v>
      </c>
      <c r="C110" s="20" t="n">
        <f aca="false">ROUND(58.5/FX,2)</f>
        <v>8.13</v>
      </c>
      <c r="D110" s="21" t="s">
        <v>6336</v>
      </c>
      <c r="E110" s="21" t="s">
        <v>13291</v>
      </c>
    </row>
    <row r="111" customFormat="false" ht="41.75" hidden="false" customHeight="false" outlineLevel="0" collapsed="false">
      <c r="B111" s="19" t="s">
        <v>13292</v>
      </c>
      <c r="C111" s="20" t="n">
        <f aca="false">ROUND(52/FX,2)</f>
        <v>7.22</v>
      </c>
      <c r="D111" s="21" t="s">
        <v>6336</v>
      </c>
      <c r="E111" s="21" t="s">
        <v>13293</v>
      </c>
    </row>
    <row r="112" customFormat="false" ht="41.75" hidden="false" customHeight="false" outlineLevel="0" collapsed="false">
      <c r="B112" s="19" t="s">
        <v>13294</v>
      </c>
      <c r="C112" s="20" t="n">
        <f aca="false">ROUND(65/FX,2)</f>
        <v>9.03</v>
      </c>
      <c r="D112" s="21" t="s">
        <v>6336</v>
      </c>
      <c r="E112" s="21" t="s">
        <v>13295</v>
      </c>
    </row>
    <row r="113" customFormat="false" ht="41.75" hidden="false" customHeight="false" outlineLevel="0" collapsed="false">
      <c r="B113" s="19" t="s">
        <v>13296</v>
      </c>
      <c r="C113" s="20" t="n">
        <f aca="false">ROUND(85.8/FX,2)</f>
        <v>11.92</v>
      </c>
      <c r="D113" s="21" t="s">
        <v>6336</v>
      </c>
      <c r="E113" s="21" t="s">
        <v>13297</v>
      </c>
    </row>
    <row r="114" customFormat="false" ht="41.75" hidden="false" customHeight="false" outlineLevel="0" collapsed="false">
      <c r="B114" s="19" t="s">
        <v>13298</v>
      </c>
      <c r="C114" s="20" t="n">
        <f aca="false">ROUND(54.6/FX,2)</f>
        <v>7.58</v>
      </c>
      <c r="D114" s="21" t="s">
        <v>6336</v>
      </c>
      <c r="E114" s="21" t="s">
        <v>13299</v>
      </c>
    </row>
    <row r="115" customFormat="false" ht="28.35" hidden="false" customHeight="false" outlineLevel="0" collapsed="false">
      <c r="B115" s="19" t="s">
        <v>13300</v>
      </c>
      <c r="C115" s="20" t="n">
        <f aca="false">ROUND(223.93/FX,2)</f>
        <v>31.1</v>
      </c>
      <c r="D115" s="21" t="s">
        <v>6336</v>
      </c>
      <c r="E115" s="21" t="s">
        <v>13301</v>
      </c>
    </row>
    <row r="116" customFormat="false" ht="28.35" hidden="false" customHeight="false" outlineLevel="0" collapsed="false">
      <c r="B116" s="19" t="s">
        <v>13302</v>
      </c>
      <c r="C116" s="20" t="n">
        <f aca="false">ROUND(377/FX,2)</f>
        <v>52.36</v>
      </c>
      <c r="D116" s="21" t="s">
        <v>6336</v>
      </c>
      <c r="E116" s="21" t="s">
        <v>13303</v>
      </c>
    </row>
    <row r="117" customFormat="false" ht="28.35" hidden="false" customHeight="false" outlineLevel="0" collapsed="false">
      <c r="B117" s="19" t="s">
        <v>13304</v>
      </c>
      <c r="C117" s="20" t="n">
        <f aca="false">ROUND(261.95/FX,2)</f>
        <v>36.38</v>
      </c>
      <c r="D117" s="21" t="s">
        <v>6336</v>
      </c>
      <c r="E117" s="21" t="s">
        <v>13305</v>
      </c>
    </row>
    <row r="118" customFormat="false" ht="28.35" hidden="false" customHeight="false" outlineLevel="0" collapsed="false">
      <c r="B118" s="19" t="s">
        <v>13306</v>
      </c>
      <c r="C118" s="20" t="n">
        <f aca="false">ROUND(36.4/FX,2)</f>
        <v>5.06</v>
      </c>
      <c r="D118" s="21" t="s">
        <v>751</v>
      </c>
      <c r="E118" s="21" t="s">
        <v>13268</v>
      </c>
    </row>
    <row r="119" customFormat="false" ht="28.35" hidden="false" customHeight="false" outlineLevel="0" collapsed="false">
      <c r="B119" s="19" t="s">
        <v>13307</v>
      </c>
      <c r="C119" s="20" t="n">
        <f aca="false">ROUND(39/FX,2)</f>
        <v>5.42</v>
      </c>
      <c r="D119" s="21" t="s">
        <v>751</v>
      </c>
      <c r="E119" s="21" t="s">
        <v>13271</v>
      </c>
    </row>
    <row r="120" customFormat="false" ht="28.35" hidden="false" customHeight="false" outlineLevel="0" collapsed="false">
      <c r="B120" s="19" t="s">
        <v>13308</v>
      </c>
      <c r="C120" s="20" t="n">
        <f aca="false">ROUND(308.1/FX,2)</f>
        <v>42.79</v>
      </c>
      <c r="D120" s="21" t="s">
        <v>751</v>
      </c>
      <c r="E120" s="21" t="s">
        <v>13309</v>
      </c>
    </row>
    <row r="123" customFormat="false" ht="61.5" hidden="false" customHeight="true" outlineLevel="0" collapsed="false">
      <c r="A123" s="9"/>
      <c r="B123" s="10" t="s">
        <v>13310</v>
      </c>
      <c r="C123" s="10"/>
      <c r="D123" s="10"/>
      <c r="E123" s="10"/>
      <c r="F123" s="10"/>
      <c r="G123" s="10"/>
    </row>
    <row r="124" customFormat="false" ht="15" hidden="false" customHeight="false" outlineLevel="0" collapsed="false">
      <c r="A124" s="12" t="s">
        <v>700</v>
      </c>
      <c r="B124" s="13" t="s">
        <v>701</v>
      </c>
      <c r="C124" s="13" t="s">
        <v>702</v>
      </c>
      <c r="D124" s="13" t="s">
        <v>6159</v>
      </c>
      <c r="E124" s="13" t="s">
        <v>723</v>
      </c>
      <c r="F124" s="13" t="s">
        <v>11716</v>
      </c>
      <c r="G124" s="13" t="s">
        <v>13311</v>
      </c>
    </row>
    <row r="125" customFormat="false" ht="30" hidden="false" customHeight="true" outlineLevel="0" collapsed="false">
      <c r="A125" s="14" t="s">
        <v>706</v>
      </c>
      <c r="B125" s="15" t="str">
        <f aca="false">IF(COUNTIFS($D$128:$D$490,IF(D125="","*",D125),$E$128:$E$490,IF(E125="","*",E125),$F$128:$F$490,IF(F125="","*",F125),$G$128:$G$490,IF(G125="","*",G125))=1,INDEX($B:$B,SUMPRODUCT(((D125="")+($D$128:$D$490=D125)&gt;0)*((E125="")+($E$128:$E$490=E125)&gt;0)*((F125="")+($F$128:$F$490=F125)&gt;0)*((G125="")+($G$128:$G$490=G125)&gt;0)*ROW($B$128:$B$490))),IF(COUNTIFS($D$128:$D$490,IF(D125="","*",D125),$E$128:$E$490,IF(E125="","*",E125),$F$128:$F$490,IF(F125="","*",F125),$G$128:$G$490,IF(G125="","*",G125))=0,"Not available",COUNTIFS($D$128:$D$490,IF(D125="","*",D125),$E$128:$E$490,IF(E125="","*",E125),$F$128:$F$490,IF(F125="","*",F125),$G$128:$G$490,IF(G125="","*",G125))&amp;" match, keep choosing"))</f>
        <v>SFU1204-M-1000</v>
      </c>
      <c r="C125" s="16" t="n">
        <f aca="false">IF(COUNTIFS($D$128:$D$490,IF(D125="","*",D125),$E$128:$E$490,IF(E125="","*",E125),$F$128:$F$490,IF(F125="","*",F125),$G$128:$G$490,IF(G125="","*",G125))=1,INDEX($C:$C,SUMPRODUCT(((D125="")+($D$128:$D$490=D125)&gt;0)*((E125="")+($E$128:$E$490=E125)&gt;0)*((F125="")+($F$128:$F$490=F125)&gt;0)*((G125="")+($G$128:$G$490=G125)&gt;0)*ROW($B$128:$B$490))),"")</f>
        <v>15.17</v>
      </c>
      <c r="D125" s="17" t="s">
        <v>13312</v>
      </c>
      <c r="E125" s="17" t="s">
        <v>734</v>
      </c>
      <c r="F125" s="17" t="s">
        <v>1733</v>
      </c>
      <c r="G125" s="17" t="s">
        <v>13313</v>
      </c>
    </row>
    <row r="127" customFormat="false" ht="15" hidden="false" customHeight="false" outlineLevel="0" collapsed="false">
      <c r="B127" s="18" t="s">
        <v>701</v>
      </c>
      <c r="C127" s="18" t="s">
        <v>702</v>
      </c>
      <c r="D127" s="18" t="s">
        <v>6159</v>
      </c>
      <c r="E127" s="18" t="s">
        <v>723</v>
      </c>
      <c r="F127" s="18" t="s">
        <v>11716</v>
      </c>
      <c r="G127" s="18" t="s">
        <v>13311</v>
      </c>
    </row>
    <row r="128" customFormat="false" ht="15" hidden="false" customHeight="false" outlineLevel="0" collapsed="false">
      <c r="B128" s="19" t="s">
        <v>13314</v>
      </c>
      <c r="C128" s="20" t="n">
        <f aca="false">ROUND(109.2/FX,2)</f>
        <v>15.17</v>
      </c>
      <c r="D128" s="21" t="s">
        <v>13312</v>
      </c>
      <c r="E128" s="21" t="s">
        <v>734</v>
      </c>
      <c r="F128" s="21" t="s">
        <v>1733</v>
      </c>
      <c r="G128" s="21" t="s">
        <v>13313</v>
      </c>
    </row>
    <row r="129" customFormat="false" ht="15" hidden="false" customHeight="false" outlineLevel="0" collapsed="false">
      <c r="B129" s="19" t="s">
        <v>13315</v>
      </c>
      <c r="C129" s="20" t="n">
        <f aca="false">ROUND(114.27/FX,2)</f>
        <v>15.87</v>
      </c>
      <c r="D129" s="21" t="s">
        <v>13312</v>
      </c>
      <c r="E129" s="21" t="s">
        <v>734</v>
      </c>
      <c r="F129" s="21" t="s">
        <v>1768</v>
      </c>
      <c r="G129" s="21" t="s">
        <v>13313</v>
      </c>
    </row>
    <row r="130" customFormat="false" ht="15" hidden="false" customHeight="false" outlineLevel="0" collapsed="false">
      <c r="B130" s="19" t="s">
        <v>13316</v>
      </c>
      <c r="C130" s="20" t="n">
        <f aca="false">ROUND(119.34/FX,2)</f>
        <v>16.58</v>
      </c>
      <c r="D130" s="21" t="s">
        <v>13312</v>
      </c>
      <c r="E130" s="21" t="s">
        <v>734</v>
      </c>
      <c r="F130" s="21" t="s">
        <v>3253</v>
      </c>
      <c r="G130" s="21" t="s">
        <v>13313</v>
      </c>
    </row>
    <row r="131" customFormat="false" ht="15" hidden="false" customHeight="false" outlineLevel="0" collapsed="false">
      <c r="B131" s="19" t="s">
        <v>13317</v>
      </c>
      <c r="C131" s="20" t="n">
        <f aca="false">ROUND(122.69/FX,2)</f>
        <v>17.04</v>
      </c>
      <c r="D131" s="21" t="s">
        <v>13312</v>
      </c>
      <c r="E131" s="21" t="s">
        <v>734</v>
      </c>
      <c r="F131" s="21" t="s">
        <v>13318</v>
      </c>
      <c r="G131" s="21" t="s">
        <v>13313</v>
      </c>
    </row>
    <row r="132" customFormat="false" ht="15" hidden="false" customHeight="false" outlineLevel="0" collapsed="false">
      <c r="B132" s="19" t="s">
        <v>13319</v>
      </c>
      <c r="C132" s="20" t="n">
        <f aca="false">ROUND(66.11/FX,2)</f>
        <v>9.18</v>
      </c>
      <c r="D132" s="21" t="s">
        <v>13312</v>
      </c>
      <c r="E132" s="21" t="s">
        <v>734</v>
      </c>
      <c r="F132" s="21" t="s">
        <v>2851</v>
      </c>
      <c r="G132" s="21" t="s">
        <v>13313</v>
      </c>
    </row>
    <row r="133" customFormat="false" ht="15" hidden="false" customHeight="false" outlineLevel="0" collapsed="false">
      <c r="B133" s="19" t="s">
        <v>13320</v>
      </c>
      <c r="C133" s="20" t="n">
        <f aca="false">ROUND(134.55/FX,2)</f>
        <v>18.69</v>
      </c>
      <c r="D133" s="21" t="s">
        <v>13312</v>
      </c>
      <c r="E133" s="21" t="s">
        <v>734</v>
      </c>
      <c r="F133" s="21" t="s">
        <v>1881</v>
      </c>
      <c r="G133" s="21" t="s">
        <v>13313</v>
      </c>
    </row>
    <row r="134" customFormat="false" ht="15" hidden="false" customHeight="false" outlineLevel="0" collapsed="false">
      <c r="B134" s="19" t="s">
        <v>13321</v>
      </c>
      <c r="C134" s="20" t="n">
        <f aca="false">ROUND(67.63/FX,2)</f>
        <v>9.39</v>
      </c>
      <c r="D134" s="21" t="s">
        <v>13312</v>
      </c>
      <c r="E134" s="21" t="s">
        <v>734</v>
      </c>
      <c r="F134" s="21" t="s">
        <v>938</v>
      </c>
      <c r="G134" s="21" t="s">
        <v>13313</v>
      </c>
    </row>
    <row r="135" customFormat="false" ht="15" hidden="false" customHeight="false" outlineLevel="0" collapsed="false">
      <c r="B135" s="19" t="s">
        <v>13322</v>
      </c>
      <c r="C135" s="20" t="n">
        <f aca="false">ROUND(67.6/FX,2)</f>
        <v>9.39</v>
      </c>
      <c r="D135" s="21" t="s">
        <v>13312</v>
      </c>
      <c r="E135" s="21" t="s">
        <v>734</v>
      </c>
      <c r="F135" s="21" t="s">
        <v>1048</v>
      </c>
      <c r="G135" s="21" t="s">
        <v>13313</v>
      </c>
    </row>
    <row r="136" customFormat="false" ht="15" hidden="false" customHeight="false" outlineLevel="0" collapsed="false">
      <c r="B136" s="19" t="s">
        <v>13323</v>
      </c>
      <c r="C136" s="20" t="n">
        <f aca="false">ROUND(69.15/FX,2)</f>
        <v>9.6</v>
      </c>
      <c r="D136" s="21" t="s">
        <v>13312</v>
      </c>
      <c r="E136" s="21" t="s">
        <v>734</v>
      </c>
      <c r="F136" s="21" t="s">
        <v>1103</v>
      </c>
      <c r="G136" s="21" t="s">
        <v>13313</v>
      </c>
    </row>
    <row r="137" customFormat="false" ht="15" hidden="false" customHeight="false" outlineLevel="0" collapsed="false">
      <c r="B137" s="19" t="s">
        <v>13324</v>
      </c>
      <c r="C137" s="20" t="n">
        <f aca="false">ROUND(70.2/FX,2)</f>
        <v>9.75</v>
      </c>
      <c r="D137" s="21" t="s">
        <v>13312</v>
      </c>
      <c r="E137" s="21" t="s">
        <v>734</v>
      </c>
      <c r="F137" s="21" t="s">
        <v>1323</v>
      </c>
      <c r="G137" s="21" t="s">
        <v>13313</v>
      </c>
    </row>
    <row r="138" customFormat="false" ht="15" hidden="false" customHeight="false" outlineLevel="0" collapsed="false">
      <c r="B138" s="19" t="s">
        <v>13325</v>
      </c>
      <c r="C138" s="20" t="n">
        <f aca="false">ROUND(73.71/FX,2)</f>
        <v>10.24</v>
      </c>
      <c r="D138" s="21" t="s">
        <v>13312</v>
      </c>
      <c r="E138" s="21" t="s">
        <v>734</v>
      </c>
      <c r="F138" s="21" t="s">
        <v>1520</v>
      </c>
      <c r="G138" s="21" t="s">
        <v>13313</v>
      </c>
    </row>
    <row r="139" customFormat="false" ht="15" hidden="false" customHeight="false" outlineLevel="0" collapsed="false">
      <c r="B139" s="19" t="s">
        <v>13326</v>
      </c>
      <c r="C139" s="20" t="n">
        <f aca="false">ROUND(76.25/FX,2)</f>
        <v>10.59</v>
      </c>
      <c r="D139" s="21" t="s">
        <v>13312</v>
      </c>
      <c r="E139" s="21" t="s">
        <v>734</v>
      </c>
      <c r="F139" s="21" t="s">
        <v>1635</v>
      </c>
      <c r="G139" s="21" t="s">
        <v>13313</v>
      </c>
    </row>
    <row r="140" customFormat="false" ht="15" hidden="false" customHeight="false" outlineLevel="0" collapsed="false">
      <c r="B140" s="19" t="s">
        <v>13327</v>
      </c>
      <c r="C140" s="20" t="n">
        <f aca="false">ROUND(76.7/FX,2)</f>
        <v>10.65</v>
      </c>
      <c r="D140" s="21" t="s">
        <v>13312</v>
      </c>
      <c r="E140" s="21" t="s">
        <v>734</v>
      </c>
      <c r="F140" s="21" t="s">
        <v>13328</v>
      </c>
      <c r="G140" s="21" t="s">
        <v>13313</v>
      </c>
    </row>
    <row r="141" customFormat="false" ht="15" hidden="false" customHeight="false" outlineLevel="0" collapsed="false">
      <c r="B141" s="19" t="s">
        <v>13329</v>
      </c>
      <c r="C141" s="20" t="n">
        <f aca="false">ROUND(78.78/FX,2)</f>
        <v>10.94</v>
      </c>
      <c r="D141" s="21" t="s">
        <v>13312</v>
      </c>
      <c r="E141" s="21" t="s">
        <v>734</v>
      </c>
      <c r="F141" s="21" t="s">
        <v>2002</v>
      </c>
      <c r="G141" s="21" t="s">
        <v>13313</v>
      </c>
    </row>
    <row r="142" customFormat="false" ht="15" hidden="false" customHeight="false" outlineLevel="0" collapsed="false">
      <c r="B142" s="19" t="s">
        <v>13330</v>
      </c>
      <c r="C142" s="20" t="n">
        <f aca="false">ROUND(79.79/FX,2)</f>
        <v>11.08</v>
      </c>
      <c r="D142" s="21" t="s">
        <v>13312</v>
      </c>
      <c r="E142" s="21" t="s">
        <v>734</v>
      </c>
      <c r="F142" s="21" t="s">
        <v>2022</v>
      </c>
      <c r="G142" s="21" t="s">
        <v>13313</v>
      </c>
    </row>
    <row r="143" customFormat="false" ht="15" hidden="false" customHeight="false" outlineLevel="0" collapsed="false">
      <c r="B143" s="19" t="s">
        <v>13331</v>
      </c>
      <c r="C143" s="20" t="n">
        <f aca="false">ROUND(81.32/FX,2)</f>
        <v>11.29</v>
      </c>
      <c r="D143" s="21" t="s">
        <v>13312</v>
      </c>
      <c r="E143" s="21" t="s">
        <v>734</v>
      </c>
      <c r="F143" s="21" t="s">
        <v>2067</v>
      </c>
      <c r="G143" s="21" t="s">
        <v>13313</v>
      </c>
    </row>
    <row r="144" customFormat="false" ht="15" hidden="false" customHeight="false" outlineLevel="0" collapsed="false">
      <c r="B144" s="19" t="s">
        <v>13332</v>
      </c>
      <c r="C144" s="20" t="n">
        <f aca="false">ROUND(83.85/FX,2)</f>
        <v>11.65</v>
      </c>
      <c r="D144" s="21" t="s">
        <v>13312</v>
      </c>
      <c r="E144" s="21" t="s">
        <v>734</v>
      </c>
      <c r="F144" s="21" t="s">
        <v>2142</v>
      </c>
      <c r="G144" s="21" t="s">
        <v>13313</v>
      </c>
    </row>
    <row r="145" customFormat="false" ht="15" hidden="false" customHeight="false" outlineLevel="0" collapsed="false">
      <c r="B145" s="19" t="s">
        <v>13333</v>
      </c>
      <c r="C145" s="20" t="n">
        <f aca="false">ROUND(86.39/FX,2)</f>
        <v>12</v>
      </c>
      <c r="D145" s="21" t="s">
        <v>13312</v>
      </c>
      <c r="E145" s="21" t="s">
        <v>734</v>
      </c>
      <c r="F145" s="21" t="s">
        <v>2187</v>
      </c>
      <c r="G145" s="21" t="s">
        <v>13313</v>
      </c>
    </row>
    <row r="146" customFormat="false" ht="15" hidden="false" customHeight="false" outlineLevel="0" collapsed="false">
      <c r="B146" s="19" t="s">
        <v>13334</v>
      </c>
      <c r="C146" s="20" t="n">
        <f aca="false">ROUND(88.92/FX,2)</f>
        <v>12.35</v>
      </c>
      <c r="D146" s="21" t="s">
        <v>13312</v>
      </c>
      <c r="E146" s="21" t="s">
        <v>734</v>
      </c>
      <c r="F146" s="21" t="s">
        <v>2227</v>
      </c>
      <c r="G146" s="21" t="s">
        <v>13313</v>
      </c>
    </row>
    <row r="147" customFormat="false" ht="15" hidden="false" customHeight="false" outlineLevel="0" collapsed="false">
      <c r="B147" s="19" t="s">
        <v>13335</v>
      </c>
      <c r="C147" s="20" t="n">
        <f aca="false">ROUND(91.46/FX,2)</f>
        <v>12.7</v>
      </c>
      <c r="D147" s="21" t="s">
        <v>13312</v>
      </c>
      <c r="E147" s="21" t="s">
        <v>734</v>
      </c>
      <c r="F147" s="21" t="s">
        <v>2297</v>
      </c>
      <c r="G147" s="21" t="s">
        <v>13313</v>
      </c>
    </row>
    <row r="148" customFormat="false" ht="15" hidden="false" customHeight="false" outlineLevel="0" collapsed="false">
      <c r="B148" s="19" t="s">
        <v>13336</v>
      </c>
      <c r="C148" s="20" t="n">
        <f aca="false">ROUND(93.99/FX,2)</f>
        <v>13.05</v>
      </c>
      <c r="D148" s="21" t="s">
        <v>13312</v>
      </c>
      <c r="E148" s="21" t="s">
        <v>734</v>
      </c>
      <c r="F148" s="21" t="s">
        <v>2351</v>
      </c>
      <c r="G148" s="21" t="s">
        <v>13313</v>
      </c>
    </row>
    <row r="149" customFormat="false" ht="15" hidden="false" customHeight="false" outlineLevel="0" collapsed="false">
      <c r="B149" s="19" t="s">
        <v>13337</v>
      </c>
      <c r="C149" s="20" t="n">
        <f aca="false">ROUND(96.53/FX,2)</f>
        <v>13.41</v>
      </c>
      <c r="D149" s="21" t="s">
        <v>13312</v>
      </c>
      <c r="E149" s="21" t="s">
        <v>734</v>
      </c>
      <c r="F149" s="21" t="s">
        <v>2400</v>
      </c>
      <c r="G149" s="21" t="s">
        <v>13313</v>
      </c>
    </row>
    <row r="150" customFormat="false" ht="15" hidden="false" customHeight="false" outlineLevel="0" collapsed="false">
      <c r="B150" s="19" t="s">
        <v>13338</v>
      </c>
      <c r="C150" s="20" t="n">
        <f aca="false">ROUND(99.06/FX,2)</f>
        <v>13.76</v>
      </c>
      <c r="D150" s="21" t="s">
        <v>13312</v>
      </c>
      <c r="E150" s="21" t="s">
        <v>734</v>
      </c>
      <c r="F150" s="21" t="s">
        <v>2440</v>
      </c>
      <c r="G150" s="21" t="s">
        <v>13313</v>
      </c>
    </row>
    <row r="151" customFormat="false" ht="15" hidden="false" customHeight="false" outlineLevel="0" collapsed="false">
      <c r="B151" s="19" t="s">
        <v>13339</v>
      </c>
      <c r="C151" s="20" t="n">
        <f aca="false">ROUND(101.6/FX,2)</f>
        <v>14.11</v>
      </c>
      <c r="D151" s="21" t="s">
        <v>13312</v>
      </c>
      <c r="E151" s="21" t="s">
        <v>734</v>
      </c>
      <c r="F151" s="21" t="s">
        <v>2470</v>
      </c>
      <c r="G151" s="21" t="s">
        <v>13313</v>
      </c>
    </row>
    <row r="152" customFormat="false" ht="15" hidden="false" customHeight="false" outlineLevel="0" collapsed="false">
      <c r="B152" s="19" t="s">
        <v>13340</v>
      </c>
      <c r="C152" s="20" t="n">
        <f aca="false">ROUND(104.13/FX,2)</f>
        <v>14.46</v>
      </c>
      <c r="D152" s="21" t="s">
        <v>13312</v>
      </c>
      <c r="E152" s="21" t="s">
        <v>734</v>
      </c>
      <c r="F152" s="21" t="s">
        <v>2500</v>
      </c>
      <c r="G152" s="21" t="s">
        <v>13313</v>
      </c>
    </row>
    <row r="153" customFormat="false" ht="15" hidden="false" customHeight="false" outlineLevel="0" collapsed="false">
      <c r="B153" s="19" t="s">
        <v>13341</v>
      </c>
      <c r="C153" s="20" t="n">
        <f aca="false">ROUND(106.67/FX,2)</f>
        <v>14.82</v>
      </c>
      <c r="D153" s="21" t="s">
        <v>13312</v>
      </c>
      <c r="E153" s="21" t="s">
        <v>734</v>
      </c>
      <c r="F153" s="21" t="s">
        <v>2540</v>
      </c>
      <c r="G153" s="21" t="s">
        <v>13313</v>
      </c>
    </row>
    <row r="154" customFormat="false" ht="15" hidden="false" customHeight="false" outlineLevel="0" collapsed="false">
      <c r="B154" s="19" t="s">
        <v>13342</v>
      </c>
      <c r="C154" s="20" t="n">
        <f aca="false">ROUND(44.07/FX,2)</f>
        <v>6.12</v>
      </c>
      <c r="D154" s="21" t="s">
        <v>13312</v>
      </c>
      <c r="E154" s="21" t="s">
        <v>734</v>
      </c>
      <c r="F154" s="21" t="s">
        <v>2600</v>
      </c>
      <c r="G154" s="21" t="s">
        <v>13343</v>
      </c>
    </row>
    <row r="155" customFormat="false" ht="15" hidden="false" customHeight="false" outlineLevel="0" collapsed="false">
      <c r="B155" s="19" t="s">
        <v>13344</v>
      </c>
      <c r="C155" s="20" t="n">
        <f aca="false">ROUND(89.7/FX,2)</f>
        <v>12.46</v>
      </c>
      <c r="D155" s="21" t="s">
        <v>13312</v>
      </c>
      <c r="E155" s="21" t="s">
        <v>734</v>
      </c>
      <c r="F155" s="21" t="s">
        <v>1733</v>
      </c>
      <c r="G155" s="21" t="s">
        <v>13343</v>
      </c>
    </row>
    <row r="156" customFormat="false" ht="15" hidden="false" customHeight="false" outlineLevel="0" collapsed="false">
      <c r="B156" s="19" t="s">
        <v>13345</v>
      </c>
      <c r="C156" s="20" t="n">
        <f aca="false">ROUND(99.84/FX,2)</f>
        <v>13.87</v>
      </c>
      <c r="D156" s="21" t="s">
        <v>13312</v>
      </c>
      <c r="E156" s="21" t="s">
        <v>734</v>
      </c>
      <c r="F156" s="21" t="s">
        <v>3253</v>
      </c>
      <c r="G156" s="21" t="s">
        <v>13343</v>
      </c>
    </row>
    <row r="157" customFormat="false" ht="15" hidden="false" customHeight="false" outlineLevel="0" collapsed="false">
      <c r="B157" s="19" t="s">
        <v>13346</v>
      </c>
      <c r="C157" s="20" t="n">
        <f aca="false">ROUND(46.61/FX,2)</f>
        <v>6.47</v>
      </c>
      <c r="D157" s="21" t="s">
        <v>13312</v>
      </c>
      <c r="E157" s="21" t="s">
        <v>734</v>
      </c>
      <c r="F157" s="21" t="s">
        <v>2851</v>
      </c>
      <c r="G157" s="21" t="s">
        <v>13343</v>
      </c>
    </row>
    <row r="158" customFormat="false" ht="15" hidden="false" customHeight="false" outlineLevel="0" collapsed="false">
      <c r="B158" s="19" t="s">
        <v>13347</v>
      </c>
      <c r="C158" s="20" t="n">
        <f aca="false">ROUND(115.05/FX,2)</f>
        <v>15.98</v>
      </c>
      <c r="D158" s="21" t="s">
        <v>13312</v>
      </c>
      <c r="E158" s="21" t="s">
        <v>734</v>
      </c>
      <c r="F158" s="21" t="s">
        <v>1881</v>
      </c>
      <c r="G158" s="21" t="s">
        <v>13343</v>
      </c>
    </row>
    <row r="159" customFormat="false" ht="15" hidden="false" customHeight="false" outlineLevel="0" collapsed="false">
      <c r="B159" s="19" t="s">
        <v>13348</v>
      </c>
      <c r="C159" s="20" t="n">
        <f aca="false">ROUND(49.14/FX,2)</f>
        <v>6.83</v>
      </c>
      <c r="D159" s="21" t="s">
        <v>13312</v>
      </c>
      <c r="E159" s="21" t="s">
        <v>734</v>
      </c>
      <c r="F159" s="21" t="s">
        <v>1048</v>
      </c>
      <c r="G159" s="21" t="s">
        <v>13343</v>
      </c>
    </row>
    <row r="160" customFormat="false" ht="15" hidden="false" customHeight="false" outlineLevel="0" collapsed="false">
      <c r="B160" s="19" t="s">
        <v>13349</v>
      </c>
      <c r="C160" s="20" t="n">
        <f aca="false">ROUND(51.68/FX,2)</f>
        <v>7.18</v>
      </c>
      <c r="D160" s="21" t="s">
        <v>13312</v>
      </c>
      <c r="E160" s="21" t="s">
        <v>734</v>
      </c>
      <c r="F160" s="21" t="s">
        <v>1323</v>
      </c>
      <c r="G160" s="21" t="s">
        <v>13343</v>
      </c>
    </row>
    <row r="161" customFormat="false" ht="15" hidden="false" customHeight="false" outlineLevel="0" collapsed="false">
      <c r="B161" s="19" t="s">
        <v>13350</v>
      </c>
      <c r="C161" s="20" t="n">
        <f aca="false">ROUND(54.21/FX,2)</f>
        <v>7.53</v>
      </c>
      <c r="D161" s="21" t="s">
        <v>13312</v>
      </c>
      <c r="E161" s="21" t="s">
        <v>734</v>
      </c>
      <c r="F161" s="21" t="s">
        <v>1520</v>
      </c>
      <c r="G161" s="21" t="s">
        <v>13343</v>
      </c>
    </row>
    <row r="162" customFormat="false" ht="15" hidden="false" customHeight="false" outlineLevel="0" collapsed="false">
      <c r="B162" s="19" t="s">
        <v>13351</v>
      </c>
      <c r="C162" s="20" t="n">
        <f aca="false">ROUND(56.75/FX,2)</f>
        <v>7.88</v>
      </c>
      <c r="D162" s="21" t="s">
        <v>13312</v>
      </c>
      <c r="E162" s="21" t="s">
        <v>734</v>
      </c>
      <c r="F162" s="21" t="s">
        <v>1635</v>
      </c>
      <c r="G162" s="21" t="s">
        <v>13343</v>
      </c>
    </row>
    <row r="163" customFormat="false" ht="15" hidden="false" customHeight="false" outlineLevel="0" collapsed="false">
      <c r="B163" s="19" t="s">
        <v>13352</v>
      </c>
      <c r="C163" s="20" t="n">
        <f aca="false">ROUND(57.25/FX,2)</f>
        <v>7.95</v>
      </c>
      <c r="D163" s="21" t="s">
        <v>13312</v>
      </c>
      <c r="E163" s="21" t="s">
        <v>734</v>
      </c>
      <c r="F163" s="21" t="s">
        <v>1655</v>
      </c>
      <c r="G163" s="21" t="s">
        <v>13343</v>
      </c>
    </row>
    <row r="164" customFormat="false" ht="15" hidden="false" customHeight="false" outlineLevel="0" collapsed="false">
      <c r="B164" s="19" t="s">
        <v>13353</v>
      </c>
      <c r="C164" s="20" t="n">
        <f aca="false">ROUND(57.76/FX,2)</f>
        <v>8.02</v>
      </c>
      <c r="D164" s="21" t="s">
        <v>13312</v>
      </c>
      <c r="E164" s="21" t="s">
        <v>734</v>
      </c>
      <c r="F164" s="21" t="s">
        <v>1670</v>
      </c>
      <c r="G164" s="21" t="s">
        <v>13343</v>
      </c>
    </row>
    <row r="165" customFormat="false" ht="15" hidden="false" customHeight="false" outlineLevel="0" collapsed="false">
      <c r="B165" s="19" t="s">
        <v>13354</v>
      </c>
      <c r="C165" s="20" t="n">
        <f aca="false">ROUND(59.28/FX,2)</f>
        <v>8.23</v>
      </c>
      <c r="D165" s="21" t="s">
        <v>13312</v>
      </c>
      <c r="E165" s="21" t="s">
        <v>734</v>
      </c>
      <c r="F165" s="21" t="s">
        <v>2002</v>
      </c>
      <c r="G165" s="21" t="s">
        <v>13343</v>
      </c>
    </row>
    <row r="166" customFormat="false" ht="15" hidden="false" customHeight="false" outlineLevel="0" collapsed="false">
      <c r="B166" s="19" t="s">
        <v>13355</v>
      </c>
      <c r="C166" s="20" t="n">
        <f aca="false">ROUND(61.82/FX,2)</f>
        <v>8.59</v>
      </c>
      <c r="D166" s="21" t="s">
        <v>13312</v>
      </c>
      <c r="E166" s="21" t="s">
        <v>734</v>
      </c>
      <c r="F166" s="21" t="s">
        <v>2067</v>
      </c>
      <c r="G166" s="21" t="s">
        <v>13343</v>
      </c>
    </row>
    <row r="167" customFormat="false" ht="15" hidden="false" customHeight="false" outlineLevel="0" collapsed="false">
      <c r="B167" s="19" t="s">
        <v>13356</v>
      </c>
      <c r="C167" s="20" t="n">
        <f aca="false">ROUND(64.35/FX,2)</f>
        <v>8.94</v>
      </c>
      <c r="D167" s="21" t="s">
        <v>13312</v>
      </c>
      <c r="E167" s="21" t="s">
        <v>734</v>
      </c>
      <c r="F167" s="21" t="s">
        <v>2142</v>
      </c>
      <c r="G167" s="21" t="s">
        <v>13343</v>
      </c>
    </row>
    <row r="168" customFormat="false" ht="15" hidden="false" customHeight="false" outlineLevel="0" collapsed="false">
      <c r="B168" s="19" t="s">
        <v>13357</v>
      </c>
      <c r="C168" s="20" t="n">
        <f aca="false">ROUND(66.89/FX,2)</f>
        <v>9.29</v>
      </c>
      <c r="D168" s="21" t="s">
        <v>13312</v>
      </c>
      <c r="E168" s="21" t="s">
        <v>734</v>
      </c>
      <c r="F168" s="21" t="s">
        <v>2187</v>
      </c>
      <c r="G168" s="21" t="s">
        <v>13343</v>
      </c>
    </row>
    <row r="169" customFormat="false" ht="15" hidden="false" customHeight="false" outlineLevel="0" collapsed="false">
      <c r="B169" s="19" t="s">
        <v>13358</v>
      </c>
      <c r="C169" s="20" t="n">
        <f aca="false">ROUND(69.42/FX,2)</f>
        <v>9.64</v>
      </c>
      <c r="D169" s="21" t="s">
        <v>13312</v>
      </c>
      <c r="E169" s="21" t="s">
        <v>734</v>
      </c>
      <c r="F169" s="21" t="s">
        <v>2227</v>
      </c>
      <c r="G169" s="21" t="s">
        <v>13343</v>
      </c>
    </row>
    <row r="170" customFormat="false" ht="15" hidden="false" customHeight="false" outlineLevel="0" collapsed="false">
      <c r="B170" s="19" t="s">
        <v>13359</v>
      </c>
      <c r="C170" s="20" t="n">
        <f aca="false">ROUND(71.96/FX,2)</f>
        <v>9.99</v>
      </c>
      <c r="D170" s="21" t="s">
        <v>13312</v>
      </c>
      <c r="E170" s="21" t="s">
        <v>734</v>
      </c>
      <c r="F170" s="21" t="s">
        <v>2297</v>
      </c>
      <c r="G170" s="21" t="s">
        <v>13343</v>
      </c>
    </row>
    <row r="171" customFormat="false" ht="15" hidden="false" customHeight="false" outlineLevel="0" collapsed="false">
      <c r="B171" s="19" t="s">
        <v>13360</v>
      </c>
      <c r="C171" s="20" t="n">
        <f aca="false">ROUND(74.49/FX,2)</f>
        <v>10.35</v>
      </c>
      <c r="D171" s="21" t="s">
        <v>13312</v>
      </c>
      <c r="E171" s="21" t="s">
        <v>734</v>
      </c>
      <c r="F171" s="21" t="s">
        <v>2351</v>
      </c>
      <c r="G171" s="21" t="s">
        <v>13343</v>
      </c>
    </row>
    <row r="172" customFormat="false" ht="15" hidden="false" customHeight="false" outlineLevel="0" collapsed="false">
      <c r="B172" s="19" t="s">
        <v>13361</v>
      </c>
      <c r="C172" s="20" t="n">
        <f aca="false">ROUND(77.03/FX,2)</f>
        <v>10.7</v>
      </c>
      <c r="D172" s="21" t="s">
        <v>13312</v>
      </c>
      <c r="E172" s="21" t="s">
        <v>734</v>
      </c>
      <c r="F172" s="21" t="s">
        <v>2400</v>
      </c>
      <c r="G172" s="21" t="s">
        <v>13343</v>
      </c>
    </row>
    <row r="173" customFormat="false" ht="15" hidden="false" customHeight="false" outlineLevel="0" collapsed="false">
      <c r="B173" s="19" t="s">
        <v>13362</v>
      </c>
      <c r="C173" s="20" t="n">
        <f aca="false">ROUND(79.56/FX,2)</f>
        <v>11.05</v>
      </c>
      <c r="D173" s="21" t="s">
        <v>13312</v>
      </c>
      <c r="E173" s="21" t="s">
        <v>734</v>
      </c>
      <c r="F173" s="21" t="s">
        <v>2440</v>
      </c>
      <c r="G173" s="21" t="s">
        <v>13343</v>
      </c>
    </row>
    <row r="174" customFormat="false" ht="15" hidden="false" customHeight="false" outlineLevel="0" collapsed="false">
      <c r="B174" s="19" t="s">
        <v>13363</v>
      </c>
      <c r="C174" s="20" t="n">
        <f aca="false">ROUND(82.1/FX,2)</f>
        <v>11.4</v>
      </c>
      <c r="D174" s="21" t="s">
        <v>13312</v>
      </c>
      <c r="E174" s="21" t="s">
        <v>734</v>
      </c>
      <c r="F174" s="21" t="s">
        <v>2470</v>
      </c>
      <c r="G174" s="21" t="s">
        <v>13343</v>
      </c>
    </row>
    <row r="175" customFormat="false" ht="15" hidden="false" customHeight="false" outlineLevel="0" collapsed="false">
      <c r="B175" s="19" t="s">
        <v>13364</v>
      </c>
      <c r="C175" s="20" t="n">
        <f aca="false">ROUND(84.63/FX,2)</f>
        <v>11.75</v>
      </c>
      <c r="D175" s="21" t="s">
        <v>13312</v>
      </c>
      <c r="E175" s="21" t="s">
        <v>734</v>
      </c>
      <c r="F175" s="21" t="s">
        <v>2500</v>
      </c>
      <c r="G175" s="21" t="s">
        <v>13343</v>
      </c>
    </row>
    <row r="176" customFormat="false" ht="15" hidden="false" customHeight="false" outlineLevel="0" collapsed="false">
      <c r="B176" s="19" t="s">
        <v>13365</v>
      </c>
      <c r="C176" s="20" t="n">
        <f aca="false">ROUND(87.17/FX,2)</f>
        <v>12.11</v>
      </c>
      <c r="D176" s="21" t="s">
        <v>13312</v>
      </c>
      <c r="E176" s="21" t="s">
        <v>734</v>
      </c>
      <c r="F176" s="21" t="s">
        <v>2540</v>
      </c>
      <c r="G176" s="21" t="s">
        <v>13343</v>
      </c>
    </row>
    <row r="177" customFormat="false" ht="15" hidden="false" customHeight="false" outlineLevel="0" collapsed="false">
      <c r="B177" s="19" t="s">
        <v>13366</v>
      </c>
      <c r="C177" s="20" t="n">
        <f aca="false">ROUND(135.2/FX,2)</f>
        <v>18.78</v>
      </c>
      <c r="D177" s="21" t="s">
        <v>13367</v>
      </c>
      <c r="E177" s="21" t="s">
        <v>734</v>
      </c>
      <c r="F177" s="21" t="s">
        <v>1733</v>
      </c>
      <c r="G177" s="21" t="s">
        <v>13313</v>
      </c>
    </row>
    <row r="178" customFormat="false" ht="15" hidden="false" customHeight="false" outlineLevel="0" collapsed="false">
      <c r="B178" s="19" t="s">
        <v>13368</v>
      </c>
      <c r="C178" s="20" t="n">
        <f aca="false">ROUND(147.03/FX,2)</f>
        <v>20.42</v>
      </c>
      <c r="D178" s="21" t="s">
        <v>13367</v>
      </c>
      <c r="E178" s="21" t="s">
        <v>734</v>
      </c>
      <c r="F178" s="21" t="s">
        <v>3253</v>
      </c>
      <c r="G178" s="21" t="s">
        <v>13313</v>
      </c>
    </row>
    <row r="179" customFormat="false" ht="15" hidden="false" customHeight="false" outlineLevel="0" collapsed="false">
      <c r="B179" s="19" t="s">
        <v>13369</v>
      </c>
      <c r="C179" s="20" t="n">
        <f aca="false">ROUND(84.93/FX,2)</f>
        <v>11.8</v>
      </c>
      <c r="D179" s="21" t="s">
        <v>13367</v>
      </c>
      <c r="E179" s="21" t="s">
        <v>734</v>
      </c>
      <c r="F179" s="21" t="s">
        <v>2851</v>
      </c>
      <c r="G179" s="21" t="s">
        <v>13313</v>
      </c>
    </row>
    <row r="180" customFormat="false" ht="15" hidden="false" customHeight="false" outlineLevel="0" collapsed="false">
      <c r="B180" s="19" t="s">
        <v>13370</v>
      </c>
      <c r="C180" s="20" t="n">
        <f aca="false">ROUND(164.78/FX,2)</f>
        <v>22.89</v>
      </c>
      <c r="D180" s="21" t="s">
        <v>13367</v>
      </c>
      <c r="E180" s="21" t="s">
        <v>734</v>
      </c>
      <c r="F180" s="21" t="s">
        <v>1881</v>
      </c>
      <c r="G180" s="21" t="s">
        <v>13313</v>
      </c>
    </row>
    <row r="181" customFormat="false" ht="15" hidden="false" customHeight="false" outlineLevel="0" collapsed="false">
      <c r="B181" s="19" t="s">
        <v>13371</v>
      </c>
      <c r="C181" s="20" t="n">
        <f aca="false">ROUND(87.88/FX,2)</f>
        <v>12.21</v>
      </c>
      <c r="D181" s="21" t="s">
        <v>13367</v>
      </c>
      <c r="E181" s="21" t="s">
        <v>734</v>
      </c>
      <c r="F181" s="21" t="s">
        <v>1048</v>
      </c>
      <c r="G181" s="21" t="s">
        <v>13313</v>
      </c>
    </row>
    <row r="182" customFormat="false" ht="15" hidden="false" customHeight="false" outlineLevel="0" collapsed="false">
      <c r="B182" s="19" t="s">
        <v>13372</v>
      </c>
      <c r="C182" s="20" t="n">
        <f aca="false">ROUND(71.5/FX,2)</f>
        <v>9.93</v>
      </c>
      <c r="D182" s="21" t="s">
        <v>13367</v>
      </c>
      <c r="E182" s="21" t="s">
        <v>734</v>
      </c>
      <c r="F182" s="21" t="s">
        <v>1323</v>
      </c>
      <c r="G182" s="21" t="s">
        <v>13313</v>
      </c>
    </row>
    <row r="183" customFormat="false" ht="15" hidden="false" customHeight="false" outlineLevel="0" collapsed="false">
      <c r="B183" s="19" t="s">
        <v>13373</v>
      </c>
      <c r="C183" s="20" t="n">
        <f aca="false">ROUND(93.8/FX,2)</f>
        <v>13.03</v>
      </c>
      <c r="D183" s="21" t="s">
        <v>13367</v>
      </c>
      <c r="E183" s="21" t="s">
        <v>734</v>
      </c>
      <c r="F183" s="21" t="s">
        <v>1520</v>
      </c>
      <c r="G183" s="21" t="s">
        <v>13313</v>
      </c>
    </row>
    <row r="184" customFormat="false" ht="15" hidden="false" customHeight="false" outlineLevel="0" collapsed="false">
      <c r="B184" s="19" t="s">
        <v>13374</v>
      </c>
      <c r="C184" s="20" t="n">
        <f aca="false">ROUND(96.76/FX,2)</f>
        <v>13.44</v>
      </c>
      <c r="D184" s="21" t="s">
        <v>13367</v>
      </c>
      <c r="E184" s="21" t="s">
        <v>734</v>
      </c>
      <c r="F184" s="21" t="s">
        <v>1635</v>
      </c>
      <c r="G184" s="21" t="s">
        <v>13313</v>
      </c>
    </row>
    <row r="185" customFormat="false" ht="15" hidden="false" customHeight="false" outlineLevel="0" collapsed="false">
      <c r="B185" s="19" t="s">
        <v>13375</v>
      </c>
      <c r="C185" s="20" t="n">
        <f aca="false">ROUND(99.71/FX,2)</f>
        <v>13.85</v>
      </c>
      <c r="D185" s="21" t="s">
        <v>13367</v>
      </c>
      <c r="E185" s="21" t="s">
        <v>734</v>
      </c>
      <c r="F185" s="21" t="s">
        <v>2002</v>
      </c>
      <c r="G185" s="21" t="s">
        <v>13313</v>
      </c>
    </row>
    <row r="186" customFormat="false" ht="15" hidden="false" customHeight="false" outlineLevel="0" collapsed="false">
      <c r="B186" s="19" t="s">
        <v>13376</v>
      </c>
      <c r="C186" s="20" t="n">
        <f aca="false">ROUND(102.67/FX,2)</f>
        <v>14.26</v>
      </c>
      <c r="D186" s="21" t="s">
        <v>13367</v>
      </c>
      <c r="E186" s="21" t="s">
        <v>734</v>
      </c>
      <c r="F186" s="21" t="s">
        <v>2067</v>
      </c>
      <c r="G186" s="21" t="s">
        <v>13313</v>
      </c>
    </row>
    <row r="187" customFormat="false" ht="15" hidden="false" customHeight="false" outlineLevel="0" collapsed="false">
      <c r="B187" s="19" t="s">
        <v>13377</v>
      </c>
      <c r="C187" s="20" t="n">
        <f aca="false">ROUND(105.62/FX,2)</f>
        <v>14.67</v>
      </c>
      <c r="D187" s="21" t="s">
        <v>13367</v>
      </c>
      <c r="E187" s="21" t="s">
        <v>734</v>
      </c>
      <c r="F187" s="21" t="s">
        <v>2142</v>
      </c>
      <c r="G187" s="21" t="s">
        <v>13313</v>
      </c>
    </row>
    <row r="188" customFormat="false" ht="15" hidden="false" customHeight="false" outlineLevel="0" collapsed="false">
      <c r="B188" s="19" t="s">
        <v>13378</v>
      </c>
      <c r="C188" s="20" t="n">
        <f aca="false">ROUND(108.59/FX,2)</f>
        <v>15.08</v>
      </c>
      <c r="D188" s="21" t="s">
        <v>13367</v>
      </c>
      <c r="E188" s="21" t="s">
        <v>734</v>
      </c>
      <c r="F188" s="21" t="s">
        <v>2187</v>
      </c>
      <c r="G188" s="21" t="s">
        <v>13313</v>
      </c>
    </row>
    <row r="189" customFormat="false" ht="15" hidden="false" customHeight="false" outlineLevel="0" collapsed="false">
      <c r="B189" s="19" t="s">
        <v>13379</v>
      </c>
      <c r="C189" s="20" t="n">
        <f aca="false">ROUND(111.54/FX,2)</f>
        <v>15.49</v>
      </c>
      <c r="D189" s="21" t="s">
        <v>13367</v>
      </c>
      <c r="E189" s="21" t="s">
        <v>734</v>
      </c>
      <c r="F189" s="21" t="s">
        <v>2227</v>
      </c>
      <c r="G189" s="21" t="s">
        <v>13313</v>
      </c>
    </row>
    <row r="190" customFormat="false" ht="15" hidden="false" customHeight="false" outlineLevel="0" collapsed="false">
      <c r="B190" s="19" t="s">
        <v>13380</v>
      </c>
      <c r="C190" s="20" t="n">
        <f aca="false">ROUND(114.5/FX,2)</f>
        <v>15.9</v>
      </c>
      <c r="D190" s="21" t="s">
        <v>13367</v>
      </c>
      <c r="E190" s="21" t="s">
        <v>734</v>
      </c>
      <c r="F190" s="21" t="s">
        <v>2297</v>
      </c>
      <c r="G190" s="21" t="s">
        <v>13313</v>
      </c>
    </row>
    <row r="191" customFormat="false" ht="15" hidden="false" customHeight="false" outlineLevel="0" collapsed="false">
      <c r="B191" s="19" t="s">
        <v>13381</v>
      </c>
      <c r="C191" s="20" t="n">
        <f aca="false">ROUND(117.45/FX,2)</f>
        <v>16.31</v>
      </c>
      <c r="D191" s="21" t="s">
        <v>13367</v>
      </c>
      <c r="E191" s="21" t="s">
        <v>734</v>
      </c>
      <c r="F191" s="21" t="s">
        <v>2351</v>
      </c>
      <c r="G191" s="21" t="s">
        <v>13313</v>
      </c>
    </row>
    <row r="192" customFormat="false" ht="15" hidden="false" customHeight="false" outlineLevel="0" collapsed="false">
      <c r="B192" s="19" t="s">
        <v>13382</v>
      </c>
      <c r="C192" s="20" t="n">
        <f aca="false">ROUND(120.42/FX,2)</f>
        <v>16.73</v>
      </c>
      <c r="D192" s="21" t="s">
        <v>13367</v>
      </c>
      <c r="E192" s="21" t="s">
        <v>734</v>
      </c>
      <c r="F192" s="21" t="s">
        <v>2400</v>
      </c>
      <c r="G192" s="21" t="s">
        <v>13313</v>
      </c>
    </row>
    <row r="193" customFormat="false" ht="15" hidden="false" customHeight="false" outlineLevel="0" collapsed="false">
      <c r="B193" s="19" t="s">
        <v>13383</v>
      </c>
      <c r="C193" s="20" t="n">
        <f aca="false">ROUND(123.37/FX,2)</f>
        <v>17.13</v>
      </c>
      <c r="D193" s="21" t="s">
        <v>13367</v>
      </c>
      <c r="E193" s="21" t="s">
        <v>734</v>
      </c>
      <c r="F193" s="21" t="s">
        <v>2440</v>
      </c>
      <c r="G193" s="21" t="s">
        <v>13313</v>
      </c>
    </row>
    <row r="194" customFormat="false" ht="15" hidden="false" customHeight="false" outlineLevel="0" collapsed="false">
      <c r="B194" s="19" t="s">
        <v>13384</v>
      </c>
      <c r="C194" s="20" t="n">
        <f aca="false">ROUND(126.33/FX,2)</f>
        <v>17.55</v>
      </c>
      <c r="D194" s="21" t="s">
        <v>13367</v>
      </c>
      <c r="E194" s="21" t="s">
        <v>734</v>
      </c>
      <c r="F194" s="21" t="s">
        <v>2470</v>
      </c>
      <c r="G194" s="21" t="s">
        <v>13313</v>
      </c>
    </row>
    <row r="195" customFormat="false" ht="15" hidden="false" customHeight="false" outlineLevel="0" collapsed="false">
      <c r="B195" s="19" t="s">
        <v>13385</v>
      </c>
      <c r="C195" s="20" t="n">
        <f aca="false">ROUND(129.28/FX,2)</f>
        <v>17.96</v>
      </c>
      <c r="D195" s="21" t="s">
        <v>13367</v>
      </c>
      <c r="E195" s="21" t="s">
        <v>734</v>
      </c>
      <c r="F195" s="21" t="s">
        <v>2500</v>
      </c>
      <c r="G195" s="21" t="s">
        <v>13313</v>
      </c>
    </row>
    <row r="196" customFormat="false" ht="15" hidden="false" customHeight="false" outlineLevel="0" collapsed="false">
      <c r="B196" s="19" t="s">
        <v>13386</v>
      </c>
      <c r="C196" s="20" t="n">
        <f aca="false">ROUND(132.25/FX,2)</f>
        <v>18.37</v>
      </c>
      <c r="D196" s="21" t="s">
        <v>13367</v>
      </c>
      <c r="E196" s="21" t="s">
        <v>734</v>
      </c>
      <c r="F196" s="21" t="s">
        <v>2540</v>
      </c>
      <c r="G196" s="21" t="s">
        <v>13313</v>
      </c>
    </row>
    <row r="197" customFormat="false" ht="15" hidden="false" customHeight="false" outlineLevel="0" collapsed="false">
      <c r="B197" s="19" t="s">
        <v>13387</v>
      </c>
      <c r="C197" s="20" t="n">
        <f aca="false">ROUND(50.05/FX,2)</f>
        <v>6.95</v>
      </c>
      <c r="D197" s="21" t="s">
        <v>13367</v>
      </c>
      <c r="E197" s="21" t="s">
        <v>734</v>
      </c>
      <c r="F197" s="21" t="s">
        <v>2600</v>
      </c>
      <c r="G197" s="21" t="s">
        <v>13343</v>
      </c>
    </row>
    <row r="198" customFormat="false" ht="15" hidden="false" customHeight="false" outlineLevel="0" collapsed="false">
      <c r="B198" s="19" t="s">
        <v>13388</v>
      </c>
      <c r="C198" s="20" t="n">
        <f aca="false">ROUND(91/FX,2)</f>
        <v>12.64</v>
      </c>
      <c r="D198" s="21" t="s">
        <v>13367</v>
      </c>
      <c r="E198" s="21" t="s">
        <v>734</v>
      </c>
      <c r="F198" s="21" t="s">
        <v>1733</v>
      </c>
      <c r="G198" s="21" t="s">
        <v>13343</v>
      </c>
    </row>
    <row r="199" customFormat="false" ht="15" hidden="false" customHeight="false" outlineLevel="0" collapsed="false">
      <c r="B199" s="19" t="s">
        <v>13389</v>
      </c>
      <c r="C199" s="20" t="n">
        <f aca="false">ROUND(100.1/FX,2)</f>
        <v>13.9</v>
      </c>
      <c r="D199" s="21" t="s">
        <v>13367</v>
      </c>
      <c r="E199" s="21" t="s">
        <v>734</v>
      </c>
      <c r="F199" s="21" t="s">
        <v>3253</v>
      </c>
      <c r="G199" s="21" t="s">
        <v>13343</v>
      </c>
    </row>
    <row r="200" customFormat="false" ht="15" hidden="false" customHeight="false" outlineLevel="0" collapsed="false">
      <c r="B200" s="19" t="s">
        <v>13390</v>
      </c>
      <c r="C200" s="20" t="n">
        <f aca="false">ROUND(52.35/FX,2)</f>
        <v>7.27</v>
      </c>
      <c r="D200" s="21" t="s">
        <v>13367</v>
      </c>
      <c r="E200" s="21" t="s">
        <v>734</v>
      </c>
      <c r="F200" s="21" t="s">
        <v>2851</v>
      </c>
      <c r="G200" s="21" t="s">
        <v>13343</v>
      </c>
    </row>
    <row r="201" customFormat="false" ht="15" hidden="false" customHeight="false" outlineLevel="0" collapsed="false">
      <c r="B201" s="19" t="s">
        <v>13391</v>
      </c>
      <c r="C201" s="20" t="n">
        <f aca="false">ROUND(113.75/FX,2)</f>
        <v>15.8</v>
      </c>
      <c r="D201" s="21" t="s">
        <v>13367</v>
      </c>
      <c r="E201" s="21" t="s">
        <v>734</v>
      </c>
      <c r="F201" s="21" t="s">
        <v>1881</v>
      </c>
      <c r="G201" s="21" t="s">
        <v>13343</v>
      </c>
    </row>
    <row r="202" customFormat="false" ht="15" hidden="false" customHeight="false" outlineLevel="0" collapsed="false">
      <c r="B202" s="19" t="s">
        <v>13392</v>
      </c>
      <c r="C202" s="20" t="n">
        <f aca="false">ROUND(54.6/FX,2)</f>
        <v>7.58</v>
      </c>
      <c r="D202" s="21" t="s">
        <v>13367</v>
      </c>
      <c r="E202" s="21" t="s">
        <v>734</v>
      </c>
      <c r="F202" s="21" t="s">
        <v>1048</v>
      </c>
      <c r="G202" s="21" t="s">
        <v>13343</v>
      </c>
    </row>
    <row r="203" customFormat="false" ht="15" hidden="false" customHeight="false" outlineLevel="0" collapsed="false">
      <c r="B203" s="19" t="s">
        <v>13393</v>
      </c>
      <c r="C203" s="20" t="n">
        <f aca="false">ROUND(56.88/FX,2)</f>
        <v>7.9</v>
      </c>
      <c r="D203" s="21" t="s">
        <v>13367</v>
      </c>
      <c r="E203" s="21" t="s">
        <v>734</v>
      </c>
      <c r="F203" s="21" t="s">
        <v>1323</v>
      </c>
      <c r="G203" s="21" t="s">
        <v>13343</v>
      </c>
    </row>
    <row r="204" customFormat="false" ht="15" hidden="false" customHeight="false" outlineLevel="0" collapsed="false">
      <c r="B204" s="19" t="s">
        <v>13394</v>
      </c>
      <c r="C204" s="20" t="n">
        <f aca="false">ROUND(59.15/FX,2)</f>
        <v>8.22</v>
      </c>
      <c r="D204" s="21" t="s">
        <v>13367</v>
      </c>
      <c r="E204" s="21" t="s">
        <v>734</v>
      </c>
      <c r="F204" s="21" t="s">
        <v>1520</v>
      </c>
      <c r="G204" s="21" t="s">
        <v>13343</v>
      </c>
    </row>
    <row r="205" customFormat="false" ht="15" hidden="false" customHeight="false" outlineLevel="0" collapsed="false">
      <c r="B205" s="19" t="s">
        <v>13395</v>
      </c>
      <c r="C205" s="20" t="n">
        <f aca="false">ROUND(61.43/FX,2)</f>
        <v>8.53</v>
      </c>
      <c r="D205" s="21" t="s">
        <v>13367</v>
      </c>
      <c r="E205" s="21" t="s">
        <v>734</v>
      </c>
      <c r="F205" s="21" t="s">
        <v>1635</v>
      </c>
      <c r="G205" s="21" t="s">
        <v>13343</v>
      </c>
    </row>
    <row r="206" customFormat="false" ht="15" hidden="false" customHeight="false" outlineLevel="0" collapsed="false">
      <c r="B206" s="19" t="s">
        <v>13396</v>
      </c>
      <c r="C206" s="20" t="n">
        <f aca="false">ROUND(63.7/FX,2)</f>
        <v>8.85</v>
      </c>
      <c r="D206" s="21" t="s">
        <v>13367</v>
      </c>
      <c r="E206" s="21" t="s">
        <v>734</v>
      </c>
      <c r="F206" s="21" t="s">
        <v>2002</v>
      </c>
      <c r="G206" s="21" t="s">
        <v>13343</v>
      </c>
    </row>
    <row r="207" customFormat="false" ht="15" hidden="false" customHeight="false" outlineLevel="0" collapsed="false">
      <c r="B207" s="19" t="s">
        <v>13397</v>
      </c>
      <c r="C207" s="20" t="n">
        <f aca="false">ROUND(65.98/FX,2)</f>
        <v>9.16</v>
      </c>
      <c r="D207" s="21" t="s">
        <v>13367</v>
      </c>
      <c r="E207" s="21" t="s">
        <v>734</v>
      </c>
      <c r="F207" s="21" t="s">
        <v>2067</v>
      </c>
      <c r="G207" s="21" t="s">
        <v>13343</v>
      </c>
    </row>
    <row r="208" customFormat="false" ht="15" hidden="false" customHeight="false" outlineLevel="0" collapsed="false">
      <c r="B208" s="19" t="s">
        <v>13398</v>
      </c>
      <c r="C208" s="20" t="n">
        <f aca="false">ROUND(68.25/FX,2)</f>
        <v>9.48</v>
      </c>
      <c r="D208" s="21" t="s">
        <v>13367</v>
      </c>
      <c r="E208" s="21" t="s">
        <v>734</v>
      </c>
      <c r="F208" s="21" t="s">
        <v>2142</v>
      </c>
      <c r="G208" s="21" t="s">
        <v>13343</v>
      </c>
    </row>
    <row r="209" customFormat="false" ht="15" hidden="false" customHeight="false" outlineLevel="0" collapsed="false">
      <c r="B209" s="19" t="s">
        <v>13399</v>
      </c>
      <c r="C209" s="20" t="n">
        <f aca="false">ROUND(70.53/FX,2)</f>
        <v>9.8</v>
      </c>
      <c r="D209" s="21" t="s">
        <v>13367</v>
      </c>
      <c r="E209" s="21" t="s">
        <v>734</v>
      </c>
      <c r="F209" s="21" t="s">
        <v>2187</v>
      </c>
      <c r="G209" s="21" t="s">
        <v>13343</v>
      </c>
    </row>
    <row r="210" customFormat="false" ht="15" hidden="false" customHeight="false" outlineLevel="0" collapsed="false">
      <c r="B210" s="19" t="s">
        <v>13400</v>
      </c>
      <c r="C210" s="20" t="n">
        <f aca="false">ROUND(72.8/FX,2)</f>
        <v>10.11</v>
      </c>
      <c r="D210" s="21" t="s">
        <v>13367</v>
      </c>
      <c r="E210" s="21" t="s">
        <v>734</v>
      </c>
      <c r="F210" s="21" t="s">
        <v>2227</v>
      </c>
      <c r="G210" s="21" t="s">
        <v>13343</v>
      </c>
    </row>
    <row r="211" customFormat="false" ht="15" hidden="false" customHeight="false" outlineLevel="0" collapsed="false">
      <c r="B211" s="19" t="s">
        <v>13401</v>
      </c>
      <c r="C211" s="20" t="n">
        <f aca="false">ROUND(75.08/FX,2)</f>
        <v>10.43</v>
      </c>
      <c r="D211" s="21" t="s">
        <v>13367</v>
      </c>
      <c r="E211" s="21" t="s">
        <v>734</v>
      </c>
      <c r="F211" s="21" t="s">
        <v>2297</v>
      </c>
      <c r="G211" s="21" t="s">
        <v>13343</v>
      </c>
    </row>
    <row r="212" customFormat="false" ht="15" hidden="false" customHeight="false" outlineLevel="0" collapsed="false">
      <c r="B212" s="19" t="s">
        <v>13402</v>
      </c>
      <c r="C212" s="20" t="n">
        <f aca="false">ROUND(77.35/FX,2)</f>
        <v>10.74</v>
      </c>
      <c r="D212" s="21" t="s">
        <v>13367</v>
      </c>
      <c r="E212" s="21" t="s">
        <v>734</v>
      </c>
      <c r="F212" s="21" t="s">
        <v>2351</v>
      </c>
      <c r="G212" s="21" t="s">
        <v>13343</v>
      </c>
    </row>
    <row r="213" customFormat="false" ht="15" hidden="false" customHeight="false" outlineLevel="0" collapsed="false">
      <c r="B213" s="19" t="s">
        <v>13403</v>
      </c>
      <c r="C213" s="20" t="n">
        <f aca="false">ROUND(79.63/FX,2)</f>
        <v>11.06</v>
      </c>
      <c r="D213" s="21" t="s">
        <v>13367</v>
      </c>
      <c r="E213" s="21" t="s">
        <v>734</v>
      </c>
      <c r="F213" s="21" t="s">
        <v>2400</v>
      </c>
      <c r="G213" s="21" t="s">
        <v>13343</v>
      </c>
    </row>
    <row r="214" customFormat="false" ht="15" hidden="false" customHeight="false" outlineLevel="0" collapsed="false">
      <c r="B214" s="19" t="s">
        <v>13404</v>
      </c>
      <c r="C214" s="20" t="n">
        <f aca="false">ROUND(81.9/FX,2)</f>
        <v>11.38</v>
      </c>
      <c r="D214" s="21" t="s">
        <v>13367</v>
      </c>
      <c r="E214" s="21" t="s">
        <v>734</v>
      </c>
      <c r="F214" s="21" t="s">
        <v>2440</v>
      </c>
      <c r="G214" s="21" t="s">
        <v>13343</v>
      </c>
    </row>
    <row r="215" customFormat="false" ht="15" hidden="false" customHeight="false" outlineLevel="0" collapsed="false">
      <c r="B215" s="19" t="s">
        <v>13405</v>
      </c>
      <c r="C215" s="20" t="n">
        <f aca="false">ROUND(84.18/FX,2)</f>
        <v>11.69</v>
      </c>
      <c r="D215" s="21" t="s">
        <v>13367</v>
      </c>
      <c r="E215" s="21" t="s">
        <v>734</v>
      </c>
      <c r="F215" s="21" t="s">
        <v>2470</v>
      </c>
      <c r="G215" s="21" t="s">
        <v>13343</v>
      </c>
    </row>
    <row r="216" customFormat="false" ht="15" hidden="false" customHeight="false" outlineLevel="0" collapsed="false">
      <c r="B216" s="19" t="s">
        <v>13406</v>
      </c>
      <c r="C216" s="20" t="n">
        <f aca="false">ROUND(86.45/FX,2)</f>
        <v>12.01</v>
      </c>
      <c r="D216" s="21" t="s">
        <v>13367</v>
      </c>
      <c r="E216" s="21" t="s">
        <v>734</v>
      </c>
      <c r="F216" s="21" t="s">
        <v>2500</v>
      </c>
      <c r="G216" s="21" t="s">
        <v>13343</v>
      </c>
    </row>
    <row r="217" customFormat="false" ht="15" hidden="false" customHeight="false" outlineLevel="0" collapsed="false">
      <c r="B217" s="19" t="s">
        <v>13407</v>
      </c>
      <c r="C217" s="20" t="n">
        <f aca="false">ROUND(88.73/FX,2)</f>
        <v>12.32</v>
      </c>
      <c r="D217" s="21" t="s">
        <v>13367</v>
      </c>
      <c r="E217" s="21" t="s">
        <v>734</v>
      </c>
      <c r="F217" s="21" t="s">
        <v>2540</v>
      </c>
      <c r="G217" s="21" t="s">
        <v>13343</v>
      </c>
    </row>
    <row r="218" customFormat="false" ht="28.35" hidden="false" customHeight="false" outlineLevel="0" collapsed="false">
      <c r="B218" s="19" t="s">
        <v>13408</v>
      </c>
      <c r="C218" s="20" t="n">
        <f aca="false">ROUND(418.6/FX,2)</f>
        <v>58.14</v>
      </c>
      <c r="D218" s="21" t="s">
        <v>13409</v>
      </c>
      <c r="E218" s="21" t="s">
        <v>13410</v>
      </c>
      <c r="F218" s="21" t="s">
        <v>2142</v>
      </c>
      <c r="G218" s="21" t="s">
        <v>6336</v>
      </c>
    </row>
    <row r="219" customFormat="false" ht="15" hidden="false" customHeight="false" outlineLevel="0" collapsed="false">
      <c r="B219" s="19" t="s">
        <v>13411</v>
      </c>
      <c r="C219" s="20" t="n">
        <f aca="false">ROUND(105.3/FX,2)</f>
        <v>14.63</v>
      </c>
      <c r="D219" s="21" t="s">
        <v>13409</v>
      </c>
      <c r="E219" s="21" t="s">
        <v>734</v>
      </c>
      <c r="F219" s="21" t="s">
        <v>1733</v>
      </c>
      <c r="G219" s="21" t="s">
        <v>13313</v>
      </c>
    </row>
    <row r="220" customFormat="false" ht="15" hidden="false" customHeight="false" outlineLevel="0" collapsed="false">
      <c r="B220" s="19" t="s">
        <v>13412</v>
      </c>
      <c r="C220" s="20" t="n">
        <f aca="false">ROUND(106.1/FX,2)</f>
        <v>14.74</v>
      </c>
      <c r="D220" s="21" t="s">
        <v>13409</v>
      </c>
      <c r="E220" s="21" t="s">
        <v>734</v>
      </c>
      <c r="F220" s="21" t="s">
        <v>13413</v>
      </c>
      <c r="G220" s="21" t="s">
        <v>13313</v>
      </c>
    </row>
    <row r="221" customFormat="false" ht="15" hidden="false" customHeight="false" outlineLevel="0" collapsed="false">
      <c r="B221" s="19" t="s">
        <v>13414</v>
      </c>
      <c r="C221" s="20" t="n">
        <f aca="false">ROUND(107.64/FX,2)</f>
        <v>14.95</v>
      </c>
      <c r="D221" s="21" t="s">
        <v>13409</v>
      </c>
      <c r="E221" s="21" t="s">
        <v>734</v>
      </c>
      <c r="F221" s="21" t="s">
        <v>3253</v>
      </c>
      <c r="G221" s="21" t="s">
        <v>13313</v>
      </c>
    </row>
    <row r="222" customFormat="false" ht="15" hidden="false" customHeight="false" outlineLevel="0" collapsed="false">
      <c r="B222" s="19" t="s">
        <v>13415</v>
      </c>
      <c r="C222" s="20" t="n">
        <f aca="false">ROUND(112.06/FX,2)</f>
        <v>15.56</v>
      </c>
      <c r="D222" s="21" t="s">
        <v>13409</v>
      </c>
      <c r="E222" s="21" t="s">
        <v>734</v>
      </c>
      <c r="F222" s="21" t="s">
        <v>5513</v>
      </c>
      <c r="G222" s="21" t="s">
        <v>13313</v>
      </c>
    </row>
    <row r="223" customFormat="false" ht="15" hidden="false" customHeight="false" outlineLevel="0" collapsed="false">
      <c r="B223" s="19" t="s">
        <v>13416</v>
      </c>
      <c r="C223" s="20" t="n">
        <f aca="false">ROUND(67.73/FX,2)</f>
        <v>9.41</v>
      </c>
      <c r="D223" s="21" t="s">
        <v>13409</v>
      </c>
      <c r="E223" s="21" t="s">
        <v>734</v>
      </c>
      <c r="F223" s="21" t="s">
        <v>2851</v>
      </c>
      <c r="G223" s="21" t="s">
        <v>13313</v>
      </c>
    </row>
    <row r="224" customFormat="false" ht="15" hidden="false" customHeight="false" outlineLevel="0" collapsed="false">
      <c r="B224" s="19" t="s">
        <v>13417</v>
      </c>
      <c r="C224" s="20" t="n">
        <f aca="false">ROUND(124.8/FX,2)</f>
        <v>17.33</v>
      </c>
      <c r="D224" s="21" t="s">
        <v>13409</v>
      </c>
      <c r="E224" s="21" t="s">
        <v>734</v>
      </c>
      <c r="F224" s="21" t="s">
        <v>1881</v>
      </c>
      <c r="G224" s="21" t="s">
        <v>13313</v>
      </c>
    </row>
    <row r="225" customFormat="false" ht="15" hidden="false" customHeight="false" outlineLevel="0" collapsed="false">
      <c r="B225" s="19" t="s">
        <v>13418</v>
      </c>
      <c r="C225" s="20" t="n">
        <f aca="false">ROUND(69.94/FX,2)</f>
        <v>9.71</v>
      </c>
      <c r="D225" s="21" t="s">
        <v>13409</v>
      </c>
      <c r="E225" s="21" t="s">
        <v>734</v>
      </c>
      <c r="F225" s="21" t="s">
        <v>1048</v>
      </c>
      <c r="G225" s="21" t="s">
        <v>13313</v>
      </c>
    </row>
    <row r="226" customFormat="false" ht="15" hidden="false" customHeight="false" outlineLevel="0" collapsed="false">
      <c r="B226" s="19" t="s">
        <v>13419</v>
      </c>
      <c r="C226" s="20" t="n">
        <f aca="false">ROUND(74.8/FX,2)</f>
        <v>10.39</v>
      </c>
      <c r="D226" s="21" t="s">
        <v>13409</v>
      </c>
      <c r="E226" s="21" t="s">
        <v>734</v>
      </c>
      <c r="F226" s="21" t="s">
        <v>1103</v>
      </c>
      <c r="G226" s="21" t="s">
        <v>13313</v>
      </c>
    </row>
    <row r="227" customFormat="false" ht="15" hidden="false" customHeight="false" outlineLevel="0" collapsed="false">
      <c r="B227" s="19" t="s">
        <v>13420</v>
      </c>
      <c r="C227" s="20" t="n">
        <f aca="false">ROUND(71.27/FX,2)</f>
        <v>9.9</v>
      </c>
      <c r="D227" s="21" t="s">
        <v>13409</v>
      </c>
      <c r="E227" s="21" t="s">
        <v>734</v>
      </c>
      <c r="F227" s="21" t="s">
        <v>1213</v>
      </c>
      <c r="G227" s="21" t="s">
        <v>13313</v>
      </c>
    </row>
    <row r="228" customFormat="false" ht="15" hidden="false" customHeight="false" outlineLevel="0" collapsed="false">
      <c r="B228" s="19" t="s">
        <v>13421</v>
      </c>
      <c r="C228" s="20" t="n">
        <f aca="false">ROUND(72.15/FX,2)</f>
        <v>10.02</v>
      </c>
      <c r="D228" s="21" t="s">
        <v>13409</v>
      </c>
      <c r="E228" s="21" t="s">
        <v>734</v>
      </c>
      <c r="F228" s="21" t="s">
        <v>1323</v>
      </c>
      <c r="G228" s="21" t="s">
        <v>13313</v>
      </c>
    </row>
    <row r="229" customFormat="false" ht="15" hidden="false" customHeight="false" outlineLevel="0" collapsed="false">
      <c r="B229" s="19" t="s">
        <v>13422</v>
      </c>
      <c r="C229" s="20" t="n">
        <f aca="false">ROUND(74.36/FX,2)</f>
        <v>10.33</v>
      </c>
      <c r="D229" s="21" t="s">
        <v>13409</v>
      </c>
      <c r="E229" s="21" t="s">
        <v>734</v>
      </c>
      <c r="F229" s="21" t="s">
        <v>1520</v>
      </c>
      <c r="G229" s="21" t="s">
        <v>13313</v>
      </c>
    </row>
    <row r="230" customFormat="false" ht="15" hidden="false" customHeight="false" outlineLevel="0" collapsed="false">
      <c r="B230" s="19" t="s">
        <v>13423</v>
      </c>
      <c r="C230" s="20" t="n">
        <f aca="false">ROUND(75.69/FX,2)</f>
        <v>10.51</v>
      </c>
      <c r="D230" s="21" t="s">
        <v>13409</v>
      </c>
      <c r="E230" s="21" t="s">
        <v>734</v>
      </c>
      <c r="F230" s="21" t="s">
        <v>1595</v>
      </c>
      <c r="G230" s="21" t="s">
        <v>13313</v>
      </c>
    </row>
    <row r="231" customFormat="false" ht="15" hidden="false" customHeight="false" outlineLevel="0" collapsed="false">
      <c r="B231" s="19" t="s">
        <v>13424</v>
      </c>
      <c r="C231" s="20" t="n">
        <f aca="false">ROUND(68.9/FX,2)</f>
        <v>9.57</v>
      </c>
      <c r="D231" s="21" t="s">
        <v>13409</v>
      </c>
      <c r="E231" s="21" t="s">
        <v>734</v>
      </c>
      <c r="F231" s="21" t="s">
        <v>1635</v>
      </c>
      <c r="G231" s="21" t="s">
        <v>13313</v>
      </c>
    </row>
    <row r="232" customFormat="false" ht="15" hidden="false" customHeight="false" outlineLevel="0" collapsed="false">
      <c r="B232" s="19" t="s">
        <v>13425</v>
      </c>
      <c r="C232" s="20" t="n">
        <f aca="false">ROUND(78.16/FX,2)</f>
        <v>10.86</v>
      </c>
      <c r="D232" s="21" t="s">
        <v>13409</v>
      </c>
      <c r="E232" s="21" t="s">
        <v>734</v>
      </c>
      <c r="F232" s="21" t="s">
        <v>1972</v>
      </c>
      <c r="G232" s="21" t="s">
        <v>13313</v>
      </c>
    </row>
    <row r="233" customFormat="false" ht="15" hidden="false" customHeight="false" outlineLevel="0" collapsed="false">
      <c r="B233" s="19" t="s">
        <v>13426</v>
      </c>
      <c r="C233" s="20" t="n">
        <f aca="false">ROUND(78.78/FX,2)</f>
        <v>10.94</v>
      </c>
      <c r="D233" s="21" t="s">
        <v>13409</v>
      </c>
      <c r="E233" s="21" t="s">
        <v>734</v>
      </c>
      <c r="F233" s="21" t="s">
        <v>2002</v>
      </c>
      <c r="G233" s="21" t="s">
        <v>13313</v>
      </c>
    </row>
    <row r="234" customFormat="false" ht="15" hidden="false" customHeight="false" outlineLevel="0" collapsed="false">
      <c r="B234" s="19" t="s">
        <v>13427</v>
      </c>
      <c r="C234" s="20" t="n">
        <f aca="false">ROUND(80.77/FX,2)</f>
        <v>11.22</v>
      </c>
      <c r="D234" s="21" t="s">
        <v>13409</v>
      </c>
      <c r="E234" s="21" t="s">
        <v>734</v>
      </c>
      <c r="F234" s="21" t="s">
        <v>12271</v>
      </c>
      <c r="G234" s="21" t="s">
        <v>13313</v>
      </c>
    </row>
    <row r="235" customFormat="false" ht="15" hidden="false" customHeight="false" outlineLevel="0" collapsed="false">
      <c r="B235" s="19" t="s">
        <v>13428</v>
      </c>
      <c r="C235" s="20" t="n">
        <f aca="false">ROUND(80.99/FX,2)</f>
        <v>11.25</v>
      </c>
      <c r="D235" s="21" t="s">
        <v>13409</v>
      </c>
      <c r="E235" s="21" t="s">
        <v>734</v>
      </c>
      <c r="F235" s="21" t="s">
        <v>2067</v>
      </c>
      <c r="G235" s="21" t="s">
        <v>13313</v>
      </c>
    </row>
    <row r="236" customFormat="false" ht="15" hidden="false" customHeight="false" outlineLevel="0" collapsed="false">
      <c r="B236" s="19" t="s">
        <v>13429</v>
      </c>
      <c r="C236" s="20" t="n">
        <f aca="false">ROUND(81.87/FX,2)</f>
        <v>11.37</v>
      </c>
      <c r="D236" s="21" t="s">
        <v>13409</v>
      </c>
      <c r="E236" s="21" t="s">
        <v>734</v>
      </c>
      <c r="F236" s="21" t="s">
        <v>2097</v>
      </c>
      <c r="G236" s="21" t="s">
        <v>13313</v>
      </c>
    </row>
    <row r="237" customFormat="false" ht="15" hidden="false" customHeight="false" outlineLevel="0" collapsed="false">
      <c r="B237" s="19" t="s">
        <v>13430</v>
      </c>
      <c r="C237" s="20" t="n">
        <f aca="false">ROUND(82.1/FX,2)</f>
        <v>11.4</v>
      </c>
      <c r="D237" s="21" t="s">
        <v>13409</v>
      </c>
      <c r="E237" s="21" t="s">
        <v>734</v>
      </c>
      <c r="F237" s="21" t="s">
        <v>5263</v>
      </c>
      <c r="G237" s="21" t="s">
        <v>13313</v>
      </c>
    </row>
    <row r="238" customFormat="false" ht="15" hidden="false" customHeight="false" outlineLevel="0" collapsed="false">
      <c r="B238" s="19" t="s">
        <v>13431</v>
      </c>
      <c r="C238" s="20" t="n">
        <f aca="false">ROUND(82.76/FX,2)</f>
        <v>11.49</v>
      </c>
      <c r="D238" s="21" t="s">
        <v>13409</v>
      </c>
      <c r="E238" s="21" t="s">
        <v>734</v>
      </c>
      <c r="F238" s="21" t="s">
        <v>2127</v>
      </c>
      <c r="G238" s="21" t="s">
        <v>13313</v>
      </c>
    </row>
    <row r="239" customFormat="false" ht="15" hidden="false" customHeight="false" outlineLevel="0" collapsed="false">
      <c r="B239" s="19" t="s">
        <v>13432</v>
      </c>
      <c r="C239" s="20" t="n">
        <f aca="false">ROUND(83.2/FX,2)</f>
        <v>11.56</v>
      </c>
      <c r="D239" s="21" t="s">
        <v>13409</v>
      </c>
      <c r="E239" s="21" t="s">
        <v>734</v>
      </c>
      <c r="F239" s="21" t="s">
        <v>2142</v>
      </c>
      <c r="G239" s="21" t="s">
        <v>13313</v>
      </c>
    </row>
    <row r="240" customFormat="false" ht="15" hidden="false" customHeight="false" outlineLevel="0" collapsed="false">
      <c r="B240" s="19" t="s">
        <v>13433</v>
      </c>
      <c r="C240" s="20" t="n">
        <f aca="false">ROUND(84.08/FX,2)</f>
        <v>11.68</v>
      </c>
      <c r="D240" s="21" t="s">
        <v>13409</v>
      </c>
      <c r="E240" s="21" t="s">
        <v>734</v>
      </c>
      <c r="F240" s="21" t="s">
        <v>2162</v>
      </c>
      <c r="G240" s="21" t="s">
        <v>13313</v>
      </c>
    </row>
    <row r="241" customFormat="false" ht="15" hidden="false" customHeight="false" outlineLevel="0" collapsed="false">
      <c r="B241" s="19" t="s">
        <v>13434</v>
      </c>
      <c r="C241" s="20" t="n">
        <f aca="false">ROUND(83.2/FX,2)</f>
        <v>11.56</v>
      </c>
      <c r="D241" s="21" t="s">
        <v>13409</v>
      </c>
      <c r="E241" s="21" t="s">
        <v>734</v>
      </c>
      <c r="F241" s="21" t="s">
        <v>2187</v>
      </c>
      <c r="G241" s="21" t="s">
        <v>13313</v>
      </c>
    </row>
    <row r="242" customFormat="false" ht="15" hidden="false" customHeight="false" outlineLevel="0" collapsed="false">
      <c r="B242" s="19" t="s">
        <v>13435</v>
      </c>
      <c r="C242" s="20" t="n">
        <f aca="false">ROUND(100.62/FX,2)</f>
        <v>13.98</v>
      </c>
      <c r="D242" s="21" t="s">
        <v>13409</v>
      </c>
      <c r="E242" s="21" t="s">
        <v>734</v>
      </c>
      <c r="F242" s="21" t="s">
        <v>2227</v>
      </c>
      <c r="G242" s="21" t="s">
        <v>13313</v>
      </c>
    </row>
    <row r="243" customFormat="false" ht="15" hidden="false" customHeight="false" outlineLevel="0" collapsed="false">
      <c r="B243" s="19" t="s">
        <v>13436</v>
      </c>
      <c r="C243" s="20" t="n">
        <f aca="false">ROUND(88.73/FX,2)</f>
        <v>12.32</v>
      </c>
      <c r="D243" s="21" t="s">
        <v>13409</v>
      </c>
      <c r="E243" s="21" t="s">
        <v>734</v>
      </c>
      <c r="F243" s="21" t="s">
        <v>13437</v>
      </c>
      <c r="G243" s="21" t="s">
        <v>13313</v>
      </c>
    </row>
    <row r="244" customFormat="false" ht="15" hidden="false" customHeight="false" outlineLevel="0" collapsed="false">
      <c r="B244" s="19" t="s">
        <v>13438</v>
      </c>
      <c r="C244" s="20" t="n">
        <f aca="false">ROUND(89.83/FX,2)</f>
        <v>12.48</v>
      </c>
      <c r="D244" s="21" t="s">
        <v>13409</v>
      </c>
      <c r="E244" s="21" t="s">
        <v>734</v>
      </c>
      <c r="F244" s="21" t="s">
        <v>2297</v>
      </c>
      <c r="G244" s="21" t="s">
        <v>13313</v>
      </c>
    </row>
    <row r="245" customFormat="false" ht="15" hidden="false" customHeight="false" outlineLevel="0" collapsed="false">
      <c r="B245" s="19" t="s">
        <v>13439</v>
      </c>
      <c r="C245" s="20" t="n">
        <f aca="false">ROUND(92.04/FX,2)</f>
        <v>12.78</v>
      </c>
      <c r="D245" s="21" t="s">
        <v>13409</v>
      </c>
      <c r="E245" s="21" t="s">
        <v>734</v>
      </c>
      <c r="F245" s="21" t="s">
        <v>2351</v>
      </c>
      <c r="G245" s="21" t="s">
        <v>13313</v>
      </c>
    </row>
    <row r="246" customFormat="false" ht="15" hidden="false" customHeight="false" outlineLevel="0" collapsed="false">
      <c r="B246" s="19" t="s">
        <v>13440</v>
      </c>
      <c r="C246" s="20" t="n">
        <f aca="false">ROUND(93.81/FX,2)</f>
        <v>13.03</v>
      </c>
      <c r="D246" s="21" t="s">
        <v>13409</v>
      </c>
      <c r="E246" s="21" t="s">
        <v>734</v>
      </c>
      <c r="F246" s="21" t="s">
        <v>2390</v>
      </c>
      <c r="G246" s="21" t="s">
        <v>13313</v>
      </c>
    </row>
    <row r="247" customFormat="false" ht="15" hidden="false" customHeight="false" outlineLevel="0" collapsed="false">
      <c r="B247" s="19" t="s">
        <v>13441</v>
      </c>
      <c r="C247" s="20" t="n">
        <f aca="false">ROUND(94.25/FX,2)</f>
        <v>13.09</v>
      </c>
      <c r="D247" s="21" t="s">
        <v>13409</v>
      </c>
      <c r="E247" s="21" t="s">
        <v>734</v>
      </c>
      <c r="F247" s="21" t="s">
        <v>2400</v>
      </c>
      <c r="G247" s="21" t="s">
        <v>13313</v>
      </c>
    </row>
    <row r="248" customFormat="false" ht="15" hidden="false" customHeight="false" outlineLevel="0" collapsed="false">
      <c r="B248" s="19" t="s">
        <v>13442</v>
      </c>
      <c r="C248" s="20" t="n">
        <f aca="false">ROUND(94.91/FX,2)</f>
        <v>13.18</v>
      </c>
      <c r="D248" s="21" t="s">
        <v>13409</v>
      </c>
      <c r="E248" s="21" t="s">
        <v>734</v>
      </c>
      <c r="F248" s="21" t="s">
        <v>13443</v>
      </c>
      <c r="G248" s="21" t="s">
        <v>13313</v>
      </c>
    </row>
    <row r="249" customFormat="false" ht="15" hidden="false" customHeight="false" outlineLevel="0" collapsed="false">
      <c r="B249" s="19" t="s">
        <v>13444</v>
      </c>
      <c r="C249" s="20" t="n">
        <f aca="false">ROUND(96.46/FX,2)</f>
        <v>13.4</v>
      </c>
      <c r="D249" s="21" t="s">
        <v>13409</v>
      </c>
      <c r="E249" s="21" t="s">
        <v>734</v>
      </c>
      <c r="F249" s="21" t="s">
        <v>2440</v>
      </c>
      <c r="G249" s="21" t="s">
        <v>13313</v>
      </c>
    </row>
    <row r="250" customFormat="false" ht="15" hidden="false" customHeight="false" outlineLevel="0" collapsed="false">
      <c r="B250" s="19" t="s">
        <v>13445</v>
      </c>
      <c r="C250" s="20" t="n">
        <f aca="false">ROUND(98.67/FX,2)</f>
        <v>13.7</v>
      </c>
      <c r="D250" s="21" t="s">
        <v>13409</v>
      </c>
      <c r="E250" s="21" t="s">
        <v>734</v>
      </c>
      <c r="F250" s="21" t="s">
        <v>2470</v>
      </c>
      <c r="G250" s="21" t="s">
        <v>13313</v>
      </c>
    </row>
    <row r="251" customFormat="false" ht="15" hidden="false" customHeight="false" outlineLevel="0" collapsed="false">
      <c r="B251" s="19" t="s">
        <v>13446</v>
      </c>
      <c r="C251" s="20" t="n">
        <f aca="false">ROUND(94.38/FX,2)</f>
        <v>13.11</v>
      </c>
      <c r="D251" s="21" t="s">
        <v>13409</v>
      </c>
      <c r="E251" s="21" t="s">
        <v>734</v>
      </c>
      <c r="F251" s="21" t="s">
        <v>2500</v>
      </c>
      <c r="G251" s="21" t="s">
        <v>13313</v>
      </c>
    </row>
    <row r="252" customFormat="false" ht="15" hidden="false" customHeight="false" outlineLevel="0" collapsed="false">
      <c r="B252" s="19" t="s">
        <v>13447</v>
      </c>
      <c r="C252" s="20" t="n">
        <f aca="false">ROUND(96.59/FX,2)</f>
        <v>13.42</v>
      </c>
      <c r="D252" s="21" t="s">
        <v>13409</v>
      </c>
      <c r="E252" s="21" t="s">
        <v>734</v>
      </c>
      <c r="F252" s="21" t="s">
        <v>2540</v>
      </c>
      <c r="G252" s="21" t="s">
        <v>13313</v>
      </c>
    </row>
    <row r="253" customFormat="false" ht="15" hidden="false" customHeight="false" outlineLevel="0" collapsed="false">
      <c r="B253" s="19" t="s">
        <v>13448</v>
      </c>
      <c r="C253" s="20" t="n">
        <f aca="false">ROUND(85.8/FX,2)</f>
        <v>11.92</v>
      </c>
      <c r="D253" s="21" t="s">
        <v>13409</v>
      </c>
      <c r="E253" s="21" t="s">
        <v>734</v>
      </c>
      <c r="F253" s="21" t="s">
        <v>1733</v>
      </c>
      <c r="G253" s="21" t="s">
        <v>13343</v>
      </c>
    </row>
    <row r="254" customFormat="false" ht="15" hidden="false" customHeight="false" outlineLevel="0" collapsed="false">
      <c r="B254" s="19" t="s">
        <v>13449</v>
      </c>
      <c r="C254" s="20" t="n">
        <f aca="false">ROUND(94.64/FX,2)</f>
        <v>13.14</v>
      </c>
      <c r="D254" s="21" t="s">
        <v>13409</v>
      </c>
      <c r="E254" s="21" t="s">
        <v>734</v>
      </c>
      <c r="F254" s="21" t="s">
        <v>3253</v>
      </c>
      <c r="G254" s="21" t="s">
        <v>13343</v>
      </c>
    </row>
    <row r="255" customFormat="false" ht="15" hidden="false" customHeight="false" outlineLevel="0" collapsed="false">
      <c r="B255" s="19" t="s">
        <v>13450</v>
      </c>
      <c r="C255" s="20" t="n">
        <f aca="false">ROUND(99.06/FX,2)</f>
        <v>13.76</v>
      </c>
      <c r="D255" s="21" t="s">
        <v>13409</v>
      </c>
      <c r="E255" s="21" t="s">
        <v>734</v>
      </c>
      <c r="F255" s="21" t="s">
        <v>5513</v>
      </c>
      <c r="G255" s="21" t="s">
        <v>13343</v>
      </c>
    </row>
    <row r="256" customFormat="false" ht="15" hidden="false" customHeight="false" outlineLevel="0" collapsed="false">
      <c r="B256" s="19" t="s">
        <v>13451</v>
      </c>
      <c r="C256" s="20" t="n">
        <f aca="false">ROUND(48.23/FX,2)</f>
        <v>6.7</v>
      </c>
      <c r="D256" s="21" t="s">
        <v>13409</v>
      </c>
      <c r="E256" s="21" t="s">
        <v>734</v>
      </c>
      <c r="F256" s="21" t="s">
        <v>2851</v>
      </c>
      <c r="G256" s="21" t="s">
        <v>13343</v>
      </c>
    </row>
    <row r="257" customFormat="false" ht="15" hidden="false" customHeight="false" outlineLevel="0" collapsed="false">
      <c r="B257" s="19" t="s">
        <v>13452</v>
      </c>
      <c r="C257" s="20" t="n">
        <f aca="false">ROUND(97.5/FX,2)</f>
        <v>13.54</v>
      </c>
      <c r="D257" s="21" t="s">
        <v>13409</v>
      </c>
      <c r="E257" s="21" t="s">
        <v>734</v>
      </c>
      <c r="F257" s="21" t="s">
        <v>1881</v>
      </c>
      <c r="G257" s="21" t="s">
        <v>13343</v>
      </c>
    </row>
    <row r="258" customFormat="false" ht="15" hidden="false" customHeight="false" outlineLevel="0" collapsed="false">
      <c r="B258" s="19" t="s">
        <v>13453</v>
      </c>
      <c r="C258" s="20" t="n">
        <f aca="false">ROUND(50.44/FX,2)</f>
        <v>7.01</v>
      </c>
      <c r="D258" s="21" t="s">
        <v>13409</v>
      </c>
      <c r="E258" s="21" t="s">
        <v>734</v>
      </c>
      <c r="F258" s="21" t="s">
        <v>1048</v>
      </c>
      <c r="G258" s="21" t="s">
        <v>13343</v>
      </c>
    </row>
    <row r="259" customFormat="false" ht="15" hidden="false" customHeight="false" outlineLevel="0" collapsed="false">
      <c r="B259" s="19" t="s">
        <v>13454</v>
      </c>
      <c r="C259" s="20" t="n">
        <f aca="false">ROUND(51.77/FX,2)</f>
        <v>7.19</v>
      </c>
      <c r="D259" s="21" t="s">
        <v>13409</v>
      </c>
      <c r="E259" s="21" t="s">
        <v>734</v>
      </c>
      <c r="F259" s="21" t="s">
        <v>1213</v>
      </c>
      <c r="G259" s="21" t="s">
        <v>13343</v>
      </c>
    </row>
    <row r="260" customFormat="false" ht="15" hidden="false" customHeight="false" outlineLevel="0" collapsed="false">
      <c r="B260" s="19" t="s">
        <v>13455</v>
      </c>
      <c r="C260" s="20" t="n">
        <f aca="false">ROUND(52.65/FX,2)</f>
        <v>7.31</v>
      </c>
      <c r="D260" s="21" t="s">
        <v>13409</v>
      </c>
      <c r="E260" s="21" t="s">
        <v>734</v>
      </c>
      <c r="F260" s="21" t="s">
        <v>1323</v>
      </c>
      <c r="G260" s="21" t="s">
        <v>13343</v>
      </c>
    </row>
    <row r="261" customFormat="false" ht="15" hidden="false" customHeight="false" outlineLevel="0" collapsed="false">
      <c r="B261" s="19" t="s">
        <v>13456</v>
      </c>
      <c r="C261" s="20" t="n">
        <f aca="false">ROUND(53.98/FX,2)</f>
        <v>7.5</v>
      </c>
      <c r="D261" s="21" t="s">
        <v>13409</v>
      </c>
      <c r="E261" s="21" t="s">
        <v>734</v>
      </c>
      <c r="F261" s="21" t="s">
        <v>1470</v>
      </c>
      <c r="G261" s="21" t="s">
        <v>13343</v>
      </c>
    </row>
    <row r="262" customFormat="false" ht="15" hidden="false" customHeight="false" outlineLevel="0" collapsed="false">
      <c r="B262" s="19" t="s">
        <v>13457</v>
      </c>
      <c r="C262" s="20" t="n">
        <f aca="false">ROUND(54.86/FX,2)</f>
        <v>7.62</v>
      </c>
      <c r="D262" s="21" t="s">
        <v>13409</v>
      </c>
      <c r="E262" s="21" t="s">
        <v>734</v>
      </c>
      <c r="F262" s="21" t="s">
        <v>1520</v>
      </c>
      <c r="G262" s="21" t="s">
        <v>13343</v>
      </c>
    </row>
    <row r="263" customFormat="false" ht="15" hidden="false" customHeight="false" outlineLevel="0" collapsed="false">
      <c r="B263" s="19" t="s">
        <v>13458</v>
      </c>
      <c r="C263" s="20" t="n">
        <f aca="false">ROUND(57.07/FX,2)</f>
        <v>7.93</v>
      </c>
      <c r="D263" s="21" t="s">
        <v>13409</v>
      </c>
      <c r="E263" s="21" t="s">
        <v>734</v>
      </c>
      <c r="F263" s="21" t="s">
        <v>1635</v>
      </c>
      <c r="G263" s="21" t="s">
        <v>13343</v>
      </c>
    </row>
    <row r="264" customFormat="false" ht="15" hidden="false" customHeight="false" outlineLevel="0" collapsed="false">
      <c r="B264" s="19" t="s">
        <v>13459</v>
      </c>
      <c r="C264" s="20" t="n">
        <f aca="false">ROUND(59.28/FX,2)</f>
        <v>8.23</v>
      </c>
      <c r="D264" s="21" t="s">
        <v>13409</v>
      </c>
      <c r="E264" s="21" t="s">
        <v>734</v>
      </c>
      <c r="F264" s="21" t="s">
        <v>2002</v>
      </c>
      <c r="G264" s="21" t="s">
        <v>13343</v>
      </c>
    </row>
    <row r="265" customFormat="false" ht="15" hidden="false" customHeight="false" outlineLevel="0" collapsed="false">
      <c r="B265" s="19" t="s">
        <v>13460</v>
      </c>
      <c r="C265" s="20" t="n">
        <f aca="false">ROUND(61.49/FX,2)</f>
        <v>8.54</v>
      </c>
      <c r="D265" s="21" t="s">
        <v>13409</v>
      </c>
      <c r="E265" s="21" t="s">
        <v>734</v>
      </c>
      <c r="F265" s="21" t="s">
        <v>2067</v>
      </c>
      <c r="G265" s="21" t="s">
        <v>13343</v>
      </c>
    </row>
    <row r="266" customFormat="false" ht="15" hidden="false" customHeight="false" outlineLevel="0" collapsed="false">
      <c r="B266" s="19" t="s">
        <v>13461</v>
      </c>
      <c r="C266" s="20" t="n">
        <f aca="false">ROUND(62.37/FX,2)</f>
        <v>8.66</v>
      </c>
      <c r="D266" s="21" t="s">
        <v>13409</v>
      </c>
      <c r="E266" s="21" t="s">
        <v>734</v>
      </c>
      <c r="F266" s="21" t="s">
        <v>2097</v>
      </c>
      <c r="G266" s="21" t="s">
        <v>13343</v>
      </c>
    </row>
    <row r="267" customFormat="false" ht="15" hidden="false" customHeight="false" outlineLevel="0" collapsed="false">
      <c r="B267" s="19" t="s">
        <v>13462</v>
      </c>
      <c r="C267" s="20" t="n">
        <f aca="false">ROUND(63.7/FX,2)</f>
        <v>8.85</v>
      </c>
      <c r="D267" s="21" t="s">
        <v>13409</v>
      </c>
      <c r="E267" s="21" t="s">
        <v>734</v>
      </c>
      <c r="F267" s="21" t="s">
        <v>2142</v>
      </c>
      <c r="G267" s="21" t="s">
        <v>13343</v>
      </c>
    </row>
    <row r="268" customFormat="false" ht="15" hidden="false" customHeight="false" outlineLevel="0" collapsed="false">
      <c r="B268" s="19" t="s">
        <v>13463</v>
      </c>
      <c r="C268" s="20" t="n">
        <f aca="false">ROUND(65.91/FX,2)</f>
        <v>9.15</v>
      </c>
      <c r="D268" s="21" t="s">
        <v>13409</v>
      </c>
      <c r="E268" s="21" t="s">
        <v>734</v>
      </c>
      <c r="F268" s="21" t="s">
        <v>2187</v>
      </c>
      <c r="G268" s="21" t="s">
        <v>13343</v>
      </c>
    </row>
    <row r="269" customFormat="false" ht="15" hidden="false" customHeight="false" outlineLevel="0" collapsed="false">
      <c r="B269" s="19" t="s">
        <v>13464</v>
      </c>
      <c r="C269" s="20" t="n">
        <f aca="false">ROUND(68.12/FX,2)</f>
        <v>9.46</v>
      </c>
      <c r="D269" s="21" t="s">
        <v>13409</v>
      </c>
      <c r="E269" s="21" t="s">
        <v>734</v>
      </c>
      <c r="F269" s="21" t="s">
        <v>2227</v>
      </c>
      <c r="G269" s="21" t="s">
        <v>13343</v>
      </c>
    </row>
    <row r="270" customFormat="false" ht="15" hidden="false" customHeight="false" outlineLevel="0" collapsed="false">
      <c r="B270" s="19" t="s">
        <v>13465</v>
      </c>
      <c r="C270" s="20" t="n">
        <f aca="false">ROUND(70.33/FX,2)</f>
        <v>9.77</v>
      </c>
      <c r="D270" s="21" t="s">
        <v>13409</v>
      </c>
      <c r="E270" s="21" t="s">
        <v>734</v>
      </c>
      <c r="F270" s="21" t="s">
        <v>2297</v>
      </c>
      <c r="G270" s="21" t="s">
        <v>13343</v>
      </c>
    </row>
    <row r="271" customFormat="false" ht="15" hidden="false" customHeight="false" outlineLevel="0" collapsed="false">
      <c r="B271" s="19" t="s">
        <v>13466</v>
      </c>
      <c r="C271" s="20" t="n">
        <f aca="false">ROUND(72.54/FX,2)</f>
        <v>10.08</v>
      </c>
      <c r="D271" s="21" t="s">
        <v>13409</v>
      </c>
      <c r="E271" s="21" t="s">
        <v>734</v>
      </c>
      <c r="F271" s="21" t="s">
        <v>2351</v>
      </c>
      <c r="G271" s="21" t="s">
        <v>13343</v>
      </c>
    </row>
    <row r="272" customFormat="false" ht="15" hidden="false" customHeight="false" outlineLevel="0" collapsed="false">
      <c r="B272" s="19" t="s">
        <v>13467</v>
      </c>
      <c r="C272" s="20" t="n">
        <f aca="false">ROUND(74.31/FX,2)</f>
        <v>10.32</v>
      </c>
      <c r="D272" s="21" t="s">
        <v>13409</v>
      </c>
      <c r="E272" s="21" t="s">
        <v>734</v>
      </c>
      <c r="F272" s="21" t="s">
        <v>2390</v>
      </c>
      <c r="G272" s="21" t="s">
        <v>13343</v>
      </c>
    </row>
    <row r="273" customFormat="false" ht="15" hidden="false" customHeight="false" outlineLevel="0" collapsed="false">
      <c r="B273" s="19" t="s">
        <v>13468</v>
      </c>
      <c r="C273" s="20" t="n">
        <f aca="false">ROUND(74.75/FX,2)</f>
        <v>10.38</v>
      </c>
      <c r="D273" s="21" t="s">
        <v>13409</v>
      </c>
      <c r="E273" s="21" t="s">
        <v>734</v>
      </c>
      <c r="F273" s="21" t="s">
        <v>2400</v>
      </c>
      <c r="G273" s="21" t="s">
        <v>13343</v>
      </c>
    </row>
    <row r="274" customFormat="false" ht="15" hidden="false" customHeight="false" outlineLevel="0" collapsed="false">
      <c r="B274" s="19" t="s">
        <v>13469</v>
      </c>
      <c r="C274" s="20" t="n">
        <f aca="false">ROUND(76.96/FX,2)</f>
        <v>10.69</v>
      </c>
      <c r="D274" s="21" t="s">
        <v>13409</v>
      </c>
      <c r="E274" s="21" t="s">
        <v>734</v>
      </c>
      <c r="F274" s="21" t="s">
        <v>2440</v>
      </c>
      <c r="G274" s="21" t="s">
        <v>13343</v>
      </c>
    </row>
    <row r="275" customFormat="false" ht="15" hidden="false" customHeight="false" outlineLevel="0" collapsed="false">
      <c r="B275" s="19" t="s">
        <v>13470</v>
      </c>
      <c r="C275" s="20" t="n">
        <f aca="false">ROUND(79.17/FX,2)</f>
        <v>11</v>
      </c>
      <c r="D275" s="21" t="s">
        <v>13409</v>
      </c>
      <c r="E275" s="21" t="s">
        <v>734</v>
      </c>
      <c r="F275" s="21" t="s">
        <v>2470</v>
      </c>
      <c r="G275" s="21" t="s">
        <v>13343</v>
      </c>
    </row>
    <row r="276" customFormat="false" ht="15" hidden="false" customHeight="false" outlineLevel="0" collapsed="false">
      <c r="B276" s="19" t="s">
        <v>13471</v>
      </c>
      <c r="C276" s="20" t="n">
        <f aca="false">ROUND(81.38/FX,2)</f>
        <v>11.3</v>
      </c>
      <c r="D276" s="21" t="s">
        <v>13409</v>
      </c>
      <c r="E276" s="21" t="s">
        <v>734</v>
      </c>
      <c r="F276" s="21" t="s">
        <v>2500</v>
      </c>
      <c r="G276" s="21" t="s">
        <v>13343</v>
      </c>
    </row>
    <row r="277" customFormat="false" ht="15" hidden="false" customHeight="false" outlineLevel="0" collapsed="false">
      <c r="B277" s="19" t="s">
        <v>13472</v>
      </c>
      <c r="C277" s="20" t="n">
        <f aca="false">ROUND(83.59/FX,2)</f>
        <v>11.61</v>
      </c>
      <c r="D277" s="21" t="s">
        <v>13409</v>
      </c>
      <c r="E277" s="21" t="s">
        <v>734</v>
      </c>
      <c r="F277" s="21" t="s">
        <v>2540</v>
      </c>
      <c r="G277" s="21" t="s">
        <v>13343</v>
      </c>
    </row>
    <row r="278" customFormat="false" ht="15" hidden="false" customHeight="false" outlineLevel="0" collapsed="false">
      <c r="B278" s="19" t="s">
        <v>13473</v>
      </c>
      <c r="C278" s="20" t="n">
        <f aca="false">ROUND(122.2/FX,2)</f>
        <v>16.97</v>
      </c>
      <c r="D278" s="21" t="s">
        <v>13474</v>
      </c>
      <c r="E278" s="21" t="s">
        <v>734</v>
      </c>
      <c r="F278" s="21" t="s">
        <v>1733</v>
      </c>
      <c r="G278" s="21" t="s">
        <v>13313</v>
      </c>
    </row>
    <row r="279" customFormat="false" ht="15" hidden="false" customHeight="false" outlineLevel="0" collapsed="false">
      <c r="B279" s="19" t="s">
        <v>13475</v>
      </c>
      <c r="C279" s="20" t="n">
        <f aca="false">ROUND(131.85/FX,2)</f>
        <v>18.31</v>
      </c>
      <c r="D279" s="21" t="s">
        <v>13474</v>
      </c>
      <c r="E279" s="21" t="s">
        <v>734</v>
      </c>
      <c r="F279" s="21" t="s">
        <v>13413</v>
      </c>
      <c r="G279" s="21" t="s">
        <v>13313</v>
      </c>
    </row>
    <row r="280" customFormat="false" ht="15" hidden="false" customHeight="false" outlineLevel="0" collapsed="false">
      <c r="B280" s="19" t="s">
        <v>13476</v>
      </c>
      <c r="C280" s="20" t="n">
        <f aca="false">ROUND(133.9/FX,2)</f>
        <v>18.6</v>
      </c>
      <c r="D280" s="21" t="s">
        <v>13474</v>
      </c>
      <c r="E280" s="21" t="s">
        <v>734</v>
      </c>
      <c r="F280" s="21" t="s">
        <v>3253</v>
      </c>
      <c r="G280" s="21" t="s">
        <v>13313</v>
      </c>
    </row>
    <row r="281" customFormat="false" ht="15" hidden="false" customHeight="false" outlineLevel="0" collapsed="false">
      <c r="B281" s="19" t="s">
        <v>13477</v>
      </c>
      <c r="C281" s="20" t="n">
        <f aca="false">ROUND(104/FX,2)</f>
        <v>14.44</v>
      </c>
      <c r="D281" s="21" t="s">
        <v>13474</v>
      </c>
      <c r="E281" s="21" t="s">
        <v>734</v>
      </c>
      <c r="F281" s="21" t="s">
        <v>2851</v>
      </c>
      <c r="G281" s="21" t="s">
        <v>13313</v>
      </c>
    </row>
    <row r="282" customFormat="false" ht="15" hidden="false" customHeight="false" outlineLevel="0" collapsed="false">
      <c r="B282" s="19" t="s">
        <v>13478</v>
      </c>
      <c r="C282" s="20" t="n">
        <f aca="false">ROUND(151.45/FX,2)</f>
        <v>21.03</v>
      </c>
      <c r="D282" s="21" t="s">
        <v>13474</v>
      </c>
      <c r="E282" s="21" t="s">
        <v>734</v>
      </c>
      <c r="F282" s="21" t="s">
        <v>1881</v>
      </c>
      <c r="G282" s="21" t="s">
        <v>13313</v>
      </c>
    </row>
    <row r="283" customFormat="false" ht="15" hidden="false" customHeight="false" outlineLevel="0" collapsed="false">
      <c r="B283" s="19" t="s">
        <v>13479</v>
      </c>
      <c r="C283" s="20" t="n">
        <f aca="false">ROUND(75.4/FX,2)</f>
        <v>10.47</v>
      </c>
      <c r="D283" s="21" t="s">
        <v>13474</v>
      </c>
      <c r="E283" s="21" t="s">
        <v>734</v>
      </c>
      <c r="F283" s="21" t="s">
        <v>1048</v>
      </c>
      <c r="G283" s="21" t="s">
        <v>13313</v>
      </c>
    </row>
    <row r="284" customFormat="false" ht="15" hidden="false" customHeight="false" outlineLevel="0" collapsed="false">
      <c r="B284" s="19" t="s">
        <v>13480</v>
      </c>
      <c r="C284" s="20" t="n">
        <f aca="false">ROUND(78.33/FX,2)</f>
        <v>10.88</v>
      </c>
      <c r="D284" s="21" t="s">
        <v>13474</v>
      </c>
      <c r="E284" s="21" t="s">
        <v>734</v>
      </c>
      <c r="F284" s="21" t="s">
        <v>1323</v>
      </c>
      <c r="G284" s="21" t="s">
        <v>13313</v>
      </c>
    </row>
    <row r="285" customFormat="false" ht="15" hidden="false" customHeight="false" outlineLevel="0" collapsed="false">
      <c r="B285" s="19" t="s">
        <v>13481</v>
      </c>
      <c r="C285" s="20" t="n">
        <f aca="false">ROUND(81.25/FX,2)</f>
        <v>11.28</v>
      </c>
      <c r="D285" s="21" t="s">
        <v>13474</v>
      </c>
      <c r="E285" s="21" t="s">
        <v>734</v>
      </c>
      <c r="F285" s="21" t="s">
        <v>1520</v>
      </c>
      <c r="G285" s="21" t="s">
        <v>13313</v>
      </c>
    </row>
    <row r="286" customFormat="false" ht="15" hidden="false" customHeight="false" outlineLevel="0" collapsed="false">
      <c r="B286" s="19" t="s">
        <v>13482</v>
      </c>
      <c r="C286" s="20" t="n">
        <f aca="false">ROUND(84.18/FX,2)</f>
        <v>11.69</v>
      </c>
      <c r="D286" s="21" t="s">
        <v>13474</v>
      </c>
      <c r="E286" s="21" t="s">
        <v>734</v>
      </c>
      <c r="F286" s="21" t="s">
        <v>1635</v>
      </c>
      <c r="G286" s="21" t="s">
        <v>13313</v>
      </c>
    </row>
    <row r="287" customFormat="false" ht="15" hidden="false" customHeight="false" outlineLevel="0" collapsed="false">
      <c r="B287" s="19" t="s">
        <v>13483</v>
      </c>
      <c r="C287" s="20" t="n">
        <f aca="false">ROUND(87.1/FX,2)</f>
        <v>12.1</v>
      </c>
      <c r="D287" s="21" t="s">
        <v>13474</v>
      </c>
      <c r="E287" s="21" t="s">
        <v>734</v>
      </c>
      <c r="F287" s="21" t="s">
        <v>2002</v>
      </c>
      <c r="G287" s="21" t="s">
        <v>13313</v>
      </c>
    </row>
    <row r="288" customFormat="false" ht="15" hidden="false" customHeight="false" outlineLevel="0" collapsed="false">
      <c r="B288" s="19" t="s">
        <v>13484</v>
      </c>
      <c r="C288" s="20" t="n">
        <f aca="false">ROUND(90.03/FX,2)</f>
        <v>12.5</v>
      </c>
      <c r="D288" s="21" t="s">
        <v>13474</v>
      </c>
      <c r="E288" s="21" t="s">
        <v>734</v>
      </c>
      <c r="F288" s="21" t="s">
        <v>2067</v>
      </c>
      <c r="G288" s="21" t="s">
        <v>13313</v>
      </c>
    </row>
    <row r="289" customFormat="false" ht="15" hidden="false" customHeight="false" outlineLevel="0" collapsed="false">
      <c r="B289" s="19" t="s">
        <v>13485</v>
      </c>
      <c r="C289" s="20" t="n">
        <f aca="false">ROUND(92.95/FX,2)</f>
        <v>12.91</v>
      </c>
      <c r="D289" s="21" t="s">
        <v>13474</v>
      </c>
      <c r="E289" s="21" t="s">
        <v>734</v>
      </c>
      <c r="F289" s="21" t="s">
        <v>2142</v>
      </c>
      <c r="G289" s="21" t="s">
        <v>13313</v>
      </c>
    </row>
    <row r="290" customFormat="false" ht="15" hidden="false" customHeight="false" outlineLevel="0" collapsed="false">
      <c r="B290" s="19" t="s">
        <v>13486</v>
      </c>
      <c r="C290" s="20" t="n">
        <f aca="false">ROUND(95.88/FX,2)</f>
        <v>13.32</v>
      </c>
      <c r="D290" s="21" t="s">
        <v>13474</v>
      </c>
      <c r="E290" s="21" t="s">
        <v>734</v>
      </c>
      <c r="F290" s="21" t="s">
        <v>2187</v>
      </c>
      <c r="G290" s="21" t="s">
        <v>13313</v>
      </c>
    </row>
    <row r="291" customFormat="false" ht="15" hidden="false" customHeight="false" outlineLevel="0" collapsed="false">
      <c r="B291" s="19" t="s">
        <v>13487</v>
      </c>
      <c r="C291" s="20" t="n">
        <f aca="false">ROUND(98.8/FX,2)</f>
        <v>13.72</v>
      </c>
      <c r="D291" s="21" t="s">
        <v>13474</v>
      </c>
      <c r="E291" s="21" t="s">
        <v>734</v>
      </c>
      <c r="F291" s="21" t="s">
        <v>2227</v>
      </c>
      <c r="G291" s="21" t="s">
        <v>13313</v>
      </c>
    </row>
    <row r="292" customFormat="false" ht="15" hidden="false" customHeight="false" outlineLevel="0" collapsed="false">
      <c r="B292" s="19" t="s">
        <v>13488</v>
      </c>
      <c r="C292" s="20" t="n">
        <f aca="false">ROUND(101.73/FX,2)</f>
        <v>14.13</v>
      </c>
      <c r="D292" s="21" t="s">
        <v>13474</v>
      </c>
      <c r="E292" s="21" t="s">
        <v>734</v>
      </c>
      <c r="F292" s="21" t="s">
        <v>2297</v>
      </c>
      <c r="G292" s="21" t="s">
        <v>13313</v>
      </c>
    </row>
    <row r="293" customFormat="false" ht="15" hidden="false" customHeight="false" outlineLevel="0" collapsed="false">
      <c r="B293" s="19" t="s">
        <v>13489</v>
      </c>
      <c r="C293" s="20" t="n">
        <f aca="false">ROUND(104.65/FX,2)</f>
        <v>14.53</v>
      </c>
      <c r="D293" s="21" t="s">
        <v>13474</v>
      </c>
      <c r="E293" s="21" t="s">
        <v>734</v>
      </c>
      <c r="F293" s="21" t="s">
        <v>2351</v>
      </c>
      <c r="G293" s="21" t="s">
        <v>13313</v>
      </c>
    </row>
    <row r="294" customFormat="false" ht="15" hidden="false" customHeight="false" outlineLevel="0" collapsed="false">
      <c r="B294" s="19" t="s">
        <v>13490</v>
      </c>
      <c r="C294" s="20" t="n">
        <f aca="false">ROUND(107.58/FX,2)</f>
        <v>14.94</v>
      </c>
      <c r="D294" s="21" t="s">
        <v>13474</v>
      </c>
      <c r="E294" s="21" t="s">
        <v>734</v>
      </c>
      <c r="F294" s="21" t="s">
        <v>2400</v>
      </c>
      <c r="G294" s="21" t="s">
        <v>13313</v>
      </c>
    </row>
    <row r="295" customFormat="false" ht="15" hidden="false" customHeight="false" outlineLevel="0" collapsed="false">
      <c r="B295" s="19" t="s">
        <v>13491</v>
      </c>
      <c r="C295" s="20" t="n">
        <f aca="false">ROUND(110.5/FX,2)</f>
        <v>15.35</v>
      </c>
      <c r="D295" s="21" t="s">
        <v>13474</v>
      </c>
      <c r="E295" s="21" t="s">
        <v>734</v>
      </c>
      <c r="F295" s="21" t="s">
        <v>2440</v>
      </c>
      <c r="G295" s="21" t="s">
        <v>13313</v>
      </c>
    </row>
    <row r="296" customFormat="false" ht="15" hidden="false" customHeight="false" outlineLevel="0" collapsed="false">
      <c r="B296" s="19" t="s">
        <v>13492</v>
      </c>
      <c r="C296" s="20" t="n">
        <f aca="false">ROUND(113.43/FX,2)</f>
        <v>15.75</v>
      </c>
      <c r="D296" s="21" t="s">
        <v>13474</v>
      </c>
      <c r="E296" s="21" t="s">
        <v>734</v>
      </c>
      <c r="F296" s="21" t="s">
        <v>2470</v>
      </c>
      <c r="G296" s="21" t="s">
        <v>13313</v>
      </c>
    </row>
    <row r="297" customFormat="false" ht="15" hidden="false" customHeight="false" outlineLevel="0" collapsed="false">
      <c r="B297" s="19" t="s">
        <v>13493</v>
      </c>
      <c r="C297" s="20" t="n">
        <f aca="false">ROUND(116.35/FX,2)</f>
        <v>16.16</v>
      </c>
      <c r="D297" s="21" t="s">
        <v>13474</v>
      </c>
      <c r="E297" s="21" t="s">
        <v>734</v>
      </c>
      <c r="F297" s="21" t="s">
        <v>2500</v>
      </c>
      <c r="G297" s="21" t="s">
        <v>13313</v>
      </c>
    </row>
    <row r="298" customFormat="false" ht="15" hidden="false" customHeight="false" outlineLevel="0" collapsed="false">
      <c r="B298" s="19" t="s">
        <v>13494</v>
      </c>
      <c r="C298" s="20" t="n">
        <f aca="false">ROUND(119.28/FX,2)</f>
        <v>16.57</v>
      </c>
      <c r="D298" s="21" t="s">
        <v>13474</v>
      </c>
      <c r="E298" s="21" t="s">
        <v>734</v>
      </c>
      <c r="F298" s="21" t="s">
        <v>2540</v>
      </c>
      <c r="G298" s="21" t="s">
        <v>13313</v>
      </c>
    </row>
    <row r="299" customFormat="false" ht="15" hidden="false" customHeight="false" outlineLevel="0" collapsed="false">
      <c r="B299" s="19" t="s">
        <v>13495</v>
      </c>
      <c r="C299" s="20" t="n">
        <f aca="false">ROUND(109.2/FX,2)</f>
        <v>15.17</v>
      </c>
      <c r="D299" s="21" t="s">
        <v>13474</v>
      </c>
      <c r="E299" s="21" t="s">
        <v>734</v>
      </c>
      <c r="F299" s="21" t="s">
        <v>1733</v>
      </c>
      <c r="G299" s="21" t="s">
        <v>13343</v>
      </c>
    </row>
    <row r="300" customFormat="false" ht="15" hidden="false" customHeight="false" outlineLevel="0" collapsed="false">
      <c r="B300" s="19" t="s">
        <v>13496</v>
      </c>
      <c r="C300" s="20" t="n">
        <f aca="false">ROUND(120.9/FX,2)</f>
        <v>16.79</v>
      </c>
      <c r="D300" s="21" t="s">
        <v>13474</v>
      </c>
      <c r="E300" s="21" t="s">
        <v>734</v>
      </c>
      <c r="F300" s="21" t="s">
        <v>3253</v>
      </c>
      <c r="G300" s="21" t="s">
        <v>13343</v>
      </c>
    </row>
    <row r="301" customFormat="false" ht="15" hidden="false" customHeight="false" outlineLevel="0" collapsed="false">
      <c r="B301" s="19" t="s">
        <v>13497</v>
      </c>
      <c r="C301" s="20" t="n">
        <f aca="false">ROUND(70.2/FX,2)</f>
        <v>9.75</v>
      </c>
      <c r="D301" s="21" t="s">
        <v>13474</v>
      </c>
      <c r="E301" s="21" t="s">
        <v>734</v>
      </c>
      <c r="F301" s="21" t="s">
        <v>2851</v>
      </c>
      <c r="G301" s="21" t="s">
        <v>13343</v>
      </c>
    </row>
    <row r="302" customFormat="false" ht="15" hidden="false" customHeight="false" outlineLevel="0" collapsed="false">
      <c r="B302" s="19" t="s">
        <v>13498</v>
      </c>
      <c r="C302" s="20" t="n">
        <f aca="false">ROUND(138.45/FX,2)</f>
        <v>19.23</v>
      </c>
      <c r="D302" s="21" t="s">
        <v>13474</v>
      </c>
      <c r="E302" s="21" t="s">
        <v>734</v>
      </c>
      <c r="F302" s="21" t="s">
        <v>1881</v>
      </c>
      <c r="G302" s="21" t="s">
        <v>13343</v>
      </c>
    </row>
    <row r="303" customFormat="false" ht="15" hidden="false" customHeight="false" outlineLevel="0" collapsed="false">
      <c r="B303" s="19" t="s">
        <v>13499</v>
      </c>
      <c r="C303" s="20" t="n">
        <f aca="false">ROUND(62.4/FX,2)</f>
        <v>8.67</v>
      </c>
      <c r="D303" s="21" t="s">
        <v>13474</v>
      </c>
      <c r="E303" s="21" t="s">
        <v>734</v>
      </c>
      <c r="F303" s="21" t="s">
        <v>1048</v>
      </c>
      <c r="G303" s="21" t="s">
        <v>13343</v>
      </c>
    </row>
    <row r="304" customFormat="false" ht="15" hidden="false" customHeight="false" outlineLevel="0" collapsed="false">
      <c r="B304" s="19" t="s">
        <v>13500</v>
      </c>
      <c r="C304" s="20" t="n">
        <f aca="false">ROUND(65.33/FX,2)</f>
        <v>9.07</v>
      </c>
      <c r="D304" s="21" t="s">
        <v>13474</v>
      </c>
      <c r="E304" s="21" t="s">
        <v>734</v>
      </c>
      <c r="F304" s="21" t="s">
        <v>1323</v>
      </c>
      <c r="G304" s="21" t="s">
        <v>13343</v>
      </c>
    </row>
    <row r="305" customFormat="false" ht="15" hidden="false" customHeight="false" outlineLevel="0" collapsed="false">
      <c r="B305" s="19" t="s">
        <v>13501</v>
      </c>
      <c r="C305" s="20" t="n">
        <f aca="false">ROUND(68.25/FX,2)</f>
        <v>9.48</v>
      </c>
      <c r="D305" s="21" t="s">
        <v>13474</v>
      </c>
      <c r="E305" s="21" t="s">
        <v>734</v>
      </c>
      <c r="F305" s="21" t="s">
        <v>1520</v>
      </c>
      <c r="G305" s="21" t="s">
        <v>13343</v>
      </c>
    </row>
    <row r="306" customFormat="false" ht="15" hidden="false" customHeight="false" outlineLevel="0" collapsed="false">
      <c r="B306" s="19" t="s">
        <v>13502</v>
      </c>
      <c r="C306" s="20" t="n">
        <f aca="false">ROUND(71.18/FX,2)</f>
        <v>9.89</v>
      </c>
      <c r="D306" s="21" t="s">
        <v>13474</v>
      </c>
      <c r="E306" s="21" t="s">
        <v>734</v>
      </c>
      <c r="F306" s="21" t="s">
        <v>1635</v>
      </c>
      <c r="G306" s="21" t="s">
        <v>13343</v>
      </c>
    </row>
    <row r="307" customFormat="false" ht="15" hidden="false" customHeight="false" outlineLevel="0" collapsed="false">
      <c r="B307" s="19" t="s">
        <v>13503</v>
      </c>
      <c r="C307" s="20" t="n">
        <f aca="false">ROUND(74.1/FX,2)</f>
        <v>10.29</v>
      </c>
      <c r="D307" s="21" t="s">
        <v>13474</v>
      </c>
      <c r="E307" s="21" t="s">
        <v>734</v>
      </c>
      <c r="F307" s="21" t="s">
        <v>2002</v>
      </c>
      <c r="G307" s="21" t="s">
        <v>13343</v>
      </c>
    </row>
    <row r="308" customFormat="false" ht="15" hidden="false" customHeight="false" outlineLevel="0" collapsed="false">
      <c r="B308" s="19" t="s">
        <v>13504</v>
      </c>
      <c r="C308" s="20" t="n">
        <f aca="false">ROUND(77.03/FX,2)</f>
        <v>10.7</v>
      </c>
      <c r="D308" s="21" t="s">
        <v>13474</v>
      </c>
      <c r="E308" s="21" t="s">
        <v>734</v>
      </c>
      <c r="F308" s="21" t="s">
        <v>2067</v>
      </c>
      <c r="G308" s="21" t="s">
        <v>13343</v>
      </c>
    </row>
    <row r="309" customFormat="false" ht="15" hidden="false" customHeight="false" outlineLevel="0" collapsed="false">
      <c r="B309" s="19" t="s">
        <v>13505</v>
      </c>
      <c r="C309" s="20" t="n">
        <f aca="false">ROUND(79.95/FX,2)</f>
        <v>11.1</v>
      </c>
      <c r="D309" s="21" t="s">
        <v>13474</v>
      </c>
      <c r="E309" s="21" t="s">
        <v>734</v>
      </c>
      <c r="F309" s="21" t="s">
        <v>2142</v>
      </c>
      <c r="G309" s="21" t="s">
        <v>13343</v>
      </c>
    </row>
    <row r="310" customFormat="false" ht="15" hidden="false" customHeight="false" outlineLevel="0" collapsed="false">
      <c r="B310" s="19" t="s">
        <v>13506</v>
      </c>
      <c r="C310" s="20" t="n">
        <f aca="false">ROUND(82.88/FX,2)</f>
        <v>11.51</v>
      </c>
      <c r="D310" s="21" t="s">
        <v>13474</v>
      </c>
      <c r="E310" s="21" t="s">
        <v>734</v>
      </c>
      <c r="F310" s="21" t="s">
        <v>2187</v>
      </c>
      <c r="G310" s="21" t="s">
        <v>13343</v>
      </c>
    </row>
    <row r="311" customFormat="false" ht="15" hidden="false" customHeight="false" outlineLevel="0" collapsed="false">
      <c r="B311" s="19" t="s">
        <v>13507</v>
      </c>
      <c r="C311" s="20" t="n">
        <f aca="false">ROUND(85.8/FX,2)</f>
        <v>11.92</v>
      </c>
      <c r="D311" s="21" t="s">
        <v>13474</v>
      </c>
      <c r="E311" s="21" t="s">
        <v>734</v>
      </c>
      <c r="F311" s="21" t="s">
        <v>2227</v>
      </c>
      <c r="G311" s="21" t="s">
        <v>13343</v>
      </c>
    </row>
    <row r="312" customFormat="false" ht="15" hidden="false" customHeight="false" outlineLevel="0" collapsed="false">
      <c r="B312" s="19" t="s">
        <v>13508</v>
      </c>
      <c r="C312" s="20" t="n">
        <f aca="false">ROUND(88.83/FX,2)</f>
        <v>12.34</v>
      </c>
      <c r="D312" s="21" t="s">
        <v>13474</v>
      </c>
      <c r="E312" s="21" t="s">
        <v>734</v>
      </c>
      <c r="F312" s="21" t="s">
        <v>2297</v>
      </c>
      <c r="G312" s="21" t="s">
        <v>13343</v>
      </c>
    </row>
    <row r="313" customFormat="false" ht="15" hidden="false" customHeight="false" outlineLevel="0" collapsed="false">
      <c r="B313" s="19" t="s">
        <v>13509</v>
      </c>
      <c r="C313" s="20" t="n">
        <f aca="false">ROUND(91.65/FX,2)</f>
        <v>12.73</v>
      </c>
      <c r="D313" s="21" t="s">
        <v>13474</v>
      </c>
      <c r="E313" s="21" t="s">
        <v>734</v>
      </c>
      <c r="F313" s="21" t="s">
        <v>2351</v>
      </c>
      <c r="G313" s="21" t="s">
        <v>13343</v>
      </c>
    </row>
    <row r="314" customFormat="false" ht="15" hidden="false" customHeight="false" outlineLevel="0" collapsed="false">
      <c r="B314" s="19" t="s">
        <v>13510</v>
      </c>
      <c r="C314" s="20" t="n">
        <f aca="false">ROUND(94.58/FX,2)</f>
        <v>13.14</v>
      </c>
      <c r="D314" s="21" t="s">
        <v>13474</v>
      </c>
      <c r="E314" s="21" t="s">
        <v>734</v>
      </c>
      <c r="F314" s="21" t="s">
        <v>2400</v>
      </c>
      <c r="G314" s="21" t="s">
        <v>13343</v>
      </c>
    </row>
    <row r="315" customFormat="false" ht="15" hidden="false" customHeight="false" outlineLevel="0" collapsed="false">
      <c r="B315" s="19" t="s">
        <v>13511</v>
      </c>
      <c r="C315" s="20" t="n">
        <f aca="false">ROUND(97.5/FX,2)</f>
        <v>13.54</v>
      </c>
      <c r="D315" s="21" t="s">
        <v>13474</v>
      </c>
      <c r="E315" s="21" t="s">
        <v>734</v>
      </c>
      <c r="F315" s="21" t="s">
        <v>2440</v>
      </c>
      <c r="G315" s="21" t="s">
        <v>13343</v>
      </c>
    </row>
    <row r="316" customFormat="false" ht="15" hidden="false" customHeight="false" outlineLevel="0" collapsed="false">
      <c r="B316" s="19" t="s">
        <v>13512</v>
      </c>
      <c r="C316" s="20" t="n">
        <f aca="false">ROUND(100.43/FX,2)</f>
        <v>13.95</v>
      </c>
      <c r="D316" s="21" t="s">
        <v>13474</v>
      </c>
      <c r="E316" s="21" t="s">
        <v>734</v>
      </c>
      <c r="F316" s="21" t="s">
        <v>2470</v>
      </c>
      <c r="G316" s="21" t="s">
        <v>13343</v>
      </c>
    </row>
    <row r="317" customFormat="false" ht="15" hidden="false" customHeight="false" outlineLevel="0" collapsed="false">
      <c r="B317" s="19" t="s">
        <v>13513</v>
      </c>
      <c r="C317" s="20" t="n">
        <f aca="false">ROUND(103.35/FX,2)</f>
        <v>14.35</v>
      </c>
      <c r="D317" s="21" t="s">
        <v>13474</v>
      </c>
      <c r="E317" s="21" t="s">
        <v>734</v>
      </c>
      <c r="F317" s="21" t="s">
        <v>2500</v>
      </c>
      <c r="G317" s="21" t="s">
        <v>13343</v>
      </c>
    </row>
    <row r="318" customFormat="false" ht="15" hidden="false" customHeight="false" outlineLevel="0" collapsed="false">
      <c r="B318" s="19" t="s">
        <v>13514</v>
      </c>
      <c r="C318" s="20" t="n">
        <f aca="false">ROUND(106.28/FX,2)</f>
        <v>14.76</v>
      </c>
      <c r="D318" s="21" t="s">
        <v>13474</v>
      </c>
      <c r="E318" s="21" t="s">
        <v>734</v>
      </c>
      <c r="F318" s="21" t="s">
        <v>2540</v>
      </c>
      <c r="G318" s="21" t="s">
        <v>13343</v>
      </c>
    </row>
    <row r="319" customFormat="false" ht="15" hidden="false" customHeight="false" outlineLevel="0" collapsed="false">
      <c r="B319" s="19" t="s">
        <v>13515</v>
      </c>
      <c r="C319" s="20" t="n">
        <f aca="false">ROUND(122.2/FX,2)</f>
        <v>16.97</v>
      </c>
      <c r="D319" s="21" t="s">
        <v>13516</v>
      </c>
      <c r="E319" s="21" t="s">
        <v>734</v>
      </c>
      <c r="F319" s="21" t="s">
        <v>1733</v>
      </c>
      <c r="G319" s="21" t="s">
        <v>13313</v>
      </c>
    </row>
    <row r="320" customFormat="false" ht="15" hidden="false" customHeight="false" outlineLevel="0" collapsed="false">
      <c r="B320" s="19" t="s">
        <v>13517</v>
      </c>
      <c r="C320" s="20" t="n">
        <f aca="false">ROUND(133.9/FX,2)</f>
        <v>18.6</v>
      </c>
      <c r="D320" s="21" t="s">
        <v>13516</v>
      </c>
      <c r="E320" s="21" t="s">
        <v>734</v>
      </c>
      <c r="F320" s="21" t="s">
        <v>3253</v>
      </c>
      <c r="G320" s="21" t="s">
        <v>13313</v>
      </c>
    </row>
    <row r="321" customFormat="false" ht="15" hidden="false" customHeight="false" outlineLevel="0" collapsed="false">
      <c r="B321" s="19" t="s">
        <v>13518</v>
      </c>
      <c r="C321" s="20" t="n">
        <f aca="false">ROUND(72.48/FX,2)</f>
        <v>10.07</v>
      </c>
      <c r="D321" s="21" t="s">
        <v>13516</v>
      </c>
      <c r="E321" s="21" t="s">
        <v>734</v>
      </c>
      <c r="F321" s="21" t="s">
        <v>2851</v>
      </c>
      <c r="G321" s="21" t="s">
        <v>13313</v>
      </c>
    </row>
    <row r="322" customFormat="false" ht="15" hidden="false" customHeight="false" outlineLevel="0" collapsed="false">
      <c r="B322" s="19" t="s">
        <v>13519</v>
      </c>
      <c r="C322" s="20" t="n">
        <f aca="false">ROUND(151.45/FX,2)</f>
        <v>21.03</v>
      </c>
      <c r="D322" s="21" t="s">
        <v>13516</v>
      </c>
      <c r="E322" s="21" t="s">
        <v>734</v>
      </c>
      <c r="F322" s="21" t="s">
        <v>1881</v>
      </c>
      <c r="G322" s="21" t="s">
        <v>13313</v>
      </c>
    </row>
    <row r="323" customFormat="false" ht="15" hidden="false" customHeight="false" outlineLevel="0" collapsed="false">
      <c r="B323" s="19" t="s">
        <v>13520</v>
      </c>
      <c r="C323" s="20" t="n">
        <f aca="false">ROUND(161.59/FX,2)</f>
        <v>22.44</v>
      </c>
      <c r="D323" s="21" t="s">
        <v>13516</v>
      </c>
      <c r="E323" s="21" t="s">
        <v>734</v>
      </c>
      <c r="F323" s="21" t="s">
        <v>1902</v>
      </c>
      <c r="G323" s="21" t="s">
        <v>13313</v>
      </c>
    </row>
    <row r="324" customFormat="false" ht="15" hidden="false" customHeight="false" outlineLevel="0" collapsed="false">
      <c r="B324" s="19" t="s">
        <v>13521</v>
      </c>
      <c r="C324" s="20" t="n">
        <f aca="false">ROUND(169/FX,2)</f>
        <v>23.47</v>
      </c>
      <c r="D324" s="21" t="s">
        <v>13516</v>
      </c>
      <c r="E324" s="21" t="s">
        <v>734</v>
      </c>
      <c r="F324" s="21" t="s">
        <v>13522</v>
      </c>
      <c r="G324" s="21" t="s">
        <v>13313</v>
      </c>
    </row>
    <row r="325" customFormat="false" ht="15" hidden="false" customHeight="false" outlineLevel="0" collapsed="false">
      <c r="B325" s="19" t="s">
        <v>13523</v>
      </c>
      <c r="C325" s="20" t="n">
        <f aca="false">ROUND(153.4/FX,2)</f>
        <v>21.31</v>
      </c>
      <c r="D325" s="21" t="s">
        <v>13516</v>
      </c>
      <c r="E325" s="21" t="s">
        <v>734</v>
      </c>
      <c r="F325" s="21" t="s">
        <v>1914</v>
      </c>
      <c r="G325" s="21" t="s">
        <v>13313</v>
      </c>
    </row>
    <row r="326" customFormat="false" ht="15" hidden="false" customHeight="false" outlineLevel="0" collapsed="false">
      <c r="B326" s="19" t="s">
        <v>13524</v>
      </c>
      <c r="C326" s="20" t="n">
        <f aca="false">ROUND(177.3/FX,2)</f>
        <v>24.63</v>
      </c>
      <c r="D326" s="21" t="s">
        <v>13516</v>
      </c>
      <c r="E326" s="21" t="s">
        <v>734</v>
      </c>
      <c r="F326" s="21" t="s">
        <v>13525</v>
      </c>
      <c r="G326" s="21" t="s">
        <v>13313</v>
      </c>
    </row>
    <row r="327" customFormat="false" ht="15" hidden="false" customHeight="false" outlineLevel="0" collapsed="false">
      <c r="B327" s="19" t="s">
        <v>13526</v>
      </c>
      <c r="C327" s="20" t="n">
        <f aca="false">ROUND(75.4/FX,2)</f>
        <v>10.47</v>
      </c>
      <c r="D327" s="21" t="s">
        <v>13516</v>
      </c>
      <c r="E327" s="21" t="s">
        <v>734</v>
      </c>
      <c r="F327" s="21" t="s">
        <v>1048</v>
      </c>
      <c r="G327" s="21" t="s">
        <v>13313</v>
      </c>
    </row>
    <row r="328" customFormat="false" ht="15" hidden="false" customHeight="false" outlineLevel="0" collapsed="false">
      <c r="B328" s="19" t="s">
        <v>13527</v>
      </c>
      <c r="C328" s="20" t="n">
        <f aca="false">ROUND(213.2/FX,2)</f>
        <v>29.61</v>
      </c>
      <c r="D328" s="21" t="s">
        <v>13516</v>
      </c>
      <c r="E328" s="21" t="s">
        <v>734</v>
      </c>
      <c r="F328" s="21" t="s">
        <v>13528</v>
      </c>
      <c r="G328" s="21" t="s">
        <v>13313</v>
      </c>
    </row>
    <row r="329" customFormat="false" ht="15" hidden="false" customHeight="false" outlineLevel="0" collapsed="false">
      <c r="B329" s="19" t="s">
        <v>13529</v>
      </c>
      <c r="C329" s="20" t="n">
        <f aca="false">ROUND(78.33/FX,2)</f>
        <v>10.88</v>
      </c>
      <c r="D329" s="21" t="s">
        <v>13516</v>
      </c>
      <c r="E329" s="21" t="s">
        <v>734</v>
      </c>
      <c r="F329" s="21" t="s">
        <v>1323</v>
      </c>
      <c r="G329" s="21" t="s">
        <v>13313</v>
      </c>
    </row>
    <row r="330" customFormat="false" ht="15" hidden="false" customHeight="false" outlineLevel="0" collapsed="false">
      <c r="B330" s="19" t="s">
        <v>13530</v>
      </c>
      <c r="C330" s="20" t="n">
        <f aca="false">ROUND(81.25/FX,2)</f>
        <v>11.28</v>
      </c>
      <c r="D330" s="21" t="s">
        <v>13516</v>
      </c>
      <c r="E330" s="21" t="s">
        <v>734</v>
      </c>
      <c r="F330" s="21" t="s">
        <v>1520</v>
      </c>
      <c r="G330" s="21" t="s">
        <v>13313</v>
      </c>
    </row>
    <row r="331" customFormat="false" ht="15" hidden="false" customHeight="false" outlineLevel="0" collapsed="false">
      <c r="B331" s="19" t="s">
        <v>13531</v>
      </c>
      <c r="C331" s="20" t="n">
        <f aca="false">ROUND(84.18/FX,2)</f>
        <v>11.69</v>
      </c>
      <c r="D331" s="21" t="s">
        <v>13516</v>
      </c>
      <c r="E331" s="21" t="s">
        <v>734</v>
      </c>
      <c r="F331" s="21" t="s">
        <v>1635</v>
      </c>
      <c r="G331" s="21" t="s">
        <v>13313</v>
      </c>
    </row>
    <row r="332" customFormat="false" ht="15" hidden="false" customHeight="false" outlineLevel="0" collapsed="false">
      <c r="B332" s="19" t="s">
        <v>13532</v>
      </c>
      <c r="C332" s="20" t="n">
        <f aca="false">ROUND(87.1/FX,2)</f>
        <v>12.1</v>
      </c>
      <c r="D332" s="21" t="s">
        <v>13516</v>
      </c>
      <c r="E332" s="21" t="s">
        <v>734</v>
      </c>
      <c r="F332" s="21" t="s">
        <v>2002</v>
      </c>
      <c r="G332" s="21" t="s">
        <v>13313</v>
      </c>
    </row>
    <row r="333" customFormat="false" ht="15" hidden="false" customHeight="false" outlineLevel="0" collapsed="false">
      <c r="B333" s="19" t="s">
        <v>13533</v>
      </c>
      <c r="C333" s="20" t="n">
        <f aca="false">ROUND(90.03/FX,2)</f>
        <v>12.5</v>
      </c>
      <c r="D333" s="21" t="s">
        <v>13516</v>
      </c>
      <c r="E333" s="21" t="s">
        <v>734</v>
      </c>
      <c r="F333" s="21" t="s">
        <v>2067</v>
      </c>
      <c r="G333" s="21" t="s">
        <v>13313</v>
      </c>
    </row>
    <row r="334" customFormat="false" ht="15" hidden="false" customHeight="false" outlineLevel="0" collapsed="false">
      <c r="B334" s="19" t="s">
        <v>13534</v>
      </c>
      <c r="C334" s="20" t="n">
        <f aca="false">ROUND(92.95/FX,2)</f>
        <v>12.91</v>
      </c>
      <c r="D334" s="21" t="s">
        <v>13516</v>
      </c>
      <c r="E334" s="21" t="s">
        <v>734</v>
      </c>
      <c r="F334" s="21" t="s">
        <v>2142</v>
      </c>
      <c r="G334" s="21" t="s">
        <v>13313</v>
      </c>
    </row>
    <row r="335" customFormat="false" ht="15" hidden="false" customHeight="false" outlineLevel="0" collapsed="false">
      <c r="B335" s="19" t="s">
        <v>13535</v>
      </c>
      <c r="C335" s="20" t="n">
        <f aca="false">ROUND(95.88/FX,2)</f>
        <v>13.32</v>
      </c>
      <c r="D335" s="21" t="s">
        <v>13516</v>
      </c>
      <c r="E335" s="21" t="s">
        <v>734</v>
      </c>
      <c r="F335" s="21" t="s">
        <v>2187</v>
      </c>
      <c r="G335" s="21" t="s">
        <v>13313</v>
      </c>
    </row>
    <row r="336" customFormat="false" ht="15" hidden="false" customHeight="false" outlineLevel="0" collapsed="false">
      <c r="B336" s="19" t="s">
        <v>13536</v>
      </c>
      <c r="C336" s="20" t="n">
        <f aca="false">ROUND(98.8/FX,2)</f>
        <v>13.72</v>
      </c>
      <c r="D336" s="21" t="s">
        <v>13516</v>
      </c>
      <c r="E336" s="21" t="s">
        <v>734</v>
      </c>
      <c r="F336" s="21" t="s">
        <v>2227</v>
      </c>
      <c r="G336" s="21" t="s">
        <v>13313</v>
      </c>
    </row>
    <row r="337" customFormat="false" ht="15" hidden="false" customHeight="false" outlineLevel="0" collapsed="false">
      <c r="B337" s="19" t="s">
        <v>13537</v>
      </c>
      <c r="C337" s="20" t="n">
        <f aca="false">ROUND(101.73/FX,2)</f>
        <v>14.13</v>
      </c>
      <c r="D337" s="21" t="s">
        <v>13516</v>
      </c>
      <c r="E337" s="21" t="s">
        <v>734</v>
      </c>
      <c r="F337" s="21" t="s">
        <v>2297</v>
      </c>
      <c r="G337" s="21" t="s">
        <v>13313</v>
      </c>
    </row>
    <row r="338" customFormat="false" ht="15" hidden="false" customHeight="false" outlineLevel="0" collapsed="false">
      <c r="B338" s="19" t="s">
        <v>13538</v>
      </c>
      <c r="C338" s="20" t="n">
        <f aca="false">ROUND(104.65/FX,2)</f>
        <v>14.53</v>
      </c>
      <c r="D338" s="21" t="s">
        <v>13516</v>
      </c>
      <c r="E338" s="21" t="s">
        <v>734</v>
      </c>
      <c r="F338" s="21" t="s">
        <v>2351</v>
      </c>
      <c r="G338" s="21" t="s">
        <v>13313</v>
      </c>
    </row>
    <row r="339" customFormat="false" ht="15" hidden="false" customHeight="false" outlineLevel="0" collapsed="false">
      <c r="B339" s="19" t="s">
        <v>13539</v>
      </c>
      <c r="C339" s="20" t="n">
        <f aca="false">ROUND(107.58/FX,2)</f>
        <v>14.94</v>
      </c>
      <c r="D339" s="21" t="s">
        <v>13516</v>
      </c>
      <c r="E339" s="21" t="s">
        <v>734</v>
      </c>
      <c r="F339" s="21" t="s">
        <v>2400</v>
      </c>
      <c r="G339" s="21" t="s">
        <v>13313</v>
      </c>
    </row>
    <row r="340" customFormat="false" ht="15" hidden="false" customHeight="false" outlineLevel="0" collapsed="false">
      <c r="B340" s="19" t="s">
        <v>13540</v>
      </c>
      <c r="C340" s="20" t="n">
        <f aca="false">ROUND(110.5/FX,2)</f>
        <v>15.35</v>
      </c>
      <c r="D340" s="21" t="s">
        <v>13516</v>
      </c>
      <c r="E340" s="21" t="s">
        <v>734</v>
      </c>
      <c r="F340" s="21" t="s">
        <v>2440</v>
      </c>
      <c r="G340" s="21" t="s">
        <v>13313</v>
      </c>
    </row>
    <row r="341" customFormat="false" ht="15" hidden="false" customHeight="false" outlineLevel="0" collapsed="false">
      <c r="B341" s="19" t="s">
        <v>13541</v>
      </c>
      <c r="C341" s="20" t="n">
        <f aca="false">ROUND(113.43/FX,2)</f>
        <v>15.75</v>
      </c>
      <c r="D341" s="21" t="s">
        <v>13516</v>
      </c>
      <c r="E341" s="21" t="s">
        <v>734</v>
      </c>
      <c r="F341" s="21" t="s">
        <v>2470</v>
      </c>
      <c r="G341" s="21" t="s">
        <v>13313</v>
      </c>
    </row>
    <row r="342" customFormat="false" ht="15" hidden="false" customHeight="false" outlineLevel="0" collapsed="false">
      <c r="B342" s="19" t="s">
        <v>13542</v>
      </c>
      <c r="C342" s="20" t="n">
        <f aca="false">ROUND(121.68/FX,2)</f>
        <v>16.9</v>
      </c>
      <c r="D342" s="21" t="s">
        <v>13516</v>
      </c>
      <c r="E342" s="21" t="s">
        <v>734</v>
      </c>
      <c r="F342" s="21" t="s">
        <v>5593</v>
      </c>
      <c r="G342" s="21" t="s">
        <v>13313</v>
      </c>
    </row>
    <row r="343" customFormat="false" ht="15" hidden="false" customHeight="false" outlineLevel="0" collapsed="false">
      <c r="B343" s="19" t="s">
        <v>13543</v>
      </c>
      <c r="C343" s="20" t="n">
        <f aca="false">ROUND(116.35/FX,2)</f>
        <v>16.16</v>
      </c>
      <c r="D343" s="21" t="s">
        <v>13516</v>
      </c>
      <c r="E343" s="21" t="s">
        <v>734</v>
      </c>
      <c r="F343" s="21" t="s">
        <v>2500</v>
      </c>
      <c r="G343" s="21" t="s">
        <v>13313</v>
      </c>
    </row>
    <row r="344" customFormat="false" ht="15" hidden="false" customHeight="false" outlineLevel="0" collapsed="false">
      <c r="B344" s="19" t="s">
        <v>13544</v>
      </c>
      <c r="C344" s="20" t="n">
        <f aca="false">ROUND(119.28/FX,2)</f>
        <v>16.57</v>
      </c>
      <c r="D344" s="21" t="s">
        <v>13516</v>
      </c>
      <c r="E344" s="21" t="s">
        <v>734</v>
      </c>
      <c r="F344" s="21" t="s">
        <v>2540</v>
      </c>
      <c r="G344" s="21" t="s">
        <v>13313</v>
      </c>
    </row>
    <row r="345" customFormat="false" ht="15" hidden="false" customHeight="false" outlineLevel="0" collapsed="false">
      <c r="B345" s="19" t="s">
        <v>13545</v>
      </c>
      <c r="C345" s="20" t="n">
        <f aca="false">ROUND(56.55/FX,2)</f>
        <v>7.85</v>
      </c>
      <c r="D345" s="21" t="s">
        <v>13516</v>
      </c>
      <c r="E345" s="21" t="s">
        <v>734</v>
      </c>
      <c r="F345" s="21" t="s">
        <v>2600</v>
      </c>
      <c r="G345" s="21" t="s">
        <v>13343</v>
      </c>
    </row>
    <row r="346" customFormat="false" ht="15" hidden="false" customHeight="false" outlineLevel="0" collapsed="false">
      <c r="B346" s="19" t="s">
        <v>13546</v>
      </c>
      <c r="C346" s="20" t="n">
        <f aca="false">ROUND(109.2/FX,2)</f>
        <v>15.17</v>
      </c>
      <c r="D346" s="21" t="s">
        <v>13516</v>
      </c>
      <c r="E346" s="21" t="s">
        <v>734</v>
      </c>
      <c r="F346" s="21" t="s">
        <v>1733</v>
      </c>
      <c r="G346" s="21" t="s">
        <v>13343</v>
      </c>
    </row>
    <row r="347" customFormat="false" ht="15" hidden="false" customHeight="false" outlineLevel="0" collapsed="false">
      <c r="B347" s="19" t="s">
        <v>13547</v>
      </c>
      <c r="C347" s="20" t="n">
        <f aca="false">ROUND(120.9/FX,2)</f>
        <v>16.79</v>
      </c>
      <c r="D347" s="21" t="s">
        <v>13516</v>
      </c>
      <c r="E347" s="21" t="s">
        <v>734</v>
      </c>
      <c r="F347" s="21" t="s">
        <v>3253</v>
      </c>
      <c r="G347" s="21" t="s">
        <v>13343</v>
      </c>
    </row>
    <row r="348" customFormat="false" ht="15" hidden="false" customHeight="false" outlineLevel="0" collapsed="false">
      <c r="B348" s="19" t="s">
        <v>13548</v>
      </c>
      <c r="C348" s="20" t="n">
        <f aca="false">ROUND(59.48/FX,2)</f>
        <v>8.26</v>
      </c>
      <c r="D348" s="21" t="s">
        <v>13516</v>
      </c>
      <c r="E348" s="21" t="s">
        <v>734</v>
      </c>
      <c r="F348" s="21" t="s">
        <v>2851</v>
      </c>
      <c r="G348" s="21" t="s">
        <v>13343</v>
      </c>
    </row>
    <row r="349" customFormat="false" ht="15" hidden="false" customHeight="false" outlineLevel="0" collapsed="false">
      <c r="B349" s="19" t="s">
        <v>13549</v>
      </c>
      <c r="C349" s="20" t="n">
        <f aca="false">ROUND(138.45/FX,2)</f>
        <v>19.23</v>
      </c>
      <c r="D349" s="21" t="s">
        <v>13516</v>
      </c>
      <c r="E349" s="21" t="s">
        <v>734</v>
      </c>
      <c r="F349" s="21" t="s">
        <v>1881</v>
      </c>
      <c r="G349" s="21" t="s">
        <v>13343</v>
      </c>
    </row>
    <row r="350" customFormat="false" ht="15" hidden="false" customHeight="false" outlineLevel="0" collapsed="false">
      <c r="B350" s="19" t="s">
        <v>13550</v>
      </c>
      <c r="C350" s="20" t="n">
        <f aca="false">ROUND(62.4/FX,2)</f>
        <v>8.67</v>
      </c>
      <c r="D350" s="21" t="s">
        <v>13516</v>
      </c>
      <c r="E350" s="21" t="s">
        <v>734</v>
      </c>
      <c r="F350" s="21" t="s">
        <v>1048</v>
      </c>
      <c r="G350" s="21" t="s">
        <v>13343</v>
      </c>
    </row>
    <row r="351" customFormat="false" ht="15" hidden="false" customHeight="false" outlineLevel="0" collapsed="false">
      <c r="B351" s="19" t="s">
        <v>13551</v>
      </c>
      <c r="C351" s="20" t="n">
        <f aca="false">ROUND(65.33/FX,2)</f>
        <v>9.07</v>
      </c>
      <c r="D351" s="21" t="s">
        <v>13516</v>
      </c>
      <c r="E351" s="21" t="s">
        <v>734</v>
      </c>
      <c r="F351" s="21" t="s">
        <v>1323</v>
      </c>
      <c r="G351" s="21" t="s">
        <v>13343</v>
      </c>
    </row>
    <row r="352" customFormat="false" ht="15" hidden="false" customHeight="false" outlineLevel="0" collapsed="false">
      <c r="B352" s="19" t="s">
        <v>13552</v>
      </c>
      <c r="C352" s="20" t="n">
        <f aca="false">ROUND(68.25/FX,2)</f>
        <v>9.48</v>
      </c>
      <c r="D352" s="21" t="s">
        <v>13516</v>
      </c>
      <c r="E352" s="21" t="s">
        <v>734</v>
      </c>
      <c r="F352" s="21" t="s">
        <v>1520</v>
      </c>
      <c r="G352" s="21" t="s">
        <v>13343</v>
      </c>
    </row>
    <row r="353" customFormat="false" ht="15" hidden="false" customHeight="false" outlineLevel="0" collapsed="false">
      <c r="B353" s="19" t="s">
        <v>13553</v>
      </c>
      <c r="C353" s="20" t="n">
        <f aca="false">ROUND(71.18/FX,2)</f>
        <v>9.89</v>
      </c>
      <c r="D353" s="21" t="s">
        <v>13516</v>
      </c>
      <c r="E353" s="21" t="s">
        <v>734</v>
      </c>
      <c r="F353" s="21" t="s">
        <v>1635</v>
      </c>
      <c r="G353" s="21" t="s">
        <v>13343</v>
      </c>
    </row>
    <row r="354" customFormat="false" ht="15" hidden="false" customHeight="false" outlineLevel="0" collapsed="false">
      <c r="B354" s="19" t="s">
        <v>13554</v>
      </c>
      <c r="C354" s="20" t="n">
        <f aca="false">ROUND(74.1/FX,2)</f>
        <v>10.29</v>
      </c>
      <c r="D354" s="21" t="s">
        <v>13516</v>
      </c>
      <c r="E354" s="21" t="s">
        <v>734</v>
      </c>
      <c r="F354" s="21" t="s">
        <v>2002</v>
      </c>
      <c r="G354" s="21" t="s">
        <v>13343</v>
      </c>
    </row>
    <row r="355" customFormat="false" ht="15" hidden="false" customHeight="false" outlineLevel="0" collapsed="false">
      <c r="B355" s="19" t="s">
        <v>13555</v>
      </c>
      <c r="C355" s="20" t="n">
        <f aca="false">ROUND(77.03/FX,2)</f>
        <v>10.7</v>
      </c>
      <c r="D355" s="21" t="s">
        <v>13516</v>
      </c>
      <c r="E355" s="21" t="s">
        <v>734</v>
      </c>
      <c r="F355" s="21" t="s">
        <v>2067</v>
      </c>
      <c r="G355" s="21" t="s">
        <v>13343</v>
      </c>
    </row>
    <row r="356" customFormat="false" ht="15" hidden="false" customHeight="false" outlineLevel="0" collapsed="false">
      <c r="B356" s="19" t="s">
        <v>13556</v>
      </c>
      <c r="C356" s="20" t="n">
        <f aca="false">ROUND(79.95/FX,2)</f>
        <v>11.1</v>
      </c>
      <c r="D356" s="21" t="s">
        <v>13516</v>
      </c>
      <c r="E356" s="21" t="s">
        <v>734</v>
      </c>
      <c r="F356" s="21" t="s">
        <v>2142</v>
      </c>
      <c r="G356" s="21" t="s">
        <v>13343</v>
      </c>
    </row>
    <row r="357" customFormat="false" ht="15" hidden="false" customHeight="false" outlineLevel="0" collapsed="false">
      <c r="B357" s="19" t="s">
        <v>13557</v>
      </c>
      <c r="C357" s="20" t="n">
        <f aca="false">ROUND(82.88/FX,2)</f>
        <v>11.51</v>
      </c>
      <c r="D357" s="21" t="s">
        <v>13516</v>
      </c>
      <c r="E357" s="21" t="s">
        <v>734</v>
      </c>
      <c r="F357" s="21" t="s">
        <v>2187</v>
      </c>
      <c r="G357" s="21" t="s">
        <v>13343</v>
      </c>
    </row>
    <row r="358" customFormat="false" ht="15" hidden="false" customHeight="false" outlineLevel="0" collapsed="false">
      <c r="B358" s="19" t="s">
        <v>13558</v>
      </c>
      <c r="C358" s="20" t="n">
        <f aca="false">ROUND(85.8/FX,2)</f>
        <v>11.92</v>
      </c>
      <c r="D358" s="21" t="s">
        <v>13516</v>
      </c>
      <c r="E358" s="21" t="s">
        <v>734</v>
      </c>
      <c r="F358" s="21" t="s">
        <v>2227</v>
      </c>
      <c r="G358" s="21" t="s">
        <v>13343</v>
      </c>
    </row>
    <row r="359" customFormat="false" ht="15" hidden="false" customHeight="false" outlineLevel="0" collapsed="false">
      <c r="B359" s="19" t="s">
        <v>13559</v>
      </c>
      <c r="C359" s="20" t="n">
        <f aca="false">ROUND(88.83/FX,2)</f>
        <v>12.34</v>
      </c>
      <c r="D359" s="21" t="s">
        <v>13516</v>
      </c>
      <c r="E359" s="21" t="s">
        <v>734</v>
      </c>
      <c r="F359" s="21" t="s">
        <v>2297</v>
      </c>
      <c r="G359" s="21" t="s">
        <v>13343</v>
      </c>
    </row>
    <row r="360" customFormat="false" ht="15" hidden="false" customHeight="false" outlineLevel="0" collapsed="false">
      <c r="B360" s="19" t="s">
        <v>13560</v>
      </c>
      <c r="C360" s="20" t="n">
        <f aca="false">ROUND(91.65/FX,2)</f>
        <v>12.73</v>
      </c>
      <c r="D360" s="21" t="s">
        <v>13516</v>
      </c>
      <c r="E360" s="21" t="s">
        <v>734</v>
      </c>
      <c r="F360" s="21" t="s">
        <v>2351</v>
      </c>
      <c r="G360" s="21" t="s">
        <v>13343</v>
      </c>
    </row>
    <row r="361" customFormat="false" ht="15" hidden="false" customHeight="false" outlineLevel="0" collapsed="false">
      <c r="B361" s="19" t="s">
        <v>13561</v>
      </c>
      <c r="C361" s="20" t="n">
        <f aca="false">ROUND(94.58/FX,2)</f>
        <v>13.14</v>
      </c>
      <c r="D361" s="21" t="s">
        <v>13516</v>
      </c>
      <c r="E361" s="21" t="s">
        <v>734</v>
      </c>
      <c r="F361" s="21" t="s">
        <v>2400</v>
      </c>
      <c r="G361" s="21" t="s">
        <v>13343</v>
      </c>
    </row>
    <row r="362" customFormat="false" ht="15" hidden="false" customHeight="false" outlineLevel="0" collapsed="false">
      <c r="B362" s="19" t="s">
        <v>13562</v>
      </c>
      <c r="C362" s="20" t="n">
        <f aca="false">ROUND(97.5/FX,2)</f>
        <v>13.54</v>
      </c>
      <c r="D362" s="21" t="s">
        <v>13516</v>
      </c>
      <c r="E362" s="21" t="s">
        <v>734</v>
      </c>
      <c r="F362" s="21" t="s">
        <v>2440</v>
      </c>
      <c r="G362" s="21" t="s">
        <v>13343</v>
      </c>
    </row>
    <row r="363" customFormat="false" ht="15" hidden="false" customHeight="false" outlineLevel="0" collapsed="false">
      <c r="B363" s="19" t="s">
        <v>13563</v>
      </c>
      <c r="C363" s="20" t="n">
        <f aca="false">ROUND(100.43/FX,2)</f>
        <v>13.95</v>
      </c>
      <c r="D363" s="21" t="s">
        <v>13516</v>
      </c>
      <c r="E363" s="21" t="s">
        <v>734</v>
      </c>
      <c r="F363" s="21" t="s">
        <v>2470</v>
      </c>
      <c r="G363" s="21" t="s">
        <v>13343</v>
      </c>
    </row>
    <row r="364" customFormat="false" ht="15" hidden="false" customHeight="false" outlineLevel="0" collapsed="false">
      <c r="B364" s="19" t="s">
        <v>13564</v>
      </c>
      <c r="C364" s="20" t="n">
        <f aca="false">ROUND(103.35/FX,2)</f>
        <v>14.35</v>
      </c>
      <c r="D364" s="21" t="s">
        <v>13516</v>
      </c>
      <c r="E364" s="21" t="s">
        <v>734</v>
      </c>
      <c r="F364" s="21" t="s">
        <v>2500</v>
      </c>
      <c r="G364" s="21" t="s">
        <v>13343</v>
      </c>
    </row>
    <row r="365" customFormat="false" ht="15" hidden="false" customHeight="false" outlineLevel="0" collapsed="false">
      <c r="B365" s="19" t="s">
        <v>13565</v>
      </c>
      <c r="C365" s="20" t="n">
        <f aca="false">ROUND(106.28/FX,2)</f>
        <v>14.76</v>
      </c>
      <c r="D365" s="21" t="s">
        <v>13516</v>
      </c>
      <c r="E365" s="21" t="s">
        <v>734</v>
      </c>
      <c r="F365" s="21" t="s">
        <v>2540</v>
      </c>
      <c r="G365" s="21" t="s">
        <v>13343</v>
      </c>
    </row>
    <row r="366" customFormat="false" ht="15" hidden="false" customHeight="false" outlineLevel="0" collapsed="false">
      <c r="B366" s="19" t="s">
        <v>13566</v>
      </c>
      <c r="C366" s="20" t="n">
        <f aca="false">ROUND(132.6/FX,2)</f>
        <v>18.42</v>
      </c>
      <c r="D366" s="21" t="s">
        <v>13567</v>
      </c>
      <c r="E366" s="21" t="s">
        <v>734</v>
      </c>
      <c r="F366" s="21" t="s">
        <v>1733</v>
      </c>
      <c r="G366" s="21" t="s">
        <v>13313</v>
      </c>
    </row>
    <row r="367" customFormat="false" ht="15" hidden="false" customHeight="false" outlineLevel="0" collapsed="false">
      <c r="B367" s="19" t="s">
        <v>13568</v>
      </c>
      <c r="C367" s="20" t="n">
        <f aca="false">ROUND(138.45/FX,2)</f>
        <v>19.23</v>
      </c>
      <c r="D367" s="21" t="s">
        <v>13567</v>
      </c>
      <c r="E367" s="21" t="s">
        <v>734</v>
      </c>
      <c r="F367" s="21" t="s">
        <v>1768</v>
      </c>
      <c r="G367" s="21" t="s">
        <v>13313</v>
      </c>
    </row>
    <row r="368" customFormat="false" ht="15" hidden="false" customHeight="false" outlineLevel="0" collapsed="false">
      <c r="B368" s="19" t="s">
        <v>13569</v>
      </c>
      <c r="C368" s="20" t="n">
        <f aca="false">ROUND(144.3/FX,2)</f>
        <v>20.04</v>
      </c>
      <c r="D368" s="21" t="s">
        <v>13567</v>
      </c>
      <c r="E368" s="21" t="s">
        <v>734</v>
      </c>
      <c r="F368" s="21" t="s">
        <v>3253</v>
      </c>
      <c r="G368" s="21" t="s">
        <v>13313</v>
      </c>
    </row>
    <row r="369" customFormat="false" ht="15" hidden="false" customHeight="false" outlineLevel="0" collapsed="false">
      <c r="B369" s="19" t="s">
        <v>13570</v>
      </c>
      <c r="C369" s="20" t="n">
        <f aca="false">ROUND(150.15/FX,2)</f>
        <v>20.85</v>
      </c>
      <c r="D369" s="21" t="s">
        <v>13567</v>
      </c>
      <c r="E369" s="21" t="s">
        <v>734</v>
      </c>
      <c r="F369" s="21" t="s">
        <v>5513</v>
      </c>
      <c r="G369" s="21" t="s">
        <v>13313</v>
      </c>
    </row>
    <row r="370" customFormat="false" ht="15" hidden="false" customHeight="false" outlineLevel="0" collapsed="false">
      <c r="B370" s="19" t="s">
        <v>13571</v>
      </c>
      <c r="C370" s="20" t="n">
        <f aca="false">ROUND(161.85/FX,2)</f>
        <v>22.48</v>
      </c>
      <c r="D370" s="21" t="s">
        <v>13567</v>
      </c>
      <c r="E370" s="21" t="s">
        <v>734</v>
      </c>
      <c r="F370" s="21" t="s">
        <v>1881</v>
      </c>
      <c r="G370" s="21" t="s">
        <v>13313</v>
      </c>
    </row>
    <row r="371" customFormat="false" ht="15" hidden="false" customHeight="false" outlineLevel="0" collapsed="false">
      <c r="B371" s="19" t="s">
        <v>13572</v>
      </c>
      <c r="C371" s="20" t="n">
        <f aca="false">ROUND(176.15/FX,2)</f>
        <v>24.47</v>
      </c>
      <c r="D371" s="21" t="s">
        <v>13567</v>
      </c>
      <c r="E371" s="21" t="s">
        <v>734</v>
      </c>
      <c r="F371" s="21" t="s">
        <v>5525</v>
      </c>
      <c r="G371" s="21" t="s">
        <v>13313</v>
      </c>
    </row>
    <row r="372" customFormat="false" ht="15" hidden="false" customHeight="false" outlineLevel="0" collapsed="false">
      <c r="B372" s="19" t="s">
        <v>13573</v>
      </c>
      <c r="C372" s="20" t="n">
        <f aca="false">ROUND(183.3/FX,2)</f>
        <v>25.46</v>
      </c>
      <c r="D372" s="21" t="s">
        <v>13567</v>
      </c>
      <c r="E372" s="21" t="s">
        <v>734</v>
      </c>
      <c r="F372" s="21" t="s">
        <v>4609</v>
      </c>
      <c r="G372" s="21" t="s">
        <v>13313</v>
      </c>
    </row>
    <row r="373" customFormat="false" ht="15" hidden="false" customHeight="false" outlineLevel="0" collapsed="false">
      <c r="B373" s="19" t="s">
        <v>13574</v>
      </c>
      <c r="C373" s="20" t="n">
        <f aca="false">ROUND(85.8/FX,2)</f>
        <v>11.92</v>
      </c>
      <c r="D373" s="21" t="s">
        <v>13567</v>
      </c>
      <c r="E373" s="21" t="s">
        <v>734</v>
      </c>
      <c r="F373" s="21" t="s">
        <v>1048</v>
      </c>
      <c r="G373" s="21" t="s">
        <v>13313</v>
      </c>
    </row>
    <row r="374" customFormat="false" ht="15" hidden="false" customHeight="false" outlineLevel="0" collapsed="false">
      <c r="B374" s="19" t="s">
        <v>13575</v>
      </c>
      <c r="C374" s="20" t="n">
        <f aca="false">ROUND(197.6/FX,2)</f>
        <v>27.44</v>
      </c>
      <c r="D374" s="21" t="s">
        <v>13567</v>
      </c>
      <c r="E374" s="21" t="s">
        <v>734</v>
      </c>
      <c r="F374" s="21" t="s">
        <v>1924</v>
      </c>
      <c r="G374" s="21" t="s">
        <v>13313</v>
      </c>
    </row>
    <row r="375" customFormat="false" ht="15" hidden="false" customHeight="false" outlineLevel="0" collapsed="false">
      <c r="B375" s="19" t="s">
        <v>13576</v>
      </c>
      <c r="C375" s="20" t="n">
        <f aca="false">ROUND(219.05/FX,2)</f>
        <v>30.42</v>
      </c>
      <c r="D375" s="21" t="s">
        <v>13567</v>
      </c>
      <c r="E375" s="21" t="s">
        <v>734</v>
      </c>
      <c r="F375" s="21" t="s">
        <v>13577</v>
      </c>
      <c r="G375" s="21" t="s">
        <v>13313</v>
      </c>
    </row>
    <row r="376" customFormat="false" ht="15" hidden="false" customHeight="false" outlineLevel="0" collapsed="false">
      <c r="B376" s="19" t="s">
        <v>13578</v>
      </c>
      <c r="C376" s="20" t="n">
        <f aca="false">ROUND(88.73/FX,2)</f>
        <v>12.32</v>
      </c>
      <c r="D376" s="21" t="s">
        <v>13567</v>
      </c>
      <c r="E376" s="21" t="s">
        <v>734</v>
      </c>
      <c r="F376" s="21" t="s">
        <v>1323</v>
      </c>
      <c r="G376" s="21" t="s">
        <v>13313</v>
      </c>
    </row>
    <row r="377" customFormat="false" ht="15" hidden="false" customHeight="false" outlineLevel="0" collapsed="false">
      <c r="B377" s="19" t="s">
        <v>13579</v>
      </c>
      <c r="C377" s="20" t="n">
        <f aca="false">ROUND(233.35/FX,2)</f>
        <v>32.41</v>
      </c>
      <c r="D377" s="21" t="s">
        <v>13567</v>
      </c>
      <c r="E377" s="21" t="s">
        <v>734</v>
      </c>
      <c r="F377" s="21" t="s">
        <v>1948</v>
      </c>
      <c r="G377" s="21" t="s">
        <v>13313</v>
      </c>
    </row>
    <row r="378" customFormat="false" ht="15" hidden="false" customHeight="false" outlineLevel="0" collapsed="false">
      <c r="B378" s="19" t="s">
        <v>13580</v>
      </c>
      <c r="C378" s="20" t="n">
        <f aca="false">ROUND(322.4/FX,2)</f>
        <v>44.78</v>
      </c>
      <c r="D378" s="21" t="s">
        <v>13567</v>
      </c>
      <c r="E378" s="21" t="s">
        <v>734</v>
      </c>
      <c r="F378" s="21" t="s">
        <v>13581</v>
      </c>
      <c r="G378" s="21" t="s">
        <v>13313</v>
      </c>
    </row>
    <row r="379" customFormat="false" ht="15" hidden="false" customHeight="false" outlineLevel="0" collapsed="false">
      <c r="B379" s="19" t="s">
        <v>13582</v>
      </c>
      <c r="C379" s="20" t="n">
        <f aca="false">ROUND(85.8/FX,2)</f>
        <v>11.92</v>
      </c>
      <c r="D379" s="21" t="s">
        <v>13567</v>
      </c>
      <c r="E379" s="21" t="s">
        <v>734</v>
      </c>
      <c r="F379" s="21" t="s">
        <v>1520</v>
      </c>
      <c r="G379" s="21" t="s">
        <v>13313</v>
      </c>
    </row>
    <row r="380" customFormat="false" ht="15" hidden="false" customHeight="false" outlineLevel="0" collapsed="false">
      <c r="B380" s="19" t="s">
        <v>13583</v>
      </c>
      <c r="C380" s="20" t="n">
        <f aca="false">ROUND(334.1/FX,2)</f>
        <v>46.4</v>
      </c>
      <c r="D380" s="21" t="s">
        <v>13567</v>
      </c>
      <c r="E380" s="21" t="s">
        <v>734</v>
      </c>
      <c r="F380" s="21" t="s">
        <v>1954</v>
      </c>
      <c r="G380" s="21" t="s">
        <v>13313</v>
      </c>
    </row>
    <row r="381" customFormat="false" ht="15" hidden="false" customHeight="false" outlineLevel="0" collapsed="false">
      <c r="B381" s="19" t="s">
        <v>13584</v>
      </c>
      <c r="C381" s="20" t="n">
        <f aca="false">ROUND(351.65/FX,2)</f>
        <v>48.84</v>
      </c>
      <c r="D381" s="21" t="s">
        <v>13567</v>
      </c>
      <c r="E381" s="21" t="s">
        <v>734</v>
      </c>
      <c r="F381" s="21" t="s">
        <v>13585</v>
      </c>
      <c r="G381" s="21" t="s">
        <v>13313</v>
      </c>
    </row>
    <row r="382" customFormat="false" ht="15" hidden="false" customHeight="false" outlineLevel="0" collapsed="false">
      <c r="B382" s="19" t="s">
        <v>13586</v>
      </c>
      <c r="C382" s="20" t="n">
        <f aca="false">ROUND(94.58/FX,2)</f>
        <v>13.14</v>
      </c>
      <c r="D382" s="21" t="s">
        <v>13567</v>
      </c>
      <c r="E382" s="21" t="s">
        <v>734</v>
      </c>
      <c r="F382" s="21" t="s">
        <v>1635</v>
      </c>
      <c r="G382" s="21" t="s">
        <v>13313</v>
      </c>
    </row>
    <row r="383" customFormat="false" ht="15" hidden="false" customHeight="false" outlineLevel="0" collapsed="false">
      <c r="B383" s="19" t="s">
        <v>13587</v>
      </c>
      <c r="C383" s="20" t="n">
        <f aca="false">ROUND(97.5/FX,2)</f>
        <v>13.54</v>
      </c>
      <c r="D383" s="21" t="s">
        <v>13567</v>
      </c>
      <c r="E383" s="21" t="s">
        <v>734</v>
      </c>
      <c r="F383" s="21" t="s">
        <v>2002</v>
      </c>
      <c r="G383" s="21" t="s">
        <v>13313</v>
      </c>
    </row>
    <row r="384" customFormat="false" ht="15" hidden="false" customHeight="false" outlineLevel="0" collapsed="false">
      <c r="B384" s="19" t="s">
        <v>13588</v>
      </c>
      <c r="C384" s="20" t="n">
        <f aca="false">ROUND(100.43/FX,2)</f>
        <v>13.95</v>
      </c>
      <c r="D384" s="21" t="s">
        <v>13567</v>
      </c>
      <c r="E384" s="21" t="s">
        <v>734</v>
      </c>
      <c r="F384" s="21" t="s">
        <v>2067</v>
      </c>
      <c r="G384" s="21" t="s">
        <v>13313</v>
      </c>
    </row>
    <row r="385" customFormat="false" ht="15" hidden="false" customHeight="false" outlineLevel="0" collapsed="false">
      <c r="B385" s="19" t="s">
        <v>13589</v>
      </c>
      <c r="C385" s="20" t="n">
        <f aca="false">ROUND(103.35/FX,2)</f>
        <v>14.35</v>
      </c>
      <c r="D385" s="21" t="s">
        <v>13567</v>
      </c>
      <c r="E385" s="21" t="s">
        <v>734</v>
      </c>
      <c r="F385" s="21" t="s">
        <v>2142</v>
      </c>
      <c r="G385" s="21" t="s">
        <v>13313</v>
      </c>
    </row>
    <row r="386" customFormat="false" ht="15" hidden="false" customHeight="false" outlineLevel="0" collapsed="false">
      <c r="B386" s="19" t="s">
        <v>13590</v>
      </c>
      <c r="C386" s="20" t="n">
        <f aca="false">ROUND(106.28/FX,2)</f>
        <v>14.76</v>
      </c>
      <c r="D386" s="21" t="s">
        <v>13567</v>
      </c>
      <c r="E386" s="21" t="s">
        <v>734</v>
      </c>
      <c r="F386" s="21" t="s">
        <v>2187</v>
      </c>
      <c r="G386" s="21" t="s">
        <v>13313</v>
      </c>
    </row>
    <row r="387" customFormat="false" ht="15" hidden="false" customHeight="false" outlineLevel="0" collapsed="false">
      <c r="B387" s="19" t="s">
        <v>13591</v>
      </c>
      <c r="C387" s="20" t="n">
        <f aca="false">ROUND(109.2/FX,2)</f>
        <v>15.17</v>
      </c>
      <c r="D387" s="21" t="s">
        <v>13567</v>
      </c>
      <c r="E387" s="21" t="s">
        <v>734</v>
      </c>
      <c r="F387" s="21" t="s">
        <v>2227</v>
      </c>
      <c r="G387" s="21" t="s">
        <v>13313</v>
      </c>
    </row>
    <row r="388" customFormat="false" ht="15" hidden="false" customHeight="false" outlineLevel="0" collapsed="false">
      <c r="B388" s="19" t="s">
        <v>13592</v>
      </c>
      <c r="C388" s="20" t="n">
        <f aca="false">ROUND(110.08/FX,2)</f>
        <v>15.29</v>
      </c>
      <c r="D388" s="21" t="s">
        <v>13567</v>
      </c>
      <c r="E388" s="21" t="s">
        <v>734</v>
      </c>
      <c r="F388" s="21" t="s">
        <v>6521</v>
      </c>
      <c r="G388" s="21" t="s">
        <v>13313</v>
      </c>
    </row>
    <row r="389" customFormat="false" ht="15" hidden="false" customHeight="false" outlineLevel="0" collapsed="false">
      <c r="B389" s="19" t="s">
        <v>13593</v>
      </c>
      <c r="C389" s="20" t="n">
        <f aca="false">ROUND(112.13/FX,2)</f>
        <v>15.57</v>
      </c>
      <c r="D389" s="21" t="s">
        <v>13567</v>
      </c>
      <c r="E389" s="21" t="s">
        <v>734</v>
      </c>
      <c r="F389" s="21" t="s">
        <v>2297</v>
      </c>
      <c r="G389" s="21" t="s">
        <v>13313</v>
      </c>
    </row>
    <row r="390" customFormat="false" ht="15" hidden="false" customHeight="false" outlineLevel="0" collapsed="false">
      <c r="B390" s="19" t="s">
        <v>13594</v>
      </c>
      <c r="C390" s="20" t="n">
        <f aca="false">ROUND(109.85/FX,2)</f>
        <v>15.26</v>
      </c>
      <c r="D390" s="21" t="s">
        <v>13567</v>
      </c>
      <c r="E390" s="21" t="s">
        <v>734</v>
      </c>
      <c r="F390" s="21" t="s">
        <v>2351</v>
      </c>
      <c r="G390" s="21" t="s">
        <v>13313</v>
      </c>
    </row>
    <row r="391" customFormat="false" ht="15" hidden="false" customHeight="false" outlineLevel="0" collapsed="false">
      <c r="B391" s="19" t="s">
        <v>13595</v>
      </c>
      <c r="C391" s="20" t="n">
        <f aca="false">ROUND(117.98/FX,2)</f>
        <v>16.39</v>
      </c>
      <c r="D391" s="21" t="s">
        <v>13567</v>
      </c>
      <c r="E391" s="21" t="s">
        <v>734</v>
      </c>
      <c r="F391" s="21" t="s">
        <v>2400</v>
      </c>
      <c r="G391" s="21" t="s">
        <v>13313</v>
      </c>
    </row>
    <row r="392" customFormat="false" ht="15" hidden="false" customHeight="false" outlineLevel="0" collapsed="false">
      <c r="B392" s="19" t="s">
        <v>13596</v>
      </c>
      <c r="C392" s="20" t="n">
        <f aca="false">ROUND(120.9/FX,2)</f>
        <v>16.79</v>
      </c>
      <c r="D392" s="21" t="s">
        <v>13567</v>
      </c>
      <c r="E392" s="21" t="s">
        <v>734</v>
      </c>
      <c r="F392" s="21" t="s">
        <v>2440</v>
      </c>
      <c r="G392" s="21" t="s">
        <v>13313</v>
      </c>
    </row>
    <row r="393" customFormat="false" ht="15" hidden="false" customHeight="false" outlineLevel="0" collapsed="false">
      <c r="B393" s="19" t="s">
        <v>13597</v>
      </c>
      <c r="C393" s="20" t="n">
        <f aca="false">ROUND(123.83/FX,2)</f>
        <v>17.2</v>
      </c>
      <c r="D393" s="21" t="s">
        <v>13567</v>
      </c>
      <c r="E393" s="21" t="s">
        <v>734</v>
      </c>
      <c r="F393" s="21" t="s">
        <v>2470</v>
      </c>
      <c r="G393" s="21" t="s">
        <v>13313</v>
      </c>
    </row>
    <row r="394" customFormat="false" ht="15" hidden="false" customHeight="false" outlineLevel="0" collapsed="false">
      <c r="B394" s="19" t="s">
        <v>13598</v>
      </c>
      <c r="C394" s="20" t="n">
        <f aca="false">ROUND(126.75/FX,2)</f>
        <v>17.6</v>
      </c>
      <c r="D394" s="21" t="s">
        <v>13567</v>
      </c>
      <c r="E394" s="21" t="s">
        <v>734</v>
      </c>
      <c r="F394" s="21" t="s">
        <v>2500</v>
      </c>
      <c r="G394" s="21" t="s">
        <v>13313</v>
      </c>
    </row>
    <row r="395" customFormat="false" ht="15" hidden="false" customHeight="false" outlineLevel="0" collapsed="false">
      <c r="B395" s="19" t="s">
        <v>13599</v>
      </c>
      <c r="C395" s="20" t="n">
        <f aca="false">ROUND(129.68/FX,2)</f>
        <v>18.01</v>
      </c>
      <c r="D395" s="21" t="s">
        <v>13567</v>
      </c>
      <c r="E395" s="21" t="s">
        <v>734</v>
      </c>
      <c r="F395" s="21" t="s">
        <v>2540</v>
      </c>
      <c r="G395" s="21" t="s">
        <v>13313</v>
      </c>
    </row>
    <row r="396" customFormat="false" ht="15" hidden="false" customHeight="false" outlineLevel="0" collapsed="false">
      <c r="B396" s="19" t="s">
        <v>13600</v>
      </c>
      <c r="C396" s="20" t="n">
        <f aca="false">ROUND(113.1/FX,2)</f>
        <v>15.71</v>
      </c>
      <c r="D396" s="21" t="s">
        <v>13567</v>
      </c>
      <c r="E396" s="21" t="s">
        <v>734</v>
      </c>
      <c r="F396" s="21" t="s">
        <v>1733</v>
      </c>
      <c r="G396" s="21" t="s">
        <v>13343</v>
      </c>
    </row>
    <row r="397" customFormat="false" ht="15" hidden="false" customHeight="false" outlineLevel="0" collapsed="false">
      <c r="B397" s="19" t="s">
        <v>13601</v>
      </c>
      <c r="C397" s="20" t="n">
        <f aca="false">ROUND(124.8/FX,2)</f>
        <v>17.33</v>
      </c>
      <c r="D397" s="21" t="s">
        <v>13567</v>
      </c>
      <c r="E397" s="21" t="s">
        <v>734</v>
      </c>
      <c r="F397" s="21" t="s">
        <v>3253</v>
      </c>
      <c r="G397" s="21" t="s">
        <v>13343</v>
      </c>
    </row>
    <row r="398" customFormat="false" ht="15" hidden="false" customHeight="false" outlineLevel="0" collapsed="false">
      <c r="B398" s="19" t="s">
        <v>13602</v>
      </c>
      <c r="C398" s="20" t="n">
        <f aca="false">ROUND(142.35/FX,2)</f>
        <v>19.77</v>
      </c>
      <c r="D398" s="21" t="s">
        <v>13567</v>
      </c>
      <c r="E398" s="21" t="s">
        <v>734</v>
      </c>
      <c r="F398" s="21" t="s">
        <v>1881</v>
      </c>
      <c r="G398" s="21" t="s">
        <v>13343</v>
      </c>
    </row>
    <row r="399" customFormat="false" ht="15" hidden="false" customHeight="false" outlineLevel="0" collapsed="false">
      <c r="B399" s="19" t="s">
        <v>13603</v>
      </c>
      <c r="C399" s="20" t="n">
        <f aca="false">ROUND(66.3/FX,2)</f>
        <v>9.21</v>
      </c>
      <c r="D399" s="21" t="s">
        <v>13567</v>
      </c>
      <c r="E399" s="21" t="s">
        <v>734</v>
      </c>
      <c r="F399" s="21" t="s">
        <v>1048</v>
      </c>
      <c r="G399" s="21" t="s">
        <v>13343</v>
      </c>
    </row>
    <row r="400" customFormat="false" ht="15" hidden="false" customHeight="false" outlineLevel="0" collapsed="false">
      <c r="B400" s="19" t="s">
        <v>13604</v>
      </c>
      <c r="C400" s="20" t="n">
        <f aca="false">ROUND(69.23/FX,2)</f>
        <v>9.62</v>
      </c>
      <c r="D400" s="21" t="s">
        <v>13567</v>
      </c>
      <c r="E400" s="21" t="s">
        <v>734</v>
      </c>
      <c r="F400" s="21" t="s">
        <v>1323</v>
      </c>
      <c r="G400" s="21" t="s">
        <v>13343</v>
      </c>
    </row>
    <row r="401" customFormat="false" ht="15" hidden="false" customHeight="false" outlineLevel="0" collapsed="false">
      <c r="B401" s="19" t="s">
        <v>13605</v>
      </c>
      <c r="C401" s="20" t="n">
        <f aca="false">ROUND(72.15/FX,2)</f>
        <v>10.02</v>
      </c>
      <c r="D401" s="21" t="s">
        <v>13567</v>
      </c>
      <c r="E401" s="21" t="s">
        <v>734</v>
      </c>
      <c r="F401" s="21" t="s">
        <v>1520</v>
      </c>
      <c r="G401" s="21" t="s">
        <v>13343</v>
      </c>
    </row>
    <row r="402" customFormat="false" ht="15" hidden="false" customHeight="false" outlineLevel="0" collapsed="false">
      <c r="B402" s="19" t="s">
        <v>13606</v>
      </c>
      <c r="C402" s="20" t="n">
        <f aca="false">ROUND(75.08/FX,2)</f>
        <v>10.43</v>
      </c>
      <c r="D402" s="21" t="s">
        <v>13567</v>
      </c>
      <c r="E402" s="21" t="s">
        <v>734</v>
      </c>
      <c r="F402" s="21" t="s">
        <v>1635</v>
      </c>
      <c r="G402" s="21" t="s">
        <v>13343</v>
      </c>
    </row>
    <row r="403" customFormat="false" ht="15" hidden="false" customHeight="false" outlineLevel="0" collapsed="false">
      <c r="B403" s="19" t="s">
        <v>13607</v>
      </c>
      <c r="C403" s="20" t="n">
        <f aca="false">ROUND(78/FX,2)</f>
        <v>10.83</v>
      </c>
      <c r="D403" s="21" t="s">
        <v>13567</v>
      </c>
      <c r="E403" s="21" t="s">
        <v>734</v>
      </c>
      <c r="F403" s="21" t="s">
        <v>2002</v>
      </c>
      <c r="G403" s="21" t="s">
        <v>13343</v>
      </c>
    </row>
    <row r="404" customFormat="false" ht="15" hidden="false" customHeight="false" outlineLevel="0" collapsed="false">
      <c r="B404" s="19" t="s">
        <v>13608</v>
      </c>
      <c r="C404" s="20" t="n">
        <f aca="false">ROUND(80.93/FX,2)</f>
        <v>11.24</v>
      </c>
      <c r="D404" s="21" t="s">
        <v>13567</v>
      </c>
      <c r="E404" s="21" t="s">
        <v>734</v>
      </c>
      <c r="F404" s="21" t="s">
        <v>2067</v>
      </c>
      <c r="G404" s="21" t="s">
        <v>13343</v>
      </c>
    </row>
    <row r="405" customFormat="false" ht="15" hidden="false" customHeight="false" outlineLevel="0" collapsed="false">
      <c r="B405" s="19" t="s">
        <v>13609</v>
      </c>
      <c r="C405" s="20" t="n">
        <f aca="false">ROUND(93.85/FX,2)</f>
        <v>13.03</v>
      </c>
      <c r="D405" s="21" t="s">
        <v>13567</v>
      </c>
      <c r="E405" s="21" t="s">
        <v>734</v>
      </c>
      <c r="F405" s="21" t="s">
        <v>2142</v>
      </c>
      <c r="G405" s="21" t="s">
        <v>13343</v>
      </c>
    </row>
    <row r="406" customFormat="false" ht="15" hidden="false" customHeight="false" outlineLevel="0" collapsed="false">
      <c r="B406" s="19" t="s">
        <v>13610</v>
      </c>
      <c r="C406" s="20" t="n">
        <f aca="false">ROUND(86.78/FX,2)</f>
        <v>12.05</v>
      </c>
      <c r="D406" s="21" t="s">
        <v>13567</v>
      </c>
      <c r="E406" s="21" t="s">
        <v>734</v>
      </c>
      <c r="F406" s="21" t="s">
        <v>2187</v>
      </c>
      <c r="G406" s="21" t="s">
        <v>13343</v>
      </c>
    </row>
    <row r="407" customFormat="false" ht="15" hidden="false" customHeight="false" outlineLevel="0" collapsed="false">
      <c r="B407" s="19" t="s">
        <v>13611</v>
      </c>
      <c r="C407" s="20" t="n">
        <f aca="false">ROUND(89.7/FX,2)</f>
        <v>12.46</v>
      </c>
      <c r="D407" s="21" t="s">
        <v>13567</v>
      </c>
      <c r="E407" s="21" t="s">
        <v>734</v>
      </c>
      <c r="F407" s="21" t="s">
        <v>2227</v>
      </c>
      <c r="G407" s="21" t="s">
        <v>13343</v>
      </c>
    </row>
    <row r="408" customFormat="false" ht="15" hidden="false" customHeight="false" outlineLevel="0" collapsed="false">
      <c r="B408" s="19" t="s">
        <v>13612</v>
      </c>
      <c r="C408" s="20" t="n">
        <f aca="false">ROUND(92.63/FX,2)</f>
        <v>12.87</v>
      </c>
      <c r="D408" s="21" t="s">
        <v>13567</v>
      </c>
      <c r="E408" s="21" t="s">
        <v>734</v>
      </c>
      <c r="F408" s="21" t="s">
        <v>2297</v>
      </c>
      <c r="G408" s="21" t="s">
        <v>13343</v>
      </c>
    </row>
    <row r="409" customFormat="false" ht="15" hidden="false" customHeight="false" outlineLevel="0" collapsed="false">
      <c r="B409" s="19" t="s">
        <v>13613</v>
      </c>
      <c r="C409" s="20" t="n">
        <f aca="false">ROUND(95.55/FX,2)</f>
        <v>13.27</v>
      </c>
      <c r="D409" s="21" t="s">
        <v>13567</v>
      </c>
      <c r="E409" s="21" t="s">
        <v>734</v>
      </c>
      <c r="F409" s="21" t="s">
        <v>2351</v>
      </c>
      <c r="G409" s="21" t="s">
        <v>13343</v>
      </c>
    </row>
    <row r="410" customFormat="false" ht="15" hidden="false" customHeight="false" outlineLevel="0" collapsed="false">
      <c r="B410" s="19" t="s">
        <v>13614</v>
      </c>
      <c r="C410" s="20" t="n">
        <f aca="false">ROUND(98.48/FX,2)</f>
        <v>13.68</v>
      </c>
      <c r="D410" s="21" t="s">
        <v>13567</v>
      </c>
      <c r="E410" s="21" t="s">
        <v>734</v>
      </c>
      <c r="F410" s="21" t="s">
        <v>2400</v>
      </c>
      <c r="G410" s="21" t="s">
        <v>13343</v>
      </c>
    </row>
    <row r="411" customFormat="false" ht="15" hidden="false" customHeight="false" outlineLevel="0" collapsed="false">
      <c r="B411" s="19" t="s">
        <v>13615</v>
      </c>
      <c r="C411" s="20" t="n">
        <f aca="false">ROUND(101.4/FX,2)</f>
        <v>14.08</v>
      </c>
      <c r="D411" s="21" t="s">
        <v>13567</v>
      </c>
      <c r="E411" s="21" t="s">
        <v>734</v>
      </c>
      <c r="F411" s="21" t="s">
        <v>2440</v>
      </c>
      <c r="G411" s="21" t="s">
        <v>13343</v>
      </c>
    </row>
    <row r="412" customFormat="false" ht="15" hidden="false" customHeight="false" outlineLevel="0" collapsed="false">
      <c r="B412" s="19" t="s">
        <v>13616</v>
      </c>
      <c r="C412" s="20" t="n">
        <f aca="false">ROUND(104.33/FX,2)</f>
        <v>14.49</v>
      </c>
      <c r="D412" s="21" t="s">
        <v>13567</v>
      </c>
      <c r="E412" s="21" t="s">
        <v>734</v>
      </c>
      <c r="F412" s="21" t="s">
        <v>2470</v>
      </c>
      <c r="G412" s="21" t="s">
        <v>13343</v>
      </c>
    </row>
    <row r="413" customFormat="false" ht="15" hidden="false" customHeight="false" outlineLevel="0" collapsed="false">
      <c r="B413" s="19" t="s">
        <v>13617</v>
      </c>
      <c r="C413" s="20" t="n">
        <f aca="false">ROUND(107.25/FX,2)</f>
        <v>14.9</v>
      </c>
      <c r="D413" s="21" t="s">
        <v>13567</v>
      </c>
      <c r="E413" s="21" t="s">
        <v>734</v>
      </c>
      <c r="F413" s="21" t="s">
        <v>2500</v>
      </c>
      <c r="G413" s="21" t="s">
        <v>13343</v>
      </c>
    </row>
    <row r="414" customFormat="false" ht="15" hidden="false" customHeight="false" outlineLevel="0" collapsed="false">
      <c r="B414" s="19" t="s">
        <v>13618</v>
      </c>
      <c r="C414" s="20" t="n">
        <f aca="false">ROUND(110.18/FX,2)</f>
        <v>15.3</v>
      </c>
      <c r="D414" s="21" t="s">
        <v>13567</v>
      </c>
      <c r="E414" s="21" t="s">
        <v>734</v>
      </c>
      <c r="F414" s="21" t="s">
        <v>2540</v>
      </c>
      <c r="G414" s="21" t="s">
        <v>13343</v>
      </c>
    </row>
    <row r="415" customFormat="false" ht="15" hidden="false" customHeight="false" outlineLevel="0" collapsed="false">
      <c r="B415" s="19" t="s">
        <v>13619</v>
      </c>
      <c r="C415" s="20" t="n">
        <f aca="false">ROUND(137.8/FX,2)</f>
        <v>19.14</v>
      </c>
      <c r="D415" s="21" t="s">
        <v>13620</v>
      </c>
      <c r="E415" s="21" t="s">
        <v>734</v>
      </c>
      <c r="F415" s="21" t="s">
        <v>1733</v>
      </c>
      <c r="G415" s="21" t="s">
        <v>13313</v>
      </c>
    </row>
    <row r="416" customFormat="false" ht="15" hidden="false" customHeight="false" outlineLevel="0" collapsed="false">
      <c r="B416" s="19" t="s">
        <v>13621</v>
      </c>
      <c r="C416" s="20" t="n">
        <f aca="false">ROUND(151.32/FX,2)</f>
        <v>21.02</v>
      </c>
      <c r="D416" s="21" t="s">
        <v>13620</v>
      </c>
      <c r="E416" s="21" t="s">
        <v>734</v>
      </c>
      <c r="F416" s="21" t="s">
        <v>3253</v>
      </c>
      <c r="G416" s="21" t="s">
        <v>13313</v>
      </c>
    </row>
    <row r="417" customFormat="false" ht="15" hidden="false" customHeight="false" outlineLevel="0" collapsed="false">
      <c r="B417" s="19" t="s">
        <v>13622</v>
      </c>
      <c r="C417" s="20" t="n">
        <f aca="false">ROUND(171.6/FX,2)</f>
        <v>23.83</v>
      </c>
      <c r="D417" s="21" t="s">
        <v>13620</v>
      </c>
      <c r="E417" s="21" t="s">
        <v>734</v>
      </c>
      <c r="F417" s="21" t="s">
        <v>1881</v>
      </c>
      <c r="G417" s="21" t="s">
        <v>13313</v>
      </c>
    </row>
    <row r="418" customFormat="false" ht="15" hidden="false" customHeight="false" outlineLevel="0" collapsed="false">
      <c r="B418" s="19" t="s">
        <v>13623</v>
      </c>
      <c r="C418" s="20" t="n">
        <f aca="false">ROUND(83.72/FX,2)</f>
        <v>11.63</v>
      </c>
      <c r="D418" s="21" t="s">
        <v>13620</v>
      </c>
      <c r="E418" s="21" t="s">
        <v>734</v>
      </c>
      <c r="F418" s="21" t="s">
        <v>1048</v>
      </c>
      <c r="G418" s="21" t="s">
        <v>13313</v>
      </c>
    </row>
    <row r="419" customFormat="false" ht="15" hidden="false" customHeight="false" outlineLevel="0" collapsed="false">
      <c r="B419" s="19" t="s">
        <v>13624</v>
      </c>
      <c r="C419" s="20" t="n">
        <f aca="false">ROUND(87.1/FX,2)</f>
        <v>12.1</v>
      </c>
      <c r="D419" s="21" t="s">
        <v>13620</v>
      </c>
      <c r="E419" s="21" t="s">
        <v>734</v>
      </c>
      <c r="F419" s="21" t="s">
        <v>1323</v>
      </c>
      <c r="G419" s="21" t="s">
        <v>13313</v>
      </c>
    </row>
    <row r="420" customFormat="false" ht="15" hidden="false" customHeight="false" outlineLevel="0" collapsed="false">
      <c r="B420" s="19" t="s">
        <v>13625</v>
      </c>
      <c r="C420" s="20" t="n">
        <f aca="false">ROUND(90.48/FX,2)</f>
        <v>12.57</v>
      </c>
      <c r="D420" s="21" t="s">
        <v>13620</v>
      </c>
      <c r="E420" s="21" t="s">
        <v>734</v>
      </c>
      <c r="F420" s="21" t="s">
        <v>1520</v>
      </c>
      <c r="G420" s="21" t="s">
        <v>13313</v>
      </c>
    </row>
    <row r="421" customFormat="false" ht="15" hidden="false" customHeight="false" outlineLevel="0" collapsed="false">
      <c r="B421" s="19" t="s">
        <v>13626</v>
      </c>
      <c r="C421" s="20" t="n">
        <f aca="false">ROUND(93.86/FX,2)</f>
        <v>13.04</v>
      </c>
      <c r="D421" s="21" t="s">
        <v>13620</v>
      </c>
      <c r="E421" s="21" t="s">
        <v>734</v>
      </c>
      <c r="F421" s="21" t="s">
        <v>1635</v>
      </c>
      <c r="G421" s="21" t="s">
        <v>13313</v>
      </c>
    </row>
    <row r="422" customFormat="false" ht="15" hidden="false" customHeight="false" outlineLevel="0" collapsed="false">
      <c r="B422" s="19" t="s">
        <v>13627</v>
      </c>
      <c r="C422" s="20" t="n">
        <f aca="false">ROUND(97.24/FX,2)</f>
        <v>13.51</v>
      </c>
      <c r="D422" s="21" t="s">
        <v>13620</v>
      </c>
      <c r="E422" s="21" t="s">
        <v>734</v>
      </c>
      <c r="F422" s="21" t="s">
        <v>2002</v>
      </c>
      <c r="G422" s="21" t="s">
        <v>13313</v>
      </c>
    </row>
    <row r="423" customFormat="false" ht="15" hidden="false" customHeight="false" outlineLevel="0" collapsed="false">
      <c r="B423" s="19" t="s">
        <v>13628</v>
      </c>
      <c r="C423" s="20" t="n">
        <f aca="false">ROUND(100.62/FX,2)</f>
        <v>13.98</v>
      </c>
      <c r="D423" s="21" t="s">
        <v>13620</v>
      </c>
      <c r="E423" s="21" t="s">
        <v>734</v>
      </c>
      <c r="F423" s="21" t="s">
        <v>2067</v>
      </c>
      <c r="G423" s="21" t="s">
        <v>13313</v>
      </c>
    </row>
    <row r="424" customFormat="false" ht="15" hidden="false" customHeight="false" outlineLevel="0" collapsed="false">
      <c r="B424" s="19" t="s">
        <v>13629</v>
      </c>
      <c r="C424" s="20" t="n">
        <f aca="false">ROUND(104/FX,2)</f>
        <v>14.44</v>
      </c>
      <c r="D424" s="21" t="s">
        <v>13620</v>
      </c>
      <c r="E424" s="21" t="s">
        <v>734</v>
      </c>
      <c r="F424" s="21" t="s">
        <v>2142</v>
      </c>
      <c r="G424" s="21" t="s">
        <v>13313</v>
      </c>
    </row>
    <row r="425" customFormat="false" ht="15" hidden="false" customHeight="false" outlineLevel="0" collapsed="false">
      <c r="B425" s="19" t="s">
        <v>13630</v>
      </c>
      <c r="C425" s="20" t="n">
        <f aca="false">ROUND(107.38/FX,2)</f>
        <v>14.91</v>
      </c>
      <c r="D425" s="21" t="s">
        <v>13620</v>
      </c>
      <c r="E425" s="21" t="s">
        <v>734</v>
      </c>
      <c r="F425" s="21" t="s">
        <v>2187</v>
      </c>
      <c r="G425" s="21" t="s">
        <v>13313</v>
      </c>
    </row>
    <row r="426" customFormat="false" ht="15" hidden="false" customHeight="false" outlineLevel="0" collapsed="false">
      <c r="B426" s="19" t="s">
        <v>13631</v>
      </c>
      <c r="C426" s="20" t="n">
        <f aca="false">ROUND(110.76/FX,2)</f>
        <v>15.38</v>
      </c>
      <c r="D426" s="21" t="s">
        <v>13620</v>
      </c>
      <c r="E426" s="21" t="s">
        <v>734</v>
      </c>
      <c r="F426" s="21" t="s">
        <v>2227</v>
      </c>
      <c r="G426" s="21" t="s">
        <v>13313</v>
      </c>
    </row>
    <row r="427" customFormat="false" ht="15" hidden="false" customHeight="false" outlineLevel="0" collapsed="false">
      <c r="B427" s="19" t="s">
        <v>13632</v>
      </c>
      <c r="C427" s="20" t="n">
        <f aca="false">ROUND(114.14/FX,2)</f>
        <v>15.85</v>
      </c>
      <c r="D427" s="21" t="s">
        <v>13620</v>
      </c>
      <c r="E427" s="21" t="s">
        <v>734</v>
      </c>
      <c r="F427" s="21" t="s">
        <v>2297</v>
      </c>
      <c r="G427" s="21" t="s">
        <v>13313</v>
      </c>
    </row>
    <row r="428" customFormat="false" ht="15" hidden="false" customHeight="false" outlineLevel="0" collapsed="false">
      <c r="B428" s="19" t="s">
        <v>13633</v>
      </c>
      <c r="C428" s="20" t="n">
        <f aca="false">ROUND(117.52/FX,2)</f>
        <v>16.32</v>
      </c>
      <c r="D428" s="21" t="s">
        <v>13620</v>
      </c>
      <c r="E428" s="21" t="s">
        <v>734</v>
      </c>
      <c r="F428" s="21" t="s">
        <v>2351</v>
      </c>
      <c r="G428" s="21" t="s">
        <v>13313</v>
      </c>
    </row>
    <row r="429" customFormat="false" ht="15" hidden="false" customHeight="false" outlineLevel="0" collapsed="false">
      <c r="B429" s="19" t="s">
        <v>13634</v>
      </c>
      <c r="C429" s="20" t="n">
        <f aca="false">ROUND(120.9/FX,2)</f>
        <v>16.79</v>
      </c>
      <c r="D429" s="21" t="s">
        <v>13620</v>
      </c>
      <c r="E429" s="21" t="s">
        <v>734</v>
      </c>
      <c r="F429" s="21" t="s">
        <v>2400</v>
      </c>
      <c r="G429" s="21" t="s">
        <v>13313</v>
      </c>
    </row>
    <row r="430" customFormat="false" ht="15" hidden="false" customHeight="false" outlineLevel="0" collapsed="false">
      <c r="B430" s="19" t="s">
        <v>13635</v>
      </c>
      <c r="C430" s="20" t="n">
        <f aca="false">ROUND(124.28/FX,2)</f>
        <v>17.26</v>
      </c>
      <c r="D430" s="21" t="s">
        <v>13620</v>
      </c>
      <c r="E430" s="21" t="s">
        <v>734</v>
      </c>
      <c r="F430" s="21" t="s">
        <v>2440</v>
      </c>
      <c r="G430" s="21" t="s">
        <v>13313</v>
      </c>
    </row>
    <row r="431" customFormat="false" ht="15" hidden="false" customHeight="false" outlineLevel="0" collapsed="false">
      <c r="B431" s="19" t="s">
        <v>13636</v>
      </c>
      <c r="C431" s="20" t="n">
        <f aca="false">ROUND(127.66/FX,2)</f>
        <v>17.73</v>
      </c>
      <c r="D431" s="21" t="s">
        <v>13620</v>
      </c>
      <c r="E431" s="21" t="s">
        <v>734</v>
      </c>
      <c r="F431" s="21" t="s">
        <v>2470</v>
      </c>
      <c r="G431" s="21" t="s">
        <v>13313</v>
      </c>
    </row>
    <row r="432" customFormat="false" ht="15" hidden="false" customHeight="false" outlineLevel="0" collapsed="false">
      <c r="B432" s="19" t="s">
        <v>13637</v>
      </c>
      <c r="C432" s="20" t="n">
        <f aca="false">ROUND(131.04/FX,2)</f>
        <v>18.2</v>
      </c>
      <c r="D432" s="21" t="s">
        <v>13620</v>
      </c>
      <c r="E432" s="21" t="s">
        <v>734</v>
      </c>
      <c r="F432" s="21" t="s">
        <v>2500</v>
      </c>
      <c r="G432" s="21" t="s">
        <v>13313</v>
      </c>
    </row>
    <row r="433" customFormat="false" ht="15" hidden="false" customHeight="false" outlineLevel="0" collapsed="false">
      <c r="B433" s="19" t="s">
        <v>13638</v>
      </c>
      <c r="C433" s="20" t="n">
        <f aca="false">ROUND(134.42/FX,2)</f>
        <v>18.67</v>
      </c>
      <c r="D433" s="21" t="s">
        <v>13620</v>
      </c>
      <c r="E433" s="21" t="s">
        <v>734</v>
      </c>
      <c r="F433" s="21" t="s">
        <v>2540</v>
      </c>
      <c r="G433" s="21" t="s">
        <v>13313</v>
      </c>
    </row>
    <row r="434" customFormat="false" ht="15" hidden="false" customHeight="false" outlineLevel="0" collapsed="false">
      <c r="B434" s="19" t="s">
        <v>13639</v>
      </c>
      <c r="C434" s="20" t="n">
        <f aca="false">ROUND(124.8/FX,2)</f>
        <v>17.33</v>
      </c>
      <c r="D434" s="21" t="s">
        <v>13620</v>
      </c>
      <c r="E434" s="21" t="s">
        <v>734</v>
      </c>
      <c r="F434" s="21" t="s">
        <v>1733</v>
      </c>
      <c r="G434" s="21" t="s">
        <v>13343</v>
      </c>
    </row>
    <row r="435" customFormat="false" ht="15" hidden="false" customHeight="false" outlineLevel="0" collapsed="false">
      <c r="B435" s="19" t="s">
        <v>13640</v>
      </c>
      <c r="C435" s="20" t="n">
        <f aca="false">ROUND(138.32/FX,2)</f>
        <v>19.21</v>
      </c>
      <c r="D435" s="21" t="s">
        <v>13620</v>
      </c>
      <c r="E435" s="21" t="s">
        <v>734</v>
      </c>
      <c r="F435" s="21" t="s">
        <v>3253</v>
      </c>
      <c r="G435" s="21" t="s">
        <v>13343</v>
      </c>
    </row>
    <row r="436" customFormat="false" ht="15" hidden="false" customHeight="false" outlineLevel="0" collapsed="false">
      <c r="B436" s="19" t="s">
        <v>13641</v>
      </c>
      <c r="C436" s="20" t="n">
        <f aca="false">ROUND(158.6/FX,2)</f>
        <v>22.03</v>
      </c>
      <c r="D436" s="21" t="s">
        <v>13620</v>
      </c>
      <c r="E436" s="21" t="s">
        <v>734</v>
      </c>
      <c r="F436" s="21" t="s">
        <v>1881</v>
      </c>
      <c r="G436" s="21" t="s">
        <v>13343</v>
      </c>
    </row>
    <row r="437" customFormat="false" ht="15" hidden="false" customHeight="false" outlineLevel="0" collapsed="false">
      <c r="B437" s="19" t="s">
        <v>13642</v>
      </c>
      <c r="C437" s="20" t="n">
        <f aca="false">ROUND(70.72/FX,2)</f>
        <v>9.82</v>
      </c>
      <c r="D437" s="21" t="s">
        <v>13620</v>
      </c>
      <c r="E437" s="21" t="s">
        <v>734</v>
      </c>
      <c r="F437" s="21" t="s">
        <v>1048</v>
      </c>
      <c r="G437" s="21" t="s">
        <v>13343</v>
      </c>
    </row>
    <row r="438" customFormat="false" ht="15" hidden="false" customHeight="false" outlineLevel="0" collapsed="false">
      <c r="B438" s="19" t="s">
        <v>13643</v>
      </c>
      <c r="C438" s="20" t="n">
        <f aca="false">ROUND(74.1/FX,2)</f>
        <v>10.29</v>
      </c>
      <c r="D438" s="21" t="s">
        <v>13620</v>
      </c>
      <c r="E438" s="21" t="s">
        <v>734</v>
      </c>
      <c r="F438" s="21" t="s">
        <v>1323</v>
      </c>
      <c r="G438" s="21" t="s">
        <v>13343</v>
      </c>
    </row>
    <row r="439" customFormat="false" ht="15" hidden="false" customHeight="false" outlineLevel="0" collapsed="false">
      <c r="B439" s="19" t="s">
        <v>13644</v>
      </c>
      <c r="C439" s="20" t="n">
        <f aca="false">ROUND(77.48/FX,2)</f>
        <v>10.76</v>
      </c>
      <c r="D439" s="21" t="s">
        <v>13620</v>
      </c>
      <c r="E439" s="21" t="s">
        <v>734</v>
      </c>
      <c r="F439" s="21" t="s">
        <v>1520</v>
      </c>
      <c r="G439" s="21" t="s">
        <v>13343</v>
      </c>
    </row>
    <row r="440" customFormat="false" ht="15" hidden="false" customHeight="false" outlineLevel="0" collapsed="false">
      <c r="B440" s="19" t="s">
        <v>13645</v>
      </c>
      <c r="C440" s="20" t="n">
        <f aca="false">ROUND(80.86/FX,2)</f>
        <v>11.23</v>
      </c>
      <c r="D440" s="21" t="s">
        <v>13620</v>
      </c>
      <c r="E440" s="21" t="s">
        <v>734</v>
      </c>
      <c r="F440" s="21" t="s">
        <v>1635</v>
      </c>
      <c r="G440" s="21" t="s">
        <v>13343</v>
      </c>
    </row>
    <row r="441" customFormat="false" ht="15" hidden="false" customHeight="false" outlineLevel="0" collapsed="false">
      <c r="B441" s="19" t="s">
        <v>13646</v>
      </c>
      <c r="C441" s="20" t="n">
        <f aca="false">ROUND(84.24/FX,2)</f>
        <v>11.7</v>
      </c>
      <c r="D441" s="21" t="s">
        <v>13620</v>
      </c>
      <c r="E441" s="21" t="s">
        <v>734</v>
      </c>
      <c r="F441" s="21" t="s">
        <v>2002</v>
      </c>
      <c r="G441" s="21" t="s">
        <v>13343</v>
      </c>
    </row>
    <row r="442" customFormat="false" ht="15" hidden="false" customHeight="false" outlineLevel="0" collapsed="false">
      <c r="B442" s="19" t="s">
        <v>13647</v>
      </c>
      <c r="C442" s="20" t="n">
        <f aca="false">ROUND(87.62/FX,2)</f>
        <v>12.17</v>
      </c>
      <c r="D442" s="21" t="s">
        <v>13620</v>
      </c>
      <c r="E442" s="21" t="s">
        <v>734</v>
      </c>
      <c r="F442" s="21" t="s">
        <v>2067</v>
      </c>
      <c r="G442" s="21" t="s">
        <v>13343</v>
      </c>
    </row>
    <row r="443" customFormat="false" ht="15" hidden="false" customHeight="false" outlineLevel="0" collapsed="false">
      <c r="B443" s="19" t="s">
        <v>13648</v>
      </c>
      <c r="C443" s="20" t="n">
        <f aca="false">ROUND(91/FX,2)</f>
        <v>12.64</v>
      </c>
      <c r="D443" s="21" t="s">
        <v>13620</v>
      </c>
      <c r="E443" s="21" t="s">
        <v>734</v>
      </c>
      <c r="F443" s="21" t="s">
        <v>2142</v>
      </c>
      <c r="G443" s="21" t="s">
        <v>13343</v>
      </c>
    </row>
    <row r="444" customFormat="false" ht="15" hidden="false" customHeight="false" outlineLevel="0" collapsed="false">
      <c r="B444" s="19" t="s">
        <v>13649</v>
      </c>
      <c r="C444" s="20" t="n">
        <f aca="false">ROUND(94.38/FX,2)</f>
        <v>13.11</v>
      </c>
      <c r="D444" s="21" t="s">
        <v>13620</v>
      </c>
      <c r="E444" s="21" t="s">
        <v>734</v>
      </c>
      <c r="F444" s="21" t="s">
        <v>2187</v>
      </c>
      <c r="G444" s="21" t="s">
        <v>13343</v>
      </c>
    </row>
    <row r="445" customFormat="false" ht="15" hidden="false" customHeight="false" outlineLevel="0" collapsed="false">
      <c r="B445" s="19" t="s">
        <v>13650</v>
      </c>
      <c r="C445" s="20" t="n">
        <f aca="false">ROUND(97.76/FX,2)</f>
        <v>13.58</v>
      </c>
      <c r="D445" s="21" t="s">
        <v>13620</v>
      </c>
      <c r="E445" s="21" t="s">
        <v>734</v>
      </c>
      <c r="F445" s="21" t="s">
        <v>2227</v>
      </c>
      <c r="G445" s="21" t="s">
        <v>13343</v>
      </c>
    </row>
    <row r="446" customFormat="false" ht="15" hidden="false" customHeight="false" outlineLevel="0" collapsed="false">
      <c r="B446" s="19" t="s">
        <v>13651</v>
      </c>
      <c r="C446" s="20" t="n">
        <f aca="false">ROUND(101.14/FX,2)</f>
        <v>14.05</v>
      </c>
      <c r="D446" s="21" t="s">
        <v>13620</v>
      </c>
      <c r="E446" s="21" t="s">
        <v>734</v>
      </c>
      <c r="F446" s="21" t="s">
        <v>2297</v>
      </c>
      <c r="G446" s="21" t="s">
        <v>13343</v>
      </c>
    </row>
    <row r="447" customFormat="false" ht="15" hidden="false" customHeight="false" outlineLevel="0" collapsed="false">
      <c r="B447" s="19" t="s">
        <v>13652</v>
      </c>
      <c r="C447" s="20" t="n">
        <f aca="false">ROUND(104.52/FX,2)</f>
        <v>14.52</v>
      </c>
      <c r="D447" s="21" t="s">
        <v>13620</v>
      </c>
      <c r="E447" s="21" t="s">
        <v>734</v>
      </c>
      <c r="F447" s="21" t="s">
        <v>2351</v>
      </c>
      <c r="G447" s="21" t="s">
        <v>13343</v>
      </c>
    </row>
    <row r="448" customFormat="false" ht="15" hidden="false" customHeight="false" outlineLevel="0" collapsed="false">
      <c r="B448" s="19" t="s">
        <v>13653</v>
      </c>
      <c r="C448" s="20" t="n">
        <f aca="false">ROUND(107.9/FX,2)</f>
        <v>14.99</v>
      </c>
      <c r="D448" s="21" t="s">
        <v>13620</v>
      </c>
      <c r="E448" s="21" t="s">
        <v>734</v>
      </c>
      <c r="F448" s="21" t="s">
        <v>2400</v>
      </c>
      <c r="G448" s="21" t="s">
        <v>13343</v>
      </c>
    </row>
    <row r="449" customFormat="false" ht="15" hidden="false" customHeight="false" outlineLevel="0" collapsed="false">
      <c r="B449" s="19" t="s">
        <v>13654</v>
      </c>
      <c r="C449" s="20" t="n">
        <f aca="false">ROUND(111.28/FX,2)</f>
        <v>15.46</v>
      </c>
      <c r="D449" s="21" t="s">
        <v>13620</v>
      </c>
      <c r="E449" s="21" t="s">
        <v>734</v>
      </c>
      <c r="F449" s="21" t="s">
        <v>2440</v>
      </c>
      <c r="G449" s="21" t="s">
        <v>13343</v>
      </c>
    </row>
    <row r="450" customFormat="false" ht="15" hidden="false" customHeight="false" outlineLevel="0" collapsed="false">
      <c r="B450" s="19" t="s">
        <v>13655</v>
      </c>
      <c r="C450" s="20" t="n">
        <f aca="false">ROUND(114.66/FX,2)</f>
        <v>15.93</v>
      </c>
      <c r="D450" s="21" t="s">
        <v>13620</v>
      </c>
      <c r="E450" s="21" t="s">
        <v>734</v>
      </c>
      <c r="F450" s="21" t="s">
        <v>2470</v>
      </c>
      <c r="G450" s="21" t="s">
        <v>13343</v>
      </c>
    </row>
    <row r="451" customFormat="false" ht="15" hidden="false" customHeight="false" outlineLevel="0" collapsed="false">
      <c r="B451" s="19" t="s">
        <v>13656</v>
      </c>
      <c r="C451" s="20" t="n">
        <f aca="false">ROUND(118.04/FX,2)</f>
        <v>16.39</v>
      </c>
      <c r="D451" s="21" t="s">
        <v>13620</v>
      </c>
      <c r="E451" s="21" t="s">
        <v>734</v>
      </c>
      <c r="F451" s="21" t="s">
        <v>2500</v>
      </c>
      <c r="G451" s="21" t="s">
        <v>13343</v>
      </c>
    </row>
    <row r="452" customFormat="false" ht="15" hidden="false" customHeight="false" outlineLevel="0" collapsed="false">
      <c r="B452" s="19" t="s">
        <v>13657</v>
      </c>
      <c r="C452" s="20" t="n">
        <f aca="false">ROUND(121.42/FX,2)</f>
        <v>16.86</v>
      </c>
      <c r="D452" s="21" t="s">
        <v>13620</v>
      </c>
      <c r="E452" s="21" t="s">
        <v>734</v>
      </c>
      <c r="F452" s="21" t="s">
        <v>2540</v>
      </c>
      <c r="G452" s="21" t="s">
        <v>13343</v>
      </c>
    </row>
    <row r="453" customFormat="false" ht="15" hidden="false" customHeight="false" outlineLevel="0" collapsed="false">
      <c r="B453" s="19" t="s">
        <v>13658</v>
      </c>
      <c r="C453" s="20" t="n">
        <f aca="false">ROUND(108/FX,2)</f>
        <v>15</v>
      </c>
      <c r="D453" s="21" t="s">
        <v>13659</v>
      </c>
      <c r="E453" s="21" t="s">
        <v>734</v>
      </c>
      <c r="F453" s="21" t="s">
        <v>13660</v>
      </c>
      <c r="G453" s="21" t="s">
        <v>13313</v>
      </c>
    </row>
    <row r="454" customFormat="false" ht="15" hidden="false" customHeight="false" outlineLevel="0" collapsed="false">
      <c r="B454" s="19" t="s">
        <v>13661</v>
      </c>
      <c r="C454" s="20" t="n">
        <f aca="false">ROUND(353.99/FX,2)</f>
        <v>49.17</v>
      </c>
      <c r="D454" s="21" t="s">
        <v>13659</v>
      </c>
      <c r="E454" s="21" t="s">
        <v>734</v>
      </c>
      <c r="F454" s="21" t="s">
        <v>13581</v>
      </c>
      <c r="G454" s="21" t="s">
        <v>13313</v>
      </c>
    </row>
    <row r="455" customFormat="false" ht="15" hidden="false" customHeight="false" outlineLevel="0" collapsed="false">
      <c r="B455" s="19" t="s">
        <v>13662</v>
      </c>
      <c r="C455" s="20" t="n">
        <f aca="false">ROUND(170.3/FX,2)</f>
        <v>23.65</v>
      </c>
      <c r="D455" s="21" t="s">
        <v>13663</v>
      </c>
      <c r="E455" s="21" t="s">
        <v>734</v>
      </c>
      <c r="F455" s="21" t="s">
        <v>1733</v>
      </c>
      <c r="G455" s="21" t="s">
        <v>13313</v>
      </c>
    </row>
    <row r="456" customFormat="false" ht="15" hidden="false" customHeight="false" outlineLevel="0" collapsed="false">
      <c r="B456" s="19" t="s">
        <v>13664</v>
      </c>
      <c r="C456" s="20" t="n">
        <f aca="false">ROUND(113.1/FX,2)</f>
        <v>15.71</v>
      </c>
      <c r="D456" s="21" t="s">
        <v>13663</v>
      </c>
      <c r="E456" s="21" t="s">
        <v>734</v>
      </c>
      <c r="F456" s="21" t="s">
        <v>1048</v>
      </c>
      <c r="G456" s="21" t="s">
        <v>13313</v>
      </c>
    </row>
    <row r="457" customFormat="false" ht="15" hidden="false" customHeight="false" outlineLevel="0" collapsed="false">
      <c r="B457" s="19" t="s">
        <v>13665</v>
      </c>
      <c r="C457" s="20" t="n">
        <f aca="false">ROUND(116.68/FX,2)</f>
        <v>16.21</v>
      </c>
      <c r="D457" s="21" t="s">
        <v>13663</v>
      </c>
      <c r="E457" s="21" t="s">
        <v>734</v>
      </c>
      <c r="F457" s="21" t="s">
        <v>1323</v>
      </c>
      <c r="G457" s="21" t="s">
        <v>13313</v>
      </c>
    </row>
    <row r="458" customFormat="false" ht="15" hidden="false" customHeight="false" outlineLevel="0" collapsed="false">
      <c r="B458" s="19" t="s">
        <v>13666</v>
      </c>
      <c r="C458" s="20" t="n">
        <f aca="false">ROUND(120.25/FX,2)</f>
        <v>16.7</v>
      </c>
      <c r="D458" s="21" t="s">
        <v>13663</v>
      </c>
      <c r="E458" s="21" t="s">
        <v>734</v>
      </c>
      <c r="F458" s="21" t="s">
        <v>1520</v>
      </c>
      <c r="G458" s="21" t="s">
        <v>13313</v>
      </c>
    </row>
    <row r="459" customFormat="false" ht="15" hidden="false" customHeight="false" outlineLevel="0" collapsed="false">
      <c r="B459" s="19" t="s">
        <v>13667</v>
      </c>
      <c r="C459" s="20" t="n">
        <f aca="false">ROUND(123.83/FX,2)</f>
        <v>17.2</v>
      </c>
      <c r="D459" s="21" t="s">
        <v>13663</v>
      </c>
      <c r="E459" s="21" t="s">
        <v>734</v>
      </c>
      <c r="F459" s="21" t="s">
        <v>1635</v>
      </c>
      <c r="G459" s="21" t="s">
        <v>13313</v>
      </c>
    </row>
    <row r="460" customFormat="false" ht="15" hidden="false" customHeight="false" outlineLevel="0" collapsed="false">
      <c r="B460" s="19" t="s">
        <v>13668</v>
      </c>
      <c r="C460" s="20" t="n">
        <f aca="false">ROUND(127.4/FX,2)</f>
        <v>17.69</v>
      </c>
      <c r="D460" s="21" t="s">
        <v>13663</v>
      </c>
      <c r="E460" s="21" t="s">
        <v>734</v>
      </c>
      <c r="F460" s="21" t="s">
        <v>2002</v>
      </c>
      <c r="G460" s="21" t="s">
        <v>13313</v>
      </c>
    </row>
    <row r="461" customFormat="false" ht="15" hidden="false" customHeight="false" outlineLevel="0" collapsed="false">
      <c r="B461" s="19" t="s">
        <v>13669</v>
      </c>
      <c r="C461" s="20" t="n">
        <f aca="false">ROUND(130.98/FX,2)</f>
        <v>18.19</v>
      </c>
      <c r="D461" s="21" t="s">
        <v>13663</v>
      </c>
      <c r="E461" s="21" t="s">
        <v>734</v>
      </c>
      <c r="F461" s="21" t="s">
        <v>2067</v>
      </c>
      <c r="G461" s="21" t="s">
        <v>13313</v>
      </c>
    </row>
    <row r="462" customFormat="false" ht="15" hidden="false" customHeight="false" outlineLevel="0" collapsed="false">
      <c r="B462" s="19" t="s">
        <v>13670</v>
      </c>
      <c r="C462" s="20" t="n">
        <f aca="false">ROUND(134.55/FX,2)</f>
        <v>18.69</v>
      </c>
      <c r="D462" s="21" t="s">
        <v>13663</v>
      </c>
      <c r="E462" s="21" t="s">
        <v>734</v>
      </c>
      <c r="F462" s="21" t="s">
        <v>2142</v>
      </c>
      <c r="G462" s="21" t="s">
        <v>13313</v>
      </c>
    </row>
    <row r="463" customFormat="false" ht="15" hidden="false" customHeight="false" outlineLevel="0" collapsed="false">
      <c r="B463" s="19" t="s">
        <v>13671</v>
      </c>
      <c r="C463" s="20" t="n">
        <f aca="false">ROUND(138.13/FX,2)</f>
        <v>19.18</v>
      </c>
      <c r="D463" s="21" t="s">
        <v>13663</v>
      </c>
      <c r="E463" s="21" t="s">
        <v>734</v>
      </c>
      <c r="F463" s="21" t="s">
        <v>2187</v>
      </c>
      <c r="G463" s="21" t="s">
        <v>13313</v>
      </c>
    </row>
    <row r="464" customFormat="false" ht="15" hidden="false" customHeight="false" outlineLevel="0" collapsed="false">
      <c r="B464" s="19" t="s">
        <v>13672</v>
      </c>
      <c r="C464" s="20" t="n">
        <f aca="false">ROUND(141.7/FX,2)</f>
        <v>19.68</v>
      </c>
      <c r="D464" s="21" t="s">
        <v>13663</v>
      </c>
      <c r="E464" s="21" t="s">
        <v>734</v>
      </c>
      <c r="F464" s="21" t="s">
        <v>2227</v>
      </c>
      <c r="G464" s="21" t="s">
        <v>13313</v>
      </c>
    </row>
    <row r="465" customFormat="false" ht="15" hidden="false" customHeight="false" outlineLevel="0" collapsed="false">
      <c r="B465" s="19" t="s">
        <v>13673</v>
      </c>
      <c r="C465" s="20" t="n">
        <f aca="false">ROUND(145.28/FX,2)</f>
        <v>20.18</v>
      </c>
      <c r="D465" s="21" t="s">
        <v>13663</v>
      </c>
      <c r="E465" s="21" t="s">
        <v>734</v>
      </c>
      <c r="F465" s="21" t="s">
        <v>2297</v>
      </c>
      <c r="G465" s="21" t="s">
        <v>13313</v>
      </c>
    </row>
    <row r="466" customFormat="false" ht="15" hidden="false" customHeight="false" outlineLevel="0" collapsed="false">
      <c r="B466" s="19" t="s">
        <v>13674</v>
      </c>
      <c r="C466" s="20" t="n">
        <f aca="false">ROUND(148.85/FX,2)</f>
        <v>20.67</v>
      </c>
      <c r="D466" s="21" t="s">
        <v>13663</v>
      </c>
      <c r="E466" s="21" t="s">
        <v>734</v>
      </c>
      <c r="F466" s="21" t="s">
        <v>2351</v>
      </c>
      <c r="G466" s="21" t="s">
        <v>13313</v>
      </c>
    </row>
    <row r="467" customFormat="false" ht="15" hidden="false" customHeight="false" outlineLevel="0" collapsed="false">
      <c r="B467" s="19" t="s">
        <v>13675</v>
      </c>
      <c r="C467" s="20" t="n">
        <f aca="false">ROUND(152.43/FX,2)</f>
        <v>21.17</v>
      </c>
      <c r="D467" s="21" t="s">
        <v>13663</v>
      </c>
      <c r="E467" s="21" t="s">
        <v>734</v>
      </c>
      <c r="F467" s="21" t="s">
        <v>2400</v>
      </c>
      <c r="G467" s="21" t="s">
        <v>13313</v>
      </c>
    </row>
    <row r="468" customFormat="false" ht="15" hidden="false" customHeight="false" outlineLevel="0" collapsed="false">
      <c r="B468" s="19" t="s">
        <v>13676</v>
      </c>
      <c r="C468" s="20" t="n">
        <f aca="false">ROUND(156/FX,2)</f>
        <v>21.67</v>
      </c>
      <c r="D468" s="21" t="s">
        <v>13663</v>
      </c>
      <c r="E468" s="21" t="s">
        <v>734</v>
      </c>
      <c r="F468" s="21" t="s">
        <v>2440</v>
      </c>
      <c r="G468" s="21" t="s">
        <v>13313</v>
      </c>
    </row>
    <row r="469" customFormat="false" ht="15" hidden="false" customHeight="false" outlineLevel="0" collapsed="false">
      <c r="B469" s="19" t="s">
        <v>13677</v>
      </c>
      <c r="C469" s="20" t="n">
        <f aca="false">ROUND(158.58/FX,2)</f>
        <v>22.03</v>
      </c>
      <c r="D469" s="21" t="s">
        <v>13663</v>
      </c>
      <c r="E469" s="21" t="s">
        <v>734</v>
      </c>
      <c r="F469" s="21" t="s">
        <v>2470</v>
      </c>
      <c r="G469" s="21" t="s">
        <v>13313</v>
      </c>
    </row>
    <row r="470" customFormat="false" ht="15" hidden="false" customHeight="false" outlineLevel="0" collapsed="false">
      <c r="B470" s="19" t="s">
        <v>13678</v>
      </c>
      <c r="C470" s="20" t="n">
        <f aca="false">ROUND(163.15/FX,2)</f>
        <v>22.66</v>
      </c>
      <c r="D470" s="21" t="s">
        <v>13663</v>
      </c>
      <c r="E470" s="21" t="s">
        <v>734</v>
      </c>
      <c r="F470" s="21" t="s">
        <v>2500</v>
      </c>
      <c r="G470" s="21" t="s">
        <v>13313</v>
      </c>
    </row>
    <row r="471" customFormat="false" ht="15" hidden="false" customHeight="false" outlineLevel="0" collapsed="false">
      <c r="B471" s="19" t="s">
        <v>13679</v>
      </c>
      <c r="C471" s="20" t="n">
        <f aca="false">ROUND(166.73/FX,2)</f>
        <v>23.16</v>
      </c>
      <c r="D471" s="21" t="s">
        <v>13663</v>
      </c>
      <c r="E471" s="21" t="s">
        <v>734</v>
      </c>
      <c r="F471" s="21" t="s">
        <v>2540</v>
      </c>
      <c r="G471" s="21" t="s">
        <v>13313</v>
      </c>
    </row>
    <row r="472" customFormat="false" ht="15" hidden="false" customHeight="false" outlineLevel="0" collapsed="false">
      <c r="B472" s="19" t="s">
        <v>13680</v>
      </c>
      <c r="C472" s="20" t="n">
        <f aca="false">ROUND(157.3/FX,2)</f>
        <v>21.85</v>
      </c>
      <c r="D472" s="21" t="s">
        <v>13663</v>
      </c>
      <c r="E472" s="21" t="s">
        <v>734</v>
      </c>
      <c r="F472" s="21" t="s">
        <v>1733</v>
      </c>
      <c r="G472" s="21" t="s">
        <v>13343</v>
      </c>
    </row>
    <row r="473" customFormat="false" ht="15" hidden="false" customHeight="false" outlineLevel="0" collapsed="false">
      <c r="B473" s="19" t="s">
        <v>13681</v>
      </c>
      <c r="C473" s="20" t="n">
        <f aca="false">ROUND(100.1/FX,2)</f>
        <v>13.9</v>
      </c>
      <c r="D473" s="21" t="s">
        <v>13663</v>
      </c>
      <c r="E473" s="21" t="s">
        <v>734</v>
      </c>
      <c r="F473" s="21" t="s">
        <v>1048</v>
      </c>
      <c r="G473" s="21" t="s">
        <v>13343</v>
      </c>
    </row>
    <row r="474" customFormat="false" ht="15" hidden="false" customHeight="false" outlineLevel="0" collapsed="false">
      <c r="B474" s="19" t="s">
        <v>13682</v>
      </c>
      <c r="C474" s="20" t="n">
        <f aca="false">ROUND(103.68/FX,2)</f>
        <v>14.4</v>
      </c>
      <c r="D474" s="21" t="s">
        <v>13663</v>
      </c>
      <c r="E474" s="21" t="s">
        <v>734</v>
      </c>
      <c r="F474" s="21" t="s">
        <v>1323</v>
      </c>
      <c r="G474" s="21" t="s">
        <v>13343</v>
      </c>
    </row>
    <row r="475" customFormat="false" ht="15" hidden="false" customHeight="false" outlineLevel="0" collapsed="false">
      <c r="B475" s="19" t="s">
        <v>13683</v>
      </c>
      <c r="C475" s="20" t="n">
        <f aca="false">ROUND(107.25/FX,2)</f>
        <v>14.9</v>
      </c>
      <c r="D475" s="21" t="s">
        <v>13663</v>
      </c>
      <c r="E475" s="21" t="s">
        <v>734</v>
      </c>
      <c r="F475" s="21" t="s">
        <v>1520</v>
      </c>
      <c r="G475" s="21" t="s">
        <v>13343</v>
      </c>
    </row>
    <row r="476" customFormat="false" ht="15" hidden="false" customHeight="false" outlineLevel="0" collapsed="false">
      <c r="B476" s="19" t="s">
        <v>13684</v>
      </c>
      <c r="C476" s="20" t="n">
        <f aca="false">ROUND(110.83/FX,2)</f>
        <v>15.39</v>
      </c>
      <c r="D476" s="21" t="s">
        <v>13663</v>
      </c>
      <c r="E476" s="21" t="s">
        <v>734</v>
      </c>
      <c r="F476" s="21" t="s">
        <v>1635</v>
      </c>
      <c r="G476" s="21" t="s">
        <v>13343</v>
      </c>
    </row>
    <row r="477" customFormat="false" ht="15" hidden="false" customHeight="false" outlineLevel="0" collapsed="false">
      <c r="B477" s="19" t="s">
        <v>13685</v>
      </c>
      <c r="C477" s="20" t="n">
        <f aca="false">ROUND(114.4/FX,2)</f>
        <v>15.89</v>
      </c>
      <c r="D477" s="21" t="s">
        <v>13663</v>
      </c>
      <c r="E477" s="21" t="s">
        <v>734</v>
      </c>
      <c r="F477" s="21" t="s">
        <v>2002</v>
      </c>
      <c r="G477" s="21" t="s">
        <v>13343</v>
      </c>
    </row>
    <row r="478" customFormat="false" ht="15" hidden="false" customHeight="false" outlineLevel="0" collapsed="false">
      <c r="B478" s="19" t="s">
        <v>13686</v>
      </c>
      <c r="C478" s="20" t="n">
        <f aca="false">ROUND(117.98/FX,2)</f>
        <v>16.39</v>
      </c>
      <c r="D478" s="21" t="s">
        <v>13663</v>
      </c>
      <c r="E478" s="21" t="s">
        <v>734</v>
      </c>
      <c r="F478" s="21" t="s">
        <v>2067</v>
      </c>
      <c r="G478" s="21" t="s">
        <v>13343</v>
      </c>
    </row>
    <row r="479" customFormat="false" ht="15" hidden="false" customHeight="false" outlineLevel="0" collapsed="false">
      <c r="B479" s="19" t="s">
        <v>13687</v>
      </c>
      <c r="C479" s="20" t="n">
        <f aca="false">ROUND(121.55/FX,2)</f>
        <v>16.88</v>
      </c>
      <c r="D479" s="21" t="s">
        <v>13663</v>
      </c>
      <c r="E479" s="21" t="s">
        <v>734</v>
      </c>
      <c r="F479" s="21" t="s">
        <v>2142</v>
      </c>
      <c r="G479" s="21" t="s">
        <v>13343</v>
      </c>
    </row>
    <row r="480" customFormat="false" ht="15" hidden="false" customHeight="false" outlineLevel="0" collapsed="false">
      <c r="B480" s="19" t="s">
        <v>13688</v>
      </c>
      <c r="C480" s="20" t="n">
        <f aca="false">ROUND(125.13/FX,2)</f>
        <v>17.38</v>
      </c>
      <c r="D480" s="21" t="s">
        <v>13663</v>
      </c>
      <c r="E480" s="21" t="s">
        <v>734</v>
      </c>
      <c r="F480" s="21" t="s">
        <v>2187</v>
      </c>
      <c r="G480" s="21" t="s">
        <v>13343</v>
      </c>
    </row>
    <row r="481" customFormat="false" ht="15" hidden="false" customHeight="false" outlineLevel="0" collapsed="false">
      <c r="B481" s="19" t="s">
        <v>13689</v>
      </c>
      <c r="C481" s="20" t="n">
        <f aca="false">ROUND(128.7/FX,2)</f>
        <v>17.88</v>
      </c>
      <c r="D481" s="21" t="s">
        <v>13663</v>
      </c>
      <c r="E481" s="21" t="s">
        <v>734</v>
      </c>
      <c r="F481" s="21" t="s">
        <v>2227</v>
      </c>
      <c r="G481" s="21" t="s">
        <v>13343</v>
      </c>
    </row>
    <row r="482" customFormat="false" ht="15" hidden="false" customHeight="false" outlineLevel="0" collapsed="false">
      <c r="B482" s="19" t="s">
        <v>13690</v>
      </c>
      <c r="C482" s="20" t="n">
        <f aca="false">ROUND(132.28/FX,2)</f>
        <v>18.37</v>
      </c>
      <c r="D482" s="21" t="s">
        <v>13663</v>
      </c>
      <c r="E482" s="21" t="s">
        <v>734</v>
      </c>
      <c r="F482" s="21" t="s">
        <v>2297</v>
      </c>
      <c r="G482" s="21" t="s">
        <v>13343</v>
      </c>
    </row>
    <row r="483" customFormat="false" ht="15" hidden="false" customHeight="false" outlineLevel="0" collapsed="false">
      <c r="B483" s="19" t="s">
        <v>13691</v>
      </c>
      <c r="C483" s="20" t="n">
        <f aca="false">ROUND(135.85/FX,2)</f>
        <v>18.87</v>
      </c>
      <c r="D483" s="21" t="s">
        <v>13663</v>
      </c>
      <c r="E483" s="21" t="s">
        <v>734</v>
      </c>
      <c r="F483" s="21" t="s">
        <v>2351</v>
      </c>
      <c r="G483" s="21" t="s">
        <v>13343</v>
      </c>
    </row>
    <row r="484" customFormat="false" ht="15" hidden="false" customHeight="false" outlineLevel="0" collapsed="false">
      <c r="B484" s="19" t="s">
        <v>13692</v>
      </c>
      <c r="C484" s="20" t="n">
        <f aca="false">ROUND(139.43/FX,2)</f>
        <v>19.37</v>
      </c>
      <c r="D484" s="21" t="s">
        <v>13663</v>
      </c>
      <c r="E484" s="21" t="s">
        <v>734</v>
      </c>
      <c r="F484" s="21" t="s">
        <v>2400</v>
      </c>
      <c r="G484" s="21" t="s">
        <v>13343</v>
      </c>
    </row>
    <row r="485" customFormat="false" ht="15" hidden="false" customHeight="false" outlineLevel="0" collapsed="false">
      <c r="B485" s="19" t="s">
        <v>13693</v>
      </c>
      <c r="C485" s="20" t="n">
        <f aca="false">ROUND(143/FX,2)</f>
        <v>19.86</v>
      </c>
      <c r="D485" s="21" t="s">
        <v>13663</v>
      </c>
      <c r="E485" s="21" t="s">
        <v>734</v>
      </c>
      <c r="F485" s="21" t="s">
        <v>2440</v>
      </c>
      <c r="G485" s="21" t="s">
        <v>13343</v>
      </c>
    </row>
    <row r="486" customFormat="false" ht="15" hidden="false" customHeight="false" outlineLevel="0" collapsed="false">
      <c r="B486" s="19" t="s">
        <v>13694</v>
      </c>
      <c r="C486" s="20" t="n">
        <f aca="false">ROUND(146.58/FX,2)</f>
        <v>20.36</v>
      </c>
      <c r="D486" s="21" t="s">
        <v>13663</v>
      </c>
      <c r="E486" s="21" t="s">
        <v>734</v>
      </c>
      <c r="F486" s="21" t="s">
        <v>2470</v>
      </c>
      <c r="G486" s="21" t="s">
        <v>13343</v>
      </c>
    </row>
    <row r="487" customFormat="false" ht="15" hidden="false" customHeight="false" outlineLevel="0" collapsed="false">
      <c r="B487" s="19" t="s">
        <v>13695</v>
      </c>
      <c r="C487" s="20" t="n">
        <f aca="false">ROUND(150.15/FX,2)</f>
        <v>20.85</v>
      </c>
      <c r="D487" s="21" t="s">
        <v>13663</v>
      </c>
      <c r="E487" s="21" t="s">
        <v>734</v>
      </c>
      <c r="F487" s="21" t="s">
        <v>2500</v>
      </c>
      <c r="G487" s="21" t="s">
        <v>13343</v>
      </c>
    </row>
    <row r="488" customFormat="false" ht="15" hidden="false" customHeight="false" outlineLevel="0" collapsed="false">
      <c r="B488" s="19" t="s">
        <v>13696</v>
      </c>
      <c r="C488" s="20" t="n">
        <f aca="false">ROUND(153.73/FX,2)</f>
        <v>21.35</v>
      </c>
      <c r="D488" s="21" t="s">
        <v>13663</v>
      </c>
      <c r="E488" s="21" t="s">
        <v>734</v>
      </c>
      <c r="F488" s="21" t="s">
        <v>2540</v>
      </c>
      <c r="G488" s="21" t="s">
        <v>13343</v>
      </c>
    </row>
    <row r="489" customFormat="false" ht="15" hidden="false" customHeight="false" outlineLevel="0" collapsed="false">
      <c r="B489" s="19" t="s">
        <v>13697</v>
      </c>
      <c r="C489" s="20" t="n">
        <f aca="false">ROUND(422.5/FX,2)</f>
        <v>58.68</v>
      </c>
      <c r="D489" s="21" t="s">
        <v>13698</v>
      </c>
      <c r="E489" s="21" t="s">
        <v>734</v>
      </c>
      <c r="F489" s="21" t="s">
        <v>1924</v>
      </c>
      <c r="G489" s="21" t="s">
        <v>13313</v>
      </c>
    </row>
    <row r="490" customFormat="false" ht="15" hidden="false" customHeight="false" outlineLevel="0" collapsed="false">
      <c r="B490" s="19" t="s">
        <v>13699</v>
      </c>
      <c r="C490" s="20" t="n">
        <f aca="false">ROUND(388.7/FX,2)</f>
        <v>53.99</v>
      </c>
      <c r="D490" s="21" t="s">
        <v>13698</v>
      </c>
      <c r="E490" s="21" t="s">
        <v>734</v>
      </c>
      <c r="F490" s="21" t="s">
        <v>1924</v>
      </c>
      <c r="G490" s="21" t="s">
        <v>13343</v>
      </c>
    </row>
    <row r="493" customFormat="false" ht="61.5" hidden="false" customHeight="true" outlineLevel="0" collapsed="false">
      <c r="A493" s="9"/>
      <c r="B493" s="10" t="s">
        <v>13700</v>
      </c>
      <c r="C493" s="10"/>
      <c r="D493" s="10"/>
      <c r="E493" s="10"/>
      <c r="F493" s="10"/>
    </row>
    <row r="494" customFormat="false" ht="15" hidden="false" customHeight="false" outlineLevel="0" collapsed="false">
      <c r="A494" s="12" t="s">
        <v>700</v>
      </c>
      <c r="B494" s="13" t="s">
        <v>701</v>
      </c>
      <c r="C494" s="13" t="s">
        <v>702</v>
      </c>
      <c r="D494" s="13" t="s">
        <v>723</v>
      </c>
      <c r="E494" s="13" t="s">
        <v>6523</v>
      </c>
      <c r="F494" s="13" t="s">
        <v>13701</v>
      </c>
    </row>
    <row r="495" customFormat="false" ht="30" hidden="false" customHeight="true" outlineLevel="0" collapsed="false">
      <c r="A495" s="14" t="s">
        <v>706</v>
      </c>
      <c r="B495" s="15" t="str">
        <f aca="false">IF(COUNTIFS($D$498:$D$509,IF(D495="","*",D495),$E$498:$E$509,IF(E495="","*",E495),$F$498:$F$509,IF(F495="","*",F495))=1,INDEX($B:$B,SUMPRODUCT(((D495="")+($D$498:$D$509=D495)&gt;0)*((E495="")+($E$498:$E$509=E495)&gt;0)*((F495="")+($F$498:$F$509=F495)&gt;0)*ROW($B$498:$B$509))),IF(COUNTIFS($D$498:$D$509,IF(D495="","*",D495),$E$498:$E$509,IF(E495="","*",E495),$F$498:$F$509,IF(F495="","*",F495))=0,"Not available",COUNTIFS($D$498:$D$509,IF(D495="","*",D495),$E$498:$E$509,IF(E495="","*",E495),$F$498:$F$509,IF(F495="","*",F495))&amp;" match, keep choosing"))</f>
        <v>RL-023-12x42x19-SG35</v>
      </c>
      <c r="C495" s="16" t="n">
        <f aca="false">IF(COUNTIFS($D$498:$D$509,IF(D495="","*",D495),$E$498:$E$509,IF(E495="","*",E495),$F$498:$F$509,IF(F495="","*",F495))=1,INDEX($C:$C,SUMPRODUCT(((D495="")+($D$498:$D$509=D495)&gt;0)*((E495="")+($E$498:$E$509=E495)&gt;0)*((F495="")+($F$498:$F$509=F495)&gt;0)*ROW($B$498:$B$509))),"")</f>
        <v>1.44</v>
      </c>
      <c r="D495" s="17" t="s">
        <v>13702</v>
      </c>
      <c r="E495" s="17" t="s">
        <v>13703</v>
      </c>
      <c r="F495" s="17" t="s">
        <v>6336</v>
      </c>
    </row>
    <row r="497" customFormat="false" ht="15" hidden="false" customHeight="false" outlineLevel="0" collapsed="false">
      <c r="B497" s="18" t="s">
        <v>701</v>
      </c>
      <c r="C497" s="18" t="s">
        <v>702</v>
      </c>
      <c r="D497" s="18" t="s">
        <v>723</v>
      </c>
      <c r="E497" s="18" t="s">
        <v>6523</v>
      </c>
      <c r="F497" s="18" t="s">
        <v>13701</v>
      </c>
    </row>
    <row r="498" customFormat="false" ht="15" hidden="false" customHeight="false" outlineLevel="0" collapsed="false">
      <c r="B498" s="19" t="s">
        <v>13704</v>
      </c>
      <c r="C498" s="20" t="n">
        <f aca="false">ROUND(10.4/FX,2)</f>
        <v>1.44</v>
      </c>
      <c r="D498" s="21" t="s">
        <v>13702</v>
      </c>
      <c r="E498" s="21" t="s">
        <v>13703</v>
      </c>
      <c r="F498" s="21" t="s">
        <v>6336</v>
      </c>
    </row>
    <row r="499" customFormat="false" ht="15" hidden="false" customHeight="false" outlineLevel="0" collapsed="false">
      <c r="B499" s="19" t="s">
        <v>13705</v>
      </c>
      <c r="C499" s="20" t="n">
        <f aca="false">ROUND(2.47/FX,2)</f>
        <v>0.34</v>
      </c>
      <c r="D499" s="21" t="s">
        <v>13706</v>
      </c>
      <c r="E499" s="21" t="s">
        <v>13707</v>
      </c>
      <c r="F499" s="21" t="s">
        <v>6336</v>
      </c>
    </row>
    <row r="500" customFormat="false" ht="15" hidden="false" customHeight="false" outlineLevel="0" collapsed="false">
      <c r="B500" s="19" t="s">
        <v>13708</v>
      </c>
      <c r="C500" s="20" t="n">
        <f aca="false">ROUND(6.28/FX,2)</f>
        <v>0.87</v>
      </c>
      <c r="D500" s="21" t="s">
        <v>13709</v>
      </c>
      <c r="E500" s="21" t="s">
        <v>13710</v>
      </c>
      <c r="F500" s="21" t="s">
        <v>6336</v>
      </c>
    </row>
    <row r="501" customFormat="false" ht="15" hidden="false" customHeight="false" outlineLevel="0" collapsed="false">
      <c r="B501" s="19" t="s">
        <v>13711</v>
      </c>
      <c r="C501" s="20" t="n">
        <f aca="false">ROUND(7.4/FX,2)</f>
        <v>1.03</v>
      </c>
      <c r="D501" s="21" t="s">
        <v>13712</v>
      </c>
      <c r="E501" s="21" t="s">
        <v>13713</v>
      </c>
      <c r="F501" s="21" t="s">
        <v>6336</v>
      </c>
    </row>
    <row r="502" customFormat="false" ht="15" hidden="false" customHeight="false" outlineLevel="0" collapsed="false">
      <c r="B502" s="19" t="s">
        <v>13714</v>
      </c>
      <c r="C502" s="20" t="n">
        <f aca="false">ROUND(1.3/FX,2)</f>
        <v>0.18</v>
      </c>
      <c r="D502" s="21" t="s">
        <v>13715</v>
      </c>
      <c r="E502" s="21" t="s">
        <v>6336</v>
      </c>
      <c r="F502" s="21" t="s">
        <v>6336</v>
      </c>
    </row>
    <row r="503" customFormat="false" ht="15" hidden="false" customHeight="false" outlineLevel="0" collapsed="false">
      <c r="B503" s="19" t="s">
        <v>13716</v>
      </c>
      <c r="C503" s="20" t="n">
        <f aca="false">ROUND(0.85/FX,2)</f>
        <v>0.12</v>
      </c>
      <c r="D503" s="21" t="s">
        <v>13717</v>
      </c>
      <c r="E503" s="21" t="s">
        <v>6336</v>
      </c>
      <c r="F503" s="21" t="s">
        <v>13718</v>
      </c>
    </row>
    <row r="504" customFormat="false" ht="15" hidden="false" customHeight="false" outlineLevel="0" collapsed="false">
      <c r="B504" s="19" t="s">
        <v>13719</v>
      </c>
      <c r="C504" s="20" t="n">
        <f aca="false">ROUND(1.69/FX,2)</f>
        <v>0.23</v>
      </c>
      <c r="D504" s="21" t="s">
        <v>13720</v>
      </c>
      <c r="E504" s="21" t="s">
        <v>6336</v>
      </c>
      <c r="F504" s="21" t="s">
        <v>6336</v>
      </c>
    </row>
    <row r="505" customFormat="false" ht="15" hidden="false" customHeight="false" outlineLevel="0" collapsed="false">
      <c r="B505" s="19" t="s">
        <v>13721</v>
      </c>
      <c r="C505" s="20" t="n">
        <f aca="false">ROUND(1.35/FX,2)</f>
        <v>0.19</v>
      </c>
      <c r="D505" s="21" t="s">
        <v>13717</v>
      </c>
      <c r="E505" s="21" t="s">
        <v>6336</v>
      </c>
      <c r="F505" s="21" t="s">
        <v>13722</v>
      </c>
    </row>
    <row r="506" customFormat="false" ht="15" hidden="false" customHeight="false" outlineLevel="0" collapsed="false">
      <c r="B506" s="19" t="s">
        <v>13723</v>
      </c>
      <c r="C506" s="20" t="n">
        <f aca="false">ROUND(1.3/FX,2)</f>
        <v>0.18</v>
      </c>
      <c r="D506" s="21" t="s">
        <v>13717</v>
      </c>
      <c r="E506" s="21" t="s">
        <v>6336</v>
      </c>
      <c r="F506" s="21" t="s">
        <v>13724</v>
      </c>
    </row>
    <row r="507" customFormat="false" ht="41.75" hidden="false" customHeight="false" outlineLevel="0" collapsed="false">
      <c r="B507" s="19" t="s">
        <v>13725</v>
      </c>
      <c r="C507" s="20" t="n">
        <f aca="false">ROUND(6.25/FX,2)</f>
        <v>0.87</v>
      </c>
      <c r="D507" s="21" t="s">
        <v>13726</v>
      </c>
      <c r="E507" s="21" t="s">
        <v>6336</v>
      </c>
      <c r="F507" s="21" t="s">
        <v>6336</v>
      </c>
    </row>
    <row r="508" customFormat="false" ht="41.75" hidden="false" customHeight="false" outlineLevel="0" collapsed="false">
      <c r="B508" s="19" t="s">
        <v>13727</v>
      </c>
      <c r="C508" s="20" t="n">
        <f aca="false">ROUND(9.8/FX,2)</f>
        <v>1.36</v>
      </c>
      <c r="D508" s="21" t="s">
        <v>13728</v>
      </c>
      <c r="E508" s="21" t="s">
        <v>6336</v>
      </c>
      <c r="F508" s="21" t="s">
        <v>6336</v>
      </c>
    </row>
    <row r="509" customFormat="false" ht="15" hidden="false" customHeight="false" outlineLevel="0" collapsed="false">
      <c r="B509" s="19" t="s">
        <v>13729</v>
      </c>
      <c r="C509" s="20" t="n">
        <f aca="false">ROUND(11.44/FX,2)</f>
        <v>1.59</v>
      </c>
      <c r="D509" s="21" t="s">
        <v>13730</v>
      </c>
      <c r="E509" s="21" t="s">
        <v>6336</v>
      </c>
      <c r="F509" s="21" t="s">
        <v>6336</v>
      </c>
    </row>
    <row r="512" customFormat="false" ht="61.5" hidden="false" customHeight="true" outlineLevel="0" collapsed="false">
      <c r="A512" s="9"/>
      <c r="B512" s="10" t="s">
        <v>13731</v>
      </c>
      <c r="C512" s="10"/>
      <c r="D512" s="10"/>
      <c r="E512" s="10"/>
      <c r="F512" s="10"/>
    </row>
    <row r="513" customFormat="false" ht="15" hidden="false" customHeight="false" outlineLevel="0" collapsed="false">
      <c r="A513" s="12" t="s">
        <v>700</v>
      </c>
      <c r="B513" s="13" t="s">
        <v>701</v>
      </c>
      <c r="C513" s="13" t="s">
        <v>702</v>
      </c>
      <c r="D513" s="13" t="s">
        <v>705</v>
      </c>
      <c r="E513" s="13" t="s">
        <v>723</v>
      </c>
      <c r="F513" s="13" t="s">
        <v>6523</v>
      </c>
    </row>
    <row r="514" customFormat="false" ht="30" hidden="false" customHeight="true" outlineLevel="0" collapsed="false">
      <c r="A514" s="14" t="s">
        <v>706</v>
      </c>
      <c r="B514" s="15" t="str">
        <f aca="false">IF(COUNTIFS($D$517:$D$519,IF(D514="","*",D514),$E$517:$E$519,IF(E514="","*",E514),$F$517:$F$519,IF(F514="","*",F514))=1,INDEX($B:$B,SUMPRODUCT(((D514="")+($D$517:$D$519=D514)&gt;0)*((E514="")+($E$517:$E$519=E514)&gt;0)*((F514="")+($F$517:$F$519=F514)&gt;0)*ROW($B$517:$B$519))),IF(COUNTIFS($D$517:$D$519,IF(D514="","*",D514),$E$517:$E$519,IF(E514="","*",E514),$F$517:$F$519,IF(F514="","*",F514))=0,"Not available",COUNTIFS($D$517:$D$519,IF(D514="","*",D514),$E$517:$E$519,IF(E514="","*",E514),$F$517:$F$519,IF(F514="","*",F514))&amp;" match, keep choosing"))</f>
        <v>RL-044-4x12x4-U604ZZ</v>
      </c>
      <c r="C514" s="16" t="n">
        <f aca="false">IF(COUNTIFS($D$517:$D$519,IF(D514="","*",D514),$E$517:$E$519,IF(E514="","*",E514),$F$517:$F$519,IF(F514="","*",F514))=1,INDEX($C:$C,SUMPRODUCT(((D514="")+($D$517:$D$519=D514)&gt;0)*((E514="")+($E$517:$E$519=E514)&gt;0)*((F514="")+($F$517:$F$519=F514)&gt;0)*ROW($B$517:$B$519))),"")</f>
        <v>0.18</v>
      </c>
      <c r="D514" s="17" t="s">
        <v>13732</v>
      </c>
      <c r="E514" s="17" t="s">
        <v>13733</v>
      </c>
      <c r="F514" s="17" t="s">
        <v>13734</v>
      </c>
    </row>
    <row r="516" customFormat="false" ht="15" hidden="false" customHeight="false" outlineLevel="0" collapsed="false">
      <c r="B516" s="18" t="s">
        <v>701</v>
      </c>
      <c r="C516" s="18" t="s">
        <v>702</v>
      </c>
      <c r="D516" s="18" t="s">
        <v>705</v>
      </c>
      <c r="E516" s="18" t="s">
        <v>723</v>
      </c>
      <c r="F516" s="18" t="s">
        <v>6523</v>
      </c>
    </row>
    <row r="517" customFormat="false" ht="15" hidden="false" customHeight="false" outlineLevel="0" collapsed="false">
      <c r="B517" s="19" t="s">
        <v>13735</v>
      </c>
      <c r="C517" s="20" t="n">
        <f aca="false">ROUND(1.26/FX,2)</f>
        <v>0.18</v>
      </c>
      <c r="D517" s="21" t="s">
        <v>13732</v>
      </c>
      <c r="E517" s="21" t="s">
        <v>13733</v>
      </c>
      <c r="F517" s="21" t="s">
        <v>13734</v>
      </c>
    </row>
    <row r="518" customFormat="false" ht="15" hidden="false" customHeight="false" outlineLevel="0" collapsed="false">
      <c r="B518" s="19" t="s">
        <v>13736</v>
      </c>
      <c r="C518" s="20" t="n">
        <f aca="false">ROUND(1.26/FX,2)</f>
        <v>0.18</v>
      </c>
      <c r="D518" s="21" t="s">
        <v>13732</v>
      </c>
      <c r="E518" s="21" t="s">
        <v>13733</v>
      </c>
      <c r="F518" s="21" t="s">
        <v>13737</v>
      </c>
    </row>
    <row r="519" customFormat="false" ht="15" hidden="false" customHeight="false" outlineLevel="0" collapsed="false">
      <c r="B519" s="19" t="s">
        <v>13738</v>
      </c>
      <c r="C519" s="20" t="n">
        <f aca="false">ROUND(1.18/FX,2)</f>
        <v>0.16</v>
      </c>
      <c r="D519" s="21" t="s">
        <v>13739</v>
      </c>
      <c r="E519" s="21" t="s">
        <v>13740</v>
      </c>
      <c r="F519" s="21" t="s">
        <v>13741</v>
      </c>
    </row>
    <row r="522" customFormat="false" ht="61.5" hidden="false" customHeight="true" outlineLevel="0" collapsed="false">
      <c r="A522" s="9"/>
      <c r="B522" s="10" t="s">
        <v>13742</v>
      </c>
      <c r="C522" s="10"/>
      <c r="D522" s="10"/>
      <c r="E522" s="10"/>
      <c r="F522" s="10"/>
    </row>
    <row r="523" customFormat="false" ht="15" hidden="false" customHeight="false" outlineLevel="0" collapsed="false">
      <c r="A523" s="12" t="s">
        <v>700</v>
      </c>
      <c r="B523" s="13" t="s">
        <v>701</v>
      </c>
      <c r="C523" s="13" t="s">
        <v>702</v>
      </c>
      <c r="D523" s="13" t="s">
        <v>705</v>
      </c>
      <c r="E523" s="13" t="s">
        <v>6355</v>
      </c>
      <c r="F523" s="13" t="s">
        <v>11716</v>
      </c>
    </row>
    <row r="524" customFormat="false" ht="30" hidden="false" customHeight="true" outlineLevel="0" collapsed="false">
      <c r="A524" s="14" t="s">
        <v>706</v>
      </c>
      <c r="B524" s="15" t="str">
        <f aca="false">IF(COUNTIFS($D$527:$D$1004,IF(D524="","*",D524),$E$527:$E$1004,IF(E524="","*",E524),$F$527:$F$1004,IF(F524="","*",F524))=1,INDEX($B:$B,SUMPRODUCT(((D524="")+($D$527:$D$1004=D524)&gt;0)*((E524="")+($E$527:$E$1004=E524)&gt;0)*((F524="")+($F$527:$F$1004=F524)&gt;0)*ROW($B$527:$B$1004))),IF(COUNTIFS($D$527:$D$1004,IF(D524="","*",D524),$E$527:$E$1004,IF(E524="","*",E524),$F$527:$F$1004,IF(F524="","*",F524))=0,"Not available",COUNTIFS($D$527:$D$1004,IF(D524="","*",D524),$E$527:$E$1004,IF(E524="","*",E524),$F$527:$F$1004,IF(F524="","*",F524))&amp;" match, keep choosing"))</f>
        <v>WCS-10-10-P5</v>
      </c>
      <c r="C524" s="16" t="n">
        <f aca="false">IF(COUNTIFS($D$527:$D$1004,IF(D524="","*",D524),$E$527:$E$1004,IF(E524="","*",E524),$F$527:$F$1004,IF(F524="","*",F524))=1,INDEX($C:$C,SUMPRODUCT(((D524="")+($D$527:$D$1004=D524)&gt;0)*((E524="")+($E$527:$E$1004=E524)&gt;0)*((F524="")+($F$527:$F$1004=F524)&gt;0)*ROW($B$527:$B$1004))),"")</f>
        <v>0.16</v>
      </c>
      <c r="D524" s="17" t="s">
        <v>13743</v>
      </c>
      <c r="E524" s="17" t="s">
        <v>707</v>
      </c>
      <c r="F524" s="17" t="s">
        <v>707</v>
      </c>
    </row>
    <row r="526" customFormat="false" ht="15" hidden="false" customHeight="false" outlineLevel="0" collapsed="false">
      <c r="B526" s="18" t="s">
        <v>701</v>
      </c>
      <c r="C526" s="18" t="s">
        <v>702</v>
      </c>
      <c r="D526" s="18" t="s">
        <v>705</v>
      </c>
      <c r="E526" s="18" t="s">
        <v>6355</v>
      </c>
      <c r="F526" s="18" t="s">
        <v>11716</v>
      </c>
    </row>
    <row r="527" customFormat="false" ht="15" hidden="false" customHeight="false" outlineLevel="0" collapsed="false">
      <c r="B527" s="19" t="s">
        <v>13744</v>
      </c>
      <c r="C527" s="20" t="n">
        <f aca="false">ROUND(1.17/FX,2)</f>
        <v>0.16</v>
      </c>
      <c r="D527" s="21" t="s">
        <v>13743</v>
      </c>
      <c r="E527" s="21" t="s">
        <v>707</v>
      </c>
      <c r="F527" s="21" t="s">
        <v>707</v>
      </c>
    </row>
    <row r="528" customFormat="false" ht="15" hidden="false" customHeight="false" outlineLevel="0" collapsed="false">
      <c r="B528" s="19" t="s">
        <v>13745</v>
      </c>
      <c r="C528" s="20" t="n">
        <f aca="false">ROUND(2.86/FX,2)</f>
        <v>0.4</v>
      </c>
      <c r="D528" s="21" t="s">
        <v>13732</v>
      </c>
      <c r="E528" s="21" t="s">
        <v>707</v>
      </c>
      <c r="F528" s="21" t="s">
        <v>2600</v>
      </c>
    </row>
    <row r="529" customFormat="false" ht="15" hidden="false" customHeight="false" outlineLevel="0" collapsed="false">
      <c r="B529" s="19" t="s">
        <v>13746</v>
      </c>
      <c r="C529" s="20" t="n">
        <f aca="false">ROUND(16.9/FX,2)</f>
        <v>2.35</v>
      </c>
      <c r="D529" s="21" t="s">
        <v>13732</v>
      </c>
      <c r="E529" s="21" t="s">
        <v>707</v>
      </c>
      <c r="F529" s="21" t="s">
        <v>1733</v>
      </c>
    </row>
    <row r="530" customFormat="false" ht="15" hidden="false" customHeight="false" outlineLevel="0" collapsed="false">
      <c r="B530" s="19" t="s">
        <v>13747</v>
      </c>
      <c r="C530" s="20" t="n">
        <f aca="false">ROUND(17.21/FX,2)</f>
        <v>2.39</v>
      </c>
      <c r="D530" s="21" t="s">
        <v>13732</v>
      </c>
      <c r="E530" s="21" t="s">
        <v>707</v>
      </c>
      <c r="F530" s="21" t="s">
        <v>12208</v>
      </c>
    </row>
    <row r="531" customFormat="false" ht="15" hidden="false" customHeight="false" outlineLevel="0" collapsed="false">
      <c r="B531" s="19" t="s">
        <v>13748</v>
      </c>
      <c r="C531" s="20" t="n">
        <f aca="false">ROUND(1.82/FX,2)</f>
        <v>0.25</v>
      </c>
      <c r="D531" s="21" t="s">
        <v>13739</v>
      </c>
      <c r="E531" s="21" t="s">
        <v>707</v>
      </c>
      <c r="F531" s="21" t="s">
        <v>5091</v>
      </c>
    </row>
    <row r="532" customFormat="false" ht="15" hidden="false" customHeight="false" outlineLevel="0" collapsed="false">
      <c r="B532" s="19" t="s">
        <v>13749</v>
      </c>
      <c r="C532" s="20" t="n">
        <f aca="false">ROUND(3.02/FX,2)</f>
        <v>0.42</v>
      </c>
      <c r="D532" s="21" t="s">
        <v>13732</v>
      </c>
      <c r="E532" s="21" t="s">
        <v>707</v>
      </c>
      <c r="F532" s="21" t="s">
        <v>2651</v>
      </c>
    </row>
    <row r="533" customFormat="false" ht="15" hidden="false" customHeight="false" outlineLevel="0" collapsed="false">
      <c r="B533" s="19" t="s">
        <v>13750</v>
      </c>
      <c r="C533" s="20" t="n">
        <f aca="false">ROUND(1.09/FX,2)</f>
        <v>0.15</v>
      </c>
      <c r="D533" s="21" t="s">
        <v>13751</v>
      </c>
      <c r="E533" s="21" t="s">
        <v>707</v>
      </c>
      <c r="F533" s="21" t="s">
        <v>761</v>
      </c>
    </row>
    <row r="534" customFormat="false" ht="15" hidden="false" customHeight="false" outlineLevel="0" collapsed="false">
      <c r="B534" s="19" t="s">
        <v>13752</v>
      </c>
      <c r="C534" s="20" t="n">
        <f aca="false">ROUND(3.17/FX,2)</f>
        <v>0.44</v>
      </c>
      <c r="D534" s="21" t="s">
        <v>13732</v>
      </c>
      <c r="E534" s="21" t="s">
        <v>707</v>
      </c>
      <c r="F534" s="21" t="s">
        <v>2701</v>
      </c>
    </row>
    <row r="535" customFormat="false" ht="15" hidden="false" customHeight="false" outlineLevel="0" collapsed="false">
      <c r="B535" s="19" t="s">
        <v>13753</v>
      </c>
      <c r="C535" s="20" t="n">
        <f aca="false">ROUND(1.3/FX,2)</f>
        <v>0.18</v>
      </c>
      <c r="D535" s="21" t="s">
        <v>13739</v>
      </c>
      <c r="E535" s="21" t="s">
        <v>707</v>
      </c>
      <c r="F535" s="21" t="s">
        <v>4761</v>
      </c>
    </row>
    <row r="536" customFormat="false" ht="15" hidden="false" customHeight="false" outlineLevel="0" collapsed="false">
      <c r="B536" s="19" t="s">
        <v>13754</v>
      </c>
      <c r="C536" s="20" t="n">
        <f aca="false">ROUND(1.13/FX,2)</f>
        <v>0.16</v>
      </c>
      <c r="D536" s="21" t="s">
        <v>13751</v>
      </c>
      <c r="E536" s="21" t="s">
        <v>707</v>
      </c>
      <c r="F536" s="21" t="s">
        <v>4721</v>
      </c>
    </row>
    <row r="537" customFormat="false" ht="15" hidden="false" customHeight="false" outlineLevel="0" collapsed="false">
      <c r="B537" s="19" t="s">
        <v>13755</v>
      </c>
      <c r="C537" s="20" t="n">
        <f aca="false">ROUND(3.48/FX,2)</f>
        <v>0.48</v>
      </c>
      <c r="D537" s="21" t="s">
        <v>13732</v>
      </c>
      <c r="E537" s="21" t="s">
        <v>707</v>
      </c>
      <c r="F537" s="21" t="s">
        <v>2801</v>
      </c>
    </row>
    <row r="538" customFormat="false" ht="15" hidden="false" customHeight="false" outlineLevel="0" collapsed="false">
      <c r="B538" s="19" t="s">
        <v>13756</v>
      </c>
      <c r="C538" s="20" t="n">
        <f aca="false">ROUND(1.13/FX,2)</f>
        <v>0.16</v>
      </c>
      <c r="D538" s="21" t="s">
        <v>13751</v>
      </c>
      <c r="E538" s="21" t="s">
        <v>707</v>
      </c>
      <c r="F538" s="21" t="s">
        <v>714</v>
      </c>
    </row>
    <row r="539" customFormat="false" ht="15" hidden="false" customHeight="false" outlineLevel="0" collapsed="false">
      <c r="B539" s="19" t="s">
        <v>13757</v>
      </c>
      <c r="C539" s="20" t="n">
        <f aca="false">ROUND(3.64/FX,2)</f>
        <v>0.51</v>
      </c>
      <c r="D539" s="21" t="s">
        <v>13732</v>
      </c>
      <c r="E539" s="21" t="s">
        <v>707</v>
      </c>
      <c r="F539" s="21" t="s">
        <v>2851</v>
      </c>
    </row>
    <row r="540" customFormat="false" ht="15" hidden="false" customHeight="false" outlineLevel="0" collapsed="false">
      <c r="B540" s="19" t="s">
        <v>13758</v>
      </c>
      <c r="C540" s="20" t="n">
        <f aca="false">ROUND(25.01/FX,2)</f>
        <v>3.47</v>
      </c>
      <c r="D540" s="21" t="s">
        <v>13732</v>
      </c>
      <c r="E540" s="21" t="s">
        <v>707</v>
      </c>
      <c r="F540" s="21" t="s">
        <v>1894</v>
      </c>
    </row>
    <row r="541" customFormat="false" ht="15" hidden="false" customHeight="false" outlineLevel="0" collapsed="false">
      <c r="B541" s="19" t="s">
        <v>13759</v>
      </c>
      <c r="C541" s="20" t="n">
        <f aca="false">ROUND(1.01/FX,2)</f>
        <v>0.14</v>
      </c>
      <c r="D541" s="21" t="s">
        <v>13751</v>
      </c>
      <c r="E541" s="21" t="s">
        <v>707</v>
      </c>
      <c r="F541" s="21" t="s">
        <v>3833</v>
      </c>
    </row>
    <row r="542" customFormat="false" ht="15" hidden="false" customHeight="false" outlineLevel="0" collapsed="false">
      <c r="B542" s="19" t="s">
        <v>13760</v>
      </c>
      <c r="C542" s="20" t="n">
        <f aca="false">ROUND(1.56/FX,2)</f>
        <v>0.22</v>
      </c>
      <c r="D542" s="21" t="s">
        <v>13739</v>
      </c>
      <c r="E542" s="21" t="s">
        <v>707</v>
      </c>
      <c r="F542" s="21" t="s">
        <v>5492</v>
      </c>
    </row>
    <row r="543" customFormat="false" ht="15" hidden="false" customHeight="false" outlineLevel="0" collapsed="false">
      <c r="B543" s="19" t="s">
        <v>13761</v>
      </c>
      <c r="C543" s="20" t="n">
        <f aca="false">ROUND(3.95/FX,2)</f>
        <v>0.55</v>
      </c>
      <c r="D543" s="21" t="s">
        <v>13732</v>
      </c>
      <c r="E543" s="21" t="s">
        <v>707</v>
      </c>
      <c r="F543" s="21" t="s">
        <v>883</v>
      </c>
    </row>
    <row r="544" customFormat="false" ht="15" hidden="false" customHeight="false" outlineLevel="0" collapsed="false">
      <c r="B544" s="19" t="s">
        <v>13762</v>
      </c>
      <c r="C544" s="20" t="n">
        <f aca="false">ROUND(1.25/FX,2)</f>
        <v>0.17</v>
      </c>
      <c r="D544" s="21" t="s">
        <v>13751</v>
      </c>
      <c r="E544" s="21" t="s">
        <v>707</v>
      </c>
      <c r="F544" s="21" t="s">
        <v>4000</v>
      </c>
    </row>
    <row r="545" customFormat="false" ht="15" hidden="false" customHeight="false" outlineLevel="0" collapsed="false">
      <c r="B545" s="19" t="s">
        <v>13763</v>
      </c>
      <c r="C545" s="20" t="n">
        <f aca="false">ROUND(1.21/FX,2)</f>
        <v>0.17</v>
      </c>
      <c r="D545" s="21" t="s">
        <v>13751</v>
      </c>
      <c r="E545" s="21" t="s">
        <v>707</v>
      </c>
      <c r="F545" s="21" t="s">
        <v>3247</v>
      </c>
    </row>
    <row r="546" customFormat="false" ht="15" hidden="false" customHeight="false" outlineLevel="0" collapsed="false">
      <c r="B546" s="19" t="s">
        <v>13764</v>
      </c>
      <c r="C546" s="20" t="n">
        <f aca="false">ROUND(4.42/FX,2)</f>
        <v>0.61</v>
      </c>
      <c r="D546" s="21" t="s">
        <v>13732</v>
      </c>
      <c r="E546" s="21" t="s">
        <v>707</v>
      </c>
      <c r="F546" s="21" t="s">
        <v>1048</v>
      </c>
    </row>
    <row r="547" customFormat="false" ht="15" hidden="false" customHeight="false" outlineLevel="0" collapsed="false">
      <c r="B547" s="19" t="s">
        <v>13765</v>
      </c>
      <c r="C547" s="20" t="n">
        <f aca="false">ROUND(19.1/FX,2)</f>
        <v>2.65</v>
      </c>
      <c r="D547" s="21" t="s">
        <v>13732</v>
      </c>
      <c r="E547" s="21" t="s">
        <v>707</v>
      </c>
      <c r="F547" s="21" t="s">
        <v>1924</v>
      </c>
    </row>
    <row r="548" customFormat="false" ht="15" hidden="false" customHeight="false" outlineLevel="0" collapsed="false">
      <c r="B548" s="19" t="s">
        <v>13766</v>
      </c>
      <c r="C548" s="20" t="n">
        <f aca="false">ROUND(4.65/FX,2)</f>
        <v>0.65</v>
      </c>
      <c r="D548" s="21" t="s">
        <v>13732</v>
      </c>
      <c r="E548" s="21" t="s">
        <v>707</v>
      </c>
      <c r="F548" s="21" t="s">
        <v>4793</v>
      </c>
    </row>
    <row r="549" customFormat="false" ht="15" hidden="false" customHeight="false" outlineLevel="0" collapsed="false">
      <c r="B549" s="19" t="s">
        <v>13767</v>
      </c>
      <c r="C549" s="20" t="n">
        <f aca="false">ROUND(1.01/FX,2)</f>
        <v>0.14</v>
      </c>
      <c r="D549" s="21" t="s">
        <v>13739</v>
      </c>
      <c r="E549" s="21" t="s">
        <v>707</v>
      </c>
      <c r="F549" s="21" t="s">
        <v>5097</v>
      </c>
    </row>
    <row r="550" customFormat="false" ht="15" hidden="false" customHeight="false" outlineLevel="0" collapsed="false">
      <c r="B550" s="19" t="s">
        <v>13768</v>
      </c>
      <c r="C550" s="20" t="n">
        <f aca="false">ROUND(1.82/FX,2)</f>
        <v>0.25</v>
      </c>
      <c r="D550" s="21" t="s">
        <v>13739</v>
      </c>
      <c r="E550" s="21" t="s">
        <v>707</v>
      </c>
      <c r="F550" s="21" t="s">
        <v>7020</v>
      </c>
    </row>
    <row r="551" customFormat="false" ht="15" hidden="false" customHeight="false" outlineLevel="0" collapsed="false">
      <c r="B551" s="19" t="s">
        <v>13769</v>
      </c>
      <c r="C551" s="20" t="n">
        <f aca="false">ROUND(1.56/FX,2)</f>
        <v>0.22</v>
      </c>
      <c r="D551" s="21" t="s">
        <v>13739</v>
      </c>
      <c r="E551" s="21" t="s">
        <v>707</v>
      </c>
      <c r="F551" s="21" t="s">
        <v>6723</v>
      </c>
    </row>
    <row r="552" customFormat="false" ht="15" hidden="false" customHeight="false" outlineLevel="0" collapsed="false">
      <c r="B552" s="19" t="s">
        <v>13770</v>
      </c>
      <c r="C552" s="20" t="n">
        <f aca="false">ROUND(1.04/FX,2)</f>
        <v>0.14</v>
      </c>
      <c r="D552" s="21" t="s">
        <v>13739</v>
      </c>
      <c r="E552" s="21" t="s">
        <v>707</v>
      </c>
      <c r="F552" s="21" t="s">
        <v>3317</v>
      </c>
    </row>
    <row r="553" customFormat="false" ht="15" hidden="false" customHeight="false" outlineLevel="0" collapsed="false">
      <c r="B553" s="19" t="s">
        <v>13771</v>
      </c>
      <c r="C553" s="20" t="n">
        <f aca="false">ROUND(5.2/FX,2)</f>
        <v>0.72</v>
      </c>
      <c r="D553" s="21" t="s">
        <v>13732</v>
      </c>
      <c r="E553" s="21" t="s">
        <v>707</v>
      </c>
      <c r="F553" s="21" t="s">
        <v>1323</v>
      </c>
    </row>
    <row r="554" customFormat="false" ht="15" hidden="false" customHeight="false" outlineLevel="0" collapsed="false">
      <c r="B554" s="19" t="s">
        <v>13772</v>
      </c>
      <c r="C554" s="20" t="n">
        <f aca="false">ROUND(1.96/FX,2)</f>
        <v>0.27</v>
      </c>
      <c r="D554" s="21" t="s">
        <v>13739</v>
      </c>
      <c r="E554" s="21" t="s">
        <v>707</v>
      </c>
      <c r="F554" s="21" t="s">
        <v>7061</v>
      </c>
    </row>
    <row r="555" customFormat="false" ht="15" hidden="false" customHeight="false" outlineLevel="0" collapsed="false">
      <c r="B555" s="19" t="s">
        <v>13773</v>
      </c>
      <c r="C555" s="20" t="n">
        <f aca="false">ROUND(1.17/FX,2)</f>
        <v>0.16</v>
      </c>
      <c r="D555" s="21" t="s">
        <v>13732</v>
      </c>
      <c r="E555" s="21" t="s">
        <v>707</v>
      </c>
      <c r="F555" s="21" t="s">
        <v>13774</v>
      </c>
    </row>
    <row r="556" customFormat="false" ht="15" hidden="false" customHeight="false" outlineLevel="0" collapsed="false">
      <c r="B556" s="19" t="s">
        <v>13775</v>
      </c>
      <c r="C556" s="20" t="n">
        <f aca="false">ROUND(1.27/FX,2)</f>
        <v>0.18</v>
      </c>
      <c r="D556" s="21" t="s">
        <v>13739</v>
      </c>
      <c r="E556" s="21" t="s">
        <v>707</v>
      </c>
      <c r="F556" s="21" t="s">
        <v>6768</v>
      </c>
    </row>
    <row r="557" customFormat="false" ht="15" hidden="false" customHeight="false" outlineLevel="0" collapsed="false">
      <c r="B557" s="19" t="s">
        <v>13776</v>
      </c>
      <c r="C557" s="20" t="n">
        <f aca="false">ROUND(1.51/FX,2)</f>
        <v>0.21</v>
      </c>
      <c r="D557" s="21" t="s">
        <v>13739</v>
      </c>
      <c r="E557" s="21" t="s">
        <v>707</v>
      </c>
      <c r="F557" s="21" t="s">
        <v>784</v>
      </c>
    </row>
    <row r="558" customFormat="false" ht="15" hidden="false" customHeight="false" outlineLevel="0" collapsed="false">
      <c r="B558" s="19" t="s">
        <v>13777</v>
      </c>
      <c r="C558" s="20" t="n">
        <f aca="false">ROUND(5.98/FX,2)</f>
        <v>0.83</v>
      </c>
      <c r="D558" s="21" t="s">
        <v>13732</v>
      </c>
      <c r="E558" s="21" t="s">
        <v>707</v>
      </c>
      <c r="F558" s="21" t="s">
        <v>1520</v>
      </c>
    </row>
    <row r="559" customFormat="false" ht="15" hidden="false" customHeight="false" outlineLevel="0" collapsed="false">
      <c r="B559" s="19" t="s">
        <v>13778</v>
      </c>
      <c r="C559" s="20" t="n">
        <f aca="false">ROUND(1.3/FX,2)</f>
        <v>0.18</v>
      </c>
      <c r="D559" s="21" t="s">
        <v>13732</v>
      </c>
      <c r="E559" s="21" t="s">
        <v>707</v>
      </c>
      <c r="F559" s="21" t="s">
        <v>6244</v>
      </c>
    </row>
    <row r="560" customFormat="false" ht="15" hidden="false" customHeight="false" outlineLevel="0" collapsed="false">
      <c r="B560" s="19" t="s">
        <v>13779</v>
      </c>
      <c r="C560" s="20" t="n">
        <f aca="false">ROUND(6.29/FX,2)</f>
        <v>0.87</v>
      </c>
      <c r="D560" s="21" t="s">
        <v>13732</v>
      </c>
      <c r="E560" s="21" t="s">
        <v>707</v>
      </c>
      <c r="F560" s="21" t="s">
        <v>1570</v>
      </c>
    </row>
    <row r="561" customFormat="false" ht="15" hidden="false" customHeight="false" outlineLevel="0" collapsed="false">
      <c r="B561" s="19" t="s">
        <v>13780</v>
      </c>
      <c r="C561" s="20" t="n">
        <f aca="false">ROUND(1.3/FX,2)</f>
        <v>0.18</v>
      </c>
      <c r="D561" s="21" t="s">
        <v>13732</v>
      </c>
      <c r="E561" s="21" t="s">
        <v>707</v>
      </c>
      <c r="F561" s="21" t="s">
        <v>13781</v>
      </c>
    </row>
    <row r="562" customFormat="false" ht="15" hidden="false" customHeight="false" outlineLevel="0" collapsed="false">
      <c r="B562" s="19" t="s">
        <v>13782</v>
      </c>
      <c r="C562" s="20" t="n">
        <f aca="false">ROUND(6.45/FX,2)</f>
        <v>0.9</v>
      </c>
      <c r="D562" s="21" t="s">
        <v>13732</v>
      </c>
      <c r="E562" s="21" t="s">
        <v>707</v>
      </c>
      <c r="F562" s="21" t="s">
        <v>1595</v>
      </c>
    </row>
    <row r="563" customFormat="false" ht="15" hidden="false" customHeight="false" outlineLevel="0" collapsed="false">
      <c r="B563" s="19" t="s">
        <v>13783</v>
      </c>
      <c r="C563" s="20" t="n">
        <f aca="false">ROUND(6.53/FX,2)</f>
        <v>0.91</v>
      </c>
      <c r="D563" s="21" t="s">
        <v>13732</v>
      </c>
      <c r="E563" s="21" t="s">
        <v>707</v>
      </c>
      <c r="F563" s="21" t="s">
        <v>4975</v>
      </c>
    </row>
    <row r="564" customFormat="false" ht="15" hidden="false" customHeight="false" outlineLevel="0" collapsed="false">
      <c r="B564" s="19" t="s">
        <v>13784</v>
      </c>
      <c r="C564" s="20" t="n">
        <f aca="false">ROUND(1.3/FX,2)</f>
        <v>0.18</v>
      </c>
      <c r="D564" s="21" t="s">
        <v>13732</v>
      </c>
      <c r="E564" s="21" t="s">
        <v>707</v>
      </c>
      <c r="F564" s="21" t="s">
        <v>6805</v>
      </c>
    </row>
    <row r="565" customFormat="false" ht="15" hidden="false" customHeight="false" outlineLevel="0" collapsed="false">
      <c r="B565" s="19" t="s">
        <v>13785</v>
      </c>
      <c r="C565" s="20" t="n">
        <f aca="false">ROUND(6.6/FX,2)</f>
        <v>0.92</v>
      </c>
      <c r="D565" s="21" t="s">
        <v>13732</v>
      </c>
      <c r="E565" s="21" t="s">
        <v>707</v>
      </c>
      <c r="F565" s="21" t="s">
        <v>1615</v>
      </c>
    </row>
    <row r="566" customFormat="false" ht="15" hidden="false" customHeight="false" outlineLevel="0" collapsed="false">
      <c r="B566" s="19" t="s">
        <v>13786</v>
      </c>
      <c r="C566" s="20" t="n">
        <f aca="false">ROUND(1.66/FX,2)</f>
        <v>0.23</v>
      </c>
      <c r="D566" s="21" t="s">
        <v>13739</v>
      </c>
      <c r="E566" s="21" t="s">
        <v>707</v>
      </c>
      <c r="F566" s="21" t="s">
        <v>3328</v>
      </c>
    </row>
    <row r="567" customFormat="false" ht="15" hidden="false" customHeight="false" outlineLevel="0" collapsed="false">
      <c r="B567" s="19" t="s">
        <v>13787</v>
      </c>
      <c r="C567" s="20" t="n">
        <f aca="false">ROUND(6.76/FX,2)</f>
        <v>0.94</v>
      </c>
      <c r="D567" s="21" t="s">
        <v>13732</v>
      </c>
      <c r="E567" s="21" t="s">
        <v>707</v>
      </c>
      <c r="F567" s="21" t="s">
        <v>1635</v>
      </c>
    </row>
    <row r="568" customFormat="false" ht="15" hidden="false" customHeight="false" outlineLevel="0" collapsed="false">
      <c r="B568" s="19" t="s">
        <v>13788</v>
      </c>
      <c r="C568" s="20" t="n">
        <f aca="false">ROUND(1.3/FX,2)</f>
        <v>0.18</v>
      </c>
      <c r="D568" s="21" t="s">
        <v>13732</v>
      </c>
      <c r="E568" s="21" t="s">
        <v>707</v>
      </c>
      <c r="F568" s="21" t="s">
        <v>6730</v>
      </c>
    </row>
    <row r="569" customFormat="false" ht="15" hidden="false" customHeight="false" outlineLevel="0" collapsed="false">
      <c r="B569" s="19" t="s">
        <v>13789</v>
      </c>
      <c r="C569" s="20" t="n">
        <f aca="false">ROUND(6.92/FX,2)</f>
        <v>0.96</v>
      </c>
      <c r="D569" s="21" t="s">
        <v>13732</v>
      </c>
      <c r="E569" s="21" t="s">
        <v>707</v>
      </c>
      <c r="F569" s="21" t="s">
        <v>1655</v>
      </c>
    </row>
    <row r="570" customFormat="false" ht="15" hidden="false" customHeight="false" outlineLevel="0" collapsed="false">
      <c r="B570" s="19" t="s">
        <v>13790</v>
      </c>
      <c r="C570" s="20" t="n">
        <f aca="false">ROUND(1.3/FX,2)</f>
        <v>0.18</v>
      </c>
      <c r="D570" s="21" t="s">
        <v>13732</v>
      </c>
      <c r="E570" s="21" t="s">
        <v>707</v>
      </c>
      <c r="F570" s="21" t="s">
        <v>13791</v>
      </c>
    </row>
    <row r="571" customFormat="false" ht="15" hidden="false" customHeight="false" outlineLevel="0" collapsed="false">
      <c r="B571" s="19" t="s">
        <v>13792</v>
      </c>
      <c r="C571" s="20" t="n">
        <f aca="false">ROUND(7.07/FX,2)</f>
        <v>0.98</v>
      </c>
      <c r="D571" s="21" t="s">
        <v>13732</v>
      </c>
      <c r="E571" s="21" t="s">
        <v>707</v>
      </c>
      <c r="F571" s="21" t="s">
        <v>1670</v>
      </c>
    </row>
    <row r="572" customFormat="false" ht="15" hidden="false" customHeight="false" outlineLevel="0" collapsed="false">
      <c r="B572" s="19" t="s">
        <v>13793</v>
      </c>
      <c r="C572" s="20" t="n">
        <f aca="false">ROUND(1.3/FX,2)</f>
        <v>0.18</v>
      </c>
      <c r="D572" s="21" t="s">
        <v>13732</v>
      </c>
      <c r="E572" s="21" t="s">
        <v>707</v>
      </c>
      <c r="F572" s="21" t="s">
        <v>5496</v>
      </c>
    </row>
    <row r="573" customFormat="false" ht="15" hidden="false" customHeight="false" outlineLevel="0" collapsed="false">
      <c r="B573" s="19" t="s">
        <v>13794</v>
      </c>
      <c r="C573" s="20" t="n">
        <f aca="false">ROUND(7.23/FX,2)</f>
        <v>1</v>
      </c>
      <c r="D573" s="21" t="s">
        <v>13732</v>
      </c>
      <c r="E573" s="21" t="s">
        <v>707</v>
      </c>
      <c r="F573" s="21" t="s">
        <v>1685</v>
      </c>
    </row>
    <row r="574" customFormat="false" ht="15" hidden="false" customHeight="false" outlineLevel="0" collapsed="false">
      <c r="B574" s="19" t="s">
        <v>13795</v>
      </c>
      <c r="C574" s="20" t="n">
        <f aca="false">ROUND(1.82/FX,2)</f>
        <v>0.25</v>
      </c>
      <c r="D574" s="21" t="s">
        <v>13739</v>
      </c>
      <c r="E574" s="21" t="s">
        <v>707</v>
      </c>
      <c r="F574" s="21" t="s">
        <v>6246</v>
      </c>
    </row>
    <row r="575" customFormat="false" ht="15" hidden="false" customHeight="false" outlineLevel="0" collapsed="false">
      <c r="B575" s="19" t="s">
        <v>13796</v>
      </c>
      <c r="C575" s="20" t="n">
        <f aca="false">ROUND(7.54/FX,2)</f>
        <v>1.05</v>
      </c>
      <c r="D575" s="21" t="s">
        <v>13732</v>
      </c>
      <c r="E575" s="21" t="s">
        <v>707</v>
      </c>
      <c r="F575" s="21" t="s">
        <v>2002</v>
      </c>
    </row>
    <row r="576" customFormat="false" ht="15" hidden="false" customHeight="false" outlineLevel="0" collapsed="false">
      <c r="B576" s="19" t="s">
        <v>13797</v>
      </c>
      <c r="C576" s="20" t="n">
        <f aca="false">ROUND(7.7/FX,2)</f>
        <v>1.07</v>
      </c>
      <c r="D576" s="21" t="s">
        <v>13732</v>
      </c>
      <c r="E576" s="21" t="s">
        <v>707</v>
      </c>
      <c r="F576" s="21" t="s">
        <v>2017</v>
      </c>
    </row>
    <row r="577" customFormat="false" ht="15" hidden="false" customHeight="false" outlineLevel="0" collapsed="false">
      <c r="B577" s="19" t="s">
        <v>13798</v>
      </c>
      <c r="C577" s="20" t="n">
        <f aca="false">ROUND(7.85/FX,2)</f>
        <v>1.09</v>
      </c>
      <c r="D577" s="21" t="s">
        <v>13732</v>
      </c>
      <c r="E577" s="21" t="s">
        <v>707</v>
      </c>
      <c r="F577" s="21" t="s">
        <v>2022</v>
      </c>
    </row>
    <row r="578" customFormat="false" ht="15" hidden="false" customHeight="false" outlineLevel="0" collapsed="false">
      <c r="B578" s="19" t="s">
        <v>13799</v>
      </c>
      <c r="C578" s="20" t="n">
        <f aca="false">ROUND(8/FX,2)</f>
        <v>1.11</v>
      </c>
      <c r="D578" s="21" t="s">
        <v>13732</v>
      </c>
      <c r="E578" s="21" t="s">
        <v>707</v>
      </c>
      <c r="F578" s="21" t="s">
        <v>2037</v>
      </c>
    </row>
    <row r="579" customFormat="false" ht="15" hidden="false" customHeight="false" outlineLevel="0" collapsed="false">
      <c r="B579" s="19" t="s">
        <v>13800</v>
      </c>
      <c r="C579" s="20" t="n">
        <f aca="false">ROUND(8.16/FX,2)</f>
        <v>1.13</v>
      </c>
      <c r="D579" s="21" t="s">
        <v>13732</v>
      </c>
      <c r="E579" s="21" t="s">
        <v>707</v>
      </c>
      <c r="F579" s="21" t="s">
        <v>2052</v>
      </c>
    </row>
    <row r="580" customFormat="false" ht="15" hidden="false" customHeight="false" outlineLevel="0" collapsed="false">
      <c r="B580" s="19" t="s">
        <v>13801</v>
      </c>
      <c r="C580" s="20" t="n">
        <f aca="false">ROUND(1.92/FX,2)</f>
        <v>0.27</v>
      </c>
      <c r="D580" s="21" t="s">
        <v>13739</v>
      </c>
      <c r="E580" s="21" t="s">
        <v>707</v>
      </c>
      <c r="F580" s="21" t="s">
        <v>7358</v>
      </c>
    </row>
    <row r="581" customFormat="false" ht="15" hidden="false" customHeight="false" outlineLevel="0" collapsed="false">
      <c r="B581" s="19" t="s">
        <v>13802</v>
      </c>
      <c r="C581" s="20" t="n">
        <f aca="false">ROUND(8.32/FX,2)</f>
        <v>1.16</v>
      </c>
      <c r="D581" s="21" t="s">
        <v>13732</v>
      </c>
      <c r="E581" s="21" t="s">
        <v>707</v>
      </c>
      <c r="F581" s="21" t="s">
        <v>2067</v>
      </c>
    </row>
    <row r="582" customFormat="false" ht="15" hidden="false" customHeight="false" outlineLevel="0" collapsed="false">
      <c r="B582" s="19" t="s">
        <v>13803</v>
      </c>
      <c r="C582" s="20" t="n">
        <f aca="false">ROUND(1.69/FX,2)</f>
        <v>0.23</v>
      </c>
      <c r="D582" s="21" t="s">
        <v>13732</v>
      </c>
      <c r="E582" s="21" t="s">
        <v>707</v>
      </c>
      <c r="F582" s="21" t="s">
        <v>13804</v>
      </c>
    </row>
    <row r="583" customFormat="false" ht="15" hidden="false" customHeight="false" outlineLevel="0" collapsed="false">
      <c r="B583" s="19" t="s">
        <v>13805</v>
      </c>
      <c r="C583" s="20" t="n">
        <f aca="false">ROUND(8.48/FX,2)</f>
        <v>1.18</v>
      </c>
      <c r="D583" s="21" t="s">
        <v>13732</v>
      </c>
      <c r="E583" s="21" t="s">
        <v>707</v>
      </c>
      <c r="F583" s="21" t="s">
        <v>2082</v>
      </c>
    </row>
    <row r="584" customFormat="false" ht="15" hidden="false" customHeight="false" outlineLevel="0" collapsed="false">
      <c r="B584" s="19" t="s">
        <v>13806</v>
      </c>
      <c r="C584" s="20" t="n">
        <f aca="false">ROUND(8.63/FX,2)</f>
        <v>1.2</v>
      </c>
      <c r="D584" s="21" t="s">
        <v>13732</v>
      </c>
      <c r="E584" s="21" t="s">
        <v>707</v>
      </c>
      <c r="F584" s="21" t="s">
        <v>2097</v>
      </c>
    </row>
    <row r="585" customFormat="false" ht="15" hidden="false" customHeight="false" outlineLevel="0" collapsed="false">
      <c r="B585" s="19" t="s">
        <v>13807</v>
      </c>
      <c r="C585" s="20" t="n">
        <f aca="false">ROUND(1.69/FX,2)</f>
        <v>0.23</v>
      </c>
      <c r="D585" s="21" t="s">
        <v>13732</v>
      </c>
      <c r="E585" s="21" t="s">
        <v>707</v>
      </c>
      <c r="F585" s="21" t="s">
        <v>6742</v>
      </c>
    </row>
    <row r="586" customFormat="false" ht="15" hidden="false" customHeight="false" outlineLevel="0" collapsed="false">
      <c r="B586" s="19" t="s">
        <v>13808</v>
      </c>
      <c r="C586" s="20" t="n">
        <f aca="false">ROUND(1.07/FX,2)</f>
        <v>0.15</v>
      </c>
      <c r="D586" s="21" t="s">
        <v>13732</v>
      </c>
      <c r="E586" s="21" t="s">
        <v>707</v>
      </c>
      <c r="F586" s="21" t="s">
        <v>2911</v>
      </c>
    </row>
    <row r="587" customFormat="false" ht="15" hidden="false" customHeight="false" outlineLevel="0" collapsed="false">
      <c r="B587" s="19" t="s">
        <v>13809</v>
      </c>
      <c r="C587" s="20" t="n">
        <f aca="false">ROUND(9.1/FX,2)</f>
        <v>1.26</v>
      </c>
      <c r="D587" s="21" t="s">
        <v>13732</v>
      </c>
      <c r="E587" s="21" t="s">
        <v>707</v>
      </c>
      <c r="F587" s="21" t="s">
        <v>2142</v>
      </c>
    </row>
    <row r="588" customFormat="false" ht="15" hidden="false" customHeight="false" outlineLevel="0" collapsed="false">
      <c r="B588" s="19" t="s">
        <v>13810</v>
      </c>
      <c r="C588" s="20" t="n">
        <f aca="false">ROUND(9.33/FX,2)</f>
        <v>1.3</v>
      </c>
      <c r="D588" s="21" t="s">
        <v>13732</v>
      </c>
      <c r="E588" s="21" t="s">
        <v>707</v>
      </c>
      <c r="F588" s="21" t="s">
        <v>5362</v>
      </c>
    </row>
    <row r="589" customFormat="false" ht="15" hidden="false" customHeight="false" outlineLevel="0" collapsed="false">
      <c r="B589" s="19" t="s">
        <v>13811</v>
      </c>
      <c r="C589" s="20" t="n">
        <f aca="false">ROUND(2.21/FX,2)</f>
        <v>0.31</v>
      </c>
      <c r="D589" s="21" t="s">
        <v>13732</v>
      </c>
      <c r="E589" s="21" t="s">
        <v>707</v>
      </c>
      <c r="F589" s="21" t="s">
        <v>12064</v>
      </c>
    </row>
    <row r="590" customFormat="false" ht="15" hidden="false" customHeight="false" outlineLevel="0" collapsed="false">
      <c r="B590" s="19" t="s">
        <v>13812</v>
      </c>
      <c r="C590" s="20" t="n">
        <f aca="false">ROUND(1.95/FX,2)</f>
        <v>0.27</v>
      </c>
      <c r="D590" s="21" t="s">
        <v>13732</v>
      </c>
      <c r="E590" s="21" t="s">
        <v>707</v>
      </c>
      <c r="F590" s="21" t="s">
        <v>7275</v>
      </c>
    </row>
    <row r="591" customFormat="false" ht="15" hidden="false" customHeight="false" outlineLevel="0" collapsed="false">
      <c r="B591" s="19" t="s">
        <v>13813</v>
      </c>
      <c r="C591" s="20" t="n">
        <f aca="false">ROUND(9.88/FX,2)</f>
        <v>1.37</v>
      </c>
      <c r="D591" s="21" t="s">
        <v>13732</v>
      </c>
      <c r="E591" s="21" t="s">
        <v>707</v>
      </c>
      <c r="F591" s="21" t="s">
        <v>2187</v>
      </c>
    </row>
    <row r="592" customFormat="false" ht="15" hidden="false" customHeight="false" outlineLevel="0" collapsed="false">
      <c r="B592" s="19" t="s">
        <v>13814</v>
      </c>
      <c r="C592" s="20" t="n">
        <f aca="false">ROUND(1.51/FX,2)</f>
        <v>0.21</v>
      </c>
      <c r="D592" s="21" t="s">
        <v>13732</v>
      </c>
      <c r="E592" s="21" t="s">
        <v>707</v>
      </c>
      <c r="F592" s="21" t="s">
        <v>2961</v>
      </c>
    </row>
    <row r="593" customFormat="false" ht="15" hidden="false" customHeight="false" outlineLevel="0" collapsed="false">
      <c r="B593" s="19" t="s">
        <v>13815</v>
      </c>
      <c r="C593" s="20" t="n">
        <f aca="false">ROUND(10.66/FX,2)</f>
        <v>1.48</v>
      </c>
      <c r="D593" s="21" t="s">
        <v>13732</v>
      </c>
      <c r="E593" s="21" t="s">
        <v>707</v>
      </c>
      <c r="F593" s="21" t="s">
        <v>2227</v>
      </c>
    </row>
    <row r="594" customFormat="false" ht="15" hidden="false" customHeight="false" outlineLevel="0" collapsed="false">
      <c r="B594" s="19" t="s">
        <v>13816</v>
      </c>
      <c r="C594" s="20" t="n">
        <f aca="false">ROUND(3.64/FX,2)</f>
        <v>0.51</v>
      </c>
      <c r="D594" s="21" t="s">
        <v>13732</v>
      </c>
      <c r="E594" s="21" t="s">
        <v>707</v>
      </c>
      <c r="F594" s="21" t="s">
        <v>13817</v>
      </c>
    </row>
    <row r="595" customFormat="false" ht="15" hidden="false" customHeight="false" outlineLevel="0" collapsed="false">
      <c r="B595" s="19" t="s">
        <v>13818</v>
      </c>
      <c r="C595" s="20" t="n">
        <f aca="false">ROUND(11.44/FX,2)</f>
        <v>1.59</v>
      </c>
      <c r="D595" s="21" t="s">
        <v>13732</v>
      </c>
      <c r="E595" s="21" t="s">
        <v>707</v>
      </c>
      <c r="F595" s="21" t="s">
        <v>2297</v>
      </c>
    </row>
    <row r="596" customFormat="false" ht="15" hidden="false" customHeight="false" outlineLevel="0" collapsed="false">
      <c r="B596" s="19" t="s">
        <v>13819</v>
      </c>
      <c r="C596" s="20" t="n">
        <f aca="false">ROUND(3.9/FX,2)</f>
        <v>0.54</v>
      </c>
      <c r="D596" s="21" t="s">
        <v>13732</v>
      </c>
      <c r="E596" s="21" t="s">
        <v>707</v>
      </c>
      <c r="F596" s="21" t="s">
        <v>2991</v>
      </c>
    </row>
    <row r="597" customFormat="false" ht="15" hidden="false" customHeight="false" outlineLevel="0" collapsed="false">
      <c r="B597" s="19" t="s">
        <v>13820</v>
      </c>
      <c r="C597" s="20" t="n">
        <f aca="false">ROUND(1.69/FX,2)</f>
        <v>0.23</v>
      </c>
      <c r="D597" s="21" t="s">
        <v>13732</v>
      </c>
      <c r="E597" s="21" t="s">
        <v>707</v>
      </c>
      <c r="F597" s="21" t="s">
        <v>3011</v>
      </c>
    </row>
    <row r="598" customFormat="false" ht="15" hidden="false" customHeight="false" outlineLevel="0" collapsed="false">
      <c r="B598" s="19" t="s">
        <v>13821</v>
      </c>
      <c r="C598" s="20" t="n">
        <f aca="false">ROUND(12.22/FX,2)</f>
        <v>1.7</v>
      </c>
      <c r="D598" s="21" t="s">
        <v>13732</v>
      </c>
      <c r="E598" s="21" t="s">
        <v>707</v>
      </c>
      <c r="F598" s="21" t="s">
        <v>2351</v>
      </c>
    </row>
    <row r="599" customFormat="false" ht="15" hidden="false" customHeight="false" outlineLevel="0" collapsed="false">
      <c r="B599" s="19" t="s">
        <v>13822</v>
      </c>
      <c r="C599" s="20" t="n">
        <f aca="false">ROUND(12.69/FX,2)</f>
        <v>1.76</v>
      </c>
      <c r="D599" s="21" t="s">
        <v>13732</v>
      </c>
      <c r="E599" s="21" t="s">
        <v>707</v>
      </c>
      <c r="F599" s="21" t="s">
        <v>2380</v>
      </c>
    </row>
    <row r="600" customFormat="false" ht="15" hidden="false" customHeight="false" outlineLevel="0" collapsed="false">
      <c r="B600" s="19" t="s">
        <v>13823</v>
      </c>
      <c r="C600" s="20" t="n">
        <f aca="false">ROUND(3.9/FX,2)</f>
        <v>0.54</v>
      </c>
      <c r="D600" s="21" t="s">
        <v>13732</v>
      </c>
      <c r="E600" s="21" t="s">
        <v>707</v>
      </c>
      <c r="F600" s="21" t="s">
        <v>7396</v>
      </c>
    </row>
    <row r="601" customFormat="false" ht="15" hidden="false" customHeight="false" outlineLevel="0" collapsed="false">
      <c r="B601" s="19" t="s">
        <v>13824</v>
      </c>
      <c r="C601" s="20" t="n">
        <f aca="false">ROUND(13/FX,2)</f>
        <v>1.81</v>
      </c>
      <c r="D601" s="21" t="s">
        <v>13732</v>
      </c>
      <c r="E601" s="21" t="s">
        <v>707</v>
      </c>
      <c r="F601" s="21" t="s">
        <v>2400</v>
      </c>
    </row>
    <row r="602" customFormat="false" ht="15" hidden="false" customHeight="false" outlineLevel="0" collapsed="false">
      <c r="B602" s="19" t="s">
        <v>13825</v>
      </c>
      <c r="C602" s="20" t="n">
        <f aca="false">ROUND(0.51/FX,2)</f>
        <v>0.07</v>
      </c>
      <c r="D602" s="21" t="s">
        <v>13732</v>
      </c>
      <c r="E602" s="21" t="s">
        <v>707</v>
      </c>
      <c r="F602" s="21" t="s">
        <v>847</v>
      </c>
    </row>
    <row r="603" customFormat="false" ht="15" hidden="false" customHeight="false" outlineLevel="0" collapsed="false">
      <c r="B603" s="19" t="s">
        <v>13826</v>
      </c>
      <c r="C603" s="20" t="n">
        <f aca="false">ROUND(2.34/FX,2)</f>
        <v>0.33</v>
      </c>
      <c r="D603" s="21" t="s">
        <v>13732</v>
      </c>
      <c r="E603" s="21" t="s">
        <v>707</v>
      </c>
      <c r="F603" s="21" t="s">
        <v>3061</v>
      </c>
    </row>
    <row r="604" customFormat="false" ht="15" hidden="false" customHeight="false" outlineLevel="0" collapsed="false">
      <c r="B604" s="19" t="s">
        <v>13827</v>
      </c>
      <c r="C604" s="20" t="n">
        <f aca="false">ROUND(13.78/FX,2)</f>
        <v>1.91</v>
      </c>
      <c r="D604" s="21" t="s">
        <v>13732</v>
      </c>
      <c r="E604" s="21" t="s">
        <v>707</v>
      </c>
      <c r="F604" s="21" t="s">
        <v>2440</v>
      </c>
    </row>
    <row r="605" customFormat="false" ht="15" hidden="false" customHeight="false" outlineLevel="0" collapsed="false">
      <c r="B605" s="19" t="s">
        <v>13828</v>
      </c>
      <c r="C605" s="20" t="n">
        <f aca="false">ROUND(2.47/FX,2)</f>
        <v>0.34</v>
      </c>
      <c r="D605" s="21" t="s">
        <v>13732</v>
      </c>
      <c r="E605" s="21" t="s">
        <v>707</v>
      </c>
      <c r="F605" s="21" t="s">
        <v>3111</v>
      </c>
    </row>
    <row r="606" customFormat="false" ht="15" hidden="false" customHeight="false" outlineLevel="0" collapsed="false">
      <c r="B606" s="19" t="s">
        <v>13829</v>
      </c>
      <c r="C606" s="20" t="n">
        <f aca="false">ROUND(1.04/FX,2)</f>
        <v>0.14</v>
      </c>
      <c r="D606" s="21" t="s">
        <v>13732</v>
      </c>
      <c r="E606" s="21" t="s">
        <v>761</v>
      </c>
      <c r="F606" s="21" t="s">
        <v>707</v>
      </c>
    </row>
    <row r="607" customFormat="false" ht="15" hidden="false" customHeight="false" outlineLevel="0" collapsed="false">
      <c r="B607" s="19" t="s">
        <v>13830</v>
      </c>
      <c r="C607" s="20" t="n">
        <f aca="false">ROUND(3.12/FX,2)</f>
        <v>0.43</v>
      </c>
      <c r="D607" s="21" t="s">
        <v>13732</v>
      </c>
      <c r="E607" s="21" t="s">
        <v>761</v>
      </c>
      <c r="F607" s="21" t="s">
        <v>2600</v>
      </c>
    </row>
    <row r="608" customFormat="false" ht="15" hidden="false" customHeight="false" outlineLevel="0" collapsed="false">
      <c r="B608" s="19" t="s">
        <v>13831</v>
      </c>
      <c r="C608" s="20" t="n">
        <f aca="false">ROUND(19.5/FX,2)</f>
        <v>2.71</v>
      </c>
      <c r="D608" s="21" t="s">
        <v>13732</v>
      </c>
      <c r="E608" s="21" t="s">
        <v>761</v>
      </c>
      <c r="F608" s="21" t="s">
        <v>1733</v>
      </c>
    </row>
    <row r="609" customFormat="false" ht="15" hidden="false" customHeight="false" outlineLevel="0" collapsed="false">
      <c r="B609" s="19" t="s">
        <v>13832</v>
      </c>
      <c r="C609" s="20" t="n">
        <f aca="false">ROUND(20.41/FX,2)</f>
        <v>2.83</v>
      </c>
      <c r="D609" s="21" t="s">
        <v>13732</v>
      </c>
      <c r="E609" s="21" t="s">
        <v>761</v>
      </c>
      <c r="F609" s="21" t="s">
        <v>1740</v>
      </c>
    </row>
    <row r="610" customFormat="false" ht="15" hidden="false" customHeight="false" outlineLevel="0" collapsed="false">
      <c r="B610" s="19" t="s">
        <v>13833</v>
      </c>
      <c r="C610" s="20" t="n">
        <f aca="false">ROUND(1.95/FX,2)</f>
        <v>0.27</v>
      </c>
      <c r="D610" s="21" t="s">
        <v>13732</v>
      </c>
      <c r="E610" s="21" t="s">
        <v>761</v>
      </c>
      <c r="F610" s="21" t="s">
        <v>5091</v>
      </c>
    </row>
    <row r="611" customFormat="false" ht="15" hidden="false" customHeight="false" outlineLevel="0" collapsed="false">
      <c r="B611" s="19" t="s">
        <v>13834</v>
      </c>
      <c r="C611" s="20" t="n">
        <f aca="false">ROUND(3.3/FX,2)</f>
        <v>0.46</v>
      </c>
      <c r="D611" s="21" t="s">
        <v>13732</v>
      </c>
      <c r="E611" s="21" t="s">
        <v>761</v>
      </c>
      <c r="F611" s="21" t="s">
        <v>2651</v>
      </c>
    </row>
    <row r="612" customFormat="false" ht="15" hidden="false" customHeight="false" outlineLevel="0" collapsed="false">
      <c r="B612" s="19" t="s">
        <v>13835</v>
      </c>
      <c r="C612" s="20" t="n">
        <f aca="false">ROUND(1.17/FX,2)</f>
        <v>0.16</v>
      </c>
      <c r="D612" s="21" t="s">
        <v>13751</v>
      </c>
      <c r="E612" s="21" t="s">
        <v>761</v>
      </c>
      <c r="F612" s="21" t="s">
        <v>761</v>
      </c>
    </row>
    <row r="613" customFormat="false" ht="15" hidden="false" customHeight="false" outlineLevel="0" collapsed="false">
      <c r="B613" s="19" t="s">
        <v>13836</v>
      </c>
      <c r="C613" s="20" t="n">
        <f aca="false">ROUND(3.48/FX,2)</f>
        <v>0.48</v>
      </c>
      <c r="D613" s="21" t="s">
        <v>13732</v>
      </c>
      <c r="E613" s="21" t="s">
        <v>761</v>
      </c>
      <c r="F613" s="21" t="s">
        <v>2701</v>
      </c>
    </row>
    <row r="614" customFormat="false" ht="15" hidden="false" customHeight="false" outlineLevel="0" collapsed="false">
      <c r="B614" s="19" t="s">
        <v>13837</v>
      </c>
      <c r="C614" s="20" t="n">
        <f aca="false">ROUND(1.3/FX,2)</f>
        <v>0.18</v>
      </c>
      <c r="D614" s="21" t="s">
        <v>13732</v>
      </c>
      <c r="E614" s="21" t="s">
        <v>761</v>
      </c>
      <c r="F614" s="21" t="s">
        <v>4761</v>
      </c>
    </row>
    <row r="615" customFormat="false" ht="15" hidden="false" customHeight="false" outlineLevel="0" collapsed="false">
      <c r="B615" s="19" t="s">
        <v>13838</v>
      </c>
      <c r="C615" s="20" t="n">
        <f aca="false">ROUND(1.04/FX,2)</f>
        <v>0.14</v>
      </c>
      <c r="D615" s="21" t="s">
        <v>13739</v>
      </c>
      <c r="E615" s="21" t="s">
        <v>761</v>
      </c>
      <c r="F615" s="21" t="s">
        <v>4721</v>
      </c>
    </row>
    <row r="616" customFormat="false" ht="15" hidden="false" customHeight="false" outlineLevel="0" collapsed="false">
      <c r="B616" s="19" t="s">
        <v>13839</v>
      </c>
      <c r="C616" s="20" t="n">
        <f aca="false">ROUND(3.85/FX,2)</f>
        <v>0.53</v>
      </c>
      <c r="D616" s="21" t="s">
        <v>13732</v>
      </c>
      <c r="E616" s="21" t="s">
        <v>761</v>
      </c>
      <c r="F616" s="21" t="s">
        <v>2801</v>
      </c>
    </row>
    <row r="617" customFormat="false" ht="15" hidden="false" customHeight="false" outlineLevel="0" collapsed="false">
      <c r="B617" s="19" t="s">
        <v>13840</v>
      </c>
      <c r="C617" s="20" t="n">
        <f aca="false">ROUND(1.69/FX,2)</f>
        <v>0.23</v>
      </c>
      <c r="D617" s="21" t="s">
        <v>13739</v>
      </c>
      <c r="E617" s="21" t="s">
        <v>761</v>
      </c>
      <c r="F617" s="21" t="s">
        <v>714</v>
      </c>
    </row>
    <row r="618" customFormat="false" ht="15" hidden="false" customHeight="false" outlineLevel="0" collapsed="false">
      <c r="B618" s="19" t="s">
        <v>13841</v>
      </c>
      <c r="C618" s="20" t="n">
        <f aca="false">ROUND(4.03/FX,2)</f>
        <v>0.56</v>
      </c>
      <c r="D618" s="21" t="s">
        <v>13732</v>
      </c>
      <c r="E618" s="21" t="s">
        <v>761</v>
      </c>
      <c r="F618" s="21" t="s">
        <v>2851</v>
      </c>
    </row>
    <row r="619" customFormat="false" ht="15" hidden="false" customHeight="false" outlineLevel="0" collapsed="false">
      <c r="B619" s="19" t="s">
        <v>13842</v>
      </c>
      <c r="C619" s="20" t="n">
        <f aca="false">ROUND(28.96/FX,2)</f>
        <v>4.02</v>
      </c>
      <c r="D619" s="21" t="s">
        <v>13732</v>
      </c>
      <c r="E619" s="21" t="s">
        <v>761</v>
      </c>
      <c r="F619" s="21" t="s">
        <v>1894</v>
      </c>
    </row>
    <row r="620" customFormat="false" ht="15" hidden="false" customHeight="false" outlineLevel="0" collapsed="false">
      <c r="B620" s="19" t="s">
        <v>13843</v>
      </c>
      <c r="C620" s="20" t="n">
        <f aca="false">ROUND(1.04/FX,2)</f>
        <v>0.14</v>
      </c>
      <c r="D620" s="21" t="s">
        <v>13739</v>
      </c>
      <c r="E620" s="21" t="s">
        <v>761</v>
      </c>
      <c r="F620" s="21" t="s">
        <v>3833</v>
      </c>
    </row>
    <row r="621" customFormat="false" ht="15" hidden="false" customHeight="false" outlineLevel="0" collapsed="false">
      <c r="B621" s="19" t="s">
        <v>13844</v>
      </c>
      <c r="C621" s="20" t="n">
        <f aca="false">ROUND(3.9/FX,2)</f>
        <v>0.54</v>
      </c>
      <c r="D621" s="21" t="s">
        <v>13732</v>
      </c>
      <c r="E621" s="21" t="s">
        <v>761</v>
      </c>
      <c r="F621" s="21" t="s">
        <v>883</v>
      </c>
    </row>
    <row r="622" customFormat="false" ht="15" hidden="false" customHeight="false" outlineLevel="0" collapsed="false">
      <c r="B622" s="19" t="s">
        <v>13845</v>
      </c>
      <c r="C622" s="20" t="n">
        <f aca="false">ROUND(4.52/FX,2)</f>
        <v>0.63</v>
      </c>
      <c r="D622" s="21" t="s">
        <v>13732</v>
      </c>
      <c r="E622" s="21" t="s">
        <v>761</v>
      </c>
      <c r="F622" s="21" t="s">
        <v>3903</v>
      </c>
    </row>
    <row r="623" customFormat="false" ht="15" hidden="false" customHeight="false" outlineLevel="0" collapsed="false">
      <c r="B623" s="19" t="s">
        <v>13846</v>
      </c>
      <c r="C623" s="20" t="n">
        <f aca="false">ROUND(1.17/FX,2)</f>
        <v>0.16</v>
      </c>
      <c r="D623" s="21" t="s">
        <v>13739</v>
      </c>
      <c r="E623" s="21" t="s">
        <v>761</v>
      </c>
      <c r="F623" s="21" t="s">
        <v>4000</v>
      </c>
    </row>
    <row r="624" customFormat="false" ht="15" hidden="false" customHeight="false" outlineLevel="0" collapsed="false">
      <c r="B624" s="19" t="s">
        <v>13847</v>
      </c>
      <c r="C624" s="20" t="n">
        <f aca="false">ROUND(4.76/FX,2)</f>
        <v>0.66</v>
      </c>
      <c r="D624" s="21" t="s">
        <v>13732</v>
      </c>
      <c r="E624" s="21" t="s">
        <v>761</v>
      </c>
      <c r="F624" s="21" t="s">
        <v>993</v>
      </c>
    </row>
    <row r="625" customFormat="false" ht="15" hidden="false" customHeight="false" outlineLevel="0" collapsed="false">
      <c r="B625" s="19" t="s">
        <v>13848</v>
      </c>
      <c r="C625" s="20" t="n">
        <f aca="false">ROUND(1.3/FX,2)</f>
        <v>0.18</v>
      </c>
      <c r="D625" s="21" t="s">
        <v>13739</v>
      </c>
      <c r="E625" s="21" t="s">
        <v>761</v>
      </c>
      <c r="F625" s="21" t="s">
        <v>3247</v>
      </c>
    </row>
    <row r="626" customFormat="false" ht="15" hidden="false" customHeight="false" outlineLevel="0" collapsed="false">
      <c r="B626" s="19" t="s">
        <v>13849</v>
      </c>
      <c r="C626" s="20" t="n">
        <f aca="false">ROUND(4.16/FX,2)</f>
        <v>0.58</v>
      </c>
      <c r="D626" s="21" t="s">
        <v>13732</v>
      </c>
      <c r="E626" s="21" t="s">
        <v>761</v>
      </c>
      <c r="F626" s="21" t="s">
        <v>1048</v>
      </c>
    </row>
    <row r="627" customFormat="false" ht="15" hidden="false" customHeight="false" outlineLevel="0" collapsed="false">
      <c r="B627" s="19" t="s">
        <v>13850</v>
      </c>
      <c r="C627" s="20" t="n">
        <f aca="false">ROUND(31.2/FX,2)</f>
        <v>4.33</v>
      </c>
      <c r="D627" s="21" t="s">
        <v>13732</v>
      </c>
      <c r="E627" s="21" t="s">
        <v>761</v>
      </c>
      <c r="F627" s="21" t="s">
        <v>1924</v>
      </c>
    </row>
    <row r="628" customFormat="false" ht="15" hidden="false" customHeight="false" outlineLevel="0" collapsed="false">
      <c r="B628" s="19" t="s">
        <v>13851</v>
      </c>
      <c r="C628" s="20" t="n">
        <f aca="false">ROUND(1.17/FX,2)</f>
        <v>0.16</v>
      </c>
      <c r="D628" s="21" t="s">
        <v>13732</v>
      </c>
      <c r="E628" s="21" t="s">
        <v>761</v>
      </c>
      <c r="F628" s="21" t="s">
        <v>13852</v>
      </c>
    </row>
    <row r="629" customFormat="false" ht="15" hidden="false" customHeight="false" outlineLevel="0" collapsed="false">
      <c r="B629" s="19" t="s">
        <v>13853</v>
      </c>
      <c r="C629" s="20" t="n">
        <f aca="false">ROUND(1.17/FX,2)</f>
        <v>0.16</v>
      </c>
      <c r="D629" s="21" t="s">
        <v>13732</v>
      </c>
      <c r="E629" s="21" t="s">
        <v>761</v>
      </c>
      <c r="F629" s="21" t="s">
        <v>5097</v>
      </c>
    </row>
    <row r="630" customFormat="false" ht="15" hidden="false" customHeight="false" outlineLevel="0" collapsed="false">
      <c r="B630" s="19" t="s">
        <v>13854</v>
      </c>
      <c r="C630" s="20" t="n">
        <f aca="false">ROUND(5.34/FX,2)</f>
        <v>0.74</v>
      </c>
      <c r="D630" s="21" t="s">
        <v>13732</v>
      </c>
      <c r="E630" s="21" t="s">
        <v>761</v>
      </c>
      <c r="F630" s="21" t="s">
        <v>1169</v>
      </c>
    </row>
    <row r="631" customFormat="false" ht="15" hidden="false" customHeight="false" outlineLevel="0" collapsed="false">
      <c r="B631" s="19" t="s">
        <v>13855</v>
      </c>
      <c r="C631" s="20" t="n">
        <f aca="false">ROUND(1.3/FX,2)</f>
        <v>0.18</v>
      </c>
      <c r="D631" s="21" t="s">
        <v>13732</v>
      </c>
      <c r="E631" s="21" t="s">
        <v>761</v>
      </c>
      <c r="F631" s="21" t="s">
        <v>6723</v>
      </c>
    </row>
    <row r="632" customFormat="false" ht="15" hidden="false" customHeight="false" outlineLevel="0" collapsed="false">
      <c r="B632" s="19" t="s">
        <v>13856</v>
      </c>
      <c r="C632" s="20" t="n">
        <f aca="false">ROUND(1.04/FX,2)</f>
        <v>0.14</v>
      </c>
      <c r="D632" s="21" t="s">
        <v>13732</v>
      </c>
      <c r="E632" s="21" t="s">
        <v>761</v>
      </c>
      <c r="F632" s="21" t="s">
        <v>3317</v>
      </c>
    </row>
    <row r="633" customFormat="false" ht="15" hidden="false" customHeight="false" outlineLevel="0" collapsed="false">
      <c r="B633" s="19" t="s">
        <v>13857</v>
      </c>
      <c r="C633" s="20" t="n">
        <f aca="false">ROUND(5.85/FX,2)</f>
        <v>0.81</v>
      </c>
      <c r="D633" s="21" t="s">
        <v>13732</v>
      </c>
      <c r="E633" s="21" t="s">
        <v>761</v>
      </c>
      <c r="F633" s="21" t="s">
        <v>1323</v>
      </c>
    </row>
    <row r="634" customFormat="false" ht="15" hidden="false" customHeight="false" outlineLevel="0" collapsed="false">
      <c r="B634" s="19" t="s">
        <v>13858</v>
      </c>
      <c r="C634" s="20" t="n">
        <f aca="false">ROUND(5.94/FX,2)</f>
        <v>0.83</v>
      </c>
      <c r="D634" s="21" t="s">
        <v>13732</v>
      </c>
      <c r="E634" s="21" t="s">
        <v>761</v>
      </c>
      <c r="F634" s="21" t="s">
        <v>4083</v>
      </c>
    </row>
    <row r="635" customFormat="false" ht="15" hidden="false" customHeight="false" outlineLevel="0" collapsed="false">
      <c r="B635" s="19" t="s">
        <v>13859</v>
      </c>
      <c r="C635" s="20" t="n">
        <f aca="false">ROUND(1.17/FX,2)</f>
        <v>0.16</v>
      </c>
      <c r="D635" s="21" t="s">
        <v>13732</v>
      </c>
      <c r="E635" s="21" t="s">
        <v>761</v>
      </c>
      <c r="F635" s="21" t="s">
        <v>7061</v>
      </c>
    </row>
    <row r="636" customFormat="false" ht="15" hidden="false" customHeight="false" outlineLevel="0" collapsed="false">
      <c r="B636" s="19" t="s">
        <v>13860</v>
      </c>
      <c r="C636" s="20" t="n">
        <f aca="false">ROUND(1.56/FX,2)</f>
        <v>0.22</v>
      </c>
      <c r="D636" s="21" t="s">
        <v>13732</v>
      </c>
      <c r="E636" s="21" t="s">
        <v>761</v>
      </c>
      <c r="F636" s="21" t="s">
        <v>13774</v>
      </c>
    </row>
    <row r="637" customFormat="false" ht="15" hidden="false" customHeight="false" outlineLevel="0" collapsed="false">
      <c r="B637" s="19" t="s">
        <v>13861</v>
      </c>
      <c r="C637" s="20" t="n">
        <f aca="false">ROUND(1.3/FX,2)</f>
        <v>0.18</v>
      </c>
      <c r="D637" s="21" t="s">
        <v>13732</v>
      </c>
      <c r="E637" s="21" t="s">
        <v>761</v>
      </c>
      <c r="F637" s="21" t="s">
        <v>6768</v>
      </c>
    </row>
    <row r="638" customFormat="false" ht="15" hidden="false" customHeight="false" outlineLevel="0" collapsed="false">
      <c r="B638" s="19" t="s">
        <v>13862</v>
      </c>
      <c r="C638" s="20" t="n">
        <f aca="false">ROUND(6.58/FX,2)</f>
        <v>0.91</v>
      </c>
      <c r="D638" s="21" t="s">
        <v>13732</v>
      </c>
      <c r="E638" s="21" t="s">
        <v>761</v>
      </c>
      <c r="F638" s="21" t="s">
        <v>1495</v>
      </c>
    </row>
    <row r="639" customFormat="false" ht="15" hidden="false" customHeight="false" outlineLevel="0" collapsed="false">
      <c r="B639" s="19" t="s">
        <v>13863</v>
      </c>
      <c r="C639" s="20" t="n">
        <f aca="false">ROUND(6.61/FX,2)</f>
        <v>0.92</v>
      </c>
      <c r="D639" s="21" t="s">
        <v>13732</v>
      </c>
      <c r="E639" s="21" t="s">
        <v>761</v>
      </c>
      <c r="F639" s="21" t="s">
        <v>1500</v>
      </c>
    </row>
    <row r="640" customFormat="false" ht="15" hidden="false" customHeight="false" outlineLevel="0" collapsed="false">
      <c r="B640" s="19" t="s">
        <v>13864</v>
      </c>
      <c r="C640" s="20" t="n">
        <f aca="false">ROUND(1.04/FX,2)</f>
        <v>0.14</v>
      </c>
      <c r="D640" s="21" t="s">
        <v>13732</v>
      </c>
      <c r="E640" s="21" t="s">
        <v>761</v>
      </c>
      <c r="F640" s="21" t="s">
        <v>784</v>
      </c>
    </row>
    <row r="641" customFormat="false" ht="15" hidden="false" customHeight="false" outlineLevel="0" collapsed="false">
      <c r="B641" s="19" t="s">
        <v>13865</v>
      </c>
      <c r="C641" s="20" t="n">
        <f aca="false">ROUND(6.76/FX,2)</f>
        <v>0.94</v>
      </c>
      <c r="D641" s="21" t="s">
        <v>13732</v>
      </c>
      <c r="E641" s="21" t="s">
        <v>761</v>
      </c>
      <c r="F641" s="21" t="s">
        <v>1520</v>
      </c>
    </row>
    <row r="642" customFormat="false" ht="15" hidden="false" customHeight="false" outlineLevel="0" collapsed="false">
      <c r="B642" s="19" t="s">
        <v>13866</v>
      </c>
      <c r="C642" s="20" t="n">
        <f aca="false">ROUND(1.95/FX,2)</f>
        <v>0.27</v>
      </c>
      <c r="D642" s="21" t="s">
        <v>13732</v>
      </c>
      <c r="E642" s="21" t="s">
        <v>761</v>
      </c>
      <c r="F642" s="21" t="s">
        <v>6244</v>
      </c>
    </row>
    <row r="643" customFormat="false" ht="15" hidden="false" customHeight="false" outlineLevel="0" collapsed="false">
      <c r="B643" s="19" t="s">
        <v>13867</v>
      </c>
      <c r="C643" s="20" t="n">
        <f aca="false">ROUND(5.46/FX,2)</f>
        <v>0.76</v>
      </c>
      <c r="D643" s="21" t="s">
        <v>13732</v>
      </c>
      <c r="E643" s="21" t="s">
        <v>761</v>
      </c>
      <c r="F643" s="21" t="s">
        <v>1570</v>
      </c>
    </row>
    <row r="644" customFormat="false" ht="15" hidden="false" customHeight="false" outlineLevel="0" collapsed="false">
      <c r="B644" s="19" t="s">
        <v>13868</v>
      </c>
      <c r="C644" s="20" t="n">
        <f aca="false">ROUND(7.4/FX,2)</f>
        <v>1.03</v>
      </c>
      <c r="D644" s="21" t="s">
        <v>13732</v>
      </c>
      <c r="E644" s="21" t="s">
        <v>761</v>
      </c>
      <c r="F644" s="21" t="s">
        <v>4975</v>
      </c>
    </row>
    <row r="645" customFormat="false" ht="15" hidden="false" customHeight="false" outlineLevel="0" collapsed="false">
      <c r="B645" s="19" t="s">
        <v>13869</v>
      </c>
      <c r="C645" s="20" t="n">
        <f aca="false">ROUND(7.49/FX,2)</f>
        <v>1.04</v>
      </c>
      <c r="D645" s="21" t="s">
        <v>13732</v>
      </c>
      <c r="E645" s="21" t="s">
        <v>761</v>
      </c>
      <c r="F645" s="21" t="s">
        <v>1615</v>
      </c>
    </row>
    <row r="646" customFormat="false" ht="15" hidden="false" customHeight="false" outlineLevel="0" collapsed="false">
      <c r="B646" s="19" t="s">
        <v>13870</v>
      </c>
      <c r="C646" s="20" t="n">
        <f aca="false">ROUND(1.3/FX,2)</f>
        <v>0.18</v>
      </c>
      <c r="D646" s="21" t="s">
        <v>13732</v>
      </c>
      <c r="E646" s="21" t="s">
        <v>761</v>
      </c>
      <c r="F646" s="21" t="s">
        <v>3328</v>
      </c>
    </row>
    <row r="647" customFormat="false" ht="15" hidden="false" customHeight="false" outlineLevel="0" collapsed="false">
      <c r="B647" s="19" t="s">
        <v>13871</v>
      </c>
      <c r="C647" s="20" t="n">
        <f aca="false">ROUND(7.67/FX,2)</f>
        <v>1.07</v>
      </c>
      <c r="D647" s="21" t="s">
        <v>13732</v>
      </c>
      <c r="E647" s="21" t="s">
        <v>761</v>
      </c>
      <c r="F647" s="21" t="s">
        <v>1635</v>
      </c>
    </row>
    <row r="648" customFormat="false" ht="15" hidden="false" customHeight="false" outlineLevel="0" collapsed="false">
      <c r="B648" s="19" t="s">
        <v>13872</v>
      </c>
      <c r="C648" s="20" t="n">
        <f aca="false">ROUND(1.95/FX,2)</f>
        <v>0.27</v>
      </c>
      <c r="D648" s="21" t="s">
        <v>13732</v>
      </c>
      <c r="E648" s="21" t="s">
        <v>761</v>
      </c>
      <c r="F648" s="21" t="s">
        <v>13791</v>
      </c>
    </row>
    <row r="649" customFormat="false" ht="15" hidden="false" customHeight="false" outlineLevel="0" collapsed="false">
      <c r="B649" s="19" t="s">
        <v>13873</v>
      </c>
      <c r="C649" s="20" t="n">
        <f aca="false">ROUND(1.95/FX,2)</f>
        <v>0.27</v>
      </c>
      <c r="D649" s="21" t="s">
        <v>13732</v>
      </c>
      <c r="E649" s="21" t="s">
        <v>761</v>
      </c>
      <c r="F649" s="21" t="s">
        <v>5496</v>
      </c>
    </row>
    <row r="650" customFormat="false" ht="15" hidden="false" customHeight="false" outlineLevel="0" collapsed="false">
      <c r="B650" s="19" t="s">
        <v>13874</v>
      </c>
      <c r="C650" s="20" t="n">
        <f aca="false">ROUND(8.32/FX,2)</f>
        <v>1.16</v>
      </c>
      <c r="D650" s="21" t="s">
        <v>13732</v>
      </c>
      <c r="E650" s="21" t="s">
        <v>761</v>
      </c>
      <c r="F650" s="21" t="s">
        <v>1972</v>
      </c>
    </row>
    <row r="651" customFormat="false" ht="15" hidden="false" customHeight="false" outlineLevel="0" collapsed="false">
      <c r="B651" s="19" t="s">
        <v>13875</v>
      </c>
      <c r="C651" s="20" t="n">
        <f aca="false">ROUND(8.4/FX,2)</f>
        <v>1.17</v>
      </c>
      <c r="D651" s="21" t="s">
        <v>13732</v>
      </c>
      <c r="E651" s="21" t="s">
        <v>761</v>
      </c>
      <c r="F651" s="21" t="s">
        <v>1982</v>
      </c>
    </row>
    <row r="652" customFormat="false" ht="15" hidden="false" customHeight="false" outlineLevel="0" collapsed="false">
      <c r="B652" s="19" t="s">
        <v>13876</v>
      </c>
      <c r="C652" s="20" t="n">
        <f aca="false">ROUND(1.43/FX,2)</f>
        <v>0.2</v>
      </c>
      <c r="D652" s="21" t="s">
        <v>13732</v>
      </c>
      <c r="E652" s="21" t="s">
        <v>761</v>
      </c>
      <c r="F652" s="21" t="s">
        <v>6246</v>
      </c>
    </row>
    <row r="653" customFormat="false" ht="15" hidden="false" customHeight="false" outlineLevel="0" collapsed="false">
      <c r="B653" s="19" t="s">
        <v>13877</v>
      </c>
      <c r="C653" s="20" t="n">
        <f aca="false">ROUND(8.58/FX,2)</f>
        <v>1.19</v>
      </c>
      <c r="D653" s="21" t="s">
        <v>13732</v>
      </c>
      <c r="E653" s="21" t="s">
        <v>761</v>
      </c>
      <c r="F653" s="21" t="s">
        <v>2002</v>
      </c>
    </row>
    <row r="654" customFormat="false" ht="15" hidden="false" customHeight="false" outlineLevel="0" collapsed="false">
      <c r="B654" s="19" t="s">
        <v>13878</v>
      </c>
      <c r="C654" s="20" t="n">
        <f aca="false">ROUND(8.95/FX,2)</f>
        <v>1.24</v>
      </c>
      <c r="D654" s="21" t="s">
        <v>13732</v>
      </c>
      <c r="E654" s="21" t="s">
        <v>761</v>
      </c>
      <c r="F654" s="21" t="s">
        <v>2022</v>
      </c>
    </row>
    <row r="655" customFormat="false" ht="15" hidden="false" customHeight="false" outlineLevel="0" collapsed="false">
      <c r="B655" s="19" t="s">
        <v>13879</v>
      </c>
      <c r="C655" s="20" t="n">
        <f aca="false">ROUND(9.13/FX,2)</f>
        <v>1.27</v>
      </c>
      <c r="D655" s="21" t="s">
        <v>13732</v>
      </c>
      <c r="E655" s="21" t="s">
        <v>761</v>
      </c>
      <c r="F655" s="21" t="s">
        <v>2037</v>
      </c>
    </row>
    <row r="656" customFormat="false" ht="15" hidden="false" customHeight="false" outlineLevel="0" collapsed="false">
      <c r="B656" s="19" t="s">
        <v>13880</v>
      </c>
      <c r="C656" s="20" t="n">
        <f aca="false">ROUND(9.31/FX,2)</f>
        <v>1.29</v>
      </c>
      <c r="D656" s="21" t="s">
        <v>13732</v>
      </c>
      <c r="E656" s="21" t="s">
        <v>761</v>
      </c>
      <c r="F656" s="21" t="s">
        <v>2052</v>
      </c>
    </row>
    <row r="657" customFormat="false" ht="15" hidden="false" customHeight="false" outlineLevel="0" collapsed="false">
      <c r="B657" s="19" t="s">
        <v>13881</v>
      </c>
      <c r="C657" s="20" t="n">
        <f aca="false">ROUND(1.69/FX,2)</f>
        <v>0.23</v>
      </c>
      <c r="D657" s="21" t="s">
        <v>13732</v>
      </c>
      <c r="E657" s="21" t="s">
        <v>761</v>
      </c>
      <c r="F657" s="21" t="s">
        <v>7358</v>
      </c>
    </row>
    <row r="658" customFormat="false" ht="15" hidden="false" customHeight="false" outlineLevel="0" collapsed="false">
      <c r="B658" s="19" t="s">
        <v>13882</v>
      </c>
      <c r="C658" s="20" t="n">
        <f aca="false">ROUND(9.49/FX,2)</f>
        <v>1.32</v>
      </c>
      <c r="D658" s="21" t="s">
        <v>13732</v>
      </c>
      <c r="E658" s="21" t="s">
        <v>761</v>
      </c>
      <c r="F658" s="21" t="s">
        <v>2067</v>
      </c>
    </row>
    <row r="659" customFormat="false" ht="15" hidden="false" customHeight="false" outlineLevel="0" collapsed="false">
      <c r="B659" s="19" t="s">
        <v>13883</v>
      </c>
      <c r="C659" s="20" t="n">
        <f aca="false">ROUND(9.58/FX,2)</f>
        <v>1.33</v>
      </c>
      <c r="D659" s="21" t="s">
        <v>13732</v>
      </c>
      <c r="E659" s="21" t="s">
        <v>761</v>
      </c>
      <c r="F659" s="21" t="s">
        <v>5214</v>
      </c>
    </row>
    <row r="660" customFormat="false" ht="15" hidden="false" customHeight="false" outlineLevel="0" collapsed="false">
      <c r="B660" s="19" t="s">
        <v>13884</v>
      </c>
      <c r="C660" s="20" t="n">
        <f aca="false">ROUND(2.6/FX,2)</f>
        <v>0.36</v>
      </c>
      <c r="D660" s="21" t="s">
        <v>13732</v>
      </c>
      <c r="E660" s="21" t="s">
        <v>761</v>
      </c>
      <c r="F660" s="21" t="s">
        <v>6742</v>
      </c>
    </row>
    <row r="661" customFormat="false" ht="15" hidden="false" customHeight="false" outlineLevel="0" collapsed="false">
      <c r="B661" s="19" t="s">
        <v>13885</v>
      </c>
      <c r="C661" s="20" t="n">
        <f aca="false">ROUND(10.22/FX,2)</f>
        <v>1.42</v>
      </c>
      <c r="D661" s="21" t="s">
        <v>13732</v>
      </c>
      <c r="E661" s="21" t="s">
        <v>761</v>
      </c>
      <c r="F661" s="21" t="s">
        <v>2127</v>
      </c>
    </row>
    <row r="662" customFormat="false" ht="15" hidden="false" customHeight="false" outlineLevel="0" collapsed="false">
      <c r="B662" s="19" t="s">
        <v>13886</v>
      </c>
      <c r="C662" s="20" t="n">
        <f aca="false">ROUND(1.95/FX,2)</f>
        <v>0.27</v>
      </c>
      <c r="D662" s="21" t="s">
        <v>13732</v>
      </c>
      <c r="E662" s="21" t="s">
        <v>761</v>
      </c>
      <c r="F662" s="21" t="s">
        <v>2911</v>
      </c>
    </row>
    <row r="663" customFormat="false" ht="15" hidden="false" customHeight="false" outlineLevel="0" collapsed="false">
      <c r="B663" s="19" t="s">
        <v>13887</v>
      </c>
      <c r="C663" s="20" t="n">
        <f aca="false">ROUND(10.4/FX,2)</f>
        <v>1.44</v>
      </c>
      <c r="D663" s="21" t="s">
        <v>13732</v>
      </c>
      <c r="E663" s="21" t="s">
        <v>761</v>
      </c>
      <c r="F663" s="21" t="s">
        <v>2142</v>
      </c>
    </row>
    <row r="664" customFormat="false" ht="15" hidden="false" customHeight="false" outlineLevel="0" collapsed="false">
      <c r="B664" s="19" t="s">
        <v>13888</v>
      </c>
      <c r="C664" s="20" t="n">
        <f aca="false">ROUND(10.51/FX,2)</f>
        <v>1.46</v>
      </c>
      <c r="D664" s="21" t="s">
        <v>13732</v>
      </c>
      <c r="E664" s="21" t="s">
        <v>761</v>
      </c>
      <c r="F664" s="21" t="s">
        <v>2147</v>
      </c>
    </row>
    <row r="665" customFormat="false" ht="15" hidden="false" customHeight="false" outlineLevel="0" collapsed="false">
      <c r="B665" s="19" t="s">
        <v>13889</v>
      </c>
      <c r="C665" s="20" t="n">
        <f aca="false">ROUND(10.76/FX,2)</f>
        <v>1.49</v>
      </c>
      <c r="D665" s="21" t="s">
        <v>13732</v>
      </c>
      <c r="E665" s="21" t="s">
        <v>761</v>
      </c>
      <c r="F665" s="21" t="s">
        <v>2162</v>
      </c>
    </row>
    <row r="666" customFormat="false" ht="15" hidden="false" customHeight="false" outlineLevel="0" collapsed="false">
      <c r="B666" s="19" t="s">
        <v>13890</v>
      </c>
      <c r="C666" s="20" t="n">
        <f aca="false">ROUND(10.95/FX,2)</f>
        <v>1.52</v>
      </c>
      <c r="D666" s="21" t="s">
        <v>13732</v>
      </c>
      <c r="E666" s="21" t="s">
        <v>761</v>
      </c>
      <c r="F666" s="21" t="s">
        <v>2177</v>
      </c>
    </row>
    <row r="667" customFormat="false" ht="15" hidden="false" customHeight="false" outlineLevel="0" collapsed="false">
      <c r="B667" s="19" t="s">
        <v>13891</v>
      </c>
      <c r="C667" s="20" t="n">
        <f aca="false">ROUND(2.34/FX,2)</f>
        <v>0.33</v>
      </c>
      <c r="D667" s="21" t="s">
        <v>13732</v>
      </c>
      <c r="E667" s="21" t="s">
        <v>761</v>
      </c>
      <c r="F667" s="21" t="s">
        <v>2931</v>
      </c>
    </row>
    <row r="668" customFormat="false" ht="15" hidden="false" customHeight="false" outlineLevel="0" collapsed="false">
      <c r="B668" s="19" t="s">
        <v>13892</v>
      </c>
      <c r="C668" s="20" t="n">
        <f aca="false">ROUND(11.13/FX,2)</f>
        <v>1.55</v>
      </c>
      <c r="D668" s="21" t="s">
        <v>13732</v>
      </c>
      <c r="E668" s="21" t="s">
        <v>761</v>
      </c>
      <c r="F668" s="21" t="s">
        <v>2182</v>
      </c>
    </row>
    <row r="669" customFormat="false" ht="15" hidden="false" customHeight="false" outlineLevel="0" collapsed="false">
      <c r="B669" s="19" t="s">
        <v>13893</v>
      </c>
      <c r="C669" s="20" t="n">
        <f aca="false">ROUND(2.47/FX,2)</f>
        <v>0.34</v>
      </c>
      <c r="D669" s="21" t="s">
        <v>13732</v>
      </c>
      <c r="E669" s="21" t="s">
        <v>761</v>
      </c>
      <c r="F669" s="21" t="s">
        <v>7275</v>
      </c>
    </row>
    <row r="670" customFormat="false" ht="15" hidden="false" customHeight="false" outlineLevel="0" collapsed="false">
      <c r="B670" s="19" t="s">
        <v>13894</v>
      </c>
      <c r="C670" s="20" t="n">
        <f aca="false">ROUND(11.31/FX,2)</f>
        <v>1.57</v>
      </c>
      <c r="D670" s="21" t="s">
        <v>13732</v>
      </c>
      <c r="E670" s="21" t="s">
        <v>761</v>
      </c>
      <c r="F670" s="21" t="s">
        <v>2187</v>
      </c>
    </row>
    <row r="671" customFormat="false" ht="15" hidden="false" customHeight="false" outlineLevel="0" collapsed="false">
      <c r="B671" s="19" t="s">
        <v>13895</v>
      </c>
      <c r="C671" s="20" t="n">
        <f aca="false">ROUND(11.67/FX,2)</f>
        <v>1.62</v>
      </c>
      <c r="D671" s="21" t="s">
        <v>13732</v>
      </c>
      <c r="E671" s="21" t="s">
        <v>761</v>
      </c>
      <c r="F671" s="21" t="s">
        <v>2212</v>
      </c>
    </row>
    <row r="672" customFormat="false" ht="15" hidden="false" customHeight="false" outlineLevel="0" collapsed="false">
      <c r="B672" s="19" t="s">
        <v>13896</v>
      </c>
      <c r="C672" s="20" t="n">
        <f aca="false">ROUND(2.21/FX,2)</f>
        <v>0.31</v>
      </c>
      <c r="D672" s="21" t="s">
        <v>13732</v>
      </c>
      <c r="E672" s="21" t="s">
        <v>761</v>
      </c>
      <c r="F672" s="21" t="s">
        <v>2961</v>
      </c>
    </row>
    <row r="673" customFormat="false" ht="15" hidden="false" customHeight="false" outlineLevel="0" collapsed="false">
      <c r="B673" s="19" t="s">
        <v>13897</v>
      </c>
      <c r="C673" s="20" t="n">
        <f aca="false">ROUND(12.22/FX,2)</f>
        <v>1.7</v>
      </c>
      <c r="D673" s="21" t="s">
        <v>13732</v>
      </c>
      <c r="E673" s="21" t="s">
        <v>761</v>
      </c>
      <c r="F673" s="21" t="s">
        <v>2227</v>
      </c>
    </row>
    <row r="674" customFormat="false" ht="15" hidden="false" customHeight="false" outlineLevel="0" collapsed="false">
      <c r="B674" s="19" t="s">
        <v>13898</v>
      </c>
      <c r="C674" s="20" t="n">
        <f aca="false">ROUND(12.58/FX,2)</f>
        <v>1.75</v>
      </c>
      <c r="D674" s="21" t="s">
        <v>13732</v>
      </c>
      <c r="E674" s="21" t="s">
        <v>761</v>
      </c>
      <c r="F674" s="21" t="s">
        <v>5448</v>
      </c>
    </row>
    <row r="675" customFormat="false" ht="15" hidden="false" customHeight="false" outlineLevel="0" collapsed="false">
      <c r="B675" s="19" t="s">
        <v>13899</v>
      </c>
      <c r="C675" s="20" t="n">
        <f aca="false">ROUND(13.13/FX,2)</f>
        <v>1.82</v>
      </c>
      <c r="D675" s="21" t="s">
        <v>13732</v>
      </c>
      <c r="E675" s="21" t="s">
        <v>761</v>
      </c>
      <c r="F675" s="21" t="s">
        <v>2297</v>
      </c>
    </row>
    <row r="676" customFormat="false" ht="15" hidden="false" customHeight="false" outlineLevel="0" collapsed="false">
      <c r="B676" s="19" t="s">
        <v>13900</v>
      </c>
      <c r="C676" s="20" t="n">
        <f aca="false">ROUND(13.49/FX,2)</f>
        <v>1.87</v>
      </c>
      <c r="D676" s="21" t="s">
        <v>13732</v>
      </c>
      <c r="E676" s="21" t="s">
        <v>761</v>
      </c>
      <c r="F676" s="21" t="s">
        <v>2315</v>
      </c>
    </row>
    <row r="677" customFormat="false" ht="15" hidden="false" customHeight="false" outlineLevel="0" collapsed="false">
      <c r="B677" s="19" t="s">
        <v>13901</v>
      </c>
      <c r="C677" s="20" t="n">
        <f aca="false">ROUND(2.47/FX,2)</f>
        <v>0.34</v>
      </c>
      <c r="D677" s="21" t="s">
        <v>13732</v>
      </c>
      <c r="E677" s="21" t="s">
        <v>761</v>
      </c>
      <c r="F677" s="21" t="s">
        <v>3011</v>
      </c>
    </row>
    <row r="678" customFormat="false" ht="15" hidden="false" customHeight="false" outlineLevel="0" collapsed="false">
      <c r="B678" s="19" t="s">
        <v>13902</v>
      </c>
      <c r="C678" s="20" t="n">
        <f aca="false">ROUND(14.04/FX,2)</f>
        <v>1.95</v>
      </c>
      <c r="D678" s="21" t="s">
        <v>13732</v>
      </c>
      <c r="E678" s="21" t="s">
        <v>761</v>
      </c>
      <c r="F678" s="21" t="s">
        <v>2351</v>
      </c>
    </row>
    <row r="679" customFormat="false" ht="15" hidden="false" customHeight="false" outlineLevel="0" collapsed="false">
      <c r="B679" s="19" t="s">
        <v>13903</v>
      </c>
      <c r="C679" s="20" t="n">
        <f aca="false">ROUND(14.22/FX,2)</f>
        <v>1.98</v>
      </c>
      <c r="D679" s="21" t="s">
        <v>13732</v>
      </c>
      <c r="E679" s="21" t="s">
        <v>761</v>
      </c>
      <c r="F679" s="21" t="s">
        <v>2363</v>
      </c>
    </row>
    <row r="680" customFormat="false" ht="15" hidden="false" customHeight="false" outlineLevel="0" collapsed="false">
      <c r="B680" s="19" t="s">
        <v>13904</v>
      </c>
      <c r="C680" s="20" t="n">
        <f aca="false">ROUND(14.95/FX,2)</f>
        <v>2.08</v>
      </c>
      <c r="D680" s="21" t="s">
        <v>13732</v>
      </c>
      <c r="E680" s="21" t="s">
        <v>761</v>
      </c>
      <c r="F680" s="21" t="s">
        <v>2400</v>
      </c>
    </row>
    <row r="681" customFormat="false" ht="15" hidden="false" customHeight="false" outlineLevel="0" collapsed="false">
      <c r="B681" s="19" t="s">
        <v>13905</v>
      </c>
      <c r="C681" s="20" t="n">
        <f aca="false">ROUND(3.12/FX,2)</f>
        <v>0.43</v>
      </c>
      <c r="D681" s="21" t="s">
        <v>13732</v>
      </c>
      <c r="E681" s="21" t="s">
        <v>761</v>
      </c>
      <c r="F681" s="21" t="s">
        <v>3061</v>
      </c>
    </row>
    <row r="682" customFormat="false" ht="15" hidden="false" customHeight="false" outlineLevel="0" collapsed="false">
      <c r="B682" s="19" t="s">
        <v>13906</v>
      </c>
      <c r="C682" s="20" t="n">
        <f aca="false">ROUND(15.86/FX,2)</f>
        <v>2.2</v>
      </c>
      <c r="D682" s="21" t="s">
        <v>13732</v>
      </c>
      <c r="E682" s="21" t="s">
        <v>761</v>
      </c>
      <c r="F682" s="21" t="s">
        <v>2440</v>
      </c>
    </row>
    <row r="683" customFormat="false" ht="15" hidden="false" customHeight="false" outlineLevel="0" collapsed="false">
      <c r="B683" s="19" t="s">
        <v>13907</v>
      </c>
      <c r="C683" s="20" t="n">
        <f aca="false">ROUND(16.22/FX,2)</f>
        <v>2.25</v>
      </c>
      <c r="D683" s="21" t="s">
        <v>13732</v>
      </c>
      <c r="E683" s="21" t="s">
        <v>761</v>
      </c>
      <c r="F683" s="21" t="s">
        <v>5587</v>
      </c>
    </row>
    <row r="684" customFormat="false" ht="15" hidden="false" customHeight="false" outlineLevel="0" collapsed="false">
      <c r="B684" s="19" t="s">
        <v>13908</v>
      </c>
      <c r="C684" s="20" t="n">
        <f aca="false">ROUND(5.85/FX,2)</f>
        <v>0.81</v>
      </c>
      <c r="D684" s="21" t="s">
        <v>13732</v>
      </c>
      <c r="E684" s="21" t="s">
        <v>761</v>
      </c>
      <c r="F684" s="21" t="s">
        <v>3111</v>
      </c>
    </row>
    <row r="685" customFormat="false" ht="15" hidden="false" customHeight="false" outlineLevel="0" collapsed="false">
      <c r="B685" s="19" t="s">
        <v>13909</v>
      </c>
      <c r="C685" s="20" t="n">
        <f aca="false">ROUND(17.68/FX,2)</f>
        <v>2.46</v>
      </c>
      <c r="D685" s="21" t="s">
        <v>13732</v>
      </c>
      <c r="E685" s="21" t="s">
        <v>761</v>
      </c>
      <c r="F685" s="21" t="s">
        <v>2500</v>
      </c>
    </row>
    <row r="686" customFormat="false" ht="15" hidden="false" customHeight="false" outlineLevel="0" collapsed="false">
      <c r="B686" s="19" t="s">
        <v>13910</v>
      </c>
      <c r="C686" s="20" t="n">
        <f aca="false">ROUND(20.8/FX,2)</f>
        <v>2.89</v>
      </c>
      <c r="D686" s="21" t="s">
        <v>13732</v>
      </c>
      <c r="E686" s="21" t="s">
        <v>4761</v>
      </c>
      <c r="F686" s="21" t="s">
        <v>1733</v>
      </c>
    </row>
    <row r="687" customFormat="false" ht="15" hidden="false" customHeight="false" outlineLevel="0" collapsed="false">
      <c r="B687" s="19" t="s">
        <v>13911</v>
      </c>
      <c r="C687" s="20" t="n">
        <f aca="false">ROUND(26.91/FX,2)</f>
        <v>3.74</v>
      </c>
      <c r="D687" s="21" t="s">
        <v>13732</v>
      </c>
      <c r="E687" s="21" t="s">
        <v>4761</v>
      </c>
      <c r="F687" s="21" t="s">
        <v>1894</v>
      </c>
    </row>
    <row r="688" customFormat="false" ht="15" hidden="false" customHeight="false" outlineLevel="0" collapsed="false">
      <c r="B688" s="19" t="s">
        <v>13912</v>
      </c>
      <c r="C688" s="20" t="n">
        <f aca="false">ROUND(4.68/FX,2)</f>
        <v>0.65</v>
      </c>
      <c r="D688" s="21" t="s">
        <v>13732</v>
      </c>
      <c r="E688" s="21" t="s">
        <v>4761</v>
      </c>
      <c r="F688" s="21" t="s">
        <v>1378</v>
      </c>
    </row>
    <row r="689" customFormat="false" ht="15" hidden="false" customHeight="false" outlineLevel="0" collapsed="false">
      <c r="B689" s="19" t="s">
        <v>13913</v>
      </c>
      <c r="C689" s="20" t="n">
        <f aca="false">ROUND(12.29/FX,2)</f>
        <v>1.71</v>
      </c>
      <c r="D689" s="21" t="s">
        <v>13732</v>
      </c>
      <c r="E689" s="21" t="s">
        <v>4761</v>
      </c>
      <c r="F689" s="21" t="s">
        <v>2297</v>
      </c>
    </row>
    <row r="690" customFormat="false" ht="15" hidden="false" customHeight="false" outlineLevel="0" collapsed="false">
      <c r="B690" s="19" t="s">
        <v>13914</v>
      </c>
      <c r="C690" s="20" t="n">
        <f aca="false">ROUND(10.14/FX,2)</f>
        <v>1.41</v>
      </c>
      <c r="D690" s="21" t="s">
        <v>13732</v>
      </c>
      <c r="E690" s="21" t="s">
        <v>4761</v>
      </c>
      <c r="F690" s="21" t="s">
        <v>2351</v>
      </c>
    </row>
    <row r="691" customFormat="false" ht="15" hidden="false" customHeight="false" outlineLevel="0" collapsed="false">
      <c r="B691" s="19" t="s">
        <v>13915</v>
      </c>
      <c r="C691" s="20" t="n">
        <f aca="false">ROUND(18.2/FX,2)</f>
        <v>2.53</v>
      </c>
      <c r="D691" s="21" t="s">
        <v>13732</v>
      </c>
      <c r="E691" s="21" t="s">
        <v>4721</v>
      </c>
      <c r="F691" s="21" t="s">
        <v>1733</v>
      </c>
    </row>
    <row r="692" customFormat="false" ht="15" hidden="false" customHeight="false" outlineLevel="0" collapsed="false">
      <c r="B692" s="19" t="s">
        <v>13916</v>
      </c>
      <c r="C692" s="20" t="n">
        <f aca="false">ROUND(9.26/FX,2)</f>
        <v>1.29</v>
      </c>
      <c r="D692" s="21" t="s">
        <v>13732</v>
      </c>
      <c r="E692" s="21" t="s">
        <v>4721</v>
      </c>
      <c r="F692" s="21" t="s">
        <v>1615</v>
      </c>
    </row>
    <row r="693" customFormat="false" ht="15" hidden="false" customHeight="false" outlineLevel="0" collapsed="false">
      <c r="B693" s="19" t="s">
        <v>13917</v>
      </c>
      <c r="C693" s="20" t="n">
        <f aca="false">ROUND(15.34/FX,2)</f>
        <v>2.13</v>
      </c>
      <c r="D693" s="21" t="s">
        <v>13732</v>
      </c>
      <c r="E693" s="21" t="s">
        <v>4721</v>
      </c>
      <c r="F693" s="21" t="s">
        <v>2227</v>
      </c>
    </row>
    <row r="694" customFormat="false" ht="15" hidden="false" customHeight="false" outlineLevel="0" collapsed="false">
      <c r="B694" s="19" t="s">
        <v>13918</v>
      </c>
      <c r="C694" s="20" t="n">
        <f aca="false">ROUND(5.2/FX,2)</f>
        <v>0.72</v>
      </c>
      <c r="D694" s="21" t="s">
        <v>13732</v>
      </c>
      <c r="E694" s="21" t="s">
        <v>714</v>
      </c>
      <c r="F694" s="21" t="s">
        <v>993</v>
      </c>
    </row>
    <row r="695" customFormat="false" ht="15" hidden="false" customHeight="false" outlineLevel="0" collapsed="false">
      <c r="B695" s="19" t="s">
        <v>13919</v>
      </c>
      <c r="C695" s="20" t="n">
        <f aca="false">ROUND(18.2/FX,2)</f>
        <v>2.53</v>
      </c>
      <c r="D695" s="21" t="s">
        <v>13732</v>
      </c>
      <c r="E695" s="21" t="s">
        <v>3833</v>
      </c>
      <c r="F695" s="21" t="s">
        <v>1733</v>
      </c>
    </row>
    <row r="696" customFormat="false" ht="15" hidden="false" customHeight="false" outlineLevel="0" collapsed="false">
      <c r="B696" s="19" t="s">
        <v>13920</v>
      </c>
      <c r="C696" s="20" t="n">
        <f aca="false">ROUND(36.4/FX,2)</f>
        <v>5.06</v>
      </c>
      <c r="D696" s="21" t="s">
        <v>13732</v>
      </c>
      <c r="E696" s="21" t="s">
        <v>3833</v>
      </c>
      <c r="F696" s="21" t="s">
        <v>1881</v>
      </c>
    </row>
    <row r="697" customFormat="false" ht="15" hidden="false" customHeight="false" outlineLevel="0" collapsed="false">
      <c r="B697" s="19" t="s">
        <v>13921</v>
      </c>
      <c r="C697" s="20" t="n">
        <f aca="false">ROUND(36.87/FX,2)</f>
        <v>5.12</v>
      </c>
      <c r="D697" s="21" t="s">
        <v>13732</v>
      </c>
      <c r="E697" s="21" t="s">
        <v>3833</v>
      </c>
      <c r="F697" s="21" t="s">
        <v>1894</v>
      </c>
    </row>
    <row r="698" customFormat="false" ht="15" hidden="false" customHeight="false" outlineLevel="0" collapsed="false">
      <c r="B698" s="19" t="s">
        <v>13922</v>
      </c>
      <c r="C698" s="20" t="n">
        <f aca="false">ROUND(5.98/FX,2)</f>
        <v>0.83</v>
      </c>
      <c r="D698" s="21" t="s">
        <v>13732</v>
      </c>
      <c r="E698" s="21" t="s">
        <v>3833</v>
      </c>
      <c r="F698" s="21" t="s">
        <v>1048</v>
      </c>
    </row>
    <row r="699" customFormat="false" ht="15" hidden="false" customHeight="false" outlineLevel="0" collapsed="false">
      <c r="B699" s="19" t="s">
        <v>13923</v>
      </c>
      <c r="C699" s="20" t="n">
        <f aca="false">ROUND(6.68/FX,2)</f>
        <v>0.93</v>
      </c>
      <c r="D699" s="21" t="s">
        <v>13732</v>
      </c>
      <c r="E699" s="21" t="s">
        <v>3833</v>
      </c>
      <c r="F699" s="21" t="s">
        <v>1213</v>
      </c>
    </row>
    <row r="700" customFormat="false" ht="15" hidden="false" customHeight="false" outlineLevel="0" collapsed="false">
      <c r="B700" s="19" t="s">
        <v>13924</v>
      </c>
      <c r="C700" s="20" t="n">
        <f aca="false">ROUND(7.15/FX,2)</f>
        <v>0.99</v>
      </c>
      <c r="D700" s="21" t="s">
        <v>13732</v>
      </c>
      <c r="E700" s="21" t="s">
        <v>3833</v>
      </c>
      <c r="F700" s="21" t="s">
        <v>1323</v>
      </c>
    </row>
    <row r="701" customFormat="false" ht="15" hidden="false" customHeight="false" outlineLevel="0" collapsed="false">
      <c r="B701" s="19" t="s">
        <v>13925</v>
      </c>
      <c r="C701" s="20" t="n">
        <f aca="false">ROUND(7.27/FX,2)</f>
        <v>1.01</v>
      </c>
      <c r="D701" s="21" t="s">
        <v>13732</v>
      </c>
      <c r="E701" s="21" t="s">
        <v>3833</v>
      </c>
      <c r="F701" s="21" t="s">
        <v>4083</v>
      </c>
    </row>
    <row r="702" customFormat="false" ht="15" hidden="false" customHeight="false" outlineLevel="0" collapsed="false">
      <c r="B702" s="19" t="s">
        <v>13926</v>
      </c>
      <c r="C702" s="20" t="n">
        <f aca="false">ROUND(8.32/FX,2)</f>
        <v>1.16</v>
      </c>
      <c r="D702" s="21" t="s">
        <v>13732</v>
      </c>
      <c r="E702" s="21" t="s">
        <v>3833</v>
      </c>
      <c r="F702" s="21" t="s">
        <v>1520</v>
      </c>
    </row>
    <row r="703" customFormat="false" ht="15" hidden="false" customHeight="false" outlineLevel="0" collapsed="false">
      <c r="B703" s="19" t="s">
        <v>13927</v>
      </c>
      <c r="C703" s="20" t="n">
        <f aca="false">ROUND(9.49/FX,2)</f>
        <v>1.32</v>
      </c>
      <c r="D703" s="21" t="s">
        <v>13732</v>
      </c>
      <c r="E703" s="21" t="s">
        <v>3833</v>
      </c>
      <c r="F703" s="21" t="s">
        <v>1635</v>
      </c>
    </row>
    <row r="704" customFormat="false" ht="15" hidden="false" customHeight="false" outlineLevel="0" collapsed="false">
      <c r="B704" s="19" t="s">
        <v>13928</v>
      </c>
      <c r="C704" s="20" t="n">
        <f aca="false">ROUND(10.19/FX,2)</f>
        <v>1.42</v>
      </c>
      <c r="D704" s="21" t="s">
        <v>13732</v>
      </c>
      <c r="E704" s="21" t="s">
        <v>3833</v>
      </c>
      <c r="F704" s="21" t="s">
        <v>1685</v>
      </c>
    </row>
    <row r="705" customFormat="false" ht="15" hidden="false" customHeight="false" outlineLevel="0" collapsed="false">
      <c r="B705" s="19" t="s">
        <v>13929</v>
      </c>
      <c r="C705" s="20" t="n">
        <f aca="false">ROUND(10.31/FX,2)</f>
        <v>1.43</v>
      </c>
      <c r="D705" s="21" t="s">
        <v>13732</v>
      </c>
      <c r="E705" s="21" t="s">
        <v>3833</v>
      </c>
      <c r="F705" s="21" t="s">
        <v>5058</v>
      </c>
    </row>
    <row r="706" customFormat="false" ht="15" hidden="false" customHeight="false" outlineLevel="0" collapsed="false">
      <c r="B706" s="19" t="s">
        <v>13930</v>
      </c>
      <c r="C706" s="20" t="n">
        <f aca="false">ROUND(10.66/FX,2)</f>
        <v>1.48</v>
      </c>
      <c r="D706" s="21" t="s">
        <v>13732</v>
      </c>
      <c r="E706" s="21" t="s">
        <v>3833</v>
      </c>
      <c r="F706" s="21" t="s">
        <v>2002</v>
      </c>
    </row>
    <row r="707" customFormat="false" ht="15" hidden="false" customHeight="false" outlineLevel="0" collapsed="false">
      <c r="B707" s="19" t="s">
        <v>13931</v>
      </c>
      <c r="C707" s="20" t="n">
        <f aca="false">ROUND(11.83/FX,2)</f>
        <v>1.64</v>
      </c>
      <c r="D707" s="21" t="s">
        <v>13732</v>
      </c>
      <c r="E707" s="21" t="s">
        <v>3833</v>
      </c>
      <c r="F707" s="21" t="s">
        <v>2067</v>
      </c>
    </row>
    <row r="708" customFormat="false" ht="15" hidden="false" customHeight="false" outlineLevel="0" collapsed="false">
      <c r="B708" s="19" t="s">
        <v>13932</v>
      </c>
      <c r="C708" s="20" t="n">
        <f aca="false">ROUND(12.06/FX,2)</f>
        <v>1.68</v>
      </c>
      <c r="D708" s="21" t="s">
        <v>13732</v>
      </c>
      <c r="E708" s="21" t="s">
        <v>3833</v>
      </c>
      <c r="F708" s="21" t="s">
        <v>2082</v>
      </c>
    </row>
    <row r="709" customFormat="false" ht="15" hidden="false" customHeight="false" outlineLevel="0" collapsed="false">
      <c r="B709" s="19" t="s">
        <v>13933</v>
      </c>
      <c r="C709" s="20" t="n">
        <f aca="false">ROUND(13/FX,2)</f>
        <v>1.81</v>
      </c>
      <c r="D709" s="21" t="s">
        <v>13732</v>
      </c>
      <c r="E709" s="21" t="s">
        <v>3833</v>
      </c>
      <c r="F709" s="21" t="s">
        <v>2142</v>
      </c>
    </row>
    <row r="710" customFormat="false" ht="15" hidden="false" customHeight="false" outlineLevel="0" collapsed="false">
      <c r="B710" s="19" t="s">
        <v>13934</v>
      </c>
      <c r="C710" s="20" t="n">
        <f aca="false">ROUND(14.17/FX,2)</f>
        <v>1.97</v>
      </c>
      <c r="D710" s="21" t="s">
        <v>13732</v>
      </c>
      <c r="E710" s="21" t="s">
        <v>3833</v>
      </c>
      <c r="F710" s="21" t="s">
        <v>2187</v>
      </c>
    </row>
    <row r="711" customFormat="false" ht="15" hidden="false" customHeight="false" outlineLevel="0" collapsed="false">
      <c r="B711" s="19" t="s">
        <v>13935</v>
      </c>
      <c r="C711" s="20" t="n">
        <f aca="false">ROUND(15.34/FX,2)</f>
        <v>2.13</v>
      </c>
      <c r="D711" s="21" t="s">
        <v>13732</v>
      </c>
      <c r="E711" s="21" t="s">
        <v>3833</v>
      </c>
      <c r="F711" s="21" t="s">
        <v>2227</v>
      </c>
    </row>
    <row r="712" customFormat="false" ht="15" hidden="false" customHeight="false" outlineLevel="0" collapsed="false">
      <c r="B712" s="19" t="s">
        <v>13936</v>
      </c>
      <c r="C712" s="20" t="n">
        <f aca="false">ROUND(16.51/FX,2)</f>
        <v>2.29</v>
      </c>
      <c r="D712" s="21" t="s">
        <v>13732</v>
      </c>
      <c r="E712" s="21" t="s">
        <v>3833</v>
      </c>
      <c r="F712" s="21" t="s">
        <v>2297</v>
      </c>
    </row>
    <row r="713" customFormat="false" ht="15" hidden="false" customHeight="false" outlineLevel="0" collapsed="false">
      <c r="B713" s="19" t="s">
        <v>13937</v>
      </c>
      <c r="C713" s="20" t="n">
        <f aca="false">ROUND(17.68/FX,2)</f>
        <v>2.46</v>
      </c>
      <c r="D713" s="21" t="s">
        <v>13732</v>
      </c>
      <c r="E713" s="21" t="s">
        <v>3833</v>
      </c>
      <c r="F713" s="21" t="s">
        <v>2351</v>
      </c>
    </row>
    <row r="714" customFormat="false" ht="15" hidden="false" customHeight="false" outlineLevel="0" collapsed="false">
      <c r="B714" s="19" t="s">
        <v>13938</v>
      </c>
      <c r="C714" s="20" t="n">
        <f aca="false">ROUND(17.91/FX,2)</f>
        <v>2.49</v>
      </c>
      <c r="D714" s="21" t="s">
        <v>13732</v>
      </c>
      <c r="E714" s="21" t="s">
        <v>3833</v>
      </c>
      <c r="F714" s="21" t="s">
        <v>2363</v>
      </c>
    </row>
    <row r="715" customFormat="false" ht="15" hidden="false" customHeight="false" outlineLevel="0" collapsed="false">
      <c r="B715" s="19" t="s">
        <v>13939</v>
      </c>
      <c r="C715" s="20" t="n">
        <f aca="false">ROUND(20.02/FX,2)</f>
        <v>2.78</v>
      </c>
      <c r="D715" s="21" t="s">
        <v>13732</v>
      </c>
      <c r="E715" s="21" t="s">
        <v>3833</v>
      </c>
      <c r="F715" s="21" t="s">
        <v>2440</v>
      </c>
    </row>
    <row r="716" customFormat="false" ht="15" hidden="false" customHeight="false" outlineLevel="0" collapsed="false">
      <c r="B716" s="19" t="s">
        <v>13940</v>
      </c>
      <c r="C716" s="20" t="n">
        <f aca="false">ROUND(32.5/FX,2)</f>
        <v>4.51</v>
      </c>
      <c r="D716" s="21" t="s">
        <v>13732</v>
      </c>
      <c r="E716" s="21" t="s">
        <v>4000</v>
      </c>
      <c r="F716" s="21" t="s">
        <v>1733</v>
      </c>
    </row>
    <row r="717" customFormat="false" ht="15" hidden="false" customHeight="false" outlineLevel="0" collapsed="false">
      <c r="B717" s="19" t="s">
        <v>13941</v>
      </c>
      <c r="C717" s="20" t="n">
        <f aca="false">ROUND(18.72/FX,2)</f>
        <v>2.6</v>
      </c>
      <c r="D717" s="21" t="s">
        <v>13732</v>
      </c>
      <c r="E717" s="21" t="s">
        <v>4000</v>
      </c>
      <c r="F717" s="21" t="s">
        <v>2227</v>
      </c>
    </row>
    <row r="718" customFormat="false" ht="15" hidden="false" customHeight="false" outlineLevel="0" collapsed="false">
      <c r="B718" s="19" t="s">
        <v>13942</v>
      </c>
      <c r="C718" s="20" t="n">
        <f aca="false">ROUND(26/FX,2)</f>
        <v>3.61</v>
      </c>
      <c r="D718" s="21" t="s">
        <v>13732</v>
      </c>
      <c r="E718" s="21" t="s">
        <v>3247</v>
      </c>
      <c r="F718" s="21" t="s">
        <v>1733</v>
      </c>
    </row>
    <row r="719" customFormat="false" ht="15" hidden="false" customHeight="false" outlineLevel="0" collapsed="false">
      <c r="B719" s="19" t="s">
        <v>13943</v>
      </c>
      <c r="C719" s="20" t="n">
        <f aca="false">ROUND(35.75/FX,2)</f>
        <v>4.97</v>
      </c>
      <c r="D719" s="21" t="s">
        <v>13732</v>
      </c>
      <c r="E719" s="21" t="s">
        <v>3247</v>
      </c>
      <c r="F719" s="21" t="s">
        <v>13944</v>
      </c>
    </row>
    <row r="720" customFormat="false" ht="15" hidden="false" customHeight="false" outlineLevel="0" collapsed="false">
      <c r="B720" s="19" t="s">
        <v>13945</v>
      </c>
      <c r="C720" s="20" t="n">
        <f aca="false">ROUND(49.4/FX,2)</f>
        <v>6.86</v>
      </c>
      <c r="D720" s="21" t="s">
        <v>13732</v>
      </c>
      <c r="E720" s="21" t="s">
        <v>3247</v>
      </c>
      <c r="F720" s="21" t="s">
        <v>4609</v>
      </c>
    </row>
    <row r="721" customFormat="false" ht="15" hidden="false" customHeight="false" outlineLevel="0" collapsed="false">
      <c r="B721" s="19" t="s">
        <v>13946</v>
      </c>
      <c r="C721" s="20" t="n">
        <f aca="false">ROUND(7.44/FX,2)</f>
        <v>1.03</v>
      </c>
      <c r="D721" s="21" t="s">
        <v>13732</v>
      </c>
      <c r="E721" s="21" t="s">
        <v>3247</v>
      </c>
      <c r="F721" s="21" t="s">
        <v>1048</v>
      </c>
    </row>
    <row r="722" customFormat="false" ht="15" hidden="false" customHeight="false" outlineLevel="0" collapsed="false">
      <c r="B722" s="19" t="s">
        <v>13947</v>
      </c>
      <c r="C722" s="20" t="n">
        <f aca="false">ROUND(68.9/FX,2)</f>
        <v>9.57</v>
      </c>
      <c r="D722" s="21" t="s">
        <v>13732</v>
      </c>
      <c r="E722" s="21" t="s">
        <v>3247</v>
      </c>
      <c r="F722" s="21" t="s">
        <v>1924</v>
      </c>
    </row>
    <row r="723" customFormat="false" ht="15" hidden="false" customHeight="false" outlineLevel="0" collapsed="false">
      <c r="B723" s="19" t="s">
        <v>13948</v>
      </c>
      <c r="C723" s="20" t="n">
        <f aca="false">ROUND(9.75/FX,2)</f>
        <v>1.35</v>
      </c>
      <c r="D723" s="21" t="s">
        <v>13732</v>
      </c>
      <c r="E723" s="21" t="s">
        <v>3247</v>
      </c>
      <c r="F723" s="21" t="s">
        <v>1323</v>
      </c>
    </row>
    <row r="724" customFormat="false" ht="15" hidden="false" customHeight="false" outlineLevel="0" collapsed="false">
      <c r="B724" s="19" t="s">
        <v>13949</v>
      </c>
      <c r="C724" s="20" t="n">
        <f aca="false">ROUND(11.7/FX,2)</f>
        <v>1.63</v>
      </c>
      <c r="D724" s="21" t="s">
        <v>13732</v>
      </c>
      <c r="E724" s="21" t="s">
        <v>3247</v>
      </c>
      <c r="F724" s="21" t="s">
        <v>1520</v>
      </c>
    </row>
    <row r="725" customFormat="false" ht="15" hidden="false" customHeight="false" outlineLevel="0" collapsed="false">
      <c r="B725" s="19" t="s">
        <v>13950</v>
      </c>
      <c r="C725" s="20" t="n">
        <f aca="false">ROUND(78/FX,2)</f>
        <v>10.83</v>
      </c>
      <c r="D725" s="21" t="s">
        <v>13732</v>
      </c>
      <c r="E725" s="21" t="s">
        <v>3247</v>
      </c>
      <c r="F725" s="21" t="s">
        <v>1954</v>
      </c>
    </row>
    <row r="726" customFormat="false" ht="15" hidden="false" customHeight="false" outlineLevel="0" collapsed="false">
      <c r="B726" s="19" t="s">
        <v>13951</v>
      </c>
      <c r="C726" s="20" t="n">
        <f aca="false">ROUND(13.65/FX,2)</f>
        <v>1.9</v>
      </c>
      <c r="D726" s="21" t="s">
        <v>13732</v>
      </c>
      <c r="E726" s="21" t="s">
        <v>3247</v>
      </c>
      <c r="F726" s="21" t="s">
        <v>1635</v>
      </c>
    </row>
    <row r="727" customFormat="false" ht="15" hidden="false" customHeight="false" outlineLevel="0" collapsed="false">
      <c r="B727" s="19" t="s">
        <v>13952</v>
      </c>
      <c r="C727" s="20" t="n">
        <f aca="false">ROUND(15.6/FX,2)</f>
        <v>2.17</v>
      </c>
      <c r="D727" s="21" t="s">
        <v>13732</v>
      </c>
      <c r="E727" s="21" t="s">
        <v>3247</v>
      </c>
      <c r="F727" s="21" t="s">
        <v>2002</v>
      </c>
    </row>
    <row r="728" customFormat="false" ht="15" hidden="false" customHeight="false" outlineLevel="0" collapsed="false">
      <c r="B728" s="19" t="s">
        <v>13953</v>
      </c>
      <c r="C728" s="20" t="n">
        <f aca="false">ROUND(15.04/FX,2)</f>
        <v>2.09</v>
      </c>
      <c r="D728" s="21" t="s">
        <v>13732</v>
      </c>
      <c r="E728" s="21" t="s">
        <v>3247</v>
      </c>
      <c r="F728" s="21" t="s">
        <v>2067</v>
      </c>
    </row>
    <row r="729" customFormat="false" ht="15" hidden="false" customHeight="false" outlineLevel="0" collapsed="false">
      <c r="B729" s="19" t="s">
        <v>13954</v>
      </c>
      <c r="C729" s="20" t="n">
        <f aca="false">ROUND(19.5/FX,2)</f>
        <v>2.71</v>
      </c>
      <c r="D729" s="21" t="s">
        <v>13732</v>
      </c>
      <c r="E729" s="21" t="s">
        <v>3247</v>
      </c>
      <c r="F729" s="21" t="s">
        <v>2142</v>
      </c>
    </row>
    <row r="730" customFormat="false" ht="15" hidden="false" customHeight="false" outlineLevel="0" collapsed="false">
      <c r="B730" s="19" t="s">
        <v>13955</v>
      </c>
      <c r="C730" s="20" t="n">
        <f aca="false">ROUND(18.08/FX,2)</f>
        <v>2.51</v>
      </c>
      <c r="D730" s="21" t="s">
        <v>13732</v>
      </c>
      <c r="E730" s="21" t="s">
        <v>3247</v>
      </c>
      <c r="F730" s="21" t="s">
        <v>2187</v>
      </c>
    </row>
    <row r="731" customFormat="false" ht="15" hidden="false" customHeight="false" outlineLevel="0" collapsed="false">
      <c r="B731" s="19" t="s">
        <v>13956</v>
      </c>
      <c r="C731" s="20" t="n">
        <f aca="false">ROUND(23.4/FX,2)</f>
        <v>3.25</v>
      </c>
      <c r="D731" s="21" t="s">
        <v>13732</v>
      </c>
      <c r="E731" s="21" t="s">
        <v>3247</v>
      </c>
      <c r="F731" s="21" t="s">
        <v>13957</v>
      </c>
    </row>
    <row r="732" customFormat="false" ht="15" hidden="false" customHeight="false" outlineLevel="0" collapsed="false">
      <c r="B732" s="19" t="s">
        <v>13958</v>
      </c>
      <c r="C732" s="20" t="n">
        <f aca="false">ROUND(19.6/FX,2)</f>
        <v>2.72</v>
      </c>
      <c r="D732" s="21" t="s">
        <v>13732</v>
      </c>
      <c r="E732" s="21" t="s">
        <v>3247</v>
      </c>
      <c r="F732" s="21" t="s">
        <v>2227</v>
      </c>
    </row>
    <row r="733" customFormat="false" ht="15" hidden="false" customHeight="false" outlineLevel="0" collapsed="false">
      <c r="B733" s="19" t="s">
        <v>13959</v>
      </c>
      <c r="C733" s="20" t="n">
        <f aca="false">ROUND(19.42/FX,2)</f>
        <v>2.7</v>
      </c>
      <c r="D733" s="21" t="s">
        <v>13732</v>
      </c>
      <c r="E733" s="21" t="s">
        <v>3247</v>
      </c>
      <c r="F733" s="21" t="s">
        <v>13960</v>
      </c>
    </row>
    <row r="734" customFormat="false" ht="15" hidden="false" customHeight="false" outlineLevel="0" collapsed="false">
      <c r="B734" s="19" t="s">
        <v>13961</v>
      </c>
      <c r="C734" s="20" t="n">
        <f aca="false">ROUND(21.12/FX,2)</f>
        <v>2.93</v>
      </c>
      <c r="D734" s="21" t="s">
        <v>13732</v>
      </c>
      <c r="E734" s="21" t="s">
        <v>3247</v>
      </c>
      <c r="F734" s="21" t="s">
        <v>2297</v>
      </c>
    </row>
    <row r="735" customFormat="false" ht="15" hidden="false" customHeight="false" outlineLevel="0" collapsed="false">
      <c r="B735" s="19" t="s">
        <v>13962</v>
      </c>
      <c r="C735" s="20" t="n">
        <f aca="false">ROUND(19.97/FX,2)</f>
        <v>2.77</v>
      </c>
      <c r="D735" s="21" t="s">
        <v>13732</v>
      </c>
      <c r="E735" s="21" t="s">
        <v>3247</v>
      </c>
      <c r="F735" s="21" t="s">
        <v>13963</v>
      </c>
    </row>
    <row r="736" customFormat="false" ht="15" hidden="false" customHeight="false" outlineLevel="0" collapsed="false">
      <c r="B736" s="19" t="s">
        <v>13964</v>
      </c>
      <c r="C736" s="20" t="n">
        <f aca="false">ROUND(20.28/FX,2)</f>
        <v>2.82</v>
      </c>
      <c r="D736" s="21" t="s">
        <v>13732</v>
      </c>
      <c r="E736" s="21" t="s">
        <v>3247</v>
      </c>
      <c r="F736" s="21" t="s">
        <v>2327</v>
      </c>
    </row>
    <row r="737" customFormat="false" ht="15" hidden="false" customHeight="false" outlineLevel="0" collapsed="false">
      <c r="B737" s="19" t="s">
        <v>13965</v>
      </c>
      <c r="C737" s="20" t="n">
        <f aca="false">ROUND(21.32/FX,2)</f>
        <v>2.96</v>
      </c>
      <c r="D737" s="21" t="s">
        <v>13732</v>
      </c>
      <c r="E737" s="21" t="s">
        <v>3247</v>
      </c>
      <c r="F737" s="21" t="s">
        <v>2369</v>
      </c>
    </row>
    <row r="738" customFormat="false" ht="15" hidden="false" customHeight="false" outlineLevel="0" collapsed="false">
      <c r="B738" s="19" t="s">
        <v>13966</v>
      </c>
      <c r="C738" s="20" t="n">
        <f aca="false">ROUND(28.34/FX,2)</f>
        <v>3.94</v>
      </c>
      <c r="D738" s="21" t="s">
        <v>13732</v>
      </c>
      <c r="E738" s="21" t="s">
        <v>3247</v>
      </c>
      <c r="F738" s="21" t="s">
        <v>2440</v>
      </c>
    </row>
    <row r="739" customFormat="false" ht="15" hidden="false" customHeight="false" outlineLevel="0" collapsed="false">
      <c r="B739" s="19" t="s">
        <v>13967</v>
      </c>
      <c r="C739" s="20" t="n">
        <f aca="false">ROUND(33.15/FX,2)</f>
        <v>4.6</v>
      </c>
      <c r="D739" s="21" t="s">
        <v>13732</v>
      </c>
      <c r="E739" s="21" t="s">
        <v>3247</v>
      </c>
      <c r="F739" s="21" t="s">
        <v>2470</v>
      </c>
    </row>
    <row r="740" customFormat="false" ht="15" hidden="false" customHeight="false" outlineLevel="0" collapsed="false">
      <c r="B740" s="19" t="s">
        <v>13968</v>
      </c>
      <c r="C740" s="20" t="n">
        <f aca="false">ROUND(28.73/FX,2)</f>
        <v>3.99</v>
      </c>
      <c r="D740" s="21" t="s">
        <v>13732</v>
      </c>
      <c r="E740" s="21" t="s">
        <v>3247</v>
      </c>
      <c r="F740" s="21" t="s">
        <v>2500</v>
      </c>
    </row>
    <row r="741" customFormat="false" ht="15" hidden="false" customHeight="false" outlineLevel="0" collapsed="false">
      <c r="B741" s="19" t="s">
        <v>13969</v>
      </c>
      <c r="C741" s="20" t="n">
        <f aca="false">ROUND(44.04/FX,2)</f>
        <v>6.12</v>
      </c>
      <c r="D741" s="21" t="s">
        <v>13732</v>
      </c>
      <c r="E741" s="21" t="s">
        <v>3317</v>
      </c>
      <c r="F741" s="21" t="s">
        <v>1733</v>
      </c>
    </row>
    <row r="742" customFormat="false" ht="15" hidden="false" customHeight="false" outlineLevel="0" collapsed="false">
      <c r="B742" s="19" t="s">
        <v>13970</v>
      </c>
      <c r="C742" s="20" t="n">
        <f aca="false">ROUND(17.29/FX,2)</f>
        <v>2.4</v>
      </c>
      <c r="D742" s="21" t="s">
        <v>13732</v>
      </c>
      <c r="E742" s="21" t="s">
        <v>3317</v>
      </c>
      <c r="F742" s="21" t="s">
        <v>1520</v>
      </c>
    </row>
    <row r="743" customFormat="false" ht="15" hidden="false" customHeight="false" outlineLevel="0" collapsed="false">
      <c r="B743" s="19" t="s">
        <v>13971</v>
      </c>
      <c r="C743" s="20" t="n">
        <f aca="false">ROUND(27.95/FX,2)</f>
        <v>3.88</v>
      </c>
      <c r="D743" s="21" t="s">
        <v>13732</v>
      </c>
      <c r="E743" s="21" t="s">
        <v>3317</v>
      </c>
      <c r="F743" s="21" t="s">
        <v>2142</v>
      </c>
    </row>
    <row r="744" customFormat="false" ht="15" hidden="false" customHeight="false" outlineLevel="0" collapsed="false">
      <c r="B744" s="19" t="s">
        <v>13972</v>
      </c>
      <c r="C744" s="20" t="n">
        <f aca="false">ROUND(31.17/FX,2)</f>
        <v>4.33</v>
      </c>
      <c r="D744" s="21" t="s">
        <v>13732</v>
      </c>
      <c r="E744" s="21" t="s">
        <v>3317</v>
      </c>
      <c r="F744" s="21" t="s">
        <v>2351</v>
      </c>
    </row>
    <row r="745" customFormat="false" ht="15" hidden="false" customHeight="false" outlineLevel="0" collapsed="false">
      <c r="B745" s="19" t="s">
        <v>13973</v>
      </c>
      <c r="C745" s="20" t="n">
        <f aca="false">ROUND(1.04/FX,2)</f>
        <v>0.14</v>
      </c>
      <c r="D745" s="21" t="s">
        <v>13974</v>
      </c>
      <c r="E745" s="21" t="s">
        <v>841</v>
      </c>
      <c r="F745" s="21" t="s">
        <v>707</v>
      </c>
    </row>
    <row r="746" customFormat="false" ht="15" hidden="false" customHeight="false" outlineLevel="0" collapsed="false">
      <c r="B746" s="19" t="s">
        <v>13975</v>
      </c>
      <c r="C746" s="20" t="n">
        <f aca="false">ROUND(1.88/FX,2)</f>
        <v>0.26</v>
      </c>
      <c r="D746" s="21" t="s">
        <v>13739</v>
      </c>
      <c r="E746" s="21" t="s">
        <v>841</v>
      </c>
      <c r="F746" s="21" t="s">
        <v>2600</v>
      </c>
    </row>
    <row r="747" customFormat="false" ht="15" hidden="false" customHeight="false" outlineLevel="0" collapsed="false">
      <c r="B747" s="19" t="s">
        <v>13976</v>
      </c>
      <c r="C747" s="20" t="n">
        <f aca="false">ROUND(24.7/FX,2)</f>
        <v>3.43</v>
      </c>
      <c r="D747" s="21" t="s">
        <v>13732</v>
      </c>
      <c r="E747" s="21" t="s">
        <v>841</v>
      </c>
      <c r="F747" s="21" t="s">
        <v>1733</v>
      </c>
    </row>
    <row r="748" customFormat="false" ht="15" hidden="false" customHeight="false" outlineLevel="0" collapsed="false">
      <c r="B748" s="19" t="s">
        <v>13977</v>
      </c>
      <c r="C748" s="20" t="n">
        <f aca="false">ROUND(1.01/FX,2)</f>
        <v>0.14</v>
      </c>
      <c r="D748" s="21" t="s">
        <v>13978</v>
      </c>
      <c r="E748" s="21" t="s">
        <v>841</v>
      </c>
      <c r="F748" s="21" t="s">
        <v>5091</v>
      </c>
    </row>
    <row r="749" customFormat="false" ht="15" hidden="false" customHeight="false" outlineLevel="0" collapsed="false">
      <c r="B749" s="19" t="s">
        <v>13979</v>
      </c>
      <c r="C749" s="20" t="n">
        <f aca="false">ROUND(1.04/FX,2)</f>
        <v>0.14</v>
      </c>
      <c r="D749" s="21" t="s">
        <v>13974</v>
      </c>
      <c r="E749" s="21" t="s">
        <v>841</v>
      </c>
      <c r="F749" s="21" t="s">
        <v>761</v>
      </c>
    </row>
    <row r="750" customFormat="false" ht="15" hidden="false" customHeight="false" outlineLevel="0" collapsed="false">
      <c r="B750" s="19" t="s">
        <v>13980</v>
      </c>
      <c r="C750" s="20" t="n">
        <f aca="false">ROUND(1.04/FX,2)</f>
        <v>0.14</v>
      </c>
      <c r="D750" s="21" t="s">
        <v>13981</v>
      </c>
      <c r="E750" s="21" t="s">
        <v>841</v>
      </c>
      <c r="F750" s="21" t="s">
        <v>4761</v>
      </c>
    </row>
    <row r="751" customFormat="false" ht="15" hidden="false" customHeight="false" outlineLevel="0" collapsed="false">
      <c r="B751" s="19" t="s">
        <v>13982</v>
      </c>
      <c r="C751" s="20" t="n">
        <f aca="false">ROUND(1.04/FX,2)</f>
        <v>0.14</v>
      </c>
      <c r="D751" s="21" t="s">
        <v>13981</v>
      </c>
      <c r="E751" s="21" t="s">
        <v>841</v>
      </c>
      <c r="F751" s="21" t="s">
        <v>4721</v>
      </c>
    </row>
    <row r="752" customFormat="false" ht="15" hidden="false" customHeight="false" outlineLevel="0" collapsed="false">
      <c r="B752" s="19" t="s">
        <v>13983</v>
      </c>
      <c r="C752" s="20" t="n">
        <f aca="false">ROUND(1.04/FX,2)</f>
        <v>0.14</v>
      </c>
      <c r="D752" s="21" t="s">
        <v>13981</v>
      </c>
      <c r="E752" s="21" t="s">
        <v>841</v>
      </c>
      <c r="F752" s="21" t="s">
        <v>714</v>
      </c>
    </row>
    <row r="753" customFormat="false" ht="15" hidden="false" customHeight="false" outlineLevel="0" collapsed="false">
      <c r="B753" s="19" t="s">
        <v>13984</v>
      </c>
      <c r="C753" s="20" t="n">
        <f aca="false">ROUND(1.4/FX,2)</f>
        <v>0.19</v>
      </c>
      <c r="D753" s="21" t="s">
        <v>13732</v>
      </c>
      <c r="E753" s="21" t="s">
        <v>841</v>
      </c>
      <c r="F753" s="21" t="s">
        <v>2851</v>
      </c>
    </row>
    <row r="754" customFormat="false" ht="15" hidden="false" customHeight="false" outlineLevel="0" collapsed="false">
      <c r="B754" s="19" t="s">
        <v>13985</v>
      </c>
      <c r="C754" s="20" t="n">
        <f aca="false">ROUND(1.04/FX,2)</f>
        <v>0.14</v>
      </c>
      <c r="D754" s="21" t="s">
        <v>13981</v>
      </c>
      <c r="E754" s="21" t="s">
        <v>841</v>
      </c>
      <c r="F754" s="21" t="s">
        <v>3833</v>
      </c>
    </row>
    <row r="755" customFormat="false" ht="15" hidden="false" customHeight="false" outlineLevel="0" collapsed="false">
      <c r="B755" s="19" t="s">
        <v>13986</v>
      </c>
      <c r="C755" s="20" t="n">
        <f aca="false">ROUND(1.5/FX,2)</f>
        <v>0.21</v>
      </c>
      <c r="D755" s="21" t="s">
        <v>13732</v>
      </c>
      <c r="E755" s="21" t="s">
        <v>841</v>
      </c>
      <c r="F755" s="21" t="s">
        <v>2901</v>
      </c>
    </row>
    <row r="756" customFormat="false" ht="15" hidden="false" customHeight="false" outlineLevel="0" collapsed="false">
      <c r="B756" s="19" t="s">
        <v>13987</v>
      </c>
      <c r="C756" s="20" t="n">
        <f aca="false">ROUND(1/FX,2)</f>
        <v>0.14</v>
      </c>
      <c r="D756" s="21" t="s">
        <v>13988</v>
      </c>
      <c r="E756" s="21" t="s">
        <v>841</v>
      </c>
      <c r="F756" s="21" t="s">
        <v>5492</v>
      </c>
    </row>
    <row r="757" customFormat="false" ht="15" hidden="false" customHeight="false" outlineLevel="0" collapsed="false">
      <c r="B757" s="19" t="s">
        <v>13989</v>
      </c>
      <c r="C757" s="20" t="n">
        <f aca="false">ROUND(1.01/FX,2)</f>
        <v>0.14</v>
      </c>
      <c r="D757" s="21" t="s">
        <v>13978</v>
      </c>
      <c r="E757" s="21" t="s">
        <v>841</v>
      </c>
      <c r="F757" s="21" t="s">
        <v>4000</v>
      </c>
    </row>
    <row r="758" customFormat="false" ht="15" hidden="false" customHeight="false" outlineLevel="0" collapsed="false">
      <c r="B758" s="19" t="s">
        <v>13990</v>
      </c>
      <c r="C758" s="20" t="n">
        <f aca="false">ROUND(1/FX,2)</f>
        <v>0.14</v>
      </c>
      <c r="D758" s="21" t="s">
        <v>13988</v>
      </c>
      <c r="E758" s="21" t="s">
        <v>841</v>
      </c>
      <c r="F758" s="21" t="s">
        <v>6940</v>
      </c>
    </row>
    <row r="759" customFormat="false" ht="15" hidden="false" customHeight="false" outlineLevel="0" collapsed="false">
      <c r="B759" s="19" t="s">
        <v>13991</v>
      </c>
      <c r="C759" s="20" t="n">
        <f aca="false">ROUND(1.01/FX,2)</f>
        <v>0.14</v>
      </c>
      <c r="D759" s="21" t="s">
        <v>13978</v>
      </c>
      <c r="E759" s="21" t="s">
        <v>841</v>
      </c>
      <c r="F759" s="21" t="s">
        <v>3247</v>
      </c>
    </row>
    <row r="760" customFormat="false" ht="15" hidden="false" customHeight="false" outlineLevel="0" collapsed="false">
      <c r="B760" s="19" t="s">
        <v>13992</v>
      </c>
      <c r="C760" s="20" t="n">
        <f aca="false">ROUND(2.34/FX,2)</f>
        <v>0.33</v>
      </c>
      <c r="D760" s="21" t="s">
        <v>13732</v>
      </c>
      <c r="E760" s="21" t="s">
        <v>841</v>
      </c>
      <c r="F760" s="21" t="s">
        <v>1048</v>
      </c>
    </row>
    <row r="761" customFormat="false" ht="15" hidden="false" customHeight="false" outlineLevel="0" collapsed="false">
      <c r="B761" s="19" t="s">
        <v>13993</v>
      </c>
      <c r="C761" s="20" t="n">
        <f aca="false">ROUND(1.09/FX,2)</f>
        <v>0.15</v>
      </c>
      <c r="D761" s="21" t="s">
        <v>13994</v>
      </c>
      <c r="E761" s="21" t="s">
        <v>841</v>
      </c>
      <c r="F761" s="21" t="s">
        <v>13852</v>
      </c>
    </row>
    <row r="762" customFormat="false" ht="15" hidden="false" customHeight="false" outlineLevel="0" collapsed="false">
      <c r="B762" s="19" t="s">
        <v>13995</v>
      </c>
      <c r="C762" s="20" t="n">
        <f aca="false">ROUND(1.01/FX,2)</f>
        <v>0.14</v>
      </c>
      <c r="D762" s="21" t="s">
        <v>13978</v>
      </c>
      <c r="E762" s="21" t="s">
        <v>841</v>
      </c>
      <c r="F762" s="21" t="s">
        <v>5097</v>
      </c>
    </row>
    <row r="763" customFormat="false" ht="15" hidden="false" customHeight="false" outlineLevel="0" collapsed="false">
      <c r="B763" s="19" t="s">
        <v>13996</v>
      </c>
      <c r="C763" s="20" t="n">
        <f aca="false">ROUND(1.04/FX,2)</f>
        <v>0.14</v>
      </c>
      <c r="D763" s="21" t="s">
        <v>13997</v>
      </c>
      <c r="E763" s="21" t="s">
        <v>841</v>
      </c>
      <c r="F763" s="21" t="s">
        <v>7020</v>
      </c>
    </row>
    <row r="764" customFormat="false" ht="15" hidden="false" customHeight="false" outlineLevel="0" collapsed="false">
      <c r="B764" s="19" t="s">
        <v>13998</v>
      </c>
      <c r="C764" s="20" t="n">
        <f aca="false">ROUND(1/FX,2)</f>
        <v>0.14</v>
      </c>
      <c r="D764" s="21" t="s">
        <v>13988</v>
      </c>
      <c r="E764" s="21" t="s">
        <v>841</v>
      </c>
      <c r="F764" s="21" t="s">
        <v>6723</v>
      </c>
    </row>
    <row r="765" customFormat="false" ht="15" hidden="false" customHeight="false" outlineLevel="0" collapsed="false">
      <c r="B765" s="19" t="s">
        <v>13999</v>
      </c>
      <c r="C765" s="20" t="n">
        <f aca="false">ROUND(1/FX,2)</f>
        <v>0.14</v>
      </c>
      <c r="D765" s="21" t="s">
        <v>13988</v>
      </c>
      <c r="E765" s="21" t="s">
        <v>841</v>
      </c>
      <c r="F765" s="21" t="s">
        <v>3317</v>
      </c>
    </row>
    <row r="766" customFormat="false" ht="15" hidden="false" customHeight="false" outlineLevel="0" collapsed="false">
      <c r="B766" s="19" t="s">
        <v>14000</v>
      </c>
      <c r="C766" s="20" t="n">
        <f aca="false">ROUND(2.34/FX,2)</f>
        <v>0.33</v>
      </c>
      <c r="D766" s="21" t="s">
        <v>13732</v>
      </c>
      <c r="E766" s="21" t="s">
        <v>841</v>
      </c>
      <c r="F766" s="21" t="s">
        <v>1323</v>
      </c>
    </row>
    <row r="767" customFormat="false" ht="15" hidden="false" customHeight="false" outlineLevel="0" collapsed="false">
      <c r="B767" s="19" t="s">
        <v>14001</v>
      </c>
      <c r="C767" s="20" t="n">
        <f aca="false">ROUND(1.04/FX,2)</f>
        <v>0.14</v>
      </c>
      <c r="D767" s="21" t="s">
        <v>13997</v>
      </c>
      <c r="E767" s="21" t="s">
        <v>841</v>
      </c>
      <c r="F767" s="21" t="s">
        <v>7061</v>
      </c>
    </row>
    <row r="768" customFormat="false" ht="15" hidden="false" customHeight="false" outlineLevel="0" collapsed="false">
      <c r="B768" s="19" t="s">
        <v>14002</v>
      </c>
      <c r="C768" s="20" t="n">
        <f aca="false">ROUND(1.09/FX,2)</f>
        <v>0.15</v>
      </c>
      <c r="D768" s="21" t="s">
        <v>13994</v>
      </c>
      <c r="E768" s="21" t="s">
        <v>841</v>
      </c>
      <c r="F768" s="21" t="s">
        <v>13774</v>
      </c>
    </row>
    <row r="769" customFormat="false" ht="15" hidden="false" customHeight="false" outlineLevel="0" collapsed="false">
      <c r="B769" s="19" t="s">
        <v>14003</v>
      </c>
      <c r="C769" s="20" t="n">
        <f aca="false">ROUND(1.04/FX,2)</f>
        <v>0.14</v>
      </c>
      <c r="D769" s="21" t="s">
        <v>13997</v>
      </c>
      <c r="E769" s="21" t="s">
        <v>841</v>
      </c>
      <c r="F769" s="21" t="s">
        <v>6768</v>
      </c>
    </row>
    <row r="770" customFormat="false" ht="15" hidden="false" customHeight="false" outlineLevel="0" collapsed="false">
      <c r="B770" s="19" t="s">
        <v>14004</v>
      </c>
      <c r="C770" s="20" t="n">
        <f aca="false">ROUND(1.86/FX,2)</f>
        <v>0.26</v>
      </c>
      <c r="D770" s="21" t="s">
        <v>13732</v>
      </c>
      <c r="E770" s="21" t="s">
        <v>841</v>
      </c>
      <c r="F770" s="21" t="s">
        <v>14005</v>
      </c>
    </row>
    <row r="771" customFormat="false" ht="15" hidden="false" customHeight="false" outlineLevel="0" collapsed="false">
      <c r="B771" s="19" t="s">
        <v>14006</v>
      </c>
      <c r="C771" s="20" t="n">
        <f aca="false">ROUND(1.17/FX,2)</f>
        <v>0.16</v>
      </c>
      <c r="D771" s="21" t="s">
        <v>14007</v>
      </c>
      <c r="E771" s="21" t="s">
        <v>841</v>
      </c>
      <c r="F771" s="21" t="s">
        <v>14008</v>
      </c>
    </row>
    <row r="772" customFormat="false" ht="15" hidden="false" customHeight="false" outlineLevel="0" collapsed="false">
      <c r="B772" s="19" t="s">
        <v>14009</v>
      </c>
      <c r="C772" s="20" t="n">
        <f aca="false">ROUND(1.04/FX,2)</f>
        <v>0.14</v>
      </c>
      <c r="D772" s="21" t="s">
        <v>13997</v>
      </c>
      <c r="E772" s="21" t="s">
        <v>841</v>
      </c>
      <c r="F772" s="21" t="s">
        <v>784</v>
      </c>
    </row>
    <row r="773" customFormat="false" ht="15" hidden="false" customHeight="false" outlineLevel="0" collapsed="false">
      <c r="B773" s="19" t="s">
        <v>14010</v>
      </c>
      <c r="C773" s="20" t="n">
        <f aca="false">ROUND(7.44/FX,2)</f>
        <v>1.03</v>
      </c>
      <c r="D773" s="21" t="s">
        <v>13732</v>
      </c>
      <c r="E773" s="21" t="s">
        <v>841</v>
      </c>
      <c r="F773" s="21" t="s">
        <v>1520</v>
      </c>
    </row>
    <row r="774" customFormat="false" ht="15" hidden="false" customHeight="false" outlineLevel="0" collapsed="false">
      <c r="B774" s="19" t="s">
        <v>14011</v>
      </c>
      <c r="C774" s="20" t="n">
        <f aca="false">ROUND(1.17/FX,2)</f>
        <v>0.16</v>
      </c>
      <c r="D774" s="21" t="s">
        <v>14007</v>
      </c>
      <c r="E774" s="21" t="s">
        <v>841</v>
      </c>
      <c r="F774" s="21" t="s">
        <v>6244</v>
      </c>
    </row>
    <row r="775" customFormat="false" ht="15" hidden="false" customHeight="false" outlineLevel="0" collapsed="false">
      <c r="B775" s="19" t="s">
        <v>14012</v>
      </c>
      <c r="C775" s="20" t="n">
        <f aca="false">ROUND(1.04/FX,2)</f>
        <v>0.14</v>
      </c>
      <c r="D775" s="21" t="s">
        <v>14013</v>
      </c>
      <c r="E775" s="21" t="s">
        <v>841</v>
      </c>
      <c r="F775" s="21" t="s">
        <v>13781</v>
      </c>
    </row>
    <row r="776" customFormat="false" ht="15" hidden="false" customHeight="false" outlineLevel="0" collapsed="false">
      <c r="B776" s="19" t="s">
        <v>14014</v>
      </c>
      <c r="C776" s="20" t="n">
        <f aca="false">ROUND(1.04/FX,2)</f>
        <v>0.14</v>
      </c>
      <c r="D776" s="21" t="s">
        <v>14013</v>
      </c>
      <c r="E776" s="21" t="s">
        <v>841</v>
      </c>
      <c r="F776" s="21" t="s">
        <v>6805</v>
      </c>
    </row>
    <row r="777" customFormat="false" ht="15" hidden="false" customHeight="false" outlineLevel="0" collapsed="false">
      <c r="B777" s="19" t="s">
        <v>14015</v>
      </c>
      <c r="C777" s="20" t="n">
        <f aca="false">ROUND(1.05/FX,2)</f>
        <v>0.15</v>
      </c>
      <c r="D777" s="21" t="s">
        <v>14016</v>
      </c>
      <c r="E777" s="21" t="s">
        <v>841</v>
      </c>
      <c r="F777" s="21" t="s">
        <v>3328</v>
      </c>
    </row>
    <row r="778" customFormat="false" ht="15" hidden="false" customHeight="false" outlineLevel="0" collapsed="false">
      <c r="B778" s="19" t="s">
        <v>14017</v>
      </c>
      <c r="C778" s="20" t="n">
        <f aca="false">ROUND(1.04/FX,2)</f>
        <v>0.14</v>
      </c>
      <c r="D778" s="21" t="s">
        <v>14013</v>
      </c>
      <c r="E778" s="21" t="s">
        <v>841</v>
      </c>
      <c r="F778" s="21" t="s">
        <v>6730</v>
      </c>
    </row>
    <row r="779" customFormat="false" ht="15" hidden="false" customHeight="false" outlineLevel="0" collapsed="false">
      <c r="B779" s="19" t="s">
        <v>14018</v>
      </c>
      <c r="C779" s="20" t="n">
        <f aca="false">ROUND(1.04/FX,2)</f>
        <v>0.14</v>
      </c>
      <c r="D779" s="21" t="s">
        <v>14013</v>
      </c>
      <c r="E779" s="21" t="s">
        <v>841</v>
      </c>
      <c r="F779" s="21" t="s">
        <v>13791</v>
      </c>
    </row>
    <row r="780" customFormat="false" ht="15" hidden="false" customHeight="false" outlineLevel="0" collapsed="false">
      <c r="B780" s="19" t="s">
        <v>14019</v>
      </c>
      <c r="C780" s="20" t="n">
        <f aca="false">ROUND(1.04/FX,2)</f>
        <v>0.14</v>
      </c>
      <c r="D780" s="21" t="s">
        <v>14013</v>
      </c>
      <c r="E780" s="21" t="s">
        <v>841</v>
      </c>
      <c r="F780" s="21" t="s">
        <v>5496</v>
      </c>
    </row>
    <row r="781" customFormat="false" ht="15" hidden="false" customHeight="false" outlineLevel="0" collapsed="false">
      <c r="B781" s="19" t="s">
        <v>14020</v>
      </c>
      <c r="C781" s="20" t="n">
        <f aca="false">ROUND(1.04/FX,2)</f>
        <v>0.14</v>
      </c>
      <c r="D781" s="21" t="s">
        <v>13997</v>
      </c>
      <c r="E781" s="21" t="s">
        <v>841</v>
      </c>
      <c r="F781" s="21" t="s">
        <v>841</v>
      </c>
    </row>
    <row r="782" customFormat="false" ht="15" hidden="false" customHeight="false" outlineLevel="0" collapsed="false">
      <c r="B782" s="19" t="s">
        <v>14021</v>
      </c>
      <c r="C782" s="20" t="n">
        <f aca="false">ROUND(1/FX,2)</f>
        <v>0.14</v>
      </c>
      <c r="D782" s="21" t="s">
        <v>13994</v>
      </c>
      <c r="E782" s="21" t="s">
        <v>841</v>
      </c>
      <c r="F782" s="21" t="s">
        <v>6246</v>
      </c>
    </row>
    <row r="783" customFormat="false" ht="15" hidden="false" customHeight="false" outlineLevel="0" collapsed="false">
      <c r="B783" s="19" t="s">
        <v>14022</v>
      </c>
      <c r="C783" s="20" t="n">
        <f aca="false">ROUND(9.46/FX,2)</f>
        <v>1.31</v>
      </c>
      <c r="D783" s="21" t="s">
        <v>13732</v>
      </c>
      <c r="E783" s="21" t="s">
        <v>841</v>
      </c>
      <c r="F783" s="21" t="s">
        <v>2002</v>
      </c>
    </row>
    <row r="784" customFormat="false" ht="15" hidden="false" customHeight="false" outlineLevel="0" collapsed="false">
      <c r="B784" s="19" t="s">
        <v>14023</v>
      </c>
      <c r="C784" s="20" t="n">
        <f aca="false">ROUND(1.17/FX,2)</f>
        <v>0.16</v>
      </c>
      <c r="D784" s="21" t="s">
        <v>13751</v>
      </c>
      <c r="E784" s="21" t="s">
        <v>841</v>
      </c>
      <c r="F784" s="21" t="s">
        <v>14024</v>
      </c>
    </row>
    <row r="785" customFormat="false" ht="15" hidden="false" customHeight="false" outlineLevel="0" collapsed="false">
      <c r="B785" s="19" t="s">
        <v>14025</v>
      </c>
      <c r="C785" s="20" t="n">
        <f aca="false">ROUND(1/FX,2)</f>
        <v>0.14</v>
      </c>
      <c r="D785" s="21" t="s">
        <v>13994</v>
      </c>
      <c r="E785" s="21" t="s">
        <v>841</v>
      </c>
      <c r="F785" s="21" t="s">
        <v>7358</v>
      </c>
    </row>
    <row r="786" customFormat="false" ht="15" hidden="false" customHeight="false" outlineLevel="0" collapsed="false">
      <c r="B786" s="19" t="s">
        <v>14026</v>
      </c>
      <c r="C786" s="20" t="n">
        <f aca="false">ROUND(1.3/FX,2)</f>
        <v>0.18</v>
      </c>
      <c r="D786" s="21" t="s">
        <v>13739</v>
      </c>
      <c r="E786" s="21" t="s">
        <v>841</v>
      </c>
      <c r="F786" s="21" t="s">
        <v>13804</v>
      </c>
    </row>
    <row r="787" customFormat="false" ht="15" hidden="false" customHeight="false" outlineLevel="0" collapsed="false">
      <c r="B787" s="19" t="s">
        <v>14027</v>
      </c>
      <c r="C787" s="20" t="n">
        <f aca="false">ROUND(1.3/FX,2)</f>
        <v>0.18</v>
      </c>
      <c r="D787" s="21" t="s">
        <v>14013</v>
      </c>
      <c r="E787" s="21" t="s">
        <v>841</v>
      </c>
      <c r="F787" s="21" t="s">
        <v>6742</v>
      </c>
    </row>
    <row r="788" customFormat="false" ht="15" hidden="false" customHeight="false" outlineLevel="0" collapsed="false">
      <c r="B788" s="19" t="s">
        <v>14028</v>
      </c>
      <c r="C788" s="20" t="n">
        <f aca="false">ROUND(1.04/FX,2)</f>
        <v>0.14</v>
      </c>
      <c r="D788" s="21" t="s">
        <v>13981</v>
      </c>
      <c r="E788" s="21" t="s">
        <v>841</v>
      </c>
      <c r="F788" s="21" t="s">
        <v>789</v>
      </c>
    </row>
    <row r="789" customFormat="false" ht="15" hidden="false" customHeight="false" outlineLevel="0" collapsed="false">
      <c r="B789" s="19" t="s">
        <v>14029</v>
      </c>
      <c r="C789" s="20" t="n">
        <f aca="false">ROUND(1.05/FX,2)</f>
        <v>0.15</v>
      </c>
      <c r="D789" s="21" t="s">
        <v>13743</v>
      </c>
      <c r="E789" s="21" t="s">
        <v>841</v>
      </c>
      <c r="F789" s="21" t="s">
        <v>2911</v>
      </c>
    </row>
    <row r="790" customFormat="false" ht="15" hidden="false" customHeight="false" outlineLevel="0" collapsed="false">
      <c r="B790" s="19" t="s">
        <v>14030</v>
      </c>
      <c r="C790" s="20" t="n">
        <f aca="false">ROUND(13/FX,2)</f>
        <v>1.81</v>
      </c>
      <c r="D790" s="21" t="s">
        <v>13732</v>
      </c>
      <c r="E790" s="21" t="s">
        <v>841</v>
      </c>
      <c r="F790" s="21" t="s">
        <v>2142</v>
      </c>
    </row>
    <row r="791" customFormat="false" ht="15" hidden="false" customHeight="false" outlineLevel="0" collapsed="false">
      <c r="B791" s="19" t="s">
        <v>14031</v>
      </c>
      <c r="C791" s="20" t="n">
        <f aca="false">ROUND(1.04/FX,2)</f>
        <v>0.14</v>
      </c>
      <c r="D791" s="21" t="s">
        <v>14013</v>
      </c>
      <c r="E791" s="21" t="s">
        <v>841</v>
      </c>
      <c r="F791" s="21" t="s">
        <v>7275</v>
      </c>
    </row>
    <row r="792" customFormat="false" ht="15" hidden="false" customHeight="false" outlineLevel="0" collapsed="false">
      <c r="B792" s="19" t="s">
        <v>14032</v>
      </c>
      <c r="C792" s="20" t="n">
        <f aca="false">ROUND(14.17/FX,2)</f>
        <v>1.97</v>
      </c>
      <c r="D792" s="21" t="s">
        <v>13732</v>
      </c>
      <c r="E792" s="21" t="s">
        <v>841</v>
      </c>
      <c r="F792" s="21" t="s">
        <v>2187</v>
      </c>
    </row>
    <row r="793" customFormat="false" ht="15" hidden="false" customHeight="false" outlineLevel="0" collapsed="false">
      <c r="B793" s="19" t="s">
        <v>14033</v>
      </c>
      <c r="C793" s="20" t="n">
        <f aca="false">ROUND(1.01/FX,2)</f>
        <v>0.14</v>
      </c>
      <c r="D793" s="21" t="s">
        <v>14034</v>
      </c>
      <c r="E793" s="21" t="s">
        <v>841</v>
      </c>
      <c r="F793" s="21" t="s">
        <v>716</v>
      </c>
    </row>
    <row r="794" customFormat="false" ht="15" hidden="false" customHeight="false" outlineLevel="0" collapsed="false">
      <c r="B794" s="19" t="s">
        <v>14035</v>
      </c>
      <c r="C794" s="20" t="n">
        <f aca="false">ROUND(1.04/FX,2)</f>
        <v>0.14</v>
      </c>
      <c r="D794" s="21" t="s">
        <v>14013</v>
      </c>
      <c r="E794" s="21" t="s">
        <v>841</v>
      </c>
      <c r="F794" s="21" t="s">
        <v>2961</v>
      </c>
    </row>
    <row r="795" customFormat="false" ht="15" hidden="false" customHeight="false" outlineLevel="0" collapsed="false">
      <c r="B795" s="19" t="s">
        <v>14036</v>
      </c>
      <c r="C795" s="20" t="n">
        <f aca="false">ROUND(15.34/FX,2)</f>
        <v>2.13</v>
      </c>
      <c r="D795" s="21" t="s">
        <v>13732</v>
      </c>
      <c r="E795" s="21" t="s">
        <v>841</v>
      </c>
      <c r="F795" s="21" t="s">
        <v>2227</v>
      </c>
    </row>
    <row r="796" customFormat="false" ht="15" hidden="false" customHeight="false" outlineLevel="0" collapsed="false">
      <c r="B796" s="19" t="s">
        <v>14037</v>
      </c>
      <c r="C796" s="20" t="n">
        <f aca="false">ROUND(1.56/FX,2)</f>
        <v>0.22</v>
      </c>
      <c r="D796" s="21" t="s">
        <v>13739</v>
      </c>
      <c r="E796" s="21" t="s">
        <v>841</v>
      </c>
      <c r="F796" s="21" t="s">
        <v>13817</v>
      </c>
    </row>
    <row r="797" customFormat="false" ht="15" hidden="false" customHeight="false" outlineLevel="0" collapsed="false">
      <c r="B797" s="19" t="s">
        <v>14038</v>
      </c>
      <c r="C797" s="20" t="n">
        <f aca="false">ROUND(1.04/FX,2)</f>
        <v>0.14</v>
      </c>
      <c r="D797" s="21" t="s">
        <v>13974</v>
      </c>
      <c r="E797" s="21" t="s">
        <v>841</v>
      </c>
      <c r="F797" s="21" t="s">
        <v>845</v>
      </c>
    </row>
    <row r="798" customFormat="false" ht="15" hidden="false" customHeight="false" outlineLevel="0" collapsed="false">
      <c r="B798" s="19" t="s">
        <v>14039</v>
      </c>
      <c r="C798" s="20" t="n">
        <f aca="false">ROUND(3.25/FX,2)</f>
        <v>0.45</v>
      </c>
      <c r="D798" s="21" t="s">
        <v>13732</v>
      </c>
      <c r="E798" s="21" t="s">
        <v>841</v>
      </c>
      <c r="F798" s="21" t="s">
        <v>3011</v>
      </c>
    </row>
    <row r="799" customFormat="false" ht="15" hidden="false" customHeight="false" outlineLevel="0" collapsed="false">
      <c r="B799" s="19" t="s">
        <v>14040</v>
      </c>
      <c r="C799" s="20" t="n">
        <f aca="false">ROUND(1.04/FX,2)</f>
        <v>0.14</v>
      </c>
      <c r="D799" s="21" t="s">
        <v>13974</v>
      </c>
      <c r="E799" s="21" t="s">
        <v>841</v>
      </c>
      <c r="F799" s="21" t="s">
        <v>847</v>
      </c>
    </row>
    <row r="800" customFormat="false" ht="15" hidden="false" customHeight="false" outlineLevel="0" collapsed="false">
      <c r="B800" s="19" t="s">
        <v>14041</v>
      </c>
      <c r="C800" s="20" t="n">
        <f aca="false">ROUND(3.64/FX,2)</f>
        <v>0.51</v>
      </c>
      <c r="D800" s="21" t="s">
        <v>13732</v>
      </c>
      <c r="E800" s="21" t="s">
        <v>841</v>
      </c>
      <c r="F800" s="21" t="s">
        <v>3061</v>
      </c>
    </row>
    <row r="801" customFormat="false" ht="15" hidden="false" customHeight="false" outlineLevel="0" collapsed="false">
      <c r="B801" s="19" t="s">
        <v>14042</v>
      </c>
      <c r="C801" s="20" t="n">
        <f aca="false">ROUND(1.01/FX,2)</f>
        <v>0.14</v>
      </c>
      <c r="D801" s="21" t="s">
        <v>13978</v>
      </c>
      <c r="E801" s="21" t="s">
        <v>841</v>
      </c>
      <c r="F801" s="21" t="s">
        <v>719</v>
      </c>
    </row>
    <row r="802" customFormat="false" ht="15" hidden="false" customHeight="false" outlineLevel="0" collapsed="false">
      <c r="B802" s="19" t="s">
        <v>14043</v>
      </c>
      <c r="C802" s="20" t="n">
        <f aca="false">ROUND(64.35/FX,2)</f>
        <v>8.94</v>
      </c>
      <c r="D802" s="21" t="s">
        <v>13732</v>
      </c>
      <c r="E802" s="21" t="s">
        <v>2911</v>
      </c>
      <c r="F802" s="21" t="s">
        <v>1520</v>
      </c>
    </row>
    <row r="803" customFormat="false" ht="15" hidden="false" customHeight="false" outlineLevel="0" collapsed="false">
      <c r="B803" s="19" t="s">
        <v>14044</v>
      </c>
      <c r="C803" s="20" t="n">
        <f aca="false">ROUND(1/FX,2)</f>
        <v>0.14</v>
      </c>
      <c r="D803" s="21" t="s">
        <v>13988</v>
      </c>
      <c r="E803" s="21" t="s">
        <v>716</v>
      </c>
      <c r="F803" s="21" t="s">
        <v>707</v>
      </c>
    </row>
    <row r="804" customFormat="false" ht="15" hidden="false" customHeight="false" outlineLevel="0" collapsed="false">
      <c r="B804" s="19" t="s">
        <v>14045</v>
      </c>
      <c r="C804" s="20" t="n">
        <f aca="false">ROUND(2.73/FX,2)</f>
        <v>0.38</v>
      </c>
      <c r="D804" s="21" t="s">
        <v>13732</v>
      </c>
      <c r="E804" s="21" t="s">
        <v>716</v>
      </c>
      <c r="F804" s="21" t="s">
        <v>2600</v>
      </c>
    </row>
    <row r="805" customFormat="false" ht="15" hidden="false" customHeight="false" outlineLevel="0" collapsed="false">
      <c r="B805" s="19" t="s">
        <v>14046</v>
      </c>
      <c r="C805" s="20" t="n">
        <f aca="false">ROUND(15.6/FX,2)</f>
        <v>2.17</v>
      </c>
      <c r="D805" s="21" t="s">
        <v>13732</v>
      </c>
      <c r="E805" s="21" t="s">
        <v>716</v>
      </c>
      <c r="F805" s="21" t="s">
        <v>1733</v>
      </c>
    </row>
    <row r="806" customFormat="false" ht="15" hidden="false" customHeight="false" outlineLevel="0" collapsed="false">
      <c r="B806" s="19" t="s">
        <v>14047</v>
      </c>
      <c r="C806" s="20" t="n">
        <f aca="false">ROUND(16.32/FX,2)</f>
        <v>2.27</v>
      </c>
      <c r="D806" s="21" t="s">
        <v>13732</v>
      </c>
      <c r="E806" s="21" t="s">
        <v>716</v>
      </c>
      <c r="F806" s="21" t="s">
        <v>1746</v>
      </c>
    </row>
    <row r="807" customFormat="false" ht="15" hidden="false" customHeight="false" outlineLevel="0" collapsed="false">
      <c r="B807" s="19" t="s">
        <v>14048</v>
      </c>
      <c r="C807" s="20" t="n">
        <f aca="false">ROUND(1.17/FX,2)</f>
        <v>0.16</v>
      </c>
      <c r="D807" s="21" t="s">
        <v>14007</v>
      </c>
      <c r="E807" s="21" t="s">
        <v>716</v>
      </c>
      <c r="F807" s="21" t="s">
        <v>5091</v>
      </c>
    </row>
    <row r="808" customFormat="false" ht="15" hidden="false" customHeight="false" outlineLevel="0" collapsed="false">
      <c r="B808" s="19" t="s">
        <v>14049</v>
      </c>
      <c r="C808" s="20" t="n">
        <f aca="false">ROUND(1.04/FX,2)</f>
        <v>0.14</v>
      </c>
      <c r="D808" s="21" t="s">
        <v>13997</v>
      </c>
      <c r="E808" s="21" t="s">
        <v>716</v>
      </c>
      <c r="F808" s="21" t="s">
        <v>761</v>
      </c>
    </row>
    <row r="809" customFormat="false" ht="15" hidden="false" customHeight="false" outlineLevel="0" collapsed="false">
      <c r="B809" s="19" t="s">
        <v>14050</v>
      </c>
      <c r="C809" s="20" t="n">
        <f aca="false">ROUND(3.02/FX,2)</f>
        <v>0.42</v>
      </c>
      <c r="D809" s="21" t="s">
        <v>13732</v>
      </c>
      <c r="E809" s="21" t="s">
        <v>716</v>
      </c>
      <c r="F809" s="21" t="s">
        <v>2701</v>
      </c>
    </row>
    <row r="810" customFormat="false" ht="15" hidden="false" customHeight="false" outlineLevel="0" collapsed="false">
      <c r="B810" s="19" t="s">
        <v>14051</v>
      </c>
      <c r="C810" s="20" t="n">
        <f aca="false">ROUND(3.09/FX,2)</f>
        <v>0.43</v>
      </c>
      <c r="D810" s="21" t="s">
        <v>13732</v>
      </c>
      <c r="E810" s="21" t="s">
        <v>716</v>
      </c>
      <c r="F810" s="21" t="s">
        <v>11968</v>
      </c>
    </row>
    <row r="811" customFormat="false" ht="15" hidden="false" customHeight="false" outlineLevel="0" collapsed="false">
      <c r="B811" s="19" t="s">
        <v>14052</v>
      </c>
      <c r="C811" s="20" t="n">
        <f aca="false">ROUND(1.05/FX,2)</f>
        <v>0.15</v>
      </c>
      <c r="D811" s="21" t="s">
        <v>14016</v>
      </c>
      <c r="E811" s="21" t="s">
        <v>716</v>
      </c>
      <c r="F811" s="21" t="s">
        <v>4761</v>
      </c>
    </row>
    <row r="812" customFormat="false" ht="15" hidden="false" customHeight="false" outlineLevel="0" collapsed="false">
      <c r="B812" s="19" t="s">
        <v>14053</v>
      </c>
      <c r="C812" s="20" t="n">
        <f aca="false">ROUND(1.05/FX,2)</f>
        <v>0.15</v>
      </c>
      <c r="D812" s="21" t="s">
        <v>14016</v>
      </c>
      <c r="E812" s="21" t="s">
        <v>716</v>
      </c>
      <c r="F812" s="21" t="s">
        <v>4721</v>
      </c>
    </row>
    <row r="813" customFormat="false" ht="15" hidden="false" customHeight="false" outlineLevel="0" collapsed="false">
      <c r="B813" s="19" t="s">
        <v>14054</v>
      </c>
      <c r="C813" s="20" t="n">
        <f aca="false">ROUND(3.12/FX,2)</f>
        <v>0.43</v>
      </c>
      <c r="D813" s="21" t="s">
        <v>13732</v>
      </c>
      <c r="E813" s="21" t="s">
        <v>716</v>
      </c>
      <c r="F813" s="21" t="s">
        <v>2801</v>
      </c>
    </row>
    <row r="814" customFormat="false" ht="15" hidden="false" customHeight="false" outlineLevel="0" collapsed="false">
      <c r="B814" s="19" t="s">
        <v>14055</v>
      </c>
      <c r="C814" s="20" t="n">
        <f aca="false">ROUND(1.04/FX,2)</f>
        <v>0.14</v>
      </c>
      <c r="D814" s="21" t="s">
        <v>14056</v>
      </c>
      <c r="E814" s="21" t="s">
        <v>716</v>
      </c>
      <c r="F814" s="21" t="s">
        <v>714</v>
      </c>
    </row>
    <row r="815" customFormat="false" ht="15" hidden="false" customHeight="false" outlineLevel="0" collapsed="false">
      <c r="B815" s="19" t="s">
        <v>14057</v>
      </c>
      <c r="C815" s="20" t="n">
        <f aca="false">ROUND(3.45/FX,2)</f>
        <v>0.48</v>
      </c>
      <c r="D815" s="21" t="s">
        <v>13732</v>
      </c>
      <c r="E815" s="21" t="s">
        <v>716</v>
      </c>
      <c r="F815" s="21" t="s">
        <v>2851</v>
      </c>
    </row>
    <row r="816" customFormat="false" ht="15" hidden="false" customHeight="false" outlineLevel="0" collapsed="false">
      <c r="B816" s="19" t="s">
        <v>14058</v>
      </c>
      <c r="C816" s="20" t="n">
        <f aca="false">ROUND(1.04/FX,2)</f>
        <v>0.14</v>
      </c>
      <c r="D816" s="21" t="s">
        <v>14056</v>
      </c>
      <c r="E816" s="21" t="s">
        <v>716</v>
      </c>
      <c r="F816" s="21" t="s">
        <v>3833</v>
      </c>
    </row>
    <row r="817" customFormat="false" ht="15" hidden="false" customHeight="false" outlineLevel="0" collapsed="false">
      <c r="B817" s="19" t="s">
        <v>14059</v>
      </c>
      <c r="C817" s="20" t="n">
        <f aca="false">ROUND(3.59/FX,2)</f>
        <v>0.5</v>
      </c>
      <c r="D817" s="21" t="s">
        <v>13732</v>
      </c>
      <c r="E817" s="21" t="s">
        <v>716</v>
      </c>
      <c r="F817" s="21" t="s">
        <v>2901</v>
      </c>
    </row>
    <row r="818" customFormat="false" ht="15" hidden="false" customHeight="false" outlineLevel="0" collapsed="false">
      <c r="B818" s="19" t="s">
        <v>14060</v>
      </c>
      <c r="C818" s="20" t="n">
        <f aca="false">ROUND(1.04/FX,2)</f>
        <v>0.14</v>
      </c>
      <c r="D818" s="21" t="s">
        <v>14013</v>
      </c>
      <c r="E818" s="21" t="s">
        <v>716</v>
      </c>
      <c r="F818" s="21" t="s">
        <v>5492</v>
      </c>
    </row>
    <row r="819" customFormat="false" ht="15" hidden="false" customHeight="false" outlineLevel="0" collapsed="false">
      <c r="B819" s="19" t="s">
        <v>14061</v>
      </c>
      <c r="C819" s="20" t="n">
        <f aca="false">ROUND(3.8/FX,2)</f>
        <v>0.53</v>
      </c>
      <c r="D819" s="21" t="s">
        <v>13732</v>
      </c>
      <c r="E819" s="21" t="s">
        <v>716</v>
      </c>
      <c r="F819" s="21" t="s">
        <v>6497</v>
      </c>
    </row>
    <row r="820" customFormat="false" ht="15" hidden="false" customHeight="false" outlineLevel="0" collapsed="false">
      <c r="B820" s="19" t="s">
        <v>14062</v>
      </c>
      <c r="C820" s="20" t="n">
        <f aca="false">ROUND(1.04/FX,2)</f>
        <v>0.14</v>
      </c>
      <c r="D820" s="21" t="s">
        <v>14056</v>
      </c>
      <c r="E820" s="21" t="s">
        <v>716</v>
      </c>
      <c r="F820" s="21" t="s">
        <v>4000</v>
      </c>
    </row>
    <row r="821" customFormat="false" ht="15" hidden="false" customHeight="false" outlineLevel="0" collapsed="false">
      <c r="B821" s="19" t="s">
        <v>14063</v>
      </c>
      <c r="C821" s="20" t="n">
        <f aca="false">ROUND(3.64/FX,2)</f>
        <v>0.51</v>
      </c>
      <c r="D821" s="21" t="s">
        <v>13732</v>
      </c>
      <c r="E821" s="21" t="s">
        <v>716</v>
      </c>
      <c r="F821" s="21" t="s">
        <v>938</v>
      </c>
    </row>
    <row r="822" customFormat="false" ht="15" hidden="false" customHeight="false" outlineLevel="0" collapsed="false">
      <c r="B822" s="19" t="s">
        <v>14064</v>
      </c>
      <c r="C822" s="20" t="n">
        <f aca="false">ROUND(1.04/FX,2)</f>
        <v>0.14</v>
      </c>
      <c r="D822" s="21" t="s">
        <v>14013</v>
      </c>
      <c r="E822" s="21" t="s">
        <v>716</v>
      </c>
      <c r="F822" s="21" t="s">
        <v>6940</v>
      </c>
    </row>
    <row r="823" customFormat="false" ht="15" hidden="false" customHeight="false" outlineLevel="0" collapsed="false">
      <c r="B823" s="19" t="s">
        <v>14065</v>
      </c>
      <c r="C823" s="20" t="n">
        <f aca="false">ROUND(1.04/FX,2)</f>
        <v>0.14</v>
      </c>
      <c r="D823" s="21" t="s">
        <v>14056</v>
      </c>
      <c r="E823" s="21" t="s">
        <v>716</v>
      </c>
      <c r="F823" s="21" t="s">
        <v>3247</v>
      </c>
    </row>
    <row r="824" customFormat="false" ht="15" hidden="false" customHeight="false" outlineLevel="0" collapsed="false">
      <c r="B824" s="19" t="s">
        <v>14066</v>
      </c>
      <c r="C824" s="20" t="n">
        <f aca="false">ROUND(4.16/FX,2)</f>
        <v>0.58</v>
      </c>
      <c r="D824" s="21" t="s">
        <v>13732</v>
      </c>
      <c r="E824" s="21" t="s">
        <v>716</v>
      </c>
      <c r="F824" s="21" t="s">
        <v>1048</v>
      </c>
    </row>
    <row r="825" customFormat="false" ht="15" hidden="false" customHeight="false" outlineLevel="0" collapsed="false">
      <c r="B825" s="19" t="s">
        <v>14067</v>
      </c>
      <c r="C825" s="20" t="n">
        <f aca="false">ROUND(1.37/FX,2)</f>
        <v>0.19</v>
      </c>
      <c r="D825" s="21" t="s">
        <v>13751</v>
      </c>
      <c r="E825" s="21" t="s">
        <v>716</v>
      </c>
      <c r="F825" s="21" t="s">
        <v>13852</v>
      </c>
    </row>
    <row r="826" customFormat="false" ht="15" hidden="false" customHeight="false" outlineLevel="0" collapsed="false">
      <c r="B826" s="19" t="s">
        <v>14068</v>
      </c>
      <c r="C826" s="20" t="n">
        <f aca="false">ROUND(1.09/FX,2)</f>
        <v>0.15</v>
      </c>
      <c r="D826" s="21" t="s">
        <v>13994</v>
      </c>
      <c r="E826" s="21" t="s">
        <v>716</v>
      </c>
      <c r="F826" s="21" t="s">
        <v>5097</v>
      </c>
    </row>
    <row r="827" customFormat="false" ht="15" hidden="false" customHeight="false" outlineLevel="0" collapsed="false">
      <c r="B827" s="19" t="s">
        <v>14069</v>
      </c>
      <c r="C827" s="20" t="n">
        <f aca="false">ROUND(1.37/FX,2)</f>
        <v>0.19</v>
      </c>
      <c r="D827" s="21" t="s">
        <v>13751</v>
      </c>
      <c r="E827" s="21" t="s">
        <v>716</v>
      </c>
      <c r="F827" s="21" t="s">
        <v>7020</v>
      </c>
    </row>
    <row r="828" customFormat="false" ht="15" hidden="false" customHeight="false" outlineLevel="0" collapsed="false">
      <c r="B828" s="19" t="s">
        <v>14070</v>
      </c>
      <c r="C828" s="20" t="n">
        <f aca="false">ROUND(1.09/FX,2)</f>
        <v>0.15</v>
      </c>
      <c r="D828" s="21" t="s">
        <v>13994</v>
      </c>
      <c r="E828" s="21" t="s">
        <v>716</v>
      </c>
      <c r="F828" s="21" t="s">
        <v>6723</v>
      </c>
    </row>
    <row r="829" customFormat="false" ht="15" hidden="false" customHeight="false" outlineLevel="0" collapsed="false">
      <c r="B829" s="19" t="s">
        <v>14071</v>
      </c>
      <c r="C829" s="20" t="n">
        <f aca="false">ROUND(1.09/FX,2)</f>
        <v>0.15</v>
      </c>
      <c r="D829" s="21" t="s">
        <v>13994</v>
      </c>
      <c r="E829" s="21" t="s">
        <v>716</v>
      </c>
      <c r="F829" s="21" t="s">
        <v>3317</v>
      </c>
    </row>
    <row r="830" customFormat="false" ht="15" hidden="false" customHeight="false" outlineLevel="0" collapsed="false">
      <c r="B830" s="19" t="s">
        <v>14072</v>
      </c>
      <c r="C830" s="20" t="n">
        <f aca="false">ROUND(4.88/FX,2)</f>
        <v>0.68</v>
      </c>
      <c r="D830" s="21" t="s">
        <v>13732</v>
      </c>
      <c r="E830" s="21" t="s">
        <v>716</v>
      </c>
      <c r="F830" s="21" t="s">
        <v>1323</v>
      </c>
    </row>
    <row r="831" customFormat="false" ht="15" hidden="false" customHeight="false" outlineLevel="0" collapsed="false">
      <c r="B831" s="19" t="s">
        <v>14073</v>
      </c>
      <c r="C831" s="20" t="n">
        <f aca="false">ROUND(1.11/FX,2)</f>
        <v>0.15</v>
      </c>
      <c r="D831" s="21" t="s">
        <v>13743</v>
      </c>
      <c r="E831" s="21" t="s">
        <v>716</v>
      </c>
      <c r="F831" s="21" t="s">
        <v>7061</v>
      </c>
    </row>
    <row r="832" customFormat="false" ht="15" hidden="false" customHeight="false" outlineLevel="0" collapsed="false">
      <c r="B832" s="19" t="s">
        <v>14074</v>
      </c>
      <c r="C832" s="20" t="n">
        <f aca="false">ROUND(5.02/FX,2)</f>
        <v>0.7</v>
      </c>
      <c r="D832" s="21" t="s">
        <v>13732</v>
      </c>
      <c r="E832" s="21" t="s">
        <v>716</v>
      </c>
      <c r="F832" s="21" t="s">
        <v>1378</v>
      </c>
    </row>
    <row r="833" customFormat="false" ht="15" hidden="false" customHeight="false" outlineLevel="0" collapsed="false">
      <c r="B833" s="19" t="s">
        <v>14075</v>
      </c>
      <c r="C833" s="20" t="n">
        <f aca="false">ROUND(1.17/FX,2)</f>
        <v>0.16</v>
      </c>
      <c r="D833" s="21" t="s">
        <v>13751</v>
      </c>
      <c r="E833" s="21" t="s">
        <v>716</v>
      </c>
      <c r="F833" s="21" t="s">
        <v>13774</v>
      </c>
    </row>
    <row r="834" customFormat="false" ht="15" hidden="false" customHeight="false" outlineLevel="0" collapsed="false">
      <c r="B834" s="19" t="s">
        <v>14076</v>
      </c>
      <c r="C834" s="20" t="n">
        <f aca="false">ROUND(1.11/FX,2)</f>
        <v>0.15</v>
      </c>
      <c r="D834" s="21" t="s">
        <v>13743</v>
      </c>
      <c r="E834" s="21" t="s">
        <v>716</v>
      </c>
      <c r="F834" s="21" t="s">
        <v>6768</v>
      </c>
    </row>
    <row r="835" customFormat="false" ht="15" hidden="false" customHeight="false" outlineLevel="0" collapsed="false">
      <c r="B835" s="19" t="s">
        <v>14077</v>
      </c>
      <c r="C835" s="20" t="n">
        <f aca="false">ROUND(5.3/FX,2)</f>
        <v>0.74</v>
      </c>
      <c r="D835" s="21" t="s">
        <v>13732</v>
      </c>
      <c r="E835" s="21" t="s">
        <v>716</v>
      </c>
      <c r="F835" s="21" t="s">
        <v>1470</v>
      </c>
    </row>
    <row r="836" customFormat="false" ht="15" hidden="false" customHeight="false" outlineLevel="0" collapsed="false">
      <c r="B836" s="19" t="s">
        <v>14078</v>
      </c>
      <c r="C836" s="20" t="n">
        <f aca="false">ROUND(1.17/FX,2)</f>
        <v>0.16</v>
      </c>
      <c r="D836" s="21" t="s">
        <v>13751</v>
      </c>
      <c r="E836" s="21" t="s">
        <v>716</v>
      </c>
      <c r="F836" s="21" t="s">
        <v>14008</v>
      </c>
    </row>
    <row r="837" customFormat="false" ht="15" hidden="false" customHeight="false" outlineLevel="0" collapsed="false">
      <c r="B837" s="19" t="s">
        <v>14079</v>
      </c>
      <c r="C837" s="20" t="n">
        <f aca="false">ROUND(5.45/FX,2)</f>
        <v>0.76</v>
      </c>
      <c r="D837" s="21" t="s">
        <v>13732</v>
      </c>
      <c r="E837" s="21" t="s">
        <v>716</v>
      </c>
      <c r="F837" s="21" t="s">
        <v>1495</v>
      </c>
    </row>
    <row r="838" customFormat="false" ht="15" hidden="false" customHeight="false" outlineLevel="0" collapsed="false">
      <c r="B838" s="19" t="s">
        <v>14080</v>
      </c>
      <c r="C838" s="20" t="n">
        <f aca="false">ROUND(1.17/FX,2)</f>
        <v>0.16</v>
      </c>
      <c r="D838" s="21" t="s">
        <v>13743</v>
      </c>
      <c r="E838" s="21" t="s">
        <v>716</v>
      </c>
      <c r="F838" s="21" t="s">
        <v>784</v>
      </c>
    </row>
    <row r="839" customFormat="false" ht="15" hidden="false" customHeight="false" outlineLevel="0" collapsed="false">
      <c r="B839" s="19" t="s">
        <v>14081</v>
      </c>
      <c r="C839" s="20" t="n">
        <f aca="false">ROUND(5.59/FX,2)</f>
        <v>0.78</v>
      </c>
      <c r="D839" s="21" t="s">
        <v>13732</v>
      </c>
      <c r="E839" s="21" t="s">
        <v>716</v>
      </c>
      <c r="F839" s="21" t="s">
        <v>1520</v>
      </c>
    </row>
    <row r="840" customFormat="false" ht="15" hidden="false" customHeight="false" outlineLevel="0" collapsed="false">
      <c r="B840" s="19" t="s">
        <v>14082</v>
      </c>
      <c r="C840" s="20" t="n">
        <f aca="false">ROUND(1.04/FX,2)</f>
        <v>0.14</v>
      </c>
      <c r="D840" s="21" t="s">
        <v>13739</v>
      </c>
      <c r="E840" s="21" t="s">
        <v>716</v>
      </c>
      <c r="F840" s="21" t="s">
        <v>14083</v>
      </c>
    </row>
    <row r="841" customFormat="false" ht="15" hidden="false" customHeight="false" outlineLevel="0" collapsed="false">
      <c r="B841" s="19" t="s">
        <v>14084</v>
      </c>
      <c r="C841" s="20" t="n">
        <f aca="false">ROUND(1.2/FX,2)</f>
        <v>0.17</v>
      </c>
      <c r="D841" s="21" t="s">
        <v>14013</v>
      </c>
      <c r="E841" s="21" t="s">
        <v>716</v>
      </c>
      <c r="F841" s="21" t="s">
        <v>6244</v>
      </c>
    </row>
    <row r="842" customFormat="false" ht="15" hidden="false" customHeight="false" outlineLevel="0" collapsed="false">
      <c r="B842" s="19" t="s">
        <v>14085</v>
      </c>
      <c r="C842" s="20" t="n">
        <f aca="false">ROUND(5.88/FX,2)</f>
        <v>0.82</v>
      </c>
      <c r="D842" s="21" t="s">
        <v>13732</v>
      </c>
      <c r="E842" s="21" t="s">
        <v>716</v>
      </c>
      <c r="F842" s="21" t="s">
        <v>1570</v>
      </c>
    </row>
    <row r="843" customFormat="false" ht="15" hidden="false" customHeight="false" outlineLevel="0" collapsed="false">
      <c r="B843" s="19" t="s">
        <v>14086</v>
      </c>
      <c r="C843" s="20" t="n">
        <f aca="false">ROUND(1.04/FX,2)</f>
        <v>0.14</v>
      </c>
      <c r="D843" s="21" t="s">
        <v>13739</v>
      </c>
      <c r="E843" s="21" t="s">
        <v>716</v>
      </c>
      <c r="F843" s="21" t="s">
        <v>13781</v>
      </c>
    </row>
    <row r="844" customFormat="false" ht="15" hidden="false" customHeight="false" outlineLevel="0" collapsed="false">
      <c r="B844" s="19" t="s">
        <v>14087</v>
      </c>
      <c r="C844" s="20" t="n">
        <f aca="false">ROUND(6.02/FX,2)</f>
        <v>0.84</v>
      </c>
      <c r="D844" s="21" t="s">
        <v>13732</v>
      </c>
      <c r="E844" s="21" t="s">
        <v>716</v>
      </c>
      <c r="F844" s="21" t="s">
        <v>1595</v>
      </c>
    </row>
    <row r="845" customFormat="false" ht="15" hidden="false" customHeight="false" outlineLevel="0" collapsed="false">
      <c r="B845" s="19" t="s">
        <v>14088</v>
      </c>
      <c r="C845" s="20" t="n">
        <f aca="false">ROUND(6.09/FX,2)</f>
        <v>0.85</v>
      </c>
      <c r="D845" s="21" t="s">
        <v>13732</v>
      </c>
      <c r="E845" s="21" t="s">
        <v>716</v>
      </c>
      <c r="F845" s="21" t="s">
        <v>4975</v>
      </c>
    </row>
    <row r="846" customFormat="false" ht="15" hidden="false" customHeight="false" outlineLevel="0" collapsed="false">
      <c r="B846" s="19" t="s">
        <v>14089</v>
      </c>
      <c r="C846" s="20" t="n">
        <f aca="false">ROUND(1.04/FX,2)</f>
        <v>0.14</v>
      </c>
      <c r="D846" s="21" t="s">
        <v>13739</v>
      </c>
      <c r="E846" s="21" t="s">
        <v>716</v>
      </c>
      <c r="F846" s="21" t="s">
        <v>6805</v>
      </c>
    </row>
    <row r="847" customFormat="false" ht="15" hidden="false" customHeight="false" outlineLevel="0" collapsed="false">
      <c r="B847" s="19" t="s">
        <v>14090</v>
      </c>
      <c r="C847" s="20" t="n">
        <f aca="false">ROUND(1.04/FX,2)</f>
        <v>0.14</v>
      </c>
      <c r="D847" s="21" t="s">
        <v>14013</v>
      </c>
      <c r="E847" s="21" t="s">
        <v>716</v>
      </c>
      <c r="F847" s="21" t="s">
        <v>3328</v>
      </c>
    </row>
    <row r="848" customFormat="false" ht="15" hidden="false" customHeight="false" outlineLevel="0" collapsed="false">
      <c r="B848" s="19" t="s">
        <v>14091</v>
      </c>
      <c r="C848" s="20" t="n">
        <f aca="false">ROUND(6.31/FX,2)</f>
        <v>0.88</v>
      </c>
      <c r="D848" s="21" t="s">
        <v>13732</v>
      </c>
      <c r="E848" s="21" t="s">
        <v>716</v>
      </c>
      <c r="F848" s="21" t="s">
        <v>1635</v>
      </c>
    </row>
    <row r="849" customFormat="false" ht="15" hidden="false" customHeight="false" outlineLevel="0" collapsed="false">
      <c r="B849" s="19" t="s">
        <v>14092</v>
      </c>
      <c r="C849" s="20" t="n">
        <f aca="false">ROUND(1.04/FX,2)</f>
        <v>0.14</v>
      </c>
      <c r="D849" s="21" t="s">
        <v>13739</v>
      </c>
      <c r="E849" s="21" t="s">
        <v>716</v>
      </c>
      <c r="F849" s="21" t="s">
        <v>6730</v>
      </c>
    </row>
    <row r="850" customFormat="false" ht="15" hidden="false" customHeight="false" outlineLevel="0" collapsed="false">
      <c r="B850" s="19" t="s">
        <v>14093</v>
      </c>
      <c r="C850" s="20" t="n">
        <f aca="false">ROUND(5.98/FX,2)</f>
        <v>0.83</v>
      </c>
      <c r="D850" s="21" t="s">
        <v>13732</v>
      </c>
      <c r="E850" s="21" t="s">
        <v>716</v>
      </c>
      <c r="F850" s="21" t="s">
        <v>1655</v>
      </c>
    </row>
    <row r="851" customFormat="false" ht="15" hidden="false" customHeight="false" outlineLevel="0" collapsed="false">
      <c r="B851" s="19" t="s">
        <v>14094</v>
      </c>
      <c r="C851" s="20" t="n">
        <f aca="false">ROUND(1.3/FX,2)</f>
        <v>0.18</v>
      </c>
      <c r="D851" s="21" t="s">
        <v>13739</v>
      </c>
      <c r="E851" s="21" t="s">
        <v>716</v>
      </c>
      <c r="F851" s="21" t="s">
        <v>13791</v>
      </c>
    </row>
    <row r="852" customFormat="false" ht="15" hidden="false" customHeight="false" outlineLevel="0" collapsed="false">
      <c r="B852" s="19" t="s">
        <v>14095</v>
      </c>
      <c r="C852" s="20" t="n">
        <f aca="false">ROUND(1.04/FX,2)</f>
        <v>0.14</v>
      </c>
      <c r="D852" s="21" t="s">
        <v>13739</v>
      </c>
      <c r="E852" s="21" t="s">
        <v>716</v>
      </c>
      <c r="F852" s="21" t="s">
        <v>5496</v>
      </c>
    </row>
    <row r="853" customFormat="false" ht="15" hidden="false" customHeight="false" outlineLevel="0" collapsed="false">
      <c r="B853" s="19" t="s">
        <v>14096</v>
      </c>
      <c r="C853" s="20" t="n">
        <f aca="false">ROUND(1.04/FX,2)</f>
        <v>0.14</v>
      </c>
      <c r="D853" s="21" t="s">
        <v>14013</v>
      </c>
      <c r="E853" s="21" t="s">
        <v>716</v>
      </c>
      <c r="F853" s="21" t="s">
        <v>841</v>
      </c>
    </row>
    <row r="854" customFormat="false" ht="15" hidden="false" customHeight="false" outlineLevel="0" collapsed="false">
      <c r="B854" s="19" t="s">
        <v>14097</v>
      </c>
      <c r="C854" s="20" t="n">
        <f aca="false">ROUND(1.25/FX,2)</f>
        <v>0.17</v>
      </c>
      <c r="D854" s="21" t="s">
        <v>14013</v>
      </c>
      <c r="E854" s="21" t="s">
        <v>716</v>
      </c>
      <c r="F854" s="21" t="s">
        <v>6246</v>
      </c>
    </row>
    <row r="855" customFormat="false" ht="15" hidden="false" customHeight="false" outlineLevel="0" collapsed="false">
      <c r="B855" s="19" t="s">
        <v>14098</v>
      </c>
      <c r="C855" s="20" t="n">
        <f aca="false">ROUND(7.02/FX,2)</f>
        <v>0.98</v>
      </c>
      <c r="D855" s="21" t="s">
        <v>13732</v>
      </c>
      <c r="E855" s="21" t="s">
        <v>716</v>
      </c>
      <c r="F855" s="21" t="s">
        <v>2002</v>
      </c>
    </row>
    <row r="856" customFormat="false" ht="15" hidden="false" customHeight="false" outlineLevel="0" collapsed="false">
      <c r="B856" s="19" t="s">
        <v>14099</v>
      </c>
      <c r="C856" s="20" t="n">
        <f aca="false">ROUND(1.56/FX,2)</f>
        <v>0.22</v>
      </c>
      <c r="D856" s="21" t="s">
        <v>13739</v>
      </c>
      <c r="E856" s="21" t="s">
        <v>716</v>
      </c>
      <c r="F856" s="21" t="s">
        <v>14100</v>
      </c>
    </row>
    <row r="857" customFormat="false" ht="15" hidden="false" customHeight="false" outlineLevel="0" collapsed="false">
      <c r="B857" s="19" t="s">
        <v>14101</v>
      </c>
      <c r="C857" s="20" t="n">
        <f aca="false">ROUND(7.31/FX,2)</f>
        <v>1.02</v>
      </c>
      <c r="D857" s="21" t="s">
        <v>13732</v>
      </c>
      <c r="E857" s="21" t="s">
        <v>716</v>
      </c>
      <c r="F857" s="21" t="s">
        <v>2022</v>
      </c>
    </row>
    <row r="858" customFormat="false" ht="15" hidden="false" customHeight="false" outlineLevel="0" collapsed="false">
      <c r="B858" s="19" t="s">
        <v>14102</v>
      </c>
      <c r="C858" s="20" t="n">
        <f aca="false">ROUND(7.45/FX,2)</f>
        <v>1.03</v>
      </c>
      <c r="D858" s="21" t="s">
        <v>13732</v>
      </c>
      <c r="E858" s="21" t="s">
        <v>716</v>
      </c>
      <c r="F858" s="21" t="s">
        <v>2037</v>
      </c>
    </row>
    <row r="859" customFormat="false" ht="15" hidden="false" customHeight="false" outlineLevel="0" collapsed="false">
      <c r="B859" s="19" t="s">
        <v>14103</v>
      </c>
      <c r="C859" s="20" t="n">
        <f aca="false">ROUND(1.13/FX,2)</f>
        <v>0.16</v>
      </c>
      <c r="D859" s="21" t="s">
        <v>13751</v>
      </c>
      <c r="E859" s="21" t="s">
        <v>716</v>
      </c>
      <c r="F859" s="21" t="s">
        <v>7358</v>
      </c>
    </row>
    <row r="860" customFormat="false" ht="15" hidden="false" customHeight="false" outlineLevel="0" collapsed="false">
      <c r="B860" s="19" t="s">
        <v>14104</v>
      </c>
      <c r="C860" s="20" t="n">
        <f aca="false">ROUND(7.74/FX,2)</f>
        <v>1.08</v>
      </c>
      <c r="D860" s="21" t="s">
        <v>13732</v>
      </c>
      <c r="E860" s="21" t="s">
        <v>716</v>
      </c>
      <c r="F860" s="21" t="s">
        <v>2067</v>
      </c>
    </row>
    <row r="861" customFormat="false" ht="15" hidden="false" customHeight="false" outlineLevel="0" collapsed="false">
      <c r="B861" s="19" t="s">
        <v>14105</v>
      </c>
      <c r="C861" s="20" t="n">
        <f aca="false">ROUND(1.56/FX,2)</f>
        <v>0.22</v>
      </c>
      <c r="D861" s="21" t="s">
        <v>13739</v>
      </c>
      <c r="E861" s="21" t="s">
        <v>716</v>
      </c>
      <c r="F861" s="21" t="s">
        <v>6742</v>
      </c>
    </row>
    <row r="862" customFormat="false" ht="15" hidden="false" customHeight="false" outlineLevel="0" collapsed="false">
      <c r="B862" s="19" t="s">
        <v>14106</v>
      </c>
      <c r="C862" s="20" t="n">
        <f aca="false">ROUND(1.04/FX,2)</f>
        <v>0.14</v>
      </c>
      <c r="D862" s="21" t="s">
        <v>14013</v>
      </c>
      <c r="E862" s="21" t="s">
        <v>716</v>
      </c>
      <c r="F862" s="21" t="s">
        <v>789</v>
      </c>
    </row>
    <row r="863" customFormat="false" ht="15" hidden="false" customHeight="false" outlineLevel="0" collapsed="false">
      <c r="B863" s="19" t="s">
        <v>14107</v>
      </c>
      <c r="C863" s="20" t="n">
        <f aca="false">ROUND(1.25/FX,2)</f>
        <v>0.17</v>
      </c>
      <c r="D863" s="21" t="s">
        <v>13751</v>
      </c>
      <c r="E863" s="21" t="s">
        <v>716</v>
      </c>
      <c r="F863" s="21" t="s">
        <v>2911</v>
      </c>
    </row>
    <row r="864" customFormat="false" ht="15" hidden="false" customHeight="false" outlineLevel="0" collapsed="false">
      <c r="B864" s="19" t="s">
        <v>14108</v>
      </c>
      <c r="C864" s="20" t="n">
        <f aca="false">ROUND(8.45/FX,2)</f>
        <v>1.17</v>
      </c>
      <c r="D864" s="21" t="s">
        <v>13732</v>
      </c>
      <c r="E864" s="21" t="s">
        <v>716</v>
      </c>
      <c r="F864" s="21" t="s">
        <v>2142</v>
      </c>
    </row>
    <row r="865" customFormat="false" ht="15" hidden="false" customHeight="false" outlineLevel="0" collapsed="false">
      <c r="B865" s="19" t="s">
        <v>14109</v>
      </c>
      <c r="C865" s="20" t="n">
        <f aca="false">ROUND(7.8/FX,2)</f>
        <v>1.08</v>
      </c>
      <c r="D865" s="21" t="s">
        <v>13732</v>
      </c>
      <c r="E865" s="21" t="s">
        <v>716</v>
      </c>
      <c r="F865" s="21" t="s">
        <v>3637</v>
      </c>
    </row>
    <row r="866" customFormat="false" ht="15" hidden="false" customHeight="false" outlineLevel="0" collapsed="false">
      <c r="B866" s="19" t="s">
        <v>14110</v>
      </c>
      <c r="C866" s="20" t="n">
        <f aca="false">ROUND(1.56/FX,2)</f>
        <v>0.22</v>
      </c>
      <c r="D866" s="21" t="s">
        <v>13739</v>
      </c>
      <c r="E866" s="21" t="s">
        <v>716</v>
      </c>
      <c r="F866" s="21" t="s">
        <v>2931</v>
      </c>
    </row>
    <row r="867" customFormat="false" ht="15" hidden="false" customHeight="false" outlineLevel="0" collapsed="false">
      <c r="B867" s="19" t="s">
        <v>14111</v>
      </c>
      <c r="C867" s="20" t="n">
        <f aca="false">ROUND(1.01/FX,2)</f>
        <v>0.14</v>
      </c>
      <c r="D867" s="21" t="s">
        <v>13739</v>
      </c>
      <c r="E867" s="21" t="s">
        <v>716</v>
      </c>
      <c r="F867" s="21" t="s">
        <v>7275</v>
      </c>
    </row>
    <row r="868" customFormat="false" ht="15" hidden="false" customHeight="false" outlineLevel="0" collapsed="false">
      <c r="B868" s="19" t="s">
        <v>14112</v>
      </c>
      <c r="C868" s="20" t="n">
        <f aca="false">ROUND(9.17/FX,2)</f>
        <v>1.27</v>
      </c>
      <c r="D868" s="21" t="s">
        <v>13732</v>
      </c>
      <c r="E868" s="21" t="s">
        <v>716</v>
      </c>
      <c r="F868" s="21" t="s">
        <v>2187</v>
      </c>
    </row>
    <row r="869" customFormat="false" ht="15" hidden="false" customHeight="false" outlineLevel="0" collapsed="false">
      <c r="B869" s="19" t="s">
        <v>14113</v>
      </c>
      <c r="C869" s="20" t="n">
        <f aca="false">ROUND(1.04/FX,2)</f>
        <v>0.14</v>
      </c>
      <c r="D869" s="21" t="s">
        <v>13997</v>
      </c>
      <c r="E869" s="21" t="s">
        <v>716</v>
      </c>
      <c r="F869" s="21" t="s">
        <v>716</v>
      </c>
    </row>
    <row r="870" customFormat="false" ht="15" hidden="false" customHeight="false" outlineLevel="0" collapsed="false">
      <c r="B870" s="19" t="s">
        <v>14114</v>
      </c>
      <c r="C870" s="20" t="n">
        <f aca="false">ROUND(1.04/FX,2)</f>
        <v>0.14</v>
      </c>
      <c r="D870" s="21" t="s">
        <v>13739</v>
      </c>
      <c r="E870" s="21" t="s">
        <v>716</v>
      </c>
      <c r="F870" s="21" t="s">
        <v>2961</v>
      </c>
    </row>
    <row r="871" customFormat="false" ht="15" hidden="false" customHeight="false" outlineLevel="0" collapsed="false">
      <c r="B871" s="19" t="s">
        <v>14115</v>
      </c>
      <c r="C871" s="20" t="n">
        <f aca="false">ROUND(9.88/FX,2)</f>
        <v>1.37</v>
      </c>
      <c r="D871" s="21" t="s">
        <v>13732</v>
      </c>
      <c r="E871" s="21" t="s">
        <v>716</v>
      </c>
      <c r="F871" s="21" t="s">
        <v>2227</v>
      </c>
    </row>
    <row r="872" customFormat="false" ht="15" hidden="false" customHeight="false" outlineLevel="0" collapsed="false">
      <c r="B872" s="19" t="s">
        <v>14116</v>
      </c>
      <c r="C872" s="20" t="n">
        <f aca="false">ROUND(1.82/FX,2)</f>
        <v>0.25</v>
      </c>
      <c r="D872" s="21" t="s">
        <v>13739</v>
      </c>
      <c r="E872" s="21" t="s">
        <v>716</v>
      </c>
      <c r="F872" s="21" t="s">
        <v>2971</v>
      </c>
    </row>
    <row r="873" customFormat="false" ht="15" hidden="false" customHeight="false" outlineLevel="0" collapsed="false">
      <c r="B873" s="19" t="s">
        <v>14117</v>
      </c>
      <c r="C873" s="20" t="n">
        <f aca="false">ROUND(1.04/FX,2)</f>
        <v>0.14</v>
      </c>
      <c r="D873" s="21" t="s">
        <v>13732</v>
      </c>
      <c r="E873" s="21" t="s">
        <v>716</v>
      </c>
      <c r="F873" s="21" t="s">
        <v>13817</v>
      </c>
    </row>
    <row r="874" customFormat="false" ht="15" hidden="false" customHeight="false" outlineLevel="0" collapsed="false">
      <c r="B874" s="19" t="s">
        <v>14118</v>
      </c>
      <c r="C874" s="20" t="n">
        <f aca="false">ROUND(10.6/FX,2)</f>
        <v>1.47</v>
      </c>
      <c r="D874" s="21" t="s">
        <v>13732</v>
      </c>
      <c r="E874" s="21" t="s">
        <v>716</v>
      </c>
      <c r="F874" s="21" t="s">
        <v>2297</v>
      </c>
    </row>
    <row r="875" customFormat="false" ht="15" hidden="false" customHeight="false" outlineLevel="0" collapsed="false">
      <c r="B875" s="19" t="s">
        <v>14119</v>
      </c>
      <c r="C875" s="20" t="n">
        <f aca="false">ROUND(1.04/FX,2)</f>
        <v>0.14</v>
      </c>
      <c r="D875" s="21" t="s">
        <v>14056</v>
      </c>
      <c r="E875" s="21" t="s">
        <v>716</v>
      </c>
      <c r="F875" s="21" t="s">
        <v>845</v>
      </c>
    </row>
    <row r="876" customFormat="false" ht="15" hidden="false" customHeight="false" outlineLevel="0" collapsed="false">
      <c r="B876" s="19" t="s">
        <v>14120</v>
      </c>
      <c r="C876" s="20" t="n">
        <f aca="false">ROUND(2.12/FX,2)</f>
        <v>0.29</v>
      </c>
      <c r="D876" s="21" t="s">
        <v>13732</v>
      </c>
      <c r="E876" s="21" t="s">
        <v>716</v>
      </c>
      <c r="F876" s="21" t="s">
        <v>3011</v>
      </c>
    </row>
    <row r="877" customFormat="false" ht="15" hidden="false" customHeight="false" outlineLevel="0" collapsed="false">
      <c r="B877" s="19" t="s">
        <v>14121</v>
      </c>
      <c r="C877" s="20" t="n">
        <f aca="false">ROUND(11.31/FX,2)</f>
        <v>1.57</v>
      </c>
      <c r="D877" s="21" t="s">
        <v>13732</v>
      </c>
      <c r="E877" s="21" t="s">
        <v>716</v>
      </c>
      <c r="F877" s="21" t="s">
        <v>2351</v>
      </c>
    </row>
    <row r="878" customFormat="false" ht="15" hidden="false" customHeight="false" outlineLevel="0" collapsed="false">
      <c r="B878" s="19" t="s">
        <v>14122</v>
      </c>
      <c r="C878" s="20" t="n">
        <f aca="false">ROUND(2.18/FX,2)</f>
        <v>0.3</v>
      </c>
      <c r="D878" s="21" t="s">
        <v>13732</v>
      </c>
      <c r="E878" s="21" t="s">
        <v>716</v>
      </c>
      <c r="F878" s="21" t="s">
        <v>7396</v>
      </c>
    </row>
    <row r="879" customFormat="false" ht="15" hidden="false" customHeight="false" outlineLevel="0" collapsed="false">
      <c r="B879" s="19" t="s">
        <v>14123</v>
      </c>
      <c r="C879" s="20" t="n">
        <f aca="false">ROUND(12.03/FX,2)</f>
        <v>1.67</v>
      </c>
      <c r="D879" s="21" t="s">
        <v>13732</v>
      </c>
      <c r="E879" s="21" t="s">
        <v>716</v>
      </c>
      <c r="F879" s="21" t="s">
        <v>2400</v>
      </c>
    </row>
    <row r="880" customFormat="false" ht="15" hidden="false" customHeight="false" outlineLevel="0" collapsed="false">
      <c r="B880" s="19" t="s">
        <v>14124</v>
      </c>
      <c r="C880" s="20" t="n">
        <f aca="false">ROUND(1/FX,2)</f>
        <v>0.14</v>
      </c>
      <c r="D880" s="21" t="s">
        <v>13988</v>
      </c>
      <c r="E880" s="21" t="s">
        <v>716</v>
      </c>
      <c r="F880" s="21" t="s">
        <v>847</v>
      </c>
    </row>
    <row r="881" customFormat="false" ht="15" hidden="false" customHeight="false" outlineLevel="0" collapsed="false">
      <c r="B881" s="19" t="s">
        <v>14125</v>
      </c>
      <c r="C881" s="20" t="n">
        <f aca="false">ROUND(1.38/FX,2)</f>
        <v>0.19</v>
      </c>
      <c r="D881" s="21" t="s">
        <v>13739</v>
      </c>
      <c r="E881" s="21" t="s">
        <v>716</v>
      </c>
      <c r="F881" s="21" t="s">
        <v>3061</v>
      </c>
    </row>
    <row r="882" customFormat="false" ht="15" hidden="false" customHeight="false" outlineLevel="0" collapsed="false">
      <c r="B882" s="19" t="s">
        <v>14126</v>
      </c>
      <c r="C882" s="20" t="n">
        <f aca="false">ROUND(12.35/FX,2)</f>
        <v>1.72</v>
      </c>
      <c r="D882" s="21" t="s">
        <v>13732</v>
      </c>
      <c r="E882" s="21" t="s">
        <v>716</v>
      </c>
      <c r="F882" s="21" t="s">
        <v>2440</v>
      </c>
    </row>
    <row r="883" customFormat="false" ht="15" hidden="false" customHeight="false" outlineLevel="0" collapsed="false">
      <c r="B883" s="19" t="s">
        <v>14127</v>
      </c>
      <c r="C883" s="20" t="n">
        <f aca="false">ROUND(1.04/FX,2)</f>
        <v>0.14</v>
      </c>
      <c r="D883" s="21" t="s">
        <v>13997</v>
      </c>
      <c r="E883" s="21" t="s">
        <v>716</v>
      </c>
      <c r="F883" s="21" t="s">
        <v>719</v>
      </c>
    </row>
    <row r="884" customFormat="false" ht="15" hidden="false" customHeight="false" outlineLevel="0" collapsed="false">
      <c r="B884" s="19" t="s">
        <v>14128</v>
      </c>
      <c r="C884" s="20" t="n">
        <f aca="false">ROUND(3.25/FX,2)</f>
        <v>0.45</v>
      </c>
      <c r="D884" s="21" t="s">
        <v>13732</v>
      </c>
      <c r="E884" s="21" t="s">
        <v>716</v>
      </c>
      <c r="F884" s="21" t="s">
        <v>3111</v>
      </c>
    </row>
    <row r="885" customFormat="false" ht="15" hidden="false" customHeight="false" outlineLevel="0" collapsed="false">
      <c r="B885" s="19" t="s">
        <v>14129</v>
      </c>
      <c r="C885" s="20" t="n">
        <f aca="false">ROUND(14.17/FX,2)</f>
        <v>1.97</v>
      </c>
      <c r="D885" s="21" t="s">
        <v>13732</v>
      </c>
      <c r="E885" s="21" t="s">
        <v>716</v>
      </c>
      <c r="F885" s="21" t="s">
        <v>2500</v>
      </c>
    </row>
    <row r="886" customFormat="false" ht="15" hidden="false" customHeight="false" outlineLevel="0" collapsed="false">
      <c r="B886" s="19" t="s">
        <v>14130</v>
      </c>
      <c r="C886" s="20" t="n">
        <f aca="false">ROUND(1.17/FX,2)</f>
        <v>0.16</v>
      </c>
      <c r="D886" s="21" t="s">
        <v>14007</v>
      </c>
      <c r="E886" s="21" t="s">
        <v>847</v>
      </c>
      <c r="F886" s="21" t="s">
        <v>707</v>
      </c>
    </row>
    <row r="887" customFormat="false" ht="15" hidden="false" customHeight="false" outlineLevel="0" collapsed="false">
      <c r="B887" s="19" t="s">
        <v>14131</v>
      </c>
      <c r="C887" s="20" t="n">
        <f aca="false">ROUND(2.6/FX,2)</f>
        <v>0.36</v>
      </c>
      <c r="D887" s="21" t="s">
        <v>13732</v>
      </c>
      <c r="E887" s="21" t="s">
        <v>847</v>
      </c>
      <c r="F887" s="21" t="s">
        <v>2600</v>
      </c>
    </row>
    <row r="888" customFormat="false" ht="15" hidden="false" customHeight="false" outlineLevel="0" collapsed="false">
      <c r="B888" s="19" t="s">
        <v>14132</v>
      </c>
      <c r="C888" s="20" t="n">
        <f aca="false">ROUND(13/FX,2)</f>
        <v>1.81</v>
      </c>
      <c r="D888" s="21" t="s">
        <v>13732</v>
      </c>
      <c r="E888" s="21" t="s">
        <v>847</v>
      </c>
      <c r="F888" s="21" t="s">
        <v>1733</v>
      </c>
    </row>
    <row r="889" customFormat="false" ht="15" hidden="false" customHeight="false" outlineLevel="0" collapsed="false">
      <c r="B889" s="19" t="s">
        <v>14133</v>
      </c>
      <c r="C889" s="20" t="n">
        <f aca="false">ROUND(15.86/FX,2)</f>
        <v>2.2</v>
      </c>
      <c r="D889" s="21" t="s">
        <v>13732</v>
      </c>
      <c r="E889" s="21" t="s">
        <v>847</v>
      </c>
      <c r="F889" s="21" t="s">
        <v>12208</v>
      </c>
    </row>
    <row r="890" customFormat="false" ht="15" hidden="false" customHeight="false" outlineLevel="0" collapsed="false">
      <c r="B890" s="19" t="s">
        <v>14134</v>
      </c>
      <c r="C890" s="20" t="n">
        <f aca="false">ROUND(1.37/FX,2)</f>
        <v>0.19</v>
      </c>
      <c r="D890" s="21" t="s">
        <v>13751</v>
      </c>
      <c r="E890" s="21" t="s">
        <v>847</v>
      </c>
      <c r="F890" s="21" t="s">
        <v>5091</v>
      </c>
    </row>
    <row r="891" customFormat="false" ht="15" hidden="false" customHeight="false" outlineLevel="0" collapsed="false">
      <c r="B891" s="19" t="s">
        <v>14135</v>
      </c>
      <c r="C891" s="20" t="n">
        <f aca="false">ROUND(2.87/FX,2)</f>
        <v>0.4</v>
      </c>
      <c r="D891" s="21" t="s">
        <v>13732</v>
      </c>
      <c r="E891" s="21" t="s">
        <v>847</v>
      </c>
      <c r="F891" s="21" t="s">
        <v>2651</v>
      </c>
    </row>
    <row r="892" customFormat="false" ht="15" hidden="false" customHeight="false" outlineLevel="0" collapsed="false">
      <c r="B892" s="19" t="s">
        <v>14136</v>
      </c>
      <c r="C892" s="20" t="n">
        <f aca="false">ROUND(1.04/FX,2)</f>
        <v>0.14</v>
      </c>
      <c r="D892" s="21" t="s">
        <v>14013</v>
      </c>
      <c r="E892" s="21" t="s">
        <v>847</v>
      </c>
      <c r="F892" s="21" t="s">
        <v>761</v>
      </c>
    </row>
    <row r="893" customFormat="false" ht="15" hidden="false" customHeight="false" outlineLevel="0" collapsed="false">
      <c r="B893" s="19" t="s">
        <v>14137</v>
      </c>
      <c r="C893" s="20" t="n">
        <f aca="false">ROUND(3.02/FX,2)</f>
        <v>0.42</v>
      </c>
      <c r="D893" s="21" t="s">
        <v>13732</v>
      </c>
      <c r="E893" s="21" t="s">
        <v>847</v>
      </c>
      <c r="F893" s="21" t="s">
        <v>2701</v>
      </c>
    </row>
    <row r="894" customFormat="false" ht="15" hidden="false" customHeight="false" outlineLevel="0" collapsed="false">
      <c r="B894" s="19" t="s">
        <v>14138</v>
      </c>
      <c r="C894" s="20" t="n">
        <f aca="false">ROUND(1.04/FX,2)</f>
        <v>0.14</v>
      </c>
      <c r="D894" s="21" t="s">
        <v>13739</v>
      </c>
      <c r="E894" s="21" t="s">
        <v>847</v>
      </c>
      <c r="F894" s="21" t="s">
        <v>4761</v>
      </c>
    </row>
    <row r="895" customFormat="false" ht="15" hidden="false" customHeight="false" outlineLevel="0" collapsed="false">
      <c r="B895" s="19" t="s">
        <v>14139</v>
      </c>
      <c r="C895" s="20" t="n">
        <f aca="false">ROUND(1.04/FX,2)</f>
        <v>0.14</v>
      </c>
      <c r="D895" s="21" t="s">
        <v>14013</v>
      </c>
      <c r="E895" s="21" t="s">
        <v>847</v>
      </c>
      <c r="F895" s="21" t="s">
        <v>4721</v>
      </c>
    </row>
    <row r="896" customFormat="false" ht="15" hidden="false" customHeight="false" outlineLevel="0" collapsed="false">
      <c r="B896" s="19" t="s">
        <v>14140</v>
      </c>
      <c r="C896" s="20" t="n">
        <f aca="false">ROUND(1.04/FX,2)</f>
        <v>0.14</v>
      </c>
      <c r="D896" s="21" t="s">
        <v>14013</v>
      </c>
      <c r="E896" s="21" t="s">
        <v>847</v>
      </c>
      <c r="F896" s="21" t="s">
        <v>714</v>
      </c>
    </row>
    <row r="897" customFormat="false" ht="15" hidden="false" customHeight="false" outlineLevel="0" collapsed="false">
      <c r="B897" s="19" t="s">
        <v>14141</v>
      </c>
      <c r="C897" s="20" t="n">
        <f aca="false">ROUND(3.25/FX,2)</f>
        <v>0.45</v>
      </c>
      <c r="D897" s="21" t="s">
        <v>13732</v>
      </c>
      <c r="E897" s="21" t="s">
        <v>847</v>
      </c>
      <c r="F897" s="21" t="s">
        <v>2851</v>
      </c>
    </row>
    <row r="898" customFormat="false" ht="15" hidden="false" customHeight="false" outlineLevel="0" collapsed="false">
      <c r="B898" s="19" t="s">
        <v>14142</v>
      </c>
      <c r="C898" s="20" t="n">
        <f aca="false">ROUND(23.04/FX,2)</f>
        <v>3.2</v>
      </c>
      <c r="D898" s="21" t="s">
        <v>13732</v>
      </c>
      <c r="E898" s="21" t="s">
        <v>847</v>
      </c>
      <c r="F898" s="21" t="s">
        <v>1894</v>
      </c>
    </row>
    <row r="899" customFormat="false" ht="15" hidden="false" customHeight="false" outlineLevel="0" collapsed="false">
      <c r="B899" s="19" t="s">
        <v>14143</v>
      </c>
      <c r="C899" s="20" t="n">
        <f aca="false">ROUND(1.17/FX,2)</f>
        <v>0.16</v>
      </c>
      <c r="D899" s="21" t="s">
        <v>13743</v>
      </c>
      <c r="E899" s="21" t="s">
        <v>847</v>
      </c>
      <c r="F899" s="21" t="s">
        <v>3833</v>
      </c>
    </row>
    <row r="900" customFormat="false" ht="15" hidden="false" customHeight="false" outlineLevel="0" collapsed="false">
      <c r="B900" s="19" t="s">
        <v>14144</v>
      </c>
      <c r="C900" s="20" t="n">
        <f aca="false">ROUND(1.04/FX,2)</f>
        <v>0.14</v>
      </c>
      <c r="D900" s="21" t="s">
        <v>13739</v>
      </c>
      <c r="E900" s="21" t="s">
        <v>847</v>
      </c>
      <c r="F900" s="21" t="s">
        <v>5492</v>
      </c>
    </row>
    <row r="901" customFormat="false" ht="15" hidden="false" customHeight="false" outlineLevel="0" collapsed="false">
      <c r="B901" s="19" t="s">
        <v>14145</v>
      </c>
      <c r="C901" s="20" t="n">
        <f aca="false">ROUND(3.52/FX,2)</f>
        <v>0.49</v>
      </c>
      <c r="D901" s="21" t="s">
        <v>13732</v>
      </c>
      <c r="E901" s="21" t="s">
        <v>847</v>
      </c>
      <c r="F901" s="21" t="s">
        <v>3892</v>
      </c>
    </row>
    <row r="902" customFormat="false" ht="15" hidden="false" customHeight="false" outlineLevel="0" collapsed="false">
      <c r="B902" s="19" t="s">
        <v>14146</v>
      </c>
      <c r="C902" s="20" t="n">
        <f aca="false">ROUND(3.8/FX,2)</f>
        <v>0.53</v>
      </c>
      <c r="D902" s="21" t="s">
        <v>13732</v>
      </c>
      <c r="E902" s="21" t="s">
        <v>847</v>
      </c>
      <c r="F902" s="21" t="s">
        <v>6497</v>
      </c>
    </row>
    <row r="903" customFormat="false" ht="15" hidden="false" customHeight="false" outlineLevel="0" collapsed="false">
      <c r="B903" s="19" t="s">
        <v>14147</v>
      </c>
      <c r="C903" s="20" t="n">
        <f aca="false">ROUND(3.82/FX,2)</f>
        <v>0.53</v>
      </c>
      <c r="D903" s="21" t="s">
        <v>13732</v>
      </c>
      <c r="E903" s="21" t="s">
        <v>847</v>
      </c>
      <c r="F903" s="21" t="s">
        <v>916</v>
      </c>
    </row>
    <row r="904" customFormat="false" ht="15" hidden="false" customHeight="false" outlineLevel="0" collapsed="false">
      <c r="B904" s="19" t="s">
        <v>14148</v>
      </c>
      <c r="C904" s="20" t="n">
        <f aca="false">ROUND(1.01/FX,2)</f>
        <v>0.14</v>
      </c>
      <c r="D904" s="21" t="s">
        <v>13751</v>
      </c>
      <c r="E904" s="21" t="s">
        <v>847</v>
      </c>
      <c r="F904" s="21" t="s">
        <v>4000</v>
      </c>
    </row>
    <row r="905" customFormat="false" ht="15" hidden="false" customHeight="false" outlineLevel="0" collapsed="false">
      <c r="B905" s="19" t="s">
        <v>14149</v>
      </c>
      <c r="C905" s="20" t="n">
        <f aca="false">ROUND(1.04/FX,2)</f>
        <v>0.14</v>
      </c>
      <c r="D905" s="21" t="s">
        <v>13739</v>
      </c>
      <c r="E905" s="21" t="s">
        <v>847</v>
      </c>
      <c r="F905" s="21" t="s">
        <v>6940</v>
      </c>
    </row>
    <row r="906" customFormat="false" ht="15" hidden="false" customHeight="false" outlineLevel="0" collapsed="false">
      <c r="B906" s="19" t="s">
        <v>14150</v>
      </c>
      <c r="C906" s="20" t="n">
        <f aca="false">ROUND(3.64/FX,2)</f>
        <v>0.51</v>
      </c>
      <c r="D906" s="21" t="s">
        <v>13732</v>
      </c>
      <c r="E906" s="21" t="s">
        <v>847</v>
      </c>
      <c r="F906" s="21" t="s">
        <v>993</v>
      </c>
    </row>
    <row r="907" customFormat="false" ht="15" hidden="false" customHeight="false" outlineLevel="0" collapsed="false">
      <c r="B907" s="19" t="s">
        <v>14151</v>
      </c>
      <c r="C907" s="20" t="n">
        <f aca="false">ROUND(1.25/FX,2)</f>
        <v>0.17</v>
      </c>
      <c r="D907" s="21" t="s">
        <v>14013</v>
      </c>
      <c r="E907" s="21" t="s">
        <v>847</v>
      </c>
      <c r="F907" s="21" t="s">
        <v>3247</v>
      </c>
    </row>
    <row r="908" customFormat="false" ht="15" hidden="false" customHeight="false" outlineLevel="0" collapsed="false">
      <c r="B908" s="19" t="s">
        <v>14152</v>
      </c>
      <c r="C908" s="20" t="n">
        <f aca="false">ROUND(4.16/FX,2)</f>
        <v>0.58</v>
      </c>
      <c r="D908" s="21" t="s">
        <v>13732</v>
      </c>
      <c r="E908" s="21" t="s">
        <v>847</v>
      </c>
      <c r="F908" s="21" t="s">
        <v>1048</v>
      </c>
    </row>
    <row r="909" customFormat="false" ht="15" hidden="false" customHeight="false" outlineLevel="0" collapsed="false">
      <c r="B909" s="19" t="s">
        <v>14153</v>
      </c>
      <c r="C909" s="20" t="n">
        <f aca="false">ROUND(26/FX,2)</f>
        <v>3.61</v>
      </c>
      <c r="D909" s="21" t="s">
        <v>13732</v>
      </c>
      <c r="E909" s="21" t="s">
        <v>847</v>
      </c>
      <c r="F909" s="21" t="s">
        <v>1924</v>
      </c>
    </row>
    <row r="910" customFormat="false" ht="15" hidden="false" customHeight="false" outlineLevel="0" collapsed="false">
      <c r="B910" s="19" t="s">
        <v>14154</v>
      </c>
      <c r="C910" s="20" t="n">
        <f aca="false">ROUND(1.37/FX,2)</f>
        <v>0.19</v>
      </c>
      <c r="D910" s="21" t="s">
        <v>13751</v>
      </c>
      <c r="E910" s="21" t="s">
        <v>847</v>
      </c>
      <c r="F910" s="21" t="s">
        <v>5097</v>
      </c>
    </row>
    <row r="911" customFormat="false" ht="15" hidden="false" customHeight="false" outlineLevel="0" collapsed="false">
      <c r="B911" s="19" t="s">
        <v>14155</v>
      </c>
      <c r="C911" s="20" t="n">
        <f aca="false">ROUND(4.45/FX,2)</f>
        <v>0.62</v>
      </c>
      <c r="D911" s="21" t="s">
        <v>13732</v>
      </c>
      <c r="E911" s="21" t="s">
        <v>847</v>
      </c>
      <c r="F911" s="21" t="s">
        <v>1158</v>
      </c>
    </row>
    <row r="912" customFormat="false" ht="15" hidden="false" customHeight="false" outlineLevel="0" collapsed="false">
      <c r="B912" s="19" t="s">
        <v>14156</v>
      </c>
      <c r="C912" s="20" t="n">
        <f aca="false">ROUND(1.17/FX,2)</f>
        <v>0.16</v>
      </c>
      <c r="D912" s="21" t="s">
        <v>13739</v>
      </c>
      <c r="E912" s="21" t="s">
        <v>847</v>
      </c>
      <c r="F912" s="21" t="s">
        <v>7020</v>
      </c>
    </row>
    <row r="913" customFormat="false" ht="15" hidden="false" customHeight="false" outlineLevel="0" collapsed="false">
      <c r="B913" s="19" t="s">
        <v>14157</v>
      </c>
      <c r="C913" s="20" t="n">
        <f aca="false">ROUND(4.29/FX,2)</f>
        <v>0.6</v>
      </c>
      <c r="D913" s="21" t="s">
        <v>13732</v>
      </c>
      <c r="E913" s="21" t="s">
        <v>847</v>
      </c>
      <c r="F913" s="21" t="s">
        <v>1213</v>
      </c>
    </row>
    <row r="914" customFormat="false" ht="15" hidden="false" customHeight="false" outlineLevel="0" collapsed="false">
      <c r="B914" s="19" t="s">
        <v>14158</v>
      </c>
      <c r="C914" s="20" t="n">
        <f aca="false">ROUND(4.66/FX,2)</f>
        <v>0.65</v>
      </c>
      <c r="D914" s="21" t="s">
        <v>13732</v>
      </c>
      <c r="E914" s="21" t="s">
        <v>847</v>
      </c>
      <c r="F914" s="21" t="s">
        <v>4826</v>
      </c>
    </row>
    <row r="915" customFormat="false" ht="15" hidden="false" customHeight="false" outlineLevel="0" collapsed="false">
      <c r="B915" s="19" t="s">
        <v>14159</v>
      </c>
      <c r="C915" s="20" t="n">
        <f aca="false">ROUND(1.37/FX,2)</f>
        <v>0.19</v>
      </c>
      <c r="D915" s="21" t="s">
        <v>13751</v>
      </c>
      <c r="E915" s="21" t="s">
        <v>847</v>
      </c>
      <c r="F915" s="21" t="s">
        <v>6723</v>
      </c>
    </row>
    <row r="916" customFormat="false" ht="15" hidden="false" customHeight="false" outlineLevel="0" collapsed="false">
      <c r="B916" s="19" t="s">
        <v>14160</v>
      </c>
      <c r="C916" s="20" t="n">
        <f aca="false">ROUND(4.73/FX,2)</f>
        <v>0.66</v>
      </c>
      <c r="D916" s="21" t="s">
        <v>13732</v>
      </c>
      <c r="E916" s="21" t="s">
        <v>847</v>
      </c>
      <c r="F916" s="21" t="s">
        <v>1268</v>
      </c>
    </row>
    <row r="917" customFormat="false" ht="15" hidden="false" customHeight="false" outlineLevel="0" collapsed="false">
      <c r="B917" s="19" t="s">
        <v>14161</v>
      </c>
      <c r="C917" s="20" t="n">
        <f aca="false">ROUND(4.8/FX,2)</f>
        <v>0.67</v>
      </c>
      <c r="D917" s="21" t="s">
        <v>13732</v>
      </c>
      <c r="E917" s="21" t="s">
        <v>847</v>
      </c>
      <c r="F917" s="21" t="s">
        <v>6278</v>
      </c>
    </row>
    <row r="918" customFormat="false" ht="15" hidden="false" customHeight="false" outlineLevel="0" collapsed="false">
      <c r="B918" s="19" t="s">
        <v>14162</v>
      </c>
      <c r="C918" s="20" t="n">
        <f aca="false">ROUND(1.4/FX,2)</f>
        <v>0.19</v>
      </c>
      <c r="D918" s="21" t="s">
        <v>13751</v>
      </c>
      <c r="E918" s="21" t="s">
        <v>847</v>
      </c>
      <c r="F918" s="21" t="s">
        <v>3317</v>
      </c>
    </row>
    <row r="919" customFormat="false" ht="15" hidden="false" customHeight="false" outlineLevel="0" collapsed="false">
      <c r="B919" s="19" t="s">
        <v>14163</v>
      </c>
      <c r="C919" s="20" t="n">
        <f aca="false">ROUND(4.55/FX,2)</f>
        <v>0.63</v>
      </c>
      <c r="D919" s="21" t="s">
        <v>13732</v>
      </c>
      <c r="E919" s="21" t="s">
        <v>847</v>
      </c>
      <c r="F919" s="21" t="s">
        <v>1323</v>
      </c>
    </row>
    <row r="920" customFormat="false" ht="15" hidden="false" customHeight="false" outlineLevel="0" collapsed="false">
      <c r="B920" s="19" t="s">
        <v>14164</v>
      </c>
      <c r="C920" s="20" t="n">
        <f aca="false">ROUND(1.07/FX,2)</f>
        <v>0.15</v>
      </c>
      <c r="D920" s="21" t="s">
        <v>13739</v>
      </c>
      <c r="E920" s="21" t="s">
        <v>847</v>
      </c>
      <c r="F920" s="21" t="s">
        <v>7061</v>
      </c>
    </row>
    <row r="921" customFormat="false" ht="15" hidden="false" customHeight="false" outlineLevel="0" collapsed="false">
      <c r="B921" s="19" t="s">
        <v>14165</v>
      </c>
      <c r="C921" s="20" t="n">
        <f aca="false">ROUND(5.02/FX,2)</f>
        <v>0.7</v>
      </c>
      <c r="D921" s="21" t="s">
        <v>13732</v>
      </c>
      <c r="E921" s="21" t="s">
        <v>847</v>
      </c>
      <c r="F921" s="21" t="s">
        <v>1378</v>
      </c>
    </row>
    <row r="922" customFormat="false" ht="15" hidden="false" customHeight="false" outlineLevel="0" collapsed="false">
      <c r="B922" s="19" t="s">
        <v>14166</v>
      </c>
      <c r="C922" s="20" t="n">
        <f aca="false">ROUND(5.09/FX,2)</f>
        <v>0.71</v>
      </c>
      <c r="D922" s="21" t="s">
        <v>13732</v>
      </c>
      <c r="E922" s="21" t="s">
        <v>847</v>
      </c>
      <c r="F922" s="21" t="s">
        <v>4130</v>
      </c>
    </row>
    <row r="923" customFormat="false" ht="15" hidden="false" customHeight="false" outlineLevel="0" collapsed="false">
      <c r="B923" s="19" t="s">
        <v>14167</v>
      </c>
      <c r="C923" s="20" t="n">
        <f aca="false">ROUND(1.3/FX,2)</f>
        <v>0.18</v>
      </c>
      <c r="D923" s="21" t="s">
        <v>13739</v>
      </c>
      <c r="E923" s="21" t="s">
        <v>847</v>
      </c>
      <c r="F923" s="21" t="s">
        <v>13774</v>
      </c>
    </row>
    <row r="924" customFormat="false" ht="15" hidden="false" customHeight="false" outlineLevel="0" collapsed="false">
      <c r="B924" s="19" t="s">
        <v>14168</v>
      </c>
      <c r="C924" s="20" t="n">
        <f aca="false">ROUND(5.24/FX,2)</f>
        <v>0.73</v>
      </c>
      <c r="D924" s="21" t="s">
        <v>13732</v>
      </c>
      <c r="E924" s="21" t="s">
        <v>847</v>
      </c>
      <c r="F924" s="21" t="s">
        <v>1460</v>
      </c>
    </row>
    <row r="925" customFormat="false" ht="15" hidden="false" customHeight="false" outlineLevel="0" collapsed="false">
      <c r="B925" s="19" t="s">
        <v>14169</v>
      </c>
      <c r="C925" s="20" t="n">
        <f aca="false">ROUND(5.26/FX,2)</f>
        <v>0.73</v>
      </c>
      <c r="D925" s="21" t="s">
        <v>13732</v>
      </c>
      <c r="E925" s="21" t="s">
        <v>847</v>
      </c>
      <c r="F925" s="21" t="s">
        <v>14170</v>
      </c>
    </row>
    <row r="926" customFormat="false" ht="15" hidden="false" customHeight="false" outlineLevel="0" collapsed="false">
      <c r="B926" s="19" t="s">
        <v>14171</v>
      </c>
      <c r="C926" s="20" t="n">
        <f aca="false">ROUND(1.04/FX,2)</f>
        <v>0.14</v>
      </c>
      <c r="D926" s="21" t="s">
        <v>13739</v>
      </c>
      <c r="E926" s="21" t="s">
        <v>847</v>
      </c>
      <c r="F926" s="21" t="s">
        <v>6768</v>
      </c>
    </row>
    <row r="927" customFormat="false" ht="15" hidden="false" customHeight="false" outlineLevel="0" collapsed="false">
      <c r="B927" s="19" t="s">
        <v>14172</v>
      </c>
      <c r="C927" s="20" t="n">
        <f aca="false">ROUND(5.3/FX,2)</f>
        <v>0.74</v>
      </c>
      <c r="D927" s="21" t="s">
        <v>13732</v>
      </c>
      <c r="E927" s="21" t="s">
        <v>847</v>
      </c>
      <c r="F927" s="21" t="s">
        <v>1470</v>
      </c>
    </row>
    <row r="928" customFormat="false" ht="15" hidden="false" customHeight="false" outlineLevel="0" collapsed="false">
      <c r="B928" s="19" t="s">
        <v>14173</v>
      </c>
      <c r="C928" s="20" t="n">
        <f aca="false">ROUND(4.81/FX,2)</f>
        <v>0.67</v>
      </c>
      <c r="D928" s="21" t="s">
        <v>13732</v>
      </c>
      <c r="E928" s="21" t="s">
        <v>847</v>
      </c>
      <c r="F928" s="21" t="s">
        <v>4197</v>
      </c>
    </row>
    <row r="929" customFormat="false" ht="15" hidden="false" customHeight="false" outlineLevel="0" collapsed="false">
      <c r="B929" s="19" t="s">
        <v>14174</v>
      </c>
      <c r="C929" s="20" t="n">
        <f aca="false">ROUND(1.3/FX,2)</f>
        <v>0.18</v>
      </c>
      <c r="D929" s="21" t="s">
        <v>13739</v>
      </c>
      <c r="E929" s="21" t="s">
        <v>847</v>
      </c>
      <c r="F929" s="21" t="s">
        <v>14008</v>
      </c>
    </row>
    <row r="930" customFormat="false" ht="15" hidden="false" customHeight="false" outlineLevel="0" collapsed="false">
      <c r="B930" s="19" t="s">
        <v>14175</v>
      </c>
      <c r="C930" s="20" t="n">
        <f aca="false">ROUND(5.53/FX,2)</f>
        <v>0.77</v>
      </c>
      <c r="D930" s="21" t="s">
        <v>13732</v>
      </c>
      <c r="E930" s="21" t="s">
        <v>847</v>
      </c>
      <c r="F930" s="21" t="s">
        <v>1510</v>
      </c>
    </row>
    <row r="931" customFormat="false" ht="15" hidden="false" customHeight="false" outlineLevel="0" collapsed="false">
      <c r="B931" s="19" t="s">
        <v>14176</v>
      </c>
      <c r="C931" s="20" t="n">
        <f aca="false">ROUND(1.04/FX,2)</f>
        <v>0.14</v>
      </c>
      <c r="D931" s="21" t="s">
        <v>13739</v>
      </c>
      <c r="E931" s="21" t="s">
        <v>847</v>
      </c>
      <c r="F931" s="21" t="s">
        <v>784</v>
      </c>
    </row>
    <row r="932" customFormat="false" ht="15" hidden="false" customHeight="false" outlineLevel="0" collapsed="false">
      <c r="B932" s="19" t="s">
        <v>14177</v>
      </c>
      <c r="C932" s="20" t="n">
        <f aca="false">ROUND(5.59/FX,2)</f>
        <v>0.78</v>
      </c>
      <c r="D932" s="21" t="s">
        <v>13732</v>
      </c>
      <c r="E932" s="21" t="s">
        <v>847</v>
      </c>
      <c r="F932" s="21" t="s">
        <v>1520</v>
      </c>
    </row>
    <row r="933" customFormat="false" ht="15" hidden="false" customHeight="false" outlineLevel="0" collapsed="false">
      <c r="B933" s="19" t="s">
        <v>14178</v>
      </c>
      <c r="C933" s="20" t="n">
        <f aca="false">ROUND(5.29/FX,2)</f>
        <v>0.73</v>
      </c>
      <c r="D933" s="21" t="s">
        <v>13732</v>
      </c>
      <c r="E933" s="21" t="s">
        <v>847</v>
      </c>
      <c r="F933" s="21" t="s">
        <v>14179</v>
      </c>
    </row>
    <row r="934" customFormat="false" ht="15" hidden="false" customHeight="false" outlineLevel="0" collapsed="false">
      <c r="B934" s="19" t="s">
        <v>14180</v>
      </c>
      <c r="C934" s="20" t="n">
        <f aca="false">ROUND(4.55/FX,2)</f>
        <v>0.63</v>
      </c>
      <c r="D934" s="21" t="s">
        <v>13732</v>
      </c>
      <c r="E934" s="21" t="s">
        <v>847</v>
      </c>
      <c r="F934" s="21" t="s">
        <v>1545</v>
      </c>
    </row>
    <row r="935" customFormat="false" ht="15" hidden="false" customHeight="false" outlineLevel="0" collapsed="false">
      <c r="B935" s="19" t="s">
        <v>14181</v>
      </c>
      <c r="C935" s="20" t="n">
        <f aca="false">ROUND(1.25/FX,2)</f>
        <v>0.17</v>
      </c>
      <c r="D935" s="21" t="s">
        <v>13739</v>
      </c>
      <c r="E935" s="21" t="s">
        <v>847</v>
      </c>
      <c r="F935" s="21" t="s">
        <v>6244</v>
      </c>
    </row>
    <row r="936" customFormat="false" ht="15" hidden="false" customHeight="false" outlineLevel="0" collapsed="false">
      <c r="B936" s="19" t="s">
        <v>14182</v>
      </c>
      <c r="C936" s="20" t="n">
        <f aca="false">ROUND(5.88/FX,2)</f>
        <v>0.82</v>
      </c>
      <c r="D936" s="21" t="s">
        <v>13732</v>
      </c>
      <c r="E936" s="21" t="s">
        <v>847</v>
      </c>
      <c r="F936" s="21" t="s">
        <v>1570</v>
      </c>
    </row>
    <row r="937" customFormat="false" ht="15" hidden="false" customHeight="false" outlineLevel="0" collapsed="false">
      <c r="B937" s="19" t="s">
        <v>14183</v>
      </c>
      <c r="C937" s="20" t="n">
        <f aca="false">ROUND(5.95/FX,2)</f>
        <v>0.83</v>
      </c>
      <c r="D937" s="21" t="s">
        <v>13732</v>
      </c>
      <c r="E937" s="21" t="s">
        <v>847</v>
      </c>
      <c r="F937" s="21" t="s">
        <v>4958</v>
      </c>
    </row>
    <row r="938" customFormat="false" ht="15" hidden="false" customHeight="false" outlineLevel="0" collapsed="false">
      <c r="B938" s="19" t="s">
        <v>14184</v>
      </c>
      <c r="C938" s="20" t="n">
        <f aca="false">ROUND(5.59/FX,2)</f>
        <v>0.78</v>
      </c>
      <c r="D938" s="21" t="s">
        <v>13732</v>
      </c>
      <c r="E938" s="21" t="s">
        <v>847</v>
      </c>
      <c r="F938" s="21" t="s">
        <v>1595</v>
      </c>
    </row>
    <row r="939" customFormat="false" ht="15" hidden="false" customHeight="false" outlineLevel="0" collapsed="false">
      <c r="B939" s="19" t="s">
        <v>14185</v>
      </c>
      <c r="C939" s="20" t="n">
        <f aca="false">ROUND(5.59/FX,2)</f>
        <v>0.78</v>
      </c>
      <c r="D939" s="21" t="s">
        <v>13732</v>
      </c>
      <c r="E939" s="21" t="s">
        <v>847</v>
      </c>
      <c r="F939" s="21" t="s">
        <v>4975</v>
      </c>
    </row>
    <row r="940" customFormat="false" ht="15" hidden="false" customHeight="false" outlineLevel="0" collapsed="false">
      <c r="B940" s="19" t="s">
        <v>14186</v>
      </c>
      <c r="C940" s="20" t="n">
        <f aca="false">ROUND(6.12/FX,2)</f>
        <v>0.85</v>
      </c>
      <c r="D940" s="21" t="s">
        <v>13732</v>
      </c>
      <c r="E940" s="21" t="s">
        <v>847</v>
      </c>
      <c r="F940" s="21" t="s">
        <v>14187</v>
      </c>
    </row>
    <row r="941" customFormat="false" ht="15" hidden="false" customHeight="false" outlineLevel="0" collapsed="false">
      <c r="B941" s="19" t="s">
        <v>14188</v>
      </c>
      <c r="C941" s="20" t="n">
        <f aca="false">ROUND(1.56/FX,2)</f>
        <v>0.22</v>
      </c>
      <c r="D941" s="21" t="s">
        <v>13739</v>
      </c>
      <c r="E941" s="21" t="s">
        <v>847</v>
      </c>
      <c r="F941" s="21" t="s">
        <v>6805</v>
      </c>
    </row>
    <row r="942" customFormat="false" ht="15" hidden="false" customHeight="false" outlineLevel="0" collapsed="false">
      <c r="B942" s="19" t="s">
        <v>14189</v>
      </c>
      <c r="C942" s="20" t="n">
        <f aca="false">ROUND(6.16/FX,2)</f>
        <v>0.86</v>
      </c>
      <c r="D942" s="21" t="s">
        <v>13732</v>
      </c>
      <c r="E942" s="21" t="s">
        <v>847</v>
      </c>
      <c r="F942" s="21" t="s">
        <v>1615</v>
      </c>
    </row>
    <row r="943" customFormat="false" ht="15" hidden="false" customHeight="false" outlineLevel="0" collapsed="false">
      <c r="B943" s="19" t="s">
        <v>14190</v>
      </c>
      <c r="C943" s="20" t="n">
        <f aca="false">ROUND(6.28/FX,2)</f>
        <v>0.87</v>
      </c>
      <c r="D943" s="21" t="s">
        <v>13732</v>
      </c>
      <c r="E943" s="21" t="s">
        <v>847</v>
      </c>
      <c r="F943" s="21" t="s">
        <v>1630</v>
      </c>
    </row>
    <row r="944" customFormat="false" ht="15" hidden="false" customHeight="false" outlineLevel="0" collapsed="false">
      <c r="B944" s="19" t="s">
        <v>14191</v>
      </c>
      <c r="C944" s="20" t="n">
        <f aca="false">ROUND(1.17/FX,2)</f>
        <v>0.16</v>
      </c>
      <c r="D944" s="21" t="s">
        <v>13739</v>
      </c>
      <c r="E944" s="21" t="s">
        <v>847</v>
      </c>
      <c r="F944" s="21" t="s">
        <v>3328</v>
      </c>
    </row>
    <row r="945" customFormat="false" ht="15" hidden="false" customHeight="false" outlineLevel="0" collapsed="false">
      <c r="B945" s="19" t="s">
        <v>14192</v>
      </c>
      <c r="C945" s="20" t="n">
        <f aca="false">ROUND(5.85/FX,2)</f>
        <v>0.81</v>
      </c>
      <c r="D945" s="21" t="s">
        <v>13732</v>
      </c>
      <c r="E945" s="21" t="s">
        <v>847</v>
      </c>
      <c r="F945" s="21" t="s">
        <v>1635</v>
      </c>
    </row>
    <row r="946" customFormat="false" ht="15" hidden="false" customHeight="false" outlineLevel="0" collapsed="false">
      <c r="B946" s="19" t="s">
        <v>14193</v>
      </c>
      <c r="C946" s="20" t="n">
        <f aca="false">ROUND(1.82/FX,2)</f>
        <v>0.25</v>
      </c>
      <c r="D946" s="21" t="s">
        <v>13739</v>
      </c>
      <c r="E946" s="21" t="s">
        <v>847</v>
      </c>
      <c r="F946" s="21" t="s">
        <v>6730</v>
      </c>
    </row>
    <row r="947" customFormat="false" ht="15" hidden="false" customHeight="false" outlineLevel="0" collapsed="false">
      <c r="B947" s="19" t="s">
        <v>14194</v>
      </c>
      <c r="C947" s="20" t="n">
        <f aca="false">ROUND(6.45/FX,2)</f>
        <v>0.9</v>
      </c>
      <c r="D947" s="21" t="s">
        <v>13732</v>
      </c>
      <c r="E947" s="21" t="s">
        <v>847</v>
      </c>
      <c r="F947" s="21" t="s">
        <v>1655</v>
      </c>
    </row>
    <row r="948" customFormat="false" ht="15" hidden="false" customHeight="false" outlineLevel="0" collapsed="false">
      <c r="B948" s="19" t="s">
        <v>14195</v>
      </c>
      <c r="C948" s="20" t="n">
        <f aca="false">ROUND(6.59/FX,2)</f>
        <v>0.92</v>
      </c>
      <c r="D948" s="21" t="s">
        <v>13732</v>
      </c>
      <c r="E948" s="21" t="s">
        <v>847</v>
      </c>
      <c r="F948" s="21" t="s">
        <v>1670</v>
      </c>
    </row>
    <row r="949" customFormat="false" ht="15" hidden="false" customHeight="false" outlineLevel="0" collapsed="false">
      <c r="B949" s="19" t="s">
        <v>14196</v>
      </c>
      <c r="C949" s="20" t="n">
        <f aca="false">ROUND(6.61/FX,2)</f>
        <v>0.92</v>
      </c>
      <c r="D949" s="21" t="s">
        <v>13732</v>
      </c>
      <c r="E949" s="21" t="s">
        <v>847</v>
      </c>
      <c r="F949" s="21" t="s">
        <v>14197</v>
      </c>
    </row>
    <row r="950" customFormat="false" ht="15" hidden="false" customHeight="false" outlineLevel="0" collapsed="false">
      <c r="B950" s="19" t="s">
        <v>14198</v>
      </c>
      <c r="C950" s="20" t="n">
        <f aca="false">ROUND(6.66/FX,2)</f>
        <v>0.93</v>
      </c>
      <c r="D950" s="21" t="s">
        <v>13732</v>
      </c>
      <c r="E950" s="21" t="s">
        <v>847</v>
      </c>
      <c r="F950" s="21" t="s">
        <v>4482</v>
      </c>
    </row>
    <row r="951" customFormat="false" ht="15" hidden="false" customHeight="false" outlineLevel="0" collapsed="false">
      <c r="B951" s="19" t="s">
        <v>14199</v>
      </c>
      <c r="C951" s="20" t="n">
        <f aca="false">ROUND(1.82/FX,2)</f>
        <v>0.25</v>
      </c>
      <c r="D951" s="21" t="s">
        <v>13739</v>
      </c>
      <c r="E951" s="21" t="s">
        <v>847</v>
      </c>
      <c r="F951" s="21" t="s">
        <v>5496</v>
      </c>
    </row>
    <row r="952" customFormat="false" ht="15" hidden="false" customHeight="false" outlineLevel="0" collapsed="false">
      <c r="B952" s="19" t="s">
        <v>14200</v>
      </c>
      <c r="C952" s="20" t="n">
        <f aca="false">ROUND(6.73/FX,2)</f>
        <v>0.93</v>
      </c>
      <c r="D952" s="21" t="s">
        <v>13732</v>
      </c>
      <c r="E952" s="21" t="s">
        <v>847</v>
      </c>
      <c r="F952" s="21" t="s">
        <v>1685</v>
      </c>
    </row>
    <row r="953" customFormat="false" ht="15" hidden="false" customHeight="false" outlineLevel="0" collapsed="false">
      <c r="B953" s="19" t="s">
        <v>14201</v>
      </c>
      <c r="C953" s="20" t="n">
        <f aca="false">ROUND(5.85/FX,2)</f>
        <v>0.81</v>
      </c>
      <c r="D953" s="21" t="s">
        <v>13732</v>
      </c>
      <c r="E953" s="21" t="s">
        <v>847</v>
      </c>
      <c r="F953" s="21" t="s">
        <v>1690</v>
      </c>
    </row>
    <row r="954" customFormat="false" ht="15" hidden="false" customHeight="false" outlineLevel="0" collapsed="false">
      <c r="B954" s="19" t="s">
        <v>14202</v>
      </c>
      <c r="C954" s="20" t="n">
        <f aca="false">ROUND(6.88/FX,2)</f>
        <v>0.96</v>
      </c>
      <c r="D954" s="21" t="s">
        <v>13732</v>
      </c>
      <c r="E954" s="21" t="s">
        <v>847</v>
      </c>
      <c r="F954" s="21" t="s">
        <v>1982</v>
      </c>
    </row>
    <row r="955" customFormat="false" ht="15" hidden="false" customHeight="false" outlineLevel="0" collapsed="false">
      <c r="B955" s="19" t="s">
        <v>14203</v>
      </c>
      <c r="C955" s="20" t="n">
        <f aca="false">ROUND(6.95/FX,2)</f>
        <v>0.97</v>
      </c>
      <c r="D955" s="21" t="s">
        <v>13732</v>
      </c>
      <c r="E955" s="21" t="s">
        <v>847</v>
      </c>
      <c r="F955" s="21" t="s">
        <v>5075</v>
      </c>
    </row>
    <row r="956" customFormat="false" ht="15" hidden="false" customHeight="false" outlineLevel="0" collapsed="false">
      <c r="B956" s="19" t="s">
        <v>14204</v>
      </c>
      <c r="C956" s="20" t="n">
        <f aca="false">ROUND(6.96/FX,2)</f>
        <v>0.97</v>
      </c>
      <c r="D956" s="21" t="s">
        <v>13732</v>
      </c>
      <c r="E956" s="21" t="s">
        <v>847</v>
      </c>
      <c r="F956" s="21" t="s">
        <v>1997</v>
      </c>
    </row>
    <row r="957" customFormat="false" ht="15" hidden="false" customHeight="false" outlineLevel="0" collapsed="false">
      <c r="B957" s="19" t="s">
        <v>14205</v>
      </c>
      <c r="C957" s="20" t="n">
        <f aca="false">ROUND(1.3/FX,2)</f>
        <v>0.18</v>
      </c>
      <c r="D957" s="21" t="s">
        <v>13739</v>
      </c>
      <c r="E957" s="21" t="s">
        <v>847</v>
      </c>
      <c r="F957" s="21" t="s">
        <v>6246</v>
      </c>
    </row>
    <row r="958" customFormat="false" ht="15" hidden="false" customHeight="false" outlineLevel="0" collapsed="false">
      <c r="B958" s="19" t="s">
        <v>14206</v>
      </c>
      <c r="C958" s="20" t="n">
        <f aca="false">ROUND(5.98/FX,2)</f>
        <v>0.83</v>
      </c>
      <c r="D958" s="21" t="s">
        <v>13732</v>
      </c>
      <c r="E958" s="21" t="s">
        <v>847</v>
      </c>
      <c r="F958" s="21" t="s">
        <v>2002</v>
      </c>
    </row>
    <row r="959" customFormat="false" ht="15" hidden="false" customHeight="false" outlineLevel="0" collapsed="false">
      <c r="B959" s="19" t="s">
        <v>14207</v>
      </c>
      <c r="C959" s="20" t="n">
        <f aca="false">ROUND(7.09/FX,2)</f>
        <v>0.98</v>
      </c>
      <c r="D959" s="21" t="s">
        <v>13732</v>
      </c>
      <c r="E959" s="21" t="s">
        <v>847</v>
      </c>
      <c r="F959" s="21" t="s">
        <v>3366</v>
      </c>
    </row>
    <row r="960" customFormat="false" ht="15" hidden="false" customHeight="false" outlineLevel="0" collapsed="false">
      <c r="B960" s="19" t="s">
        <v>14208</v>
      </c>
      <c r="C960" s="20" t="n">
        <f aca="false">ROUND(7.16/FX,2)</f>
        <v>0.99</v>
      </c>
      <c r="D960" s="21" t="s">
        <v>13732</v>
      </c>
      <c r="E960" s="21" t="s">
        <v>847</v>
      </c>
      <c r="F960" s="21" t="s">
        <v>2017</v>
      </c>
    </row>
    <row r="961" customFormat="false" ht="15" hidden="false" customHeight="false" outlineLevel="0" collapsed="false">
      <c r="B961" s="19" t="s">
        <v>14209</v>
      </c>
      <c r="C961" s="20" t="n">
        <f aca="false">ROUND(7.25/FX,2)</f>
        <v>1.01</v>
      </c>
      <c r="D961" s="21" t="s">
        <v>13732</v>
      </c>
      <c r="E961" s="21" t="s">
        <v>847</v>
      </c>
      <c r="F961" s="21" t="s">
        <v>14210</v>
      </c>
    </row>
    <row r="962" customFormat="false" ht="15" hidden="false" customHeight="false" outlineLevel="0" collapsed="false">
      <c r="B962" s="19" t="s">
        <v>14211</v>
      </c>
      <c r="C962" s="20" t="n">
        <f aca="false">ROUND(1.3/FX,2)</f>
        <v>0.18</v>
      </c>
      <c r="D962" s="21" t="s">
        <v>13732</v>
      </c>
      <c r="E962" s="21" t="s">
        <v>847</v>
      </c>
      <c r="F962" s="21" t="s">
        <v>14100</v>
      </c>
    </row>
    <row r="963" customFormat="false" ht="15" hidden="false" customHeight="false" outlineLevel="0" collapsed="false">
      <c r="B963" s="19" t="s">
        <v>14212</v>
      </c>
      <c r="C963" s="20" t="n">
        <f aca="false">ROUND(7.31/FX,2)</f>
        <v>1.02</v>
      </c>
      <c r="D963" s="21" t="s">
        <v>13732</v>
      </c>
      <c r="E963" s="21" t="s">
        <v>847</v>
      </c>
      <c r="F963" s="21" t="s">
        <v>2022</v>
      </c>
    </row>
    <row r="964" customFormat="false" ht="15" hidden="false" customHeight="false" outlineLevel="0" collapsed="false">
      <c r="B964" s="19" t="s">
        <v>14213</v>
      </c>
      <c r="C964" s="20" t="n">
        <f aca="false">ROUND(7.38/FX,2)</f>
        <v>1.03</v>
      </c>
      <c r="D964" s="21" t="s">
        <v>13732</v>
      </c>
      <c r="E964" s="21" t="s">
        <v>847</v>
      </c>
      <c r="F964" s="21" t="s">
        <v>5153</v>
      </c>
    </row>
    <row r="965" customFormat="false" ht="15" hidden="false" customHeight="false" outlineLevel="0" collapsed="false">
      <c r="B965" s="19" t="s">
        <v>14214</v>
      </c>
      <c r="C965" s="20" t="n">
        <f aca="false">ROUND(7.52/FX,2)</f>
        <v>1.04</v>
      </c>
      <c r="D965" s="21" t="s">
        <v>13732</v>
      </c>
      <c r="E965" s="21" t="s">
        <v>847</v>
      </c>
      <c r="F965" s="21" t="s">
        <v>3444</v>
      </c>
    </row>
    <row r="966" customFormat="false" ht="15" hidden="false" customHeight="false" outlineLevel="0" collapsed="false">
      <c r="B966" s="19" t="s">
        <v>14215</v>
      </c>
      <c r="C966" s="20" t="n">
        <f aca="false">ROUND(1.04/FX,2)</f>
        <v>0.14</v>
      </c>
      <c r="D966" s="21" t="s">
        <v>13732</v>
      </c>
      <c r="E966" s="21" t="s">
        <v>847</v>
      </c>
      <c r="F966" s="21" t="s">
        <v>14216</v>
      </c>
    </row>
    <row r="967" customFormat="false" ht="15" hidden="false" customHeight="false" outlineLevel="0" collapsed="false">
      <c r="B967" s="19" t="s">
        <v>14217</v>
      </c>
      <c r="C967" s="20" t="n">
        <f aca="false">ROUND(7.59/FX,2)</f>
        <v>1.05</v>
      </c>
      <c r="D967" s="21" t="s">
        <v>13732</v>
      </c>
      <c r="E967" s="21" t="s">
        <v>847</v>
      </c>
      <c r="F967" s="21" t="s">
        <v>2052</v>
      </c>
    </row>
    <row r="968" customFormat="false" ht="15" hidden="false" customHeight="false" outlineLevel="0" collapsed="false">
      <c r="B968" s="19" t="s">
        <v>14218</v>
      </c>
      <c r="C968" s="20" t="n">
        <f aca="false">ROUND(1.35/FX,2)</f>
        <v>0.19</v>
      </c>
      <c r="D968" s="21" t="s">
        <v>13739</v>
      </c>
      <c r="E968" s="21" t="s">
        <v>847</v>
      </c>
      <c r="F968" s="21" t="s">
        <v>7358</v>
      </c>
    </row>
    <row r="969" customFormat="false" ht="15" hidden="false" customHeight="false" outlineLevel="0" collapsed="false">
      <c r="B969" s="19" t="s">
        <v>14219</v>
      </c>
      <c r="C969" s="20" t="n">
        <f aca="false">ROUND(7.74/FX,2)</f>
        <v>1.08</v>
      </c>
      <c r="D969" s="21" t="s">
        <v>13732</v>
      </c>
      <c r="E969" s="21" t="s">
        <v>847</v>
      </c>
      <c r="F969" s="21" t="s">
        <v>2067</v>
      </c>
    </row>
    <row r="970" customFormat="false" ht="15" hidden="false" customHeight="false" outlineLevel="0" collapsed="false">
      <c r="B970" s="19" t="s">
        <v>14220</v>
      </c>
      <c r="C970" s="20" t="n">
        <f aca="false">ROUND(8.02/FX,2)</f>
        <v>1.11</v>
      </c>
      <c r="D970" s="21" t="s">
        <v>13732</v>
      </c>
      <c r="E970" s="21" t="s">
        <v>847</v>
      </c>
      <c r="F970" s="21" t="s">
        <v>2097</v>
      </c>
    </row>
    <row r="971" customFormat="false" ht="15" hidden="false" customHeight="false" outlineLevel="0" collapsed="false">
      <c r="B971" s="19" t="s">
        <v>14221</v>
      </c>
      <c r="C971" s="20" t="n">
        <f aca="false">ROUND(8.16/FX,2)</f>
        <v>1.13</v>
      </c>
      <c r="D971" s="21" t="s">
        <v>13732</v>
      </c>
      <c r="E971" s="21" t="s">
        <v>847</v>
      </c>
      <c r="F971" s="21" t="s">
        <v>2112</v>
      </c>
    </row>
    <row r="972" customFormat="false" ht="15" hidden="false" customHeight="false" outlineLevel="0" collapsed="false">
      <c r="B972" s="19" t="s">
        <v>14222</v>
      </c>
      <c r="C972" s="20" t="n">
        <f aca="false">ROUND(8.31/FX,2)</f>
        <v>1.15</v>
      </c>
      <c r="D972" s="21" t="s">
        <v>13732</v>
      </c>
      <c r="E972" s="21" t="s">
        <v>847</v>
      </c>
      <c r="F972" s="21" t="s">
        <v>2127</v>
      </c>
    </row>
    <row r="973" customFormat="false" ht="15" hidden="false" customHeight="false" outlineLevel="0" collapsed="false">
      <c r="B973" s="19" t="s">
        <v>14223</v>
      </c>
      <c r="C973" s="20" t="n">
        <f aca="false">ROUND(1.25/FX,2)</f>
        <v>0.17</v>
      </c>
      <c r="D973" s="21" t="s">
        <v>13739</v>
      </c>
      <c r="E973" s="21" t="s">
        <v>847</v>
      </c>
      <c r="F973" s="21" t="s">
        <v>2911</v>
      </c>
    </row>
    <row r="974" customFormat="false" ht="15" hidden="false" customHeight="false" outlineLevel="0" collapsed="false">
      <c r="B974" s="19" t="s">
        <v>14224</v>
      </c>
      <c r="C974" s="20" t="n">
        <f aca="false">ROUND(7.15/FX,2)</f>
        <v>0.99</v>
      </c>
      <c r="D974" s="21" t="s">
        <v>13732</v>
      </c>
      <c r="E974" s="21" t="s">
        <v>847</v>
      </c>
      <c r="F974" s="21" t="s">
        <v>2142</v>
      </c>
    </row>
    <row r="975" customFormat="false" ht="15" hidden="false" customHeight="false" outlineLevel="0" collapsed="false">
      <c r="B975" s="19" t="s">
        <v>14225</v>
      </c>
      <c r="C975" s="20" t="n">
        <f aca="false">ROUND(8.59/FX,2)</f>
        <v>1.19</v>
      </c>
      <c r="D975" s="21" t="s">
        <v>13732</v>
      </c>
      <c r="E975" s="21" t="s">
        <v>847</v>
      </c>
      <c r="F975" s="21" t="s">
        <v>3637</v>
      </c>
    </row>
    <row r="976" customFormat="false" ht="15" hidden="false" customHeight="false" outlineLevel="0" collapsed="false">
      <c r="B976" s="19" t="s">
        <v>14226</v>
      </c>
      <c r="C976" s="20" t="n">
        <f aca="false">ROUND(8.62/FX,2)</f>
        <v>1.2</v>
      </c>
      <c r="D976" s="21" t="s">
        <v>13732</v>
      </c>
      <c r="E976" s="21" t="s">
        <v>847</v>
      </c>
      <c r="F976" s="21" t="s">
        <v>14227</v>
      </c>
    </row>
    <row r="977" customFormat="false" ht="15" hidden="false" customHeight="false" outlineLevel="0" collapsed="false">
      <c r="B977" s="19" t="s">
        <v>14228</v>
      </c>
      <c r="C977" s="20" t="n">
        <f aca="false">ROUND(8.74/FX,2)</f>
        <v>1.21</v>
      </c>
      <c r="D977" s="21" t="s">
        <v>13732</v>
      </c>
      <c r="E977" s="21" t="s">
        <v>847</v>
      </c>
      <c r="F977" s="21" t="s">
        <v>2162</v>
      </c>
    </row>
    <row r="978" customFormat="false" ht="15" hidden="false" customHeight="false" outlineLevel="0" collapsed="false">
      <c r="B978" s="19" t="s">
        <v>14229</v>
      </c>
      <c r="C978" s="20" t="n">
        <f aca="false">ROUND(8.14/FX,2)</f>
        <v>1.13</v>
      </c>
      <c r="D978" s="21" t="s">
        <v>13732</v>
      </c>
      <c r="E978" s="21" t="s">
        <v>847</v>
      </c>
      <c r="F978" s="21" t="s">
        <v>14230</v>
      </c>
    </row>
    <row r="979" customFormat="false" ht="15" hidden="false" customHeight="false" outlineLevel="0" collapsed="false">
      <c r="B979" s="19" t="s">
        <v>14231</v>
      </c>
      <c r="C979" s="20" t="n">
        <f aca="false">ROUND(8.88/FX,2)</f>
        <v>1.23</v>
      </c>
      <c r="D979" s="21" t="s">
        <v>13732</v>
      </c>
      <c r="E979" s="21" t="s">
        <v>847</v>
      </c>
      <c r="F979" s="21" t="s">
        <v>2177</v>
      </c>
    </row>
    <row r="980" customFormat="false" ht="15" hidden="false" customHeight="false" outlineLevel="0" collapsed="false">
      <c r="B980" s="19" t="s">
        <v>14232</v>
      </c>
      <c r="C980" s="20" t="n">
        <f aca="false">ROUND(9.02/FX,2)</f>
        <v>1.25</v>
      </c>
      <c r="D980" s="21" t="s">
        <v>13732</v>
      </c>
      <c r="E980" s="21" t="s">
        <v>847</v>
      </c>
      <c r="F980" s="21" t="s">
        <v>2182</v>
      </c>
    </row>
    <row r="981" customFormat="false" ht="15" hidden="false" customHeight="false" outlineLevel="0" collapsed="false">
      <c r="B981" s="19" t="s">
        <v>14233</v>
      </c>
      <c r="C981" s="20" t="n">
        <f aca="false">ROUND(1.3/FX,2)</f>
        <v>0.18</v>
      </c>
      <c r="D981" s="21" t="s">
        <v>13732</v>
      </c>
      <c r="E981" s="21" t="s">
        <v>847</v>
      </c>
      <c r="F981" s="21" t="s">
        <v>7275</v>
      </c>
    </row>
    <row r="982" customFormat="false" ht="15" hidden="false" customHeight="false" outlineLevel="0" collapsed="false">
      <c r="B982" s="19" t="s">
        <v>14234</v>
      </c>
      <c r="C982" s="20" t="n">
        <f aca="false">ROUND(9.17/FX,2)</f>
        <v>1.27</v>
      </c>
      <c r="D982" s="21" t="s">
        <v>13732</v>
      </c>
      <c r="E982" s="21" t="s">
        <v>847</v>
      </c>
      <c r="F982" s="21" t="s">
        <v>2187</v>
      </c>
    </row>
    <row r="983" customFormat="false" ht="15" hidden="false" customHeight="false" outlineLevel="0" collapsed="false">
      <c r="B983" s="19" t="s">
        <v>14235</v>
      </c>
      <c r="C983" s="20" t="n">
        <f aca="false">ROUND(8.58/FX,2)</f>
        <v>1.19</v>
      </c>
      <c r="D983" s="21" t="s">
        <v>13732</v>
      </c>
      <c r="E983" s="21" t="s">
        <v>847</v>
      </c>
      <c r="F983" s="21" t="s">
        <v>11740</v>
      </c>
    </row>
    <row r="984" customFormat="false" ht="15" hidden="false" customHeight="false" outlineLevel="0" collapsed="false">
      <c r="B984" s="19" t="s">
        <v>14236</v>
      </c>
      <c r="C984" s="20" t="n">
        <f aca="false">ROUND(9.74/FX,2)</f>
        <v>1.35</v>
      </c>
      <c r="D984" s="21" t="s">
        <v>13732</v>
      </c>
      <c r="E984" s="21" t="s">
        <v>847</v>
      </c>
      <c r="F984" s="21" t="s">
        <v>12287</v>
      </c>
    </row>
    <row r="985" customFormat="false" ht="15" hidden="false" customHeight="false" outlineLevel="0" collapsed="false">
      <c r="B985" s="19" t="s">
        <v>14237</v>
      </c>
      <c r="C985" s="20" t="n">
        <f aca="false">ROUND(1.04/FX,2)</f>
        <v>0.14</v>
      </c>
      <c r="D985" s="21" t="s">
        <v>13732</v>
      </c>
      <c r="E985" s="21" t="s">
        <v>847</v>
      </c>
      <c r="F985" s="21" t="s">
        <v>716</v>
      </c>
    </row>
    <row r="986" customFormat="false" ht="15" hidden="false" customHeight="false" outlineLevel="0" collapsed="false">
      <c r="B986" s="19" t="s">
        <v>14238</v>
      </c>
      <c r="C986" s="20" t="n">
        <f aca="false">ROUND(1.04/FX,2)</f>
        <v>0.14</v>
      </c>
      <c r="D986" s="21" t="s">
        <v>13732</v>
      </c>
      <c r="E986" s="21" t="s">
        <v>847</v>
      </c>
      <c r="F986" s="21" t="s">
        <v>2961</v>
      </c>
    </row>
    <row r="987" customFormat="false" ht="15" hidden="false" customHeight="false" outlineLevel="0" collapsed="false">
      <c r="B987" s="19" t="s">
        <v>14239</v>
      </c>
      <c r="C987" s="20" t="n">
        <f aca="false">ROUND(9.88/FX,2)</f>
        <v>1.37</v>
      </c>
      <c r="D987" s="21" t="s">
        <v>13732</v>
      </c>
      <c r="E987" s="21" t="s">
        <v>847</v>
      </c>
      <c r="F987" s="21" t="s">
        <v>2227</v>
      </c>
    </row>
    <row r="988" customFormat="false" ht="15" hidden="false" customHeight="false" outlineLevel="0" collapsed="false">
      <c r="B988" s="19" t="s">
        <v>14240</v>
      </c>
      <c r="C988" s="20" t="n">
        <f aca="false">ROUND(2.6/FX,2)</f>
        <v>0.36</v>
      </c>
      <c r="D988" s="21" t="s">
        <v>13732</v>
      </c>
      <c r="E988" s="21" t="s">
        <v>847</v>
      </c>
      <c r="F988" s="21" t="s">
        <v>13817</v>
      </c>
    </row>
    <row r="989" customFormat="false" ht="15" hidden="false" customHeight="false" outlineLevel="0" collapsed="false">
      <c r="B989" s="19" t="s">
        <v>14241</v>
      </c>
      <c r="C989" s="20" t="n">
        <f aca="false">ROUND(10.6/FX,2)</f>
        <v>1.47</v>
      </c>
      <c r="D989" s="21" t="s">
        <v>13732</v>
      </c>
      <c r="E989" s="21" t="s">
        <v>847</v>
      </c>
      <c r="F989" s="21" t="s">
        <v>2297</v>
      </c>
    </row>
    <row r="990" customFormat="false" ht="15" hidden="false" customHeight="false" outlineLevel="0" collapsed="false">
      <c r="B990" s="19" t="s">
        <v>14242</v>
      </c>
      <c r="C990" s="20" t="n">
        <f aca="false">ROUND(1.3/FX,2)</f>
        <v>0.18</v>
      </c>
      <c r="D990" s="21" t="s">
        <v>13732</v>
      </c>
      <c r="E990" s="21" t="s">
        <v>847</v>
      </c>
      <c r="F990" s="21" t="s">
        <v>845</v>
      </c>
    </row>
    <row r="991" customFormat="false" ht="15" hidden="false" customHeight="false" outlineLevel="0" collapsed="false">
      <c r="B991" s="19" t="s">
        <v>14243</v>
      </c>
      <c r="C991" s="20" t="n">
        <f aca="false">ROUND(1.3/FX,2)</f>
        <v>0.18</v>
      </c>
      <c r="D991" s="21" t="s">
        <v>13732</v>
      </c>
      <c r="E991" s="21" t="s">
        <v>847</v>
      </c>
      <c r="F991" s="21" t="s">
        <v>3011</v>
      </c>
    </row>
    <row r="992" customFormat="false" ht="15" hidden="false" customHeight="false" outlineLevel="0" collapsed="false">
      <c r="B992" s="19" t="s">
        <v>14244</v>
      </c>
      <c r="C992" s="20" t="n">
        <f aca="false">ROUND(10.4/FX,2)</f>
        <v>1.44</v>
      </c>
      <c r="D992" s="21" t="s">
        <v>13732</v>
      </c>
      <c r="E992" s="21" t="s">
        <v>847</v>
      </c>
      <c r="F992" s="21" t="s">
        <v>2351</v>
      </c>
    </row>
    <row r="993" customFormat="false" ht="15" hidden="false" customHeight="false" outlineLevel="0" collapsed="false">
      <c r="B993" s="19" t="s">
        <v>14245</v>
      </c>
      <c r="C993" s="20" t="n">
        <f aca="false">ROUND(3.25/FX,2)</f>
        <v>0.45</v>
      </c>
      <c r="D993" s="21" t="s">
        <v>13732</v>
      </c>
      <c r="E993" s="21" t="s">
        <v>847</v>
      </c>
      <c r="F993" s="21" t="s">
        <v>7396</v>
      </c>
    </row>
    <row r="994" customFormat="false" ht="15" hidden="false" customHeight="false" outlineLevel="0" collapsed="false">
      <c r="B994" s="19" t="s">
        <v>14246</v>
      </c>
      <c r="C994" s="20" t="n">
        <f aca="false">ROUND(11.05/FX,2)</f>
        <v>1.53</v>
      </c>
      <c r="D994" s="21" t="s">
        <v>13732</v>
      </c>
      <c r="E994" s="21" t="s">
        <v>847</v>
      </c>
      <c r="F994" s="21" t="s">
        <v>2400</v>
      </c>
    </row>
    <row r="995" customFormat="false" ht="15" hidden="false" customHeight="false" outlineLevel="0" collapsed="false">
      <c r="B995" s="19" t="s">
        <v>14247</v>
      </c>
      <c r="C995" s="20" t="n">
        <f aca="false">ROUND(1.09/FX,2)</f>
        <v>0.15</v>
      </c>
      <c r="D995" s="21" t="s">
        <v>13994</v>
      </c>
      <c r="E995" s="21" t="s">
        <v>847</v>
      </c>
      <c r="F995" s="21" t="s">
        <v>847</v>
      </c>
    </row>
    <row r="996" customFormat="false" ht="15" hidden="false" customHeight="false" outlineLevel="0" collapsed="false">
      <c r="B996" s="19" t="s">
        <v>14248</v>
      </c>
      <c r="C996" s="20" t="n">
        <f aca="false">ROUND(1.45/FX,2)</f>
        <v>0.2</v>
      </c>
      <c r="D996" s="21" t="s">
        <v>13732</v>
      </c>
      <c r="E996" s="21" t="s">
        <v>847</v>
      </c>
      <c r="F996" s="21" t="s">
        <v>3061</v>
      </c>
    </row>
    <row r="997" customFormat="false" ht="15" hidden="false" customHeight="false" outlineLevel="0" collapsed="false">
      <c r="B997" s="19" t="s">
        <v>14249</v>
      </c>
      <c r="C997" s="20" t="n">
        <f aca="false">ROUND(11.44/FX,2)</f>
        <v>1.59</v>
      </c>
      <c r="D997" s="21" t="s">
        <v>13732</v>
      </c>
      <c r="E997" s="21" t="s">
        <v>847</v>
      </c>
      <c r="F997" s="21" t="s">
        <v>2440</v>
      </c>
    </row>
    <row r="998" customFormat="false" ht="15" hidden="false" customHeight="false" outlineLevel="0" collapsed="false">
      <c r="B998" s="19" t="s">
        <v>14250</v>
      </c>
      <c r="C998" s="20" t="n">
        <f aca="false">ROUND(13.31/FX,2)</f>
        <v>1.85</v>
      </c>
      <c r="D998" s="21" t="s">
        <v>13732</v>
      </c>
      <c r="E998" s="21" t="s">
        <v>847</v>
      </c>
      <c r="F998" s="21" t="s">
        <v>2460</v>
      </c>
    </row>
    <row r="999" customFormat="false" ht="15" hidden="false" customHeight="false" outlineLevel="0" collapsed="false">
      <c r="B999" s="19" t="s">
        <v>14251</v>
      </c>
      <c r="C999" s="20" t="n">
        <f aca="false">ROUND(13.46/FX,2)</f>
        <v>1.87</v>
      </c>
      <c r="D999" s="21" t="s">
        <v>13732</v>
      </c>
      <c r="E999" s="21" t="s">
        <v>847</v>
      </c>
      <c r="F999" s="21" t="s">
        <v>2470</v>
      </c>
    </row>
    <row r="1000" customFormat="false" ht="15" hidden="false" customHeight="false" outlineLevel="0" collapsed="false">
      <c r="B1000" s="19" t="s">
        <v>14252</v>
      </c>
      <c r="C1000" s="20" t="n">
        <f aca="false">ROUND(2.86/FX,2)</f>
        <v>0.4</v>
      </c>
      <c r="D1000" s="21" t="s">
        <v>13732</v>
      </c>
      <c r="E1000" s="21" t="s">
        <v>847</v>
      </c>
      <c r="F1000" s="21" t="s">
        <v>3101</v>
      </c>
    </row>
    <row r="1001" customFormat="false" ht="15" hidden="false" customHeight="false" outlineLevel="0" collapsed="false">
      <c r="B1001" s="19" t="s">
        <v>14253</v>
      </c>
      <c r="C1001" s="20" t="n">
        <f aca="false">ROUND(1.17/FX,2)</f>
        <v>0.16</v>
      </c>
      <c r="D1001" s="21" t="s">
        <v>13751</v>
      </c>
      <c r="E1001" s="21" t="s">
        <v>847</v>
      </c>
      <c r="F1001" s="21" t="s">
        <v>719</v>
      </c>
    </row>
    <row r="1002" customFormat="false" ht="15" hidden="false" customHeight="false" outlineLevel="0" collapsed="false">
      <c r="B1002" s="19" t="s">
        <v>14254</v>
      </c>
      <c r="C1002" s="20" t="n">
        <f aca="false">ROUND(2.6/FX,2)</f>
        <v>0.36</v>
      </c>
      <c r="D1002" s="21" t="s">
        <v>13732</v>
      </c>
      <c r="E1002" s="21" t="s">
        <v>847</v>
      </c>
      <c r="F1002" s="21" t="s">
        <v>3111</v>
      </c>
    </row>
    <row r="1003" customFormat="false" ht="15" hidden="false" customHeight="false" outlineLevel="0" collapsed="false">
      <c r="B1003" s="19" t="s">
        <v>14255</v>
      </c>
      <c r="C1003" s="20" t="n">
        <f aca="false">ROUND(14.17/FX,2)</f>
        <v>1.97</v>
      </c>
      <c r="D1003" s="21" t="s">
        <v>13732</v>
      </c>
      <c r="E1003" s="21" t="s">
        <v>847</v>
      </c>
      <c r="F1003" s="21" t="s">
        <v>2500</v>
      </c>
    </row>
    <row r="1004" customFormat="false" ht="15" hidden="false" customHeight="false" outlineLevel="0" collapsed="false">
      <c r="B1004" s="19" t="s">
        <v>14256</v>
      </c>
      <c r="C1004" s="20" t="n">
        <f aca="false">ROUND(13.6/FX,2)</f>
        <v>1.89</v>
      </c>
      <c r="D1004" s="21" t="s">
        <v>13732</v>
      </c>
      <c r="E1004" s="21" t="s">
        <v>847</v>
      </c>
      <c r="F1004" s="21" t="s">
        <v>2540</v>
      </c>
    </row>
    <row r="1007" customFormat="false" ht="61.5" hidden="false" customHeight="true" outlineLevel="0" collapsed="false">
      <c r="A1007" s="9"/>
      <c r="B1007" s="10" t="s">
        <v>14257</v>
      </c>
      <c r="C1007" s="10"/>
      <c r="D1007" s="10"/>
    </row>
    <row r="1008" customFormat="false" ht="15" hidden="false" customHeight="false" outlineLevel="0" collapsed="false">
      <c r="A1008" s="12" t="s">
        <v>700</v>
      </c>
      <c r="B1008" s="13" t="s">
        <v>701</v>
      </c>
      <c r="C1008" s="13" t="s">
        <v>702</v>
      </c>
      <c r="D1008" s="13" t="s">
        <v>704</v>
      </c>
    </row>
    <row r="1009" customFormat="false" ht="30" hidden="false" customHeight="true" outlineLevel="0" collapsed="false">
      <c r="A1009" s="14" t="s">
        <v>706</v>
      </c>
      <c r="B1009" s="15" t="str">
        <f aca="false">IF(COUNTIFS($D$1012:$D$1013,IF(D1009="","*",D1009))=1,INDEX($B:$B,SUMPRODUCT(((D1009="")+($D$1012:$D$1013=D1009)&gt;0)*ROW($B$1012:$B$1013))),IF(COUNTIFS($D$1012:$D$1013,IF(D1009="","*",D1009))=0,"Not available",COUNTIFS($D$1012:$D$1013,IF(D1009="","*",D1009))&amp;" match, keep choosing"))</f>
        <v>RL-030-AL</v>
      </c>
      <c r="C1009" s="16" t="n">
        <f aca="false">IF(COUNTIFS($D$1012:$D$1013,IF(D1009="","*",D1009))=1,INDEX($C:$C,SUMPRODUCT(((D1009="")+($D$1012:$D$1013=D1009)&gt;0)*ROW($B$1012:$B$1013))),"")</f>
        <v>5.42</v>
      </c>
      <c r="D1009" s="17" t="s">
        <v>6550</v>
      </c>
    </row>
    <row r="1011" customFormat="false" ht="15" hidden="false" customHeight="false" outlineLevel="0" collapsed="false">
      <c r="B1011" s="18" t="s">
        <v>701</v>
      </c>
      <c r="C1011" s="18" t="s">
        <v>702</v>
      </c>
      <c r="D1011" s="18" t="s">
        <v>704</v>
      </c>
    </row>
    <row r="1012" customFormat="false" ht="15" hidden="false" customHeight="false" outlineLevel="0" collapsed="false">
      <c r="B1012" s="19" t="s">
        <v>14258</v>
      </c>
      <c r="C1012" s="20" t="n">
        <f aca="false">ROUND(39/FX,2)</f>
        <v>5.42</v>
      </c>
      <c r="D1012" s="21" t="s">
        <v>6550</v>
      </c>
    </row>
    <row r="1013" customFormat="false" ht="15" hidden="false" customHeight="false" outlineLevel="0" collapsed="false">
      <c r="B1013" s="19" t="s">
        <v>14259</v>
      </c>
      <c r="C1013" s="20" t="n">
        <f aca="false">ROUND(58.5/FX,2)</f>
        <v>8.13</v>
      </c>
      <c r="D1013" s="21" t="s">
        <v>14260</v>
      </c>
    </row>
    <row r="1016" customFormat="false" ht="61.5" hidden="false" customHeight="true" outlineLevel="0" collapsed="false">
      <c r="A1016" s="9"/>
      <c r="B1016" s="10" t="s">
        <v>14261</v>
      </c>
      <c r="C1016" s="10"/>
      <c r="D1016" s="10"/>
      <c r="E1016" s="10"/>
    </row>
    <row r="1017" customFormat="false" ht="15" hidden="false" customHeight="false" outlineLevel="0" collapsed="false">
      <c r="A1017" s="12" t="s">
        <v>700</v>
      </c>
      <c r="B1017" s="13" t="s">
        <v>701</v>
      </c>
      <c r="C1017" s="13" t="s">
        <v>702</v>
      </c>
      <c r="D1017" s="13" t="s">
        <v>722</v>
      </c>
      <c r="E1017" s="13" t="s">
        <v>723</v>
      </c>
    </row>
    <row r="1018" customFormat="false" ht="30" hidden="false" customHeight="true" outlineLevel="0" collapsed="false">
      <c r="A1018" s="14" t="s">
        <v>706</v>
      </c>
      <c r="B1018" s="15" t="str">
        <f aca="false">IF(COUNTIFS($D$1021:$D$1052,IF(D1018="","*",D1018),$E$1021:$E$1052,IF(E1018="","*",E1018))=1,INDEX($B:$B,SUMPRODUCT(((D1018="")+($D$1021:$D$1052=D1018)&gt;0)*((E1018="")+($E$1021:$E$1052=E1018)&gt;0)*ROW($B$1021:$B$1052))),IF(COUNTIFS($D$1021:$D$1052,IF(D1018="","*",D1018),$E$1021:$E$1052,IF(E1018="","*",E1018))=0,"Not available",COUNTIFS($D$1021:$D$1052,IF(D1018="","*",D1018),$E$1021:$E$1052,IF(E1018="","*",E1018))&amp;" match, keep choosing"))</f>
        <v>RL-033-BDHW-LS-C12-ZJ20-45DGY</v>
      </c>
      <c r="C1018" s="16" t="n">
        <f aca="false">IF(COUNTIFS($D$1021:$D$1052,IF(D1018="","*",D1018),$E$1021:$E$1052,IF(E1018="","*",E1018))=1,INDEX($C:$C,SUMPRODUCT(((D1018="")+($D$1021:$D$1052=D1018)&gt;0)*((E1018="")+($E$1021:$E$1052=E1018)&gt;0)*ROW($B$1021:$B$1052))),"")</f>
        <v>0.54</v>
      </c>
      <c r="D1018" s="17" t="s">
        <v>6336</v>
      </c>
      <c r="E1018" s="17" t="s">
        <v>14262</v>
      </c>
    </row>
    <row r="1020" customFormat="false" ht="15" hidden="false" customHeight="false" outlineLevel="0" collapsed="false">
      <c r="B1020" s="18" t="s">
        <v>701</v>
      </c>
      <c r="C1020" s="18" t="s">
        <v>702</v>
      </c>
      <c r="D1020" s="18" t="s">
        <v>722</v>
      </c>
      <c r="E1020" s="18" t="s">
        <v>723</v>
      </c>
    </row>
    <row r="1021" customFormat="false" ht="28.35" hidden="false" customHeight="false" outlineLevel="0" collapsed="false">
      <c r="B1021" s="19" t="s">
        <v>14263</v>
      </c>
      <c r="C1021" s="20" t="n">
        <f aca="false">ROUND(3.9/FX,2)</f>
        <v>0.54</v>
      </c>
      <c r="D1021" s="21" t="s">
        <v>6336</v>
      </c>
      <c r="E1021" s="21" t="s">
        <v>14262</v>
      </c>
    </row>
    <row r="1022" customFormat="false" ht="28.35" hidden="false" customHeight="false" outlineLevel="0" collapsed="false">
      <c r="B1022" s="19" t="s">
        <v>14264</v>
      </c>
      <c r="C1022" s="20" t="n">
        <f aca="false">ROUND(5.2/FX,2)</f>
        <v>0.72</v>
      </c>
      <c r="D1022" s="21" t="s">
        <v>6336</v>
      </c>
      <c r="E1022" s="21" t="s">
        <v>14265</v>
      </c>
    </row>
    <row r="1023" customFormat="false" ht="28.35" hidden="false" customHeight="false" outlineLevel="0" collapsed="false">
      <c r="B1023" s="19" t="s">
        <v>14266</v>
      </c>
      <c r="C1023" s="20" t="n">
        <f aca="false">ROUND(6.5/FX,2)</f>
        <v>0.9</v>
      </c>
      <c r="D1023" s="21" t="s">
        <v>6336</v>
      </c>
      <c r="E1023" s="21" t="s">
        <v>14267</v>
      </c>
    </row>
    <row r="1024" customFormat="false" ht="28.35" hidden="false" customHeight="false" outlineLevel="0" collapsed="false">
      <c r="B1024" s="19" t="s">
        <v>14268</v>
      </c>
      <c r="C1024" s="20" t="n">
        <f aca="false">ROUND(3.9/FX,2)</f>
        <v>0.54</v>
      </c>
      <c r="D1024" s="21" t="s">
        <v>6336</v>
      </c>
      <c r="E1024" s="21" t="s">
        <v>14269</v>
      </c>
    </row>
    <row r="1025" customFormat="false" ht="28.35" hidden="false" customHeight="false" outlineLevel="0" collapsed="false">
      <c r="B1025" s="19" t="s">
        <v>14270</v>
      </c>
      <c r="C1025" s="20" t="n">
        <f aca="false">ROUND(5.2/FX,2)</f>
        <v>0.72</v>
      </c>
      <c r="D1025" s="21" t="s">
        <v>6336</v>
      </c>
      <c r="E1025" s="21" t="s">
        <v>14271</v>
      </c>
    </row>
    <row r="1026" customFormat="false" ht="28.35" hidden="false" customHeight="false" outlineLevel="0" collapsed="false">
      <c r="B1026" s="19" t="s">
        <v>14272</v>
      </c>
      <c r="C1026" s="20" t="n">
        <f aca="false">ROUND(0.91/FX,2)</f>
        <v>0.13</v>
      </c>
      <c r="D1026" s="21" t="s">
        <v>6336</v>
      </c>
      <c r="E1026" s="21" t="s">
        <v>14273</v>
      </c>
    </row>
    <row r="1027" customFormat="false" ht="28.35" hidden="false" customHeight="false" outlineLevel="0" collapsed="false">
      <c r="B1027" s="19" t="s">
        <v>14274</v>
      </c>
      <c r="C1027" s="20" t="n">
        <f aca="false">ROUND(1.04/FX,2)</f>
        <v>0.14</v>
      </c>
      <c r="D1027" s="21" t="s">
        <v>6336</v>
      </c>
      <c r="E1027" s="21" t="s">
        <v>14275</v>
      </c>
    </row>
    <row r="1028" customFormat="false" ht="28.35" hidden="false" customHeight="false" outlineLevel="0" collapsed="false">
      <c r="B1028" s="19" t="s">
        <v>14276</v>
      </c>
      <c r="C1028" s="20" t="n">
        <f aca="false">ROUND(1.04/FX,2)</f>
        <v>0.14</v>
      </c>
      <c r="D1028" s="21" t="s">
        <v>6336</v>
      </c>
      <c r="E1028" s="21" t="s">
        <v>14277</v>
      </c>
    </row>
    <row r="1029" customFormat="false" ht="28.35" hidden="false" customHeight="false" outlineLevel="0" collapsed="false">
      <c r="B1029" s="19" t="s">
        <v>14278</v>
      </c>
      <c r="C1029" s="20" t="n">
        <f aca="false">ROUND(1.95/FX,2)</f>
        <v>0.27</v>
      </c>
      <c r="D1029" s="21" t="s">
        <v>6336</v>
      </c>
      <c r="E1029" s="21" t="s">
        <v>14279</v>
      </c>
    </row>
    <row r="1030" customFormat="false" ht="28.35" hidden="false" customHeight="false" outlineLevel="0" collapsed="false">
      <c r="B1030" s="19" t="s">
        <v>14280</v>
      </c>
      <c r="C1030" s="20" t="n">
        <f aca="false">ROUND(1.95/FX,2)</f>
        <v>0.27</v>
      </c>
      <c r="D1030" s="21" t="s">
        <v>6336</v>
      </c>
      <c r="E1030" s="21" t="s">
        <v>14281</v>
      </c>
    </row>
    <row r="1031" customFormat="false" ht="28.35" hidden="false" customHeight="false" outlineLevel="0" collapsed="false">
      <c r="B1031" s="19" t="s">
        <v>14282</v>
      </c>
      <c r="C1031" s="20" t="n">
        <f aca="false">ROUND(3.9/FX,2)</f>
        <v>0.54</v>
      </c>
      <c r="D1031" s="21" t="s">
        <v>724</v>
      </c>
      <c r="E1031" s="21" t="s">
        <v>14283</v>
      </c>
    </row>
    <row r="1032" customFormat="false" ht="28.35" hidden="false" customHeight="false" outlineLevel="0" collapsed="false">
      <c r="B1032" s="19" t="s">
        <v>14284</v>
      </c>
      <c r="C1032" s="20" t="n">
        <f aca="false">ROUND(5.2/FX,2)</f>
        <v>0.72</v>
      </c>
      <c r="D1032" s="21" t="s">
        <v>724</v>
      </c>
      <c r="E1032" s="21" t="s">
        <v>14285</v>
      </c>
    </row>
    <row r="1033" customFormat="false" ht="28.35" hidden="false" customHeight="false" outlineLevel="0" collapsed="false">
      <c r="B1033" s="19" t="s">
        <v>14286</v>
      </c>
      <c r="C1033" s="20" t="n">
        <f aca="false">ROUND(6.5/FX,2)</f>
        <v>0.9</v>
      </c>
      <c r="D1033" s="21" t="s">
        <v>724</v>
      </c>
      <c r="E1033" s="21" t="s">
        <v>14287</v>
      </c>
    </row>
    <row r="1034" customFormat="false" ht="28.35" hidden="false" customHeight="false" outlineLevel="0" collapsed="false">
      <c r="B1034" s="19" t="s">
        <v>14288</v>
      </c>
      <c r="C1034" s="20" t="n">
        <f aca="false">ROUND(3.9/FX,2)</f>
        <v>0.54</v>
      </c>
      <c r="D1034" s="21" t="s">
        <v>724</v>
      </c>
      <c r="E1034" s="21" t="s">
        <v>14289</v>
      </c>
    </row>
    <row r="1035" customFormat="false" ht="28.35" hidden="false" customHeight="false" outlineLevel="0" collapsed="false">
      <c r="B1035" s="19" t="s">
        <v>14290</v>
      </c>
      <c r="C1035" s="20" t="n">
        <f aca="false">ROUND(5.2/FX,2)</f>
        <v>0.72</v>
      </c>
      <c r="D1035" s="21" t="s">
        <v>724</v>
      </c>
      <c r="E1035" s="21" t="s">
        <v>14291</v>
      </c>
    </row>
    <row r="1036" customFormat="false" ht="28.35" hidden="false" customHeight="false" outlineLevel="0" collapsed="false">
      <c r="B1036" s="19" t="s">
        <v>14292</v>
      </c>
      <c r="C1036" s="20" t="n">
        <f aca="false">ROUND(1.04/FX,2)</f>
        <v>0.14</v>
      </c>
      <c r="D1036" s="21" t="s">
        <v>724</v>
      </c>
      <c r="E1036" s="21" t="s">
        <v>14293</v>
      </c>
    </row>
    <row r="1037" customFormat="false" ht="28.35" hidden="false" customHeight="false" outlineLevel="0" collapsed="false">
      <c r="B1037" s="19" t="s">
        <v>14294</v>
      </c>
      <c r="C1037" s="20" t="n">
        <f aca="false">ROUND(1.04/FX,2)</f>
        <v>0.14</v>
      </c>
      <c r="D1037" s="21" t="s">
        <v>724</v>
      </c>
      <c r="E1037" s="21" t="s">
        <v>14295</v>
      </c>
    </row>
    <row r="1038" customFormat="false" ht="28.35" hidden="false" customHeight="false" outlineLevel="0" collapsed="false">
      <c r="B1038" s="19" t="s">
        <v>14296</v>
      </c>
      <c r="C1038" s="20" t="n">
        <f aca="false">ROUND(1.04/FX,2)</f>
        <v>0.14</v>
      </c>
      <c r="D1038" s="21" t="s">
        <v>724</v>
      </c>
      <c r="E1038" s="21" t="s">
        <v>14297</v>
      </c>
    </row>
    <row r="1039" customFormat="false" ht="28.35" hidden="false" customHeight="false" outlineLevel="0" collapsed="false">
      <c r="B1039" s="19" t="s">
        <v>14298</v>
      </c>
      <c r="C1039" s="20" t="n">
        <f aca="false">ROUND(1.95/FX,2)</f>
        <v>0.27</v>
      </c>
      <c r="D1039" s="21" t="s">
        <v>724</v>
      </c>
      <c r="E1039" s="21" t="s">
        <v>14299</v>
      </c>
    </row>
    <row r="1040" customFormat="false" ht="28.35" hidden="false" customHeight="false" outlineLevel="0" collapsed="false">
      <c r="B1040" s="19" t="s">
        <v>14300</v>
      </c>
      <c r="C1040" s="20" t="n">
        <f aca="false">ROUND(1.95/FX,2)</f>
        <v>0.27</v>
      </c>
      <c r="D1040" s="21" t="s">
        <v>724</v>
      </c>
      <c r="E1040" s="21" t="s">
        <v>14301</v>
      </c>
    </row>
    <row r="1041" customFormat="false" ht="28.35" hidden="false" customHeight="false" outlineLevel="0" collapsed="false">
      <c r="B1041" s="19" t="s">
        <v>14302</v>
      </c>
      <c r="C1041" s="20" t="n">
        <f aca="false">ROUND(3.9/FX,2)</f>
        <v>0.54</v>
      </c>
      <c r="D1041" s="21" t="s">
        <v>724</v>
      </c>
      <c r="E1041" s="21" t="s">
        <v>14303</v>
      </c>
    </row>
    <row r="1042" customFormat="false" ht="28.35" hidden="false" customHeight="false" outlineLevel="0" collapsed="false">
      <c r="B1042" s="19" t="s">
        <v>14304</v>
      </c>
      <c r="C1042" s="20" t="n">
        <f aca="false">ROUND(6.5/FX,2)</f>
        <v>0.9</v>
      </c>
      <c r="D1042" s="21" t="s">
        <v>724</v>
      </c>
      <c r="E1042" s="21" t="s">
        <v>14305</v>
      </c>
    </row>
    <row r="1043" customFormat="false" ht="28.35" hidden="false" customHeight="false" outlineLevel="0" collapsed="false">
      <c r="B1043" s="19" t="s">
        <v>14306</v>
      </c>
      <c r="C1043" s="20" t="n">
        <f aca="false">ROUND(1.04/FX,2)</f>
        <v>0.14</v>
      </c>
      <c r="D1043" s="21" t="s">
        <v>724</v>
      </c>
      <c r="E1043" s="21" t="s">
        <v>14307</v>
      </c>
    </row>
    <row r="1044" customFormat="false" ht="28.35" hidden="false" customHeight="false" outlineLevel="0" collapsed="false">
      <c r="B1044" s="19" t="s">
        <v>14308</v>
      </c>
      <c r="C1044" s="20" t="n">
        <f aca="false">ROUND(1.04/FX,2)</f>
        <v>0.14</v>
      </c>
      <c r="D1044" s="21" t="s">
        <v>724</v>
      </c>
      <c r="E1044" s="21" t="s">
        <v>14309</v>
      </c>
    </row>
    <row r="1045" customFormat="false" ht="28.35" hidden="false" customHeight="false" outlineLevel="0" collapsed="false">
      <c r="B1045" s="19" t="s">
        <v>14310</v>
      </c>
      <c r="C1045" s="20" t="n">
        <f aca="false">ROUND(1.95/FX,2)</f>
        <v>0.27</v>
      </c>
      <c r="D1045" s="21" t="s">
        <v>724</v>
      </c>
      <c r="E1045" s="21" t="s">
        <v>14311</v>
      </c>
    </row>
    <row r="1046" customFormat="false" ht="28.35" hidden="false" customHeight="false" outlineLevel="0" collapsed="false">
      <c r="B1046" s="19" t="s">
        <v>14312</v>
      </c>
      <c r="C1046" s="20" t="n">
        <f aca="false">ROUND(1.95/FX,2)</f>
        <v>0.27</v>
      </c>
      <c r="D1046" s="21" t="s">
        <v>724</v>
      </c>
      <c r="E1046" s="21" t="s">
        <v>14313</v>
      </c>
    </row>
    <row r="1047" customFormat="false" ht="41.75" hidden="false" customHeight="false" outlineLevel="0" collapsed="false">
      <c r="B1047" s="19" t="s">
        <v>14314</v>
      </c>
      <c r="C1047" s="20" t="n">
        <f aca="false">ROUND(3.9/FX,2)</f>
        <v>0.54</v>
      </c>
      <c r="D1047" s="21" t="s">
        <v>6336</v>
      </c>
      <c r="E1047" s="21" t="s">
        <v>14315</v>
      </c>
    </row>
    <row r="1048" customFormat="false" ht="41.75" hidden="false" customHeight="false" outlineLevel="0" collapsed="false">
      <c r="B1048" s="19" t="s">
        <v>14316</v>
      </c>
      <c r="C1048" s="20" t="n">
        <f aca="false">ROUND(6.5/FX,2)</f>
        <v>0.9</v>
      </c>
      <c r="D1048" s="21" t="s">
        <v>6336</v>
      </c>
      <c r="E1048" s="21" t="s">
        <v>14317</v>
      </c>
    </row>
    <row r="1049" customFormat="false" ht="28.35" hidden="false" customHeight="false" outlineLevel="0" collapsed="false">
      <c r="B1049" s="19" t="s">
        <v>14318</v>
      </c>
      <c r="C1049" s="20" t="n">
        <f aca="false">ROUND(1.04/FX,2)</f>
        <v>0.14</v>
      </c>
      <c r="D1049" s="21" t="s">
        <v>6336</v>
      </c>
      <c r="E1049" s="21" t="s">
        <v>14319</v>
      </c>
    </row>
    <row r="1050" customFormat="false" ht="28.35" hidden="false" customHeight="false" outlineLevel="0" collapsed="false">
      <c r="B1050" s="19" t="s">
        <v>14320</v>
      </c>
      <c r="C1050" s="20" t="n">
        <f aca="false">ROUND(1.04/FX,2)</f>
        <v>0.14</v>
      </c>
      <c r="D1050" s="21" t="s">
        <v>6336</v>
      </c>
      <c r="E1050" s="21" t="s">
        <v>14321</v>
      </c>
    </row>
    <row r="1051" customFormat="false" ht="28.35" hidden="false" customHeight="false" outlineLevel="0" collapsed="false">
      <c r="B1051" s="19" t="s">
        <v>14322</v>
      </c>
      <c r="C1051" s="20" t="n">
        <f aca="false">ROUND(1.95/FX,2)</f>
        <v>0.27</v>
      </c>
      <c r="D1051" s="21" t="s">
        <v>6336</v>
      </c>
      <c r="E1051" s="21" t="s">
        <v>14323</v>
      </c>
    </row>
    <row r="1052" customFormat="false" ht="28.35" hidden="false" customHeight="false" outlineLevel="0" collapsed="false">
      <c r="B1052" s="19" t="s">
        <v>14324</v>
      </c>
      <c r="C1052" s="20" t="n">
        <f aca="false">ROUND(1.95/FX,2)</f>
        <v>0.27</v>
      </c>
      <c r="D1052" s="21" t="s">
        <v>6336</v>
      </c>
      <c r="E1052" s="21" t="s">
        <v>14325</v>
      </c>
    </row>
    <row r="1055" customFormat="false" ht="61.5" hidden="false" customHeight="true" outlineLevel="0" collapsed="false">
      <c r="A1055" s="9"/>
      <c r="B1055" s="10" t="s">
        <v>14326</v>
      </c>
      <c r="C1055" s="10"/>
      <c r="D1055" s="10"/>
      <c r="E1055" s="10"/>
    </row>
    <row r="1056" customFormat="false" ht="15" hidden="false" customHeight="false" outlineLevel="0" collapsed="false">
      <c r="A1056" s="12" t="s">
        <v>700</v>
      </c>
      <c r="B1056" s="13" t="s">
        <v>701</v>
      </c>
      <c r="C1056" s="13" t="s">
        <v>702</v>
      </c>
      <c r="D1056" s="13" t="s">
        <v>6355</v>
      </c>
      <c r="E1056" s="13" t="s">
        <v>11716</v>
      </c>
    </row>
    <row r="1057" customFormat="false" ht="30" hidden="false" customHeight="true" outlineLevel="0" collapsed="false">
      <c r="A1057" s="14" t="s">
        <v>706</v>
      </c>
      <c r="B1057" s="15" t="str">
        <f aca="false">IF(COUNTIFS($D$1060:$D$1081,IF(D1057="","*",D1057),$E$1060:$E$1081,IF(E1057="","*",E1057))=1,INDEX($B:$B,SUMPRODUCT(((D1057="")+($D$1060:$D$1081=D1057)&gt;0)*((E1057="")+($E$1060:$E$1081=E1057)&gt;0)*ROW($B$1060:$B$1081))),IF(COUNTIFS($D$1060:$D$1081,IF(D1057="","*",D1057),$E$1060:$E$1081,IF(E1057="","*",E1057))=0,"Not available",COUNTIFS($D$1060:$D$1081,IF(D1057="","*",D1057),$E$1060:$E$1081,IF(E1057="","*",E1057))&amp;" match, keep choosing"))</f>
        <v>RL-026-ZJ10-CD400</v>
      </c>
      <c r="C1057" s="16" t="n">
        <f aca="false">IF(COUNTIFS($D$1060:$D$1081,IF(D1057="","*",D1057),$E$1060:$E$1081,IF(E1057="","*",E1057))=1,INDEX($C:$C,SUMPRODUCT(((D1057="")+($D$1060:$D$1081=D1057)&gt;0)*((E1057="")+($E$1060:$E$1081=E1057)&gt;0)*ROW($B$1060:$B$1081))),"")</f>
        <v>2.6</v>
      </c>
      <c r="D1057" s="17" t="s">
        <v>707</v>
      </c>
      <c r="E1057" s="17" t="s">
        <v>2002</v>
      </c>
    </row>
    <row r="1059" customFormat="false" ht="15" hidden="false" customHeight="false" outlineLevel="0" collapsed="false">
      <c r="B1059" s="18" t="s">
        <v>701</v>
      </c>
      <c r="C1059" s="18" t="s">
        <v>702</v>
      </c>
      <c r="D1059" s="18" t="s">
        <v>6355</v>
      </c>
      <c r="E1059" s="18" t="s">
        <v>11716</v>
      </c>
    </row>
    <row r="1060" customFormat="false" ht="15" hidden="false" customHeight="false" outlineLevel="0" collapsed="false">
      <c r="B1060" s="19" t="s">
        <v>14327</v>
      </c>
      <c r="C1060" s="20" t="n">
        <f aca="false">ROUND(18.72/FX,2)</f>
        <v>2.6</v>
      </c>
      <c r="D1060" s="21" t="s">
        <v>707</v>
      </c>
      <c r="E1060" s="21" t="s">
        <v>2002</v>
      </c>
    </row>
    <row r="1061" customFormat="false" ht="15" hidden="false" customHeight="false" outlineLevel="0" collapsed="false">
      <c r="B1061" s="19" t="s">
        <v>14328</v>
      </c>
      <c r="C1061" s="20" t="n">
        <f aca="false">ROUND(19.5/FX,2)</f>
        <v>2.71</v>
      </c>
      <c r="D1061" s="21" t="s">
        <v>707</v>
      </c>
      <c r="E1061" s="21" t="s">
        <v>2017</v>
      </c>
    </row>
    <row r="1062" customFormat="false" ht="15" hidden="false" customHeight="false" outlineLevel="0" collapsed="false">
      <c r="B1062" s="19" t="s">
        <v>14329</v>
      </c>
      <c r="C1062" s="20" t="n">
        <f aca="false">ROUND(21.06/FX,2)</f>
        <v>2.93</v>
      </c>
      <c r="D1062" s="21" t="s">
        <v>707</v>
      </c>
      <c r="E1062" s="21" t="s">
        <v>2067</v>
      </c>
    </row>
    <row r="1063" customFormat="false" ht="15" hidden="false" customHeight="false" outlineLevel="0" collapsed="false">
      <c r="B1063" s="19" t="s">
        <v>14330</v>
      </c>
      <c r="C1063" s="20" t="n">
        <f aca="false">ROUND(21.53/FX,2)</f>
        <v>2.99</v>
      </c>
      <c r="D1063" s="21" t="s">
        <v>707</v>
      </c>
      <c r="E1063" s="21" t="s">
        <v>2082</v>
      </c>
    </row>
    <row r="1064" customFormat="false" ht="15" hidden="false" customHeight="false" outlineLevel="0" collapsed="false">
      <c r="B1064" s="19" t="s">
        <v>14331</v>
      </c>
      <c r="C1064" s="20" t="n">
        <f aca="false">ROUND(23.4/FX,2)</f>
        <v>3.25</v>
      </c>
      <c r="D1064" s="21" t="s">
        <v>707</v>
      </c>
      <c r="E1064" s="21" t="s">
        <v>2142</v>
      </c>
    </row>
    <row r="1065" customFormat="false" ht="15" hidden="false" customHeight="false" outlineLevel="0" collapsed="false">
      <c r="B1065" s="19" t="s">
        <v>14332</v>
      </c>
      <c r="C1065" s="20" t="n">
        <f aca="false">ROUND(23.87/FX,2)</f>
        <v>3.32</v>
      </c>
      <c r="D1065" s="21" t="s">
        <v>707</v>
      </c>
      <c r="E1065" s="21" t="s">
        <v>3637</v>
      </c>
    </row>
    <row r="1066" customFormat="false" ht="15" hidden="false" customHeight="false" outlineLevel="0" collapsed="false">
      <c r="B1066" s="19" t="s">
        <v>14333</v>
      </c>
      <c r="C1066" s="20" t="n">
        <f aca="false">ROUND(25.29/FX,2)</f>
        <v>3.51</v>
      </c>
      <c r="D1066" s="21" t="s">
        <v>707</v>
      </c>
      <c r="E1066" s="21" t="s">
        <v>2182</v>
      </c>
    </row>
    <row r="1067" customFormat="false" ht="15" hidden="false" customHeight="false" outlineLevel="0" collapsed="false">
      <c r="B1067" s="19" t="s">
        <v>14334</v>
      </c>
      <c r="C1067" s="20" t="n">
        <f aca="false">ROUND(65/FX,2)</f>
        <v>9.03</v>
      </c>
      <c r="D1067" s="21" t="s">
        <v>761</v>
      </c>
      <c r="E1067" s="21" t="s">
        <v>1733</v>
      </c>
    </row>
    <row r="1068" customFormat="false" ht="15" hidden="false" customHeight="false" outlineLevel="0" collapsed="false">
      <c r="B1068" s="19" t="s">
        <v>14335</v>
      </c>
      <c r="C1068" s="20" t="n">
        <f aca="false">ROUND(27.04/FX,2)</f>
        <v>3.76</v>
      </c>
      <c r="D1068" s="21" t="s">
        <v>761</v>
      </c>
      <c r="E1068" s="21" t="s">
        <v>2002</v>
      </c>
    </row>
    <row r="1069" customFormat="false" ht="15" hidden="false" customHeight="false" outlineLevel="0" collapsed="false">
      <c r="B1069" s="19" t="s">
        <v>14336</v>
      </c>
      <c r="C1069" s="20" t="n">
        <f aca="false">ROUND(104/FX,2)</f>
        <v>14.44</v>
      </c>
      <c r="D1069" s="21" t="s">
        <v>714</v>
      </c>
      <c r="E1069" s="21" t="s">
        <v>1733</v>
      </c>
    </row>
    <row r="1070" customFormat="false" ht="15" hidden="false" customHeight="false" outlineLevel="0" collapsed="false">
      <c r="B1070" s="19" t="s">
        <v>14337</v>
      </c>
      <c r="C1070" s="20" t="n">
        <f aca="false">ROUND(9.75/FX,2)</f>
        <v>1.35</v>
      </c>
      <c r="D1070" s="21" t="s">
        <v>789</v>
      </c>
      <c r="E1070" s="21" t="s">
        <v>1733</v>
      </c>
    </row>
    <row r="1071" customFormat="false" ht="15" hidden="false" customHeight="false" outlineLevel="0" collapsed="false">
      <c r="B1071" s="19" t="s">
        <v>14338</v>
      </c>
      <c r="C1071" s="20" t="n">
        <f aca="false">ROUND(1.42/FX,2)</f>
        <v>0.2</v>
      </c>
      <c r="D1071" s="21" t="s">
        <v>789</v>
      </c>
      <c r="E1071" s="21" t="s">
        <v>11968</v>
      </c>
    </row>
    <row r="1072" customFormat="false" ht="15" hidden="false" customHeight="false" outlineLevel="0" collapsed="false">
      <c r="B1072" s="19" t="s">
        <v>14339</v>
      </c>
      <c r="C1072" s="20" t="n">
        <f aca="false">ROUND(4.16/FX,2)</f>
        <v>0.58</v>
      </c>
      <c r="D1072" s="21" t="s">
        <v>789</v>
      </c>
      <c r="E1072" s="21" t="s">
        <v>1635</v>
      </c>
    </row>
    <row r="1073" customFormat="false" ht="15" hidden="false" customHeight="false" outlineLevel="0" collapsed="false">
      <c r="B1073" s="19" t="s">
        <v>14340</v>
      </c>
      <c r="C1073" s="20" t="n">
        <f aca="false">ROUND(3.9/FX,2)</f>
        <v>0.54</v>
      </c>
      <c r="D1073" s="21" t="s">
        <v>789</v>
      </c>
      <c r="E1073" s="21" t="s">
        <v>1685</v>
      </c>
    </row>
    <row r="1074" customFormat="false" ht="15" hidden="false" customHeight="false" outlineLevel="0" collapsed="false">
      <c r="B1074" s="19" t="s">
        <v>14341</v>
      </c>
      <c r="C1074" s="20" t="n">
        <f aca="false">ROUND(4.68/FX,2)</f>
        <v>0.65</v>
      </c>
      <c r="D1074" s="21" t="s">
        <v>789</v>
      </c>
      <c r="E1074" s="21" t="s">
        <v>2002</v>
      </c>
    </row>
    <row r="1075" customFormat="false" ht="15" hidden="false" customHeight="false" outlineLevel="0" collapsed="false">
      <c r="B1075" s="19" t="s">
        <v>14342</v>
      </c>
      <c r="C1075" s="20" t="n">
        <f aca="false">ROUND(5.72/FX,2)</f>
        <v>0.79</v>
      </c>
      <c r="D1075" s="21" t="s">
        <v>789</v>
      </c>
      <c r="E1075" s="21" t="s">
        <v>11740</v>
      </c>
    </row>
    <row r="1076" customFormat="false" ht="15" hidden="false" customHeight="false" outlineLevel="0" collapsed="false">
      <c r="B1076" s="19" t="s">
        <v>14343</v>
      </c>
      <c r="C1076" s="20" t="n">
        <f aca="false">ROUND(13/FX,2)</f>
        <v>1.81</v>
      </c>
      <c r="D1076" s="21" t="s">
        <v>716</v>
      </c>
      <c r="E1076" s="21" t="s">
        <v>1733</v>
      </c>
    </row>
    <row r="1077" customFormat="false" ht="15" hidden="false" customHeight="false" outlineLevel="0" collapsed="false">
      <c r="B1077" s="19" t="s">
        <v>14344</v>
      </c>
      <c r="C1077" s="20" t="n">
        <f aca="false">ROUND(5.27/FX,2)</f>
        <v>0.73</v>
      </c>
      <c r="D1077" s="21" t="s">
        <v>716</v>
      </c>
      <c r="E1077" s="21" t="s">
        <v>1520</v>
      </c>
    </row>
    <row r="1078" customFormat="false" ht="15" hidden="false" customHeight="false" outlineLevel="0" collapsed="false">
      <c r="B1078" s="19" t="s">
        <v>14345</v>
      </c>
      <c r="C1078" s="20" t="n">
        <f aca="false">ROUND(4.55/FX,2)</f>
        <v>0.63</v>
      </c>
      <c r="D1078" s="21" t="s">
        <v>716</v>
      </c>
      <c r="E1078" s="21" t="s">
        <v>1635</v>
      </c>
    </row>
    <row r="1079" customFormat="false" ht="15" hidden="false" customHeight="false" outlineLevel="0" collapsed="false">
      <c r="B1079" s="19" t="s">
        <v>14346</v>
      </c>
      <c r="C1079" s="20" t="n">
        <f aca="false">ROUND(5.85/FX,2)</f>
        <v>0.81</v>
      </c>
      <c r="D1079" s="21" t="s">
        <v>847</v>
      </c>
      <c r="E1079" s="21" t="s">
        <v>2851</v>
      </c>
    </row>
    <row r="1080" customFormat="false" ht="15" hidden="false" customHeight="false" outlineLevel="0" collapsed="false">
      <c r="B1080" s="19" t="s">
        <v>14347</v>
      </c>
      <c r="C1080" s="20" t="n">
        <f aca="false">ROUND(16.9/FX,2)</f>
        <v>2.35</v>
      </c>
      <c r="D1080" s="21" t="s">
        <v>847</v>
      </c>
      <c r="E1080" s="21" t="s">
        <v>2067</v>
      </c>
    </row>
    <row r="1081" customFormat="false" ht="15" hidden="false" customHeight="false" outlineLevel="0" collapsed="false">
      <c r="B1081" s="19" t="s">
        <v>14348</v>
      </c>
      <c r="C1081" s="20" t="n">
        <f aca="false">ROUND(18.03/FX,2)</f>
        <v>2.5</v>
      </c>
      <c r="D1081" s="21" t="s">
        <v>847</v>
      </c>
      <c r="E1081" s="21" t="s">
        <v>2112</v>
      </c>
    </row>
    <row r="1084" customFormat="false" ht="61.5" hidden="false" customHeight="true" outlineLevel="0" collapsed="false">
      <c r="A1084" s="9"/>
      <c r="B1084" s="10" t="s">
        <v>14349</v>
      </c>
      <c r="C1084" s="10"/>
      <c r="D1084" s="10"/>
      <c r="E1084" s="10"/>
      <c r="F1084" s="10"/>
    </row>
    <row r="1085" customFormat="false" ht="15" hidden="false" customHeight="false" outlineLevel="0" collapsed="false">
      <c r="A1085" s="12" t="s">
        <v>700</v>
      </c>
      <c r="B1085" s="13" t="s">
        <v>701</v>
      </c>
      <c r="C1085" s="13" t="s">
        <v>702</v>
      </c>
      <c r="D1085" s="13" t="s">
        <v>11716</v>
      </c>
      <c r="E1085" s="13" t="s">
        <v>7711</v>
      </c>
      <c r="F1085" s="13" t="s">
        <v>14350</v>
      </c>
    </row>
    <row r="1086" customFormat="false" ht="30" hidden="false" customHeight="true" outlineLevel="0" collapsed="false">
      <c r="A1086" s="14" t="s">
        <v>706</v>
      </c>
      <c r="B1086" s="15" t="str">
        <f aca="false">IF(COUNTIFS($D$1089:$D$1098,IF(D1086="","*",D1086),$E$1089:$E$1098,IF(E1086="","*",E1086),$F$1089:$F$1098,IF(F1086="","*",F1086))=1,INDEX($B:$B,SUMPRODUCT(((D1086="")+($D$1089:$D$1098=D1086)&gt;0)*((E1086="")+($E$1089:$E$1098=E1086)&gt;0)*((F1086="")+($F$1089:$F$1098=F1086)&gt;0)*ROW($B$1089:$B$1098))),IF(COUNTIFS($D$1089:$D$1098,IF(D1086="","*",D1086),$E$1089:$E$1098,IF(E1086="","*",E1086),$F$1089:$F$1098,IF(F1086="","*",F1086))=0,"Not available",COUNTIFS($D$1089:$D$1098,IF(D1086="","*",D1086),$E$1089:$E$1098,IF(E1086="","*",E1086),$F$1089:$F$1098,IF(F1086="","*",F1086))&amp;" match, keep choosing"))</f>
        <v>RL-025-WJ5-NJ3-CD150</v>
      </c>
      <c r="C1086" s="16" t="n">
        <f aca="false">IF(COUNTIFS($D$1089:$D$1098,IF(D1086="","*",D1086),$E$1089:$E$1098,IF(E1086="","*",E1086),$F$1089:$F$1098,IF(F1086="","*",F1086))=1,INDEX($C:$C,SUMPRODUCT(((D1086="")+($D$1089:$D$1098=D1086)&gt;0)*((E1086="")+($E$1089:$E$1098=E1086)&gt;0)*((F1086="")+($F$1089:$F$1098=F1086)&gt;0)*ROW($B$1089:$B$1098))),"")</f>
        <v>0.14</v>
      </c>
      <c r="D1086" s="17" t="s">
        <v>2851</v>
      </c>
      <c r="E1086" s="17" t="s">
        <v>839</v>
      </c>
      <c r="F1086" s="17" t="s">
        <v>789</v>
      </c>
    </row>
    <row r="1088" customFormat="false" ht="15" hidden="false" customHeight="false" outlineLevel="0" collapsed="false">
      <c r="B1088" s="18" t="s">
        <v>701</v>
      </c>
      <c r="C1088" s="18" t="s">
        <v>702</v>
      </c>
      <c r="D1088" s="18" t="s">
        <v>11716</v>
      </c>
      <c r="E1088" s="18" t="s">
        <v>7711</v>
      </c>
      <c r="F1088" s="18" t="s">
        <v>14350</v>
      </c>
    </row>
    <row r="1089" customFormat="false" ht="15" hidden="false" customHeight="false" outlineLevel="0" collapsed="false">
      <c r="B1089" s="19" t="s">
        <v>14351</v>
      </c>
      <c r="C1089" s="20" t="n">
        <f aca="false">ROUND(0.98/FX,2)</f>
        <v>0.14</v>
      </c>
      <c r="D1089" s="21" t="s">
        <v>2851</v>
      </c>
      <c r="E1089" s="21" t="s">
        <v>839</v>
      </c>
      <c r="F1089" s="21" t="s">
        <v>789</v>
      </c>
    </row>
    <row r="1090" customFormat="false" ht="15" hidden="false" customHeight="false" outlineLevel="0" collapsed="false">
      <c r="B1090" s="19" t="s">
        <v>14352</v>
      </c>
      <c r="C1090" s="20" t="n">
        <f aca="false">ROUND(1.3/FX,2)</f>
        <v>0.18</v>
      </c>
      <c r="D1090" s="21" t="s">
        <v>1048</v>
      </c>
      <c r="E1090" s="21" t="s">
        <v>839</v>
      </c>
      <c r="F1090" s="21" t="s">
        <v>789</v>
      </c>
    </row>
    <row r="1091" customFormat="false" ht="15" hidden="false" customHeight="false" outlineLevel="0" collapsed="false">
      <c r="B1091" s="19" t="s">
        <v>14353</v>
      </c>
      <c r="C1091" s="20" t="n">
        <f aca="false">ROUND(1.63/FX,2)</f>
        <v>0.23</v>
      </c>
      <c r="D1091" s="21" t="s">
        <v>1323</v>
      </c>
      <c r="E1091" s="21" t="s">
        <v>839</v>
      </c>
      <c r="F1091" s="21" t="s">
        <v>789</v>
      </c>
    </row>
    <row r="1092" customFormat="false" ht="15" hidden="false" customHeight="false" outlineLevel="0" collapsed="false">
      <c r="B1092" s="19" t="s">
        <v>14354</v>
      </c>
      <c r="C1092" s="20" t="n">
        <f aca="false">ROUND(1.89/FX,2)</f>
        <v>0.26</v>
      </c>
      <c r="D1092" s="21" t="s">
        <v>1520</v>
      </c>
      <c r="E1092" s="21" t="s">
        <v>839</v>
      </c>
      <c r="F1092" s="21" t="s">
        <v>789</v>
      </c>
    </row>
    <row r="1093" customFormat="false" ht="15" hidden="false" customHeight="false" outlineLevel="0" collapsed="false">
      <c r="B1093" s="19" t="s">
        <v>14355</v>
      </c>
      <c r="C1093" s="20" t="n">
        <f aca="false">ROUND(2.93/FX,2)</f>
        <v>0.41</v>
      </c>
      <c r="D1093" s="21" t="s">
        <v>2067</v>
      </c>
      <c r="E1093" s="21" t="s">
        <v>839</v>
      </c>
      <c r="F1093" s="21" t="s">
        <v>789</v>
      </c>
    </row>
    <row r="1094" customFormat="false" ht="15" hidden="false" customHeight="false" outlineLevel="0" collapsed="false">
      <c r="B1094" s="19" t="s">
        <v>14356</v>
      </c>
      <c r="C1094" s="20" t="n">
        <f aca="false">ROUND(1.17/FX,2)</f>
        <v>0.16</v>
      </c>
      <c r="D1094" s="21" t="s">
        <v>2851</v>
      </c>
      <c r="E1094" s="21" t="s">
        <v>841</v>
      </c>
      <c r="F1094" s="21" t="s">
        <v>716</v>
      </c>
    </row>
    <row r="1095" customFormat="false" ht="15" hidden="false" customHeight="false" outlineLevel="0" collapsed="false">
      <c r="B1095" s="19" t="s">
        <v>14357</v>
      </c>
      <c r="C1095" s="20" t="n">
        <f aca="false">ROUND(2.34/FX,2)</f>
        <v>0.33</v>
      </c>
      <c r="D1095" s="21" t="s">
        <v>1520</v>
      </c>
      <c r="E1095" s="21" t="s">
        <v>841</v>
      </c>
      <c r="F1095" s="21" t="s">
        <v>716</v>
      </c>
    </row>
    <row r="1096" customFormat="false" ht="15" hidden="false" customHeight="false" outlineLevel="0" collapsed="false">
      <c r="B1096" s="19" t="s">
        <v>14358</v>
      </c>
      <c r="C1096" s="20" t="n">
        <f aca="false">ROUND(2.57/FX,2)</f>
        <v>0.36</v>
      </c>
      <c r="D1096" s="21" t="s">
        <v>1595</v>
      </c>
      <c r="E1096" s="21" t="s">
        <v>841</v>
      </c>
      <c r="F1096" s="21" t="s">
        <v>716</v>
      </c>
    </row>
    <row r="1097" customFormat="false" ht="15" hidden="false" customHeight="false" outlineLevel="0" collapsed="false">
      <c r="B1097" s="19" t="s">
        <v>14359</v>
      </c>
      <c r="C1097" s="20" t="n">
        <f aca="false">ROUND(3.12/FX,2)</f>
        <v>0.43</v>
      </c>
      <c r="D1097" s="21" t="s">
        <v>2002</v>
      </c>
      <c r="E1097" s="21" t="s">
        <v>841</v>
      </c>
      <c r="F1097" s="21" t="s">
        <v>716</v>
      </c>
    </row>
    <row r="1098" customFormat="false" ht="15" hidden="false" customHeight="false" outlineLevel="0" collapsed="false">
      <c r="B1098" s="19" t="s">
        <v>14360</v>
      </c>
      <c r="C1098" s="20" t="n">
        <f aca="false">ROUND(2.34/FX,2)</f>
        <v>0.33</v>
      </c>
      <c r="D1098" s="21" t="s">
        <v>2002</v>
      </c>
      <c r="E1098" s="21" t="s">
        <v>789</v>
      </c>
      <c r="F1098" s="21" t="s">
        <v>716</v>
      </c>
    </row>
    <row r="1101" customFormat="false" ht="61.5" hidden="false" customHeight="true" outlineLevel="0" collapsed="false">
      <c r="A1101" s="9"/>
      <c r="B1101" s="10" t="s">
        <v>14361</v>
      </c>
      <c r="C1101" s="10"/>
      <c r="D1101" s="10"/>
    </row>
    <row r="1102" customFormat="false" ht="15" hidden="false" customHeight="false" outlineLevel="0" collapsed="false">
      <c r="A1102" s="12" t="s">
        <v>700</v>
      </c>
      <c r="B1102" s="13" t="s">
        <v>701</v>
      </c>
      <c r="C1102" s="13" t="s">
        <v>702</v>
      </c>
      <c r="D1102" s="13" t="s">
        <v>11716</v>
      </c>
    </row>
    <row r="1103" customFormat="false" ht="30" hidden="false" customHeight="true" outlineLevel="0" collapsed="false">
      <c r="A1103" s="14" t="s">
        <v>706</v>
      </c>
      <c r="B1103" s="15" t="str">
        <f aca="false">IF(COUNTIFS($D$1106:$D$1109,IF(D1103="","*",D1103))=1,INDEX($B:$B,SUMPRODUCT(((D1103="")+($D$1106:$D$1109=D1103)&gt;0)*ROW($B$1106:$B$1109))),IF(COUNTIFS($D$1106:$D$1109,IF(D1103="","*",D1103))=0,"Not available",COUNTIFS($D$1106:$D$1109,IF(D1103="","*",D1103))&amp;" match, keep choosing"))</f>
        <v>RL-037-CD150</v>
      </c>
      <c r="C1103" s="16" t="n">
        <f aca="false">IF(COUNTIFS($D$1106:$D$1109,IF(D1103="","*",D1103))=1,INDEX($C:$C,SUMPRODUCT(((D1103="")+($D$1106:$D$1109=D1103)&gt;0)*ROW($B$1106:$B$1109))),"")</f>
        <v>1.27</v>
      </c>
      <c r="D1103" s="17" t="s">
        <v>2851</v>
      </c>
    </row>
    <row r="1105" customFormat="false" ht="15" hidden="false" customHeight="false" outlineLevel="0" collapsed="false">
      <c r="B1105" s="18" t="s">
        <v>701</v>
      </c>
      <c r="C1105" s="18" t="s">
        <v>702</v>
      </c>
      <c r="D1105" s="18" t="s">
        <v>11716</v>
      </c>
    </row>
    <row r="1106" customFormat="false" ht="15" hidden="false" customHeight="false" outlineLevel="0" collapsed="false">
      <c r="B1106" s="19" t="s">
        <v>14362</v>
      </c>
      <c r="C1106" s="20" t="n">
        <f aca="false">ROUND(9.13/FX,2)</f>
        <v>1.27</v>
      </c>
      <c r="D1106" s="21" t="s">
        <v>2851</v>
      </c>
    </row>
    <row r="1107" customFormat="false" ht="15" hidden="false" customHeight="false" outlineLevel="0" collapsed="false">
      <c r="B1107" s="19" t="s">
        <v>14363</v>
      </c>
      <c r="C1107" s="20" t="n">
        <f aca="false">ROUND(26/FX,2)</f>
        <v>3.61</v>
      </c>
      <c r="D1107" s="21" t="s">
        <v>5153</v>
      </c>
    </row>
    <row r="1108" customFormat="false" ht="15" hidden="false" customHeight="false" outlineLevel="0" collapsed="false">
      <c r="B1108" s="19" t="s">
        <v>14364</v>
      </c>
      <c r="C1108" s="20" t="n">
        <f aca="false">ROUND(27.38/FX,2)</f>
        <v>3.8</v>
      </c>
      <c r="D1108" s="21" t="s">
        <v>2067</v>
      </c>
    </row>
    <row r="1109" customFormat="false" ht="15" hidden="false" customHeight="false" outlineLevel="0" collapsed="false">
      <c r="B1109" s="19" t="s">
        <v>14365</v>
      </c>
      <c r="C1109" s="20" t="n">
        <f aca="false">ROUND(33.8/FX,2)</f>
        <v>4.69</v>
      </c>
      <c r="D1109" s="21" t="s">
        <v>2142</v>
      </c>
    </row>
    <row r="1112" customFormat="false" ht="61.5" hidden="false" customHeight="true" outlineLevel="0" collapsed="false">
      <c r="A1112" s="9"/>
      <c r="B1112" s="10" t="s">
        <v>14366</v>
      </c>
      <c r="C1112" s="10"/>
      <c r="D1112" s="10"/>
    </row>
    <row r="1113" customFormat="false" ht="15" hidden="false" customHeight="false" outlineLevel="0" collapsed="false">
      <c r="B1113" s="18" t="s">
        <v>701</v>
      </c>
      <c r="C1113" s="18" t="s">
        <v>702</v>
      </c>
      <c r="D1113" s="18" t="s">
        <v>5610</v>
      </c>
    </row>
    <row r="1114" customFormat="false" ht="15" hidden="false" customHeight="false" outlineLevel="0" collapsed="false">
      <c r="B1114" s="19" t="s">
        <v>14367</v>
      </c>
      <c r="C1114" s="20" t="n">
        <f aca="false">ROUND(1.43/FX,2)</f>
        <v>0.2</v>
      </c>
      <c r="D1114" s="22" t="s">
        <v>5612</v>
      </c>
    </row>
    <row r="1117" customFormat="false" ht="61.5" hidden="false" customHeight="true" outlineLevel="0" collapsed="false">
      <c r="A1117" s="9"/>
      <c r="B1117" s="10" t="s">
        <v>14368</v>
      </c>
      <c r="C1117" s="10"/>
      <c r="D1117" s="10"/>
      <c r="E1117" s="10"/>
      <c r="F1117" s="10"/>
    </row>
    <row r="1118" customFormat="false" ht="15" hidden="false" customHeight="false" outlineLevel="0" collapsed="false">
      <c r="A1118" s="12" t="s">
        <v>700</v>
      </c>
      <c r="B1118" s="13" t="s">
        <v>701</v>
      </c>
      <c r="C1118" s="13" t="s">
        <v>702</v>
      </c>
      <c r="D1118" s="13" t="s">
        <v>705</v>
      </c>
      <c r="E1118" s="13" t="s">
        <v>6355</v>
      </c>
      <c r="F1118" s="13" t="s">
        <v>11716</v>
      </c>
    </row>
    <row r="1119" customFormat="false" ht="30" hidden="false" customHeight="true" outlineLevel="0" collapsed="false">
      <c r="A1119" s="14" t="s">
        <v>706</v>
      </c>
      <c r="B1119" s="15" t="str">
        <f aca="false">IF(COUNTIFS($D$1122:$D$1276,IF(D1119="","*",D1119),$E$1122:$E$1276,IF(E1119="","*",E1119),$F$1122:$F$1276,IF(F1119="","*",F1119))=1,INDEX($B:$B,SUMPRODUCT(((D1119="")+($D$1122:$D$1276=D1119)&gt;0)*((E1119="")+($E$1122:$E$1276=E1119)&gt;0)*((F1119="")+($F$1122:$F$1276=F1119)&gt;0)*ROW($B$1122:$B$1276))),IF(COUNTIFS($D$1122:$D$1276,IF(D1119="","*",D1119),$E$1122:$E$1276,IF(E1119="","*",E1119),$F$1122:$F$1276,IF(F1119="","*",F1119))=0,"Not available",COUNTIFS($D$1122:$D$1276,IF(D1119="","*",D1119),$E$1122:$E$1276,IF(E1119="","*",E1119),$F$1122:$F$1276,IF(F1119="","*",F1119))&amp;" match, keep choosing"))</f>
        <v>WCS-3-10-P20</v>
      </c>
      <c r="C1119" s="16" t="n">
        <f aca="false">IF(COUNTIFS($D$1122:$D$1276,IF(D1119="","*",D1119),$E$1122:$E$1276,IF(E1119="","*",E1119),$F$1122:$F$1276,IF(F1119="","*",F1119))=1,INDEX($C:$C,SUMPRODUCT(((D1119="")+($D$1122:$D$1276=D1119)&gt;0)*((E1119="")+($E$1122:$E$1276=E1119)&gt;0)*((F1119="")+($F$1122:$F$1276=F1119)&gt;0)*ROW($B$1122:$B$1276))),"")</f>
        <v>0.11</v>
      </c>
      <c r="D1119" s="17" t="s">
        <v>13974</v>
      </c>
      <c r="E1119" s="17" t="s">
        <v>839</v>
      </c>
      <c r="F1119" s="17" t="s">
        <v>707</v>
      </c>
    </row>
    <row r="1121" customFormat="false" ht="15" hidden="false" customHeight="false" outlineLevel="0" collapsed="false">
      <c r="B1121" s="18" t="s">
        <v>701</v>
      </c>
      <c r="C1121" s="18" t="s">
        <v>702</v>
      </c>
      <c r="D1121" s="18" t="s">
        <v>705</v>
      </c>
      <c r="E1121" s="18" t="s">
        <v>6355</v>
      </c>
      <c r="F1121" s="18" t="s">
        <v>11716</v>
      </c>
    </row>
    <row r="1122" customFormat="false" ht="15" hidden="false" customHeight="false" outlineLevel="0" collapsed="false">
      <c r="B1122" s="19" t="s">
        <v>14369</v>
      </c>
      <c r="C1122" s="20" t="n">
        <f aca="false">ROUND(0.78/FX,2)</f>
        <v>0.11</v>
      </c>
      <c r="D1122" s="21" t="s">
        <v>13974</v>
      </c>
      <c r="E1122" s="21" t="s">
        <v>839</v>
      </c>
      <c r="F1122" s="21" t="s">
        <v>707</v>
      </c>
    </row>
    <row r="1123" customFormat="false" ht="15" hidden="false" customHeight="false" outlineLevel="0" collapsed="false">
      <c r="B1123" s="19" t="s">
        <v>14370</v>
      </c>
      <c r="C1123" s="20" t="n">
        <f aca="false">ROUND(3.64/FX,2)</f>
        <v>0.51</v>
      </c>
      <c r="D1123" s="21" t="s">
        <v>13732</v>
      </c>
      <c r="E1123" s="21" t="s">
        <v>839</v>
      </c>
      <c r="F1123" s="21" t="s">
        <v>2600</v>
      </c>
    </row>
    <row r="1124" customFormat="false" ht="15" hidden="false" customHeight="false" outlineLevel="0" collapsed="false">
      <c r="B1124" s="19" t="s">
        <v>14371</v>
      </c>
      <c r="C1124" s="20" t="n">
        <f aca="false">ROUND(24.7/FX,2)</f>
        <v>3.43</v>
      </c>
      <c r="D1124" s="21" t="s">
        <v>13732</v>
      </c>
      <c r="E1124" s="21" t="s">
        <v>839</v>
      </c>
      <c r="F1124" s="21" t="s">
        <v>1733</v>
      </c>
    </row>
    <row r="1125" customFormat="false" ht="15" hidden="false" customHeight="false" outlineLevel="0" collapsed="false">
      <c r="B1125" s="19" t="s">
        <v>14372</v>
      </c>
      <c r="C1125" s="20" t="n">
        <f aca="false">ROUND(1.04/FX,2)</f>
        <v>0.14</v>
      </c>
      <c r="D1125" s="21" t="s">
        <v>13974</v>
      </c>
      <c r="E1125" s="21" t="s">
        <v>839</v>
      </c>
      <c r="F1125" s="21" t="s">
        <v>5091</v>
      </c>
    </row>
    <row r="1126" customFormat="false" ht="15" hidden="false" customHeight="false" outlineLevel="0" collapsed="false">
      <c r="B1126" s="19" t="s">
        <v>14373</v>
      </c>
      <c r="C1126" s="20" t="n">
        <f aca="false">ROUND(1.01/FX,2)</f>
        <v>0.14</v>
      </c>
      <c r="D1126" s="21" t="s">
        <v>14034</v>
      </c>
      <c r="E1126" s="21" t="s">
        <v>839</v>
      </c>
      <c r="F1126" s="21" t="s">
        <v>761</v>
      </c>
    </row>
    <row r="1127" customFormat="false" ht="15" hidden="false" customHeight="false" outlineLevel="0" collapsed="false">
      <c r="B1127" s="19" t="s">
        <v>14374</v>
      </c>
      <c r="C1127" s="20" t="n">
        <f aca="false">ROUND(4.11/FX,2)</f>
        <v>0.57</v>
      </c>
      <c r="D1127" s="21" t="s">
        <v>13732</v>
      </c>
      <c r="E1127" s="21" t="s">
        <v>839</v>
      </c>
      <c r="F1127" s="21" t="s">
        <v>2701</v>
      </c>
    </row>
    <row r="1128" customFormat="false" ht="15" hidden="false" customHeight="false" outlineLevel="0" collapsed="false">
      <c r="B1128" s="19" t="s">
        <v>14375</v>
      </c>
      <c r="C1128" s="20" t="n">
        <f aca="false">ROUND(1.04/FX,2)</f>
        <v>0.14</v>
      </c>
      <c r="D1128" s="21" t="s">
        <v>13974</v>
      </c>
      <c r="E1128" s="21" t="s">
        <v>839</v>
      </c>
      <c r="F1128" s="21" t="s">
        <v>4761</v>
      </c>
    </row>
    <row r="1129" customFormat="false" ht="15" hidden="false" customHeight="false" outlineLevel="0" collapsed="false">
      <c r="B1129" s="19" t="s">
        <v>14376</v>
      </c>
      <c r="C1129" s="20" t="n">
        <f aca="false">ROUND(1.04/FX,2)</f>
        <v>0.14</v>
      </c>
      <c r="D1129" s="21" t="s">
        <v>13974</v>
      </c>
      <c r="E1129" s="21" t="s">
        <v>839</v>
      </c>
      <c r="F1129" s="21" t="s">
        <v>4721</v>
      </c>
    </row>
    <row r="1130" customFormat="false" ht="15" hidden="false" customHeight="false" outlineLevel="0" collapsed="false">
      <c r="B1130" s="19" t="s">
        <v>14377</v>
      </c>
      <c r="C1130" s="20" t="n">
        <f aca="false">ROUND(1.04/FX,2)</f>
        <v>0.14</v>
      </c>
      <c r="D1130" s="21" t="s">
        <v>13974</v>
      </c>
      <c r="E1130" s="21" t="s">
        <v>839</v>
      </c>
      <c r="F1130" s="21" t="s">
        <v>714</v>
      </c>
    </row>
    <row r="1131" customFormat="false" ht="15" hidden="false" customHeight="false" outlineLevel="0" collapsed="false">
      <c r="B1131" s="19" t="s">
        <v>14378</v>
      </c>
      <c r="C1131" s="20" t="n">
        <f aca="false">ROUND(4.81/FX,2)</f>
        <v>0.67</v>
      </c>
      <c r="D1131" s="21" t="s">
        <v>13732</v>
      </c>
      <c r="E1131" s="21" t="s">
        <v>839</v>
      </c>
      <c r="F1131" s="21" t="s">
        <v>2851</v>
      </c>
    </row>
    <row r="1132" customFormat="false" ht="15" hidden="false" customHeight="false" outlineLevel="0" collapsed="false">
      <c r="B1132" s="19" t="s">
        <v>14379</v>
      </c>
      <c r="C1132" s="20" t="n">
        <f aca="false">ROUND(1.01/FX,2)</f>
        <v>0.14</v>
      </c>
      <c r="D1132" s="21" t="s">
        <v>14034</v>
      </c>
      <c r="E1132" s="21" t="s">
        <v>839</v>
      </c>
      <c r="F1132" s="21" t="s">
        <v>3833</v>
      </c>
    </row>
    <row r="1133" customFormat="false" ht="15" hidden="false" customHeight="false" outlineLevel="0" collapsed="false">
      <c r="B1133" s="19" t="s">
        <v>14380</v>
      </c>
      <c r="C1133" s="20" t="n">
        <f aca="false">ROUND(5.04/FX,2)</f>
        <v>0.7</v>
      </c>
      <c r="D1133" s="21" t="s">
        <v>13732</v>
      </c>
      <c r="E1133" s="21" t="s">
        <v>839</v>
      </c>
      <c r="F1133" s="21" t="s">
        <v>2901</v>
      </c>
    </row>
    <row r="1134" customFormat="false" ht="15" hidden="false" customHeight="false" outlineLevel="0" collapsed="false">
      <c r="B1134" s="19" t="s">
        <v>14381</v>
      </c>
      <c r="C1134" s="20" t="n">
        <f aca="false">ROUND(1.04/FX,2)</f>
        <v>0.14</v>
      </c>
      <c r="D1134" s="21" t="s">
        <v>13974</v>
      </c>
      <c r="E1134" s="21" t="s">
        <v>839</v>
      </c>
      <c r="F1134" s="21" t="s">
        <v>5492</v>
      </c>
    </row>
    <row r="1135" customFormat="false" ht="15" hidden="false" customHeight="false" outlineLevel="0" collapsed="false">
      <c r="B1135" s="19" t="s">
        <v>14382</v>
      </c>
      <c r="C1135" s="20" t="n">
        <f aca="false">ROUND(1.04/FX,2)</f>
        <v>0.14</v>
      </c>
      <c r="D1135" s="21" t="s">
        <v>13974</v>
      </c>
      <c r="E1135" s="21" t="s">
        <v>839</v>
      </c>
      <c r="F1135" s="21" t="s">
        <v>4000</v>
      </c>
    </row>
    <row r="1136" customFormat="false" ht="15" hidden="false" customHeight="false" outlineLevel="0" collapsed="false">
      <c r="B1136" s="19" t="s">
        <v>14383</v>
      </c>
      <c r="C1136" s="20" t="n">
        <f aca="false">ROUND(1.04/FX,2)</f>
        <v>0.14</v>
      </c>
      <c r="D1136" s="21" t="s">
        <v>13974</v>
      </c>
      <c r="E1136" s="21" t="s">
        <v>839</v>
      </c>
      <c r="F1136" s="21" t="s">
        <v>6940</v>
      </c>
    </row>
    <row r="1137" customFormat="false" ht="15" hidden="false" customHeight="false" outlineLevel="0" collapsed="false">
      <c r="B1137" s="19" t="s">
        <v>14384</v>
      </c>
      <c r="C1137" s="20" t="n">
        <f aca="false">ROUND(1.04/FX,2)</f>
        <v>0.14</v>
      </c>
      <c r="D1137" s="21" t="s">
        <v>13974</v>
      </c>
      <c r="E1137" s="21" t="s">
        <v>839</v>
      </c>
      <c r="F1137" s="21" t="s">
        <v>3247</v>
      </c>
    </row>
    <row r="1138" customFormat="false" ht="15" hidden="false" customHeight="false" outlineLevel="0" collapsed="false">
      <c r="B1138" s="19" t="s">
        <v>14385</v>
      </c>
      <c r="C1138" s="20" t="n">
        <f aca="false">ROUND(5.98/FX,2)</f>
        <v>0.83</v>
      </c>
      <c r="D1138" s="21" t="s">
        <v>13732</v>
      </c>
      <c r="E1138" s="21" t="s">
        <v>839</v>
      </c>
      <c r="F1138" s="21" t="s">
        <v>1048</v>
      </c>
    </row>
    <row r="1139" customFormat="false" ht="15" hidden="false" customHeight="false" outlineLevel="0" collapsed="false">
      <c r="B1139" s="19" t="s">
        <v>14386</v>
      </c>
      <c r="C1139" s="20" t="n">
        <f aca="false">ROUND(1.01/FX,2)</f>
        <v>0.14</v>
      </c>
      <c r="D1139" s="21" t="s">
        <v>13978</v>
      </c>
      <c r="E1139" s="21" t="s">
        <v>839</v>
      </c>
      <c r="F1139" s="21" t="s">
        <v>13852</v>
      </c>
    </row>
    <row r="1140" customFormat="false" ht="15" hidden="false" customHeight="false" outlineLevel="0" collapsed="false">
      <c r="B1140" s="19" t="s">
        <v>14387</v>
      </c>
      <c r="C1140" s="20" t="n">
        <f aca="false">ROUND(1.04/FX,2)</f>
        <v>0.14</v>
      </c>
      <c r="D1140" s="21" t="s">
        <v>13974</v>
      </c>
      <c r="E1140" s="21" t="s">
        <v>839</v>
      </c>
      <c r="F1140" s="21" t="s">
        <v>5097</v>
      </c>
    </row>
    <row r="1141" customFormat="false" ht="15" hidden="false" customHeight="false" outlineLevel="0" collapsed="false">
      <c r="B1141" s="19" t="s">
        <v>14388</v>
      </c>
      <c r="C1141" s="20" t="n">
        <f aca="false">ROUND(1.04/FX,2)</f>
        <v>0.14</v>
      </c>
      <c r="D1141" s="21" t="s">
        <v>13974</v>
      </c>
      <c r="E1141" s="21" t="s">
        <v>839</v>
      </c>
      <c r="F1141" s="21" t="s">
        <v>7020</v>
      </c>
    </row>
    <row r="1142" customFormat="false" ht="15" hidden="false" customHeight="false" outlineLevel="0" collapsed="false">
      <c r="B1142" s="19" t="s">
        <v>14389</v>
      </c>
      <c r="C1142" s="20" t="n">
        <f aca="false">ROUND(1.04/FX,2)</f>
        <v>0.14</v>
      </c>
      <c r="D1142" s="21" t="s">
        <v>13974</v>
      </c>
      <c r="E1142" s="21" t="s">
        <v>839</v>
      </c>
      <c r="F1142" s="21" t="s">
        <v>6723</v>
      </c>
    </row>
    <row r="1143" customFormat="false" ht="15" hidden="false" customHeight="false" outlineLevel="0" collapsed="false">
      <c r="B1143" s="19" t="s">
        <v>14390</v>
      </c>
      <c r="C1143" s="20" t="n">
        <f aca="false">ROUND(1.04/FX,2)</f>
        <v>0.14</v>
      </c>
      <c r="D1143" s="21" t="s">
        <v>13974</v>
      </c>
      <c r="E1143" s="21" t="s">
        <v>839</v>
      </c>
      <c r="F1143" s="21" t="s">
        <v>3317</v>
      </c>
    </row>
    <row r="1144" customFormat="false" ht="15" hidden="false" customHeight="false" outlineLevel="0" collapsed="false">
      <c r="B1144" s="19" t="s">
        <v>14391</v>
      </c>
      <c r="C1144" s="20" t="n">
        <f aca="false">ROUND(7.15/FX,2)</f>
        <v>0.99</v>
      </c>
      <c r="D1144" s="21" t="s">
        <v>13732</v>
      </c>
      <c r="E1144" s="21" t="s">
        <v>839</v>
      </c>
      <c r="F1144" s="21" t="s">
        <v>1323</v>
      </c>
    </row>
    <row r="1145" customFormat="false" ht="15" hidden="false" customHeight="false" outlineLevel="0" collapsed="false">
      <c r="B1145" s="19" t="s">
        <v>14392</v>
      </c>
      <c r="C1145" s="20" t="n">
        <f aca="false">ROUND(1.01/FX,2)</f>
        <v>0.14</v>
      </c>
      <c r="D1145" s="21" t="s">
        <v>13978</v>
      </c>
      <c r="E1145" s="21" t="s">
        <v>839</v>
      </c>
      <c r="F1145" s="21" t="s">
        <v>7061</v>
      </c>
    </row>
    <row r="1146" customFormat="false" ht="15" hidden="false" customHeight="false" outlineLevel="0" collapsed="false">
      <c r="B1146" s="19" t="s">
        <v>14393</v>
      </c>
      <c r="C1146" s="20" t="n">
        <f aca="false">ROUND(1.04/FX,2)</f>
        <v>0.14</v>
      </c>
      <c r="D1146" s="21" t="s">
        <v>13997</v>
      </c>
      <c r="E1146" s="21" t="s">
        <v>839</v>
      </c>
      <c r="F1146" s="21" t="s">
        <v>13774</v>
      </c>
    </row>
    <row r="1147" customFormat="false" ht="15" hidden="false" customHeight="false" outlineLevel="0" collapsed="false">
      <c r="B1147" s="19" t="s">
        <v>14394</v>
      </c>
      <c r="C1147" s="20" t="n">
        <f aca="false">ROUND(1.01/FX,2)</f>
        <v>0.14</v>
      </c>
      <c r="D1147" s="21" t="s">
        <v>13978</v>
      </c>
      <c r="E1147" s="21" t="s">
        <v>839</v>
      </c>
      <c r="F1147" s="21" t="s">
        <v>6768</v>
      </c>
    </row>
    <row r="1148" customFormat="false" ht="15" hidden="false" customHeight="false" outlineLevel="0" collapsed="false">
      <c r="B1148" s="19" t="s">
        <v>14395</v>
      </c>
      <c r="C1148" s="20" t="n">
        <f aca="false">ROUND(1.04/FX,2)</f>
        <v>0.14</v>
      </c>
      <c r="D1148" s="21" t="s">
        <v>14056</v>
      </c>
      <c r="E1148" s="21" t="s">
        <v>839</v>
      </c>
      <c r="F1148" s="21" t="s">
        <v>14008</v>
      </c>
    </row>
    <row r="1149" customFormat="false" ht="15" hidden="false" customHeight="false" outlineLevel="0" collapsed="false">
      <c r="B1149" s="19" t="s">
        <v>14396</v>
      </c>
      <c r="C1149" s="20" t="n">
        <f aca="false">ROUND(8.2/FX,2)</f>
        <v>1.14</v>
      </c>
      <c r="D1149" s="21" t="s">
        <v>13732</v>
      </c>
      <c r="E1149" s="21" t="s">
        <v>839</v>
      </c>
      <c r="F1149" s="21" t="s">
        <v>4908</v>
      </c>
    </row>
    <row r="1150" customFormat="false" ht="15" hidden="false" customHeight="false" outlineLevel="0" collapsed="false">
      <c r="B1150" s="19" t="s">
        <v>14397</v>
      </c>
      <c r="C1150" s="20" t="n">
        <f aca="false">ROUND(1.04/FX,2)</f>
        <v>0.14</v>
      </c>
      <c r="D1150" s="21" t="s">
        <v>13743</v>
      </c>
      <c r="E1150" s="21" t="s">
        <v>839</v>
      </c>
      <c r="F1150" s="21" t="s">
        <v>839</v>
      </c>
    </row>
    <row r="1151" customFormat="false" ht="15" hidden="false" customHeight="false" outlineLevel="0" collapsed="false">
      <c r="B1151" s="19" t="s">
        <v>14398</v>
      </c>
      <c r="C1151" s="20" t="n">
        <f aca="false">ROUND(1/FX,2)</f>
        <v>0.14</v>
      </c>
      <c r="D1151" s="21" t="s">
        <v>13988</v>
      </c>
      <c r="E1151" s="21" t="s">
        <v>839</v>
      </c>
      <c r="F1151" s="21" t="s">
        <v>784</v>
      </c>
    </row>
    <row r="1152" customFormat="false" ht="15" hidden="false" customHeight="false" outlineLevel="0" collapsed="false">
      <c r="B1152" s="19" t="s">
        <v>14399</v>
      </c>
      <c r="C1152" s="20" t="n">
        <f aca="false">ROUND(8.32/FX,2)</f>
        <v>1.16</v>
      </c>
      <c r="D1152" s="21" t="s">
        <v>13732</v>
      </c>
      <c r="E1152" s="21" t="s">
        <v>839</v>
      </c>
      <c r="F1152" s="21" t="s">
        <v>1520</v>
      </c>
    </row>
    <row r="1153" customFormat="false" ht="15" hidden="false" customHeight="false" outlineLevel="0" collapsed="false">
      <c r="B1153" s="19" t="s">
        <v>14400</v>
      </c>
      <c r="C1153" s="20" t="n">
        <f aca="false">ROUND(1.04/FX,2)</f>
        <v>0.14</v>
      </c>
      <c r="D1153" s="21" t="s">
        <v>14056</v>
      </c>
      <c r="E1153" s="21" t="s">
        <v>839</v>
      </c>
      <c r="F1153" s="21" t="s">
        <v>14083</v>
      </c>
    </row>
    <row r="1154" customFormat="false" ht="15" hidden="false" customHeight="false" outlineLevel="0" collapsed="false">
      <c r="B1154" s="19" t="s">
        <v>14401</v>
      </c>
      <c r="C1154" s="20" t="n">
        <f aca="false">ROUND(1.04/FX,2)</f>
        <v>0.14</v>
      </c>
      <c r="D1154" s="21" t="s">
        <v>14056</v>
      </c>
      <c r="E1154" s="21" t="s">
        <v>839</v>
      </c>
      <c r="F1154" s="21" t="s">
        <v>6244</v>
      </c>
    </row>
    <row r="1155" customFormat="false" ht="15" hidden="false" customHeight="false" outlineLevel="0" collapsed="false">
      <c r="B1155" s="19" t="s">
        <v>14402</v>
      </c>
      <c r="C1155" s="20" t="n">
        <f aca="false">ROUND(1.17/FX,2)</f>
        <v>0.16</v>
      </c>
      <c r="D1155" s="21" t="s">
        <v>14007</v>
      </c>
      <c r="E1155" s="21" t="s">
        <v>839</v>
      </c>
      <c r="F1155" s="21" t="s">
        <v>13781</v>
      </c>
    </row>
    <row r="1156" customFormat="false" ht="15" hidden="false" customHeight="false" outlineLevel="0" collapsed="false">
      <c r="B1156" s="19" t="s">
        <v>14403</v>
      </c>
      <c r="C1156" s="20" t="n">
        <f aca="false">ROUND(1.09/FX,2)</f>
        <v>0.15</v>
      </c>
      <c r="D1156" s="21" t="s">
        <v>13994</v>
      </c>
      <c r="E1156" s="21" t="s">
        <v>839</v>
      </c>
      <c r="F1156" s="21" t="s">
        <v>6805</v>
      </c>
    </row>
    <row r="1157" customFormat="false" ht="15" hidden="false" customHeight="false" outlineLevel="0" collapsed="false">
      <c r="B1157" s="19" t="s">
        <v>14404</v>
      </c>
      <c r="C1157" s="20" t="n">
        <f aca="false">ROUND(1.04/FX,2)</f>
        <v>0.14</v>
      </c>
      <c r="D1157" s="21" t="s">
        <v>13997</v>
      </c>
      <c r="E1157" s="21" t="s">
        <v>839</v>
      </c>
      <c r="F1157" s="21" t="s">
        <v>3328</v>
      </c>
    </row>
    <row r="1158" customFormat="false" ht="15" hidden="false" customHeight="false" outlineLevel="0" collapsed="false">
      <c r="B1158" s="19" t="s">
        <v>14405</v>
      </c>
      <c r="C1158" s="20" t="n">
        <f aca="false">ROUND(5.07/FX,2)</f>
        <v>0.7</v>
      </c>
      <c r="D1158" s="21" t="s">
        <v>13732</v>
      </c>
      <c r="E1158" s="21" t="s">
        <v>839</v>
      </c>
      <c r="F1158" s="21" t="s">
        <v>1635</v>
      </c>
    </row>
    <row r="1159" customFormat="false" ht="15" hidden="false" customHeight="false" outlineLevel="0" collapsed="false">
      <c r="B1159" s="19" t="s">
        <v>14406</v>
      </c>
      <c r="C1159" s="20" t="n">
        <f aca="false">ROUND(1.09/FX,2)</f>
        <v>0.15</v>
      </c>
      <c r="D1159" s="21" t="s">
        <v>13994</v>
      </c>
      <c r="E1159" s="21" t="s">
        <v>839</v>
      </c>
      <c r="F1159" s="21" t="s">
        <v>6730</v>
      </c>
    </row>
    <row r="1160" customFormat="false" ht="15" hidden="false" customHeight="false" outlineLevel="0" collapsed="false">
      <c r="B1160" s="19" t="s">
        <v>14407</v>
      </c>
      <c r="C1160" s="20" t="n">
        <f aca="false">ROUND(1.17/FX,2)</f>
        <v>0.16</v>
      </c>
      <c r="D1160" s="21" t="s">
        <v>14007</v>
      </c>
      <c r="E1160" s="21" t="s">
        <v>839</v>
      </c>
      <c r="F1160" s="21" t="s">
        <v>13791</v>
      </c>
    </row>
    <row r="1161" customFormat="false" ht="15" hidden="false" customHeight="false" outlineLevel="0" collapsed="false">
      <c r="B1161" s="19" t="s">
        <v>14408</v>
      </c>
      <c r="C1161" s="20" t="n">
        <f aca="false">ROUND(9.96/FX,2)</f>
        <v>1.38</v>
      </c>
      <c r="D1161" s="21" t="s">
        <v>13732</v>
      </c>
      <c r="E1161" s="21" t="s">
        <v>839</v>
      </c>
      <c r="F1161" s="21" t="s">
        <v>1670</v>
      </c>
    </row>
    <row r="1162" customFormat="false" ht="15" hidden="false" customHeight="false" outlineLevel="0" collapsed="false">
      <c r="B1162" s="19" t="s">
        <v>14409</v>
      </c>
      <c r="C1162" s="20" t="n">
        <f aca="false">ROUND(1.04/FX,2)</f>
        <v>0.14</v>
      </c>
      <c r="D1162" s="21" t="s">
        <v>13981</v>
      </c>
      <c r="E1162" s="21" t="s">
        <v>839</v>
      </c>
      <c r="F1162" s="21" t="s">
        <v>841</v>
      </c>
    </row>
    <row r="1163" customFormat="false" ht="15" hidden="false" customHeight="false" outlineLevel="0" collapsed="false">
      <c r="B1163" s="19" t="s">
        <v>14410</v>
      </c>
      <c r="C1163" s="20" t="n">
        <f aca="false">ROUND(1.04/FX,2)</f>
        <v>0.14</v>
      </c>
      <c r="D1163" s="21" t="s">
        <v>13997</v>
      </c>
      <c r="E1163" s="21" t="s">
        <v>839</v>
      </c>
      <c r="F1163" s="21" t="s">
        <v>6246</v>
      </c>
    </row>
    <row r="1164" customFormat="false" ht="15" hidden="false" customHeight="false" outlineLevel="0" collapsed="false">
      <c r="B1164" s="19" t="s">
        <v>14411</v>
      </c>
      <c r="C1164" s="20" t="n">
        <f aca="false">ROUND(10.66/FX,2)</f>
        <v>1.48</v>
      </c>
      <c r="D1164" s="21" t="s">
        <v>13732</v>
      </c>
      <c r="E1164" s="21" t="s">
        <v>839</v>
      </c>
      <c r="F1164" s="21" t="s">
        <v>2002</v>
      </c>
    </row>
    <row r="1165" customFormat="false" ht="15" hidden="false" customHeight="false" outlineLevel="0" collapsed="false">
      <c r="B1165" s="19" t="s">
        <v>14412</v>
      </c>
      <c r="C1165" s="20" t="n">
        <f aca="false">ROUND(1.3/FX,2)</f>
        <v>0.18</v>
      </c>
      <c r="D1165" s="21" t="s">
        <v>14013</v>
      </c>
      <c r="E1165" s="21" t="s">
        <v>839</v>
      </c>
      <c r="F1165" s="21" t="s">
        <v>14100</v>
      </c>
    </row>
    <row r="1166" customFormat="false" ht="15" hidden="false" customHeight="false" outlineLevel="0" collapsed="false">
      <c r="B1166" s="19" t="s">
        <v>14413</v>
      </c>
      <c r="C1166" s="20" t="n">
        <f aca="false">ROUND(11.71/FX,2)</f>
        <v>1.63</v>
      </c>
      <c r="D1166" s="21" t="s">
        <v>13732</v>
      </c>
      <c r="E1166" s="21" t="s">
        <v>839</v>
      </c>
      <c r="F1166" s="21" t="s">
        <v>12271</v>
      </c>
    </row>
    <row r="1167" customFormat="false" ht="15" hidden="false" customHeight="false" outlineLevel="0" collapsed="false">
      <c r="B1167" s="19" t="s">
        <v>14414</v>
      </c>
      <c r="C1167" s="20" t="n">
        <f aca="false">ROUND(1.09/FX,2)</f>
        <v>0.15</v>
      </c>
      <c r="D1167" s="21" t="s">
        <v>14007</v>
      </c>
      <c r="E1167" s="21" t="s">
        <v>839</v>
      </c>
      <c r="F1167" s="21" t="s">
        <v>7358</v>
      </c>
    </row>
    <row r="1168" customFormat="false" ht="15" hidden="false" customHeight="false" outlineLevel="0" collapsed="false">
      <c r="B1168" s="19" t="s">
        <v>14415</v>
      </c>
      <c r="C1168" s="20" t="n">
        <f aca="false">ROUND(11.83/FX,2)</f>
        <v>1.64</v>
      </c>
      <c r="D1168" s="21" t="s">
        <v>13732</v>
      </c>
      <c r="E1168" s="21" t="s">
        <v>839</v>
      </c>
      <c r="F1168" s="21" t="s">
        <v>2067</v>
      </c>
    </row>
    <row r="1169" customFormat="false" ht="15" hidden="false" customHeight="false" outlineLevel="0" collapsed="false">
      <c r="B1169" s="19" t="s">
        <v>14416</v>
      </c>
      <c r="C1169" s="20" t="n">
        <f aca="false">ROUND(1.04/FX,2)</f>
        <v>0.14</v>
      </c>
      <c r="D1169" s="21" t="s">
        <v>14013</v>
      </c>
      <c r="E1169" s="21" t="s">
        <v>839</v>
      </c>
      <c r="F1169" s="21" t="s">
        <v>14417</v>
      </c>
    </row>
    <row r="1170" customFormat="false" ht="15" hidden="false" customHeight="false" outlineLevel="0" collapsed="false">
      <c r="B1170" s="19" t="s">
        <v>14418</v>
      </c>
      <c r="C1170" s="20" t="n">
        <f aca="false">ROUND(1.04/FX,2)</f>
        <v>0.14</v>
      </c>
      <c r="D1170" s="21" t="s">
        <v>14419</v>
      </c>
      <c r="E1170" s="21" t="s">
        <v>839</v>
      </c>
      <c r="F1170" s="21" t="s">
        <v>789</v>
      </c>
    </row>
    <row r="1171" customFormat="false" ht="15" hidden="false" customHeight="false" outlineLevel="0" collapsed="false">
      <c r="B1171" s="19" t="s">
        <v>14420</v>
      </c>
      <c r="C1171" s="20" t="n">
        <f aca="false">ROUND(1.17/FX,2)</f>
        <v>0.16</v>
      </c>
      <c r="D1171" s="21" t="s">
        <v>14007</v>
      </c>
      <c r="E1171" s="21" t="s">
        <v>839</v>
      </c>
      <c r="F1171" s="21" t="s">
        <v>2911</v>
      </c>
    </row>
    <row r="1172" customFormat="false" ht="15" hidden="false" customHeight="false" outlineLevel="0" collapsed="false">
      <c r="B1172" s="19" t="s">
        <v>14421</v>
      </c>
      <c r="C1172" s="20" t="n">
        <f aca="false">ROUND(13/FX,2)</f>
        <v>1.81</v>
      </c>
      <c r="D1172" s="21" t="s">
        <v>13732</v>
      </c>
      <c r="E1172" s="21" t="s">
        <v>839</v>
      </c>
      <c r="F1172" s="21" t="s">
        <v>2142</v>
      </c>
    </row>
    <row r="1173" customFormat="false" ht="15" hidden="false" customHeight="false" outlineLevel="0" collapsed="false">
      <c r="B1173" s="19" t="s">
        <v>14422</v>
      </c>
      <c r="C1173" s="20" t="n">
        <f aca="false">ROUND(1.04/FX,2)</f>
        <v>0.14</v>
      </c>
      <c r="D1173" s="21" t="s">
        <v>14013</v>
      </c>
      <c r="E1173" s="21" t="s">
        <v>839</v>
      </c>
      <c r="F1173" s="21" t="s">
        <v>7275</v>
      </c>
    </row>
    <row r="1174" customFormat="false" ht="15" hidden="false" customHeight="false" outlineLevel="0" collapsed="false">
      <c r="B1174" s="19" t="s">
        <v>14423</v>
      </c>
      <c r="C1174" s="20" t="n">
        <f aca="false">ROUND(14.17/FX,2)</f>
        <v>1.97</v>
      </c>
      <c r="D1174" s="21" t="s">
        <v>13732</v>
      </c>
      <c r="E1174" s="21" t="s">
        <v>839</v>
      </c>
      <c r="F1174" s="21" t="s">
        <v>2187</v>
      </c>
    </row>
    <row r="1175" customFormat="false" ht="15" hidden="false" customHeight="false" outlineLevel="0" collapsed="false">
      <c r="B1175" s="19" t="s">
        <v>14424</v>
      </c>
      <c r="C1175" s="20" t="n">
        <f aca="false">ROUND(1.01/FX,2)</f>
        <v>0.14</v>
      </c>
      <c r="D1175" s="21" t="s">
        <v>14034</v>
      </c>
      <c r="E1175" s="21" t="s">
        <v>839</v>
      </c>
      <c r="F1175" s="21" t="s">
        <v>716</v>
      </c>
    </row>
    <row r="1176" customFormat="false" ht="15" hidden="false" customHeight="false" outlineLevel="0" collapsed="false">
      <c r="B1176" s="19" t="s">
        <v>14425</v>
      </c>
      <c r="C1176" s="20" t="n">
        <f aca="false">ROUND(1.04/FX,2)</f>
        <v>0.14</v>
      </c>
      <c r="D1176" s="21" t="s">
        <v>14013</v>
      </c>
      <c r="E1176" s="21" t="s">
        <v>839</v>
      </c>
      <c r="F1176" s="21" t="s">
        <v>2961</v>
      </c>
    </row>
    <row r="1177" customFormat="false" ht="15" hidden="false" customHeight="false" outlineLevel="0" collapsed="false">
      <c r="B1177" s="19" t="s">
        <v>14426</v>
      </c>
      <c r="C1177" s="20" t="n">
        <f aca="false">ROUND(11.44/FX,2)</f>
        <v>1.59</v>
      </c>
      <c r="D1177" s="21" t="s">
        <v>13732</v>
      </c>
      <c r="E1177" s="21" t="s">
        <v>839</v>
      </c>
      <c r="F1177" s="21" t="s">
        <v>2227</v>
      </c>
    </row>
    <row r="1178" customFormat="false" ht="15" hidden="false" customHeight="false" outlineLevel="0" collapsed="false">
      <c r="B1178" s="19" t="s">
        <v>14427</v>
      </c>
      <c r="C1178" s="20" t="n">
        <f aca="false">ROUND(1.01/FX,2)</f>
        <v>0.14</v>
      </c>
      <c r="D1178" s="21" t="s">
        <v>14034</v>
      </c>
      <c r="E1178" s="21" t="s">
        <v>839</v>
      </c>
      <c r="F1178" s="21" t="s">
        <v>845</v>
      </c>
    </row>
    <row r="1179" customFormat="false" ht="15" hidden="false" customHeight="false" outlineLevel="0" collapsed="false">
      <c r="B1179" s="19" t="s">
        <v>14428</v>
      </c>
      <c r="C1179" s="20" t="n">
        <f aca="false">ROUND(1.04/FX,2)</f>
        <v>0.14</v>
      </c>
      <c r="D1179" s="21" t="s">
        <v>13732</v>
      </c>
      <c r="E1179" s="21" t="s">
        <v>839</v>
      </c>
      <c r="F1179" s="21" t="s">
        <v>3011</v>
      </c>
    </row>
    <row r="1180" customFormat="false" ht="15" hidden="false" customHeight="false" outlineLevel="0" collapsed="false">
      <c r="B1180" s="19" t="s">
        <v>14429</v>
      </c>
      <c r="C1180" s="20" t="n">
        <f aca="false">ROUND(1.01/FX,2)</f>
        <v>0.14</v>
      </c>
      <c r="D1180" s="21" t="s">
        <v>14034</v>
      </c>
      <c r="E1180" s="21" t="s">
        <v>839</v>
      </c>
      <c r="F1180" s="21" t="s">
        <v>847</v>
      </c>
    </row>
    <row r="1181" customFormat="false" ht="15" hidden="false" customHeight="false" outlineLevel="0" collapsed="false">
      <c r="B1181" s="19" t="s">
        <v>14430</v>
      </c>
      <c r="C1181" s="20" t="n">
        <f aca="false">ROUND(1.17/FX,2)</f>
        <v>0.16</v>
      </c>
      <c r="D1181" s="21" t="s">
        <v>13732</v>
      </c>
      <c r="E1181" s="21" t="s">
        <v>839</v>
      </c>
      <c r="F1181" s="21" t="s">
        <v>3061</v>
      </c>
    </row>
    <row r="1182" customFormat="false" ht="15" hidden="false" customHeight="false" outlineLevel="0" collapsed="false">
      <c r="B1182" s="19" t="s">
        <v>14431</v>
      </c>
      <c r="C1182" s="20" t="n">
        <f aca="false">ROUND(20.02/FX,2)</f>
        <v>2.78</v>
      </c>
      <c r="D1182" s="21" t="s">
        <v>13732</v>
      </c>
      <c r="E1182" s="21" t="s">
        <v>839</v>
      </c>
      <c r="F1182" s="21" t="s">
        <v>2440</v>
      </c>
    </row>
    <row r="1183" customFormat="false" ht="15" hidden="false" customHeight="false" outlineLevel="0" collapsed="false">
      <c r="B1183" s="19" t="s">
        <v>14432</v>
      </c>
      <c r="C1183" s="20" t="n">
        <f aca="false">ROUND(1.56/FX,2)</f>
        <v>0.22</v>
      </c>
      <c r="D1183" s="21" t="s">
        <v>13732</v>
      </c>
      <c r="E1183" s="21" t="s">
        <v>839</v>
      </c>
      <c r="F1183" s="21" t="s">
        <v>3091</v>
      </c>
    </row>
    <row r="1184" customFormat="false" ht="15" hidden="false" customHeight="false" outlineLevel="0" collapsed="false">
      <c r="B1184" s="19" t="s">
        <v>14433</v>
      </c>
      <c r="C1184" s="20" t="n">
        <f aca="false">ROUND(1.01/FX,2)</f>
        <v>0.14</v>
      </c>
      <c r="D1184" s="21" t="s">
        <v>14034</v>
      </c>
      <c r="E1184" s="21" t="s">
        <v>839</v>
      </c>
      <c r="F1184" s="21" t="s">
        <v>719</v>
      </c>
    </row>
    <row r="1185" customFormat="false" ht="15" hidden="false" customHeight="false" outlineLevel="0" collapsed="false">
      <c r="B1185" s="19" t="s">
        <v>14434</v>
      </c>
      <c r="C1185" s="20" t="n">
        <f aca="false">ROUND(1.01/FX,2)</f>
        <v>0.14</v>
      </c>
      <c r="D1185" s="21" t="s">
        <v>13978</v>
      </c>
      <c r="E1185" s="21" t="s">
        <v>789</v>
      </c>
      <c r="F1185" s="21" t="s">
        <v>707</v>
      </c>
    </row>
    <row r="1186" customFormat="false" ht="15" hidden="false" customHeight="false" outlineLevel="0" collapsed="false">
      <c r="B1186" s="19" t="s">
        <v>14435</v>
      </c>
      <c r="C1186" s="20" t="n">
        <f aca="false">ROUND(3.51/FX,2)</f>
        <v>0.49</v>
      </c>
      <c r="D1186" s="21" t="s">
        <v>13732</v>
      </c>
      <c r="E1186" s="21" t="s">
        <v>789</v>
      </c>
      <c r="F1186" s="21" t="s">
        <v>2600</v>
      </c>
    </row>
    <row r="1187" customFormat="false" ht="15" hidden="false" customHeight="false" outlineLevel="0" collapsed="false">
      <c r="B1187" s="19" t="s">
        <v>14436</v>
      </c>
      <c r="C1187" s="20" t="n">
        <f aca="false">ROUND(16.9/FX,2)</f>
        <v>2.35</v>
      </c>
      <c r="D1187" s="21" t="s">
        <v>13732</v>
      </c>
      <c r="E1187" s="21" t="s">
        <v>789</v>
      </c>
      <c r="F1187" s="21" t="s">
        <v>1733</v>
      </c>
    </row>
    <row r="1188" customFormat="false" ht="15" hidden="false" customHeight="false" outlineLevel="0" collapsed="false">
      <c r="B1188" s="19" t="s">
        <v>14437</v>
      </c>
      <c r="C1188" s="20" t="n">
        <f aca="false">ROUND(24.57/FX,2)</f>
        <v>3.41</v>
      </c>
      <c r="D1188" s="21" t="s">
        <v>13732</v>
      </c>
      <c r="E1188" s="21" t="s">
        <v>789</v>
      </c>
      <c r="F1188" s="21" t="s">
        <v>1746</v>
      </c>
    </row>
    <row r="1189" customFormat="false" ht="15" hidden="false" customHeight="false" outlineLevel="0" collapsed="false">
      <c r="B1189" s="19" t="s">
        <v>14438</v>
      </c>
      <c r="C1189" s="20" t="n">
        <f aca="false">ROUND(1.01/FX,2)</f>
        <v>0.14</v>
      </c>
      <c r="D1189" s="21" t="s">
        <v>13978</v>
      </c>
      <c r="E1189" s="21" t="s">
        <v>789</v>
      </c>
      <c r="F1189" s="21" t="s">
        <v>5091</v>
      </c>
    </row>
    <row r="1190" customFormat="false" ht="15" hidden="false" customHeight="false" outlineLevel="0" collapsed="false">
      <c r="B1190" s="19" t="s">
        <v>14439</v>
      </c>
      <c r="C1190" s="20" t="n">
        <f aca="false">ROUND(3.73/FX,2)</f>
        <v>0.52</v>
      </c>
      <c r="D1190" s="21" t="s">
        <v>13732</v>
      </c>
      <c r="E1190" s="21" t="s">
        <v>789</v>
      </c>
      <c r="F1190" s="21" t="s">
        <v>2651</v>
      </c>
    </row>
    <row r="1191" customFormat="false" ht="15" hidden="false" customHeight="false" outlineLevel="0" collapsed="false">
      <c r="B1191" s="19" t="s">
        <v>14440</v>
      </c>
      <c r="C1191" s="20" t="n">
        <f aca="false">ROUND(1.01/FX,2)</f>
        <v>0.14</v>
      </c>
      <c r="D1191" s="21" t="s">
        <v>13978</v>
      </c>
      <c r="E1191" s="21" t="s">
        <v>789</v>
      </c>
      <c r="F1191" s="21" t="s">
        <v>761</v>
      </c>
    </row>
    <row r="1192" customFormat="false" ht="15" hidden="false" customHeight="false" outlineLevel="0" collapsed="false">
      <c r="B1192" s="19" t="s">
        <v>14441</v>
      </c>
      <c r="C1192" s="20" t="n">
        <f aca="false">ROUND(1.04/FX,2)</f>
        <v>0.14</v>
      </c>
      <c r="D1192" s="21" t="s">
        <v>13997</v>
      </c>
      <c r="E1192" s="21" t="s">
        <v>789</v>
      </c>
      <c r="F1192" s="21" t="s">
        <v>4761</v>
      </c>
    </row>
    <row r="1193" customFormat="false" ht="15" hidden="false" customHeight="false" outlineLevel="0" collapsed="false">
      <c r="B1193" s="19" t="s">
        <v>14442</v>
      </c>
      <c r="C1193" s="20" t="n">
        <f aca="false">ROUND(1.01/FX,2)</f>
        <v>0.14</v>
      </c>
      <c r="D1193" s="21" t="s">
        <v>13978</v>
      </c>
      <c r="E1193" s="21" t="s">
        <v>789</v>
      </c>
      <c r="F1193" s="21" t="s">
        <v>4721</v>
      </c>
    </row>
    <row r="1194" customFormat="false" ht="15" hidden="false" customHeight="false" outlineLevel="0" collapsed="false">
      <c r="B1194" s="19" t="s">
        <v>14443</v>
      </c>
      <c r="C1194" s="20" t="n">
        <f aca="false">ROUND(3.25/FX,2)</f>
        <v>0.45</v>
      </c>
      <c r="D1194" s="21" t="s">
        <v>13732</v>
      </c>
      <c r="E1194" s="21" t="s">
        <v>789</v>
      </c>
      <c r="F1194" s="21" t="s">
        <v>2801</v>
      </c>
    </row>
    <row r="1195" customFormat="false" ht="15" hidden="false" customHeight="false" outlineLevel="0" collapsed="false">
      <c r="B1195" s="19" t="s">
        <v>14444</v>
      </c>
      <c r="C1195" s="20" t="n">
        <f aca="false">ROUND(4.55/FX,2)</f>
        <v>0.63</v>
      </c>
      <c r="D1195" s="21" t="s">
        <v>13732</v>
      </c>
      <c r="E1195" s="21" t="s">
        <v>789</v>
      </c>
      <c r="F1195" s="21" t="s">
        <v>2841</v>
      </c>
    </row>
    <row r="1196" customFormat="false" ht="15" hidden="false" customHeight="false" outlineLevel="0" collapsed="false">
      <c r="B1196" s="19" t="s">
        <v>14445</v>
      </c>
      <c r="C1196" s="20" t="n">
        <f aca="false">ROUND(1.01/FX,2)</f>
        <v>0.14</v>
      </c>
      <c r="D1196" s="21" t="s">
        <v>13978</v>
      </c>
      <c r="E1196" s="21" t="s">
        <v>789</v>
      </c>
      <c r="F1196" s="21" t="s">
        <v>714</v>
      </c>
    </row>
    <row r="1197" customFormat="false" ht="15" hidden="false" customHeight="false" outlineLevel="0" collapsed="false">
      <c r="B1197" s="19" t="s">
        <v>14446</v>
      </c>
      <c r="C1197" s="20" t="n">
        <f aca="false">ROUND(4.62/FX,2)</f>
        <v>0.64</v>
      </c>
      <c r="D1197" s="21" t="s">
        <v>13732</v>
      </c>
      <c r="E1197" s="21" t="s">
        <v>789</v>
      </c>
      <c r="F1197" s="21" t="s">
        <v>2851</v>
      </c>
    </row>
    <row r="1198" customFormat="false" ht="15" hidden="false" customHeight="false" outlineLevel="0" collapsed="false">
      <c r="B1198" s="19" t="s">
        <v>14447</v>
      </c>
      <c r="C1198" s="20" t="n">
        <f aca="false">ROUND(1/FX,2)</f>
        <v>0.14</v>
      </c>
      <c r="D1198" s="21" t="s">
        <v>13988</v>
      </c>
      <c r="E1198" s="21" t="s">
        <v>789</v>
      </c>
      <c r="F1198" s="21" t="s">
        <v>3833</v>
      </c>
    </row>
    <row r="1199" customFormat="false" ht="15" hidden="false" customHeight="false" outlineLevel="0" collapsed="false">
      <c r="B1199" s="19" t="s">
        <v>14448</v>
      </c>
      <c r="C1199" s="20" t="n">
        <f aca="false">ROUND(4.84/FX,2)</f>
        <v>0.67</v>
      </c>
      <c r="D1199" s="21" t="s">
        <v>13732</v>
      </c>
      <c r="E1199" s="21" t="s">
        <v>789</v>
      </c>
      <c r="F1199" s="21" t="s">
        <v>2901</v>
      </c>
    </row>
    <row r="1200" customFormat="false" ht="15" hidden="false" customHeight="false" outlineLevel="0" collapsed="false">
      <c r="B1200" s="19" t="s">
        <v>14449</v>
      </c>
      <c r="C1200" s="20" t="n">
        <f aca="false">ROUND(4.94/FX,2)</f>
        <v>0.69</v>
      </c>
      <c r="D1200" s="21" t="s">
        <v>13732</v>
      </c>
      <c r="E1200" s="21" t="s">
        <v>789</v>
      </c>
      <c r="F1200" s="21" t="s">
        <v>3881</v>
      </c>
    </row>
    <row r="1201" customFormat="false" ht="15" hidden="false" customHeight="false" outlineLevel="0" collapsed="false">
      <c r="B1201" s="19" t="s">
        <v>14450</v>
      </c>
      <c r="C1201" s="20" t="n">
        <f aca="false">ROUND(1.04/FX,2)</f>
        <v>0.14</v>
      </c>
      <c r="D1201" s="21" t="s">
        <v>13997</v>
      </c>
      <c r="E1201" s="21" t="s">
        <v>789</v>
      </c>
      <c r="F1201" s="21" t="s">
        <v>5492</v>
      </c>
    </row>
    <row r="1202" customFormat="false" ht="15" hidden="false" customHeight="false" outlineLevel="0" collapsed="false">
      <c r="B1202" s="19" t="s">
        <v>14451</v>
      </c>
      <c r="C1202" s="20" t="n">
        <f aca="false">ROUND(4.06/FX,2)</f>
        <v>0.56</v>
      </c>
      <c r="D1202" s="21" t="s">
        <v>13732</v>
      </c>
      <c r="E1202" s="21" t="s">
        <v>789</v>
      </c>
      <c r="F1202" s="21" t="s">
        <v>883</v>
      </c>
    </row>
    <row r="1203" customFormat="false" ht="15" hidden="false" customHeight="false" outlineLevel="0" collapsed="false">
      <c r="B1203" s="19" t="s">
        <v>14452</v>
      </c>
      <c r="C1203" s="20" t="n">
        <f aca="false">ROUND(1.04/FX,2)</f>
        <v>0.14</v>
      </c>
      <c r="D1203" s="21" t="s">
        <v>13997</v>
      </c>
      <c r="E1203" s="21" t="s">
        <v>789</v>
      </c>
      <c r="F1203" s="21" t="s">
        <v>4000</v>
      </c>
    </row>
    <row r="1204" customFormat="false" ht="15" hidden="false" customHeight="false" outlineLevel="0" collapsed="false">
      <c r="B1204" s="19" t="s">
        <v>14453</v>
      </c>
      <c r="C1204" s="20" t="n">
        <f aca="false">ROUND(1.04/FX,2)</f>
        <v>0.14</v>
      </c>
      <c r="D1204" s="21" t="s">
        <v>14056</v>
      </c>
      <c r="E1204" s="21" t="s">
        <v>789</v>
      </c>
      <c r="F1204" s="21" t="s">
        <v>6940</v>
      </c>
    </row>
    <row r="1205" customFormat="false" ht="15" hidden="false" customHeight="false" outlineLevel="0" collapsed="false">
      <c r="B1205" s="19" t="s">
        <v>14454</v>
      </c>
      <c r="C1205" s="20" t="n">
        <f aca="false">ROUND(1/FX,2)</f>
        <v>0.14</v>
      </c>
      <c r="D1205" s="21" t="s">
        <v>13988</v>
      </c>
      <c r="E1205" s="21" t="s">
        <v>789</v>
      </c>
      <c r="F1205" s="21" t="s">
        <v>3247</v>
      </c>
    </row>
    <row r="1206" customFormat="false" ht="15" hidden="false" customHeight="false" outlineLevel="0" collapsed="false">
      <c r="B1206" s="19" t="s">
        <v>14455</v>
      </c>
      <c r="C1206" s="20" t="n">
        <f aca="false">ROUND(4.42/FX,2)</f>
        <v>0.61</v>
      </c>
      <c r="D1206" s="21" t="s">
        <v>13732</v>
      </c>
      <c r="E1206" s="21" t="s">
        <v>789</v>
      </c>
      <c r="F1206" s="21" t="s">
        <v>1048</v>
      </c>
    </row>
    <row r="1207" customFormat="false" ht="15" hidden="false" customHeight="false" outlineLevel="0" collapsed="false">
      <c r="B1207" s="19" t="s">
        <v>14456</v>
      </c>
      <c r="C1207" s="20" t="n">
        <f aca="false">ROUND(4.59/FX,2)</f>
        <v>0.64</v>
      </c>
      <c r="D1207" s="21" t="s">
        <v>13732</v>
      </c>
      <c r="E1207" s="21" t="s">
        <v>789</v>
      </c>
      <c r="F1207" s="21" t="s">
        <v>3947</v>
      </c>
    </row>
    <row r="1208" customFormat="false" ht="15" hidden="false" customHeight="false" outlineLevel="0" collapsed="false">
      <c r="B1208" s="19" t="s">
        <v>14457</v>
      </c>
      <c r="C1208" s="20" t="n">
        <f aca="false">ROUND(1.17/FX,2)</f>
        <v>0.16</v>
      </c>
      <c r="D1208" s="21" t="s">
        <v>14007</v>
      </c>
      <c r="E1208" s="21" t="s">
        <v>789</v>
      </c>
      <c r="F1208" s="21" t="s">
        <v>13852</v>
      </c>
    </row>
    <row r="1209" customFormat="false" ht="15" hidden="false" customHeight="false" outlineLevel="0" collapsed="false">
      <c r="B1209" s="19" t="s">
        <v>14458</v>
      </c>
      <c r="C1209" s="20" t="n">
        <f aca="false">ROUND(1.09/FX,2)</f>
        <v>0.15</v>
      </c>
      <c r="D1209" s="21" t="s">
        <v>14016</v>
      </c>
      <c r="E1209" s="21" t="s">
        <v>789</v>
      </c>
      <c r="F1209" s="21" t="s">
        <v>5097</v>
      </c>
    </row>
    <row r="1210" customFormat="false" ht="15" hidden="false" customHeight="false" outlineLevel="0" collapsed="false">
      <c r="B1210" s="19" t="s">
        <v>14459</v>
      </c>
      <c r="C1210" s="20" t="n">
        <f aca="false">ROUND(4.73/FX,2)</f>
        <v>0.66</v>
      </c>
      <c r="D1210" s="21" t="s">
        <v>13732</v>
      </c>
      <c r="E1210" s="21" t="s">
        <v>789</v>
      </c>
      <c r="F1210" s="21" t="s">
        <v>1158</v>
      </c>
    </row>
    <row r="1211" customFormat="false" ht="15" hidden="false" customHeight="false" outlineLevel="0" collapsed="false">
      <c r="B1211" s="19" t="s">
        <v>14460</v>
      </c>
      <c r="C1211" s="20" t="n">
        <f aca="false">ROUND(6.24/FX,2)</f>
        <v>0.87</v>
      </c>
      <c r="D1211" s="21" t="s">
        <v>13732</v>
      </c>
      <c r="E1211" s="21" t="s">
        <v>789</v>
      </c>
      <c r="F1211" s="21" t="s">
        <v>3991</v>
      </c>
    </row>
    <row r="1212" customFormat="false" ht="15" hidden="false" customHeight="false" outlineLevel="0" collapsed="false">
      <c r="B1212" s="19" t="s">
        <v>14461</v>
      </c>
      <c r="C1212" s="20" t="n">
        <f aca="false">ROUND(1.04/FX,2)</f>
        <v>0.14</v>
      </c>
      <c r="D1212" s="21" t="s">
        <v>14013</v>
      </c>
      <c r="E1212" s="21" t="s">
        <v>789</v>
      </c>
      <c r="F1212" s="21" t="s">
        <v>7020</v>
      </c>
    </row>
    <row r="1213" customFormat="false" ht="15" hidden="false" customHeight="false" outlineLevel="0" collapsed="false">
      <c r="B1213" s="19" t="s">
        <v>14462</v>
      </c>
      <c r="C1213" s="20" t="n">
        <f aca="false">ROUND(4.63/FX,2)</f>
        <v>0.64</v>
      </c>
      <c r="D1213" s="21" t="s">
        <v>13732</v>
      </c>
      <c r="E1213" s="21" t="s">
        <v>789</v>
      </c>
      <c r="F1213" s="21" t="s">
        <v>1213</v>
      </c>
    </row>
    <row r="1214" customFormat="false" ht="15" hidden="false" customHeight="false" outlineLevel="0" collapsed="false">
      <c r="B1214" s="19" t="s">
        <v>14463</v>
      </c>
      <c r="C1214" s="20" t="n">
        <f aca="false">ROUND(1.05/FX,2)</f>
        <v>0.15</v>
      </c>
      <c r="D1214" s="21" t="s">
        <v>14016</v>
      </c>
      <c r="E1214" s="21" t="s">
        <v>789</v>
      </c>
      <c r="F1214" s="21" t="s">
        <v>6723</v>
      </c>
    </row>
    <row r="1215" customFormat="false" ht="15" hidden="false" customHeight="false" outlineLevel="0" collapsed="false">
      <c r="B1215" s="19" t="s">
        <v>14464</v>
      </c>
      <c r="C1215" s="20" t="n">
        <f aca="false">ROUND(4.78/FX,2)</f>
        <v>0.66</v>
      </c>
      <c r="D1215" s="21" t="s">
        <v>13732</v>
      </c>
      <c r="E1215" s="21" t="s">
        <v>789</v>
      </c>
      <c r="F1215" s="21" t="s">
        <v>1268</v>
      </c>
    </row>
    <row r="1216" customFormat="false" ht="15" hidden="false" customHeight="false" outlineLevel="0" collapsed="false">
      <c r="B1216" s="19" t="s">
        <v>14465</v>
      </c>
      <c r="C1216" s="20" t="n">
        <f aca="false">ROUND(1.04/FX,2)</f>
        <v>0.14</v>
      </c>
      <c r="D1216" s="21" t="s">
        <v>14056</v>
      </c>
      <c r="E1216" s="21" t="s">
        <v>789</v>
      </c>
      <c r="F1216" s="21" t="s">
        <v>3317</v>
      </c>
    </row>
    <row r="1217" customFormat="false" ht="15" hidden="false" customHeight="false" outlineLevel="0" collapsed="false">
      <c r="B1217" s="19" t="s">
        <v>14466</v>
      </c>
      <c r="C1217" s="20" t="n">
        <f aca="false">ROUND(5.2/FX,2)</f>
        <v>0.72</v>
      </c>
      <c r="D1217" s="21" t="s">
        <v>13732</v>
      </c>
      <c r="E1217" s="21" t="s">
        <v>789</v>
      </c>
      <c r="F1217" s="21" t="s">
        <v>1323</v>
      </c>
    </row>
    <row r="1218" customFormat="false" ht="15" hidden="false" customHeight="false" outlineLevel="0" collapsed="false">
      <c r="B1218" s="19" t="s">
        <v>14467</v>
      </c>
      <c r="C1218" s="20" t="n">
        <f aca="false">ROUND(5.2/FX,2)</f>
        <v>0.72</v>
      </c>
      <c r="D1218" s="21" t="s">
        <v>13732</v>
      </c>
      <c r="E1218" s="21" t="s">
        <v>789</v>
      </c>
      <c r="F1218" s="21" t="s">
        <v>1356</v>
      </c>
    </row>
    <row r="1219" customFormat="false" ht="15" hidden="false" customHeight="false" outlineLevel="0" collapsed="false">
      <c r="B1219" s="19" t="s">
        <v>14468</v>
      </c>
      <c r="C1219" s="20" t="n">
        <f aca="false">ROUND(1.09/FX,2)</f>
        <v>0.15</v>
      </c>
      <c r="D1219" s="21" t="s">
        <v>13994</v>
      </c>
      <c r="E1219" s="21" t="s">
        <v>789</v>
      </c>
      <c r="F1219" s="21" t="s">
        <v>7061</v>
      </c>
    </row>
    <row r="1220" customFormat="false" ht="15" hidden="false" customHeight="false" outlineLevel="0" collapsed="false">
      <c r="B1220" s="19" t="s">
        <v>14469</v>
      </c>
      <c r="C1220" s="20" t="n">
        <f aca="false">ROUND(7.05/FX,2)</f>
        <v>0.98</v>
      </c>
      <c r="D1220" s="21" t="s">
        <v>13732</v>
      </c>
      <c r="E1220" s="21" t="s">
        <v>789</v>
      </c>
      <c r="F1220" s="21" t="s">
        <v>1378</v>
      </c>
    </row>
    <row r="1221" customFormat="false" ht="15" hidden="false" customHeight="false" outlineLevel="0" collapsed="false">
      <c r="B1221" s="19" t="s">
        <v>14470</v>
      </c>
      <c r="C1221" s="20" t="n">
        <f aca="false">ROUND(1.09/FX,2)</f>
        <v>0.15</v>
      </c>
      <c r="D1221" s="21" t="s">
        <v>13994</v>
      </c>
      <c r="E1221" s="21" t="s">
        <v>789</v>
      </c>
      <c r="F1221" s="21" t="s">
        <v>13774</v>
      </c>
    </row>
    <row r="1222" customFormat="false" ht="15" hidden="false" customHeight="false" outlineLevel="0" collapsed="false">
      <c r="B1222" s="19" t="s">
        <v>14471</v>
      </c>
      <c r="C1222" s="20" t="n">
        <f aca="false">ROUND(7.27/FX,2)</f>
        <v>1.01</v>
      </c>
      <c r="D1222" s="21" t="s">
        <v>13732</v>
      </c>
      <c r="E1222" s="21" t="s">
        <v>789</v>
      </c>
      <c r="F1222" s="21" t="s">
        <v>1433</v>
      </c>
    </row>
    <row r="1223" customFormat="false" ht="15" hidden="false" customHeight="false" outlineLevel="0" collapsed="false">
      <c r="B1223" s="19" t="s">
        <v>14472</v>
      </c>
      <c r="C1223" s="20" t="n">
        <f aca="false">ROUND(1.09/FX,2)</f>
        <v>0.15</v>
      </c>
      <c r="D1223" s="21" t="s">
        <v>13994</v>
      </c>
      <c r="E1223" s="21" t="s">
        <v>789</v>
      </c>
      <c r="F1223" s="21" t="s">
        <v>6768</v>
      </c>
    </row>
    <row r="1224" customFormat="false" ht="15" hidden="false" customHeight="false" outlineLevel="0" collapsed="false">
      <c r="B1224" s="19" t="s">
        <v>14473</v>
      </c>
      <c r="C1224" s="20" t="n">
        <f aca="false">ROUND(7.49/FX,2)</f>
        <v>1.04</v>
      </c>
      <c r="D1224" s="21" t="s">
        <v>13732</v>
      </c>
      <c r="E1224" s="21" t="s">
        <v>789</v>
      </c>
      <c r="F1224" s="21" t="s">
        <v>1470</v>
      </c>
    </row>
    <row r="1225" customFormat="false" ht="15" hidden="false" customHeight="false" outlineLevel="0" collapsed="false">
      <c r="B1225" s="19" t="s">
        <v>14474</v>
      </c>
      <c r="C1225" s="20" t="n">
        <f aca="false">ROUND(1.17/FX,2)</f>
        <v>0.16</v>
      </c>
      <c r="D1225" s="21" t="s">
        <v>13751</v>
      </c>
      <c r="E1225" s="21" t="s">
        <v>789</v>
      </c>
      <c r="F1225" s="21" t="s">
        <v>14008</v>
      </c>
    </row>
    <row r="1226" customFormat="false" ht="15" hidden="false" customHeight="false" outlineLevel="0" collapsed="false">
      <c r="B1226" s="19" t="s">
        <v>14475</v>
      </c>
      <c r="C1226" s="20" t="n">
        <f aca="false">ROUND(1.43/FX,2)</f>
        <v>0.2</v>
      </c>
      <c r="D1226" s="21" t="s">
        <v>13997</v>
      </c>
      <c r="E1226" s="21" t="s">
        <v>789</v>
      </c>
      <c r="F1226" s="21" t="s">
        <v>784</v>
      </c>
    </row>
    <row r="1227" customFormat="false" ht="15" hidden="false" customHeight="false" outlineLevel="0" collapsed="false">
      <c r="B1227" s="19" t="s">
        <v>14476</v>
      </c>
      <c r="C1227" s="20" t="n">
        <f aca="false">ROUND(7.93/FX,2)</f>
        <v>1.1</v>
      </c>
      <c r="D1227" s="21" t="s">
        <v>13732</v>
      </c>
      <c r="E1227" s="21" t="s">
        <v>789</v>
      </c>
      <c r="F1227" s="21" t="s">
        <v>1520</v>
      </c>
    </row>
    <row r="1228" customFormat="false" ht="15" hidden="false" customHeight="false" outlineLevel="0" collapsed="false">
      <c r="B1228" s="19" t="s">
        <v>14477</v>
      </c>
      <c r="C1228" s="20" t="n">
        <f aca="false">ROUND(1.01/FX,2)</f>
        <v>0.14</v>
      </c>
      <c r="D1228" s="21" t="s">
        <v>14007</v>
      </c>
      <c r="E1228" s="21" t="s">
        <v>789</v>
      </c>
      <c r="F1228" s="21" t="s">
        <v>6244</v>
      </c>
    </row>
    <row r="1229" customFormat="false" ht="15" hidden="false" customHeight="false" outlineLevel="0" collapsed="false">
      <c r="B1229" s="19" t="s">
        <v>14478</v>
      </c>
      <c r="C1229" s="20" t="n">
        <f aca="false">ROUND(8.37/FX,2)</f>
        <v>1.16</v>
      </c>
      <c r="D1229" s="21" t="s">
        <v>13732</v>
      </c>
      <c r="E1229" s="21" t="s">
        <v>789</v>
      </c>
      <c r="F1229" s="21" t="s">
        <v>1570</v>
      </c>
    </row>
    <row r="1230" customFormat="false" ht="15" hidden="false" customHeight="false" outlineLevel="0" collapsed="false">
      <c r="B1230" s="19" t="s">
        <v>14479</v>
      </c>
      <c r="C1230" s="20" t="n">
        <f aca="false">ROUND(1.09/FX,2)</f>
        <v>0.15</v>
      </c>
      <c r="D1230" s="21" t="s">
        <v>14007</v>
      </c>
      <c r="E1230" s="21" t="s">
        <v>789</v>
      </c>
      <c r="F1230" s="21" t="s">
        <v>13781</v>
      </c>
    </row>
    <row r="1231" customFormat="false" ht="15" hidden="false" customHeight="false" outlineLevel="0" collapsed="false">
      <c r="B1231" s="19" t="s">
        <v>14480</v>
      </c>
      <c r="C1231" s="20" t="n">
        <f aca="false">ROUND(1.17/FX,2)</f>
        <v>0.16</v>
      </c>
      <c r="D1231" s="21" t="s">
        <v>13751</v>
      </c>
      <c r="E1231" s="21" t="s">
        <v>789</v>
      </c>
      <c r="F1231" s="21" t="s">
        <v>6805</v>
      </c>
    </row>
    <row r="1232" customFormat="false" ht="15" hidden="false" customHeight="false" outlineLevel="0" collapsed="false">
      <c r="B1232" s="19" t="s">
        <v>14481</v>
      </c>
      <c r="C1232" s="20" t="n">
        <f aca="false">ROUND(0.84/FX,2)</f>
        <v>0.12</v>
      </c>
      <c r="D1232" s="21" t="s">
        <v>13743</v>
      </c>
      <c r="E1232" s="21" t="s">
        <v>789</v>
      </c>
      <c r="F1232" s="21" t="s">
        <v>3328</v>
      </c>
    </row>
    <row r="1233" customFormat="false" ht="15" hidden="false" customHeight="false" outlineLevel="0" collapsed="false">
      <c r="B1233" s="19" t="s">
        <v>14482</v>
      </c>
      <c r="C1233" s="20" t="n">
        <f aca="false">ROUND(9.04/FX,2)</f>
        <v>1.26</v>
      </c>
      <c r="D1233" s="21" t="s">
        <v>13732</v>
      </c>
      <c r="E1233" s="21" t="s">
        <v>789</v>
      </c>
      <c r="F1233" s="21" t="s">
        <v>1635</v>
      </c>
    </row>
    <row r="1234" customFormat="false" ht="15" hidden="false" customHeight="false" outlineLevel="0" collapsed="false">
      <c r="B1234" s="19" t="s">
        <v>14483</v>
      </c>
      <c r="C1234" s="20" t="n">
        <f aca="false">ROUND(1.37/FX,2)</f>
        <v>0.19</v>
      </c>
      <c r="D1234" s="21" t="s">
        <v>13751</v>
      </c>
      <c r="E1234" s="21" t="s">
        <v>789</v>
      </c>
      <c r="F1234" s="21" t="s">
        <v>6730</v>
      </c>
    </row>
    <row r="1235" customFormat="false" ht="15" hidden="false" customHeight="false" outlineLevel="0" collapsed="false">
      <c r="B1235" s="19" t="s">
        <v>14484</v>
      </c>
      <c r="C1235" s="20" t="n">
        <f aca="false">ROUND(9.26/FX,2)</f>
        <v>1.29</v>
      </c>
      <c r="D1235" s="21" t="s">
        <v>13732</v>
      </c>
      <c r="E1235" s="21" t="s">
        <v>789</v>
      </c>
      <c r="F1235" s="21" t="s">
        <v>1655</v>
      </c>
    </row>
    <row r="1236" customFormat="false" ht="15" hidden="false" customHeight="false" outlineLevel="0" collapsed="false">
      <c r="B1236" s="19" t="s">
        <v>14485</v>
      </c>
      <c r="C1236" s="20" t="n">
        <f aca="false">ROUND(1.17/FX,2)</f>
        <v>0.16</v>
      </c>
      <c r="D1236" s="21" t="s">
        <v>14007</v>
      </c>
      <c r="E1236" s="21" t="s">
        <v>789</v>
      </c>
      <c r="F1236" s="21" t="s">
        <v>13791</v>
      </c>
    </row>
    <row r="1237" customFormat="false" ht="15" hidden="false" customHeight="false" outlineLevel="0" collapsed="false">
      <c r="B1237" s="19" t="s">
        <v>14486</v>
      </c>
      <c r="C1237" s="20" t="n">
        <f aca="false">ROUND(9.48/FX,2)</f>
        <v>1.32</v>
      </c>
      <c r="D1237" s="21" t="s">
        <v>13732</v>
      </c>
      <c r="E1237" s="21" t="s">
        <v>789</v>
      </c>
      <c r="F1237" s="21" t="s">
        <v>1670</v>
      </c>
    </row>
    <row r="1238" customFormat="false" ht="15" hidden="false" customHeight="false" outlineLevel="0" collapsed="false">
      <c r="B1238" s="19" t="s">
        <v>14487</v>
      </c>
      <c r="C1238" s="20" t="n">
        <f aca="false">ROUND(1.3/FX,2)</f>
        <v>0.18</v>
      </c>
      <c r="D1238" s="21" t="s">
        <v>14013</v>
      </c>
      <c r="E1238" s="21" t="s">
        <v>789</v>
      </c>
      <c r="F1238" s="21" t="s">
        <v>5496</v>
      </c>
    </row>
    <row r="1239" customFormat="false" ht="15" hidden="false" customHeight="false" outlineLevel="0" collapsed="false">
      <c r="B1239" s="19" t="s">
        <v>14488</v>
      </c>
      <c r="C1239" s="20" t="n">
        <f aca="false">ROUND(7.23/FX,2)</f>
        <v>1</v>
      </c>
      <c r="D1239" s="21" t="s">
        <v>13732</v>
      </c>
      <c r="E1239" s="21" t="s">
        <v>789</v>
      </c>
      <c r="F1239" s="21" t="s">
        <v>1685</v>
      </c>
    </row>
    <row r="1240" customFormat="false" ht="15" hidden="false" customHeight="false" outlineLevel="0" collapsed="false">
      <c r="B1240" s="19" t="s">
        <v>14489</v>
      </c>
      <c r="C1240" s="20" t="n">
        <f aca="false">ROUND(7.38/FX,2)</f>
        <v>1.03</v>
      </c>
      <c r="D1240" s="21" t="s">
        <v>13732</v>
      </c>
      <c r="E1240" s="21" t="s">
        <v>789</v>
      </c>
      <c r="F1240" s="21" t="s">
        <v>1982</v>
      </c>
    </row>
    <row r="1241" customFormat="false" ht="15" hidden="false" customHeight="false" outlineLevel="0" collapsed="false">
      <c r="B1241" s="19" t="s">
        <v>14490</v>
      </c>
      <c r="C1241" s="20" t="n">
        <f aca="false">ROUND(1.82/FX,2)</f>
        <v>0.25</v>
      </c>
      <c r="D1241" s="21" t="s">
        <v>13739</v>
      </c>
      <c r="E1241" s="21" t="s">
        <v>789</v>
      </c>
      <c r="F1241" s="21" t="s">
        <v>841</v>
      </c>
    </row>
    <row r="1242" customFormat="false" ht="15" hidden="false" customHeight="false" outlineLevel="0" collapsed="false">
      <c r="B1242" s="19" t="s">
        <v>14491</v>
      </c>
      <c r="C1242" s="20" t="n">
        <f aca="false">ROUND(1.04/FX,2)</f>
        <v>0.14</v>
      </c>
      <c r="D1242" s="21" t="s">
        <v>13739</v>
      </c>
      <c r="E1242" s="21" t="s">
        <v>789</v>
      </c>
      <c r="F1242" s="21" t="s">
        <v>14492</v>
      </c>
    </row>
    <row r="1243" customFormat="false" ht="15" hidden="false" customHeight="false" outlineLevel="0" collapsed="false">
      <c r="B1243" s="19" t="s">
        <v>14493</v>
      </c>
      <c r="C1243" s="20" t="n">
        <f aca="false">ROUND(1.15/FX,2)</f>
        <v>0.16</v>
      </c>
      <c r="D1243" s="21" t="s">
        <v>14007</v>
      </c>
      <c r="E1243" s="21" t="s">
        <v>789</v>
      </c>
      <c r="F1243" s="21" t="s">
        <v>6246</v>
      </c>
    </row>
    <row r="1244" customFormat="false" ht="15" hidden="false" customHeight="false" outlineLevel="0" collapsed="false">
      <c r="B1244" s="19" t="s">
        <v>14494</v>
      </c>
      <c r="C1244" s="20" t="n">
        <f aca="false">ROUND(7.54/FX,2)</f>
        <v>1.05</v>
      </c>
      <c r="D1244" s="21" t="s">
        <v>13732</v>
      </c>
      <c r="E1244" s="21" t="s">
        <v>789</v>
      </c>
      <c r="F1244" s="21" t="s">
        <v>2002</v>
      </c>
    </row>
    <row r="1245" customFormat="false" ht="15" hidden="false" customHeight="false" outlineLevel="0" collapsed="false">
      <c r="B1245" s="19" t="s">
        <v>14495</v>
      </c>
      <c r="C1245" s="20" t="n">
        <f aca="false">ROUND(1.3/FX,2)</f>
        <v>0.18</v>
      </c>
      <c r="D1245" s="21" t="s">
        <v>13732</v>
      </c>
      <c r="E1245" s="21" t="s">
        <v>789</v>
      </c>
      <c r="F1245" s="21" t="s">
        <v>14024</v>
      </c>
    </row>
    <row r="1246" customFormat="false" ht="15" hidden="false" customHeight="false" outlineLevel="0" collapsed="false">
      <c r="B1246" s="19" t="s">
        <v>14496</v>
      </c>
      <c r="C1246" s="20" t="n">
        <f aca="false">ROUND(1.25/FX,2)</f>
        <v>0.17</v>
      </c>
      <c r="D1246" s="21" t="s">
        <v>14013</v>
      </c>
      <c r="E1246" s="21" t="s">
        <v>789</v>
      </c>
      <c r="F1246" s="21" t="s">
        <v>14497</v>
      </c>
    </row>
    <row r="1247" customFormat="false" ht="15" hidden="false" customHeight="false" outlineLevel="0" collapsed="false">
      <c r="B1247" s="19" t="s">
        <v>14498</v>
      </c>
      <c r="C1247" s="20" t="n">
        <f aca="false">ROUND(10.8/FX,2)</f>
        <v>1.5</v>
      </c>
      <c r="D1247" s="21" t="s">
        <v>13732</v>
      </c>
      <c r="E1247" s="21" t="s">
        <v>789</v>
      </c>
      <c r="F1247" s="21" t="s">
        <v>2037</v>
      </c>
    </row>
    <row r="1248" customFormat="false" ht="15" hidden="false" customHeight="false" outlineLevel="0" collapsed="false">
      <c r="B1248" s="19" t="s">
        <v>14499</v>
      </c>
      <c r="C1248" s="20" t="n">
        <f aca="false">ROUND(1.17/FX,2)</f>
        <v>0.16</v>
      </c>
      <c r="D1248" s="21" t="s">
        <v>13739</v>
      </c>
      <c r="E1248" s="21" t="s">
        <v>789</v>
      </c>
      <c r="F1248" s="21" t="s">
        <v>14216</v>
      </c>
    </row>
    <row r="1249" customFormat="false" ht="15" hidden="false" customHeight="false" outlineLevel="0" collapsed="false">
      <c r="B1249" s="19" t="s">
        <v>14500</v>
      </c>
      <c r="C1249" s="20" t="n">
        <f aca="false">ROUND(0.2/FX,2)</f>
        <v>0.03</v>
      </c>
      <c r="D1249" s="21" t="s">
        <v>13732</v>
      </c>
      <c r="E1249" s="21" t="s">
        <v>789</v>
      </c>
      <c r="F1249" s="21" t="s">
        <v>7358</v>
      </c>
    </row>
    <row r="1250" customFormat="false" ht="15" hidden="false" customHeight="false" outlineLevel="0" collapsed="false">
      <c r="B1250" s="19" t="s">
        <v>14501</v>
      </c>
      <c r="C1250" s="20" t="n">
        <f aca="false">ROUND(8.32/FX,2)</f>
        <v>1.16</v>
      </c>
      <c r="D1250" s="21" t="s">
        <v>13732</v>
      </c>
      <c r="E1250" s="21" t="s">
        <v>789</v>
      </c>
      <c r="F1250" s="21" t="s">
        <v>2067</v>
      </c>
    </row>
    <row r="1251" customFormat="false" ht="15" hidden="false" customHeight="false" outlineLevel="0" collapsed="false">
      <c r="B1251" s="19" t="s">
        <v>14502</v>
      </c>
      <c r="C1251" s="20" t="n">
        <f aca="false">ROUND(8.4/FX,2)</f>
        <v>1.17</v>
      </c>
      <c r="D1251" s="21" t="s">
        <v>13732</v>
      </c>
      <c r="E1251" s="21" t="s">
        <v>789</v>
      </c>
      <c r="F1251" s="21" t="s">
        <v>5214</v>
      </c>
    </row>
    <row r="1252" customFormat="false" ht="15" hidden="false" customHeight="false" outlineLevel="0" collapsed="false">
      <c r="B1252" s="19" t="s">
        <v>14503</v>
      </c>
      <c r="C1252" s="20" t="n">
        <f aca="false">ROUND(1.43/FX,2)</f>
        <v>0.2</v>
      </c>
      <c r="D1252" s="21" t="s">
        <v>13739</v>
      </c>
      <c r="E1252" s="21" t="s">
        <v>789</v>
      </c>
      <c r="F1252" s="21" t="s">
        <v>14417</v>
      </c>
    </row>
    <row r="1253" customFormat="false" ht="15" hidden="false" customHeight="false" outlineLevel="0" collapsed="false">
      <c r="B1253" s="19" t="s">
        <v>14504</v>
      </c>
      <c r="C1253" s="20" t="n">
        <f aca="false">ROUND(1.05/FX,2)</f>
        <v>0.15</v>
      </c>
      <c r="D1253" s="21" t="s">
        <v>14016</v>
      </c>
      <c r="E1253" s="21" t="s">
        <v>789</v>
      </c>
      <c r="F1253" s="21" t="s">
        <v>789</v>
      </c>
    </row>
    <row r="1254" customFormat="false" ht="15" hidden="false" customHeight="false" outlineLevel="0" collapsed="false">
      <c r="B1254" s="19" t="s">
        <v>14505</v>
      </c>
      <c r="C1254" s="20" t="n">
        <f aca="false">ROUND(0.18/FX,2)</f>
        <v>0.03</v>
      </c>
      <c r="D1254" s="21" t="s">
        <v>13732</v>
      </c>
      <c r="E1254" s="21" t="s">
        <v>789</v>
      </c>
      <c r="F1254" s="21" t="s">
        <v>2911</v>
      </c>
    </row>
    <row r="1255" customFormat="false" ht="15" hidden="false" customHeight="false" outlineLevel="0" collapsed="false">
      <c r="B1255" s="19" t="s">
        <v>14506</v>
      </c>
      <c r="C1255" s="20" t="n">
        <f aca="false">ROUND(9.1/FX,2)</f>
        <v>1.26</v>
      </c>
      <c r="D1255" s="21" t="s">
        <v>13732</v>
      </c>
      <c r="E1255" s="21" t="s">
        <v>789</v>
      </c>
      <c r="F1255" s="21" t="s">
        <v>2142</v>
      </c>
    </row>
    <row r="1256" customFormat="false" ht="15" hidden="false" customHeight="false" outlineLevel="0" collapsed="false">
      <c r="B1256" s="19" t="s">
        <v>14507</v>
      </c>
      <c r="C1256" s="20" t="n">
        <f aca="false">ROUND(9.49/FX,2)</f>
        <v>1.32</v>
      </c>
      <c r="D1256" s="21" t="s">
        <v>13732</v>
      </c>
      <c r="E1256" s="21" t="s">
        <v>789</v>
      </c>
      <c r="F1256" s="21" t="s">
        <v>3675</v>
      </c>
    </row>
    <row r="1257" customFormat="false" ht="15" hidden="false" customHeight="false" outlineLevel="0" collapsed="false">
      <c r="B1257" s="19" t="s">
        <v>14508</v>
      </c>
      <c r="C1257" s="20" t="n">
        <f aca="false">ROUND(1.63/FX,2)</f>
        <v>0.23</v>
      </c>
      <c r="D1257" s="21" t="s">
        <v>14013</v>
      </c>
      <c r="E1257" s="21" t="s">
        <v>789</v>
      </c>
      <c r="F1257" s="21" t="s">
        <v>7275</v>
      </c>
    </row>
    <row r="1258" customFormat="false" ht="15" hidden="false" customHeight="false" outlineLevel="0" collapsed="false">
      <c r="B1258" s="19" t="s">
        <v>14509</v>
      </c>
      <c r="C1258" s="20" t="n">
        <f aca="false">ROUND(9.88/FX,2)</f>
        <v>1.37</v>
      </c>
      <c r="D1258" s="21" t="s">
        <v>13732</v>
      </c>
      <c r="E1258" s="21" t="s">
        <v>789</v>
      </c>
      <c r="F1258" s="21" t="s">
        <v>2187</v>
      </c>
    </row>
    <row r="1259" customFormat="false" ht="15" hidden="false" customHeight="false" outlineLevel="0" collapsed="false">
      <c r="B1259" s="19" t="s">
        <v>14510</v>
      </c>
      <c r="C1259" s="20" t="n">
        <f aca="false">ROUND(1.01/FX,2)</f>
        <v>0.14</v>
      </c>
      <c r="D1259" s="21" t="s">
        <v>13978</v>
      </c>
      <c r="E1259" s="21" t="s">
        <v>789</v>
      </c>
      <c r="F1259" s="21" t="s">
        <v>716</v>
      </c>
    </row>
    <row r="1260" customFormat="false" ht="15" hidden="false" customHeight="false" outlineLevel="0" collapsed="false">
      <c r="B1260" s="19" t="s">
        <v>14511</v>
      </c>
      <c r="C1260" s="20" t="n">
        <f aca="false">ROUND(0.26/FX,2)</f>
        <v>0.04</v>
      </c>
      <c r="D1260" s="21" t="s">
        <v>13732</v>
      </c>
      <c r="E1260" s="21" t="s">
        <v>789</v>
      </c>
      <c r="F1260" s="21" t="s">
        <v>2961</v>
      </c>
    </row>
    <row r="1261" customFormat="false" ht="15" hidden="false" customHeight="false" outlineLevel="0" collapsed="false">
      <c r="B1261" s="19" t="s">
        <v>14512</v>
      </c>
      <c r="C1261" s="20" t="n">
        <f aca="false">ROUND(10.66/FX,2)</f>
        <v>1.48</v>
      </c>
      <c r="D1261" s="21" t="s">
        <v>13732</v>
      </c>
      <c r="E1261" s="21" t="s">
        <v>789</v>
      </c>
      <c r="F1261" s="21" t="s">
        <v>2227</v>
      </c>
    </row>
    <row r="1262" customFormat="false" ht="15" hidden="false" customHeight="false" outlineLevel="0" collapsed="false">
      <c r="B1262" s="19" t="s">
        <v>14513</v>
      </c>
      <c r="C1262" s="20" t="n">
        <f aca="false">ROUND(10.74/FX,2)</f>
        <v>1.49</v>
      </c>
      <c r="D1262" s="21" t="s">
        <v>13732</v>
      </c>
      <c r="E1262" s="21" t="s">
        <v>789</v>
      </c>
      <c r="F1262" s="21" t="s">
        <v>12375</v>
      </c>
    </row>
    <row r="1263" customFormat="false" ht="15" hidden="false" customHeight="false" outlineLevel="0" collapsed="false">
      <c r="B1263" s="19" t="s">
        <v>14514</v>
      </c>
      <c r="C1263" s="20" t="n">
        <f aca="false">ROUND(1.19/FX,2)</f>
        <v>0.17</v>
      </c>
      <c r="D1263" s="21" t="s">
        <v>13739</v>
      </c>
      <c r="E1263" s="21" t="s">
        <v>789</v>
      </c>
      <c r="F1263" s="21" t="s">
        <v>13817</v>
      </c>
    </row>
    <row r="1264" customFormat="false" ht="15" hidden="false" customHeight="false" outlineLevel="0" collapsed="false">
      <c r="B1264" s="19" t="s">
        <v>14515</v>
      </c>
      <c r="C1264" s="20" t="n">
        <f aca="false">ROUND(11.44/FX,2)</f>
        <v>1.59</v>
      </c>
      <c r="D1264" s="21" t="s">
        <v>13732</v>
      </c>
      <c r="E1264" s="21" t="s">
        <v>789</v>
      </c>
      <c r="F1264" s="21" t="s">
        <v>2297</v>
      </c>
    </row>
    <row r="1265" customFormat="false" ht="15" hidden="false" customHeight="false" outlineLevel="0" collapsed="false">
      <c r="B1265" s="19" t="s">
        <v>14516</v>
      </c>
      <c r="C1265" s="20" t="n">
        <f aca="false">ROUND(1.01/FX,2)</f>
        <v>0.14</v>
      </c>
      <c r="D1265" s="21" t="s">
        <v>13978</v>
      </c>
      <c r="E1265" s="21" t="s">
        <v>789</v>
      </c>
      <c r="F1265" s="21" t="s">
        <v>845</v>
      </c>
    </row>
    <row r="1266" customFormat="false" ht="15" hidden="false" customHeight="false" outlineLevel="0" collapsed="false">
      <c r="B1266" s="19" t="s">
        <v>14517</v>
      </c>
      <c r="C1266" s="20" t="n">
        <f aca="false">ROUND(1.2/FX,2)</f>
        <v>0.17</v>
      </c>
      <c r="D1266" s="21" t="s">
        <v>13739</v>
      </c>
      <c r="E1266" s="21" t="s">
        <v>789</v>
      </c>
      <c r="F1266" s="21" t="s">
        <v>3011</v>
      </c>
    </row>
    <row r="1267" customFormat="false" ht="15" hidden="false" customHeight="false" outlineLevel="0" collapsed="false">
      <c r="B1267" s="19" t="s">
        <v>14518</v>
      </c>
      <c r="C1267" s="20" t="n">
        <f aca="false">ROUND(12.22/FX,2)</f>
        <v>1.7</v>
      </c>
      <c r="D1267" s="21" t="s">
        <v>13732</v>
      </c>
      <c r="E1267" s="21" t="s">
        <v>789</v>
      </c>
      <c r="F1267" s="21" t="s">
        <v>2351</v>
      </c>
    </row>
    <row r="1268" customFormat="false" ht="15" hidden="false" customHeight="false" outlineLevel="0" collapsed="false">
      <c r="B1268" s="19" t="s">
        <v>14519</v>
      </c>
      <c r="C1268" s="20" t="n">
        <f aca="false">ROUND(1.95/FX,2)</f>
        <v>0.27</v>
      </c>
      <c r="D1268" s="21" t="s">
        <v>13732</v>
      </c>
      <c r="E1268" s="21" t="s">
        <v>789</v>
      </c>
      <c r="F1268" s="21" t="s">
        <v>3021</v>
      </c>
    </row>
    <row r="1269" customFormat="false" ht="15" hidden="false" customHeight="false" outlineLevel="0" collapsed="false">
      <c r="B1269" s="19" t="s">
        <v>14520</v>
      </c>
      <c r="C1269" s="20" t="n">
        <f aca="false">ROUND(1.82/FX,2)</f>
        <v>0.25</v>
      </c>
      <c r="D1269" s="21" t="s">
        <v>13739</v>
      </c>
      <c r="E1269" s="21" t="s">
        <v>789</v>
      </c>
      <c r="F1269" s="21" t="s">
        <v>7396</v>
      </c>
    </row>
    <row r="1270" customFormat="false" ht="15" hidden="false" customHeight="false" outlineLevel="0" collapsed="false">
      <c r="B1270" s="19" t="s">
        <v>14521</v>
      </c>
      <c r="C1270" s="20" t="n">
        <f aca="false">ROUND(1.01/FX,2)</f>
        <v>0.14</v>
      </c>
      <c r="D1270" s="21" t="s">
        <v>13978</v>
      </c>
      <c r="E1270" s="21" t="s">
        <v>789</v>
      </c>
      <c r="F1270" s="21" t="s">
        <v>847</v>
      </c>
    </row>
    <row r="1271" customFormat="false" ht="15" hidden="false" customHeight="false" outlineLevel="0" collapsed="false">
      <c r="B1271" s="19" t="s">
        <v>14522</v>
      </c>
      <c r="C1271" s="20" t="n">
        <f aca="false">ROUND(0.91/FX,2)</f>
        <v>0.13</v>
      </c>
      <c r="D1271" s="21" t="s">
        <v>13732</v>
      </c>
      <c r="E1271" s="21" t="s">
        <v>789</v>
      </c>
      <c r="F1271" s="21" t="s">
        <v>3061</v>
      </c>
    </row>
    <row r="1272" customFormat="false" ht="15" hidden="false" customHeight="false" outlineLevel="0" collapsed="false">
      <c r="B1272" s="19" t="s">
        <v>14523</v>
      </c>
      <c r="C1272" s="20" t="n">
        <f aca="false">ROUND(18.98/FX,2)</f>
        <v>2.64</v>
      </c>
      <c r="D1272" s="21" t="s">
        <v>13732</v>
      </c>
      <c r="E1272" s="21" t="s">
        <v>789</v>
      </c>
      <c r="F1272" s="21" t="s">
        <v>2440</v>
      </c>
    </row>
    <row r="1273" customFormat="false" ht="15" hidden="false" customHeight="false" outlineLevel="0" collapsed="false">
      <c r="B1273" s="19" t="s">
        <v>14524</v>
      </c>
      <c r="C1273" s="20" t="n">
        <f aca="false">ROUND(1.04/FX,2)</f>
        <v>0.14</v>
      </c>
      <c r="D1273" s="21" t="s">
        <v>14056</v>
      </c>
      <c r="E1273" s="21" t="s">
        <v>789</v>
      </c>
      <c r="F1273" s="21" t="s">
        <v>719</v>
      </c>
    </row>
    <row r="1274" customFormat="false" ht="15" hidden="false" customHeight="false" outlineLevel="0" collapsed="false">
      <c r="B1274" s="19" t="s">
        <v>14525</v>
      </c>
      <c r="C1274" s="20" t="n">
        <f aca="false">ROUND(1.2/FX,2)</f>
        <v>0.17</v>
      </c>
      <c r="D1274" s="21" t="s">
        <v>13732</v>
      </c>
      <c r="E1274" s="21" t="s">
        <v>789</v>
      </c>
      <c r="F1274" s="21" t="s">
        <v>3111</v>
      </c>
    </row>
    <row r="1275" customFormat="false" ht="15" hidden="false" customHeight="false" outlineLevel="0" collapsed="false">
      <c r="B1275" s="19" t="s">
        <v>14526</v>
      </c>
      <c r="C1275" s="20" t="n">
        <f aca="false">ROUND(1.43/FX,2)</f>
        <v>0.2</v>
      </c>
      <c r="D1275" s="21" t="s">
        <v>13732</v>
      </c>
      <c r="E1275" s="21" t="s">
        <v>789</v>
      </c>
      <c r="F1275" s="21" t="s">
        <v>12306</v>
      </c>
    </row>
    <row r="1276" customFormat="false" ht="15" hidden="false" customHeight="false" outlineLevel="0" collapsed="false">
      <c r="B1276" s="19" t="s">
        <v>14527</v>
      </c>
      <c r="C1276" s="20" t="n">
        <f aca="false">ROUND(1.04/FX,2)</f>
        <v>0.14</v>
      </c>
      <c r="D1276" s="21" t="s">
        <v>13732</v>
      </c>
      <c r="E1276" s="21" t="s">
        <v>789</v>
      </c>
      <c r="F1276" s="21" t="s">
        <v>3151</v>
      </c>
    </row>
    <row r="1279" customFormat="false" ht="61.5" hidden="false" customHeight="true" outlineLevel="0" collapsed="false">
      <c r="A1279" s="9"/>
      <c r="B1279" s="10" t="s">
        <v>14528</v>
      </c>
      <c r="C1279" s="10"/>
      <c r="D1279" s="10"/>
      <c r="E1279" s="10"/>
    </row>
    <row r="1280" customFormat="false" ht="15" hidden="false" customHeight="false" outlineLevel="0" collapsed="false">
      <c r="A1280" s="12" t="s">
        <v>700</v>
      </c>
      <c r="B1280" s="13" t="s">
        <v>701</v>
      </c>
      <c r="C1280" s="13" t="s">
        <v>702</v>
      </c>
      <c r="D1280" s="13" t="s">
        <v>723</v>
      </c>
      <c r="E1280" s="13" t="s">
        <v>6523</v>
      </c>
    </row>
    <row r="1281" customFormat="false" ht="30" hidden="false" customHeight="true" outlineLevel="0" collapsed="false">
      <c r="A1281" s="14" t="s">
        <v>706</v>
      </c>
      <c r="B1281" s="15" t="str">
        <f aca="false">IF(COUNTIFS($D$1284:$D$1285,IF(D1281="","*",D1281),$E$1284:$E$1285,IF(E1281="","*",E1281))=1,INDEX($B:$B,SUMPRODUCT(((D1281="")+($D$1284:$D$1285=D1281)&gt;0)*((E1281="")+($E$1284:$E$1285=E1281)&gt;0)*ROW($B$1284:$B$1285))),IF(COUNTIFS($D$1284:$D$1285,IF(D1281="","*",D1281),$E$1284:$E$1285,IF(E1281="","*",E1281))=0,"Not available",COUNTIFS($D$1284:$D$1285,IF(D1281="","*",D1281),$E$1284:$E$1285,IF(E1281="","*",E1281))&amp;" match, keep choosing"))</f>
        <v>RL-014-12x12-DPLS</v>
      </c>
      <c r="C1281" s="16" t="n">
        <f aca="false">IF(COUNTIFS($D$1284:$D$1285,IF(D1281="","*",D1281),$E$1284:$E$1285,IF(E1281="","*",E1281))=1,INDEX($C:$C,SUMPRODUCT(((D1281="")+($D$1284:$D$1285=D1281)&gt;0)*((E1281="")+($E$1284:$E$1285=E1281)&gt;0)*ROW($B$1284:$B$1285))),"")</f>
        <v>0.8</v>
      </c>
      <c r="D1281" s="17" t="s">
        <v>14529</v>
      </c>
      <c r="E1281" s="17" t="s">
        <v>7985</v>
      </c>
    </row>
    <row r="1283" customFormat="false" ht="15" hidden="false" customHeight="false" outlineLevel="0" collapsed="false">
      <c r="B1283" s="18" t="s">
        <v>701</v>
      </c>
      <c r="C1283" s="18" t="s">
        <v>702</v>
      </c>
      <c r="D1283" s="18" t="s">
        <v>723</v>
      </c>
      <c r="E1283" s="18" t="s">
        <v>6523</v>
      </c>
    </row>
    <row r="1284" customFormat="false" ht="15" hidden="false" customHeight="false" outlineLevel="0" collapsed="false">
      <c r="B1284" s="19" t="s">
        <v>14530</v>
      </c>
      <c r="C1284" s="20" t="n">
        <f aca="false">ROUND(5.79/FX,2)</f>
        <v>0.8</v>
      </c>
      <c r="D1284" s="21" t="s">
        <v>14529</v>
      </c>
      <c r="E1284" s="21" t="s">
        <v>7985</v>
      </c>
    </row>
    <row r="1285" customFormat="false" ht="15" hidden="false" customHeight="false" outlineLevel="0" collapsed="false">
      <c r="B1285" s="19" t="s">
        <v>14531</v>
      </c>
      <c r="C1285" s="20" t="n">
        <f aca="false">ROUND(11.7/FX,2)</f>
        <v>1.63</v>
      </c>
      <c r="D1285" s="21" t="s">
        <v>734</v>
      </c>
      <c r="E1285" s="21" t="s">
        <v>8145</v>
      </c>
    </row>
    <row r="1288" customFormat="false" ht="61.5" hidden="false" customHeight="true" outlineLevel="0" collapsed="false">
      <c r="A1288" s="9"/>
      <c r="B1288" s="10" t="s">
        <v>14532</v>
      </c>
      <c r="C1288" s="10"/>
      <c r="D1288" s="10"/>
      <c r="E1288" s="10"/>
      <c r="F1288" s="10"/>
    </row>
    <row r="1289" customFormat="false" ht="15" hidden="false" customHeight="false" outlineLevel="0" collapsed="false">
      <c r="A1289" s="12" t="s">
        <v>700</v>
      </c>
      <c r="B1289" s="13" t="s">
        <v>701</v>
      </c>
      <c r="C1289" s="13" t="s">
        <v>702</v>
      </c>
      <c r="D1289" s="13" t="s">
        <v>722</v>
      </c>
      <c r="E1289" s="13" t="s">
        <v>723</v>
      </c>
      <c r="F1289" s="13" t="s">
        <v>6523</v>
      </c>
    </row>
    <row r="1290" customFormat="false" ht="30" hidden="false" customHeight="true" outlineLevel="0" collapsed="false">
      <c r="A1290" s="14" t="s">
        <v>706</v>
      </c>
      <c r="B1290" s="15" t="str">
        <f aca="false">IF(COUNTIFS($D$1293:$D$1378,IF(D1290="","*",D1290),$E$1293:$E$1378,IF(E1290="","*",E1290),$F$1293:$F$1378,IF(F1290="","*",F1290))=1,INDEX($B:$B,SUMPRODUCT(((D1290="")+($D$1293:$D$1378=D1290)&gt;0)*((E1290="")+($E$1293:$E$1378=E1290)&gt;0)*((F1290="")+($F$1293:$F$1378=F1290)&gt;0)*ROW($B$1293:$B$1378))),IF(COUNTIFS($D$1293:$D$1378,IF(D1290="","*",D1290),$E$1293:$E$1378,IF(E1290="","*",E1290),$F$1293:$F$1378,IF(F1290="","*",F1290))=0,"Not available",COUNTIFS($D$1293:$D$1378,IF(D1290="","*",D1290),$E$1293:$E$1378,IF(E1290="","*",E1290),$F$1293:$F$1378,IF(F1290="","*",F1290))&amp;" match, keep choosing"))</f>
        <v>RL-034-10x10-SV-DPLS</v>
      </c>
      <c r="C1290" s="16" t="n">
        <f aca="false">IF(COUNTIFS($D$1293:$D$1378,IF(D1290="","*",D1290),$E$1293:$E$1378,IF(E1290="","*",E1290),$F$1293:$F$1378,IF(F1290="","*",F1290))=1,INDEX($C:$C,SUMPRODUCT(((D1290="")+($D$1293:$D$1378=D1290)&gt;0)*((E1290="")+($E$1293:$E$1378=E1290)&gt;0)*((F1290="")+($F$1293:$F$1378=F1290)&gt;0)*ROW($B$1293:$B$1378))),"")</f>
        <v>0.54</v>
      </c>
      <c r="D1290" s="17" t="s">
        <v>6549</v>
      </c>
      <c r="E1290" s="17" t="s">
        <v>14529</v>
      </c>
      <c r="F1290" s="17" t="s">
        <v>7875</v>
      </c>
    </row>
    <row r="1292" customFormat="false" ht="15" hidden="false" customHeight="false" outlineLevel="0" collapsed="false">
      <c r="B1292" s="18" t="s">
        <v>701</v>
      </c>
      <c r="C1292" s="18" t="s">
        <v>702</v>
      </c>
      <c r="D1292" s="18" t="s">
        <v>722</v>
      </c>
      <c r="E1292" s="18" t="s">
        <v>723</v>
      </c>
      <c r="F1292" s="18" t="s">
        <v>6523</v>
      </c>
    </row>
    <row r="1293" customFormat="false" ht="15" hidden="false" customHeight="false" outlineLevel="0" collapsed="false">
      <c r="B1293" s="19" t="s">
        <v>14533</v>
      </c>
      <c r="C1293" s="20" t="n">
        <f aca="false">ROUND(3.9/FX,2)</f>
        <v>0.54</v>
      </c>
      <c r="D1293" s="21" t="s">
        <v>6549</v>
      </c>
      <c r="E1293" s="21" t="s">
        <v>14529</v>
      </c>
      <c r="F1293" s="21" t="s">
        <v>7875</v>
      </c>
    </row>
    <row r="1294" customFormat="false" ht="15" hidden="false" customHeight="false" outlineLevel="0" collapsed="false">
      <c r="B1294" s="19" t="s">
        <v>14534</v>
      </c>
      <c r="C1294" s="20" t="n">
        <f aca="false">ROUND(3.29/FX,2)</f>
        <v>0.46</v>
      </c>
      <c r="D1294" s="21" t="s">
        <v>6549</v>
      </c>
      <c r="E1294" s="21" t="s">
        <v>14529</v>
      </c>
      <c r="F1294" s="21" t="s">
        <v>6525</v>
      </c>
    </row>
    <row r="1295" customFormat="false" ht="15" hidden="false" customHeight="false" outlineLevel="0" collapsed="false">
      <c r="B1295" s="19" t="s">
        <v>14535</v>
      </c>
      <c r="C1295" s="20" t="n">
        <f aca="false">ROUND(5.85/FX,2)</f>
        <v>0.81</v>
      </c>
      <c r="D1295" s="21" t="s">
        <v>724</v>
      </c>
      <c r="E1295" s="21" t="s">
        <v>14529</v>
      </c>
      <c r="F1295" s="21" t="s">
        <v>14536</v>
      </c>
    </row>
    <row r="1296" customFormat="false" ht="15" hidden="false" customHeight="false" outlineLevel="0" collapsed="false">
      <c r="B1296" s="19" t="s">
        <v>14537</v>
      </c>
      <c r="C1296" s="20" t="n">
        <f aca="false">ROUND(3.2/FX,2)</f>
        <v>0.44</v>
      </c>
      <c r="D1296" s="21" t="s">
        <v>6549</v>
      </c>
      <c r="E1296" s="21" t="s">
        <v>14529</v>
      </c>
      <c r="F1296" s="21" t="s">
        <v>14536</v>
      </c>
    </row>
    <row r="1297" customFormat="false" ht="15" hidden="false" customHeight="false" outlineLevel="0" collapsed="false">
      <c r="B1297" s="19" t="s">
        <v>14538</v>
      </c>
      <c r="C1297" s="20" t="n">
        <f aca="false">ROUND(4.29/FX,2)</f>
        <v>0.6</v>
      </c>
      <c r="D1297" s="21" t="s">
        <v>6549</v>
      </c>
      <c r="E1297" s="21" t="s">
        <v>14529</v>
      </c>
      <c r="F1297" s="21" t="s">
        <v>8062</v>
      </c>
    </row>
    <row r="1298" customFormat="false" ht="15" hidden="false" customHeight="false" outlineLevel="0" collapsed="false">
      <c r="B1298" s="19" t="s">
        <v>14539</v>
      </c>
      <c r="C1298" s="20" t="n">
        <f aca="false">ROUND(5.85/FX,2)</f>
        <v>0.81</v>
      </c>
      <c r="D1298" s="21" t="s">
        <v>724</v>
      </c>
      <c r="E1298" s="21" t="s">
        <v>14529</v>
      </c>
      <c r="F1298" s="21" t="s">
        <v>14540</v>
      </c>
    </row>
    <row r="1299" customFormat="false" ht="15" hidden="false" customHeight="false" outlineLevel="0" collapsed="false">
      <c r="B1299" s="19" t="s">
        <v>14541</v>
      </c>
      <c r="C1299" s="20" t="n">
        <f aca="false">ROUND(3.06/FX,2)</f>
        <v>0.43</v>
      </c>
      <c r="D1299" s="21" t="s">
        <v>6549</v>
      </c>
      <c r="E1299" s="21" t="s">
        <v>14529</v>
      </c>
      <c r="F1299" s="21" t="s">
        <v>14540</v>
      </c>
    </row>
    <row r="1300" customFormat="false" ht="15" hidden="false" customHeight="false" outlineLevel="0" collapsed="false">
      <c r="B1300" s="19" t="s">
        <v>14542</v>
      </c>
      <c r="C1300" s="20" t="n">
        <f aca="false">ROUND(5.85/FX,2)</f>
        <v>0.81</v>
      </c>
      <c r="D1300" s="21" t="s">
        <v>724</v>
      </c>
      <c r="E1300" s="21" t="s">
        <v>14529</v>
      </c>
      <c r="F1300" s="21" t="s">
        <v>7985</v>
      </c>
    </row>
    <row r="1301" customFormat="false" ht="28.35" hidden="false" customHeight="false" outlineLevel="0" collapsed="false">
      <c r="B1301" s="19" t="s">
        <v>14543</v>
      </c>
      <c r="C1301" s="20" t="n">
        <f aca="false">ROUND(1.82/FX,2)</f>
        <v>0.25</v>
      </c>
      <c r="D1301" s="21" t="s">
        <v>6549</v>
      </c>
      <c r="E1301" s="21" t="s">
        <v>14544</v>
      </c>
      <c r="F1301" s="21" t="s">
        <v>7985</v>
      </c>
    </row>
    <row r="1302" customFormat="false" ht="15" hidden="false" customHeight="false" outlineLevel="0" collapsed="false">
      <c r="B1302" s="19" t="s">
        <v>14545</v>
      </c>
      <c r="C1302" s="20" t="n">
        <f aca="false">ROUND(3.47/FX,2)</f>
        <v>0.48</v>
      </c>
      <c r="D1302" s="21" t="s">
        <v>6549</v>
      </c>
      <c r="E1302" s="21" t="s">
        <v>14529</v>
      </c>
      <c r="F1302" s="21" t="s">
        <v>14546</v>
      </c>
    </row>
    <row r="1303" customFormat="false" ht="15" hidden="false" customHeight="false" outlineLevel="0" collapsed="false">
      <c r="B1303" s="19" t="s">
        <v>14547</v>
      </c>
      <c r="C1303" s="20" t="n">
        <f aca="false">ROUND(5.85/FX,2)</f>
        <v>0.81</v>
      </c>
      <c r="D1303" s="21" t="s">
        <v>724</v>
      </c>
      <c r="E1303" s="21" t="s">
        <v>14529</v>
      </c>
      <c r="F1303" s="21" t="s">
        <v>14548</v>
      </c>
    </row>
    <row r="1304" customFormat="false" ht="15" hidden="false" customHeight="false" outlineLevel="0" collapsed="false">
      <c r="B1304" s="19" t="s">
        <v>14549</v>
      </c>
      <c r="C1304" s="20" t="n">
        <f aca="false">ROUND(3.29/FX,2)</f>
        <v>0.46</v>
      </c>
      <c r="D1304" s="21" t="s">
        <v>6549</v>
      </c>
      <c r="E1304" s="21" t="s">
        <v>14529</v>
      </c>
      <c r="F1304" s="21" t="s">
        <v>14548</v>
      </c>
    </row>
    <row r="1305" customFormat="false" ht="15" hidden="false" customHeight="false" outlineLevel="0" collapsed="false">
      <c r="B1305" s="19" t="s">
        <v>14550</v>
      </c>
      <c r="C1305" s="20" t="n">
        <f aca="false">ROUND(6.5/FX,2)</f>
        <v>0.9</v>
      </c>
      <c r="D1305" s="21" t="s">
        <v>724</v>
      </c>
      <c r="E1305" s="21" t="s">
        <v>14529</v>
      </c>
      <c r="F1305" s="21" t="s">
        <v>8829</v>
      </c>
    </row>
    <row r="1306" customFormat="false" ht="15" hidden="false" customHeight="false" outlineLevel="0" collapsed="false">
      <c r="B1306" s="19" t="s">
        <v>14551</v>
      </c>
      <c r="C1306" s="20" t="n">
        <f aca="false">ROUND(6.5/FX,2)</f>
        <v>0.9</v>
      </c>
      <c r="D1306" s="21" t="s">
        <v>6549</v>
      </c>
      <c r="E1306" s="21" t="s">
        <v>14529</v>
      </c>
      <c r="F1306" s="21" t="s">
        <v>8829</v>
      </c>
    </row>
    <row r="1307" customFormat="false" ht="15" hidden="false" customHeight="false" outlineLevel="0" collapsed="false">
      <c r="B1307" s="19" t="s">
        <v>14552</v>
      </c>
      <c r="C1307" s="20" t="n">
        <f aca="false">ROUND(4.93/FX,2)</f>
        <v>0.68</v>
      </c>
      <c r="D1307" s="21" t="s">
        <v>6549</v>
      </c>
      <c r="E1307" s="21" t="s">
        <v>14529</v>
      </c>
      <c r="F1307" s="21" t="s">
        <v>8085</v>
      </c>
    </row>
    <row r="1308" customFormat="false" ht="15" hidden="false" customHeight="false" outlineLevel="0" collapsed="false">
      <c r="B1308" s="19" t="s">
        <v>14553</v>
      </c>
      <c r="C1308" s="20" t="n">
        <f aca="false">ROUND(4.85/FX,2)</f>
        <v>0.67</v>
      </c>
      <c r="D1308" s="21" t="s">
        <v>6549</v>
      </c>
      <c r="E1308" s="21" t="s">
        <v>14529</v>
      </c>
      <c r="F1308" s="21" t="s">
        <v>14554</v>
      </c>
    </row>
    <row r="1309" customFormat="false" ht="15" hidden="false" customHeight="false" outlineLevel="0" collapsed="false">
      <c r="B1309" s="19" t="s">
        <v>14555</v>
      </c>
      <c r="C1309" s="20" t="n">
        <f aca="false">ROUND(5.37/FX,2)</f>
        <v>0.75</v>
      </c>
      <c r="D1309" s="21" t="s">
        <v>6549</v>
      </c>
      <c r="E1309" s="21" t="s">
        <v>14529</v>
      </c>
      <c r="F1309" s="21" t="s">
        <v>14556</v>
      </c>
    </row>
    <row r="1310" customFormat="false" ht="15" hidden="false" customHeight="false" outlineLevel="0" collapsed="false">
      <c r="B1310" s="19" t="s">
        <v>14557</v>
      </c>
      <c r="C1310" s="20" t="n">
        <f aca="false">ROUND(10.4/FX,2)</f>
        <v>1.44</v>
      </c>
      <c r="D1310" s="21" t="s">
        <v>724</v>
      </c>
      <c r="E1310" s="21" t="s">
        <v>14558</v>
      </c>
      <c r="F1310" s="21" t="s">
        <v>8045</v>
      </c>
    </row>
    <row r="1311" customFormat="false" ht="15" hidden="false" customHeight="false" outlineLevel="0" collapsed="false">
      <c r="B1311" s="19" t="s">
        <v>14559</v>
      </c>
      <c r="C1311" s="20" t="n">
        <f aca="false">ROUND(7.8/FX,2)</f>
        <v>1.08</v>
      </c>
      <c r="D1311" s="21" t="s">
        <v>6549</v>
      </c>
      <c r="E1311" s="21" t="s">
        <v>14529</v>
      </c>
      <c r="F1311" s="21" t="s">
        <v>8045</v>
      </c>
    </row>
    <row r="1312" customFormat="false" ht="15" hidden="false" customHeight="false" outlineLevel="0" collapsed="false">
      <c r="B1312" s="19" t="s">
        <v>14560</v>
      </c>
      <c r="C1312" s="20" t="n">
        <f aca="false">ROUND(10.4/FX,2)</f>
        <v>1.44</v>
      </c>
      <c r="D1312" s="21" t="s">
        <v>6549</v>
      </c>
      <c r="E1312" s="21" t="s">
        <v>14558</v>
      </c>
      <c r="F1312" s="21" t="s">
        <v>8045</v>
      </c>
    </row>
    <row r="1313" customFormat="false" ht="15" hidden="false" customHeight="false" outlineLevel="0" collapsed="false">
      <c r="B1313" s="19" t="s">
        <v>14561</v>
      </c>
      <c r="C1313" s="20" t="n">
        <f aca="false">ROUND(10.4/FX,2)</f>
        <v>1.44</v>
      </c>
      <c r="D1313" s="21" t="s">
        <v>6549</v>
      </c>
      <c r="E1313" s="21" t="s">
        <v>14529</v>
      </c>
      <c r="F1313" s="21" t="s">
        <v>14562</v>
      </c>
    </row>
    <row r="1314" customFormat="false" ht="15" hidden="false" customHeight="false" outlineLevel="0" collapsed="false">
      <c r="B1314" s="19" t="s">
        <v>14563</v>
      </c>
      <c r="C1314" s="20" t="n">
        <f aca="false">ROUND(11.75/FX,2)</f>
        <v>1.63</v>
      </c>
      <c r="D1314" s="21" t="s">
        <v>6549</v>
      </c>
      <c r="E1314" s="21" t="s">
        <v>14558</v>
      </c>
      <c r="F1314" s="21" t="s">
        <v>14562</v>
      </c>
    </row>
    <row r="1315" customFormat="false" ht="15" hidden="false" customHeight="false" outlineLevel="0" collapsed="false">
      <c r="B1315" s="19" t="s">
        <v>14564</v>
      </c>
      <c r="C1315" s="20" t="n">
        <f aca="false">ROUND(10.4/FX,2)</f>
        <v>1.44</v>
      </c>
      <c r="D1315" s="21" t="s">
        <v>724</v>
      </c>
      <c r="E1315" s="21" t="s">
        <v>14558</v>
      </c>
      <c r="F1315" s="21" t="s">
        <v>14565</v>
      </c>
    </row>
    <row r="1316" customFormat="false" ht="15" hidden="false" customHeight="false" outlineLevel="0" collapsed="false">
      <c r="B1316" s="19" t="s">
        <v>14566</v>
      </c>
      <c r="C1316" s="20" t="n">
        <f aca="false">ROUND(10.4/FX,2)</f>
        <v>1.44</v>
      </c>
      <c r="D1316" s="21" t="s">
        <v>6549</v>
      </c>
      <c r="E1316" s="21" t="s">
        <v>14529</v>
      </c>
      <c r="F1316" s="21" t="s">
        <v>14565</v>
      </c>
    </row>
    <row r="1317" customFormat="false" ht="15" hidden="false" customHeight="false" outlineLevel="0" collapsed="false">
      <c r="B1317" s="19" t="s">
        <v>14567</v>
      </c>
      <c r="C1317" s="20" t="n">
        <f aca="false">ROUND(10.4/FX,2)</f>
        <v>1.44</v>
      </c>
      <c r="D1317" s="21" t="s">
        <v>6549</v>
      </c>
      <c r="E1317" s="21" t="s">
        <v>14558</v>
      </c>
      <c r="F1317" s="21" t="s">
        <v>14565</v>
      </c>
    </row>
    <row r="1318" customFormat="false" ht="15" hidden="false" customHeight="false" outlineLevel="0" collapsed="false">
      <c r="B1318" s="19" t="s">
        <v>14568</v>
      </c>
      <c r="C1318" s="20" t="n">
        <f aca="false">ROUND(10.4/FX,2)</f>
        <v>1.44</v>
      </c>
      <c r="D1318" s="21" t="s">
        <v>6549</v>
      </c>
      <c r="E1318" s="21" t="s">
        <v>14558</v>
      </c>
      <c r="F1318" s="21" t="s">
        <v>14569</v>
      </c>
    </row>
    <row r="1319" customFormat="false" ht="15" hidden="false" customHeight="false" outlineLevel="0" collapsed="false">
      <c r="B1319" s="19" t="s">
        <v>14570</v>
      </c>
      <c r="C1319" s="20" t="n">
        <f aca="false">ROUND(11.05/FX,2)</f>
        <v>1.53</v>
      </c>
      <c r="D1319" s="21" t="s">
        <v>724</v>
      </c>
      <c r="E1319" s="21" t="s">
        <v>14529</v>
      </c>
      <c r="F1319" s="21" t="s">
        <v>8047</v>
      </c>
    </row>
    <row r="1320" customFormat="false" ht="15" hidden="false" customHeight="false" outlineLevel="0" collapsed="false">
      <c r="B1320" s="19" t="s">
        <v>14571</v>
      </c>
      <c r="C1320" s="20" t="n">
        <f aca="false">ROUND(13/FX,2)</f>
        <v>1.81</v>
      </c>
      <c r="D1320" s="21" t="s">
        <v>724</v>
      </c>
      <c r="E1320" s="21" t="s">
        <v>14558</v>
      </c>
      <c r="F1320" s="21" t="s">
        <v>8047</v>
      </c>
    </row>
    <row r="1321" customFormat="false" ht="15" hidden="false" customHeight="false" outlineLevel="0" collapsed="false">
      <c r="B1321" s="19" t="s">
        <v>14572</v>
      </c>
      <c r="C1321" s="20" t="n">
        <f aca="false">ROUND(10.4/FX,2)</f>
        <v>1.44</v>
      </c>
      <c r="D1321" s="21" t="s">
        <v>6549</v>
      </c>
      <c r="E1321" s="21" t="s">
        <v>14529</v>
      </c>
      <c r="F1321" s="21" t="s">
        <v>8047</v>
      </c>
    </row>
    <row r="1322" customFormat="false" ht="15" hidden="false" customHeight="false" outlineLevel="0" collapsed="false">
      <c r="B1322" s="19" t="s">
        <v>14573</v>
      </c>
      <c r="C1322" s="20" t="n">
        <f aca="false">ROUND(10.4/FX,2)</f>
        <v>1.44</v>
      </c>
      <c r="D1322" s="21" t="s">
        <v>6549</v>
      </c>
      <c r="E1322" s="21" t="s">
        <v>14558</v>
      </c>
      <c r="F1322" s="21" t="s">
        <v>8047</v>
      </c>
    </row>
    <row r="1323" customFormat="false" ht="15" hidden="false" customHeight="false" outlineLevel="0" collapsed="false">
      <c r="B1323" s="19" t="s">
        <v>14574</v>
      </c>
      <c r="C1323" s="20" t="n">
        <f aca="false">ROUND(6.33/FX,2)</f>
        <v>0.88</v>
      </c>
      <c r="D1323" s="21" t="s">
        <v>6549</v>
      </c>
      <c r="E1323" s="21" t="s">
        <v>14529</v>
      </c>
      <c r="F1323" s="21" t="s">
        <v>14575</v>
      </c>
    </row>
    <row r="1324" customFormat="false" ht="15" hidden="false" customHeight="false" outlineLevel="0" collapsed="false">
      <c r="B1324" s="19" t="s">
        <v>14576</v>
      </c>
      <c r="C1324" s="20" t="n">
        <f aca="false">ROUND(10.4/FX,2)</f>
        <v>1.44</v>
      </c>
      <c r="D1324" s="21" t="s">
        <v>6549</v>
      </c>
      <c r="E1324" s="21" t="s">
        <v>14558</v>
      </c>
      <c r="F1324" s="21" t="s">
        <v>14575</v>
      </c>
    </row>
    <row r="1325" customFormat="false" ht="15" hidden="false" customHeight="false" outlineLevel="0" collapsed="false">
      <c r="B1325" s="19" t="s">
        <v>14577</v>
      </c>
      <c r="C1325" s="20" t="n">
        <f aca="false">ROUND(7.07/FX,2)</f>
        <v>0.98</v>
      </c>
      <c r="D1325" s="21" t="s">
        <v>6549</v>
      </c>
      <c r="E1325" s="21" t="s">
        <v>14529</v>
      </c>
      <c r="F1325" s="21" t="s">
        <v>8158</v>
      </c>
    </row>
    <row r="1326" customFormat="false" ht="15" hidden="false" customHeight="false" outlineLevel="0" collapsed="false">
      <c r="B1326" s="19" t="s">
        <v>14578</v>
      </c>
      <c r="C1326" s="20" t="n">
        <f aca="false">ROUND(11.05/FX,2)</f>
        <v>1.53</v>
      </c>
      <c r="D1326" s="21" t="s">
        <v>6549</v>
      </c>
      <c r="E1326" s="21" t="s">
        <v>14529</v>
      </c>
      <c r="F1326" s="21" t="s">
        <v>9166</v>
      </c>
    </row>
    <row r="1327" customFormat="false" ht="15" hidden="false" customHeight="false" outlineLevel="0" collapsed="false">
      <c r="B1327" s="19" t="s">
        <v>14579</v>
      </c>
      <c r="C1327" s="20" t="n">
        <f aca="false">ROUND(11.7/FX,2)</f>
        <v>1.63</v>
      </c>
      <c r="D1327" s="21" t="s">
        <v>6549</v>
      </c>
      <c r="E1327" s="21" t="s">
        <v>14558</v>
      </c>
      <c r="F1327" s="21" t="s">
        <v>9166</v>
      </c>
    </row>
    <row r="1328" customFormat="false" ht="15" hidden="false" customHeight="false" outlineLevel="0" collapsed="false">
      <c r="B1328" s="19" t="s">
        <v>14580</v>
      </c>
      <c r="C1328" s="20" t="n">
        <f aca="false">ROUND(8.75/FX,2)</f>
        <v>1.22</v>
      </c>
      <c r="D1328" s="21" t="s">
        <v>6549</v>
      </c>
      <c r="E1328" s="21" t="s">
        <v>14529</v>
      </c>
      <c r="F1328" s="21" t="s">
        <v>8989</v>
      </c>
    </row>
    <row r="1329" customFormat="false" ht="15" hidden="false" customHeight="false" outlineLevel="0" collapsed="false">
      <c r="B1329" s="19" t="s">
        <v>14581</v>
      </c>
      <c r="C1329" s="20" t="n">
        <f aca="false">ROUND(9.97/FX,2)</f>
        <v>1.38</v>
      </c>
      <c r="D1329" s="21" t="s">
        <v>6549</v>
      </c>
      <c r="E1329" s="21" t="s">
        <v>14529</v>
      </c>
      <c r="F1329" s="21" t="s">
        <v>14582</v>
      </c>
    </row>
    <row r="1330" customFormat="false" ht="15" hidden="false" customHeight="false" outlineLevel="0" collapsed="false">
      <c r="B1330" s="19" t="s">
        <v>14583</v>
      </c>
      <c r="C1330" s="20" t="n">
        <f aca="false">ROUND(13/FX,2)</f>
        <v>1.81</v>
      </c>
      <c r="D1330" s="21" t="s">
        <v>6549</v>
      </c>
      <c r="E1330" s="21" t="s">
        <v>14558</v>
      </c>
      <c r="F1330" s="21" t="s">
        <v>14582</v>
      </c>
    </row>
    <row r="1331" customFormat="false" ht="15" hidden="false" customHeight="false" outlineLevel="0" collapsed="false">
      <c r="B1331" s="19" t="s">
        <v>14584</v>
      </c>
      <c r="C1331" s="20" t="n">
        <f aca="false">ROUND(5.85/FX,2)</f>
        <v>0.81</v>
      </c>
      <c r="D1331" s="21" t="s">
        <v>6549</v>
      </c>
      <c r="E1331" s="21" t="s">
        <v>14529</v>
      </c>
      <c r="F1331" s="21" t="s">
        <v>14585</v>
      </c>
    </row>
    <row r="1332" customFormat="false" ht="15" hidden="false" customHeight="false" outlineLevel="0" collapsed="false">
      <c r="B1332" s="19" t="s">
        <v>14586</v>
      </c>
      <c r="C1332" s="20" t="n">
        <f aca="false">ROUND(7.8/FX,2)</f>
        <v>1.08</v>
      </c>
      <c r="D1332" s="21" t="s">
        <v>6549</v>
      </c>
      <c r="E1332" s="21" t="s">
        <v>14558</v>
      </c>
      <c r="F1332" s="21" t="s">
        <v>14585</v>
      </c>
    </row>
    <row r="1333" customFormat="false" ht="15" hidden="false" customHeight="false" outlineLevel="0" collapsed="false">
      <c r="B1333" s="19" t="s">
        <v>14587</v>
      </c>
      <c r="C1333" s="20" t="n">
        <f aca="false">ROUND(8.61/FX,2)</f>
        <v>1.2</v>
      </c>
      <c r="D1333" s="21" t="s">
        <v>6549</v>
      </c>
      <c r="E1333" s="21" t="s">
        <v>14529</v>
      </c>
      <c r="F1333" s="21" t="s">
        <v>14588</v>
      </c>
    </row>
    <row r="1334" customFormat="false" ht="15" hidden="false" customHeight="false" outlineLevel="0" collapsed="false">
      <c r="B1334" s="19" t="s">
        <v>14589</v>
      </c>
      <c r="C1334" s="20" t="n">
        <f aca="false">ROUND(5.59/FX,2)</f>
        <v>0.78</v>
      </c>
      <c r="D1334" s="21" t="s">
        <v>6549</v>
      </c>
      <c r="E1334" s="21" t="s">
        <v>14529</v>
      </c>
      <c r="F1334" s="21" t="s">
        <v>14590</v>
      </c>
    </row>
    <row r="1335" customFormat="false" ht="15" hidden="false" customHeight="false" outlineLevel="0" collapsed="false">
      <c r="B1335" s="19" t="s">
        <v>14591</v>
      </c>
      <c r="C1335" s="20" t="n">
        <f aca="false">ROUND(13/FX,2)</f>
        <v>1.81</v>
      </c>
      <c r="D1335" s="21" t="s">
        <v>6549</v>
      </c>
      <c r="E1335" s="21" t="s">
        <v>14558</v>
      </c>
      <c r="F1335" s="21" t="s">
        <v>14590</v>
      </c>
    </row>
    <row r="1336" customFormat="false" ht="15" hidden="false" customHeight="false" outlineLevel="0" collapsed="false">
      <c r="B1336" s="19" t="s">
        <v>14592</v>
      </c>
      <c r="C1336" s="20" t="n">
        <f aca="false">ROUND(4.33/FX,2)</f>
        <v>0.6</v>
      </c>
      <c r="D1336" s="21" t="s">
        <v>6549</v>
      </c>
      <c r="E1336" s="21" t="s">
        <v>14529</v>
      </c>
      <c r="F1336" s="21" t="s">
        <v>8145</v>
      </c>
    </row>
    <row r="1337" customFormat="false" ht="15" hidden="false" customHeight="false" outlineLevel="0" collapsed="false">
      <c r="B1337" s="19" t="s">
        <v>14593</v>
      </c>
      <c r="C1337" s="20" t="n">
        <f aca="false">ROUND(5.19/FX,2)</f>
        <v>0.72</v>
      </c>
      <c r="D1337" s="21" t="s">
        <v>6549</v>
      </c>
      <c r="E1337" s="21" t="s">
        <v>14558</v>
      </c>
      <c r="F1337" s="21" t="s">
        <v>8145</v>
      </c>
    </row>
    <row r="1338" customFormat="false" ht="15" hidden="false" customHeight="false" outlineLevel="0" collapsed="false">
      <c r="B1338" s="19" t="s">
        <v>14594</v>
      </c>
      <c r="C1338" s="20" t="n">
        <f aca="false">ROUND(9.26/FX,2)</f>
        <v>1.29</v>
      </c>
      <c r="D1338" s="21" t="s">
        <v>6549</v>
      </c>
      <c r="E1338" s="21" t="s">
        <v>14558</v>
      </c>
      <c r="F1338" s="21" t="s">
        <v>9045</v>
      </c>
    </row>
    <row r="1339" customFormat="false" ht="15" hidden="false" customHeight="false" outlineLevel="0" collapsed="false">
      <c r="B1339" s="19" t="s">
        <v>14595</v>
      </c>
      <c r="C1339" s="20" t="n">
        <f aca="false">ROUND(22.1/FX,2)</f>
        <v>3.07</v>
      </c>
      <c r="D1339" s="21" t="s">
        <v>6549</v>
      </c>
      <c r="E1339" s="21" t="s">
        <v>14558</v>
      </c>
      <c r="F1339" s="21" t="s">
        <v>14596</v>
      </c>
    </row>
    <row r="1340" customFormat="false" ht="15" hidden="false" customHeight="false" outlineLevel="0" collapsed="false">
      <c r="B1340" s="19" t="s">
        <v>14597</v>
      </c>
      <c r="C1340" s="20" t="n">
        <f aca="false">ROUND(22.1/FX,2)</f>
        <v>3.07</v>
      </c>
      <c r="D1340" s="21" t="s">
        <v>6549</v>
      </c>
      <c r="E1340" s="21" t="s">
        <v>14558</v>
      </c>
      <c r="F1340" s="21" t="s">
        <v>14598</v>
      </c>
    </row>
    <row r="1341" customFormat="false" ht="15" hidden="false" customHeight="false" outlineLevel="0" collapsed="false">
      <c r="B1341" s="19" t="s">
        <v>14599</v>
      </c>
      <c r="C1341" s="20" t="n">
        <f aca="false">ROUND(22.1/FX,2)</f>
        <v>3.07</v>
      </c>
      <c r="D1341" s="21" t="s">
        <v>6549</v>
      </c>
      <c r="E1341" s="21" t="s">
        <v>14558</v>
      </c>
      <c r="F1341" s="21" t="s">
        <v>14600</v>
      </c>
    </row>
    <row r="1342" customFormat="false" ht="15" hidden="false" customHeight="false" outlineLevel="0" collapsed="false">
      <c r="B1342" s="19" t="s">
        <v>14601</v>
      </c>
      <c r="C1342" s="20" t="n">
        <f aca="false">ROUND(19.5/FX,2)</f>
        <v>2.71</v>
      </c>
      <c r="D1342" s="21" t="s">
        <v>6549</v>
      </c>
      <c r="E1342" s="21" t="s">
        <v>14529</v>
      </c>
      <c r="F1342" s="21" t="s">
        <v>14602</v>
      </c>
    </row>
    <row r="1343" customFormat="false" ht="15" hidden="false" customHeight="false" outlineLevel="0" collapsed="false">
      <c r="B1343" s="19" t="s">
        <v>14603</v>
      </c>
      <c r="C1343" s="20" t="n">
        <f aca="false">ROUND(11.1/FX,2)</f>
        <v>1.54</v>
      </c>
      <c r="D1343" s="21" t="s">
        <v>6549</v>
      </c>
      <c r="E1343" s="21" t="s">
        <v>14558</v>
      </c>
      <c r="F1343" s="21" t="s">
        <v>14602</v>
      </c>
    </row>
    <row r="1344" customFormat="false" ht="15" hidden="false" customHeight="false" outlineLevel="0" collapsed="false">
      <c r="B1344" s="19" t="s">
        <v>14604</v>
      </c>
      <c r="C1344" s="20" t="n">
        <f aca="false">ROUND(12.98/FX,2)</f>
        <v>1.8</v>
      </c>
      <c r="D1344" s="21" t="s">
        <v>6549</v>
      </c>
      <c r="E1344" s="21" t="s">
        <v>14558</v>
      </c>
      <c r="F1344" s="21" t="s">
        <v>14605</v>
      </c>
    </row>
    <row r="1345" customFormat="false" ht="15" hidden="false" customHeight="false" outlineLevel="0" collapsed="false">
      <c r="B1345" s="19" t="s">
        <v>14606</v>
      </c>
      <c r="C1345" s="20" t="n">
        <f aca="false">ROUND(23.4/FX,2)</f>
        <v>3.25</v>
      </c>
      <c r="D1345" s="21" t="s">
        <v>724</v>
      </c>
      <c r="E1345" s="21" t="s">
        <v>14558</v>
      </c>
      <c r="F1345" s="21" t="s">
        <v>9183</v>
      </c>
    </row>
    <row r="1346" customFormat="false" ht="15" hidden="false" customHeight="false" outlineLevel="0" collapsed="false">
      <c r="B1346" s="19" t="s">
        <v>14607</v>
      </c>
      <c r="C1346" s="20" t="n">
        <f aca="false">ROUND(10.14/FX,2)</f>
        <v>1.41</v>
      </c>
      <c r="D1346" s="21" t="s">
        <v>6549</v>
      </c>
      <c r="E1346" s="21" t="s">
        <v>14529</v>
      </c>
      <c r="F1346" s="21" t="s">
        <v>9183</v>
      </c>
    </row>
    <row r="1347" customFormat="false" ht="15" hidden="false" customHeight="false" outlineLevel="0" collapsed="false">
      <c r="B1347" s="19" t="s">
        <v>14608</v>
      </c>
      <c r="C1347" s="20" t="n">
        <f aca="false">ROUND(9.1/FX,2)</f>
        <v>1.26</v>
      </c>
      <c r="D1347" s="21" t="s">
        <v>6549</v>
      </c>
      <c r="E1347" s="21" t="s">
        <v>14558</v>
      </c>
      <c r="F1347" s="21" t="s">
        <v>9183</v>
      </c>
    </row>
    <row r="1348" customFormat="false" ht="15" hidden="false" customHeight="false" outlineLevel="0" collapsed="false">
      <c r="B1348" s="19" t="s">
        <v>14609</v>
      </c>
      <c r="C1348" s="20" t="n">
        <f aca="false">ROUND(15.9/FX,2)</f>
        <v>2.21</v>
      </c>
      <c r="D1348" s="21" t="s">
        <v>6549</v>
      </c>
      <c r="E1348" s="21" t="s">
        <v>14529</v>
      </c>
      <c r="F1348" s="21" t="s">
        <v>14610</v>
      </c>
    </row>
    <row r="1349" customFormat="false" ht="15" hidden="false" customHeight="false" outlineLevel="0" collapsed="false">
      <c r="B1349" s="19" t="s">
        <v>14611</v>
      </c>
      <c r="C1349" s="20" t="n">
        <f aca="false">ROUND(20.5/FX,2)</f>
        <v>2.85</v>
      </c>
      <c r="D1349" s="21" t="s">
        <v>6549</v>
      </c>
      <c r="E1349" s="21" t="s">
        <v>14529</v>
      </c>
      <c r="F1349" s="21" t="s">
        <v>9193</v>
      </c>
    </row>
    <row r="1350" customFormat="false" ht="15" hidden="false" customHeight="false" outlineLevel="0" collapsed="false">
      <c r="B1350" s="19" t="s">
        <v>14612</v>
      </c>
      <c r="C1350" s="20" t="n">
        <f aca="false">ROUND(24.1/FX,2)</f>
        <v>3.35</v>
      </c>
      <c r="D1350" s="21" t="s">
        <v>6549</v>
      </c>
      <c r="E1350" s="21" t="s">
        <v>14529</v>
      </c>
      <c r="F1350" s="21" t="s">
        <v>14613</v>
      </c>
    </row>
    <row r="1351" customFormat="false" ht="15" hidden="false" customHeight="false" outlineLevel="0" collapsed="false">
      <c r="B1351" s="19" t="s">
        <v>14614</v>
      </c>
      <c r="C1351" s="20" t="n">
        <f aca="false">ROUND(24.3/FX,2)</f>
        <v>3.38</v>
      </c>
      <c r="D1351" s="21" t="s">
        <v>6549</v>
      </c>
      <c r="E1351" s="21" t="s">
        <v>14529</v>
      </c>
      <c r="F1351" s="21" t="s">
        <v>14615</v>
      </c>
    </row>
    <row r="1352" customFormat="false" ht="15" hidden="false" customHeight="false" outlineLevel="0" collapsed="false">
      <c r="B1352" s="19" t="s">
        <v>14616</v>
      </c>
      <c r="C1352" s="20" t="n">
        <f aca="false">ROUND(25.35/FX,2)</f>
        <v>3.52</v>
      </c>
      <c r="D1352" s="21" t="s">
        <v>6549</v>
      </c>
      <c r="E1352" s="21" t="s">
        <v>14558</v>
      </c>
      <c r="F1352" s="21" t="s">
        <v>14617</v>
      </c>
    </row>
    <row r="1353" customFormat="false" ht="15" hidden="false" customHeight="false" outlineLevel="0" collapsed="false">
      <c r="B1353" s="19" t="s">
        <v>14618</v>
      </c>
      <c r="C1353" s="20" t="n">
        <f aca="false">ROUND(27.43/FX,2)</f>
        <v>3.81</v>
      </c>
      <c r="D1353" s="21" t="s">
        <v>6549</v>
      </c>
      <c r="E1353" s="21" t="s">
        <v>14558</v>
      </c>
      <c r="F1353" s="21" t="s">
        <v>14619</v>
      </c>
    </row>
    <row r="1354" customFormat="false" ht="15" hidden="false" customHeight="false" outlineLevel="0" collapsed="false">
      <c r="B1354" s="19" t="s">
        <v>14620</v>
      </c>
      <c r="C1354" s="20" t="n">
        <f aca="false">ROUND(22.1/FX,2)</f>
        <v>3.07</v>
      </c>
      <c r="D1354" s="21" t="s">
        <v>6549</v>
      </c>
      <c r="E1354" s="21" t="s">
        <v>14529</v>
      </c>
      <c r="F1354" s="21" t="s">
        <v>14621</v>
      </c>
    </row>
    <row r="1355" customFormat="false" ht="15" hidden="false" customHeight="false" outlineLevel="0" collapsed="false">
      <c r="B1355" s="19" t="s">
        <v>14622</v>
      </c>
      <c r="C1355" s="20" t="n">
        <f aca="false">ROUND(24.66/FX,2)</f>
        <v>3.43</v>
      </c>
      <c r="D1355" s="21" t="s">
        <v>6549</v>
      </c>
      <c r="E1355" s="21" t="s">
        <v>14529</v>
      </c>
      <c r="F1355" s="21" t="s">
        <v>14623</v>
      </c>
    </row>
    <row r="1356" customFormat="false" ht="15" hidden="false" customHeight="false" outlineLevel="0" collapsed="false">
      <c r="B1356" s="19" t="s">
        <v>14624</v>
      </c>
      <c r="C1356" s="20" t="n">
        <f aca="false">ROUND(24.7/FX,2)</f>
        <v>3.43</v>
      </c>
      <c r="D1356" s="21" t="s">
        <v>6549</v>
      </c>
      <c r="E1356" s="21" t="s">
        <v>14529</v>
      </c>
      <c r="F1356" s="21" t="s">
        <v>14625</v>
      </c>
    </row>
    <row r="1357" customFormat="false" ht="15" hidden="false" customHeight="false" outlineLevel="0" collapsed="false">
      <c r="B1357" s="19" t="s">
        <v>14626</v>
      </c>
      <c r="C1357" s="20" t="n">
        <f aca="false">ROUND(33.93/FX,2)</f>
        <v>4.71</v>
      </c>
      <c r="D1357" s="21" t="s">
        <v>6549</v>
      </c>
      <c r="E1357" s="21" t="s">
        <v>14558</v>
      </c>
      <c r="F1357" s="21" t="s">
        <v>14627</v>
      </c>
    </row>
    <row r="1358" customFormat="false" ht="15" hidden="false" customHeight="false" outlineLevel="0" collapsed="false">
      <c r="B1358" s="19" t="s">
        <v>14628</v>
      </c>
      <c r="C1358" s="20" t="n">
        <f aca="false">ROUND(24.83/FX,2)</f>
        <v>3.45</v>
      </c>
      <c r="D1358" s="21" t="s">
        <v>6549</v>
      </c>
      <c r="E1358" s="21" t="s">
        <v>14529</v>
      </c>
      <c r="F1358" s="21" t="s">
        <v>14629</v>
      </c>
    </row>
    <row r="1359" customFormat="false" ht="15" hidden="false" customHeight="false" outlineLevel="0" collapsed="false">
      <c r="B1359" s="19" t="s">
        <v>14630</v>
      </c>
      <c r="C1359" s="20" t="n">
        <f aca="false">ROUND(31.88/FX,2)</f>
        <v>4.43</v>
      </c>
      <c r="D1359" s="21" t="s">
        <v>6549</v>
      </c>
      <c r="E1359" s="21" t="s">
        <v>14558</v>
      </c>
      <c r="F1359" s="21" t="s">
        <v>14631</v>
      </c>
    </row>
    <row r="1360" customFormat="false" ht="15" hidden="false" customHeight="false" outlineLevel="0" collapsed="false">
      <c r="B1360" s="19" t="s">
        <v>14632</v>
      </c>
      <c r="C1360" s="20" t="n">
        <f aca="false">ROUND(46.15/FX,2)</f>
        <v>6.41</v>
      </c>
      <c r="D1360" s="21" t="s">
        <v>6549</v>
      </c>
      <c r="E1360" s="21" t="s">
        <v>14558</v>
      </c>
      <c r="F1360" s="21" t="s">
        <v>14633</v>
      </c>
    </row>
    <row r="1361" customFormat="false" ht="15" hidden="false" customHeight="false" outlineLevel="0" collapsed="false">
      <c r="B1361" s="19" t="s">
        <v>14634</v>
      </c>
      <c r="C1361" s="20" t="n">
        <f aca="false">ROUND(34.84/FX,2)</f>
        <v>4.84</v>
      </c>
      <c r="D1361" s="21" t="s">
        <v>6549</v>
      </c>
      <c r="E1361" s="21" t="s">
        <v>14558</v>
      </c>
      <c r="F1361" s="21" t="s">
        <v>14635</v>
      </c>
    </row>
    <row r="1362" customFormat="false" ht="15" hidden="false" customHeight="false" outlineLevel="0" collapsed="false">
      <c r="B1362" s="19" t="s">
        <v>14636</v>
      </c>
      <c r="C1362" s="20" t="n">
        <f aca="false">ROUND(49.4/FX,2)</f>
        <v>6.86</v>
      </c>
      <c r="D1362" s="21" t="s">
        <v>6549</v>
      </c>
      <c r="E1362" s="21" t="s">
        <v>14558</v>
      </c>
      <c r="F1362" s="21" t="s">
        <v>14637</v>
      </c>
    </row>
    <row r="1363" customFormat="false" ht="15" hidden="false" customHeight="false" outlineLevel="0" collapsed="false">
      <c r="B1363" s="19" t="s">
        <v>14638</v>
      </c>
      <c r="C1363" s="20" t="n">
        <f aca="false">ROUND(44.85/FX,2)</f>
        <v>6.23</v>
      </c>
      <c r="D1363" s="21" t="s">
        <v>6549</v>
      </c>
      <c r="E1363" s="21" t="s">
        <v>14558</v>
      </c>
      <c r="F1363" s="21" t="s">
        <v>14639</v>
      </c>
    </row>
    <row r="1364" customFormat="false" ht="15" hidden="false" customHeight="false" outlineLevel="0" collapsed="false">
      <c r="B1364" s="19" t="s">
        <v>14640</v>
      </c>
      <c r="C1364" s="20" t="n">
        <f aca="false">ROUND(41.6/FX,2)</f>
        <v>5.78</v>
      </c>
      <c r="D1364" s="21" t="s">
        <v>6549</v>
      </c>
      <c r="E1364" s="21" t="s">
        <v>14558</v>
      </c>
      <c r="F1364" s="21" t="s">
        <v>14641</v>
      </c>
    </row>
    <row r="1365" customFormat="false" ht="15" hidden="false" customHeight="false" outlineLevel="0" collapsed="false">
      <c r="B1365" s="19" t="s">
        <v>14642</v>
      </c>
      <c r="C1365" s="20" t="n">
        <f aca="false">ROUND(41.6/FX,2)</f>
        <v>5.78</v>
      </c>
      <c r="D1365" s="21" t="s">
        <v>6549</v>
      </c>
      <c r="E1365" s="21" t="s">
        <v>14558</v>
      </c>
      <c r="F1365" s="21" t="s">
        <v>14643</v>
      </c>
    </row>
    <row r="1366" customFormat="false" ht="15" hidden="false" customHeight="false" outlineLevel="0" collapsed="false">
      <c r="B1366" s="19" t="s">
        <v>14644</v>
      </c>
      <c r="C1366" s="20" t="n">
        <f aca="false">ROUND(52.98/FX,2)</f>
        <v>7.36</v>
      </c>
      <c r="D1366" s="21" t="s">
        <v>6549</v>
      </c>
      <c r="E1366" s="21" t="s">
        <v>14558</v>
      </c>
      <c r="F1366" s="21" t="s">
        <v>14645</v>
      </c>
    </row>
    <row r="1367" customFormat="false" ht="15" hidden="false" customHeight="false" outlineLevel="0" collapsed="false">
      <c r="B1367" s="19" t="s">
        <v>14646</v>
      </c>
      <c r="C1367" s="20" t="n">
        <f aca="false">ROUND(72.15/FX,2)</f>
        <v>10.02</v>
      </c>
      <c r="D1367" s="21" t="s">
        <v>6549</v>
      </c>
      <c r="E1367" s="21" t="s">
        <v>14558</v>
      </c>
      <c r="F1367" s="21" t="s">
        <v>14647</v>
      </c>
    </row>
    <row r="1368" customFormat="false" ht="15" hidden="false" customHeight="false" outlineLevel="0" collapsed="false">
      <c r="B1368" s="19" t="s">
        <v>14648</v>
      </c>
      <c r="C1368" s="20" t="n">
        <f aca="false">ROUND(42.25/FX,2)</f>
        <v>5.87</v>
      </c>
      <c r="D1368" s="21" t="s">
        <v>6549</v>
      </c>
      <c r="E1368" s="21" t="s">
        <v>14558</v>
      </c>
      <c r="F1368" s="21" t="s">
        <v>14649</v>
      </c>
    </row>
    <row r="1369" customFormat="false" ht="15" hidden="false" customHeight="false" outlineLevel="0" collapsed="false">
      <c r="B1369" s="19" t="s">
        <v>14650</v>
      </c>
      <c r="C1369" s="20" t="n">
        <f aca="false">ROUND(2.73/FX,2)</f>
        <v>0.38</v>
      </c>
      <c r="D1369" s="21" t="s">
        <v>6549</v>
      </c>
      <c r="E1369" s="21" t="s">
        <v>14529</v>
      </c>
      <c r="F1369" s="21" t="s">
        <v>7827</v>
      </c>
    </row>
    <row r="1370" customFormat="false" ht="15" hidden="false" customHeight="false" outlineLevel="0" collapsed="false">
      <c r="B1370" s="19" t="s">
        <v>14651</v>
      </c>
      <c r="C1370" s="20" t="n">
        <f aca="false">ROUND(74.1/FX,2)</f>
        <v>10.29</v>
      </c>
      <c r="D1370" s="21" t="s">
        <v>6549</v>
      </c>
      <c r="E1370" s="21" t="s">
        <v>14558</v>
      </c>
      <c r="F1370" s="21" t="s">
        <v>14652</v>
      </c>
    </row>
    <row r="1371" customFormat="false" ht="15" hidden="false" customHeight="false" outlineLevel="0" collapsed="false">
      <c r="B1371" s="19" t="s">
        <v>14653</v>
      </c>
      <c r="C1371" s="20" t="n">
        <f aca="false">ROUND(5.2/FX,2)</f>
        <v>0.72</v>
      </c>
      <c r="D1371" s="21" t="s">
        <v>6549</v>
      </c>
      <c r="E1371" s="21" t="s">
        <v>14529</v>
      </c>
      <c r="F1371" s="21" t="s">
        <v>7829</v>
      </c>
    </row>
    <row r="1372" customFormat="false" ht="15" hidden="false" customHeight="false" outlineLevel="0" collapsed="false">
      <c r="B1372" s="19" t="s">
        <v>14654</v>
      </c>
      <c r="C1372" s="20" t="n">
        <f aca="false">ROUND(186.55/FX,2)</f>
        <v>25.91</v>
      </c>
      <c r="D1372" s="21" t="s">
        <v>6549</v>
      </c>
      <c r="E1372" s="21" t="s">
        <v>14558</v>
      </c>
      <c r="F1372" s="21" t="s">
        <v>14655</v>
      </c>
    </row>
    <row r="1373" customFormat="false" ht="15" hidden="false" customHeight="false" outlineLevel="0" collapsed="false">
      <c r="B1373" s="19" t="s">
        <v>14656</v>
      </c>
      <c r="C1373" s="20" t="n">
        <f aca="false">ROUND(5.2/FX,2)</f>
        <v>0.72</v>
      </c>
      <c r="D1373" s="21" t="s">
        <v>6549</v>
      </c>
      <c r="E1373" s="21" t="s">
        <v>14529</v>
      </c>
      <c r="F1373" s="21" t="s">
        <v>14657</v>
      </c>
    </row>
    <row r="1374" customFormat="false" ht="15" hidden="false" customHeight="false" outlineLevel="0" collapsed="false">
      <c r="B1374" s="19" t="s">
        <v>14658</v>
      </c>
      <c r="C1374" s="20" t="n">
        <f aca="false">ROUND(1.69/FX,2)</f>
        <v>0.23</v>
      </c>
      <c r="D1374" s="21" t="s">
        <v>6549</v>
      </c>
      <c r="E1374" s="21" t="s">
        <v>14529</v>
      </c>
      <c r="F1374" s="21" t="s">
        <v>7862</v>
      </c>
    </row>
    <row r="1375" customFormat="false" ht="15" hidden="false" customHeight="false" outlineLevel="0" collapsed="false">
      <c r="B1375" s="19" t="s">
        <v>14659</v>
      </c>
      <c r="C1375" s="20" t="n">
        <f aca="false">ROUND(5.85/FX,2)</f>
        <v>0.81</v>
      </c>
      <c r="D1375" s="21" t="s">
        <v>724</v>
      </c>
      <c r="E1375" s="21" t="s">
        <v>14529</v>
      </c>
      <c r="F1375" s="21" t="s">
        <v>14660</v>
      </c>
    </row>
    <row r="1376" customFormat="false" ht="15" hidden="false" customHeight="false" outlineLevel="0" collapsed="false">
      <c r="B1376" s="19" t="s">
        <v>14661</v>
      </c>
      <c r="C1376" s="20" t="n">
        <f aca="false">ROUND(2.32/FX,2)</f>
        <v>0.32</v>
      </c>
      <c r="D1376" s="21" t="s">
        <v>6549</v>
      </c>
      <c r="E1376" s="21" t="s">
        <v>14529</v>
      </c>
      <c r="F1376" s="21" t="s">
        <v>14660</v>
      </c>
    </row>
    <row r="1377" customFormat="false" ht="15" hidden="false" customHeight="false" outlineLevel="0" collapsed="false">
      <c r="B1377" s="19" t="s">
        <v>14662</v>
      </c>
      <c r="C1377" s="20" t="n">
        <f aca="false">ROUND(5.85/FX,2)</f>
        <v>0.81</v>
      </c>
      <c r="D1377" s="21" t="s">
        <v>724</v>
      </c>
      <c r="E1377" s="21" t="s">
        <v>14529</v>
      </c>
      <c r="F1377" s="21" t="s">
        <v>7866</v>
      </c>
    </row>
    <row r="1378" customFormat="false" ht="15" hidden="false" customHeight="false" outlineLevel="0" collapsed="false">
      <c r="B1378" s="19" t="s">
        <v>14663</v>
      </c>
      <c r="C1378" s="20" t="n">
        <f aca="false">ROUND(1.82/FX,2)</f>
        <v>0.25</v>
      </c>
      <c r="D1378" s="21" t="s">
        <v>6549</v>
      </c>
      <c r="E1378" s="21" t="s">
        <v>14529</v>
      </c>
      <c r="F1378" s="21" t="s">
        <v>7866</v>
      </c>
    </row>
    <row r="1381" customFormat="false" ht="61.5" hidden="false" customHeight="true" outlineLevel="0" collapsed="false">
      <c r="A1381" s="9"/>
      <c r="B1381" s="10" t="s">
        <v>14664</v>
      </c>
      <c r="C1381" s="10"/>
      <c r="D1381" s="10"/>
      <c r="E1381" s="10"/>
    </row>
    <row r="1382" customFormat="false" ht="15" hidden="false" customHeight="false" outlineLevel="0" collapsed="false">
      <c r="A1382" s="12" t="s">
        <v>700</v>
      </c>
      <c r="B1382" s="13" t="s">
        <v>701</v>
      </c>
      <c r="C1382" s="13" t="s">
        <v>702</v>
      </c>
      <c r="D1382" s="13" t="s">
        <v>723</v>
      </c>
      <c r="E1382" s="13" t="s">
        <v>7711</v>
      </c>
    </row>
    <row r="1383" customFormat="false" ht="30" hidden="false" customHeight="true" outlineLevel="0" collapsed="false">
      <c r="A1383" s="14" t="s">
        <v>706</v>
      </c>
      <c r="B1383" s="15" t="str">
        <f aca="false">IF(COUNTIFS($D$1386:$D$1430,IF(D1383="","*",D1383),$E$1386:$E$1430,IF(E1383="","*",E1383))=1,INDEX($B:$B,SUMPRODUCT(((D1383="")+($D$1386:$D$1430=D1383)&gt;0)*((E1383="")+($E$1386:$E$1430=E1383)&gt;0)*ROW($B$1386:$B$1430))),IF(COUNTIFS($D$1386:$D$1430,IF(D1383="","*",D1383),$E$1386:$E$1430,IF(E1383="","*",E1383))=0,"Not available",COUNTIFS($D$1386:$D$1430,IF(D1383="","*",D1383),$E$1386:$E$1430,IF(E1383="","*",E1383))&amp;" match, keep choosing"))</f>
        <v>RL-055-10-F</v>
      </c>
      <c r="C1383" s="16" t="n">
        <f aca="false">IF(COUNTIFS($D$1386:$D$1430,IF(D1383="","*",D1383),$E$1386:$E$1430,IF(E1383="","*",E1383))=1,INDEX($C:$C,SUMPRODUCT(((D1383="")+($D$1386:$D$1430=D1383)&gt;0)*((E1383="")+($E$1386:$E$1430=E1383)&gt;0)*ROW($B$1386:$B$1430))),"")</f>
        <v>0.81</v>
      </c>
      <c r="D1383" s="17" t="s">
        <v>13025</v>
      </c>
      <c r="E1383" s="17" t="s">
        <v>707</v>
      </c>
    </row>
    <row r="1385" customFormat="false" ht="15" hidden="false" customHeight="false" outlineLevel="0" collapsed="false">
      <c r="B1385" s="18" t="s">
        <v>701</v>
      </c>
      <c r="C1385" s="18" t="s">
        <v>702</v>
      </c>
      <c r="D1385" s="18" t="s">
        <v>723</v>
      </c>
      <c r="E1385" s="18" t="s">
        <v>7711</v>
      </c>
    </row>
    <row r="1386" customFormat="false" ht="15" hidden="false" customHeight="false" outlineLevel="0" collapsed="false">
      <c r="B1386" s="19" t="s">
        <v>14665</v>
      </c>
      <c r="C1386" s="20" t="n">
        <f aca="false">ROUND(5.85/FX,2)</f>
        <v>0.81</v>
      </c>
      <c r="D1386" s="21" t="s">
        <v>13025</v>
      </c>
      <c r="E1386" s="21" t="s">
        <v>707</v>
      </c>
    </row>
    <row r="1387" customFormat="false" ht="15" hidden="false" customHeight="false" outlineLevel="0" collapsed="false">
      <c r="B1387" s="19" t="s">
        <v>14666</v>
      </c>
      <c r="C1387" s="20" t="n">
        <f aca="false">ROUND(7.15/FX,2)</f>
        <v>0.99</v>
      </c>
      <c r="D1387" s="21" t="s">
        <v>14667</v>
      </c>
      <c r="E1387" s="21" t="s">
        <v>707</v>
      </c>
    </row>
    <row r="1388" customFormat="false" ht="15" hidden="false" customHeight="false" outlineLevel="0" collapsed="false">
      <c r="B1388" s="19" t="s">
        <v>14668</v>
      </c>
      <c r="C1388" s="20" t="n">
        <f aca="false">ROUND(7.15/FX,2)</f>
        <v>0.99</v>
      </c>
      <c r="D1388" s="21" t="s">
        <v>14669</v>
      </c>
      <c r="E1388" s="21" t="s">
        <v>707</v>
      </c>
    </row>
    <row r="1389" customFormat="false" ht="15" hidden="false" customHeight="false" outlineLevel="0" collapsed="false">
      <c r="B1389" s="19" t="s">
        <v>14670</v>
      </c>
      <c r="C1389" s="20" t="n">
        <f aca="false">ROUND(5.15/FX,2)</f>
        <v>0.72</v>
      </c>
      <c r="D1389" s="21" t="s">
        <v>13025</v>
      </c>
      <c r="E1389" s="21" t="s">
        <v>761</v>
      </c>
    </row>
    <row r="1390" customFormat="false" ht="15" hidden="false" customHeight="false" outlineLevel="0" collapsed="false">
      <c r="B1390" s="19" t="s">
        <v>14671</v>
      </c>
      <c r="C1390" s="20" t="n">
        <f aca="false">ROUND(7.8/FX,2)</f>
        <v>1.08</v>
      </c>
      <c r="D1390" s="21" t="s">
        <v>14667</v>
      </c>
      <c r="E1390" s="21" t="s">
        <v>761</v>
      </c>
    </row>
    <row r="1391" customFormat="false" ht="15" hidden="false" customHeight="false" outlineLevel="0" collapsed="false">
      <c r="B1391" s="19" t="s">
        <v>14672</v>
      </c>
      <c r="C1391" s="20" t="n">
        <f aca="false">ROUND(7.8/FX,2)</f>
        <v>1.08</v>
      </c>
      <c r="D1391" s="21" t="s">
        <v>14669</v>
      </c>
      <c r="E1391" s="21" t="s">
        <v>761</v>
      </c>
    </row>
    <row r="1392" customFormat="false" ht="15" hidden="false" customHeight="false" outlineLevel="0" collapsed="false">
      <c r="B1392" s="19" t="s">
        <v>14673</v>
      </c>
      <c r="C1392" s="20" t="n">
        <f aca="false">ROUND(9.1/FX,2)</f>
        <v>1.26</v>
      </c>
      <c r="D1392" s="21" t="s">
        <v>13025</v>
      </c>
      <c r="E1392" s="21" t="s">
        <v>714</v>
      </c>
    </row>
    <row r="1393" customFormat="false" ht="15" hidden="false" customHeight="false" outlineLevel="0" collapsed="false">
      <c r="B1393" s="19" t="s">
        <v>14674</v>
      </c>
      <c r="C1393" s="20" t="n">
        <f aca="false">ROUND(9.75/FX,2)</f>
        <v>1.35</v>
      </c>
      <c r="D1393" s="21" t="s">
        <v>14667</v>
      </c>
      <c r="E1393" s="21" t="s">
        <v>714</v>
      </c>
    </row>
    <row r="1394" customFormat="false" ht="15" hidden="false" customHeight="false" outlineLevel="0" collapsed="false">
      <c r="B1394" s="19" t="s">
        <v>14675</v>
      </c>
      <c r="C1394" s="20" t="n">
        <f aca="false">ROUND(9.75/FX,2)</f>
        <v>1.35</v>
      </c>
      <c r="D1394" s="21" t="s">
        <v>14669</v>
      </c>
      <c r="E1394" s="21" t="s">
        <v>714</v>
      </c>
    </row>
    <row r="1395" customFormat="false" ht="15" hidden="false" customHeight="false" outlineLevel="0" collapsed="false">
      <c r="B1395" s="19" t="s">
        <v>14676</v>
      </c>
      <c r="C1395" s="20" t="n">
        <f aca="false">ROUND(9.1/FX,2)</f>
        <v>1.26</v>
      </c>
      <c r="D1395" s="21" t="s">
        <v>13025</v>
      </c>
      <c r="E1395" s="21" t="s">
        <v>3833</v>
      </c>
    </row>
    <row r="1396" customFormat="false" ht="15" hidden="false" customHeight="false" outlineLevel="0" collapsed="false">
      <c r="B1396" s="19" t="s">
        <v>14677</v>
      </c>
      <c r="C1396" s="20" t="n">
        <f aca="false">ROUND(10.4/FX,2)</f>
        <v>1.44</v>
      </c>
      <c r="D1396" s="21" t="s">
        <v>14667</v>
      </c>
      <c r="E1396" s="21" t="s">
        <v>3833</v>
      </c>
    </row>
    <row r="1397" customFormat="false" ht="15" hidden="false" customHeight="false" outlineLevel="0" collapsed="false">
      <c r="B1397" s="19" t="s">
        <v>14678</v>
      </c>
      <c r="C1397" s="20" t="n">
        <f aca="false">ROUND(10.4/FX,2)</f>
        <v>1.44</v>
      </c>
      <c r="D1397" s="21" t="s">
        <v>14669</v>
      </c>
      <c r="E1397" s="21" t="s">
        <v>3833</v>
      </c>
    </row>
    <row r="1398" customFormat="false" ht="15" hidden="false" customHeight="false" outlineLevel="0" collapsed="false">
      <c r="B1398" s="19" t="s">
        <v>14679</v>
      </c>
      <c r="C1398" s="20" t="n">
        <f aca="false">ROUND(10.4/FX,2)</f>
        <v>1.44</v>
      </c>
      <c r="D1398" s="21" t="s">
        <v>13025</v>
      </c>
      <c r="E1398" s="21" t="s">
        <v>3247</v>
      </c>
    </row>
    <row r="1399" customFormat="false" ht="15" hidden="false" customHeight="false" outlineLevel="0" collapsed="false">
      <c r="B1399" s="19" t="s">
        <v>14680</v>
      </c>
      <c r="C1399" s="20" t="n">
        <f aca="false">ROUND(11.7/FX,2)</f>
        <v>1.63</v>
      </c>
      <c r="D1399" s="21" t="s">
        <v>14667</v>
      </c>
      <c r="E1399" s="21" t="s">
        <v>3247</v>
      </c>
    </row>
    <row r="1400" customFormat="false" ht="15" hidden="false" customHeight="false" outlineLevel="0" collapsed="false">
      <c r="B1400" s="19" t="s">
        <v>14681</v>
      </c>
      <c r="C1400" s="20" t="n">
        <f aca="false">ROUND(11.7/FX,2)</f>
        <v>1.63</v>
      </c>
      <c r="D1400" s="21" t="s">
        <v>14669</v>
      </c>
      <c r="E1400" s="21" t="s">
        <v>3247</v>
      </c>
    </row>
    <row r="1401" customFormat="false" ht="15" hidden="false" customHeight="false" outlineLevel="0" collapsed="false">
      <c r="B1401" s="19" t="s">
        <v>14682</v>
      </c>
      <c r="C1401" s="20" t="n">
        <f aca="false">ROUND(15.6/FX,2)</f>
        <v>2.17</v>
      </c>
      <c r="D1401" s="21" t="s">
        <v>13025</v>
      </c>
      <c r="E1401" s="21" t="s">
        <v>3317</v>
      </c>
    </row>
    <row r="1402" customFormat="false" ht="15" hidden="false" customHeight="false" outlineLevel="0" collapsed="false">
      <c r="B1402" s="19" t="s">
        <v>14683</v>
      </c>
      <c r="C1402" s="20" t="n">
        <f aca="false">ROUND(17.55/FX,2)</f>
        <v>2.44</v>
      </c>
      <c r="D1402" s="21" t="s">
        <v>14667</v>
      </c>
      <c r="E1402" s="21" t="s">
        <v>3317</v>
      </c>
    </row>
    <row r="1403" customFormat="false" ht="15" hidden="false" customHeight="false" outlineLevel="0" collapsed="false">
      <c r="B1403" s="19" t="s">
        <v>14684</v>
      </c>
      <c r="C1403" s="20" t="n">
        <f aca="false">ROUND(17.55/FX,2)</f>
        <v>2.44</v>
      </c>
      <c r="D1403" s="21" t="s">
        <v>14669</v>
      </c>
      <c r="E1403" s="21" t="s">
        <v>3317</v>
      </c>
    </row>
    <row r="1404" customFormat="false" ht="15" hidden="false" customHeight="false" outlineLevel="0" collapsed="false">
      <c r="B1404" s="19" t="s">
        <v>14685</v>
      </c>
      <c r="C1404" s="20" t="n">
        <f aca="false">ROUND(6.5/FX,2)</f>
        <v>0.9</v>
      </c>
      <c r="D1404" s="21" t="s">
        <v>13025</v>
      </c>
      <c r="E1404" s="21" t="s">
        <v>839</v>
      </c>
    </row>
    <row r="1405" customFormat="false" ht="15" hidden="false" customHeight="false" outlineLevel="0" collapsed="false">
      <c r="B1405" s="19" t="s">
        <v>14686</v>
      </c>
      <c r="C1405" s="20" t="n">
        <f aca="false">ROUND(7.8/FX,2)</f>
        <v>1.08</v>
      </c>
      <c r="D1405" s="21" t="s">
        <v>14667</v>
      </c>
      <c r="E1405" s="21" t="s">
        <v>839</v>
      </c>
    </row>
    <row r="1406" customFormat="false" ht="15" hidden="false" customHeight="false" outlineLevel="0" collapsed="false">
      <c r="B1406" s="19" t="s">
        <v>14687</v>
      </c>
      <c r="C1406" s="20" t="n">
        <f aca="false">ROUND(7.8/FX,2)</f>
        <v>1.08</v>
      </c>
      <c r="D1406" s="21" t="s">
        <v>14669</v>
      </c>
      <c r="E1406" s="21" t="s">
        <v>839</v>
      </c>
    </row>
    <row r="1407" customFormat="false" ht="15" hidden="false" customHeight="false" outlineLevel="0" collapsed="false">
      <c r="B1407" s="19" t="s">
        <v>14688</v>
      </c>
      <c r="C1407" s="20" t="n">
        <f aca="false">ROUND(20.8/FX,2)</f>
        <v>2.89</v>
      </c>
      <c r="D1407" s="21" t="s">
        <v>13025</v>
      </c>
      <c r="E1407" s="21" t="s">
        <v>784</v>
      </c>
    </row>
    <row r="1408" customFormat="false" ht="15" hidden="false" customHeight="false" outlineLevel="0" collapsed="false">
      <c r="B1408" s="19" t="s">
        <v>14689</v>
      </c>
      <c r="C1408" s="20" t="n">
        <f aca="false">ROUND(23.4/FX,2)</f>
        <v>3.25</v>
      </c>
      <c r="D1408" s="21" t="s">
        <v>14667</v>
      </c>
      <c r="E1408" s="21" t="s">
        <v>784</v>
      </c>
    </row>
    <row r="1409" customFormat="false" ht="15" hidden="false" customHeight="false" outlineLevel="0" collapsed="false">
      <c r="B1409" s="19" t="s">
        <v>14690</v>
      </c>
      <c r="C1409" s="20" t="n">
        <f aca="false">ROUND(23.4/FX,2)</f>
        <v>3.25</v>
      </c>
      <c r="D1409" s="21" t="s">
        <v>14669</v>
      </c>
      <c r="E1409" s="21" t="s">
        <v>784</v>
      </c>
    </row>
    <row r="1410" customFormat="false" ht="15" hidden="false" customHeight="false" outlineLevel="0" collapsed="false">
      <c r="B1410" s="19" t="s">
        <v>14691</v>
      </c>
      <c r="C1410" s="20" t="n">
        <f aca="false">ROUND(39/FX,2)</f>
        <v>5.42</v>
      </c>
      <c r="D1410" s="21" t="s">
        <v>13025</v>
      </c>
      <c r="E1410" s="21" t="s">
        <v>3328</v>
      </c>
    </row>
    <row r="1411" customFormat="false" ht="15" hidden="false" customHeight="false" outlineLevel="0" collapsed="false">
      <c r="B1411" s="19" t="s">
        <v>14692</v>
      </c>
      <c r="C1411" s="20" t="n">
        <f aca="false">ROUND(39/FX,2)</f>
        <v>5.42</v>
      </c>
      <c r="D1411" s="21" t="s">
        <v>14667</v>
      </c>
      <c r="E1411" s="21" t="s">
        <v>3328</v>
      </c>
    </row>
    <row r="1412" customFormat="false" ht="15" hidden="false" customHeight="false" outlineLevel="0" collapsed="false">
      <c r="B1412" s="19" t="s">
        <v>14693</v>
      </c>
      <c r="C1412" s="20" t="n">
        <f aca="false">ROUND(39/FX,2)</f>
        <v>5.42</v>
      </c>
      <c r="D1412" s="21" t="s">
        <v>14669</v>
      </c>
      <c r="E1412" s="21" t="s">
        <v>3328</v>
      </c>
    </row>
    <row r="1413" customFormat="false" ht="15" hidden="false" customHeight="false" outlineLevel="0" collapsed="false">
      <c r="B1413" s="19" t="s">
        <v>14694</v>
      </c>
      <c r="C1413" s="20" t="n">
        <f aca="false">ROUND(6.5/FX,2)</f>
        <v>0.9</v>
      </c>
      <c r="D1413" s="21" t="s">
        <v>13025</v>
      </c>
      <c r="E1413" s="21" t="s">
        <v>841</v>
      </c>
    </row>
    <row r="1414" customFormat="false" ht="15" hidden="false" customHeight="false" outlineLevel="0" collapsed="false">
      <c r="B1414" s="19" t="s">
        <v>14695</v>
      </c>
      <c r="C1414" s="20" t="n">
        <f aca="false">ROUND(7.8/FX,2)</f>
        <v>1.08</v>
      </c>
      <c r="D1414" s="21" t="s">
        <v>14667</v>
      </c>
      <c r="E1414" s="21" t="s">
        <v>841</v>
      </c>
    </row>
    <row r="1415" customFormat="false" ht="15" hidden="false" customHeight="false" outlineLevel="0" collapsed="false">
      <c r="B1415" s="19" t="s">
        <v>14696</v>
      </c>
      <c r="C1415" s="20" t="n">
        <f aca="false">ROUND(7.8/FX,2)</f>
        <v>1.08</v>
      </c>
      <c r="D1415" s="21" t="s">
        <v>14669</v>
      </c>
      <c r="E1415" s="21" t="s">
        <v>841</v>
      </c>
    </row>
    <row r="1416" customFormat="false" ht="15" hidden="false" customHeight="false" outlineLevel="0" collapsed="false">
      <c r="B1416" s="19" t="s">
        <v>14697</v>
      </c>
      <c r="C1416" s="20" t="n">
        <f aca="false">ROUND(52/FX,2)</f>
        <v>7.22</v>
      </c>
      <c r="D1416" s="21" t="s">
        <v>13025</v>
      </c>
      <c r="E1416" s="21" t="s">
        <v>6246</v>
      </c>
    </row>
    <row r="1417" customFormat="false" ht="15" hidden="false" customHeight="false" outlineLevel="0" collapsed="false">
      <c r="B1417" s="19" t="s">
        <v>14698</v>
      </c>
      <c r="C1417" s="20" t="n">
        <f aca="false">ROUND(52/FX,2)</f>
        <v>7.22</v>
      </c>
      <c r="D1417" s="21" t="s">
        <v>14667</v>
      </c>
      <c r="E1417" s="21" t="s">
        <v>6246</v>
      </c>
    </row>
    <row r="1418" customFormat="false" ht="15" hidden="false" customHeight="false" outlineLevel="0" collapsed="false">
      <c r="B1418" s="19" t="s">
        <v>14699</v>
      </c>
      <c r="C1418" s="20" t="n">
        <f aca="false">ROUND(52/FX,2)</f>
        <v>7.22</v>
      </c>
      <c r="D1418" s="21" t="s">
        <v>14669</v>
      </c>
      <c r="E1418" s="21" t="s">
        <v>6246</v>
      </c>
    </row>
    <row r="1419" customFormat="false" ht="15" hidden="false" customHeight="false" outlineLevel="0" collapsed="false">
      <c r="B1419" s="19" t="s">
        <v>14700</v>
      </c>
      <c r="C1419" s="20" t="n">
        <f aca="false">ROUND(6.5/FX,2)</f>
        <v>0.9</v>
      </c>
      <c r="D1419" s="21" t="s">
        <v>13025</v>
      </c>
      <c r="E1419" s="21" t="s">
        <v>789</v>
      </c>
    </row>
    <row r="1420" customFormat="false" ht="15" hidden="false" customHeight="false" outlineLevel="0" collapsed="false">
      <c r="B1420" s="19" t="s">
        <v>14701</v>
      </c>
      <c r="C1420" s="20" t="n">
        <f aca="false">ROUND(7.8/FX,2)</f>
        <v>1.08</v>
      </c>
      <c r="D1420" s="21" t="s">
        <v>14667</v>
      </c>
      <c r="E1420" s="21" t="s">
        <v>789</v>
      </c>
    </row>
    <row r="1421" customFormat="false" ht="15" hidden="false" customHeight="false" outlineLevel="0" collapsed="false">
      <c r="B1421" s="19" t="s">
        <v>14702</v>
      </c>
      <c r="C1421" s="20" t="n">
        <f aca="false">ROUND(7.8/FX,2)</f>
        <v>1.08</v>
      </c>
      <c r="D1421" s="21" t="s">
        <v>14669</v>
      </c>
      <c r="E1421" s="21" t="s">
        <v>789</v>
      </c>
    </row>
    <row r="1422" customFormat="false" ht="15" hidden="false" customHeight="false" outlineLevel="0" collapsed="false">
      <c r="B1422" s="19" t="s">
        <v>14703</v>
      </c>
      <c r="C1422" s="20" t="n">
        <f aca="false">ROUND(71.5/FX,2)</f>
        <v>9.93</v>
      </c>
      <c r="D1422" s="21" t="s">
        <v>13025</v>
      </c>
      <c r="E1422" s="21" t="s">
        <v>2911</v>
      </c>
    </row>
    <row r="1423" customFormat="false" ht="15" hidden="false" customHeight="false" outlineLevel="0" collapsed="false">
      <c r="B1423" s="19" t="s">
        <v>14704</v>
      </c>
      <c r="C1423" s="20" t="n">
        <f aca="false">ROUND(71.5/FX,2)</f>
        <v>9.93</v>
      </c>
      <c r="D1423" s="21" t="s">
        <v>14667</v>
      </c>
      <c r="E1423" s="21" t="s">
        <v>2911</v>
      </c>
    </row>
    <row r="1424" customFormat="false" ht="15" hidden="false" customHeight="false" outlineLevel="0" collapsed="false">
      <c r="B1424" s="19" t="s">
        <v>14705</v>
      </c>
      <c r="C1424" s="20" t="n">
        <f aca="false">ROUND(71.5/FX,2)</f>
        <v>9.93</v>
      </c>
      <c r="D1424" s="21" t="s">
        <v>14669</v>
      </c>
      <c r="E1424" s="21" t="s">
        <v>2911</v>
      </c>
    </row>
    <row r="1425" customFormat="false" ht="15" hidden="false" customHeight="false" outlineLevel="0" collapsed="false">
      <c r="B1425" s="19" t="s">
        <v>14706</v>
      </c>
      <c r="C1425" s="20" t="n">
        <f aca="false">ROUND(6.5/FX,2)</f>
        <v>0.9</v>
      </c>
      <c r="D1425" s="21" t="s">
        <v>13025</v>
      </c>
      <c r="E1425" s="21" t="s">
        <v>716</v>
      </c>
    </row>
    <row r="1426" customFormat="false" ht="15" hidden="false" customHeight="false" outlineLevel="0" collapsed="false">
      <c r="B1426" s="19" t="s">
        <v>14707</v>
      </c>
      <c r="C1426" s="20" t="n">
        <f aca="false">ROUND(7.8/FX,2)</f>
        <v>1.08</v>
      </c>
      <c r="D1426" s="21" t="s">
        <v>14667</v>
      </c>
      <c r="E1426" s="21" t="s">
        <v>716</v>
      </c>
    </row>
    <row r="1427" customFormat="false" ht="15" hidden="false" customHeight="false" outlineLevel="0" collapsed="false">
      <c r="B1427" s="19" t="s">
        <v>14708</v>
      </c>
      <c r="C1427" s="20" t="n">
        <f aca="false">ROUND(7.8/FX,2)</f>
        <v>1.08</v>
      </c>
      <c r="D1427" s="21" t="s">
        <v>14669</v>
      </c>
      <c r="E1427" s="21" t="s">
        <v>716</v>
      </c>
    </row>
    <row r="1428" customFormat="false" ht="15" hidden="false" customHeight="false" outlineLevel="0" collapsed="false">
      <c r="B1428" s="19" t="s">
        <v>14709</v>
      </c>
      <c r="C1428" s="20" t="n">
        <f aca="false">ROUND(3.84/FX,2)</f>
        <v>0.53</v>
      </c>
      <c r="D1428" s="21" t="s">
        <v>13025</v>
      </c>
      <c r="E1428" s="21" t="s">
        <v>847</v>
      </c>
    </row>
    <row r="1429" customFormat="false" ht="15" hidden="false" customHeight="false" outlineLevel="0" collapsed="false">
      <c r="B1429" s="19" t="s">
        <v>14710</v>
      </c>
      <c r="C1429" s="20" t="n">
        <f aca="false">ROUND(6.5/FX,2)</f>
        <v>0.9</v>
      </c>
      <c r="D1429" s="21" t="s">
        <v>14667</v>
      </c>
      <c r="E1429" s="21" t="s">
        <v>847</v>
      </c>
    </row>
    <row r="1430" customFormat="false" ht="15" hidden="false" customHeight="false" outlineLevel="0" collapsed="false">
      <c r="B1430" s="19" t="s">
        <v>14711</v>
      </c>
      <c r="C1430" s="20" t="n">
        <f aca="false">ROUND(6.5/FX,2)</f>
        <v>0.9</v>
      </c>
      <c r="D1430" s="21" t="s">
        <v>14669</v>
      </c>
      <c r="E1430" s="21" t="s">
        <v>847</v>
      </c>
    </row>
    <row r="1433" customFormat="false" ht="61.5" hidden="false" customHeight="true" outlineLevel="0" collapsed="false">
      <c r="A1433" s="9"/>
      <c r="B1433" s="10" t="s">
        <v>14712</v>
      </c>
      <c r="C1433" s="10"/>
      <c r="D1433" s="10"/>
      <c r="E1433" s="10"/>
      <c r="F1433" s="10"/>
      <c r="G1433" s="10"/>
    </row>
    <row r="1434" customFormat="false" ht="15" hidden="false" customHeight="false" outlineLevel="0" collapsed="false">
      <c r="A1434" s="12" t="s">
        <v>700</v>
      </c>
      <c r="B1434" s="13" t="s">
        <v>701</v>
      </c>
      <c r="C1434" s="13" t="s">
        <v>702</v>
      </c>
      <c r="D1434" s="13" t="s">
        <v>704</v>
      </c>
      <c r="E1434" s="13" t="s">
        <v>6159</v>
      </c>
      <c r="F1434" s="13" t="s">
        <v>723</v>
      </c>
      <c r="G1434" s="13" t="s">
        <v>7711</v>
      </c>
    </row>
    <row r="1435" customFormat="false" ht="30" hidden="false" customHeight="true" outlineLevel="0" collapsed="false">
      <c r="A1435" s="14" t="s">
        <v>706</v>
      </c>
      <c r="B1435" s="15" t="str">
        <f aca="false">IF(COUNTIFS($D$1438:$D$1465,IF(D1435="","*",D1435),$E$1438:$E$1465,IF(E1435="","*",E1435),$F$1438:$F$1465,IF(F1435="","*",F1435),$G$1438:$G$1465,IF(G1435="","*",G1435))=1,INDEX($B:$B,SUMPRODUCT(((D1435="")+($D$1438:$D$1465=D1435)&gt;0)*((E1435="")+($E$1438:$E$1465=E1435)&gt;0)*((F1435="")+($F$1438:$F$1465=F1435)&gt;0)*((G1435="")+($G$1438:$G$1465=G1435)&gt;0)*ROW($B$1438:$B$1465))),IF(COUNTIFS($D$1438:$D$1465,IF(D1435="","*",D1435),$E$1438:$E$1465,IF(E1435="","*",E1435),$F$1438:$F$1465,IF(F1435="","*",F1435),$G$1438:$G$1465,IF(G1435="","*",G1435))=0,"Not available",COUNTIFS($D$1438:$D$1465,IF(D1435="","*",D1435),$E$1438:$E$1465,IF(E1435="","*",E1435),$F$1438:$F$1465,IF(F1435="","*",F1435),$G$1438:$G$1465,IF(G1435="","*",G1435))&amp;" match, keep choosing"))</f>
        <v>KP-KFL000-ZN-HD-10</v>
      </c>
      <c r="C1435" s="16" t="n">
        <f aca="false">IF(COUNTIFS($D$1438:$D$1465,IF(D1435="","*",D1435),$E$1438:$E$1465,IF(E1435="","*",E1435),$F$1438:$F$1465,IF(F1435="","*",F1435),$G$1438:$G$1465,IF(G1435="","*",G1435))=1,INDEX($C:$C,SUMPRODUCT(((D1435="")+($D$1438:$D$1465=D1435)&gt;0)*((E1435="")+($E$1438:$E$1465=E1435)&gt;0)*((F1435="")+($F$1438:$F$1465=F1435)&gt;0)*((G1435="")+($G$1438:$G$1465=G1435)&gt;0)*ROW($B$1438:$B$1465))),"")</f>
        <v>0.52</v>
      </c>
      <c r="D1435" s="17" t="s">
        <v>14713</v>
      </c>
      <c r="E1435" s="17" t="s">
        <v>14714</v>
      </c>
      <c r="F1435" s="17" t="s">
        <v>14715</v>
      </c>
      <c r="G1435" s="17" t="s">
        <v>707</v>
      </c>
    </row>
    <row r="1437" customFormat="false" ht="15" hidden="false" customHeight="false" outlineLevel="0" collapsed="false">
      <c r="B1437" s="18" t="s">
        <v>701</v>
      </c>
      <c r="C1437" s="18" t="s">
        <v>702</v>
      </c>
      <c r="D1437" s="18" t="s">
        <v>704</v>
      </c>
      <c r="E1437" s="18" t="s">
        <v>6159</v>
      </c>
      <c r="F1437" s="18" t="s">
        <v>723</v>
      </c>
      <c r="G1437" s="18" t="s">
        <v>7711</v>
      </c>
    </row>
    <row r="1438" customFormat="false" ht="15" hidden="false" customHeight="false" outlineLevel="0" collapsed="false">
      <c r="B1438" s="19" t="s">
        <v>14716</v>
      </c>
      <c r="C1438" s="20" t="n">
        <f aca="false">ROUND(3.77/FX,2)</f>
        <v>0.52</v>
      </c>
      <c r="D1438" s="21" t="s">
        <v>14713</v>
      </c>
      <c r="E1438" s="21" t="s">
        <v>14714</v>
      </c>
      <c r="F1438" s="21" t="s">
        <v>14715</v>
      </c>
      <c r="G1438" s="21" t="s">
        <v>707</v>
      </c>
    </row>
    <row r="1439" customFormat="false" ht="15" hidden="false" customHeight="false" outlineLevel="0" collapsed="false">
      <c r="B1439" s="19" t="s">
        <v>14717</v>
      </c>
      <c r="C1439" s="20" t="n">
        <f aca="false">ROUND(2.15/FX,2)</f>
        <v>0.3</v>
      </c>
      <c r="D1439" s="21" t="s">
        <v>14713</v>
      </c>
      <c r="E1439" s="21" t="s">
        <v>14714</v>
      </c>
      <c r="F1439" s="21" t="s">
        <v>14718</v>
      </c>
      <c r="G1439" s="21" t="s">
        <v>707</v>
      </c>
    </row>
    <row r="1440" customFormat="false" ht="15" hidden="false" customHeight="false" outlineLevel="0" collapsed="false">
      <c r="B1440" s="19" t="s">
        <v>14719</v>
      </c>
      <c r="C1440" s="20" t="n">
        <f aca="false">ROUND(3.97/FX,2)</f>
        <v>0.55</v>
      </c>
      <c r="D1440" s="21" t="s">
        <v>14713</v>
      </c>
      <c r="E1440" s="21" t="s">
        <v>14720</v>
      </c>
      <c r="F1440" s="21" t="s">
        <v>14715</v>
      </c>
      <c r="G1440" s="21" t="s">
        <v>761</v>
      </c>
    </row>
    <row r="1441" customFormat="false" ht="15" hidden="false" customHeight="false" outlineLevel="0" collapsed="false">
      <c r="B1441" s="19" t="s">
        <v>14721</v>
      </c>
      <c r="C1441" s="20" t="n">
        <f aca="false">ROUND(2.39/FX,2)</f>
        <v>0.33</v>
      </c>
      <c r="D1441" s="21" t="s">
        <v>14713</v>
      </c>
      <c r="E1441" s="21" t="s">
        <v>14720</v>
      </c>
      <c r="F1441" s="21" t="s">
        <v>14718</v>
      </c>
      <c r="G1441" s="21" t="s">
        <v>761</v>
      </c>
    </row>
    <row r="1442" customFormat="false" ht="15" hidden="false" customHeight="false" outlineLevel="0" collapsed="false">
      <c r="B1442" s="19" t="s">
        <v>14722</v>
      </c>
      <c r="C1442" s="20" t="n">
        <f aca="false">ROUND(19.5/FX,2)</f>
        <v>2.71</v>
      </c>
      <c r="D1442" s="21" t="s">
        <v>8669</v>
      </c>
      <c r="E1442" s="21" t="s">
        <v>14723</v>
      </c>
      <c r="F1442" s="21" t="s">
        <v>14715</v>
      </c>
      <c r="G1442" s="21" t="s">
        <v>714</v>
      </c>
    </row>
    <row r="1443" customFormat="false" ht="15" hidden="false" customHeight="false" outlineLevel="0" collapsed="false">
      <c r="B1443" s="19" t="s">
        <v>14724</v>
      </c>
      <c r="C1443" s="20" t="n">
        <f aca="false">ROUND(4.81/FX,2)</f>
        <v>0.67</v>
      </c>
      <c r="D1443" s="21" t="s">
        <v>14713</v>
      </c>
      <c r="E1443" s="21" t="s">
        <v>14723</v>
      </c>
      <c r="F1443" s="21" t="s">
        <v>14715</v>
      </c>
      <c r="G1443" s="21" t="s">
        <v>714</v>
      </c>
    </row>
    <row r="1444" customFormat="false" ht="15" hidden="false" customHeight="false" outlineLevel="0" collapsed="false">
      <c r="B1444" s="19" t="s">
        <v>14725</v>
      </c>
      <c r="C1444" s="20" t="n">
        <f aca="false">ROUND(5.2/FX,2)</f>
        <v>0.72</v>
      </c>
      <c r="D1444" s="21" t="s">
        <v>14713</v>
      </c>
      <c r="E1444" s="21" t="s">
        <v>14726</v>
      </c>
      <c r="F1444" s="21" t="s">
        <v>14715</v>
      </c>
      <c r="G1444" s="21" t="s">
        <v>5492</v>
      </c>
    </row>
    <row r="1445" customFormat="false" ht="15" hidden="false" customHeight="false" outlineLevel="0" collapsed="false">
      <c r="B1445" s="19" t="s">
        <v>14727</v>
      </c>
      <c r="C1445" s="20" t="n">
        <f aca="false">ROUND(3.06/FX,2)</f>
        <v>0.43</v>
      </c>
      <c r="D1445" s="21" t="s">
        <v>14713</v>
      </c>
      <c r="E1445" s="21" t="s">
        <v>14726</v>
      </c>
      <c r="F1445" s="21" t="s">
        <v>14718</v>
      </c>
      <c r="G1445" s="21" t="s">
        <v>5492</v>
      </c>
    </row>
    <row r="1446" customFormat="false" ht="15" hidden="false" customHeight="false" outlineLevel="0" collapsed="false">
      <c r="B1446" s="19" t="s">
        <v>14728</v>
      </c>
      <c r="C1446" s="20" t="n">
        <f aca="false">ROUND(8.19/FX,2)</f>
        <v>1.14</v>
      </c>
      <c r="D1446" s="21" t="s">
        <v>14713</v>
      </c>
      <c r="E1446" s="21" t="s">
        <v>14729</v>
      </c>
      <c r="F1446" s="21" t="s">
        <v>14715</v>
      </c>
      <c r="G1446" s="21" t="s">
        <v>3247</v>
      </c>
    </row>
    <row r="1447" customFormat="false" ht="15" hidden="false" customHeight="false" outlineLevel="0" collapsed="false">
      <c r="B1447" s="19" t="s">
        <v>14730</v>
      </c>
      <c r="C1447" s="20" t="n">
        <f aca="false">ROUND(8.84/FX,2)</f>
        <v>1.23</v>
      </c>
      <c r="D1447" s="21" t="s">
        <v>14713</v>
      </c>
      <c r="E1447" s="21" t="s">
        <v>14731</v>
      </c>
      <c r="F1447" s="21" t="s">
        <v>14715</v>
      </c>
      <c r="G1447" s="21" t="s">
        <v>3317</v>
      </c>
    </row>
    <row r="1448" customFormat="false" ht="15" hidden="false" customHeight="false" outlineLevel="0" collapsed="false">
      <c r="B1448" s="19" t="s">
        <v>14732</v>
      </c>
      <c r="C1448" s="20" t="n">
        <f aca="false">ROUND(11.96/FX,2)</f>
        <v>1.66</v>
      </c>
      <c r="D1448" s="21" t="s">
        <v>14713</v>
      </c>
      <c r="E1448" s="21" t="s">
        <v>14733</v>
      </c>
      <c r="F1448" s="21" t="s">
        <v>14715</v>
      </c>
      <c r="G1448" s="21" t="s">
        <v>784</v>
      </c>
    </row>
    <row r="1449" customFormat="false" ht="15" hidden="false" customHeight="false" outlineLevel="0" collapsed="false">
      <c r="B1449" s="19" t="s">
        <v>14734</v>
      </c>
      <c r="C1449" s="20" t="n">
        <f aca="false">ROUND(18.2/FX,2)</f>
        <v>2.53</v>
      </c>
      <c r="D1449" s="21" t="s">
        <v>14713</v>
      </c>
      <c r="E1449" s="21" t="s">
        <v>14735</v>
      </c>
      <c r="F1449" s="21" t="s">
        <v>14715</v>
      </c>
      <c r="G1449" s="21" t="s">
        <v>3328</v>
      </c>
    </row>
    <row r="1450" customFormat="false" ht="15" hidden="false" customHeight="false" outlineLevel="0" collapsed="false">
      <c r="B1450" s="19" t="s">
        <v>14736</v>
      </c>
      <c r="C1450" s="20" t="n">
        <f aca="false">ROUND(2.93/FX,2)</f>
        <v>0.41</v>
      </c>
      <c r="D1450" s="21" t="s">
        <v>14713</v>
      </c>
      <c r="E1450" s="21" t="s">
        <v>14737</v>
      </c>
      <c r="F1450" s="21" t="s">
        <v>14715</v>
      </c>
      <c r="G1450" s="21" t="s">
        <v>847</v>
      </c>
    </row>
    <row r="1451" customFormat="false" ht="15" hidden="false" customHeight="false" outlineLevel="0" collapsed="false">
      <c r="B1451" s="19" t="s">
        <v>14738</v>
      </c>
      <c r="C1451" s="20" t="n">
        <f aca="false">ROUND(3.12/FX,2)</f>
        <v>0.43</v>
      </c>
      <c r="D1451" s="21" t="s">
        <v>14713</v>
      </c>
      <c r="E1451" s="21" t="s">
        <v>14737</v>
      </c>
      <c r="F1451" s="21" t="s">
        <v>14739</v>
      </c>
      <c r="G1451" s="21" t="s">
        <v>847</v>
      </c>
    </row>
    <row r="1452" customFormat="false" ht="15" hidden="false" customHeight="false" outlineLevel="0" collapsed="false">
      <c r="B1452" s="19" t="s">
        <v>14740</v>
      </c>
      <c r="C1452" s="20" t="n">
        <f aca="false">ROUND(5.14/FX,2)</f>
        <v>0.71</v>
      </c>
      <c r="D1452" s="21" t="s">
        <v>14713</v>
      </c>
      <c r="E1452" s="21" t="s">
        <v>14737</v>
      </c>
      <c r="F1452" s="21" t="s">
        <v>14741</v>
      </c>
      <c r="G1452" s="21" t="s">
        <v>847</v>
      </c>
    </row>
    <row r="1453" customFormat="false" ht="15" hidden="false" customHeight="false" outlineLevel="0" collapsed="false">
      <c r="B1453" s="19" t="s">
        <v>14742</v>
      </c>
      <c r="C1453" s="20" t="n">
        <f aca="false">ROUND(1.89/FX,2)</f>
        <v>0.26</v>
      </c>
      <c r="D1453" s="21" t="s">
        <v>14713</v>
      </c>
      <c r="E1453" s="21" t="s">
        <v>14737</v>
      </c>
      <c r="F1453" s="21" t="s">
        <v>14718</v>
      </c>
      <c r="G1453" s="21" t="s">
        <v>847</v>
      </c>
    </row>
    <row r="1454" customFormat="false" ht="15" hidden="false" customHeight="false" outlineLevel="0" collapsed="false">
      <c r="B1454" s="19" t="s">
        <v>14743</v>
      </c>
      <c r="C1454" s="20" t="n">
        <f aca="false">ROUND(3.97/FX,2)</f>
        <v>0.55</v>
      </c>
      <c r="D1454" s="21" t="s">
        <v>14713</v>
      </c>
      <c r="E1454" s="21" t="s">
        <v>14744</v>
      </c>
      <c r="F1454" s="21" t="s">
        <v>14715</v>
      </c>
      <c r="G1454" s="21" t="s">
        <v>707</v>
      </c>
    </row>
    <row r="1455" customFormat="false" ht="15" hidden="false" customHeight="false" outlineLevel="0" collapsed="false">
      <c r="B1455" s="19" t="s">
        <v>14745</v>
      </c>
      <c r="C1455" s="20" t="n">
        <f aca="false">ROUND(4.48/FX,2)</f>
        <v>0.62</v>
      </c>
      <c r="D1455" s="21" t="s">
        <v>14713</v>
      </c>
      <c r="E1455" s="21" t="s">
        <v>14746</v>
      </c>
      <c r="F1455" s="21" t="s">
        <v>14715</v>
      </c>
      <c r="G1455" s="21" t="s">
        <v>761</v>
      </c>
    </row>
    <row r="1456" customFormat="false" ht="15" hidden="false" customHeight="false" outlineLevel="0" collapsed="false">
      <c r="B1456" s="19" t="s">
        <v>14747</v>
      </c>
      <c r="C1456" s="20" t="n">
        <f aca="false">ROUND(7.02/FX,2)</f>
        <v>0.98</v>
      </c>
      <c r="D1456" s="21" t="s">
        <v>14713</v>
      </c>
      <c r="E1456" s="21" t="s">
        <v>14746</v>
      </c>
      <c r="F1456" s="21" t="s">
        <v>14741</v>
      </c>
      <c r="G1456" s="21" t="s">
        <v>761</v>
      </c>
    </row>
    <row r="1457" customFormat="false" ht="15" hidden="false" customHeight="false" outlineLevel="0" collapsed="false">
      <c r="B1457" s="19" t="s">
        <v>14748</v>
      </c>
      <c r="C1457" s="20" t="n">
        <f aca="false">ROUND(5.2/FX,2)</f>
        <v>0.72</v>
      </c>
      <c r="D1457" s="21" t="s">
        <v>14713</v>
      </c>
      <c r="E1457" s="21" t="s">
        <v>14749</v>
      </c>
      <c r="F1457" s="21" t="s">
        <v>14715</v>
      </c>
      <c r="G1457" s="21" t="s">
        <v>714</v>
      </c>
    </row>
    <row r="1458" customFormat="false" ht="15" hidden="false" customHeight="false" outlineLevel="0" collapsed="false">
      <c r="B1458" s="19" t="s">
        <v>14750</v>
      </c>
      <c r="C1458" s="20" t="n">
        <f aca="false">ROUND(6.63/FX,2)</f>
        <v>0.92</v>
      </c>
      <c r="D1458" s="21" t="s">
        <v>14713</v>
      </c>
      <c r="E1458" s="21" t="s">
        <v>14751</v>
      </c>
      <c r="F1458" s="21" t="s">
        <v>14715</v>
      </c>
      <c r="G1458" s="21" t="s">
        <v>5492</v>
      </c>
    </row>
    <row r="1459" customFormat="false" ht="15" hidden="false" customHeight="false" outlineLevel="0" collapsed="false">
      <c r="B1459" s="19" t="s">
        <v>14752</v>
      </c>
      <c r="C1459" s="20" t="n">
        <f aca="false">ROUND(8.84/FX,2)</f>
        <v>1.23</v>
      </c>
      <c r="D1459" s="21" t="s">
        <v>14713</v>
      </c>
      <c r="E1459" s="21" t="s">
        <v>14753</v>
      </c>
      <c r="F1459" s="21" t="s">
        <v>14715</v>
      </c>
      <c r="G1459" s="21" t="s">
        <v>3247</v>
      </c>
    </row>
    <row r="1460" customFormat="false" ht="15" hidden="false" customHeight="false" outlineLevel="0" collapsed="false">
      <c r="B1460" s="19" t="s">
        <v>14754</v>
      </c>
      <c r="C1460" s="20" t="n">
        <f aca="false">ROUND(10/FX,2)</f>
        <v>1.39</v>
      </c>
      <c r="D1460" s="21" t="s">
        <v>14713</v>
      </c>
      <c r="E1460" s="21" t="s">
        <v>14755</v>
      </c>
      <c r="F1460" s="21" t="s">
        <v>14715</v>
      </c>
      <c r="G1460" s="21" t="s">
        <v>3317</v>
      </c>
    </row>
    <row r="1461" customFormat="false" ht="15" hidden="false" customHeight="false" outlineLevel="0" collapsed="false">
      <c r="B1461" s="19" t="s">
        <v>14756</v>
      </c>
      <c r="C1461" s="20" t="n">
        <f aca="false">ROUND(13.91/FX,2)</f>
        <v>1.93</v>
      </c>
      <c r="D1461" s="21" t="s">
        <v>14713</v>
      </c>
      <c r="E1461" s="21" t="s">
        <v>14757</v>
      </c>
      <c r="F1461" s="21" t="s">
        <v>14715</v>
      </c>
      <c r="G1461" s="21" t="s">
        <v>784</v>
      </c>
    </row>
    <row r="1462" customFormat="false" ht="15" hidden="false" customHeight="false" outlineLevel="0" collapsed="false">
      <c r="B1462" s="19" t="s">
        <v>14758</v>
      </c>
      <c r="C1462" s="20" t="n">
        <f aca="false">ROUND(19.5/FX,2)</f>
        <v>2.71</v>
      </c>
      <c r="D1462" s="21" t="s">
        <v>14713</v>
      </c>
      <c r="E1462" s="21" t="s">
        <v>14759</v>
      </c>
      <c r="F1462" s="21" t="s">
        <v>14715</v>
      </c>
      <c r="G1462" s="21" t="s">
        <v>3328</v>
      </c>
    </row>
    <row r="1463" customFormat="false" ht="15" hidden="false" customHeight="false" outlineLevel="0" collapsed="false">
      <c r="B1463" s="19" t="s">
        <v>14760</v>
      </c>
      <c r="C1463" s="20" t="n">
        <f aca="false">ROUND(3.12/FX,2)</f>
        <v>0.43</v>
      </c>
      <c r="D1463" s="21" t="s">
        <v>14713</v>
      </c>
      <c r="E1463" s="21" t="s">
        <v>14761</v>
      </c>
      <c r="F1463" s="21" t="s">
        <v>14715</v>
      </c>
      <c r="G1463" s="21" t="s">
        <v>847</v>
      </c>
    </row>
    <row r="1464" customFormat="false" ht="15" hidden="false" customHeight="false" outlineLevel="0" collapsed="false">
      <c r="B1464" s="19" t="s">
        <v>14762</v>
      </c>
      <c r="C1464" s="20" t="n">
        <f aca="false">ROUND(5.59/FX,2)</f>
        <v>0.78</v>
      </c>
      <c r="D1464" s="21" t="s">
        <v>14713</v>
      </c>
      <c r="E1464" s="21" t="s">
        <v>14761</v>
      </c>
      <c r="F1464" s="21" t="s">
        <v>14741</v>
      </c>
      <c r="G1464" s="21" t="s">
        <v>847</v>
      </c>
    </row>
    <row r="1465" customFormat="false" ht="15" hidden="false" customHeight="false" outlineLevel="0" collapsed="false">
      <c r="B1465" s="19" t="s">
        <v>14763</v>
      </c>
      <c r="C1465" s="20" t="n">
        <f aca="false">ROUND(5.6/FX,2)</f>
        <v>0.78</v>
      </c>
      <c r="D1465" s="21" t="s">
        <v>14713</v>
      </c>
      <c r="E1465" s="21" t="s">
        <v>14764</v>
      </c>
      <c r="F1465" s="21" t="s">
        <v>14715</v>
      </c>
      <c r="G1465" s="21" t="s">
        <v>707</v>
      </c>
    </row>
    <row r="1468" customFormat="false" ht="61.5" hidden="false" customHeight="true" outlineLevel="0" collapsed="false">
      <c r="A1468" s="9"/>
      <c r="B1468" s="10" t="s">
        <v>14765</v>
      </c>
      <c r="C1468" s="10"/>
      <c r="D1468" s="10"/>
    </row>
    <row r="1469" customFormat="false" ht="15" hidden="false" customHeight="false" outlineLevel="0" collapsed="false">
      <c r="A1469" s="12" t="s">
        <v>700</v>
      </c>
      <c r="B1469" s="13" t="s">
        <v>701</v>
      </c>
      <c r="C1469" s="13" t="s">
        <v>702</v>
      </c>
      <c r="D1469" s="13" t="s">
        <v>13701</v>
      </c>
    </row>
    <row r="1470" customFormat="false" ht="30" hidden="false" customHeight="true" outlineLevel="0" collapsed="false">
      <c r="A1470" s="14" t="s">
        <v>706</v>
      </c>
      <c r="B1470" s="15" t="str">
        <f aca="false">IF(COUNTIFS($D$1473:$D$1474,IF(D1470="","*",D1470))=1,INDEX($B:$B,SUMPRODUCT(((D1470="")+($D$1473:$D$1474=D1470)&gt;0)*ROW($B$1473:$B$1474))),IF(COUNTIFS($D$1473:$D$1474,IF(D1470="","*",D1470))=0,"Not available",COUNTIFS($D$1473:$D$1474,IF(D1470="","*",D1470))&amp;" match, keep choosing"))</f>
        <v>RL-015-M3</v>
      </c>
      <c r="C1470" s="16" t="n">
        <f aca="false">IF(COUNTIFS($D$1473:$D$1474,IF(D1470="","*",D1470))=1,INDEX($C:$C,SUMPRODUCT(((D1470="")+($D$1473:$D$1474=D1470)&gt;0)*ROW($B$1473:$B$1474))),"")</f>
        <v>1.63</v>
      </c>
      <c r="D1470" s="17" t="s">
        <v>11407</v>
      </c>
    </row>
    <row r="1472" customFormat="false" ht="15" hidden="false" customHeight="false" outlineLevel="0" collapsed="false">
      <c r="B1472" s="18" t="s">
        <v>701</v>
      </c>
      <c r="C1472" s="18" t="s">
        <v>702</v>
      </c>
      <c r="D1472" s="18" t="s">
        <v>13701</v>
      </c>
    </row>
    <row r="1473" customFormat="false" ht="15" hidden="false" customHeight="false" outlineLevel="0" collapsed="false">
      <c r="B1473" s="19" t="s">
        <v>14766</v>
      </c>
      <c r="C1473" s="20" t="n">
        <f aca="false">ROUND(11.7/FX,2)</f>
        <v>1.63</v>
      </c>
      <c r="D1473" s="21" t="s">
        <v>11407</v>
      </c>
    </row>
    <row r="1474" customFormat="false" ht="15" hidden="false" customHeight="false" outlineLevel="0" collapsed="false">
      <c r="B1474" s="19" t="s">
        <v>14767</v>
      </c>
      <c r="C1474" s="20" t="n">
        <f aca="false">ROUND(11.7/FX,2)</f>
        <v>1.63</v>
      </c>
      <c r="D1474" s="21" t="s">
        <v>11409</v>
      </c>
    </row>
    <row r="1477" customFormat="false" ht="61.5" hidden="false" customHeight="true" outlineLevel="0" collapsed="false">
      <c r="A1477" s="9"/>
      <c r="B1477" s="10" t="s">
        <v>14768</v>
      </c>
      <c r="C1477" s="10"/>
      <c r="D1477" s="10"/>
      <c r="E1477" s="10"/>
      <c r="F1477" s="10"/>
    </row>
    <row r="1478" customFormat="false" ht="15" hidden="false" customHeight="false" outlineLevel="0" collapsed="false">
      <c r="A1478" s="12" t="s">
        <v>700</v>
      </c>
      <c r="B1478" s="13" t="s">
        <v>701</v>
      </c>
      <c r="C1478" s="13" t="s">
        <v>702</v>
      </c>
      <c r="D1478" s="13" t="s">
        <v>11716</v>
      </c>
      <c r="E1478" s="13" t="s">
        <v>7711</v>
      </c>
      <c r="F1478" s="13" t="s">
        <v>14350</v>
      </c>
    </row>
    <row r="1479" customFormat="false" ht="30" hidden="false" customHeight="true" outlineLevel="0" collapsed="false">
      <c r="A1479" s="14" t="s">
        <v>706</v>
      </c>
      <c r="B1479" s="15" t="str">
        <f aca="false">IF(COUNTIFS($D$1482:$D$1485,IF(D1479="","*",D1479),$E$1482:$E$1485,IF(E1479="","*",E1479),$F$1482:$F$1485,IF(F1479="","*",F1479))=1,INDEX($B:$B,SUMPRODUCT(((D1479="")+($D$1482:$D$1485=D1479)&gt;0)*((E1479="")+($E$1482:$E$1485=E1479)&gt;0)*((F1479="")+($F$1482:$F$1485=F1479)&gt;0)*ROW($B$1482:$B$1485))),IF(COUNTIFS($D$1482:$D$1485,IF(D1479="","*",D1479),$E$1482:$E$1485,IF(E1479="","*",E1479),$F$1482:$F$1485,IF(F1479="","*",F1479))=0,"Not available",COUNTIFS($D$1482:$D$1485,IF(D1479="","*",D1479),$E$1482:$E$1485,IF(E1479="","*",E1479),$F$1482:$F$1485,IF(F1479="","*",F1479))&amp;" match, keep choosing"))</f>
        <v>RL-043-WJ5-NJ3-CD180</v>
      </c>
      <c r="C1479" s="16" t="n">
        <f aca="false">IF(COUNTIFS($D$1482:$D$1485,IF(D1479="","*",D1479),$E$1482:$E$1485,IF(E1479="","*",E1479),$F$1482:$F$1485,IF(F1479="","*",F1479))=1,INDEX($C:$C,SUMPRODUCT(((D1479="")+($D$1482:$D$1485=D1479)&gt;0)*((E1479="")+($E$1482:$E$1485=E1479)&gt;0)*((F1479="")+($F$1482:$F$1485=F1479)&gt;0)*ROW($B$1482:$B$1485))),"")</f>
        <v>4.44</v>
      </c>
      <c r="D1479" s="17" t="s">
        <v>938</v>
      </c>
      <c r="E1479" s="17" t="s">
        <v>839</v>
      </c>
      <c r="F1479" s="17" t="s">
        <v>789</v>
      </c>
    </row>
    <row r="1481" customFormat="false" ht="15" hidden="false" customHeight="false" outlineLevel="0" collapsed="false">
      <c r="B1481" s="18" t="s">
        <v>701</v>
      </c>
      <c r="C1481" s="18" t="s">
        <v>702</v>
      </c>
      <c r="D1481" s="18" t="s">
        <v>11716</v>
      </c>
      <c r="E1481" s="18" t="s">
        <v>7711</v>
      </c>
      <c r="F1481" s="18" t="s">
        <v>14350</v>
      </c>
    </row>
    <row r="1482" customFormat="false" ht="15" hidden="false" customHeight="false" outlineLevel="0" collapsed="false">
      <c r="B1482" s="19" t="s">
        <v>14769</v>
      </c>
      <c r="C1482" s="20" t="n">
        <f aca="false">ROUND(31.98/FX,2)</f>
        <v>4.44</v>
      </c>
      <c r="D1482" s="21" t="s">
        <v>938</v>
      </c>
      <c r="E1482" s="21" t="s">
        <v>839</v>
      </c>
      <c r="F1482" s="21" t="s">
        <v>789</v>
      </c>
    </row>
    <row r="1483" customFormat="false" ht="15" hidden="false" customHeight="false" outlineLevel="0" collapsed="false">
      <c r="B1483" s="19" t="s">
        <v>14770</v>
      </c>
      <c r="C1483" s="20" t="n">
        <f aca="false">ROUND(32.76/FX,2)</f>
        <v>4.55</v>
      </c>
      <c r="D1483" s="21" t="s">
        <v>1048</v>
      </c>
      <c r="E1483" s="21" t="s">
        <v>839</v>
      </c>
      <c r="F1483" s="21" t="s">
        <v>789</v>
      </c>
    </row>
    <row r="1484" customFormat="false" ht="15" hidden="false" customHeight="false" outlineLevel="0" collapsed="false">
      <c r="B1484" s="19" t="s">
        <v>14771</v>
      </c>
      <c r="C1484" s="20" t="n">
        <f aca="false">ROUND(38.07/FX,2)</f>
        <v>5.29</v>
      </c>
      <c r="D1484" s="21" t="s">
        <v>938</v>
      </c>
      <c r="E1484" s="21" t="s">
        <v>841</v>
      </c>
      <c r="F1484" s="21" t="s">
        <v>716</v>
      </c>
    </row>
    <row r="1485" customFormat="false" ht="15" hidden="false" customHeight="false" outlineLevel="0" collapsed="false">
      <c r="B1485" s="19" t="s">
        <v>14772</v>
      </c>
      <c r="C1485" s="20" t="n">
        <f aca="false">ROUND(39/FX,2)</f>
        <v>5.42</v>
      </c>
      <c r="D1485" s="21" t="s">
        <v>1048</v>
      </c>
      <c r="E1485" s="21" t="s">
        <v>841</v>
      </c>
      <c r="F1485" s="21" t="s">
        <v>716</v>
      </c>
    </row>
    <row r="1488" customFormat="false" ht="61.5" hidden="false" customHeight="true" outlineLevel="0" collapsed="false">
      <c r="A1488" s="9"/>
      <c r="B1488" s="10" t="s">
        <v>14773</v>
      </c>
      <c r="C1488" s="10"/>
      <c r="D1488" s="10"/>
      <c r="E1488" s="10"/>
      <c r="F1488" s="10"/>
    </row>
    <row r="1489" customFormat="false" ht="15" hidden="false" customHeight="false" outlineLevel="0" collapsed="false">
      <c r="A1489" s="12" t="s">
        <v>700</v>
      </c>
      <c r="B1489" s="13" t="s">
        <v>701</v>
      </c>
      <c r="C1489" s="13" t="s">
        <v>702</v>
      </c>
      <c r="D1489" s="13" t="s">
        <v>6159</v>
      </c>
      <c r="E1489" s="13" t="s">
        <v>723</v>
      </c>
      <c r="F1489" s="13" t="s">
        <v>13701</v>
      </c>
    </row>
    <row r="1490" customFormat="false" ht="30" hidden="false" customHeight="true" outlineLevel="0" collapsed="false">
      <c r="A1490" s="14" t="s">
        <v>706</v>
      </c>
      <c r="B1490" s="15" t="str">
        <f aca="false">IF(COUNTIFS($D$1493:$D$1716,IF(D1490="","*",D1490),$E$1493:$E$1716,IF(E1490="","*",E1490),$F$1493:$F$1716,IF(F1490="","*",F1490))=1,INDEX($B:$B,SUMPRODUCT(((D1490="")+($D$1493:$D$1716=D1490)&gt;0)*((E1490="")+($E$1493:$E$1716=E1490)&gt;0)*((F1490="")+($F$1493:$F$1716=F1490)&gt;0)*ROW($B$1493:$B$1716))),IF(COUNTIFS($D$1493:$D$1716,IF(D1490="","*",D1490),$E$1493:$E$1716,IF(E1490="","*",E1490),$F$1493:$F$1716,IF(F1490="","*",F1490))=0,"Not available",COUNTIFS($D$1493:$D$1716,IF(D1490="","*",D1490),$E$1493:$E$1716,IF(E1490="","*",E1490),$F$1493:$F$1716,IF(F1490="","*",F1490))&amp;" match, keep choosing"))</f>
        <v>RE-PHS10-M10x1.25-I-F</v>
      </c>
      <c r="C1490" s="16" t="n">
        <f aca="false">IF(COUNTIFS($D$1493:$D$1716,IF(D1490="","*",D1490),$E$1493:$E$1716,IF(E1490="","*",E1490),$F$1493:$F$1716,IF(F1490="","*",F1490))=1,INDEX($C:$C,SUMPRODUCT(((D1490="")+($D$1493:$D$1716=D1490)&gt;0)*((E1490="")+($E$1493:$E$1716=E1490)&gt;0)*((F1490="")+($F$1493:$F$1716=F1490)&gt;0)*ROW($B$1493:$B$1716))),"")</f>
        <v>0.76</v>
      </c>
      <c r="D1490" s="17" t="s">
        <v>14774</v>
      </c>
      <c r="E1490" s="17" t="s">
        <v>14775</v>
      </c>
      <c r="F1490" s="17" t="s">
        <v>14776</v>
      </c>
    </row>
    <row r="1492" customFormat="false" ht="15" hidden="false" customHeight="false" outlineLevel="0" collapsed="false">
      <c r="B1492" s="18" t="s">
        <v>701</v>
      </c>
      <c r="C1492" s="18" t="s">
        <v>702</v>
      </c>
      <c r="D1492" s="18" t="s">
        <v>6159</v>
      </c>
      <c r="E1492" s="18" t="s">
        <v>723</v>
      </c>
      <c r="F1492" s="18" t="s">
        <v>13701</v>
      </c>
    </row>
    <row r="1493" customFormat="false" ht="28.35" hidden="false" customHeight="false" outlineLevel="0" collapsed="false">
      <c r="B1493" s="19" t="s">
        <v>14777</v>
      </c>
      <c r="C1493" s="20" t="n">
        <f aca="false">ROUND(5.46/FX,2)</f>
        <v>0.76</v>
      </c>
      <c r="D1493" s="21" t="s">
        <v>14774</v>
      </c>
      <c r="E1493" s="21" t="s">
        <v>14775</v>
      </c>
      <c r="F1493" s="21" t="s">
        <v>14776</v>
      </c>
    </row>
    <row r="1494" customFormat="false" ht="15" hidden="false" customHeight="false" outlineLevel="0" collapsed="false">
      <c r="B1494" s="19" t="s">
        <v>14778</v>
      </c>
      <c r="C1494" s="20" t="n">
        <f aca="false">ROUND(5.46/FX,2)</f>
        <v>0.76</v>
      </c>
      <c r="D1494" s="21" t="s">
        <v>14774</v>
      </c>
      <c r="E1494" s="21" t="s">
        <v>14779</v>
      </c>
      <c r="F1494" s="21" t="s">
        <v>14780</v>
      </c>
    </row>
    <row r="1495" customFormat="false" ht="28.35" hidden="false" customHeight="false" outlineLevel="0" collapsed="false">
      <c r="B1495" s="19" t="s">
        <v>14781</v>
      </c>
      <c r="C1495" s="20" t="n">
        <f aca="false">ROUND(6.37/FX,2)</f>
        <v>0.88</v>
      </c>
      <c r="D1495" s="21" t="s">
        <v>14782</v>
      </c>
      <c r="E1495" s="21" t="s">
        <v>14775</v>
      </c>
      <c r="F1495" s="21" t="s">
        <v>14783</v>
      </c>
    </row>
    <row r="1496" customFormat="false" ht="28.35" hidden="false" customHeight="false" outlineLevel="0" collapsed="false">
      <c r="B1496" s="19" t="s">
        <v>14784</v>
      </c>
      <c r="C1496" s="20" t="n">
        <f aca="false">ROUND(6.37/FX,2)</f>
        <v>0.88</v>
      </c>
      <c r="D1496" s="21" t="s">
        <v>14782</v>
      </c>
      <c r="E1496" s="21" t="s">
        <v>14775</v>
      </c>
      <c r="F1496" s="21" t="s">
        <v>14785</v>
      </c>
    </row>
    <row r="1497" customFormat="false" ht="15" hidden="false" customHeight="false" outlineLevel="0" collapsed="false">
      <c r="B1497" s="19" t="s">
        <v>14786</v>
      </c>
      <c r="C1497" s="20" t="n">
        <f aca="false">ROUND(6.37/FX,2)</f>
        <v>0.88</v>
      </c>
      <c r="D1497" s="21" t="s">
        <v>14782</v>
      </c>
      <c r="E1497" s="21" t="s">
        <v>14779</v>
      </c>
      <c r="F1497" s="21" t="s">
        <v>14787</v>
      </c>
    </row>
    <row r="1498" customFormat="false" ht="28.35" hidden="false" customHeight="false" outlineLevel="0" collapsed="false">
      <c r="B1498" s="19" t="s">
        <v>14788</v>
      </c>
      <c r="C1498" s="20" t="n">
        <f aca="false">ROUND(8.45/FX,2)</f>
        <v>1.17</v>
      </c>
      <c r="D1498" s="21" t="s">
        <v>14789</v>
      </c>
      <c r="E1498" s="21" t="s">
        <v>14775</v>
      </c>
      <c r="F1498" s="21" t="s">
        <v>14790</v>
      </c>
    </row>
    <row r="1499" customFormat="false" ht="15" hidden="false" customHeight="false" outlineLevel="0" collapsed="false">
      <c r="B1499" s="19" t="s">
        <v>14791</v>
      </c>
      <c r="C1499" s="20" t="n">
        <f aca="false">ROUND(8.45/FX,2)</f>
        <v>1.17</v>
      </c>
      <c r="D1499" s="21" t="s">
        <v>14789</v>
      </c>
      <c r="E1499" s="21" t="s">
        <v>14779</v>
      </c>
      <c r="F1499" s="21" t="s">
        <v>14792</v>
      </c>
    </row>
    <row r="1500" customFormat="false" ht="28.35" hidden="false" customHeight="false" outlineLevel="0" collapsed="false">
      <c r="B1500" s="19" t="s">
        <v>14793</v>
      </c>
      <c r="C1500" s="20" t="n">
        <f aca="false">ROUND(10.14/FX,2)</f>
        <v>1.41</v>
      </c>
      <c r="D1500" s="21" t="s">
        <v>14794</v>
      </c>
      <c r="E1500" s="21" t="s">
        <v>14775</v>
      </c>
      <c r="F1500" s="21" t="s">
        <v>14795</v>
      </c>
    </row>
    <row r="1501" customFormat="false" ht="15" hidden="false" customHeight="false" outlineLevel="0" collapsed="false">
      <c r="B1501" s="19" t="s">
        <v>14796</v>
      </c>
      <c r="C1501" s="20" t="n">
        <f aca="false">ROUND(10.14/FX,2)</f>
        <v>1.41</v>
      </c>
      <c r="D1501" s="21" t="s">
        <v>14794</v>
      </c>
      <c r="E1501" s="21" t="s">
        <v>14779</v>
      </c>
      <c r="F1501" s="21" t="s">
        <v>14797</v>
      </c>
    </row>
    <row r="1502" customFormat="false" ht="15" hidden="false" customHeight="false" outlineLevel="0" collapsed="false">
      <c r="B1502" s="19" t="s">
        <v>14798</v>
      </c>
      <c r="C1502" s="20" t="n">
        <f aca="false">ROUND(14.04/FX,2)</f>
        <v>1.95</v>
      </c>
      <c r="D1502" s="21" t="s">
        <v>14799</v>
      </c>
      <c r="E1502" s="21" t="s">
        <v>14779</v>
      </c>
      <c r="F1502" s="21" t="s">
        <v>14800</v>
      </c>
    </row>
    <row r="1503" customFormat="false" ht="15" hidden="false" customHeight="false" outlineLevel="0" collapsed="false">
      <c r="B1503" s="19" t="s">
        <v>14801</v>
      </c>
      <c r="C1503" s="20" t="n">
        <f aca="false">ROUND(17.55/FX,2)</f>
        <v>2.44</v>
      </c>
      <c r="D1503" s="21" t="s">
        <v>14802</v>
      </c>
      <c r="E1503" s="21" t="s">
        <v>14779</v>
      </c>
      <c r="F1503" s="21" t="s">
        <v>14803</v>
      </c>
    </row>
    <row r="1504" customFormat="false" ht="28.35" hidden="false" customHeight="false" outlineLevel="0" collapsed="false">
      <c r="B1504" s="19" t="s">
        <v>14804</v>
      </c>
      <c r="C1504" s="20" t="n">
        <f aca="false">ROUND(17.55/FX,2)</f>
        <v>2.44</v>
      </c>
      <c r="D1504" s="21" t="s">
        <v>14802</v>
      </c>
      <c r="E1504" s="21" t="s">
        <v>14805</v>
      </c>
      <c r="F1504" s="21" t="s">
        <v>14806</v>
      </c>
    </row>
    <row r="1505" customFormat="false" ht="28.35" hidden="false" customHeight="false" outlineLevel="0" collapsed="false">
      <c r="B1505" s="19" t="s">
        <v>14807</v>
      </c>
      <c r="C1505" s="20" t="n">
        <f aca="false">ROUND(17.55/FX,2)</f>
        <v>2.44</v>
      </c>
      <c r="D1505" s="21" t="s">
        <v>14802</v>
      </c>
      <c r="E1505" s="21" t="s">
        <v>14805</v>
      </c>
      <c r="F1505" s="21" t="s">
        <v>14808</v>
      </c>
    </row>
    <row r="1506" customFormat="false" ht="15" hidden="false" customHeight="false" outlineLevel="0" collapsed="false">
      <c r="B1506" s="19" t="s">
        <v>14809</v>
      </c>
      <c r="C1506" s="20" t="n">
        <f aca="false">ROUND(22.75/FX,2)</f>
        <v>3.16</v>
      </c>
      <c r="D1506" s="21" t="s">
        <v>14810</v>
      </c>
      <c r="E1506" s="21" t="s">
        <v>14779</v>
      </c>
      <c r="F1506" s="21" t="s">
        <v>14811</v>
      </c>
    </row>
    <row r="1507" customFormat="false" ht="15" hidden="false" customHeight="false" outlineLevel="0" collapsed="false">
      <c r="B1507" s="19" t="s">
        <v>14812</v>
      </c>
      <c r="C1507" s="20" t="n">
        <f aca="false">ROUND(29.25/FX,2)</f>
        <v>4.06</v>
      </c>
      <c r="D1507" s="21" t="s">
        <v>14813</v>
      </c>
      <c r="E1507" s="21" t="s">
        <v>14779</v>
      </c>
      <c r="F1507" s="21" t="s">
        <v>14814</v>
      </c>
    </row>
    <row r="1508" customFormat="false" ht="15" hidden="false" customHeight="false" outlineLevel="0" collapsed="false">
      <c r="B1508" s="19" t="s">
        <v>14815</v>
      </c>
      <c r="C1508" s="20" t="n">
        <f aca="false">ROUND(41.6/FX,2)</f>
        <v>5.78</v>
      </c>
      <c r="D1508" s="21" t="s">
        <v>14816</v>
      </c>
      <c r="E1508" s="21" t="s">
        <v>14779</v>
      </c>
      <c r="F1508" s="21" t="s">
        <v>14817</v>
      </c>
    </row>
    <row r="1509" customFormat="false" ht="28.35" hidden="false" customHeight="false" outlineLevel="0" collapsed="false">
      <c r="B1509" s="19" t="s">
        <v>14818</v>
      </c>
      <c r="C1509" s="20" t="n">
        <f aca="false">ROUND(52/FX,2)</f>
        <v>7.22</v>
      </c>
      <c r="D1509" s="21" t="s">
        <v>14819</v>
      </c>
      <c r="E1509" s="21" t="s">
        <v>14775</v>
      </c>
      <c r="F1509" s="21" t="s">
        <v>14817</v>
      </c>
    </row>
    <row r="1510" customFormat="false" ht="28.35" hidden="false" customHeight="false" outlineLevel="0" collapsed="false">
      <c r="B1510" s="19" t="s">
        <v>14820</v>
      </c>
      <c r="C1510" s="20" t="n">
        <f aca="false">ROUND(52/FX,2)</f>
        <v>7.22</v>
      </c>
      <c r="D1510" s="21" t="s">
        <v>14819</v>
      </c>
      <c r="E1510" s="21" t="s">
        <v>14775</v>
      </c>
      <c r="F1510" s="21" t="s">
        <v>14821</v>
      </c>
    </row>
    <row r="1511" customFormat="false" ht="15" hidden="false" customHeight="false" outlineLevel="0" collapsed="false">
      <c r="B1511" s="19" t="s">
        <v>14822</v>
      </c>
      <c r="C1511" s="20" t="n">
        <f aca="false">ROUND(45.5/FX,2)</f>
        <v>6.32</v>
      </c>
      <c r="D1511" s="21" t="s">
        <v>14819</v>
      </c>
      <c r="E1511" s="21" t="s">
        <v>14779</v>
      </c>
      <c r="F1511" s="21" t="s">
        <v>14823</v>
      </c>
    </row>
    <row r="1512" customFormat="false" ht="15" hidden="false" customHeight="false" outlineLevel="0" collapsed="false">
      <c r="B1512" s="19" t="s">
        <v>14824</v>
      </c>
      <c r="C1512" s="20" t="n">
        <f aca="false">ROUND(3.12/FX,2)</f>
        <v>0.43</v>
      </c>
      <c r="D1512" s="21" t="s">
        <v>14825</v>
      </c>
      <c r="E1512" s="21" t="s">
        <v>14779</v>
      </c>
      <c r="F1512" s="21" t="s">
        <v>14826</v>
      </c>
    </row>
    <row r="1513" customFormat="false" ht="15" hidden="false" customHeight="false" outlineLevel="0" collapsed="false">
      <c r="B1513" s="19" t="s">
        <v>14827</v>
      </c>
      <c r="C1513" s="20" t="n">
        <f aca="false">ROUND(3.38/FX,2)</f>
        <v>0.47</v>
      </c>
      <c r="D1513" s="21" t="s">
        <v>14828</v>
      </c>
      <c r="E1513" s="21" t="s">
        <v>14779</v>
      </c>
      <c r="F1513" s="21" t="s">
        <v>14829</v>
      </c>
    </row>
    <row r="1514" customFormat="false" ht="15" hidden="false" customHeight="false" outlineLevel="0" collapsed="false">
      <c r="B1514" s="19" t="s">
        <v>14830</v>
      </c>
      <c r="C1514" s="20" t="n">
        <f aca="false">ROUND(3.25/FX,2)</f>
        <v>0.45</v>
      </c>
      <c r="D1514" s="21" t="s">
        <v>14831</v>
      </c>
      <c r="E1514" s="21" t="s">
        <v>14779</v>
      </c>
      <c r="F1514" s="21" t="s">
        <v>14832</v>
      </c>
    </row>
    <row r="1515" customFormat="false" ht="15" hidden="false" customHeight="false" outlineLevel="0" collapsed="false">
      <c r="B1515" s="19" t="s">
        <v>14833</v>
      </c>
      <c r="C1515" s="20" t="n">
        <f aca="false">ROUND(5.46/FX,2)</f>
        <v>0.76</v>
      </c>
      <c r="D1515" s="21" t="s">
        <v>14834</v>
      </c>
      <c r="E1515" s="21" t="s">
        <v>14835</v>
      </c>
      <c r="F1515" s="21" t="s">
        <v>14780</v>
      </c>
    </row>
    <row r="1516" customFormat="false" ht="15" hidden="false" customHeight="false" outlineLevel="0" collapsed="false">
      <c r="B1516" s="19" t="s">
        <v>14836</v>
      </c>
      <c r="C1516" s="20" t="n">
        <f aca="false">ROUND(6.37/FX,2)</f>
        <v>0.88</v>
      </c>
      <c r="D1516" s="21" t="s">
        <v>14837</v>
      </c>
      <c r="E1516" s="21" t="s">
        <v>14835</v>
      </c>
      <c r="F1516" s="21" t="s">
        <v>14787</v>
      </c>
    </row>
    <row r="1517" customFormat="false" ht="15" hidden="false" customHeight="false" outlineLevel="0" collapsed="false">
      <c r="B1517" s="19" t="s">
        <v>14838</v>
      </c>
      <c r="C1517" s="20" t="n">
        <f aca="false">ROUND(8.45/FX,2)</f>
        <v>1.17</v>
      </c>
      <c r="D1517" s="21" t="s">
        <v>14839</v>
      </c>
      <c r="E1517" s="21" t="s">
        <v>14835</v>
      </c>
      <c r="F1517" s="21" t="s">
        <v>14792</v>
      </c>
    </row>
    <row r="1518" customFormat="false" ht="15" hidden="false" customHeight="false" outlineLevel="0" collapsed="false">
      <c r="B1518" s="19" t="s">
        <v>14840</v>
      </c>
      <c r="C1518" s="20" t="n">
        <f aca="false">ROUND(10.14/FX,2)</f>
        <v>1.41</v>
      </c>
      <c r="D1518" s="21" t="s">
        <v>14841</v>
      </c>
      <c r="E1518" s="21" t="s">
        <v>14835</v>
      </c>
      <c r="F1518" s="21" t="s">
        <v>14797</v>
      </c>
    </row>
    <row r="1519" customFormat="false" ht="15" hidden="false" customHeight="false" outlineLevel="0" collapsed="false">
      <c r="B1519" s="19" t="s">
        <v>14842</v>
      </c>
      <c r="C1519" s="20" t="n">
        <f aca="false">ROUND(14.04/FX,2)</f>
        <v>1.95</v>
      </c>
      <c r="D1519" s="21" t="s">
        <v>14843</v>
      </c>
      <c r="E1519" s="21" t="s">
        <v>14835</v>
      </c>
      <c r="F1519" s="21" t="s">
        <v>14800</v>
      </c>
    </row>
    <row r="1520" customFormat="false" ht="15" hidden="false" customHeight="false" outlineLevel="0" collapsed="false">
      <c r="B1520" s="19" t="s">
        <v>14844</v>
      </c>
      <c r="C1520" s="20" t="n">
        <f aca="false">ROUND(17.55/FX,2)</f>
        <v>2.44</v>
      </c>
      <c r="D1520" s="21" t="s">
        <v>14845</v>
      </c>
      <c r="E1520" s="21" t="s">
        <v>14835</v>
      </c>
      <c r="F1520" s="21" t="s">
        <v>14803</v>
      </c>
    </row>
    <row r="1521" customFormat="false" ht="15" hidden="false" customHeight="false" outlineLevel="0" collapsed="false">
      <c r="B1521" s="19" t="s">
        <v>14846</v>
      </c>
      <c r="C1521" s="20" t="n">
        <f aca="false">ROUND(22.75/FX,2)</f>
        <v>3.16</v>
      </c>
      <c r="D1521" s="21" t="s">
        <v>14847</v>
      </c>
      <c r="E1521" s="21" t="s">
        <v>14835</v>
      </c>
      <c r="F1521" s="21" t="s">
        <v>14811</v>
      </c>
    </row>
    <row r="1522" customFormat="false" ht="15" hidden="false" customHeight="false" outlineLevel="0" collapsed="false">
      <c r="B1522" s="19" t="s">
        <v>14848</v>
      </c>
      <c r="C1522" s="20" t="n">
        <f aca="false">ROUND(29.25/FX,2)</f>
        <v>4.06</v>
      </c>
      <c r="D1522" s="21" t="s">
        <v>14849</v>
      </c>
      <c r="E1522" s="21" t="s">
        <v>14835</v>
      </c>
      <c r="F1522" s="21" t="s">
        <v>14814</v>
      </c>
    </row>
    <row r="1523" customFormat="false" ht="15" hidden="false" customHeight="false" outlineLevel="0" collapsed="false">
      <c r="B1523" s="19" t="s">
        <v>14850</v>
      </c>
      <c r="C1523" s="20" t="n">
        <f aca="false">ROUND(41.6/FX,2)</f>
        <v>5.78</v>
      </c>
      <c r="D1523" s="21" t="s">
        <v>14851</v>
      </c>
      <c r="E1523" s="21" t="s">
        <v>14835</v>
      </c>
      <c r="F1523" s="21" t="s">
        <v>14817</v>
      </c>
    </row>
    <row r="1524" customFormat="false" ht="15" hidden="false" customHeight="false" outlineLevel="0" collapsed="false">
      <c r="B1524" s="19" t="s">
        <v>14852</v>
      </c>
      <c r="C1524" s="20" t="n">
        <f aca="false">ROUND(45.5/FX,2)</f>
        <v>6.32</v>
      </c>
      <c r="D1524" s="21" t="s">
        <v>14853</v>
      </c>
      <c r="E1524" s="21" t="s">
        <v>14835</v>
      </c>
      <c r="F1524" s="21" t="s">
        <v>14823</v>
      </c>
    </row>
    <row r="1525" customFormat="false" ht="15" hidden="false" customHeight="false" outlineLevel="0" collapsed="false">
      <c r="B1525" s="19" t="s">
        <v>14854</v>
      </c>
      <c r="C1525" s="20" t="n">
        <f aca="false">ROUND(3.38/FX,2)</f>
        <v>0.47</v>
      </c>
      <c r="D1525" s="21" t="s">
        <v>14855</v>
      </c>
      <c r="E1525" s="21" t="s">
        <v>14835</v>
      </c>
      <c r="F1525" s="21" t="s">
        <v>14826</v>
      </c>
    </row>
    <row r="1526" customFormat="false" ht="15" hidden="false" customHeight="false" outlineLevel="0" collapsed="false">
      <c r="B1526" s="19" t="s">
        <v>14856</v>
      </c>
      <c r="C1526" s="20" t="n">
        <f aca="false">ROUND(3.38/FX,2)</f>
        <v>0.47</v>
      </c>
      <c r="D1526" s="21" t="s">
        <v>14857</v>
      </c>
      <c r="E1526" s="21" t="s">
        <v>14835</v>
      </c>
      <c r="F1526" s="21" t="s">
        <v>14829</v>
      </c>
    </row>
    <row r="1527" customFormat="false" ht="15" hidden="false" customHeight="false" outlineLevel="0" collapsed="false">
      <c r="B1527" s="19" t="s">
        <v>14858</v>
      </c>
      <c r="C1527" s="20" t="n">
        <f aca="false">ROUND(4.29/FX,2)</f>
        <v>0.6</v>
      </c>
      <c r="D1527" s="21" t="s">
        <v>14859</v>
      </c>
      <c r="E1527" s="21" t="s">
        <v>14835</v>
      </c>
      <c r="F1527" s="21" t="s">
        <v>14832</v>
      </c>
    </row>
    <row r="1528" customFormat="false" ht="15" hidden="false" customHeight="false" outlineLevel="0" collapsed="false">
      <c r="B1528" s="19" t="s">
        <v>14860</v>
      </c>
      <c r="C1528" s="20" t="n">
        <f aca="false">ROUND(5.46/FX,2)</f>
        <v>0.76</v>
      </c>
      <c r="D1528" s="21" t="s">
        <v>14861</v>
      </c>
      <c r="E1528" s="21" t="s">
        <v>14862</v>
      </c>
      <c r="F1528" s="21" t="s">
        <v>14776</v>
      </c>
    </row>
    <row r="1529" customFormat="false" ht="15" hidden="false" customHeight="false" outlineLevel="0" collapsed="false">
      <c r="B1529" s="19" t="s">
        <v>14863</v>
      </c>
      <c r="C1529" s="20" t="n">
        <f aca="false">ROUND(5.46/FX,2)</f>
        <v>0.76</v>
      </c>
      <c r="D1529" s="21" t="s">
        <v>14861</v>
      </c>
      <c r="E1529" s="21" t="s">
        <v>14864</v>
      </c>
      <c r="F1529" s="21" t="s">
        <v>14780</v>
      </c>
    </row>
    <row r="1530" customFormat="false" ht="15" hidden="false" customHeight="false" outlineLevel="0" collapsed="false">
      <c r="B1530" s="19" t="s">
        <v>14865</v>
      </c>
      <c r="C1530" s="20" t="n">
        <f aca="false">ROUND(6.37/FX,2)</f>
        <v>0.88</v>
      </c>
      <c r="D1530" s="21" t="s">
        <v>14866</v>
      </c>
      <c r="E1530" s="21" t="s">
        <v>14862</v>
      </c>
      <c r="F1530" s="21" t="s">
        <v>14783</v>
      </c>
    </row>
    <row r="1531" customFormat="false" ht="15" hidden="false" customHeight="false" outlineLevel="0" collapsed="false">
      <c r="B1531" s="19" t="s">
        <v>14867</v>
      </c>
      <c r="C1531" s="20" t="n">
        <f aca="false">ROUND(6.37/FX,2)</f>
        <v>0.88</v>
      </c>
      <c r="D1531" s="21" t="s">
        <v>14866</v>
      </c>
      <c r="E1531" s="21" t="s">
        <v>14862</v>
      </c>
      <c r="F1531" s="21" t="s">
        <v>14785</v>
      </c>
    </row>
    <row r="1532" customFormat="false" ht="15" hidden="false" customHeight="false" outlineLevel="0" collapsed="false">
      <c r="B1532" s="19" t="s">
        <v>14868</v>
      </c>
      <c r="C1532" s="20" t="n">
        <f aca="false">ROUND(6.37/FX,2)</f>
        <v>0.88</v>
      </c>
      <c r="D1532" s="21" t="s">
        <v>14866</v>
      </c>
      <c r="E1532" s="21" t="s">
        <v>14864</v>
      </c>
      <c r="F1532" s="21" t="s">
        <v>14787</v>
      </c>
    </row>
    <row r="1533" customFormat="false" ht="15" hidden="false" customHeight="false" outlineLevel="0" collapsed="false">
      <c r="B1533" s="19" t="s">
        <v>14869</v>
      </c>
      <c r="C1533" s="20" t="n">
        <f aca="false">ROUND(8.45/FX,2)</f>
        <v>1.17</v>
      </c>
      <c r="D1533" s="21" t="s">
        <v>14870</v>
      </c>
      <c r="E1533" s="21" t="s">
        <v>14862</v>
      </c>
      <c r="F1533" s="21" t="s">
        <v>14790</v>
      </c>
    </row>
    <row r="1534" customFormat="false" ht="15" hidden="false" customHeight="false" outlineLevel="0" collapsed="false">
      <c r="B1534" s="19" t="s">
        <v>14871</v>
      </c>
      <c r="C1534" s="20" t="n">
        <f aca="false">ROUND(8.45/FX,2)</f>
        <v>1.17</v>
      </c>
      <c r="D1534" s="21" t="s">
        <v>14870</v>
      </c>
      <c r="E1534" s="21" t="s">
        <v>14864</v>
      </c>
      <c r="F1534" s="21" t="s">
        <v>14792</v>
      </c>
    </row>
    <row r="1535" customFormat="false" ht="15" hidden="false" customHeight="false" outlineLevel="0" collapsed="false">
      <c r="B1535" s="19" t="s">
        <v>14872</v>
      </c>
      <c r="C1535" s="20" t="n">
        <f aca="false">ROUND(10.14/FX,2)</f>
        <v>1.41</v>
      </c>
      <c r="D1535" s="21" t="s">
        <v>14873</v>
      </c>
      <c r="E1535" s="21" t="s">
        <v>14862</v>
      </c>
      <c r="F1535" s="21" t="s">
        <v>14795</v>
      </c>
    </row>
    <row r="1536" customFormat="false" ht="15" hidden="false" customHeight="false" outlineLevel="0" collapsed="false">
      <c r="B1536" s="19" t="s">
        <v>14874</v>
      </c>
      <c r="C1536" s="20" t="n">
        <f aca="false">ROUND(10.14/FX,2)</f>
        <v>1.41</v>
      </c>
      <c r="D1536" s="21" t="s">
        <v>14873</v>
      </c>
      <c r="E1536" s="21" t="s">
        <v>14864</v>
      </c>
      <c r="F1536" s="21" t="s">
        <v>14797</v>
      </c>
    </row>
    <row r="1537" customFormat="false" ht="15" hidden="false" customHeight="false" outlineLevel="0" collapsed="false">
      <c r="B1537" s="19" t="s">
        <v>14875</v>
      </c>
      <c r="C1537" s="20" t="n">
        <f aca="false">ROUND(14.04/FX,2)</f>
        <v>1.95</v>
      </c>
      <c r="D1537" s="21" t="s">
        <v>14876</v>
      </c>
      <c r="E1537" s="21" t="s">
        <v>14864</v>
      </c>
      <c r="F1537" s="21" t="s">
        <v>14800</v>
      </c>
    </row>
    <row r="1538" customFormat="false" ht="15" hidden="false" customHeight="false" outlineLevel="0" collapsed="false">
      <c r="B1538" s="19" t="s">
        <v>14877</v>
      </c>
      <c r="C1538" s="20" t="n">
        <f aca="false">ROUND(17.55/FX,2)</f>
        <v>2.44</v>
      </c>
      <c r="D1538" s="21" t="s">
        <v>14878</v>
      </c>
      <c r="E1538" s="21" t="s">
        <v>14864</v>
      </c>
      <c r="F1538" s="21" t="s">
        <v>14803</v>
      </c>
    </row>
    <row r="1539" customFormat="false" ht="15" hidden="false" customHeight="false" outlineLevel="0" collapsed="false">
      <c r="B1539" s="19" t="s">
        <v>14879</v>
      </c>
      <c r="C1539" s="20" t="n">
        <f aca="false">ROUND(22.75/FX,2)</f>
        <v>3.16</v>
      </c>
      <c r="D1539" s="21" t="s">
        <v>14880</v>
      </c>
      <c r="E1539" s="21" t="s">
        <v>14864</v>
      </c>
      <c r="F1539" s="21" t="s">
        <v>14811</v>
      </c>
    </row>
    <row r="1540" customFormat="false" ht="15" hidden="false" customHeight="false" outlineLevel="0" collapsed="false">
      <c r="B1540" s="19" t="s">
        <v>14881</v>
      </c>
      <c r="C1540" s="20" t="n">
        <f aca="false">ROUND(29.25/FX,2)</f>
        <v>4.06</v>
      </c>
      <c r="D1540" s="21" t="s">
        <v>14882</v>
      </c>
      <c r="E1540" s="21" t="s">
        <v>14864</v>
      </c>
      <c r="F1540" s="21" t="s">
        <v>14814</v>
      </c>
    </row>
    <row r="1541" customFormat="false" ht="15" hidden="false" customHeight="false" outlineLevel="0" collapsed="false">
      <c r="B1541" s="19" t="s">
        <v>14883</v>
      </c>
      <c r="C1541" s="20" t="n">
        <f aca="false">ROUND(41.6/FX,2)</f>
        <v>5.78</v>
      </c>
      <c r="D1541" s="21" t="s">
        <v>14884</v>
      </c>
      <c r="E1541" s="21" t="s">
        <v>14864</v>
      </c>
      <c r="F1541" s="21" t="s">
        <v>14817</v>
      </c>
    </row>
    <row r="1542" customFormat="false" ht="15" hidden="false" customHeight="false" outlineLevel="0" collapsed="false">
      <c r="B1542" s="19" t="s">
        <v>14885</v>
      </c>
      <c r="C1542" s="20" t="n">
        <f aca="false">ROUND(45.5/FX,2)</f>
        <v>6.32</v>
      </c>
      <c r="D1542" s="21" t="s">
        <v>14886</v>
      </c>
      <c r="E1542" s="21" t="s">
        <v>14864</v>
      </c>
      <c r="F1542" s="21" t="s">
        <v>14823</v>
      </c>
    </row>
    <row r="1543" customFormat="false" ht="15" hidden="false" customHeight="false" outlineLevel="0" collapsed="false">
      <c r="B1543" s="19" t="s">
        <v>14887</v>
      </c>
      <c r="C1543" s="20" t="n">
        <f aca="false">ROUND(3.38/FX,2)</f>
        <v>0.47</v>
      </c>
      <c r="D1543" s="21" t="s">
        <v>14888</v>
      </c>
      <c r="E1543" s="21" t="s">
        <v>14864</v>
      </c>
      <c r="F1543" s="21" t="s">
        <v>14826</v>
      </c>
    </row>
    <row r="1544" customFormat="false" ht="15" hidden="false" customHeight="false" outlineLevel="0" collapsed="false">
      <c r="B1544" s="19" t="s">
        <v>14889</v>
      </c>
      <c r="C1544" s="20" t="n">
        <f aca="false">ROUND(3.38/FX,2)</f>
        <v>0.47</v>
      </c>
      <c r="D1544" s="21" t="s">
        <v>14890</v>
      </c>
      <c r="E1544" s="21" t="s">
        <v>14864</v>
      </c>
      <c r="F1544" s="21" t="s">
        <v>14829</v>
      </c>
    </row>
    <row r="1545" customFormat="false" ht="15" hidden="false" customHeight="false" outlineLevel="0" collapsed="false">
      <c r="B1545" s="19" t="s">
        <v>14891</v>
      </c>
      <c r="C1545" s="20" t="n">
        <f aca="false">ROUND(4.29/FX,2)</f>
        <v>0.6</v>
      </c>
      <c r="D1545" s="21" t="s">
        <v>14892</v>
      </c>
      <c r="E1545" s="21" t="s">
        <v>14864</v>
      </c>
      <c r="F1545" s="21" t="s">
        <v>14832</v>
      </c>
    </row>
    <row r="1546" customFormat="false" ht="15" hidden="false" customHeight="false" outlineLevel="0" collapsed="false">
      <c r="B1546" s="19" t="s">
        <v>14893</v>
      </c>
      <c r="C1546" s="20" t="n">
        <f aca="false">ROUND(5.46/FX,2)</f>
        <v>0.76</v>
      </c>
      <c r="D1546" s="21" t="s">
        <v>14894</v>
      </c>
      <c r="E1546" s="21" t="s">
        <v>14895</v>
      </c>
      <c r="F1546" s="21" t="s">
        <v>14780</v>
      </c>
    </row>
    <row r="1547" customFormat="false" ht="15" hidden="false" customHeight="false" outlineLevel="0" collapsed="false">
      <c r="B1547" s="19" t="s">
        <v>14896</v>
      </c>
      <c r="C1547" s="20" t="n">
        <f aca="false">ROUND(6.37/FX,2)</f>
        <v>0.88</v>
      </c>
      <c r="D1547" s="21" t="s">
        <v>14897</v>
      </c>
      <c r="E1547" s="21" t="s">
        <v>14895</v>
      </c>
      <c r="F1547" s="21" t="s">
        <v>14787</v>
      </c>
    </row>
    <row r="1548" customFormat="false" ht="15" hidden="false" customHeight="false" outlineLevel="0" collapsed="false">
      <c r="B1548" s="19" t="s">
        <v>14898</v>
      </c>
      <c r="C1548" s="20" t="n">
        <f aca="false">ROUND(8.45/FX,2)</f>
        <v>1.17</v>
      </c>
      <c r="D1548" s="21" t="s">
        <v>14899</v>
      </c>
      <c r="E1548" s="21" t="s">
        <v>14895</v>
      </c>
      <c r="F1548" s="21" t="s">
        <v>14792</v>
      </c>
    </row>
    <row r="1549" customFormat="false" ht="15" hidden="false" customHeight="false" outlineLevel="0" collapsed="false">
      <c r="B1549" s="19" t="s">
        <v>14900</v>
      </c>
      <c r="C1549" s="20" t="n">
        <f aca="false">ROUND(10.14/FX,2)</f>
        <v>1.41</v>
      </c>
      <c r="D1549" s="21" t="s">
        <v>14901</v>
      </c>
      <c r="E1549" s="21" t="s">
        <v>14895</v>
      </c>
      <c r="F1549" s="21" t="s">
        <v>14797</v>
      </c>
    </row>
    <row r="1550" customFormat="false" ht="15" hidden="false" customHeight="false" outlineLevel="0" collapsed="false">
      <c r="B1550" s="19" t="s">
        <v>14902</v>
      </c>
      <c r="C1550" s="20" t="n">
        <f aca="false">ROUND(14.04/FX,2)</f>
        <v>1.95</v>
      </c>
      <c r="D1550" s="21" t="s">
        <v>14903</v>
      </c>
      <c r="E1550" s="21" t="s">
        <v>14895</v>
      </c>
      <c r="F1550" s="21" t="s">
        <v>14800</v>
      </c>
    </row>
    <row r="1551" customFormat="false" ht="15" hidden="false" customHeight="false" outlineLevel="0" collapsed="false">
      <c r="B1551" s="19" t="s">
        <v>14904</v>
      </c>
      <c r="C1551" s="20" t="n">
        <f aca="false">ROUND(17.55/FX,2)</f>
        <v>2.44</v>
      </c>
      <c r="D1551" s="21" t="s">
        <v>14905</v>
      </c>
      <c r="E1551" s="21" t="s">
        <v>14895</v>
      </c>
      <c r="F1551" s="21" t="s">
        <v>14803</v>
      </c>
    </row>
    <row r="1552" customFormat="false" ht="15" hidden="false" customHeight="false" outlineLevel="0" collapsed="false">
      <c r="B1552" s="19" t="s">
        <v>14906</v>
      </c>
      <c r="C1552" s="20" t="n">
        <f aca="false">ROUND(22.75/FX,2)</f>
        <v>3.16</v>
      </c>
      <c r="D1552" s="21" t="s">
        <v>14907</v>
      </c>
      <c r="E1552" s="21" t="s">
        <v>14895</v>
      </c>
      <c r="F1552" s="21" t="s">
        <v>14811</v>
      </c>
    </row>
    <row r="1553" customFormat="false" ht="15" hidden="false" customHeight="false" outlineLevel="0" collapsed="false">
      <c r="B1553" s="19" t="s">
        <v>14908</v>
      </c>
      <c r="C1553" s="20" t="n">
        <f aca="false">ROUND(29.25/FX,2)</f>
        <v>4.06</v>
      </c>
      <c r="D1553" s="21" t="s">
        <v>14909</v>
      </c>
      <c r="E1553" s="21" t="s">
        <v>14895</v>
      </c>
      <c r="F1553" s="21" t="s">
        <v>14814</v>
      </c>
    </row>
    <row r="1554" customFormat="false" ht="15" hidden="false" customHeight="false" outlineLevel="0" collapsed="false">
      <c r="B1554" s="19" t="s">
        <v>14910</v>
      </c>
      <c r="C1554" s="20" t="n">
        <f aca="false">ROUND(41.6/FX,2)</f>
        <v>5.78</v>
      </c>
      <c r="D1554" s="21" t="s">
        <v>14911</v>
      </c>
      <c r="E1554" s="21" t="s">
        <v>14895</v>
      </c>
      <c r="F1554" s="21" t="s">
        <v>14817</v>
      </c>
    </row>
    <row r="1555" customFormat="false" ht="15" hidden="false" customHeight="false" outlineLevel="0" collapsed="false">
      <c r="B1555" s="19" t="s">
        <v>14912</v>
      </c>
      <c r="C1555" s="20" t="n">
        <f aca="false">ROUND(45.5/FX,2)</f>
        <v>6.32</v>
      </c>
      <c r="D1555" s="21" t="s">
        <v>14913</v>
      </c>
      <c r="E1555" s="21" t="s">
        <v>14895</v>
      </c>
      <c r="F1555" s="21" t="s">
        <v>14823</v>
      </c>
    </row>
    <row r="1556" customFormat="false" ht="15" hidden="false" customHeight="false" outlineLevel="0" collapsed="false">
      <c r="B1556" s="19" t="s">
        <v>14914</v>
      </c>
      <c r="C1556" s="20" t="n">
        <f aca="false">ROUND(3.38/FX,2)</f>
        <v>0.47</v>
      </c>
      <c r="D1556" s="21" t="s">
        <v>14915</v>
      </c>
      <c r="E1556" s="21" t="s">
        <v>14895</v>
      </c>
      <c r="F1556" s="21" t="s">
        <v>14826</v>
      </c>
    </row>
    <row r="1557" customFormat="false" ht="15" hidden="false" customHeight="false" outlineLevel="0" collapsed="false">
      <c r="B1557" s="19" t="s">
        <v>14916</v>
      </c>
      <c r="C1557" s="20" t="n">
        <f aca="false">ROUND(3.38/FX,2)</f>
        <v>0.47</v>
      </c>
      <c r="D1557" s="21" t="s">
        <v>14917</v>
      </c>
      <c r="E1557" s="21" t="s">
        <v>14895</v>
      </c>
      <c r="F1557" s="21" t="s">
        <v>14829</v>
      </c>
    </row>
    <row r="1558" customFormat="false" ht="15" hidden="false" customHeight="false" outlineLevel="0" collapsed="false">
      <c r="B1558" s="19" t="s">
        <v>14918</v>
      </c>
      <c r="C1558" s="20" t="n">
        <f aca="false">ROUND(4.29/FX,2)</f>
        <v>0.6</v>
      </c>
      <c r="D1558" s="21" t="s">
        <v>14919</v>
      </c>
      <c r="E1558" s="21" t="s">
        <v>14895</v>
      </c>
      <c r="F1558" s="21" t="s">
        <v>14832</v>
      </c>
    </row>
    <row r="1559" customFormat="false" ht="15" hidden="false" customHeight="false" outlineLevel="0" collapsed="false">
      <c r="B1559" s="19" t="s">
        <v>14920</v>
      </c>
      <c r="C1559" s="20" t="n">
        <f aca="false">ROUND(3.25/FX,2)</f>
        <v>0.45</v>
      </c>
      <c r="D1559" s="21" t="s">
        <v>14921</v>
      </c>
      <c r="E1559" s="21" t="s">
        <v>14864</v>
      </c>
      <c r="F1559" s="21" t="s">
        <v>14780</v>
      </c>
    </row>
    <row r="1560" customFormat="false" ht="15" hidden="false" customHeight="false" outlineLevel="0" collapsed="false">
      <c r="B1560" s="19" t="s">
        <v>14922</v>
      </c>
      <c r="C1560" s="20" t="n">
        <f aca="false">ROUND(3.25/FX,2)</f>
        <v>0.45</v>
      </c>
      <c r="D1560" s="21" t="s">
        <v>14923</v>
      </c>
      <c r="E1560" s="21" t="s">
        <v>14862</v>
      </c>
      <c r="F1560" s="21" t="s">
        <v>14776</v>
      </c>
    </row>
    <row r="1561" customFormat="false" ht="15" hidden="false" customHeight="false" outlineLevel="0" collapsed="false">
      <c r="B1561" s="19" t="s">
        <v>14924</v>
      </c>
      <c r="C1561" s="20" t="n">
        <f aca="false">ROUND(3.46/FX,2)</f>
        <v>0.48</v>
      </c>
      <c r="D1561" s="21" t="s">
        <v>14923</v>
      </c>
      <c r="E1561" s="21" t="s">
        <v>14864</v>
      </c>
      <c r="F1561" s="21" t="s">
        <v>14780</v>
      </c>
    </row>
    <row r="1562" customFormat="false" ht="15" hidden="false" customHeight="false" outlineLevel="0" collapsed="false">
      <c r="B1562" s="19" t="s">
        <v>14925</v>
      </c>
      <c r="C1562" s="20" t="n">
        <f aca="false">ROUND(3.9/FX,2)</f>
        <v>0.54</v>
      </c>
      <c r="D1562" s="21" t="s">
        <v>14926</v>
      </c>
      <c r="E1562" s="21" t="s">
        <v>14864</v>
      </c>
      <c r="F1562" s="21" t="s">
        <v>14787</v>
      </c>
    </row>
    <row r="1563" customFormat="false" ht="15" hidden="false" customHeight="false" outlineLevel="0" collapsed="false">
      <c r="B1563" s="19" t="s">
        <v>14927</v>
      </c>
      <c r="C1563" s="20" t="n">
        <f aca="false">ROUND(4.42/FX,2)</f>
        <v>0.61</v>
      </c>
      <c r="D1563" s="21" t="s">
        <v>14928</v>
      </c>
      <c r="E1563" s="21" t="s">
        <v>14862</v>
      </c>
      <c r="F1563" s="21" t="s">
        <v>14783</v>
      </c>
    </row>
    <row r="1564" customFormat="false" ht="15" hidden="false" customHeight="false" outlineLevel="0" collapsed="false">
      <c r="B1564" s="19" t="s">
        <v>14929</v>
      </c>
      <c r="C1564" s="20" t="n">
        <f aca="false">ROUND(4.81/FX,2)</f>
        <v>0.67</v>
      </c>
      <c r="D1564" s="21" t="s">
        <v>14928</v>
      </c>
      <c r="E1564" s="21" t="s">
        <v>14864</v>
      </c>
      <c r="F1564" s="21" t="s">
        <v>14787</v>
      </c>
    </row>
    <row r="1565" customFormat="false" ht="15" hidden="false" customHeight="false" outlineLevel="0" collapsed="false">
      <c r="B1565" s="19" t="s">
        <v>14930</v>
      </c>
      <c r="C1565" s="20" t="n">
        <f aca="false">ROUND(5.59/FX,2)</f>
        <v>0.78</v>
      </c>
      <c r="D1565" s="21" t="s">
        <v>14931</v>
      </c>
      <c r="E1565" s="21" t="s">
        <v>14864</v>
      </c>
      <c r="F1565" s="21" t="s">
        <v>14792</v>
      </c>
    </row>
    <row r="1566" customFormat="false" ht="15" hidden="false" customHeight="false" outlineLevel="0" collapsed="false">
      <c r="B1566" s="19" t="s">
        <v>14932</v>
      </c>
      <c r="C1566" s="20" t="n">
        <f aca="false">ROUND(5.88/FX,2)</f>
        <v>0.82</v>
      </c>
      <c r="D1566" s="21" t="s">
        <v>14933</v>
      </c>
      <c r="E1566" s="21" t="s">
        <v>14862</v>
      </c>
      <c r="F1566" s="21" t="s">
        <v>14790</v>
      </c>
    </row>
    <row r="1567" customFormat="false" ht="15" hidden="false" customHeight="false" outlineLevel="0" collapsed="false">
      <c r="B1567" s="19" t="s">
        <v>14934</v>
      </c>
      <c r="C1567" s="20" t="n">
        <f aca="false">ROUND(5.85/FX,2)</f>
        <v>0.81</v>
      </c>
      <c r="D1567" s="21" t="s">
        <v>14933</v>
      </c>
      <c r="E1567" s="21" t="s">
        <v>14864</v>
      </c>
      <c r="F1567" s="21" t="s">
        <v>14792</v>
      </c>
    </row>
    <row r="1568" customFormat="false" ht="15" hidden="false" customHeight="false" outlineLevel="0" collapsed="false">
      <c r="B1568" s="19" t="s">
        <v>14935</v>
      </c>
      <c r="C1568" s="20" t="n">
        <f aca="false">ROUND(7.15/FX,2)</f>
        <v>0.99</v>
      </c>
      <c r="D1568" s="21" t="s">
        <v>14936</v>
      </c>
      <c r="E1568" s="21" t="s">
        <v>14864</v>
      </c>
      <c r="F1568" s="21" t="s">
        <v>14797</v>
      </c>
    </row>
    <row r="1569" customFormat="false" ht="15" hidden="false" customHeight="false" outlineLevel="0" collapsed="false">
      <c r="B1569" s="19" t="s">
        <v>14937</v>
      </c>
      <c r="C1569" s="20" t="n">
        <f aca="false">ROUND(7.8/FX,2)</f>
        <v>1.08</v>
      </c>
      <c r="D1569" s="21" t="s">
        <v>14938</v>
      </c>
      <c r="E1569" s="21" t="s">
        <v>14862</v>
      </c>
      <c r="F1569" s="21" t="s">
        <v>14795</v>
      </c>
    </row>
    <row r="1570" customFormat="false" ht="15" hidden="false" customHeight="false" outlineLevel="0" collapsed="false">
      <c r="B1570" s="19" t="s">
        <v>14939</v>
      </c>
      <c r="C1570" s="20" t="n">
        <f aca="false">ROUND(7.67/FX,2)</f>
        <v>1.07</v>
      </c>
      <c r="D1570" s="21" t="s">
        <v>14938</v>
      </c>
      <c r="E1570" s="21" t="s">
        <v>14864</v>
      </c>
      <c r="F1570" s="21" t="s">
        <v>14797</v>
      </c>
    </row>
    <row r="1571" customFormat="false" ht="15" hidden="false" customHeight="false" outlineLevel="0" collapsed="false">
      <c r="B1571" s="19" t="s">
        <v>14940</v>
      </c>
      <c r="C1571" s="20" t="n">
        <f aca="false">ROUND(11.7/FX,2)</f>
        <v>1.63</v>
      </c>
      <c r="D1571" s="21" t="s">
        <v>14941</v>
      </c>
      <c r="E1571" s="21" t="s">
        <v>14864</v>
      </c>
      <c r="F1571" s="21" t="s">
        <v>14800</v>
      </c>
    </row>
    <row r="1572" customFormat="false" ht="15" hidden="false" customHeight="false" outlineLevel="0" collapsed="false">
      <c r="B1572" s="19" t="s">
        <v>14942</v>
      </c>
      <c r="C1572" s="20" t="n">
        <f aca="false">ROUND(10.92/FX,2)</f>
        <v>1.52</v>
      </c>
      <c r="D1572" s="21" t="s">
        <v>14943</v>
      </c>
      <c r="E1572" s="21" t="s">
        <v>14864</v>
      </c>
      <c r="F1572" s="21" t="s">
        <v>14800</v>
      </c>
    </row>
    <row r="1573" customFormat="false" ht="15" hidden="false" customHeight="false" outlineLevel="0" collapsed="false">
      <c r="B1573" s="19" t="s">
        <v>14944</v>
      </c>
      <c r="C1573" s="20" t="n">
        <f aca="false">ROUND(12.35/FX,2)</f>
        <v>1.72</v>
      </c>
      <c r="D1573" s="21" t="s">
        <v>14943</v>
      </c>
      <c r="E1573" s="21" t="s">
        <v>14864</v>
      </c>
      <c r="F1573" s="21" t="s">
        <v>14945</v>
      </c>
    </row>
    <row r="1574" customFormat="false" ht="15" hidden="false" customHeight="false" outlineLevel="0" collapsed="false">
      <c r="B1574" s="19" t="s">
        <v>14946</v>
      </c>
      <c r="C1574" s="20" t="n">
        <f aca="false">ROUND(13.65/FX,2)</f>
        <v>1.9</v>
      </c>
      <c r="D1574" s="21" t="s">
        <v>14947</v>
      </c>
      <c r="E1574" s="21" t="s">
        <v>14864</v>
      </c>
      <c r="F1574" s="21" t="s">
        <v>14803</v>
      </c>
    </row>
    <row r="1575" customFormat="false" ht="15" hidden="false" customHeight="false" outlineLevel="0" collapsed="false">
      <c r="B1575" s="19" t="s">
        <v>14948</v>
      </c>
      <c r="C1575" s="20" t="n">
        <f aca="false">ROUND(14.3/FX,2)</f>
        <v>1.99</v>
      </c>
      <c r="D1575" s="21" t="s">
        <v>14949</v>
      </c>
      <c r="E1575" s="21" t="s">
        <v>14864</v>
      </c>
      <c r="F1575" s="21" t="s">
        <v>14803</v>
      </c>
    </row>
    <row r="1576" customFormat="false" ht="15" hidden="false" customHeight="false" outlineLevel="0" collapsed="false">
      <c r="B1576" s="19" t="s">
        <v>14950</v>
      </c>
      <c r="C1576" s="20" t="n">
        <f aca="false">ROUND(13.65/FX,2)</f>
        <v>1.9</v>
      </c>
      <c r="D1576" s="21" t="s">
        <v>14949</v>
      </c>
      <c r="E1576" s="21" t="s">
        <v>14864</v>
      </c>
      <c r="F1576" s="21" t="s">
        <v>14806</v>
      </c>
    </row>
    <row r="1577" customFormat="false" ht="15" hidden="false" customHeight="false" outlineLevel="0" collapsed="false">
      <c r="B1577" s="19" t="s">
        <v>14951</v>
      </c>
      <c r="C1577" s="20" t="n">
        <f aca="false">ROUND(13/FX,2)</f>
        <v>1.81</v>
      </c>
      <c r="D1577" s="21" t="s">
        <v>14949</v>
      </c>
      <c r="E1577" s="21" t="s">
        <v>14864</v>
      </c>
      <c r="F1577" s="21" t="s">
        <v>14808</v>
      </c>
    </row>
    <row r="1578" customFormat="false" ht="28.35" hidden="false" customHeight="false" outlineLevel="0" collapsed="false">
      <c r="B1578" s="19" t="s">
        <v>14952</v>
      </c>
      <c r="C1578" s="20" t="n">
        <f aca="false">ROUND(13/FX,2)</f>
        <v>1.81</v>
      </c>
      <c r="D1578" s="21" t="s">
        <v>14949</v>
      </c>
      <c r="E1578" s="21" t="s">
        <v>14953</v>
      </c>
      <c r="F1578" s="21" t="s">
        <v>14808</v>
      </c>
    </row>
    <row r="1579" customFormat="false" ht="15" hidden="false" customHeight="false" outlineLevel="0" collapsed="false">
      <c r="B1579" s="19" t="s">
        <v>14954</v>
      </c>
      <c r="C1579" s="20" t="n">
        <f aca="false">ROUND(18/FX,2)</f>
        <v>2.5</v>
      </c>
      <c r="D1579" s="21" t="s">
        <v>14955</v>
      </c>
      <c r="E1579" s="21" t="s">
        <v>14864</v>
      </c>
      <c r="F1579" s="21" t="s">
        <v>14811</v>
      </c>
    </row>
    <row r="1580" customFormat="false" ht="15" hidden="false" customHeight="false" outlineLevel="0" collapsed="false">
      <c r="B1580" s="19" t="s">
        <v>14956</v>
      </c>
      <c r="C1580" s="20" t="n">
        <f aca="false">ROUND(24.05/FX,2)</f>
        <v>3.34</v>
      </c>
      <c r="D1580" s="21" t="s">
        <v>14957</v>
      </c>
      <c r="E1580" s="21" t="s">
        <v>14864</v>
      </c>
      <c r="F1580" s="21" t="s">
        <v>14958</v>
      </c>
    </row>
    <row r="1581" customFormat="false" ht="15" hidden="false" customHeight="false" outlineLevel="0" collapsed="false">
      <c r="B1581" s="19" t="s">
        <v>14959</v>
      </c>
      <c r="C1581" s="20" t="n">
        <f aca="false">ROUND(21.45/FX,2)</f>
        <v>2.98</v>
      </c>
      <c r="D1581" s="21" t="s">
        <v>14957</v>
      </c>
      <c r="E1581" s="21" t="s">
        <v>14864</v>
      </c>
      <c r="F1581" s="21" t="s">
        <v>14814</v>
      </c>
    </row>
    <row r="1582" customFormat="false" ht="15" hidden="false" customHeight="false" outlineLevel="0" collapsed="false">
      <c r="B1582" s="19" t="s">
        <v>14960</v>
      </c>
      <c r="C1582" s="20" t="n">
        <f aca="false">ROUND(28.6/FX,2)</f>
        <v>3.97</v>
      </c>
      <c r="D1582" s="21" t="s">
        <v>14961</v>
      </c>
      <c r="E1582" s="21" t="s">
        <v>14864</v>
      </c>
      <c r="F1582" s="21" t="s">
        <v>14817</v>
      </c>
    </row>
    <row r="1583" customFormat="false" ht="15" hidden="false" customHeight="false" outlineLevel="0" collapsed="false">
      <c r="B1583" s="19" t="s">
        <v>14962</v>
      </c>
      <c r="C1583" s="20" t="n">
        <f aca="false">ROUND(36.4/FX,2)</f>
        <v>5.06</v>
      </c>
      <c r="D1583" s="21" t="s">
        <v>14963</v>
      </c>
      <c r="E1583" s="21" t="s">
        <v>14862</v>
      </c>
      <c r="F1583" s="21" t="s">
        <v>14817</v>
      </c>
    </row>
    <row r="1584" customFormat="false" ht="15" hidden="false" customHeight="false" outlineLevel="0" collapsed="false">
      <c r="B1584" s="19" t="s">
        <v>14964</v>
      </c>
      <c r="C1584" s="20" t="n">
        <f aca="false">ROUND(37.05/FX,2)</f>
        <v>5.15</v>
      </c>
      <c r="D1584" s="21" t="s">
        <v>14963</v>
      </c>
      <c r="E1584" s="21" t="s">
        <v>14864</v>
      </c>
      <c r="F1584" s="21" t="s">
        <v>14821</v>
      </c>
    </row>
    <row r="1585" customFormat="false" ht="15" hidden="false" customHeight="false" outlineLevel="0" collapsed="false">
      <c r="B1585" s="19" t="s">
        <v>14965</v>
      </c>
      <c r="C1585" s="20" t="n">
        <f aca="false">ROUND(32.5/FX,2)</f>
        <v>4.51</v>
      </c>
      <c r="D1585" s="21" t="s">
        <v>14963</v>
      </c>
      <c r="E1585" s="21" t="s">
        <v>14864</v>
      </c>
      <c r="F1585" s="21" t="s">
        <v>14823</v>
      </c>
    </row>
    <row r="1586" customFormat="false" ht="15" hidden="false" customHeight="false" outlineLevel="0" collapsed="false">
      <c r="B1586" s="19" t="s">
        <v>14966</v>
      </c>
      <c r="C1586" s="20" t="n">
        <f aca="false">ROUND(75/FX,2)</f>
        <v>10.42</v>
      </c>
      <c r="D1586" s="21" t="s">
        <v>14967</v>
      </c>
      <c r="E1586" s="21" t="s">
        <v>14864</v>
      </c>
      <c r="F1586" s="21" t="s">
        <v>14968</v>
      </c>
    </row>
    <row r="1587" customFormat="false" ht="28.35" hidden="false" customHeight="false" outlineLevel="0" collapsed="false">
      <c r="B1587" s="19" t="s">
        <v>14969</v>
      </c>
      <c r="C1587" s="20" t="n">
        <f aca="false">ROUND(90.74/FX,2)</f>
        <v>12.6</v>
      </c>
      <c r="D1587" s="21" t="s">
        <v>14967</v>
      </c>
      <c r="E1587" s="21" t="s">
        <v>14953</v>
      </c>
      <c r="F1587" s="21" t="s">
        <v>14970</v>
      </c>
    </row>
    <row r="1588" customFormat="false" ht="15" hidden="false" customHeight="false" outlineLevel="0" collapsed="false">
      <c r="B1588" s="19" t="s">
        <v>14971</v>
      </c>
      <c r="C1588" s="20" t="n">
        <f aca="false">ROUND(2.08/FX,2)</f>
        <v>0.29</v>
      </c>
      <c r="D1588" s="21" t="s">
        <v>14972</v>
      </c>
      <c r="E1588" s="21" t="s">
        <v>14864</v>
      </c>
      <c r="F1588" s="21" t="s">
        <v>14973</v>
      </c>
    </row>
    <row r="1589" customFormat="false" ht="15" hidden="false" customHeight="false" outlineLevel="0" collapsed="false">
      <c r="B1589" s="19" t="s">
        <v>14974</v>
      </c>
      <c r="C1589" s="20" t="n">
        <f aca="false">ROUND(338/FX,2)</f>
        <v>46.94</v>
      </c>
      <c r="D1589" s="21" t="s">
        <v>14975</v>
      </c>
      <c r="E1589" s="21" t="s">
        <v>14864</v>
      </c>
      <c r="F1589" s="21" t="s">
        <v>14976</v>
      </c>
    </row>
    <row r="1590" customFormat="false" ht="15" hidden="false" customHeight="false" outlineLevel="0" collapsed="false">
      <c r="B1590" s="19" t="s">
        <v>14977</v>
      </c>
      <c r="C1590" s="20" t="n">
        <f aca="false">ROUND(2.47/FX,2)</f>
        <v>0.34</v>
      </c>
      <c r="D1590" s="21" t="s">
        <v>14978</v>
      </c>
      <c r="E1590" s="21" t="s">
        <v>14864</v>
      </c>
      <c r="F1590" s="21" t="s">
        <v>14979</v>
      </c>
    </row>
    <row r="1591" customFormat="false" ht="15" hidden="false" customHeight="false" outlineLevel="0" collapsed="false">
      <c r="B1591" s="19" t="s">
        <v>14980</v>
      </c>
      <c r="C1591" s="20" t="n">
        <f aca="false">ROUND(884/FX,2)</f>
        <v>122.78</v>
      </c>
      <c r="D1591" s="21" t="s">
        <v>14981</v>
      </c>
      <c r="E1591" s="21" t="s">
        <v>14864</v>
      </c>
      <c r="F1591" s="21" t="s">
        <v>14982</v>
      </c>
    </row>
    <row r="1592" customFormat="false" ht="15" hidden="false" customHeight="false" outlineLevel="0" collapsed="false">
      <c r="B1592" s="19" t="s">
        <v>14983</v>
      </c>
      <c r="C1592" s="20" t="n">
        <f aca="false">ROUND(1.95/FX,2)</f>
        <v>0.27</v>
      </c>
      <c r="D1592" s="21" t="s">
        <v>14984</v>
      </c>
      <c r="E1592" s="21" t="s">
        <v>14864</v>
      </c>
      <c r="F1592" s="21" t="s">
        <v>14826</v>
      </c>
    </row>
    <row r="1593" customFormat="false" ht="15" hidden="false" customHeight="false" outlineLevel="0" collapsed="false">
      <c r="B1593" s="19" t="s">
        <v>14985</v>
      </c>
      <c r="C1593" s="20" t="n">
        <f aca="false">ROUND(2.21/FX,2)</f>
        <v>0.31</v>
      </c>
      <c r="D1593" s="21" t="s">
        <v>14986</v>
      </c>
      <c r="E1593" s="21" t="s">
        <v>14864</v>
      </c>
      <c r="F1593" s="21" t="s">
        <v>14826</v>
      </c>
    </row>
    <row r="1594" customFormat="false" ht="15" hidden="false" customHeight="false" outlineLevel="0" collapsed="false">
      <c r="B1594" s="19" t="s">
        <v>14987</v>
      </c>
      <c r="C1594" s="20" t="n">
        <f aca="false">ROUND(2.08/FX,2)</f>
        <v>0.29</v>
      </c>
      <c r="D1594" s="21" t="s">
        <v>14988</v>
      </c>
      <c r="E1594" s="21" t="s">
        <v>14864</v>
      </c>
      <c r="F1594" s="21" t="s">
        <v>14829</v>
      </c>
    </row>
    <row r="1595" customFormat="false" ht="15" hidden="false" customHeight="false" outlineLevel="0" collapsed="false">
      <c r="B1595" s="19" t="s">
        <v>14989</v>
      </c>
      <c r="C1595" s="20" t="n">
        <f aca="false">ROUND(2.1/FX,2)</f>
        <v>0.29</v>
      </c>
      <c r="D1595" s="21" t="s">
        <v>14990</v>
      </c>
      <c r="E1595" s="21" t="s">
        <v>14864</v>
      </c>
      <c r="F1595" s="21" t="s">
        <v>14829</v>
      </c>
    </row>
    <row r="1596" customFormat="false" ht="15" hidden="false" customHeight="false" outlineLevel="0" collapsed="false">
      <c r="B1596" s="19" t="s">
        <v>14991</v>
      </c>
      <c r="C1596" s="20" t="n">
        <f aca="false">ROUND(2.6/FX,2)</f>
        <v>0.36</v>
      </c>
      <c r="D1596" s="21" t="s">
        <v>14992</v>
      </c>
      <c r="E1596" s="21" t="s">
        <v>14864</v>
      </c>
      <c r="F1596" s="21" t="s">
        <v>14832</v>
      </c>
    </row>
    <row r="1597" customFormat="false" ht="15" hidden="false" customHeight="false" outlineLevel="0" collapsed="false">
      <c r="B1597" s="19" t="s">
        <v>14993</v>
      </c>
      <c r="C1597" s="20" t="n">
        <f aca="false">ROUND(2.27/FX,2)</f>
        <v>0.32</v>
      </c>
      <c r="D1597" s="21" t="s">
        <v>14994</v>
      </c>
      <c r="E1597" s="21" t="s">
        <v>14864</v>
      </c>
      <c r="F1597" s="21" t="s">
        <v>14832</v>
      </c>
    </row>
    <row r="1598" customFormat="false" ht="15" hidden="false" customHeight="false" outlineLevel="0" collapsed="false">
      <c r="B1598" s="19" t="s">
        <v>14995</v>
      </c>
      <c r="C1598" s="20" t="n">
        <f aca="false">ROUND(3.25/FX,2)</f>
        <v>0.45</v>
      </c>
      <c r="D1598" s="21" t="s">
        <v>14996</v>
      </c>
      <c r="E1598" s="21" t="s">
        <v>14895</v>
      </c>
      <c r="F1598" s="21" t="s">
        <v>14780</v>
      </c>
    </row>
    <row r="1599" customFormat="false" ht="15" hidden="false" customHeight="false" outlineLevel="0" collapsed="false">
      <c r="B1599" s="19" t="s">
        <v>14997</v>
      </c>
      <c r="C1599" s="20" t="n">
        <f aca="false">ROUND(3.25/FX,2)</f>
        <v>0.45</v>
      </c>
      <c r="D1599" s="21" t="s">
        <v>14998</v>
      </c>
      <c r="E1599" s="21" t="s">
        <v>14999</v>
      </c>
      <c r="F1599" s="21" t="s">
        <v>14776</v>
      </c>
    </row>
    <row r="1600" customFormat="false" ht="15" hidden="false" customHeight="false" outlineLevel="0" collapsed="false">
      <c r="B1600" s="19" t="s">
        <v>15000</v>
      </c>
      <c r="C1600" s="20" t="n">
        <f aca="false">ROUND(3.46/FX,2)</f>
        <v>0.48</v>
      </c>
      <c r="D1600" s="21" t="s">
        <v>14998</v>
      </c>
      <c r="E1600" s="21" t="s">
        <v>14895</v>
      </c>
      <c r="F1600" s="21" t="s">
        <v>14780</v>
      </c>
    </row>
    <row r="1601" customFormat="false" ht="15" hidden="false" customHeight="false" outlineLevel="0" collapsed="false">
      <c r="B1601" s="19" t="s">
        <v>15001</v>
      </c>
      <c r="C1601" s="20" t="n">
        <f aca="false">ROUND(3.9/FX,2)</f>
        <v>0.54</v>
      </c>
      <c r="D1601" s="21" t="s">
        <v>15002</v>
      </c>
      <c r="E1601" s="21" t="s">
        <v>14895</v>
      </c>
      <c r="F1601" s="21" t="s">
        <v>14787</v>
      </c>
    </row>
    <row r="1602" customFormat="false" ht="15" hidden="false" customHeight="false" outlineLevel="0" collapsed="false">
      <c r="B1602" s="19" t="s">
        <v>15003</v>
      </c>
      <c r="C1602" s="20" t="n">
        <f aca="false">ROUND(4.42/FX,2)</f>
        <v>0.61</v>
      </c>
      <c r="D1602" s="21" t="s">
        <v>15004</v>
      </c>
      <c r="E1602" s="21" t="s">
        <v>14999</v>
      </c>
      <c r="F1602" s="21" t="s">
        <v>14783</v>
      </c>
    </row>
    <row r="1603" customFormat="false" ht="15" hidden="false" customHeight="false" outlineLevel="0" collapsed="false">
      <c r="B1603" s="19" t="s">
        <v>15005</v>
      </c>
      <c r="C1603" s="20" t="n">
        <f aca="false">ROUND(4.81/FX,2)</f>
        <v>0.67</v>
      </c>
      <c r="D1603" s="21" t="s">
        <v>15004</v>
      </c>
      <c r="E1603" s="21" t="s">
        <v>14895</v>
      </c>
      <c r="F1603" s="21" t="s">
        <v>14787</v>
      </c>
    </row>
    <row r="1604" customFormat="false" ht="15" hidden="false" customHeight="false" outlineLevel="0" collapsed="false">
      <c r="B1604" s="19" t="s">
        <v>15006</v>
      </c>
      <c r="C1604" s="20" t="n">
        <f aca="false">ROUND(5.59/FX,2)</f>
        <v>0.78</v>
      </c>
      <c r="D1604" s="21" t="s">
        <v>15007</v>
      </c>
      <c r="E1604" s="21" t="s">
        <v>14895</v>
      </c>
      <c r="F1604" s="21" t="s">
        <v>14792</v>
      </c>
    </row>
    <row r="1605" customFormat="false" ht="15" hidden="false" customHeight="false" outlineLevel="0" collapsed="false">
      <c r="B1605" s="19" t="s">
        <v>15008</v>
      </c>
      <c r="C1605" s="20" t="n">
        <f aca="false">ROUND(5.88/FX,2)</f>
        <v>0.82</v>
      </c>
      <c r="D1605" s="21" t="s">
        <v>15009</v>
      </c>
      <c r="E1605" s="21" t="s">
        <v>14999</v>
      </c>
      <c r="F1605" s="21" t="s">
        <v>14790</v>
      </c>
    </row>
    <row r="1606" customFormat="false" ht="15" hidden="false" customHeight="false" outlineLevel="0" collapsed="false">
      <c r="B1606" s="19" t="s">
        <v>15010</v>
      </c>
      <c r="C1606" s="20" t="n">
        <f aca="false">ROUND(5.85/FX,2)</f>
        <v>0.81</v>
      </c>
      <c r="D1606" s="21" t="s">
        <v>15009</v>
      </c>
      <c r="E1606" s="21" t="s">
        <v>14895</v>
      </c>
      <c r="F1606" s="21" t="s">
        <v>14792</v>
      </c>
    </row>
    <row r="1607" customFormat="false" ht="15" hidden="false" customHeight="false" outlineLevel="0" collapsed="false">
      <c r="B1607" s="19" t="s">
        <v>15011</v>
      </c>
      <c r="C1607" s="20" t="n">
        <f aca="false">ROUND(7.15/FX,2)</f>
        <v>0.99</v>
      </c>
      <c r="D1607" s="21" t="s">
        <v>15012</v>
      </c>
      <c r="E1607" s="21" t="s">
        <v>14895</v>
      </c>
      <c r="F1607" s="21" t="s">
        <v>14797</v>
      </c>
    </row>
    <row r="1608" customFormat="false" ht="15" hidden="false" customHeight="false" outlineLevel="0" collapsed="false">
      <c r="B1608" s="19" t="s">
        <v>15013</v>
      </c>
      <c r="C1608" s="20" t="n">
        <f aca="false">ROUND(7.8/FX,2)</f>
        <v>1.08</v>
      </c>
      <c r="D1608" s="21" t="s">
        <v>15014</v>
      </c>
      <c r="E1608" s="21" t="s">
        <v>14999</v>
      </c>
      <c r="F1608" s="21" t="s">
        <v>14795</v>
      </c>
    </row>
    <row r="1609" customFormat="false" ht="15" hidden="false" customHeight="false" outlineLevel="0" collapsed="false">
      <c r="B1609" s="19" t="s">
        <v>15015</v>
      </c>
      <c r="C1609" s="20" t="n">
        <f aca="false">ROUND(7.67/FX,2)</f>
        <v>1.07</v>
      </c>
      <c r="D1609" s="21" t="s">
        <v>15014</v>
      </c>
      <c r="E1609" s="21" t="s">
        <v>14895</v>
      </c>
      <c r="F1609" s="21" t="s">
        <v>14797</v>
      </c>
    </row>
    <row r="1610" customFormat="false" ht="15" hidden="false" customHeight="false" outlineLevel="0" collapsed="false">
      <c r="B1610" s="19" t="s">
        <v>15016</v>
      </c>
      <c r="C1610" s="20" t="n">
        <f aca="false">ROUND(11.7/FX,2)</f>
        <v>1.63</v>
      </c>
      <c r="D1610" s="21" t="s">
        <v>15017</v>
      </c>
      <c r="E1610" s="21" t="s">
        <v>14895</v>
      </c>
      <c r="F1610" s="21" t="s">
        <v>14800</v>
      </c>
    </row>
    <row r="1611" customFormat="false" ht="15" hidden="false" customHeight="false" outlineLevel="0" collapsed="false">
      <c r="B1611" s="19" t="s">
        <v>15018</v>
      </c>
      <c r="C1611" s="20" t="n">
        <f aca="false">ROUND(9.75/FX,2)</f>
        <v>1.35</v>
      </c>
      <c r="D1611" s="21" t="s">
        <v>15019</v>
      </c>
      <c r="E1611" s="21" t="s">
        <v>14895</v>
      </c>
      <c r="F1611" s="21" t="s">
        <v>14800</v>
      </c>
    </row>
    <row r="1612" customFormat="false" ht="15" hidden="false" customHeight="false" outlineLevel="0" collapsed="false">
      <c r="B1612" s="19" t="s">
        <v>15020</v>
      </c>
      <c r="C1612" s="20" t="n">
        <f aca="false">ROUND(12.35/FX,2)</f>
        <v>1.72</v>
      </c>
      <c r="D1612" s="21" t="s">
        <v>15019</v>
      </c>
      <c r="E1612" s="21" t="s">
        <v>14895</v>
      </c>
      <c r="F1612" s="21" t="s">
        <v>14945</v>
      </c>
    </row>
    <row r="1613" customFormat="false" ht="15" hidden="false" customHeight="false" outlineLevel="0" collapsed="false">
      <c r="B1613" s="19" t="s">
        <v>15021</v>
      </c>
      <c r="C1613" s="20" t="n">
        <f aca="false">ROUND(13.65/FX,2)</f>
        <v>1.9</v>
      </c>
      <c r="D1613" s="21" t="s">
        <v>15022</v>
      </c>
      <c r="E1613" s="21" t="s">
        <v>14895</v>
      </c>
      <c r="F1613" s="21" t="s">
        <v>14803</v>
      </c>
    </row>
    <row r="1614" customFormat="false" ht="15" hidden="false" customHeight="false" outlineLevel="0" collapsed="false">
      <c r="B1614" s="19" t="s">
        <v>15023</v>
      </c>
      <c r="C1614" s="20" t="n">
        <f aca="false">ROUND(14.3/FX,2)</f>
        <v>1.99</v>
      </c>
      <c r="D1614" s="21" t="s">
        <v>15024</v>
      </c>
      <c r="E1614" s="21" t="s">
        <v>14895</v>
      </c>
      <c r="F1614" s="21" t="s">
        <v>14803</v>
      </c>
    </row>
    <row r="1615" customFormat="false" ht="15" hidden="false" customHeight="false" outlineLevel="0" collapsed="false">
      <c r="B1615" s="19" t="s">
        <v>15025</v>
      </c>
      <c r="C1615" s="20" t="n">
        <f aca="false">ROUND(13.65/FX,2)</f>
        <v>1.9</v>
      </c>
      <c r="D1615" s="21" t="s">
        <v>15024</v>
      </c>
      <c r="E1615" s="21" t="s">
        <v>14895</v>
      </c>
      <c r="F1615" s="21" t="s">
        <v>14806</v>
      </c>
    </row>
    <row r="1616" customFormat="false" ht="28.35" hidden="false" customHeight="false" outlineLevel="0" collapsed="false">
      <c r="B1616" s="19" t="s">
        <v>15026</v>
      </c>
      <c r="C1616" s="20" t="n">
        <f aca="false">ROUND(13/FX,2)</f>
        <v>1.81</v>
      </c>
      <c r="D1616" s="21" t="s">
        <v>15024</v>
      </c>
      <c r="E1616" s="21" t="s">
        <v>15027</v>
      </c>
      <c r="F1616" s="21" t="s">
        <v>14808</v>
      </c>
    </row>
    <row r="1617" customFormat="false" ht="15" hidden="false" customHeight="false" outlineLevel="0" collapsed="false">
      <c r="B1617" s="19" t="s">
        <v>15028</v>
      </c>
      <c r="C1617" s="20" t="n">
        <f aca="false">ROUND(13/FX,2)</f>
        <v>1.81</v>
      </c>
      <c r="D1617" s="21" t="s">
        <v>15024</v>
      </c>
      <c r="E1617" s="21" t="s">
        <v>14895</v>
      </c>
      <c r="F1617" s="21" t="s">
        <v>14808</v>
      </c>
    </row>
    <row r="1618" customFormat="false" ht="15" hidden="false" customHeight="false" outlineLevel="0" collapsed="false">
      <c r="B1618" s="19" t="s">
        <v>15029</v>
      </c>
      <c r="C1618" s="20" t="n">
        <f aca="false">ROUND(18/FX,2)</f>
        <v>2.5</v>
      </c>
      <c r="D1618" s="21" t="s">
        <v>15030</v>
      </c>
      <c r="E1618" s="21" t="s">
        <v>14895</v>
      </c>
      <c r="F1618" s="21" t="s">
        <v>14811</v>
      </c>
    </row>
    <row r="1619" customFormat="false" ht="15" hidden="false" customHeight="false" outlineLevel="0" collapsed="false">
      <c r="B1619" s="19" t="s">
        <v>15031</v>
      </c>
      <c r="C1619" s="20" t="n">
        <f aca="false">ROUND(24.05/FX,2)</f>
        <v>3.34</v>
      </c>
      <c r="D1619" s="21" t="s">
        <v>15032</v>
      </c>
      <c r="E1619" s="21" t="s">
        <v>14895</v>
      </c>
      <c r="F1619" s="21" t="s">
        <v>14958</v>
      </c>
    </row>
    <row r="1620" customFormat="false" ht="15" hidden="false" customHeight="false" outlineLevel="0" collapsed="false">
      <c r="B1620" s="19" t="s">
        <v>15033</v>
      </c>
      <c r="C1620" s="20" t="n">
        <f aca="false">ROUND(21.45/FX,2)</f>
        <v>2.98</v>
      </c>
      <c r="D1620" s="21" t="s">
        <v>15032</v>
      </c>
      <c r="E1620" s="21" t="s">
        <v>14895</v>
      </c>
      <c r="F1620" s="21" t="s">
        <v>14814</v>
      </c>
    </row>
    <row r="1621" customFormat="false" ht="15" hidden="false" customHeight="false" outlineLevel="0" collapsed="false">
      <c r="B1621" s="19" t="s">
        <v>15034</v>
      </c>
      <c r="C1621" s="20" t="n">
        <f aca="false">ROUND(28.6/FX,2)</f>
        <v>3.97</v>
      </c>
      <c r="D1621" s="21" t="s">
        <v>15035</v>
      </c>
      <c r="E1621" s="21" t="s">
        <v>14895</v>
      </c>
      <c r="F1621" s="21" t="s">
        <v>14817</v>
      </c>
    </row>
    <row r="1622" customFormat="false" ht="15" hidden="false" customHeight="false" outlineLevel="0" collapsed="false">
      <c r="B1622" s="19" t="s">
        <v>15036</v>
      </c>
      <c r="C1622" s="20" t="n">
        <f aca="false">ROUND(36.4/FX,2)</f>
        <v>5.06</v>
      </c>
      <c r="D1622" s="21" t="s">
        <v>15037</v>
      </c>
      <c r="E1622" s="21" t="s">
        <v>14999</v>
      </c>
      <c r="F1622" s="21" t="s">
        <v>14817</v>
      </c>
    </row>
    <row r="1623" customFormat="false" ht="15" hidden="false" customHeight="false" outlineLevel="0" collapsed="false">
      <c r="B1623" s="19" t="s">
        <v>15038</v>
      </c>
      <c r="C1623" s="20" t="n">
        <f aca="false">ROUND(37.05/FX,2)</f>
        <v>5.15</v>
      </c>
      <c r="D1623" s="21" t="s">
        <v>15037</v>
      </c>
      <c r="E1623" s="21" t="s">
        <v>14895</v>
      </c>
      <c r="F1623" s="21" t="s">
        <v>14821</v>
      </c>
    </row>
    <row r="1624" customFormat="false" ht="15" hidden="false" customHeight="false" outlineLevel="0" collapsed="false">
      <c r="B1624" s="19" t="s">
        <v>15039</v>
      </c>
      <c r="C1624" s="20" t="n">
        <f aca="false">ROUND(32.5/FX,2)</f>
        <v>4.51</v>
      </c>
      <c r="D1624" s="21" t="s">
        <v>15037</v>
      </c>
      <c r="E1624" s="21" t="s">
        <v>14895</v>
      </c>
      <c r="F1624" s="21" t="s">
        <v>14823</v>
      </c>
    </row>
    <row r="1625" customFormat="false" ht="15" hidden="false" customHeight="false" outlineLevel="0" collapsed="false">
      <c r="B1625" s="19" t="s">
        <v>15040</v>
      </c>
      <c r="C1625" s="20" t="n">
        <f aca="false">ROUND(75/FX,2)</f>
        <v>10.42</v>
      </c>
      <c r="D1625" s="21" t="s">
        <v>15041</v>
      </c>
      <c r="E1625" s="21" t="s">
        <v>14895</v>
      </c>
      <c r="F1625" s="21" t="s">
        <v>14968</v>
      </c>
    </row>
    <row r="1626" customFormat="false" ht="28.35" hidden="false" customHeight="false" outlineLevel="0" collapsed="false">
      <c r="B1626" s="19" t="s">
        <v>15042</v>
      </c>
      <c r="C1626" s="20" t="n">
        <f aca="false">ROUND(90.74/FX,2)</f>
        <v>12.6</v>
      </c>
      <c r="D1626" s="21" t="s">
        <v>15041</v>
      </c>
      <c r="E1626" s="21" t="s">
        <v>15027</v>
      </c>
      <c r="F1626" s="21" t="s">
        <v>14970</v>
      </c>
    </row>
    <row r="1627" customFormat="false" ht="15" hidden="false" customHeight="false" outlineLevel="0" collapsed="false">
      <c r="B1627" s="19" t="s">
        <v>15043</v>
      </c>
      <c r="C1627" s="20" t="n">
        <f aca="false">ROUND(2.34/FX,2)</f>
        <v>0.33</v>
      </c>
      <c r="D1627" s="21" t="s">
        <v>15044</v>
      </c>
      <c r="E1627" s="21" t="s">
        <v>14895</v>
      </c>
      <c r="F1627" s="21" t="s">
        <v>14973</v>
      </c>
    </row>
    <row r="1628" customFormat="false" ht="15" hidden="false" customHeight="false" outlineLevel="0" collapsed="false">
      <c r="B1628" s="19" t="s">
        <v>15045</v>
      </c>
      <c r="C1628" s="20" t="n">
        <f aca="false">ROUND(338/FX,2)</f>
        <v>46.94</v>
      </c>
      <c r="D1628" s="21" t="s">
        <v>15046</v>
      </c>
      <c r="E1628" s="21" t="s">
        <v>14895</v>
      </c>
      <c r="F1628" s="21" t="s">
        <v>14976</v>
      </c>
    </row>
    <row r="1629" customFormat="false" ht="15" hidden="false" customHeight="false" outlineLevel="0" collapsed="false">
      <c r="B1629" s="19" t="s">
        <v>15047</v>
      </c>
      <c r="C1629" s="20" t="n">
        <f aca="false">ROUND(2.47/FX,2)</f>
        <v>0.34</v>
      </c>
      <c r="D1629" s="21" t="s">
        <v>15048</v>
      </c>
      <c r="E1629" s="21" t="s">
        <v>14895</v>
      </c>
      <c r="F1629" s="21" t="s">
        <v>14979</v>
      </c>
    </row>
    <row r="1630" customFormat="false" ht="15" hidden="false" customHeight="false" outlineLevel="0" collapsed="false">
      <c r="B1630" s="19" t="s">
        <v>15049</v>
      </c>
      <c r="C1630" s="20" t="n">
        <f aca="false">ROUND(884/FX,2)</f>
        <v>122.78</v>
      </c>
      <c r="D1630" s="21" t="s">
        <v>15050</v>
      </c>
      <c r="E1630" s="21" t="s">
        <v>14895</v>
      </c>
      <c r="F1630" s="21" t="s">
        <v>14982</v>
      </c>
    </row>
    <row r="1631" customFormat="false" ht="15" hidden="false" customHeight="false" outlineLevel="0" collapsed="false">
      <c r="B1631" s="19" t="s">
        <v>15051</v>
      </c>
      <c r="C1631" s="20" t="n">
        <f aca="false">ROUND(1.95/FX,2)</f>
        <v>0.27</v>
      </c>
      <c r="D1631" s="21" t="s">
        <v>15052</v>
      </c>
      <c r="E1631" s="21" t="s">
        <v>14895</v>
      </c>
      <c r="F1631" s="21" t="s">
        <v>14826</v>
      </c>
    </row>
    <row r="1632" customFormat="false" ht="15" hidden="false" customHeight="false" outlineLevel="0" collapsed="false">
      <c r="B1632" s="19" t="s">
        <v>15053</v>
      </c>
      <c r="C1632" s="20" t="n">
        <f aca="false">ROUND(2.21/FX,2)</f>
        <v>0.31</v>
      </c>
      <c r="D1632" s="21" t="s">
        <v>15054</v>
      </c>
      <c r="E1632" s="21" t="s">
        <v>14895</v>
      </c>
      <c r="F1632" s="21" t="s">
        <v>14826</v>
      </c>
    </row>
    <row r="1633" customFormat="false" ht="15" hidden="false" customHeight="false" outlineLevel="0" collapsed="false">
      <c r="B1633" s="19" t="s">
        <v>15055</v>
      </c>
      <c r="C1633" s="20" t="n">
        <f aca="false">ROUND(2.08/FX,2)</f>
        <v>0.29</v>
      </c>
      <c r="D1633" s="21" t="s">
        <v>15056</v>
      </c>
      <c r="E1633" s="21" t="s">
        <v>14895</v>
      </c>
      <c r="F1633" s="21" t="s">
        <v>14829</v>
      </c>
    </row>
    <row r="1634" customFormat="false" ht="15" hidden="false" customHeight="false" outlineLevel="0" collapsed="false">
      <c r="B1634" s="19" t="s">
        <v>15057</v>
      </c>
      <c r="C1634" s="20" t="n">
        <f aca="false">ROUND(2.1/FX,2)</f>
        <v>0.29</v>
      </c>
      <c r="D1634" s="21" t="s">
        <v>15058</v>
      </c>
      <c r="E1634" s="21" t="s">
        <v>14895</v>
      </c>
      <c r="F1634" s="21" t="s">
        <v>14829</v>
      </c>
    </row>
    <row r="1635" customFormat="false" ht="15" hidden="false" customHeight="false" outlineLevel="0" collapsed="false">
      <c r="B1635" s="19" t="s">
        <v>15059</v>
      </c>
      <c r="C1635" s="20" t="n">
        <f aca="false">ROUND(2.6/FX,2)</f>
        <v>0.36</v>
      </c>
      <c r="D1635" s="21" t="s">
        <v>15060</v>
      </c>
      <c r="E1635" s="21" t="s">
        <v>14895</v>
      </c>
      <c r="F1635" s="21" t="s">
        <v>14832</v>
      </c>
    </row>
    <row r="1636" customFormat="false" ht="15" hidden="false" customHeight="false" outlineLevel="0" collapsed="false">
      <c r="B1636" s="19" t="s">
        <v>15061</v>
      </c>
      <c r="C1636" s="20" t="n">
        <f aca="false">ROUND(2.27/FX,2)</f>
        <v>0.32</v>
      </c>
      <c r="D1636" s="21" t="s">
        <v>15062</v>
      </c>
      <c r="E1636" s="21" t="s">
        <v>14895</v>
      </c>
      <c r="F1636" s="21" t="s">
        <v>14832</v>
      </c>
    </row>
    <row r="1637" customFormat="false" ht="15" hidden="false" customHeight="false" outlineLevel="0" collapsed="false">
      <c r="B1637" s="19" t="s">
        <v>15063</v>
      </c>
      <c r="C1637" s="20" t="n">
        <f aca="false">ROUND(3.25/FX,2)</f>
        <v>0.45</v>
      </c>
      <c r="D1637" s="21" t="s">
        <v>15064</v>
      </c>
      <c r="E1637" s="21" t="s">
        <v>14779</v>
      </c>
      <c r="F1637" s="21" t="s">
        <v>14780</v>
      </c>
    </row>
    <row r="1638" customFormat="false" ht="28.35" hidden="false" customHeight="false" outlineLevel="0" collapsed="false">
      <c r="B1638" s="19" t="s">
        <v>15065</v>
      </c>
      <c r="C1638" s="20" t="n">
        <f aca="false">ROUND(3.25/FX,2)</f>
        <v>0.45</v>
      </c>
      <c r="D1638" s="21" t="s">
        <v>15066</v>
      </c>
      <c r="E1638" s="21" t="s">
        <v>14775</v>
      </c>
      <c r="F1638" s="21" t="s">
        <v>14776</v>
      </c>
    </row>
    <row r="1639" customFormat="false" ht="15" hidden="false" customHeight="false" outlineLevel="0" collapsed="false">
      <c r="B1639" s="19" t="s">
        <v>15067</v>
      </c>
      <c r="C1639" s="20" t="n">
        <f aca="false">ROUND(3.46/FX,2)</f>
        <v>0.48</v>
      </c>
      <c r="D1639" s="21" t="s">
        <v>15066</v>
      </c>
      <c r="E1639" s="21" t="s">
        <v>14779</v>
      </c>
      <c r="F1639" s="21" t="s">
        <v>14780</v>
      </c>
    </row>
    <row r="1640" customFormat="false" ht="15" hidden="false" customHeight="false" outlineLevel="0" collapsed="false">
      <c r="B1640" s="19" t="s">
        <v>15068</v>
      </c>
      <c r="C1640" s="20" t="n">
        <f aca="false">ROUND(3.9/FX,2)</f>
        <v>0.54</v>
      </c>
      <c r="D1640" s="21" t="s">
        <v>15069</v>
      </c>
      <c r="E1640" s="21" t="s">
        <v>14779</v>
      </c>
      <c r="F1640" s="21" t="s">
        <v>14787</v>
      </c>
    </row>
    <row r="1641" customFormat="false" ht="28.35" hidden="false" customHeight="false" outlineLevel="0" collapsed="false">
      <c r="B1641" s="19" t="s">
        <v>15070</v>
      </c>
      <c r="C1641" s="20" t="n">
        <f aca="false">ROUND(4.42/FX,2)</f>
        <v>0.61</v>
      </c>
      <c r="D1641" s="21" t="s">
        <v>15071</v>
      </c>
      <c r="E1641" s="21" t="s">
        <v>14775</v>
      </c>
      <c r="F1641" s="21" t="s">
        <v>14783</v>
      </c>
    </row>
    <row r="1642" customFormat="false" ht="15" hidden="false" customHeight="false" outlineLevel="0" collapsed="false">
      <c r="B1642" s="19" t="s">
        <v>15072</v>
      </c>
      <c r="C1642" s="20" t="n">
        <f aca="false">ROUND(4.54/FX,2)</f>
        <v>0.63</v>
      </c>
      <c r="D1642" s="21" t="s">
        <v>15071</v>
      </c>
      <c r="E1642" s="21" t="s">
        <v>14779</v>
      </c>
      <c r="F1642" s="21" t="s">
        <v>14787</v>
      </c>
    </row>
    <row r="1643" customFormat="false" ht="15" hidden="false" customHeight="false" outlineLevel="0" collapsed="false">
      <c r="B1643" s="19" t="s">
        <v>15073</v>
      </c>
      <c r="C1643" s="20" t="n">
        <f aca="false">ROUND(5.59/FX,2)</f>
        <v>0.78</v>
      </c>
      <c r="D1643" s="21" t="s">
        <v>15074</v>
      </c>
      <c r="E1643" s="21" t="s">
        <v>14779</v>
      </c>
      <c r="F1643" s="21" t="s">
        <v>14792</v>
      </c>
    </row>
    <row r="1644" customFormat="false" ht="28.35" hidden="false" customHeight="false" outlineLevel="0" collapsed="false">
      <c r="B1644" s="19" t="s">
        <v>15075</v>
      </c>
      <c r="C1644" s="20" t="n">
        <f aca="false">ROUND(5.88/FX,2)</f>
        <v>0.82</v>
      </c>
      <c r="D1644" s="21" t="s">
        <v>15076</v>
      </c>
      <c r="E1644" s="21" t="s">
        <v>14775</v>
      </c>
      <c r="F1644" s="21" t="s">
        <v>14790</v>
      </c>
    </row>
    <row r="1645" customFormat="false" ht="15" hidden="false" customHeight="false" outlineLevel="0" collapsed="false">
      <c r="B1645" s="19" t="s">
        <v>15077</v>
      </c>
      <c r="C1645" s="20" t="n">
        <f aca="false">ROUND(5.85/FX,2)</f>
        <v>0.81</v>
      </c>
      <c r="D1645" s="21" t="s">
        <v>15076</v>
      </c>
      <c r="E1645" s="21" t="s">
        <v>14779</v>
      </c>
      <c r="F1645" s="21" t="s">
        <v>14792</v>
      </c>
    </row>
    <row r="1646" customFormat="false" ht="15" hidden="false" customHeight="false" outlineLevel="0" collapsed="false">
      <c r="B1646" s="19" t="s">
        <v>15078</v>
      </c>
      <c r="C1646" s="20" t="n">
        <f aca="false">ROUND(7.15/FX,2)</f>
        <v>0.99</v>
      </c>
      <c r="D1646" s="21" t="s">
        <v>15079</v>
      </c>
      <c r="E1646" s="21" t="s">
        <v>14779</v>
      </c>
      <c r="F1646" s="21" t="s">
        <v>14797</v>
      </c>
    </row>
    <row r="1647" customFormat="false" ht="28.35" hidden="false" customHeight="false" outlineLevel="0" collapsed="false">
      <c r="B1647" s="19" t="s">
        <v>15080</v>
      </c>
      <c r="C1647" s="20" t="n">
        <f aca="false">ROUND(7.8/FX,2)</f>
        <v>1.08</v>
      </c>
      <c r="D1647" s="21" t="s">
        <v>15081</v>
      </c>
      <c r="E1647" s="21" t="s">
        <v>14775</v>
      </c>
      <c r="F1647" s="21" t="s">
        <v>14795</v>
      </c>
    </row>
    <row r="1648" customFormat="false" ht="15" hidden="false" customHeight="false" outlineLevel="0" collapsed="false">
      <c r="B1648" s="19" t="s">
        <v>15082</v>
      </c>
      <c r="C1648" s="20" t="n">
        <f aca="false">ROUND(7.67/FX,2)</f>
        <v>1.07</v>
      </c>
      <c r="D1648" s="21" t="s">
        <v>15081</v>
      </c>
      <c r="E1648" s="21" t="s">
        <v>14779</v>
      </c>
      <c r="F1648" s="21" t="s">
        <v>14797</v>
      </c>
    </row>
    <row r="1649" customFormat="false" ht="15" hidden="false" customHeight="false" outlineLevel="0" collapsed="false">
      <c r="B1649" s="19" t="s">
        <v>15083</v>
      </c>
      <c r="C1649" s="20" t="n">
        <f aca="false">ROUND(11.7/FX,2)</f>
        <v>1.63</v>
      </c>
      <c r="D1649" s="21" t="s">
        <v>15084</v>
      </c>
      <c r="E1649" s="21" t="s">
        <v>14779</v>
      </c>
      <c r="F1649" s="21" t="s">
        <v>14800</v>
      </c>
    </row>
    <row r="1650" customFormat="false" ht="15" hidden="false" customHeight="false" outlineLevel="0" collapsed="false">
      <c r="B1650" s="19" t="s">
        <v>15085</v>
      </c>
      <c r="C1650" s="20" t="n">
        <f aca="false">ROUND(10.92/FX,2)</f>
        <v>1.52</v>
      </c>
      <c r="D1650" s="21" t="s">
        <v>15086</v>
      </c>
      <c r="E1650" s="21" t="s">
        <v>14779</v>
      </c>
      <c r="F1650" s="21" t="s">
        <v>14800</v>
      </c>
    </row>
    <row r="1651" customFormat="false" ht="15" hidden="false" customHeight="false" outlineLevel="0" collapsed="false">
      <c r="B1651" s="19" t="s">
        <v>15087</v>
      </c>
      <c r="C1651" s="20" t="n">
        <f aca="false">ROUND(12.35/FX,2)</f>
        <v>1.72</v>
      </c>
      <c r="D1651" s="21" t="s">
        <v>15086</v>
      </c>
      <c r="E1651" s="21" t="s">
        <v>14779</v>
      </c>
      <c r="F1651" s="21" t="s">
        <v>14945</v>
      </c>
    </row>
    <row r="1652" customFormat="false" ht="15" hidden="false" customHeight="false" outlineLevel="0" collapsed="false">
      <c r="B1652" s="19" t="s">
        <v>15088</v>
      </c>
      <c r="C1652" s="20" t="n">
        <f aca="false">ROUND(13.65/FX,2)</f>
        <v>1.9</v>
      </c>
      <c r="D1652" s="21" t="s">
        <v>15089</v>
      </c>
      <c r="E1652" s="21" t="s">
        <v>14779</v>
      </c>
      <c r="F1652" s="21" t="s">
        <v>14803</v>
      </c>
    </row>
    <row r="1653" customFormat="false" ht="15" hidden="false" customHeight="false" outlineLevel="0" collapsed="false">
      <c r="B1653" s="19" t="s">
        <v>15090</v>
      </c>
      <c r="C1653" s="20" t="n">
        <f aca="false">ROUND(14.3/FX,2)</f>
        <v>1.99</v>
      </c>
      <c r="D1653" s="21" t="s">
        <v>15091</v>
      </c>
      <c r="E1653" s="21" t="s">
        <v>14779</v>
      </c>
      <c r="F1653" s="21" t="s">
        <v>14803</v>
      </c>
    </row>
    <row r="1654" customFormat="false" ht="15" hidden="false" customHeight="false" outlineLevel="0" collapsed="false">
      <c r="B1654" s="19" t="s">
        <v>15092</v>
      </c>
      <c r="C1654" s="20" t="n">
        <f aca="false">ROUND(13.65/FX,2)</f>
        <v>1.9</v>
      </c>
      <c r="D1654" s="21" t="s">
        <v>15091</v>
      </c>
      <c r="E1654" s="21" t="s">
        <v>14779</v>
      </c>
      <c r="F1654" s="21" t="s">
        <v>14806</v>
      </c>
    </row>
    <row r="1655" customFormat="false" ht="15" hidden="false" customHeight="false" outlineLevel="0" collapsed="false">
      <c r="B1655" s="19" t="s">
        <v>15093</v>
      </c>
      <c r="C1655" s="20" t="n">
        <f aca="false">ROUND(13/FX,2)</f>
        <v>1.81</v>
      </c>
      <c r="D1655" s="21" t="s">
        <v>15091</v>
      </c>
      <c r="E1655" s="21" t="s">
        <v>14779</v>
      </c>
      <c r="F1655" s="21" t="s">
        <v>14808</v>
      </c>
    </row>
    <row r="1656" customFormat="false" ht="28.35" hidden="false" customHeight="false" outlineLevel="0" collapsed="false">
      <c r="B1656" s="19" t="s">
        <v>15094</v>
      </c>
      <c r="C1656" s="20" t="n">
        <f aca="false">ROUND(13/FX,2)</f>
        <v>1.81</v>
      </c>
      <c r="D1656" s="21" t="s">
        <v>15091</v>
      </c>
      <c r="E1656" s="21" t="s">
        <v>14805</v>
      </c>
      <c r="F1656" s="21" t="s">
        <v>14808</v>
      </c>
    </row>
    <row r="1657" customFormat="false" ht="15" hidden="false" customHeight="false" outlineLevel="0" collapsed="false">
      <c r="B1657" s="19" t="s">
        <v>15095</v>
      </c>
      <c r="C1657" s="20" t="n">
        <f aca="false">ROUND(18/FX,2)</f>
        <v>2.5</v>
      </c>
      <c r="D1657" s="21" t="s">
        <v>15096</v>
      </c>
      <c r="E1657" s="21" t="s">
        <v>14779</v>
      </c>
      <c r="F1657" s="21" t="s">
        <v>14811</v>
      </c>
    </row>
    <row r="1658" customFormat="false" ht="15" hidden="false" customHeight="false" outlineLevel="0" collapsed="false">
      <c r="B1658" s="19" t="s">
        <v>15097</v>
      </c>
      <c r="C1658" s="20" t="n">
        <f aca="false">ROUND(24.05/FX,2)</f>
        <v>3.34</v>
      </c>
      <c r="D1658" s="21" t="s">
        <v>15098</v>
      </c>
      <c r="E1658" s="21" t="s">
        <v>14779</v>
      </c>
      <c r="F1658" s="21" t="s">
        <v>14958</v>
      </c>
    </row>
    <row r="1659" customFormat="false" ht="15" hidden="false" customHeight="false" outlineLevel="0" collapsed="false">
      <c r="B1659" s="19" t="s">
        <v>15099</v>
      </c>
      <c r="C1659" s="20" t="n">
        <f aca="false">ROUND(21.45/FX,2)</f>
        <v>2.98</v>
      </c>
      <c r="D1659" s="21" t="s">
        <v>15098</v>
      </c>
      <c r="E1659" s="21" t="s">
        <v>14779</v>
      </c>
      <c r="F1659" s="21" t="s">
        <v>14814</v>
      </c>
    </row>
    <row r="1660" customFormat="false" ht="15" hidden="false" customHeight="false" outlineLevel="0" collapsed="false">
      <c r="B1660" s="19" t="s">
        <v>15100</v>
      </c>
      <c r="C1660" s="20" t="n">
        <f aca="false">ROUND(28.6/FX,2)</f>
        <v>3.97</v>
      </c>
      <c r="D1660" s="21" t="s">
        <v>15101</v>
      </c>
      <c r="E1660" s="21" t="s">
        <v>14779</v>
      </c>
      <c r="F1660" s="21" t="s">
        <v>14817</v>
      </c>
    </row>
    <row r="1661" customFormat="false" ht="28.35" hidden="false" customHeight="false" outlineLevel="0" collapsed="false">
      <c r="B1661" s="19" t="s">
        <v>15102</v>
      </c>
      <c r="C1661" s="20" t="n">
        <f aca="false">ROUND(36.4/FX,2)</f>
        <v>5.06</v>
      </c>
      <c r="D1661" s="21" t="s">
        <v>15103</v>
      </c>
      <c r="E1661" s="21" t="s">
        <v>14775</v>
      </c>
      <c r="F1661" s="21" t="s">
        <v>14817</v>
      </c>
    </row>
    <row r="1662" customFormat="false" ht="15" hidden="false" customHeight="false" outlineLevel="0" collapsed="false">
      <c r="B1662" s="19" t="s">
        <v>15104</v>
      </c>
      <c r="C1662" s="20" t="n">
        <f aca="false">ROUND(37.05/FX,2)</f>
        <v>5.15</v>
      </c>
      <c r="D1662" s="21" t="s">
        <v>15103</v>
      </c>
      <c r="E1662" s="21" t="s">
        <v>14779</v>
      </c>
      <c r="F1662" s="21" t="s">
        <v>14821</v>
      </c>
    </row>
    <row r="1663" customFormat="false" ht="15" hidden="false" customHeight="false" outlineLevel="0" collapsed="false">
      <c r="B1663" s="19" t="s">
        <v>15105</v>
      </c>
      <c r="C1663" s="20" t="n">
        <f aca="false">ROUND(32.5/FX,2)</f>
        <v>4.51</v>
      </c>
      <c r="D1663" s="21" t="s">
        <v>15103</v>
      </c>
      <c r="E1663" s="21" t="s">
        <v>14779</v>
      </c>
      <c r="F1663" s="21" t="s">
        <v>14823</v>
      </c>
    </row>
    <row r="1664" customFormat="false" ht="15" hidden="false" customHeight="false" outlineLevel="0" collapsed="false">
      <c r="B1664" s="19" t="s">
        <v>15106</v>
      </c>
      <c r="C1664" s="20" t="n">
        <f aca="false">ROUND(75/FX,2)</f>
        <v>10.42</v>
      </c>
      <c r="D1664" s="21" t="s">
        <v>15107</v>
      </c>
      <c r="E1664" s="21" t="s">
        <v>14779</v>
      </c>
      <c r="F1664" s="21" t="s">
        <v>14968</v>
      </c>
    </row>
    <row r="1665" customFormat="false" ht="28.35" hidden="false" customHeight="false" outlineLevel="0" collapsed="false">
      <c r="B1665" s="19" t="s">
        <v>15108</v>
      </c>
      <c r="C1665" s="20" t="n">
        <f aca="false">ROUND(90.74/FX,2)</f>
        <v>12.6</v>
      </c>
      <c r="D1665" s="21" t="s">
        <v>15107</v>
      </c>
      <c r="E1665" s="21" t="s">
        <v>14805</v>
      </c>
      <c r="F1665" s="21" t="s">
        <v>14970</v>
      </c>
    </row>
    <row r="1666" customFormat="false" ht="15" hidden="false" customHeight="false" outlineLevel="0" collapsed="false">
      <c r="B1666" s="19" t="s">
        <v>15109</v>
      </c>
      <c r="C1666" s="20" t="n">
        <f aca="false">ROUND(2.34/FX,2)</f>
        <v>0.33</v>
      </c>
      <c r="D1666" s="21" t="s">
        <v>15110</v>
      </c>
      <c r="E1666" s="21" t="s">
        <v>14779</v>
      </c>
      <c r="F1666" s="21" t="s">
        <v>14973</v>
      </c>
    </row>
    <row r="1667" customFormat="false" ht="15" hidden="false" customHeight="false" outlineLevel="0" collapsed="false">
      <c r="B1667" s="19" t="s">
        <v>15111</v>
      </c>
      <c r="C1667" s="20" t="n">
        <f aca="false">ROUND(338/FX,2)</f>
        <v>46.94</v>
      </c>
      <c r="D1667" s="21" t="s">
        <v>15112</v>
      </c>
      <c r="E1667" s="21" t="s">
        <v>14779</v>
      </c>
      <c r="F1667" s="21" t="s">
        <v>14976</v>
      </c>
    </row>
    <row r="1668" customFormat="false" ht="15" hidden="false" customHeight="false" outlineLevel="0" collapsed="false">
      <c r="B1668" s="19" t="s">
        <v>15113</v>
      </c>
      <c r="C1668" s="20" t="n">
        <f aca="false">ROUND(2.47/FX,2)</f>
        <v>0.34</v>
      </c>
      <c r="D1668" s="21" t="s">
        <v>15114</v>
      </c>
      <c r="E1668" s="21" t="s">
        <v>14779</v>
      </c>
      <c r="F1668" s="21" t="s">
        <v>14979</v>
      </c>
    </row>
    <row r="1669" customFormat="false" ht="15" hidden="false" customHeight="false" outlineLevel="0" collapsed="false">
      <c r="B1669" s="19" t="s">
        <v>15115</v>
      </c>
      <c r="C1669" s="20" t="n">
        <f aca="false">ROUND(884/FX,2)</f>
        <v>122.78</v>
      </c>
      <c r="D1669" s="21" t="s">
        <v>15116</v>
      </c>
      <c r="E1669" s="21" t="s">
        <v>14779</v>
      </c>
      <c r="F1669" s="21" t="s">
        <v>14982</v>
      </c>
    </row>
    <row r="1670" customFormat="false" ht="15" hidden="false" customHeight="false" outlineLevel="0" collapsed="false">
      <c r="B1670" s="19" t="s">
        <v>15117</v>
      </c>
      <c r="C1670" s="20" t="n">
        <f aca="false">ROUND(1.95/FX,2)</f>
        <v>0.27</v>
      </c>
      <c r="D1670" s="21" t="s">
        <v>15118</v>
      </c>
      <c r="E1670" s="21" t="s">
        <v>14779</v>
      </c>
      <c r="F1670" s="21" t="s">
        <v>14826</v>
      </c>
    </row>
    <row r="1671" customFormat="false" ht="28.35" hidden="false" customHeight="false" outlineLevel="0" collapsed="false">
      <c r="B1671" s="19" t="s">
        <v>15119</v>
      </c>
      <c r="C1671" s="20" t="n">
        <f aca="false">ROUND(1.9/FX,2)</f>
        <v>0.26</v>
      </c>
      <c r="D1671" s="21" t="s">
        <v>15120</v>
      </c>
      <c r="E1671" s="21" t="s">
        <v>15121</v>
      </c>
      <c r="F1671" s="21" t="s">
        <v>14826</v>
      </c>
    </row>
    <row r="1672" customFormat="false" ht="41.75" hidden="false" customHeight="false" outlineLevel="0" collapsed="false">
      <c r="B1672" s="19" t="s">
        <v>15122</v>
      </c>
      <c r="C1672" s="20" t="n">
        <f aca="false">ROUND(2.86/FX,2)</f>
        <v>0.4</v>
      </c>
      <c r="D1672" s="21" t="s">
        <v>15120</v>
      </c>
      <c r="E1672" s="21" t="s">
        <v>15123</v>
      </c>
      <c r="F1672" s="21" t="s">
        <v>14826</v>
      </c>
    </row>
    <row r="1673" customFormat="false" ht="41.75" hidden="false" customHeight="false" outlineLevel="0" collapsed="false">
      <c r="B1673" s="19" t="s">
        <v>15124</v>
      </c>
      <c r="C1673" s="20" t="n">
        <f aca="false">ROUND(2.99/FX,2)</f>
        <v>0.42</v>
      </c>
      <c r="D1673" s="21" t="s">
        <v>15120</v>
      </c>
      <c r="E1673" s="21" t="s">
        <v>15125</v>
      </c>
      <c r="F1673" s="21" t="s">
        <v>14826</v>
      </c>
    </row>
    <row r="1674" customFormat="false" ht="15" hidden="false" customHeight="false" outlineLevel="0" collapsed="false">
      <c r="B1674" s="19" t="s">
        <v>15126</v>
      </c>
      <c r="C1674" s="20" t="n">
        <f aca="false">ROUND(2.08/FX,2)</f>
        <v>0.29</v>
      </c>
      <c r="D1674" s="21" t="s">
        <v>15127</v>
      </c>
      <c r="E1674" s="21" t="s">
        <v>14779</v>
      </c>
      <c r="F1674" s="21" t="s">
        <v>14829</v>
      </c>
    </row>
    <row r="1675" customFormat="false" ht="15" hidden="false" customHeight="false" outlineLevel="0" collapsed="false">
      <c r="B1675" s="19" t="s">
        <v>15128</v>
      </c>
      <c r="C1675" s="20" t="n">
        <f aca="false">ROUND(2.1/FX,2)</f>
        <v>0.29</v>
      </c>
      <c r="D1675" s="21" t="s">
        <v>15129</v>
      </c>
      <c r="E1675" s="21" t="s">
        <v>14779</v>
      </c>
      <c r="F1675" s="21" t="s">
        <v>14829</v>
      </c>
    </row>
    <row r="1676" customFormat="false" ht="15" hidden="false" customHeight="false" outlineLevel="0" collapsed="false">
      <c r="B1676" s="19" t="s">
        <v>15130</v>
      </c>
      <c r="C1676" s="20" t="n">
        <f aca="false">ROUND(2.6/FX,2)</f>
        <v>0.36</v>
      </c>
      <c r="D1676" s="21" t="s">
        <v>15131</v>
      </c>
      <c r="E1676" s="21" t="s">
        <v>14779</v>
      </c>
      <c r="F1676" s="21" t="s">
        <v>14832</v>
      </c>
    </row>
    <row r="1677" customFormat="false" ht="15" hidden="false" customHeight="false" outlineLevel="0" collapsed="false">
      <c r="B1677" s="19" t="s">
        <v>15132</v>
      </c>
      <c r="C1677" s="20" t="n">
        <f aca="false">ROUND(2.86/FX,2)</f>
        <v>0.4</v>
      </c>
      <c r="D1677" s="21" t="s">
        <v>15133</v>
      </c>
      <c r="E1677" s="21" t="s">
        <v>14779</v>
      </c>
      <c r="F1677" s="21" t="s">
        <v>14832</v>
      </c>
    </row>
    <row r="1678" customFormat="false" ht="15" hidden="false" customHeight="false" outlineLevel="0" collapsed="false">
      <c r="B1678" s="19" t="s">
        <v>15134</v>
      </c>
      <c r="C1678" s="20" t="n">
        <f aca="false">ROUND(3.25/FX,2)</f>
        <v>0.45</v>
      </c>
      <c r="D1678" s="21" t="s">
        <v>15135</v>
      </c>
      <c r="E1678" s="21" t="s">
        <v>14835</v>
      </c>
      <c r="F1678" s="21" t="s">
        <v>14780</v>
      </c>
    </row>
    <row r="1679" customFormat="false" ht="28.35" hidden="false" customHeight="false" outlineLevel="0" collapsed="false">
      <c r="B1679" s="19" t="s">
        <v>15136</v>
      </c>
      <c r="C1679" s="20" t="n">
        <f aca="false">ROUND(3.25/FX,2)</f>
        <v>0.45</v>
      </c>
      <c r="D1679" s="21" t="s">
        <v>15137</v>
      </c>
      <c r="E1679" s="21" t="s">
        <v>15138</v>
      </c>
      <c r="F1679" s="21" t="s">
        <v>14776</v>
      </c>
    </row>
    <row r="1680" customFormat="false" ht="15" hidden="false" customHeight="false" outlineLevel="0" collapsed="false">
      <c r="B1680" s="19" t="s">
        <v>15139</v>
      </c>
      <c r="C1680" s="20" t="n">
        <f aca="false">ROUND(3.46/FX,2)</f>
        <v>0.48</v>
      </c>
      <c r="D1680" s="21" t="s">
        <v>15137</v>
      </c>
      <c r="E1680" s="21" t="s">
        <v>14835</v>
      </c>
      <c r="F1680" s="21" t="s">
        <v>14780</v>
      </c>
    </row>
    <row r="1681" customFormat="false" ht="15" hidden="false" customHeight="false" outlineLevel="0" collapsed="false">
      <c r="B1681" s="19" t="s">
        <v>15140</v>
      </c>
      <c r="C1681" s="20" t="n">
        <f aca="false">ROUND(3.9/FX,2)</f>
        <v>0.54</v>
      </c>
      <c r="D1681" s="21" t="s">
        <v>15141</v>
      </c>
      <c r="E1681" s="21" t="s">
        <v>14835</v>
      </c>
      <c r="F1681" s="21" t="s">
        <v>14787</v>
      </c>
    </row>
    <row r="1682" customFormat="false" ht="28.35" hidden="false" customHeight="false" outlineLevel="0" collapsed="false">
      <c r="B1682" s="19" t="s">
        <v>15142</v>
      </c>
      <c r="C1682" s="20" t="n">
        <f aca="false">ROUND(4.42/FX,2)</f>
        <v>0.61</v>
      </c>
      <c r="D1682" s="21" t="s">
        <v>15143</v>
      </c>
      <c r="E1682" s="21" t="s">
        <v>15138</v>
      </c>
      <c r="F1682" s="21" t="s">
        <v>14783</v>
      </c>
    </row>
    <row r="1683" customFormat="false" ht="15" hidden="false" customHeight="false" outlineLevel="0" collapsed="false">
      <c r="B1683" s="19" t="s">
        <v>15144</v>
      </c>
      <c r="C1683" s="20" t="n">
        <f aca="false">ROUND(4.81/FX,2)</f>
        <v>0.67</v>
      </c>
      <c r="D1683" s="21" t="s">
        <v>15143</v>
      </c>
      <c r="E1683" s="21" t="s">
        <v>14835</v>
      </c>
      <c r="F1683" s="21" t="s">
        <v>14787</v>
      </c>
    </row>
    <row r="1684" customFormat="false" ht="15" hidden="false" customHeight="false" outlineLevel="0" collapsed="false">
      <c r="B1684" s="19" t="s">
        <v>15145</v>
      </c>
      <c r="C1684" s="20" t="n">
        <f aca="false">ROUND(5.59/FX,2)</f>
        <v>0.78</v>
      </c>
      <c r="D1684" s="21" t="s">
        <v>15146</v>
      </c>
      <c r="E1684" s="21" t="s">
        <v>14835</v>
      </c>
      <c r="F1684" s="21" t="s">
        <v>14792</v>
      </c>
    </row>
    <row r="1685" customFormat="false" ht="28.35" hidden="false" customHeight="false" outlineLevel="0" collapsed="false">
      <c r="B1685" s="19" t="s">
        <v>15147</v>
      </c>
      <c r="C1685" s="20" t="n">
        <f aca="false">ROUND(5.88/FX,2)</f>
        <v>0.82</v>
      </c>
      <c r="D1685" s="21" t="s">
        <v>15148</v>
      </c>
      <c r="E1685" s="21" t="s">
        <v>15138</v>
      </c>
      <c r="F1685" s="21" t="s">
        <v>14790</v>
      </c>
    </row>
    <row r="1686" customFormat="false" ht="15" hidden="false" customHeight="false" outlineLevel="0" collapsed="false">
      <c r="B1686" s="19" t="s">
        <v>15149</v>
      </c>
      <c r="C1686" s="20" t="n">
        <f aca="false">ROUND(5.85/FX,2)</f>
        <v>0.81</v>
      </c>
      <c r="D1686" s="21" t="s">
        <v>15148</v>
      </c>
      <c r="E1686" s="21" t="s">
        <v>14835</v>
      </c>
      <c r="F1686" s="21" t="s">
        <v>14792</v>
      </c>
    </row>
    <row r="1687" customFormat="false" ht="15" hidden="false" customHeight="false" outlineLevel="0" collapsed="false">
      <c r="B1687" s="19" t="s">
        <v>15150</v>
      </c>
      <c r="C1687" s="20" t="n">
        <f aca="false">ROUND(7.15/FX,2)</f>
        <v>0.99</v>
      </c>
      <c r="D1687" s="21" t="s">
        <v>15151</v>
      </c>
      <c r="E1687" s="21" t="s">
        <v>14835</v>
      </c>
      <c r="F1687" s="21" t="s">
        <v>14797</v>
      </c>
    </row>
    <row r="1688" customFormat="false" ht="28.35" hidden="false" customHeight="false" outlineLevel="0" collapsed="false">
      <c r="B1688" s="19" t="s">
        <v>15152</v>
      </c>
      <c r="C1688" s="20" t="n">
        <f aca="false">ROUND(7.8/FX,2)</f>
        <v>1.08</v>
      </c>
      <c r="D1688" s="21" t="s">
        <v>15153</v>
      </c>
      <c r="E1688" s="21" t="s">
        <v>15138</v>
      </c>
      <c r="F1688" s="21" t="s">
        <v>14795</v>
      </c>
    </row>
    <row r="1689" customFormat="false" ht="15" hidden="false" customHeight="false" outlineLevel="0" collapsed="false">
      <c r="B1689" s="19" t="s">
        <v>15154</v>
      </c>
      <c r="C1689" s="20" t="n">
        <f aca="false">ROUND(7.67/FX,2)</f>
        <v>1.07</v>
      </c>
      <c r="D1689" s="21" t="s">
        <v>15153</v>
      </c>
      <c r="E1689" s="21" t="s">
        <v>14835</v>
      </c>
      <c r="F1689" s="21" t="s">
        <v>14797</v>
      </c>
    </row>
    <row r="1690" customFormat="false" ht="15" hidden="false" customHeight="false" outlineLevel="0" collapsed="false">
      <c r="B1690" s="19" t="s">
        <v>15155</v>
      </c>
      <c r="C1690" s="20" t="n">
        <f aca="false">ROUND(12.22/FX,2)</f>
        <v>1.7</v>
      </c>
      <c r="D1690" s="21" t="s">
        <v>15156</v>
      </c>
      <c r="E1690" s="21" t="s">
        <v>14835</v>
      </c>
      <c r="F1690" s="21" t="s">
        <v>14800</v>
      </c>
    </row>
    <row r="1691" customFormat="false" ht="15" hidden="false" customHeight="false" outlineLevel="0" collapsed="false">
      <c r="B1691" s="19" t="s">
        <v>15157</v>
      </c>
      <c r="C1691" s="20" t="n">
        <f aca="false">ROUND(10.92/FX,2)</f>
        <v>1.52</v>
      </c>
      <c r="D1691" s="21" t="s">
        <v>15158</v>
      </c>
      <c r="E1691" s="21" t="s">
        <v>14835</v>
      </c>
      <c r="F1691" s="21" t="s">
        <v>14800</v>
      </c>
    </row>
    <row r="1692" customFormat="false" ht="15" hidden="false" customHeight="false" outlineLevel="0" collapsed="false">
      <c r="B1692" s="19" t="s">
        <v>15159</v>
      </c>
      <c r="C1692" s="20" t="n">
        <f aca="false">ROUND(12.35/FX,2)</f>
        <v>1.72</v>
      </c>
      <c r="D1692" s="21" t="s">
        <v>15158</v>
      </c>
      <c r="E1692" s="21" t="s">
        <v>14835</v>
      </c>
      <c r="F1692" s="21" t="s">
        <v>14945</v>
      </c>
    </row>
    <row r="1693" customFormat="false" ht="15" hidden="false" customHeight="false" outlineLevel="0" collapsed="false">
      <c r="B1693" s="19" t="s">
        <v>15160</v>
      </c>
      <c r="C1693" s="20" t="n">
        <f aca="false">ROUND(13.65/FX,2)</f>
        <v>1.9</v>
      </c>
      <c r="D1693" s="21" t="s">
        <v>15161</v>
      </c>
      <c r="E1693" s="21" t="s">
        <v>14835</v>
      </c>
      <c r="F1693" s="21" t="s">
        <v>14803</v>
      </c>
    </row>
    <row r="1694" customFormat="false" ht="15" hidden="false" customHeight="false" outlineLevel="0" collapsed="false">
      <c r="B1694" s="19" t="s">
        <v>15162</v>
      </c>
      <c r="C1694" s="20" t="n">
        <f aca="false">ROUND(14.3/FX,2)</f>
        <v>1.99</v>
      </c>
      <c r="D1694" s="21" t="s">
        <v>15163</v>
      </c>
      <c r="E1694" s="21" t="s">
        <v>14835</v>
      </c>
      <c r="F1694" s="21" t="s">
        <v>14803</v>
      </c>
    </row>
    <row r="1695" customFormat="false" ht="15" hidden="false" customHeight="false" outlineLevel="0" collapsed="false">
      <c r="B1695" s="19" t="s">
        <v>15164</v>
      </c>
      <c r="C1695" s="20" t="n">
        <f aca="false">ROUND(13.65/FX,2)</f>
        <v>1.9</v>
      </c>
      <c r="D1695" s="21" t="s">
        <v>15163</v>
      </c>
      <c r="E1695" s="21" t="s">
        <v>14835</v>
      </c>
      <c r="F1695" s="21" t="s">
        <v>14806</v>
      </c>
    </row>
    <row r="1696" customFormat="false" ht="28.35" hidden="false" customHeight="false" outlineLevel="0" collapsed="false">
      <c r="B1696" s="19" t="s">
        <v>15165</v>
      </c>
      <c r="C1696" s="20" t="n">
        <f aca="false">ROUND(13/FX,2)</f>
        <v>1.81</v>
      </c>
      <c r="D1696" s="21" t="s">
        <v>15163</v>
      </c>
      <c r="E1696" s="21" t="s">
        <v>15166</v>
      </c>
      <c r="F1696" s="21" t="s">
        <v>14808</v>
      </c>
    </row>
    <row r="1697" customFormat="false" ht="15" hidden="false" customHeight="false" outlineLevel="0" collapsed="false">
      <c r="B1697" s="19" t="s">
        <v>15167</v>
      </c>
      <c r="C1697" s="20" t="n">
        <f aca="false">ROUND(13/FX,2)</f>
        <v>1.81</v>
      </c>
      <c r="D1697" s="21" t="s">
        <v>15163</v>
      </c>
      <c r="E1697" s="21" t="s">
        <v>14835</v>
      </c>
      <c r="F1697" s="21" t="s">
        <v>14808</v>
      </c>
    </row>
    <row r="1698" customFormat="false" ht="15" hidden="false" customHeight="false" outlineLevel="0" collapsed="false">
      <c r="B1698" s="19" t="s">
        <v>15168</v>
      </c>
      <c r="C1698" s="20" t="n">
        <f aca="false">ROUND(18/FX,2)</f>
        <v>2.5</v>
      </c>
      <c r="D1698" s="21" t="s">
        <v>15169</v>
      </c>
      <c r="E1698" s="21" t="s">
        <v>14835</v>
      </c>
      <c r="F1698" s="21" t="s">
        <v>14811</v>
      </c>
    </row>
    <row r="1699" customFormat="false" ht="15" hidden="false" customHeight="false" outlineLevel="0" collapsed="false">
      <c r="B1699" s="19" t="s">
        <v>15170</v>
      </c>
      <c r="C1699" s="20" t="n">
        <f aca="false">ROUND(24.05/FX,2)</f>
        <v>3.34</v>
      </c>
      <c r="D1699" s="21" t="s">
        <v>15171</v>
      </c>
      <c r="E1699" s="21" t="s">
        <v>14835</v>
      </c>
      <c r="F1699" s="21" t="s">
        <v>14958</v>
      </c>
    </row>
    <row r="1700" customFormat="false" ht="15" hidden="false" customHeight="false" outlineLevel="0" collapsed="false">
      <c r="B1700" s="19" t="s">
        <v>15172</v>
      </c>
      <c r="C1700" s="20" t="n">
        <f aca="false">ROUND(21.45/FX,2)</f>
        <v>2.98</v>
      </c>
      <c r="D1700" s="21" t="s">
        <v>15171</v>
      </c>
      <c r="E1700" s="21" t="s">
        <v>14835</v>
      </c>
      <c r="F1700" s="21" t="s">
        <v>14814</v>
      </c>
    </row>
    <row r="1701" customFormat="false" ht="15" hidden="false" customHeight="false" outlineLevel="0" collapsed="false">
      <c r="B1701" s="19" t="s">
        <v>15173</v>
      </c>
      <c r="C1701" s="20" t="n">
        <f aca="false">ROUND(28.6/FX,2)</f>
        <v>3.97</v>
      </c>
      <c r="D1701" s="21" t="s">
        <v>15174</v>
      </c>
      <c r="E1701" s="21" t="s">
        <v>14835</v>
      </c>
      <c r="F1701" s="21" t="s">
        <v>14817</v>
      </c>
    </row>
    <row r="1702" customFormat="false" ht="28.35" hidden="false" customHeight="false" outlineLevel="0" collapsed="false">
      <c r="B1702" s="19" t="s">
        <v>15175</v>
      </c>
      <c r="C1702" s="20" t="n">
        <f aca="false">ROUND(36.4/FX,2)</f>
        <v>5.06</v>
      </c>
      <c r="D1702" s="21" t="s">
        <v>15176</v>
      </c>
      <c r="E1702" s="21" t="s">
        <v>15138</v>
      </c>
      <c r="F1702" s="21" t="s">
        <v>14817</v>
      </c>
    </row>
    <row r="1703" customFormat="false" ht="15" hidden="false" customHeight="false" outlineLevel="0" collapsed="false">
      <c r="B1703" s="19" t="s">
        <v>15177</v>
      </c>
      <c r="C1703" s="20" t="n">
        <f aca="false">ROUND(37.05/FX,2)</f>
        <v>5.15</v>
      </c>
      <c r="D1703" s="21" t="s">
        <v>15176</v>
      </c>
      <c r="E1703" s="21" t="s">
        <v>14835</v>
      </c>
      <c r="F1703" s="21" t="s">
        <v>14821</v>
      </c>
    </row>
    <row r="1704" customFormat="false" ht="15" hidden="false" customHeight="false" outlineLevel="0" collapsed="false">
      <c r="B1704" s="19" t="s">
        <v>15178</v>
      </c>
      <c r="C1704" s="20" t="n">
        <f aca="false">ROUND(32.5/FX,2)</f>
        <v>4.51</v>
      </c>
      <c r="D1704" s="21" t="s">
        <v>15176</v>
      </c>
      <c r="E1704" s="21" t="s">
        <v>14835</v>
      </c>
      <c r="F1704" s="21" t="s">
        <v>14823</v>
      </c>
    </row>
    <row r="1705" customFormat="false" ht="15" hidden="false" customHeight="false" outlineLevel="0" collapsed="false">
      <c r="B1705" s="19" t="s">
        <v>15179</v>
      </c>
      <c r="C1705" s="20" t="n">
        <f aca="false">ROUND(75/FX,2)</f>
        <v>10.42</v>
      </c>
      <c r="D1705" s="21" t="s">
        <v>15180</v>
      </c>
      <c r="E1705" s="21" t="s">
        <v>14835</v>
      </c>
      <c r="F1705" s="21" t="s">
        <v>14968</v>
      </c>
    </row>
    <row r="1706" customFormat="false" ht="28.35" hidden="false" customHeight="false" outlineLevel="0" collapsed="false">
      <c r="B1706" s="19" t="s">
        <v>15181</v>
      </c>
      <c r="C1706" s="20" t="n">
        <f aca="false">ROUND(90.74/FX,2)</f>
        <v>12.6</v>
      </c>
      <c r="D1706" s="21" t="s">
        <v>15180</v>
      </c>
      <c r="E1706" s="21" t="s">
        <v>15166</v>
      </c>
      <c r="F1706" s="21" t="s">
        <v>14970</v>
      </c>
    </row>
    <row r="1707" customFormat="false" ht="15" hidden="false" customHeight="false" outlineLevel="0" collapsed="false">
      <c r="B1707" s="19" t="s">
        <v>15182</v>
      </c>
      <c r="C1707" s="20" t="n">
        <f aca="false">ROUND(2.34/FX,2)</f>
        <v>0.33</v>
      </c>
      <c r="D1707" s="21" t="s">
        <v>15183</v>
      </c>
      <c r="E1707" s="21" t="s">
        <v>14835</v>
      </c>
      <c r="F1707" s="21" t="s">
        <v>14973</v>
      </c>
    </row>
    <row r="1708" customFormat="false" ht="15" hidden="false" customHeight="false" outlineLevel="0" collapsed="false">
      <c r="B1708" s="19" t="s">
        <v>15184</v>
      </c>
      <c r="C1708" s="20" t="n">
        <f aca="false">ROUND(338/FX,2)</f>
        <v>46.94</v>
      </c>
      <c r="D1708" s="21" t="s">
        <v>15185</v>
      </c>
      <c r="E1708" s="21" t="s">
        <v>14835</v>
      </c>
      <c r="F1708" s="21" t="s">
        <v>14976</v>
      </c>
    </row>
    <row r="1709" customFormat="false" ht="15" hidden="false" customHeight="false" outlineLevel="0" collapsed="false">
      <c r="B1709" s="19" t="s">
        <v>15186</v>
      </c>
      <c r="C1709" s="20" t="n">
        <f aca="false">ROUND(2.47/FX,2)</f>
        <v>0.34</v>
      </c>
      <c r="D1709" s="21" t="s">
        <v>15187</v>
      </c>
      <c r="E1709" s="21" t="s">
        <v>14835</v>
      </c>
      <c r="F1709" s="21" t="s">
        <v>14979</v>
      </c>
    </row>
    <row r="1710" customFormat="false" ht="15" hidden="false" customHeight="false" outlineLevel="0" collapsed="false">
      <c r="B1710" s="19" t="s">
        <v>15188</v>
      </c>
      <c r="C1710" s="20" t="n">
        <f aca="false">ROUND(884/FX,2)</f>
        <v>122.78</v>
      </c>
      <c r="D1710" s="21" t="s">
        <v>15189</v>
      </c>
      <c r="E1710" s="21" t="s">
        <v>14835</v>
      </c>
      <c r="F1710" s="21" t="s">
        <v>14982</v>
      </c>
    </row>
    <row r="1711" customFormat="false" ht="15" hidden="false" customHeight="false" outlineLevel="0" collapsed="false">
      <c r="B1711" s="19" t="s">
        <v>15190</v>
      </c>
      <c r="C1711" s="20" t="n">
        <f aca="false">ROUND(1.95/FX,2)</f>
        <v>0.27</v>
      </c>
      <c r="D1711" s="21" t="s">
        <v>15191</v>
      </c>
      <c r="E1711" s="21" t="s">
        <v>14835</v>
      </c>
      <c r="F1711" s="21" t="s">
        <v>14826</v>
      </c>
    </row>
    <row r="1712" customFormat="false" ht="15" hidden="false" customHeight="false" outlineLevel="0" collapsed="false">
      <c r="B1712" s="19" t="s">
        <v>15192</v>
      </c>
      <c r="C1712" s="20" t="n">
        <f aca="false">ROUND(2.21/FX,2)</f>
        <v>0.31</v>
      </c>
      <c r="D1712" s="21" t="s">
        <v>15193</v>
      </c>
      <c r="E1712" s="21" t="s">
        <v>14835</v>
      </c>
      <c r="F1712" s="21" t="s">
        <v>14826</v>
      </c>
    </row>
    <row r="1713" customFormat="false" ht="15" hidden="false" customHeight="false" outlineLevel="0" collapsed="false">
      <c r="B1713" s="19" t="s">
        <v>15194</v>
      </c>
      <c r="C1713" s="20" t="n">
        <f aca="false">ROUND(2.08/FX,2)</f>
        <v>0.29</v>
      </c>
      <c r="D1713" s="21" t="s">
        <v>15195</v>
      </c>
      <c r="E1713" s="21" t="s">
        <v>14835</v>
      </c>
      <c r="F1713" s="21" t="s">
        <v>14829</v>
      </c>
    </row>
    <row r="1714" customFormat="false" ht="15" hidden="false" customHeight="false" outlineLevel="0" collapsed="false">
      <c r="B1714" s="19" t="s">
        <v>15196</v>
      </c>
      <c r="C1714" s="20" t="n">
        <f aca="false">ROUND(2.1/FX,2)</f>
        <v>0.29</v>
      </c>
      <c r="D1714" s="21" t="s">
        <v>15197</v>
      </c>
      <c r="E1714" s="21" t="s">
        <v>14835</v>
      </c>
      <c r="F1714" s="21" t="s">
        <v>14829</v>
      </c>
    </row>
    <row r="1715" customFormat="false" ht="15" hidden="false" customHeight="false" outlineLevel="0" collapsed="false">
      <c r="B1715" s="19" t="s">
        <v>15198</v>
      </c>
      <c r="C1715" s="20" t="n">
        <f aca="false">ROUND(2.6/FX,2)</f>
        <v>0.36</v>
      </c>
      <c r="D1715" s="21" t="s">
        <v>15199</v>
      </c>
      <c r="E1715" s="21" t="s">
        <v>14835</v>
      </c>
      <c r="F1715" s="21" t="s">
        <v>14832</v>
      </c>
    </row>
    <row r="1716" customFormat="false" ht="15" hidden="false" customHeight="false" outlineLevel="0" collapsed="false">
      <c r="B1716" s="19" t="s">
        <v>15200</v>
      </c>
      <c r="C1716" s="20" t="n">
        <f aca="false">ROUND(2.27/FX,2)</f>
        <v>0.32</v>
      </c>
      <c r="D1716" s="21" t="s">
        <v>15201</v>
      </c>
      <c r="E1716" s="21" t="s">
        <v>14835</v>
      </c>
      <c r="F1716" s="21" t="s">
        <v>14832</v>
      </c>
    </row>
    <row r="1719" customFormat="false" ht="61.5" hidden="false" customHeight="true" outlineLevel="0" collapsed="false">
      <c r="A1719" s="9"/>
      <c r="B1719" s="10" t="s">
        <v>15202</v>
      </c>
      <c r="C1719" s="10"/>
      <c r="D1719" s="10"/>
      <c r="E1719" s="10"/>
      <c r="F1719" s="10"/>
      <c r="G1719" s="10"/>
    </row>
    <row r="1720" customFormat="false" ht="15" hidden="false" customHeight="false" outlineLevel="0" collapsed="false">
      <c r="A1720" s="12" t="s">
        <v>700</v>
      </c>
      <c r="B1720" s="13" t="s">
        <v>701</v>
      </c>
      <c r="C1720" s="13" t="s">
        <v>702</v>
      </c>
      <c r="D1720" s="13" t="s">
        <v>6159</v>
      </c>
      <c r="E1720" s="13" t="s">
        <v>705</v>
      </c>
      <c r="F1720" s="13" t="s">
        <v>723</v>
      </c>
      <c r="G1720" s="13" t="s">
        <v>13701</v>
      </c>
    </row>
    <row r="1721" customFormat="false" ht="30" hidden="false" customHeight="true" outlineLevel="0" collapsed="false">
      <c r="A1721" s="14" t="s">
        <v>706</v>
      </c>
      <c r="B1721" s="15" t="str">
        <f aca="false">IF(COUNTIFS($D$1724:$D$1819,IF(D1721="","*",D1721),$E$1724:$E$1819,IF(E1721="","*",E1721),$F$1724:$F$1819,IF(F1721="","*",F1721),$G$1724:$G$1819,IF(G1721="","*",G1721))=1,INDEX($B:$B,SUMPRODUCT(((D1721="")+($D$1724:$D$1819=D1721)&gt;0)*((E1721="")+($E$1724:$E$1819=E1721)&gt;0)*((F1721="")+($F$1724:$F$1819=F1721)&gt;0)*((G1721="")+($G$1724:$G$1819=G1721)&gt;0)*ROW($B$1724:$B$1819))),IF(COUNTIFS($D$1724:$D$1819,IF(D1721="","*",D1721),$E$1724:$E$1819,IF(E1721="","*",E1721),$F$1724:$F$1819,IF(F1721="","*",F1721),$G$1724:$G$1819,IF(G1721="","*",G1721))=0,"Not available",COUNTIFS($D$1724:$D$1819,IF(D1721="","*",D1721),$E$1724:$E$1819,IF(E1721="","*",E1721),$F$1724:$F$1819,IF(F1721="","*",F1721),$G$1724:$G$1819,IF(G1721="","*",G1721))&amp;" match, keep choosing"))</f>
        <v>BJ-CS10-M6x1</v>
      </c>
      <c r="C1721" s="16" t="n">
        <f aca="false">IF(COUNTIFS($D$1724:$D$1819,IF(D1721="","*",D1721),$E$1724:$E$1819,IF(E1721="","*",E1721),$F$1724:$F$1819,IF(F1721="","*",F1721),$G$1724:$G$1819,IF(G1721="","*",G1721))=1,INDEX($C:$C,SUMPRODUCT(((D1721="")+($D$1724:$D$1819=D1721)&gt;0)*((E1721="")+($E$1724:$E$1819=E1721)&gt;0)*((F1721="")+($F$1724:$F$1819=F1721)&gt;0)*((G1721="")+($G$1724:$G$1819=G1721)&gt;0)*ROW($B$1724:$B$1819))),"")</f>
        <v>0.36</v>
      </c>
      <c r="D1721" s="17" t="s">
        <v>15203</v>
      </c>
      <c r="E1721" s="17" t="s">
        <v>13732</v>
      </c>
      <c r="F1721" s="17" t="s">
        <v>11720</v>
      </c>
      <c r="G1721" s="17" t="s">
        <v>14829</v>
      </c>
    </row>
    <row r="1723" customFormat="false" ht="15" hidden="false" customHeight="false" outlineLevel="0" collapsed="false">
      <c r="B1723" s="18" t="s">
        <v>701</v>
      </c>
      <c r="C1723" s="18" t="s">
        <v>702</v>
      </c>
      <c r="D1723" s="18" t="s">
        <v>6159</v>
      </c>
      <c r="E1723" s="18" t="s">
        <v>705</v>
      </c>
      <c r="F1723" s="18" t="s">
        <v>723</v>
      </c>
      <c r="G1723" s="18" t="s">
        <v>13701</v>
      </c>
    </row>
    <row r="1724" customFormat="false" ht="15" hidden="false" customHeight="false" outlineLevel="0" collapsed="false">
      <c r="B1724" s="19" t="s">
        <v>15204</v>
      </c>
      <c r="C1724" s="20" t="n">
        <f aca="false">ROUND(2.6/FX,2)</f>
        <v>0.36</v>
      </c>
      <c r="D1724" s="21" t="s">
        <v>15203</v>
      </c>
      <c r="E1724" s="21" t="s">
        <v>13732</v>
      </c>
      <c r="F1724" s="21" t="s">
        <v>11720</v>
      </c>
      <c r="G1724" s="21" t="s">
        <v>14829</v>
      </c>
    </row>
    <row r="1725" customFormat="false" ht="15" hidden="false" customHeight="false" outlineLevel="0" collapsed="false">
      <c r="B1725" s="19" t="s">
        <v>15205</v>
      </c>
      <c r="C1725" s="20" t="n">
        <f aca="false">ROUND(3.64/FX,2)</f>
        <v>0.51</v>
      </c>
      <c r="D1725" s="21" t="s">
        <v>15203</v>
      </c>
      <c r="E1725" s="21" t="s">
        <v>13732</v>
      </c>
      <c r="F1725" s="21" t="s">
        <v>15206</v>
      </c>
      <c r="G1725" s="21" t="s">
        <v>14829</v>
      </c>
    </row>
    <row r="1726" customFormat="false" ht="15" hidden="false" customHeight="false" outlineLevel="0" collapsed="false">
      <c r="B1726" s="19" t="s">
        <v>15207</v>
      </c>
      <c r="C1726" s="20" t="n">
        <f aca="false">ROUND(10.5/FX,2)</f>
        <v>1.46</v>
      </c>
      <c r="D1726" s="21" t="s">
        <v>15203</v>
      </c>
      <c r="E1726" s="21" t="s">
        <v>14013</v>
      </c>
      <c r="F1726" s="21" t="s">
        <v>11720</v>
      </c>
      <c r="G1726" s="21" t="s">
        <v>14829</v>
      </c>
    </row>
    <row r="1727" customFormat="false" ht="15" hidden="false" customHeight="false" outlineLevel="0" collapsed="false">
      <c r="B1727" s="19" t="s">
        <v>15208</v>
      </c>
      <c r="C1727" s="20" t="n">
        <f aca="false">ROUND(3.95/FX,2)</f>
        <v>0.55</v>
      </c>
      <c r="D1727" s="21" t="s">
        <v>15209</v>
      </c>
      <c r="E1727" s="21" t="s">
        <v>13732</v>
      </c>
      <c r="F1727" s="21" t="s">
        <v>15210</v>
      </c>
      <c r="G1727" s="21" t="s">
        <v>14829</v>
      </c>
    </row>
    <row r="1728" customFormat="false" ht="15" hidden="false" customHeight="false" outlineLevel="0" collapsed="false">
      <c r="B1728" s="19" t="s">
        <v>15211</v>
      </c>
      <c r="C1728" s="20" t="n">
        <f aca="false">ROUND(3.25/FX,2)</f>
        <v>0.45</v>
      </c>
      <c r="D1728" s="21" t="s">
        <v>15209</v>
      </c>
      <c r="E1728" s="21" t="s">
        <v>13732</v>
      </c>
      <c r="F1728" s="21" t="s">
        <v>11810</v>
      </c>
      <c r="G1728" s="21" t="s">
        <v>14829</v>
      </c>
    </row>
    <row r="1729" customFormat="false" ht="15" hidden="false" customHeight="false" outlineLevel="0" collapsed="false">
      <c r="B1729" s="19" t="s">
        <v>15212</v>
      </c>
      <c r="C1729" s="20" t="n">
        <f aca="false">ROUND(4.55/FX,2)</f>
        <v>0.63</v>
      </c>
      <c r="D1729" s="21" t="s">
        <v>15213</v>
      </c>
      <c r="E1729" s="21" t="s">
        <v>13732</v>
      </c>
      <c r="F1729" s="21" t="s">
        <v>11720</v>
      </c>
      <c r="G1729" s="21" t="s">
        <v>14832</v>
      </c>
    </row>
    <row r="1730" customFormat="false" ht="15" hidden="false" customHeight="false" outlineLevel="0" collapsed="false">
      <c r="B1730" s="19" t="s">
        <v>15214</v>
      </c>
      <c r="C1730" s="20" t="n">
        <f aca="false">ROUND(5.19/FX,2)</f>
        <v>0.72</v>
      </c>
      <c r="D1730" s="21" t="s">
        <v>15213</v>
      </c>
      <c r="E1730" s="21" t="s">
        <v>13732</v>
      </c>
      <c r="F1730" s="21" t="s">
        <v>15206</v>
      </c>
      <c r="G1730" s="21" t="s">
        <v>14832</v>
      </c>
    </row>
    <row r="1731" customFormat="false" ht="15" hidden="false" customHeight="false" outlineLevel="0" collapsed="false">
      <c r="B1731" s="19" t="s">
        <v>15215</v>
      </c>
      <c r="C1731" s="20" t="n">
        <f aca="false">ROUND(4.55/FX,2)</f>
        <v>0.63</v>
      </c>
      <c r="D1731" s="21" t="s">
        <v>15216</v>
      </c>
      <c r="E1731" s="21" t="s">
        <v>13732</v>
      </c>
      <c r="F1731" s="21" t="s">
        <v>15210</v>
      </c>
      <c r="G1731" s="21" t="s">
        <v>14832</v>
      </c>
    </row>
    <row r="1732" customFormat="false" ht="15" hidden="false" customHeight="false" outlineLevel="0" collapsed="false">
      <c r="B1732" s="19" t="s">
        <v>15217</v>
      </c>
      <c r="C1732" s="20" t="n">
        <f aca="false">ROUND(3.9/FX,2)</f>
        <v>0.54</v>
      </c>
      <c r="D1732" s="21" t="s">
        <v>15216</v>
      </c>
      <c r="E1732" s="21" t="s">
        <v>13732</v>
      </c>
      <c r="F1732" s="21" t="s">
        <v>11810</v>
      </c>
      <c r="G1732" s="21" t="s">
        <v>14832</v>
      </c>
    </row>
    <row r="1733" customFormat="false" ht="15" hidden="false" customHeight="false" outlineLevel="0" collapsed="false">
      <c r="B1733" s="19" t="s">
        <v>15218</v>
      </c>
      <c r="C1733" s="20" t="n">
        <f aca="false">ROUND(6.24/FX,2)</f>
        <v>0.87</v>
      </c>
      <c r="D1733" s="21" t="s">
        <v>15219</v>
      </c>
      <c r="E1733" s="21" t="s">
        <v>13732</v>
      </c>
      <c r="F1733" s="21" t="s">
        <v>11720</v>
      </c>
      <c r="G1733" s="21" t="s">
        <v>14780</v>
      </c>
    </row>
    <row r="1734" customFormat="false" ht="15" hidden="false" customHeight="false" outlineLevel="0" collapsed="false">
      <c r="B1734" s="19" t="s">
        <v>15220</v>
      </c>
      <c r="C1734" s="20" t="n">
        <f aca="false">ROUND(7.66/FX,2)</f>
        <v>1.06</v>
      </c>
      <c r="D1734" s="21" t="s">
        <v>15219</v>
      </c>
      <c r="E1734" s="21" t="s">
        <v>13732</v>
      </c>
      <c r="F1734" s="21" t="s">
        <v>15206</v>
      </c>
      <c r="G1734" s="21" t="s">
        <v>14780</v>
      </c>
    </row>
    <row r="1735" customFormat="false" ht="15" hidden="false" customHeight="false" outlineLevel="0" collapsed="false">
      <c r="B1735" s="19" t="s">
        <v>15221</v>
      </c>
      <c r="C1735" s="20" t="n">
        <f aca="false">ROUND(6.5/FX,2)</f>
        <v>0.9</v>
      </c>
      <c r="D1735" s="21" t="s">
        <v>15219</v>
      </c>
      <c r="E1735" s="21" t="s">
        <v>13732</v>
      </c>
      <c r="F1735" s="21" t="s">
        <v>11720</v>
      </c>
      <c r="G1735" s="21" t="s">
        <v>14787</v>
      </c>
    </row>
    <row r="1736" customFormat="false" ht="15" hidden="false" customHeight="false" outlineLevel="0" collapsed="false">
      <c r="B1736" s="19" t="s">
        <v>15222</v>
      </c>
      <c r="C1736" s="20" t="n">
        <f aca="false">ROUND(8.03/FX,2)</f>
        <v>1.12</v>
      </c>
      <c r="D1736" s="21" t="s">
        <v>15219</v>
      </c>
      <c r="E1736" s="21" t="s">
        <v>13732</v>
      </c>
      <c r="F1736" s="21" t="s">
        <v>15206</v>
      </c>
      <c r="G1736" s="21" t="s">
        <v>14787</v>
      </c>
    </row>
    <row r="1737" customFormat="false" ht="15" hidden="false" customHeight="false" outlineLevel="0" collapsed="false">
      <c r="B1737" s="19" t="s">
        <v>15223</v>
      </c>
      <c r="C1737" s="20" t="n">
        <f aca="false">ROUND(7.66/FX,2)</f>
        <v>1.06</v>
      </c>
      <c r="D1737" s="21" t="s">
        <v>15224</v>
      </c>
      <c r="E1737" s="21" t="s">
        <v>13732</v>
      </c>
      <c r="F1737" s="21" t="s">
        <v>15210</v>
      </c>
      <c r="G1737" s="21" t="s">
        <v>14780</v>
      </c>
    </row>
    <row r="1738" customFormat="false" ht="15" hidden="false" customHeight="false" outlineLevel="0" collapsed="false">
      <c r="B1738" s="19" t="s">
        <v>15225</v>
      </c>
      <c r="C1738" s="20" t="n">
        <f aca="false">ROUND(6.76/FX,2)</f>
        <v>0.94</v>
      </c>
      <c r="D1738" s="21" t="s">
        <v>15224</v>
      </c>
      <c r="E1738" s="21" t="s">
        <v>13732</v>
      </c>
      <c r="F1738" s="21" t="s">
        <v>11810</v>
      </c>
      <c r="G1738" s="21" t="s">
        <v>14780</v>
      </c>
    </row>
    <row r="1739" customFormat="false" ht="15" hidden="false" customHeight="false" outlineLevel="0" collapsed="false">
      <c r="B1739" s="19" t="s">
        <v>15226</v>
      </c>
      <c r="C1739" s="20" t="n">
        <f aca="false">ROUND(8.03/FX,2)</f>
        <v>1.12</v>
      </c>
      <c r="D1739" s="21" t="s">
        <v>15224</v>
      </c>
      <c r="E1739" s="21" t="s">
        <v>13732</v>
      </c>
      <c r="F1739" s="21" t="s">
        <v>15210</v>
      </c>
      <c r="G1739" s="21" t="s">
        <v>14787</v>
      </c>
    </row>
    <row r="1740" customFormat="false" ht="15" hidden="false" customHeight="false" outlineLevel="0" collapsed="false">
      <c r="B1740" s="19" t="s">
        <v>15227</v>
      </c>
      <c r="C1740" s="20" t="n">
        <f aca="false">ROUND(6.5/FX,2)</f>
        <v>0.9</v>
      </c>
      <c r="D1740" s="21" t="s">
        <v>15224</v>
      </c>
      <c r="E1740" s="21" t="s">
        <v>13732</v>
      </c>
      <c r="F1740" s="21" t="s">
        <v>11810</v>
      </c>
      <c r="G1740" s="21" t="s">
        <v>14787</v>
      </c>
    </row>
    <row r="1741" customFormat="false" ht="15" hidden="false" customHeight="false" outlineLevel="0" collapsed="false">
      <c r="B1741" s="19" t="s">
        <v>15228</v>
      </c>
      <c r="C1741" s="20" t="n">
        <f aca="false">ROUND(13/FX,2)</f>
        <v>1.81</v>
      </c>
      <c r="D1741" s="21" t="s">
        <v>15229</v>
      </c>
      <c r="E1741" s="21" t="s">
        <v>13732</v>
      </c>
      <c r="F1741" s="21" t="s">
        <v>11720</v>
      </c>
      <c r="G1741" s="21" t="s">
        <v>14790</v>
      </c>
    </row>
    <row r="1742" customFormat="false" ht="15" hidden="false" customHeight="false" outlineLevel="0" collapsed="false">
      <c r="B1742" s="19" t="s">
        <v>15230</v>
      </c>
      <c r="C1742" s="20" t="n">
        <f aca="false">ROUND(17.29/FX,2)</f>
        <v>2.4</v>
      </c>
      <c r="D1742" s="21" t="s">
        <v>15229</v>
      </c>
      <c r="E1742" s="21" t="s">
        <v>13732</v>
      </c>
      <c r="F1742" s="21" t="s">
        <v>15206</v>
      </c>
      <c r="G1742" s="21" t="s">
        <v>14790</v>
      </c>
    </row>
    <row r="1743" customFormat="false" ht="15" hidden="false" customHeight="false" outlineLevel="0" collapsed="false">
      <c r="B1743" s="19" t="s">
        <v>15231</v>
      </c>
      <c r="C1743" s="20" t="n">
        <f aca="false">ROUND(13/FX,2)</f>
        <v>1.81</v>
      </c>
      <c r="D1743" s="21" t="s">
        <v>15229</v>
      </c>
      <c r="E1743" s="21" t="s">
        <v>13732</v>
      </c>
      <c r="F1743" s="21" t="s">
        <v>11720</v>
      </c>
      <c r="G1743" s="21" t="s">
        <v>14792</v>
      </c>
    </row>
    <row r="1744" customFormat="false" ht="15" hidden="false" customHeight="false" outlineLevel="0" collapsed="false">
      <c r="B1744" s="19" t="s">
        <v>15232</v>
      </c>
      <c r="C1744" s="20" t="n">
        <f aca="false">ROUND(17.29/FX,2)</f>
        <v>2.4</v>
      </c>
      <c r="D1744" s="21" t="s">
        <v>15229</v>
      </c>
      <c r="E1744" s="21" t="s">
        <v>13732</v>
      </c>
      <c r="F1744" s="21" t="s">
        <v>15206</v>
      </c>
      <c r="G1744" s="21" t="s">
        <v>14792</v>
      </c>
    </row>
    <row r="1745" customFormat="false" ht="15" hidden="false" customHeight="false" outlineLevel="0" collapsed="false">
      <c r="B1745" s="19" t="s">
        <v>15233</v>
      </c>
      <c r="C1745" s="20" t="n">
        <f aca="false">ROUND(13/FX,2)</f>
        <v>1.81</v>
      </c>
      <c r="D1745" s="21" t="s">
        <v>15229</v>
      </c>
      <c r="E1745" s="21" t="s">
        <v>13732</v>
      </c>
      <c r="F1745" s="21" t="s">
        <v>11720</v>
      </c>
      <c r="G1745" s="21" t="s">
        <v>14795</v>
      </c>
    </row>
    <row r="1746" customFormat="false" ht="15" hidden="false" customHeight="false" outlineLevel="0" collapsed="false">
      <c r="B1746" s="19" t="s">
        <v>15234</v>
      </c>
      <c r="C1746" s="20" t="n">
        <f aca="false">ROUND(19.76/FX,2)</f>
        <v>2.74</v>
      </c>
      <c r="D1746" s="21" t="s">
        <v>15229</v>
      </c>
      <c r="E1746" s="21" t="s">
        <v>13732</v>
      </c>
      <c r="F1746" s="21" t="s">
        <v>15206</v>
      </c>
      <c r="G1746" s="21" t="s">
        <v>14795</v>
      </c>
    </row>
    <row r="1747" customFormat="false" ht="15" hidden="false" customHeight="false" outlineLevel="0" collapsed="false">
      <c r="B1747" s="19" t="s">
        <v>15235</v>
      </c>
      <c r="C1747" s="20" t="n">
        <f aca="false">ROUND(13/FX,2)</f>
        <v>1.81</v>
      </c>
      <c r="D1747" s="21" t="s">
        <v>15229</v>
      </c>
      <c r="E1747" s="21" t="s">
        <v>13732</v>
      </c>
      <c r="F1747" s="21" t="s">
        <v>11720</v>
      </c>
      <c r="G1747" s="21" t="s">
        <v>14797</v>
      </c>
    </row>
    <row r="1748" customFormat="false" ht="15" hidden="false" customHeight="false" outlineLevel="0" collapsed="false">
      <c r="B1748" s="19" t="s">
        <v>15236</v>
      </c>
      <c r="C1748" s="20" t="n">
        <f aca="false">ROUND(19.76/FX,2)</f>
        <v>2.74</v>
      </c>
      <c r="D1748" s="21" t="s">
        <v>15229</v>
      </c>
      <c r="E1748" s="21" t="s">
        <v>13732</v>
      </c>
      <c r="F1748" s="21" t="s">
        <v>15206</v>
      </c>
      <c r="G1748" s="21" t="s">
        <v>14797</v>
      </c>
    </row>
    <row r="1749" customFormat="false" ht="15" hidden="false" customHeight="false" outlineLevel="0" collapsed="false">
      <c r="B1749" s="19" t="s">
        <v>15237</v>
      </c>
      <c r="C1749" s="20" t="n">
        <f aca="false">ROUND(17.29/FX,2)</f>
        <v>2.4</v>
      </c>
      <c r="D1749" s="21" t="s">
        <v>15238</v>
      </c>
      <c r="E1749" s="21" t="s">
        <v>13732</v>
      </c>
      <c r="F1749" s="21" t="s">
        <v>15210</v>
      </c>
      <c r="G1749" s="21" t="s">
        <v>14790</v>
      </c>
    </row>
    <row r="1750" customFormat="false" ht="15" hidden="false" customHeight="false" outlineLevel="0" collapsed="false">
      <c r="B1750" s="19" t="s">
        <v>15239</v>
      </c>
      <c r="C1750" s="20" t="n">
        <f aca="false">ROUND(13/FX,2)</f>
        <v>1.81</v>
      </c>
      <c r="D1750" s="21" t="s">
        <v>15238</v>
      </c>
      <c r="E1750" s="21" t="s">
        <v>13732</v>
      </c>
      <c r="F1750" s="21" t="s">
        <v>11810</v>
      </c>
      <c r="G1750" s="21" t="s">
        <v>14790</v>
      </c>
    </row>
    <row r="1751" customFormat="false" ht="15" hidden="false" customHeight="false" outlineLevel="0" collapsed="false">
      <c r="B1751" s="19" t="s">
        <v>15240</v>
      </c>
      <c r="C1751" s="20" t="n">
        <f aca="false">ROUND(17.29/FX,2)</f>
        <v>2.4</v>
      </c>
      <c r="D1751" s="21" t="s">
        <v>15238</v>
      </c>
      <c r="E1751" s="21" t="s">
        <v>13732</v>
      </c>
      <c r="F1751" s="21" t="s">
        <v>15210</v>
      </c>
      <c r="G1751" s="21" t="s">
        <v>14792</v>
      </c>
    </row>
    <row r="1752" customFormat="false" ht="15" hidden="false" customHeight="false" outlineLevel="0" collapsed="false">
      <c r="B1752" s="19" t="s">
        <v>15241</v>
      </c>
      <c r="C1752" s="20" t="n">
        <f aca="false">ROUND(13/FX,2)</f>
        <v>1.81</v>
      </c>
      <c r="D1752" s="21" t="s">
        <v>15238</v>
      </c>
      <c r="E1752" s="21" t="s">
        <v>13732</v>
      </c>
      <c r="F1752" s="21" t="s">
        <v>11810</v>
      </c>
      <c r="G1752" s="21" t="s">
        <v>14792</v>
      </c>
    </row>
    <row r="1753" customFormat="false" ht="15" hidden="false" customHeight="false" outlineLevel="0" collapsed="false">
      <c r="B1753" s="19" t="s">
        <v>15242</v>
      </c>
      <c r="C1753" s="20" t="n">
        <f aca="false">ROUND(19.76/FX,2)</f>
        <v>2.74</v>
      </c>
      <c r="D1753" s="21" t="s">
        <v>15238</v>
      </c>
      <c r="E1753" s="21" t="s">
        <v>13732</v>
      </c>
      <c r="F1753" s="21" t="s">
        <v>15210</v>
      </c>
      <c r="G1753" s="21" t="s">
        <v>14795</v>
      </c>
    </row>
    <row r="1754" customFormat="false" ht="15" hidden="false" customHeight="false" outlineLevel="0" collapsed="false">
      <c r="B1754" s="19" t="s">
        <v>15243</v>
      </c>
      <c r="C1754" s="20" t="n">
        <f aca="false">ROUND(13/FX,2)</f>
        <v>1.81</v>
      </c>
      <c r="D1754" s="21" t="s">
        <v>15238</v>
      </c>
      <c r="E1754" s="21" t="s">
        <v>13732</v>
      </c>
      <c r="F1754" s="21" t="s">
        <v>11810</v>
      </c>
      <c r="G1754" s="21" t="s">
        <v>14795</v>
      </c>
    </row>
    <row r="1755" customFormat="false" ht="15" hidden="false" customHeight="false" outlineLevel="0" collapsed="false">
      <c r="B1755" s="19" t="s">
        <v>15244</v>
      </c>
      <c r="C1755" s="20" t="n">
        <f aca="false">ROUND(19.76/FX,2)</f>
        <v>2.74</v>
      </c>
      <c r="D1755" s="21" t="s">
        <v>15238</v>
      </c>
      <c r="E1755" s="21" t="s">
        <v>13732</v>
      </c>
      <c r="F1755" s="21" t="s">
        <v>15210</v>
      </c>
      <c r="G1755" s="21" t="s">
        <v>14797</v>
      </c>
    </row>
    <row r="1756" customFormat="false" ht="15" hidden="false" customHeight="false" outlineLevel="0" collapsed="false">
      <c r="B1756" s="19" t="s">
        <v>15245</v>
      </c>
      <c r="C1756" s="20" t="n">
        <f aca="false">ROUND(13/FX,2)</f>
        <v>1.81</v>
      </c>
      <c r="D1756" s="21" t="s">
        <v>15238</v>
      </c>
      <c r="E1756" s="21" t="s">
        <v>13732</v>
      </c>
      <c r="F1756" s="21" t="s">
        <v>11810</v>
      </c>
      <c r="G1756" s="21" t="s">
        <v>14797</v>
      </c>
    </row>
    <row r="1757" customFormat="false" ht="15" hidden="false" customHeight="false" outlineLevel="0" collapsed="false">
      <c r="B1757" s="19" t="s">
        <v>15246</v>
      </c>
      <c r="C1757" s="20" t="n">
        <f aca="false">ROUND(16.9/FX,2)</f>
        <v>2.35</v>
      </c>
      <c r="D1757" s="21" t="s">
        <v>15247</v>
      </c>
      <c r="E1757" s="21" t="s">
        <v>13732</v>
      </c>
      <c r="F1757" s="21" t="s">
        <v>11720</v>
      </c>
      <c r="G1757" s="21" t="s">
        <v>14797</v>
      </c>
    </row>
    <row r="1758" customFormat="false" ht="15" hidden="false" customHeight="false" outlineLevel="0" collapsed="false">
      <c r="B1758" s="19" t="s">
        <v>15248</v>
      </c>
      <c r="C1758" s="20" t="n">
        <f aca="false">ROUND(16.9/FX,2)</f>
        <v>2.35</v>
      </c>
      <c r="D1758" s="21" t="s">
        <v>15249</v>
      </c>
      <c r="E1758" s="21" t="s">
        <v>13732</v>
      </c>
      <c r="F1758" s="21" t="s">
        <v>11810</v>
      </c>
      <c r="G1758" s="21" t="s">
        <v>14797</v>
      </c>
    </row>
    <row r="1759" customFormat="false" ht="15" hidden="false" customHeight="false" outlineLevel="0" collapsed="false">
      <c r="B1759" s="19" t="s">
        <v>15250</v>
      </c>
      <c r="C1759" s="20" t="n">
        <f aca="false">ROUND(3.25/FX,2)</f>
        <v>0.45</v>
      </c>
      <c r="D1759" s="21" t="s">
        <v>15251</v>
      </c>
      <c r="E1759" s="21" t="s">
        <v>13732</v>
      </c>
      <c r="F1759" s="21" t="s">
        <v>11720</v>
      </c>
      <c r="G1759" s="21" t="s">
        <v>14826</v>
      </c>
    </row>
    <row r="1760" customFormat="false" ht="15" hidden="false" customHeight="false" outlineLevel="0" collapsed="false">
      <c r="B1760" s="19" t="s">
        <v>15252</v>
      </c>
      <c r="C1760" s="20" t="n">
        <f aca="false">ROUND(3.25/FX,2)</f>
        <v>0.45</v>
      </c>
      <c r="D1760" s="21" t="s">
        <v>15251</v>
      </c>
      <c r="E1760" s="21" t="s">
        <v>13732</v>
      </c>
      <c r="F1760" s="21" t="s">
        <v>15206</v>
      </c>
      <c r="G1760" s="21" t="s">
        <v>14826</v>
      </c>
    </row>
    <row r="1761" customFormat="false" ht="15" hidden="false" customHeight="false" outlineLevel="0" collapsed="false">
      <c r="B1761" s="19" t="s">
        <v>15253</v>
      </c>
      <c r="C1761" s="20" t="n">
        <f aca="false">ROUND(3.71/FX,2)</f>
        <v>0.52</v>
      </c>
      <c r="D1761" s="21" t="s">
        <v>15254</v>
      </c>
      <c r="E1761" s="21" t="s">
        <v>13732</v>
      </c>
      <c r="F1761" s="21" t="s">
        <v>15210</v>
      </c>
      <c r="G1761" s="21" t="s">
        <v>14826</v>
      </c>
    </row>
    <row r="1762" customFormat="false" ht="15" hidden="false" customHeight="false" outlineLevel="0" collapsed="false">
      <c r="B1762" s="19" t="s">
        <v>15255</v>
      </c>
      <c r="C1762" s="20" t="n">
        <f aca="false">ROUND(2.6/FX,2)</f>
        <v>0.36</v>
      </c>
      <c r="D1762" s="21" t="s">
        <v>15254</v>
      </c>
      <c r="E1762" s="21" t="s">
        <v>13732</v>
      </c>
      <c r="F1762" s="21" t="s">
        <v>11810</v>
      </c>
      <c r="G1762" s="21" t="s">
        <v>14826</v>
      </c>
    </row>
    <row r="1763" customFormat="false" ht="15" hidden="false" customHeight="false" outlineLevel="0" collapsed="false">
      <c r="B1763" s="19" t="s">
        <v>15256</v>
      </c>
      <c r="C1763" s="20" t="n">
        <f aca="false">ROUND(5.33/FX,2)</f>
        <v>0.74</v>
      </c>
      <c r="D1763" s="21" t="s">
        <v>15257</v>
      </c>
      <c r="E1763" s="21" t="s">
        <v>13732</v>
      </c>
      <c r="F1763" s="21" t="s">
        <v>15258</v>
      </c>
      <c r="G1763" s="21" t="s">
        <v>14780</v>
      </c>
    </row>
    <row r="1764" customFormat="false" ht="15" hidden="false" customHeight="false" outlineLevel="0" collapsed="false">
      <c r="B1764" s="19" t="s">
        <v>15259</v>
      </c>
      <c r="C1764" s="20" t="n">
        <f aca="false">ROUND(5.33/FX,2)</f>
        <v>0.74</v>
      </c>
      <c r="D1764" s="21" t="s">
        <v>15260</v>
      </c>
      <c r="E1764" s="21" t="s">
        <v>13732</v>
      </c>
      <c r="F1764" s="21" t="s">
        <v>15258</v>
      </c>
      <c r="G1764" s="21" t="s">
        <v>14776</v>
      </c>
    </row>
    <row r="1765" customFormat="false" ht="15" hidden="false" customHeight="false" outlineLevel="0" collapsed="false">
      <c r="B1765" s="19" t="s">
        <v>15261</v>
      </c>
      <c r="C1765" s="20" t="n">
        <f aca="false">ROUND(9.1/FX,2)</f>
        <v>1.26</v>
      </c>
      <c r="D1765" s="21" t="s">
        <v>15262</v>
      </c>
      <c r="E1765" s="21" t="s">
        <v>13732</v>
      </c>
      <c r="F1765" s="21" t="s">
        <v>15258</v>
      </c>
      <c r="G1765" s="21" t="s">
        <v>14787</v>
      </c>
    </row>
    <row r="1766" customFormat="false" ht="15" hidden="false" customHeight="false" outlineLevel="0" collapsed="false">
      <c r="B1766" s="19" t="s">
        <v>15263</v>
      </c>
      <c r="C1766" s="20" t="n">
        <f aca="false">ROUND(9.1/FX,2)</f>
        <v>1.26</v>
      </c>
      <c r="D1766" s="21" t="s">
        <v>15264</v>
      </c>
      <c r="E1766" s="21" t="s">
        <v>13732</v>
      </c>
      <c r="F1766" s="21" t="s">
        <v>15258</v>
      </c>
      <c r="G1766" s="21" t="s">
        <v>14783</v>
      </c>
    </row>
    <row r="1767" customFormat="false" ht="15" hidden="false" customHeight="false" outlineLevel="0" collapsed="false">
      <c r="B1767" s="19" t="s">
        <v>15265</v>
      </c>
      <c r="C1767" s="20" t="n">
        <f aca="false">ROUND(13/FX,2)</f>
        <v>1.81</v>
      </c>
      <c r="D1767" s="21" t="s">
        <v>15266</v>
      </c>
      <c r="E1767" s="21" t="s">
        <v>13732</v>
      </c>
      <c r="F1767" s="21" t="s">
        <v>15258</v>
      </c>
      <c r="G1767" s="21" t="s">
        <v>14792</v>
      </c>
    </row>
    <row r="1768" customFormat="false" ht="15" hidden="false" customHeight="false" outlineLevel="0" collapsed="false">
      <c r="B1768" s="19" t="s">
        <v>15267</v>
      </c>
      <c r="C1768" s="20" t="n">
        <f aca="false">ROUND(13/FX,2)</f>
        <v>1.81</v>
      </c>
      <c r="D1768" s="21" t="s">
        <v>15268</v>
      </c>
      <c r="E1768" s="21" t="s">
        <v>13732</v>
      </c>
      <c r="F1768" s="21" t="s">
        <v>15258</v>
      </c>
      <c r="G1768" s="21" t="s">
        <v>14790</v>
      </c>
    </row>
    <row r="1769" customFormat="false" ht="15" hidden="false" customHeight="false" outlineLevel="0" collapsed="false">
      <c r="B1769" s="19" t="s">
        <v>15269</v>
      </c>
      <c r="C1769" s="20" t="n">
        <f aca="false">ROUND(16.9/FX,2)</f>
        <v>2.35</v>
      </c>
      <c r="D1769" s="21" t="s">
        <v>15270</v>
      </c>
      <c r="E1769" s="21" t="s">
        <v>13732</v>
      </c>
      <c r="F1769" s="21" t="s">
        <v>15258</v>
      </c>
      <c r="G1769" s="21" t="s">
        <v>14797</v>
      </c>
    </row>
    <row r="1770" customFormat="false" ht="15" hidden="false" customHeight="false" outlineLevel="0" collapsed="false">
      <c r="B1770" s="19" t="s">
        <v>15271</v>
      </c>
      <c r="C1770" s="20" t="n">
        <f aca="false">ROUND(16.9/FX,2)</f>
        <v>2.35</v>
      </c>
      <c r="D1770" s="21" t="s">
        <v>15272</v>
      </c>
      <c r="E1770" s="21" t="s">
        <v>13732</v>
      </c>
      <c r="F1770" s="21" t="s">
        <v>15258</v>
      </c>
      <c r="G1770" s="21" t="s">
        <v>14795</v>
      </c>
    </row>
    <row r="1771" customFormat="false" ht="15" hidden="false" customHeight="false" outlineLevel="0" collapsed="false">
      <c r="B1771" s="19" t="s">
        <v>15273</v>
      </c>
      <c r="C1771" s="20" t="n">
        <f aca="false">ROUND(39/FX,2)</f>
        <v>5.42</v>
      </c>
      <c r="D1771" s="21" t="s">
        <v>15274</v>
      </c>
      <c r="E1771" s="21" t="s">
        <v>13732</v>
      </c>
      <c r="F1771" s="21" t="s">
        <v>15258</v>
      </c>
      <c r="G1771" s="21" t="s">
        <v>14800</v>
      </c>
    </row>
    <row r="1772" customFormat="false" ht="15" hidden="false" customHeight="false" outlineLevel="0" collapsed="false">
      <c r="B1772" s="19" t="s">
        <v>15275</v>
      </c>
      <c r="C1772" s="20" t="n">
        <f aca="false">ROUND(37.57/FX,2)</f>
        <v>5.22</v>
      </c>
      <c r="D1772" s="21" t="s">
        <v>15276</v>
      </c>
      <c r="E1772" s="21" t="s">
        <v>13732</v>
      </c>
      <c r="F1772" s="21" t="s">
        <v>15258</v>
      </c>
      <c r="G1772" s="21" t="s">
        <v>14803</v>
      </c>
    </row>
    <row r="1773" customFormat="false" ht="15" hidden="false" customHeight="false" outlineLevel="0" collapsed="false">
      <c r="B1773" s="19" t="s">
        <v>15277</v>
      </c>
      <c r="C1773" s="20" t="n">
        <f aca="false">ROUND(62.4/FX,2)</f>
        <v>8.67</v>
      </c>
      <c r="D1773" s="21" t="s">
        <v>15278</v>
      </c>
      <c r="E1773" s="21" t="s">
        <v>13732</v>
      </c>
      <c r="F1773" s="21" t="s">
        <v>15258</v>
      </c>
      <c r="G1773" s="21" t="s">
        <v>14811</v>
      </c>
    </row>
    <row r="1774" customFormat="false" ht="15" hidden="false" customHeight="false" outlineLevel="0" collapsed="false">
      <c r="B1774" s="19" t="s">
        <v>15279</v>
      </c>
      <c r="C1774" s="20" t="n">
        <f aca="false">ROUND(2.86/FX,2)</f>
        <v>0.4</v>
      </c>
      <c r="D1774" s="21" t="s">
        <v>15280</v>
      </c>
      <c r="E1774" s="21" t="s">
        <v>13732</v>
      </c>
      <c r="F1774" s="21" t="s">
        <v>15258</v>
      </c>
      <c r="G1774" s="21" t="s">
        <v>14826</v>
      </c>
    </row>
    <row r="1775" customFormat="false" ht="15" hidden="false" customHeight="false" outlineLevel="0" collapsed="false">
      <c r="B1775" s="19" t="s">
        <v>15281</v>
      </c>
      <c r="C1775" s="20" t="n">
        <f aca="false">ROUND(2.86/FX,2)</f>
        <v>0.4</v>
      </c>
      <c r="D1775" s="21" t="s">
        <v>15282</v>
      </c>
      <c r="E1775" s="21" t="s">
        <v>13732</v>
      </c>
      <c r="F1775" s="21" t="s">
        <v>15258</v>
      </c>
      <c r="G1775" s="21" t="s">
        <v>14829</v>
      </c>
    </row>
    <row r="1776" customFormat="false" ht="15" hidden="false" customHeight="false" outlineLevel="0" collapsed="false">
      <c r="B1776" s="19" t="s">
        <v>15283</v>
      </c>
      <c r="C1776" s="20" t="n">
        <f aca="false">ROUND(3.64/FX,2)</f>
        <v>0.51</v>
      </c>
      <c r="D1776" s="21" t="s">
        <v>15284</v>
      </c>
      <c r="E1776" s="21" t="s">
        <v>13732</v>
      </c>
      <c r="F1776" s="21" t="s">
        <v>15258</v>
      </c>
      <c r="G1776" s="21" t="s">
        <v>14832</v>
      </c>
    </row>
    <row r="1777" customFormat="false" ht="15" hidden="false" customHeight="false" outlineLevel="0" collapsed="false">
      <c r="B1777" s="19" t="s">
        <v>15285</v>
      </c>
      <c r="C1777" s="20" t="n">
        <f aca="false">ROUND(5.85/FX,2)</f>
        <v>0.81</v>
      </c>
      <c r="D1777" s="21" t="s">
        <v>15286</v>
      </c>
      <c r="E1777" s="21" t="s">
        <v>13732</v>
      </c>
      <c r="F1777" s="21" t="s">
        <v>15287</v>
      </c>
      <c r="G1777" s="21" t="s">
        <v>14780</v>
      </c>
    </row>
    <row r="1778" customFormat="false" ht="15" hidden="false" customHeight="false" outlineLevel="0" collapsed="false">
      <c r="B1778" s="19" t="s">
        <v>15288</v>
      </c>
      <c r="C1778" s="20" t="n">
        <f aca="false">ROUND(5.33/FX,2)</f>
        <v>0.74</v>
      </c>
      <c r="D1778" s="21" t="s">
        <v>15289</v>
      </c>
      <c r="E1778" s="21" t="s">
        <v>13732</v>
      </c>
      <c r="F1778" s="21" t="s">
        <v>15287</v>
      </c>
      <c r="G1778" s="21" t="s">
        <v>14776</v>
      </c>
    </row>
    <row r="1779" customFormat="false" ht="15" hidden="false" customHeight="false" outlineLevel="0" collapsed="false">
      <c r="B1779" s="19" t="s">
        <v>15290</v>
      </c>
      <c r="C1779" s="20" t="n">
        <f aca="false">ROUND(9.1/FX,2)</f>
        <v>1.26</v>
      </c>
      <c r="D1779" s="21" t="s">
        <v>15291</v>
      </c>
      <c r="E1779" s="21" t="s">
        <v>13732</v>
      </c>
      <c r="F1779" s="21" t="s">
        <v>15287</v>
      </c>
      <c r="G1779" s="21" t="s">
        <v>14787</v>
      </c>
    </row>
    <row r="1780" customFormat="false" ht="15" hidden="false" customHeight="false" outlineLevel="0" collapsed="false">
      <c r="B1780" s="19" t="s">
        <v>15292</v>
      </c>
      <c r="C1780" s="20" t="n">
        <f aca="false">ROUND(9.1/FX,2)</f>
        <v>1.26</v>
      </c>
      <c r="D1780" s="21" t="s">
        <v>15293</v>
      </c>
      <c r="E1780" s="21" t="s">
        <v>13732</v>
      </c>
      <c r="F1780" s="21" t="s">
        <v>15287</v>
      </c>
      <c r="G1780" s="21" t="s">
        <v>14783</v>
      </c>
    </row>
    <row r="1781" customFormat="false" ht="15" hidden="false" customHeight="false" outlineLevel="0" collapsed="false">
      <c r="B1781" s="19" t="s">
        <v>15294</v>
      </c>
      <c r="C1781" s="20" t="n">
        <f aca="false">ROUND(13/FX,2)</f>
        <v>1.81</v>
      </c>
      <c r="D1781" s="21" t="s">
        <v>15295</v>
      </c>
      <c r="E1781" s="21" t="s">
        <v>13732</v>
      </c>
      <c r="F1781" s="21" t="s">
        <v>15287</v>
      </c>
      <c r="G1781" s="21" t="s">
        <v>14792</v>
      </c>
    </row>
    <row r="1782" customFormat="false" ht="15" hidden="false" customHeight="false" outlineLevel="0" collapsed="false">
      <c r="B1782" s="19" t="s">
        <v>15296</v>
      </c>
      <c r="C1782" s="20" t="n">
        <f aca="false">ROUND(13/FX,2)</f>
        <v>1.81</v>
      </c>
      <c r="D1782" s="21" t="s">
        <v>15297</v>
      </c>
      <c r="E1782" s="21" t="s">
        <v>13732</v>
      </c>
      <c r="F1782" s="21" t="s">
        <v>15287</v>
      </c>
      <c r="G1782" s="21" t="s">
        <v>14790</v>
      </c>
    </row>
    <row r="1783" customFormat="false" ht="15" hidden="false" customHeight="false" outlineLevel="0" collapsed="false">
      <c r="B1783" s="19" t="s">
        <v>15298</v>
      </c>
      <c r="C1783" s="20" t="n">
        <f aca="false">ROUND(16.9/FX,2)</f>
        <v>2.35</v>
      </c>
      <c r="D1783" s="21" t="s">
        <v>15299</v>
      </c>
      <c r="E1783" s="21" t="s">
        <v>13732</v>
      </c>
      <c r="F1783" s="21" t="s">
        <v>15287</v>
      </c>
      <c r="G1783" s="21" t="s">
        <v>14797</v>
      </c>
    </row>
    <row r="1784" customFormat="false" ht="15" hidden="false" customHeight="false" outlineLevel="0" collapsed="false">
      <c r="B1784" s="19" t="s">
        <v>15300</v>
      </c>
      <c r="C1784" s="20" t="n">
        <f aca="false">ROUND(16.9/FX,2)</f>
        <v>2.35</v>
      </c>
      <c r="D1784" s="21" t="s">
        <v>15301</v>
      </c>
      <c r="E1784" s="21" t="s">
        <v>13732</v>
      </c>
      <c r="F1784" s="21" t="s">
        <v>15287</v>
      </c>
      <c r="G1784" s="21" t="s">
        <v>14795</v>
      </c>
    </row>
    <row r="1785" customFormat="false" ht="15" hidden="false" customHeight="false" outlineLevel="0" collapsed="false">
      <c r="B1785" s="19" t="s">
        <v>15302</v>
      </c>
      <c r="C1785" s="20" t="n">
        <f aca="false">ROUND(36.4/FX,2)</f>
        <v>5.06</v>
      </c>
      <c r="D1785" s="21" t="s">
        <v>15303</v>
      </c>
      <c r="E1785" s="21" t="s">
        <v>13732</v>
      </c>
      <c r="F1785" s="21" t="s">
        <v>15287</v>
      </c>
      <c r="G1785" s="21" t="s">
        <v>14800</v>
      </c>
    </row>
    <row r="1786" customFormat="false" ht="15" hidden="false" customHeight="false" outlineLevel="0" collapsed="false">
      <c r="B1786" s="19" t="s">
        <v>15304</v>
      </c>
      <c r="C1786" s="20" t="n">
        <f aca="false">ROUND(40.3/FX,2)</f>
        <v>5.6</v>
      </c>
      <c r="D1786" s="21" t="s">
        <v>15305</v>
      </c>
      <c r="E1786" s="21" t="s">
        <v>13732</v>
      </c>
      <c r="F1786" s="21" t="s">
        <v>15287</v>
      </c>
      <c r="G1786" s="21" t="s">
        <v>14803</v>
      </c>
    </row>
    <row r="1787" customFormat="false" ht="15" hidden="false" customHeight="false" outlineLevel="0" collapsed="false">
      <c r="B1787" s="19" t="s">
        <v>15306</v>
      </c>
      <c r="C1787" s="20" t="n">
        <f aca="false">ROUND(62.4/FX,2)</f>
        <v>8.67</v>
      </c>
      <c r="D1787" s="21" t="s">
        <v>15307</v>
      </c>
      <c r="E1787" s="21" t="s">
        <v>13732</v>
      </c>
      <c r="F1787" s="21" t="s">
        <v>15287</v>
      </c>
      <c r="G1787" s="21" t="s">
        <v>14811</v>
      </c>
    </row>
    <row r="1788" customFormat="false" ht="15" hidden="false" customHeight="false" outlineLevel="0" collapsed="false">
      <c r="B1788" s="19" t="s">
        <v>15308</v>
      </c>
      <c r="C1788" s="20" t="n">
        <f aca="false">ROUND(2.86/FX,2)</f>
        <v>0.4</v>
      </c>
      <c r="D1788" s="21" t="s">
        <v>15309</v>
      </c>
      <c r="E1788" s="21" t="s">
        <v>13732</v>
      </c>
      <c r="F1788" s="21" t="s">
        <v>15287</v>
      </c>
      <c r="G1788" s="21" t="s">
        <v>14826</v>
      </c>
    </row>
    <row r="1789" customFormat="false" ht="15" hidden="false" customHeight="false" outlineLevel="0" collapsed="false">
      <c r="B1789" s="19" t="s">
        <v>15310</v>
      </c>
      <c r="C1789" s="20" t="n">
        <f aca="false">ROUND(2.86/FX,2)</f>
        <v>0.4</v>
      </c>
      <c r="D1789" s="21" t="s">
        <v>15311</v>
      </c>
      <c r="E1789" s="21" t="s">
        <v>13732</v>
      </c>
      <c r="F1789" s="21" t="s">
        <v>15287</v>
      </c>
      <c r="G1789" s="21" t="s">
        <v>14829</v>
      </c>
    </row>
    <row r="1790" customFormat="false" ht="15" hidden="false" customHeight="false" outlineLevel="0" collapsed="false">
      <c r="B1790" s="19" t="s">
        <v>15312</v>
      </c>
      <c r="C1790" s="20" t="n">
        <f aca="false">ROUND(4.55/FX,2)</f>
        <v>0.63</v>
      </c>
      <c r="D1790" s="21" t="s">
        <v>15313</v>
      </c>
      <c r="E1790" s="21" t="s">
        <v>13732</v>
      </c>
      <c r="F1790" s="21" t="s">
        <v>15287</v>
      </c>
      <c r="G1790" s="21" t="s">
        <v>14832</v>
      </c>
    </row>
    <row r="1791" customFormat="false" ht="15" hidden="false" customHeight="false" outlineLevel="0" collapsed="false">
      <c r="B1791" s="19" t="s">
        <v>15314</v>
      </c>
      <c r="C1791" s="20" t="n">
        <f aca="false">ROUND(5.22/FX,2)</f>
        <v>0.73</v>
      </c>
      <c r="D1791" s="21" t="s">
        <v>15315</v>
      </c>
      <c r="E1791" s="21" t="s">
        <v>13732</v>
      </c>
      <c r="F1791" s="21" t="s">
        <v>15316</v>
      </c>
      <c r="G1791" s="21" t="s">
        <v>14780</v>
      </c>
    </row>
    <row r="1792" customFormat="false" ht="15" hidden="false" customHeight="false" outlineLevel="0" collapsed="false">
      <c r="B1792" s="19" t="s">
        <v>15317</v>
      </c>
      <c r="C1792" s="20" t="n">
        <f aca="false">ROUND(5.22/FX,2)</f>
        <v>0.73</v>
      </c>
      <c r="D1792" s="21" t="s">
        <v>15318</v>
      </c>
      <c r="E1792" s="21" t="s">
        <v>13732</v>
      </c>
      <c r="F1792" s="21" t="s">
        <v>15316</v>
      </c>
      <c r="G1792" s="21" t="s">
        <v>14776</v>
      </c>
    </row>
    <row r="1793" customFormat="false" ht="15" hidden="false" customHeight="false" outlineLevel="0" collapsed="false">
      <c r="B1793" s="19" t="s">
        <v>15319</v>
      </c>
      <c r="C1793" s="20" t="n">
        <f aca="false">ROUND(7.8/FX,2)</f>
        <v>1.08</v>
      </c>
      <c r="D1793" s="21" t="s">
        <v>15320</v>
      </c>
      <c r="E1793" s="21" t="s">
        <v>13732</v>
      </c>
      <c r="F1793" s="21" t="s">
        <v>15316</v>
      </c>
      <c r="G1793" s="21" t="s">
        <v>14787</v>
      </c>
    </row>
    <row r="1794" customFormat="false" ht="15" hidden="false" customHeight="false" outlineLevel="0" collapsed="false">
      <c r="B1794" s="19" t="s">
        <v>15321</v>
      </c>
      <c r="C1794" s="20" t="n">
        <f aca="false">ROUND(10.5/FX,2)</f>
        <v>1.46</v>
      </c>
      <c r="D1794" s="21" t="s">
        <v>15322</v>
      </c>
      <c r="E1794" s="21" t="s">
        <v>13732</v>
      </c>
      <c r="F1794" s="21" t="s">
        <v>15316</v>
      </c>
      <c r="G1794" s="21" t="s">
        <v>14792</v>
      </c>
    </row>
    <row r="1795" customFormat="false" ht="15" hidden="false" customHeight="false" outlineLevel="0" collapsed="false">
      <c r="B1795" s="19" t="s">
        <v>15323</v>
      </c>
      <c r="C1795" s="20" t="n">
        <f aca="false">ROUND(13/FX,2)</f>
        <v>1.81</v>
      </c>
      <c r="D1795" s="21" t="s">
        <v>15324</v>
      </c>
      <c r="E1795" s="21" t="s">
        <v>13732</v>
      </c>
      <c r="F1795" s="21" t="s">
        <v>15316</v>
      </c>
      <c r="G1795" s="21" t="s">
        <v>14790</v>
      </c>
    </row>
    <row r="1796" customFormat="false" ht="15" hidden="false" customHeight="false" outlineLevel="0" collapsed="false">
      <c r="B1796" s="19" t="s">
        <v>15325</v>
      </c>
      <c r="C1796" s="20" t="n">
        <f aca="false">ROUND(14.28/FX,2)</f>
        <v>1.98</v>
      </c>
      <c r="D1796" s="21" t="s">
        <v>15326</v>
      </c>
      <c r="E1796" s="21" t="s">
        <v>13732</v>
      </c>
      <c r="F1796" s="21" t="s">
        <v>15316</v>
      </c>
      <c r="G1796" s="21" t="s">
        <v>14797</v>
      </c>
    </row>
    <row r="1797" customFormat="false" ht="15" hidden="false" customHeight="false" outlineLevel="0" collapsed="false">
      <c r="B1797" s="19" t="s">
        <v>15327</v>
      </c>
      <c r="C1797" s="20" t="n">
        <f aca="false">ROUND(16.9/FX,2)</f>
        <v>2.35</v>
      </c>
      <c r="D1797" s="21" t="s">
        <v>15328</v>
      </c>
      <c r="E1797" s="21" t="s">
        <v>13732</v>
      </c>
      <c r="F1797" s="21" t="s">
        <v>15316</v>
      </c>
      <c r="G1797" s="21" t="s">
        <v>14795</v>
      </c>
    </row>
    <row r="1798" customFormat="false" ht="15" hidden="false" customHeight="false" outlineLevel="0" collapsed="false">
      <c r="B1798" s="19" t="s">
        <v>15329</v>
      </c>
      <c r="C1798" s="20" t="n">
        <f aca="false">ROUND(30/FX,2)</f>
        <v>4.17</v>
      </c>
      <c r="D1798" s="21" t="s">
        <v>15330</v>
      </c>
      <c r="E1798" s="21" t="s">
        <v>13732</v>
      </c>
      <c r="F1798" s="21" t="s">
        <v>15316</v>
      </c>
      <c r="G1798" s="21" t="s">
        <v>14800</v>
      </c>
    </row>
    <row r="1799" customFormat="false" ht="15" hidden="false" customHeight="false" outlineLevel="0" collapsed="false">
      <c r="B1799" s="19" t="s">
        <v>15331</v>
      </c>
      <c r="C1799" s="20" t="n">
        <f aca="false">ROUND(65/FX,2)</f>
        <v>9.03</v>
      </c>
      <c r="D1799" s="21" t="s">
        <v>15332</v>
      </c>
      <c r="E1799" s="21" t="s">
        <v>13732</v>
      </c>
      <c r="F1799" s="21" t="s">
        <v>15316</v>
      </c>
      <c r="G1799" s="21" t="s">
        <v>14803</v>
      </c>
    </row>
    <row r="1800" customFormat="false" ht="15" hidden="false" customHeight="false" outlineLevel="0" collapsed="false">
      <c r="B1800" s="19" t="s">
        <v>15333</v>
      </c>
      <c r="C1800" s="20" t="n">
        <f aca="false">ROUND(37.7/FX,2)</f>
        <v>5.24</v>
      </c>
      <c r="D1800" s="21" t="s">
        <v>15334</v>
      </c>
      <c r="E1800" s="21" t="s">
        <v>13732</v>
      </c>
      <c r="F1800" s="21" t="s">
        <v>15316</v>
      </c>
      <c r="G1800" s="21" t="s">
        <v>14803</v>
      </c>
    </row>
    <row r="1801" customFormat="false" ht="15" hidden="false" customHeight="false" outlineLevel="0" collapsed="false">
      <c r="B1801" s="19" t="s">
        <v>15335</v>
      </c>
      <c r="C1801" s="20" t="n">
        <f aca="false">ROUND(71.5/FX,2)</f>
        <v>9.93</v>
      </c>
      <c r="D1801" s="21" t="s">
        <v>15336</v>
      </c>
      <c r="E1801" s="21" t="s">
        <v>13732</v>
      </c>
      <c r="F1801" s="21" t="s">
        <v>15316</v>
      </c>
      <c r="G1801" s="21" t="s">
        <v>14811</v>
      </c>
    </row>
    <row r="1802" customFormat="false" ht="15" hidden="false" customHeight="false" outlineLevel="0" collapsed="false">
      <c r="B1802" s="19" t="s">
        <v>15337</v>
      </c>
      <c r="C1802" s="20" t="n">
        <f aca="false">ROUND(67.6/FX,2)</f>
        <v>9.39</v>
      </c>
      <c r="D1802" s="21" t="s">
        <v>15338</v>
      </c>
      <c r="E1802" s="21" t="s">
        <v>13732</v>
      </c>
      <c r="F1802" s="21" t="s">
        <v>15316</v>
      </c>
      <c r="G1802" s="21" t="s">
        <v>14811</v>
      </c>
    </row>
    <row r="1803" customFormat="false" ht="15" hidden="false" customHeight="false" outlineLevel="0" collapsed="false">
      <c r="B1803" s="19" t="s">
        <v>15339</v>
      </c>
      <c r="C1803" s="20" t="n">
        <f aca="false">ROUND(2.86/FX,2)</f>
        <v>0.4</v>
      </c>
      <c r="D1803" s="21" t="s">
        <v>15340</v>
      </c>
      <c r="E1803" s="21" t="s">
        <v>13732</v>
      </c>
      <c r="F1803" s="21" t="s">
        <v>15316</v>
      </c>
      <c r="G1803" s="21" t="s">
        <v>14826</v>
      </c>
    </row>
    <row r="1804" customFormat="false" ht="15" hidden="false" customHeight="false" outlineLevel="0" collapsed="false">
      <c r="B1804" s="19" t="s">
        <v>15341</v>
      </c>
      <c r="C1804" s="20" t="n">
        <f aca="false">ROUND(2.99/FX,2)</f>
        <v>0.42</v>
      </c>
      <c r="D1804" s="21" t="s">
        <v>15342</v>
      </c>
      <c r="E1804" s="21" t="s">
        <v>13732</v>
      </c>
      <c r="F1804" s="21" t="s">
        <v>15316</v>
      </c>
      <c r="G1804" s="21" t="s">
        <v>14829</v>
      </c>
    </row>
    <row r="1805" customFormat="false" ht="15" hidden="false" customHeight="false" outlineLevel="0" collapsed="false">
      <c r="B1805" s="19" t="s">
        <v>15343</v>
      </c>
      <c r="C1805" s="20" t="n">
        <f aca="false">ROUND(3.64/FX,2)</f>
        <v>0.51</v>
      </c>
      <c r="D1805" s="21" t="s">
        <v>15344</v>
      </c>
      <c r="E1805" s="21" t="s">
        <v>13732</v>
      </c>
      <c r="F1805" s="21" t="s">
        <v>15316</v>
      </c>
      <c r="G1805" s="21" t="s">
        <v>14832</v>
      </c>
    </row>
    <row r="1806" customFormat="false" ht="15" hidden="false" customHeight="false" outlineLevel="0" collapsed="false">
      <c r="B1806" s="19" t="s">
        <v>15345</v>
      </c>
      <c r="C1806" s="20" t="n">
        <f aca="false">ROUND(5.85/FX,2)</f>
        <v>0.81</v>
      </c>
      <c r="D1806" s="21" t="s">
        <v>15346</v>
      </c>
      <c r="E1806" s="21" t="s">
        <v>13732</v>
      </c>
      <c r="F1806" s="21" t="s">
        <v>15347</v>
      </c>
      <c r="G1806" s="21" t="s">
        <v>14780</v>
      </c>
    </row>
    <row r="1807" customFormat="false" ht="15" hidden="false" customHeight="false" outlineLevel="0" collapsed="false">
      <c r="B1807" s="19" t="s">
        <v>15348</v>
      </c>
      <c r="C1807" s="20" t="n">
        <f aca="false">ROUND(5.33/FX,2)</f>
        <v>0.74</v>
      </c>
      <c r="D1807" s="21" t="s">
        <v>15349</v>
      </c>
      <c r="E1807" s="21" t="s">
        <v>13732</v>
      </c>
      <c r="F1807" s="21" t="s">
        <v>15347</v>
      </c>
      <c r="G1807" s="21" t="s">
        <v>14776</v>
      </c>
    </row>
    <row r="1808" customFormat="false" ht="15" hidden="false" customHeight="false" outlineLevel="0" collapsed="false">
      <c r="B1808" s="19" t="s">
        <v>15350</v>
      </c>
      <c r="C1808" s="20" t="n">
        <f aca="false">ROUND(9.1/FX,2)</f>
        <v>1.26</v>
      </c>
      <c r="D1808" s="21" t="s">
        <v>15351</v>
      </c>
      <c r="E1808" s="21" t="s">
        <v>13732</v>
      </c>
      <c r="F1808" s="21" t="s">
        <v>15347</v>
      </c>
      <c r="G1808" s="21" t="s">
        <v>14787</v>
      </c>
    </row>
    <row r="1809" customFormat="false" ht="15" hidden="false" customHeight="false" outlineLevel="0" collapsed="false">
      <c r="B1809" s="19" t="s">
        <v>15352</v>
      </c>
      <c r="C1809" s="20" t="n">
        <f aca="false">ROUND(9.1/FX,2)</f>
        <v>1.26</v>
      </c>
      <c r="D1809" s="21" t="s">
        <v>15353</v>
      </c>
      <c r="E1809" s="21" t="s">
        <v>13732</v>
      </c>
      <c r="F1809" s="21" t="s">
        <v>15347</v>
      </c>
      <c r="G1809" s="21" t="s">
        <v>14783</v>
      </c>
    </row>
    <row r="1810" customFormat="false" ht="15" hidden="false" customHeight="false" outlineLevel="0" collapsed="false">
      <c r="B1810" s="19" t="s">
        <v>15354</v>
      </c>
      <c r="C1810" s="20" t="n">
        <f aca="false">ROUND(13/FX,2)</f>
        <v>1.81</v>
      </c>
      <c r="D1810" s="21" t="s">
        <v>15355</v>
      </c>
      <c r="E1810" s="21" t="s">
        <v>13732</v>
      </c>
      <c r="F1810" s="21" t="s">
        <v>15347</v>
      </c>
      <c r="G1810" s="21" t="s">
        <v>14792</v>
      </c>
    </row>
    <row r="1811" customFormat="false" ht="15" hidden="false" customHeight="false" outlineLevel="0" collapsed="false">
      <c r="B1811" s="19" t="s">
        <v>15356</v>
      </c>
      <c r="C1811" s="20" t="n">
        <f aca="false">ROUND(13/FX,2)</f>
        <v>1.81</v>
      </c>
      <c r="D1811" s="21" t="s">
        <v>15357</v>
      </c>
      <c r="E1811" s="21" t="s">
        <v>13732</v>
      </c>
      <c r="F1811" s="21" t="s">
        <v>15347</v>
      </c>
      <c r="G1811" s="21" t="s">
        <v>14790</v>
      </c>
    </row>
    <row r="1812" customFormat="false" ht="15" hidden="false" customHeight="false" outlineLevel="0" collapsed="false">
      <c r="B1812" s="19" t="s">
        <v>15358</v>
      </c>
      <c r="C1812" s="20" t="n">
        <f aca="false">ROUND(16.9/FX,2)</f>
        <v>2.35</v>
      </c>
      <c r="D1812" s="21" t="s">
        <v>15359</v>
      </c>
      <c r="E1812" s="21" t="s">
        <v>13732</v>
      </c>
      <c r="F1812" s="21" t="s">
        <v>15347</v>
      </c>
      <c r="G1812" s="21" t="s">
        <v>14797</v>
      </c>
    </row>
    <row r="1813" customFormat="false" ht="15" hidden="false" customHeight="false" outlineLevel="0" collapsed="false">
      <c r="B1813" s="19" t="s">
        <v>15360</v>
      </c>
      <c r="C1813" s="20" t="n">
        <f aca="false">ROUND(16.9/FX,2)</f>
        <v>2.35</v>
      </c>
      <c r="D1813" s="21" t="s">
        <v>15361</v>
      </c>
      <c r="E1813" s="21" t="s">
        <v>13732</v>
      </c>
      <c r="F1813" s="21" t="s">
        <v>15347</v>
      </c>
      <c r="G1813" s="21" t="s">
        <v>14795</v>
      </c>
    </row>
    <row r="1814" customFormat="false" ht="15" hidden="false" customHeight="false" outlineLevel="0" collapsed="false">
      <c r="B1814" s="19" t="s">
        <v>15362</v>
      </c>
      <c r="C1814" s="20" t="n">
        <f aca="false">ROUND(36.4/FX,2)</f>
        <v>5.06</v>
      </c>
      <c r="D1814" s="21" t="s">
        <v>15363</v>
      </c>
      <c r="E1814" s="21" t="s">
        <v>13732</v>
      </c>
      <c r="F1814" s="21" t="s">
        <v>15347</v>
      </c>
      <c r="G1814" s="21" t="s">
        <v>14800</v>
      </c>
    </row>
    <row r="1815" customFormat="false" ht="15" hidden="false" customHeight="false" outlineLevel="0" collapsed="false">
      <c r="B1815" s="19" t="s">
        <v>15364</v>
      </c>
      <c r="C1815" s="20" t="n">
        <f aca="false">ROUND(37.7/FX,2)</f>
        <v>5.24</v>
      </c>
      <c r="D1815" s="21" t="s">
        <v>15365</v>
      </c>
      <c r="E1815" s="21" t="s">
        <v>13732</v>
      </c>
      <c r="F1815" s="21" t="s">
        <v>15347</v>
      </c>
      <c r="G1815" s="21" t="s">
        <v>14803</v>
      </c>
    </row>
    <row r="1816" customFormat="false" ht="15" hidden="false" customHeight="false" outlineLevel="0" collapsed="false">
      <c r="B1816" s="19" t="s">
        <v>15366</v>
      </c>
      <c r="C1816" s="20" t="n">
        <f aca="false">ROUND(67.6/FX,2)</f>
        <v>9.39</v>
      </c>
      <c r="D1816" s="21" t="s">
        <v>15367</v>
      </c>
      <c r="E1816" s="21" t="s">
        <v>13732</v>
      </c>
      <c r="F1816" s="21" t="s">
        <v>15347</v>
      </c>
      <c r="G1816" s="21" t="s">
        <v>14811</v>
      </c>
    </row>
    <row r="1817" customFormat="false" ht="15" hidden="false" customHeight="false" outlineLevel="0" collapsed="false">
      <c r="B1817" s="19" t="s">
        <v>15368</v>
      </c>
      <c r="C1817" s="20" t="n">
        <f aca="false">ROUND(3.25/FX,2)</f>
        <v>0.45</v>
      </c>
      <c r="D1817" s="21" t="s">
        <v>15369</v>
      </c>
      <c r="E1817" s="21" t="s">
        <v>13732</v>
      </c>
      <c r="F1817" s="21" t="s">
        <v>15347</v>
      </c>
      <c r="G1817" s="21" t="s">
        <v>14826</v>
      </c>
    </row>
    <row r="1818" customFormat="false" ht="15" hidden="false" customHeight="false" outlineLevel="0" collapsed="false">
      <c r="B1818" s="19" t="s">
        <v>15370</v>
      </c>
      <c r="C1818" s="20" t="n">
        <f aca="false">ROUND(2.99/FX,2)</f>
        <v>0.42</v>
      </c>
      <c r="D1818" s="21" t="s">
        <v>15371</v>
      </c>
      <c r="E1818" s="21" t="s">
        <v>13732</v>
      </c>
      <c r="F1818" s="21" t="s">
        <v>15347</v>
      </c>
      <c r="G1818" s="21" t="s">
        <v>14829</v>
      </c>
    </row>
    <row r="1819" customFormat="false" ht="15" hidden="false" customHeight="false" outlineLevel="0" collapsed="false">
      <c r="B1819" s="19" t="s">
        <v>15372</v>
      </c>
      <c r="C1819" s="20" t="n">
        <f aca="false">ROUND(4.55/FX,2)</f>
        <v>0.63</v>
      </c>
      <c r="D1819" s="21" t="s">
        <v>15373</v>
      </c>
      <c r="E1819" s="21" t="s">
        <v>13732</v>
      </c>
      <c r="F1819" s="21" t="s">
        <v>15347</v>
      </c>
      <c r="G1819" s="21" t="s">
        <v>14832</v>
      </c>
    </row>
    <row r="1822" customFormat="false" ht="61.5" hidden="false" customHeight="true" outlineLevel="0" collapsed="false">
      <c r="A1822" s="9"/>
      <c r="B1822" s="10" t="s">
        <v>15374</v>
      </c>
      <c r="C1822" s="10"/>
      <c r="D1822" s="10"/>
    </row>
    <row r="1823" customFormat="false" ht="15" hidden="false" customHeight="false" outlineLevel="0" collapsed="false">
      <c r="A1823" s="12" t="s">
        <v>700</v>
      </c>
      <c r="B1823" s="13" t="s">
        <v>701</v>
      </c>
      <c r="C1823" s="13" t="s">
        <v>702</v>
      </c>
      <c r="D1823" s="13" t="s">
        <v>723</v>
      </c>
    </row>
    <row r="1824" customFormat="false" ht="30" hidden="false" customHeight="true" outlineLevel="0" collapsed="false">
      <c r="A1824" s="14" t="s">
        <v>706</v>
      </c>
      <c r="B1824" s="15" t="str">
        <f aca="false">IF(COUNTIFS($D$1827:$D$1828,IF(D1824="","*",D1824))=1,INDEX($B:$B,SUMPRODUCT(((D1824="")+($D$1827:$D$1828=D1824)&gt;0)*ROW($B$1827:$B$1828))),IF(COUNTIFS($D$1827:$D$1828,IF(D1824="","*",D1824))=0,"Not available",COUNTIFS($D$1827:$D$1828,IF(D1824="","*",D1824))&amp;" match, keep choosing"))</f>
        <v>RL-048-GE4C</v>
      </c>
      <c r="C1824" s="16" t="n">
        <f aca="false">IF(COUNTIFS($D$1827:$D$1828,IF(D1824="","*",D1824))=1,INDEX($C:$C,SUMPRODUCT(((D1824="")+($D$1827:$D$1828=D1824)&gt;0)*ROW($B$1827:$B$1828))),"")</f>
        <v>0.63</v>
      </c>
      <c r="D1824" s="17" t="s">
        <v>15375</v>
      </c>
    </row>
    <row r="1826" customFormat="false" ht="15" hidden="false" customHeight="false" outlineLevel="0" collapsed="false">
      <c r="B1826" s="18" t="s">
        <v>701</v>
      </c>
      <c r="C1826" s="18" t="s">
        <v>702</v>
      </c>
      <c r="D1826" s="18" t="s">
        <v>723</v>
      </c>
    </row>
    <row r="1827" customFormat="false" ht="15" hidden="false" customHeight="false" outlineLevel="0" collapsed="false">
      <c r="B1827" s="19" t="s">
        <v>15376</v>
      </c>
      <c r="C1827" s="20" t="n">
        <f aca="false">ROUND(4.55/FX,2)</f>
        <v>0.63</v>
      </c>
      <c r="D1827" s="21" t="s">
        <v>15375</v>
      </c>
    </row>
    <row r="1828" customFormat="false" ht="15" hidden="false" customHeight="false" outlineLevel="0" collapsed="false">
      <c r="B1828" s="19" t="s">
        <v>15377</v>
      </c>
      <c r="C1828" s="20" t="n">
        <f aca="false">ROUND(4.55/FX,2)</f>
        <v>0.63</v>
      </c>
      <c r="D1828" s="21" t="s">
        <v>15378</v>
      </c>
    </row>
    <row r="1831" customFormat="false" ht="61.5" hidden="false" customHeight="true" outlineLevel="0" collapsed="false">
      <c r="A1831" s="9"/>
      <c r="B1831" s="10" t="s">
        <v>15379</v>
      </c>
      <c r="C1831" s="10"/>
      <c r="D1831" s="10"/>
      <c r="E1831" s="10"/>
      <c r="F1831" s="10"/>
      <c r="G1831" s="10"/>
    </row>
    <row r="1832" customFormat="false" ht="15" hidden="false" customHeight="false" outlineLevel="0" collapsed="false">
      <c r="A1832" s="12" t="s">
        <v>700</v>
      </c>
      <c r="B1832" s="13" t="s">
        <v>701</v>
      </c>
      <c r="C1832" s="13" t="s">
        <v>702</v>
      </c>
      <c r="D1832" s="13" t="s">
        <v>722</v>
      </c>
      <c r="E1832" s="13" t="s">
        <v>6523</v>
      </c>
      <c r="F1832" s="13" t="s">
        <v>15380</v>
      </c>
      <c r="G1832" s="13" t="s">
        <v>15381</v>
      </c>
    </row>
    <row r="1833" customFormat="false" ht="30" hidden="false" customHeight="true" outlineLevel="0" collapsed="false">
      <c r="A1833" s="14" t="s">
        <v>706</v>
      </c>
      <c r="B1833" s="15" t="str">
        <f aca="false">IF(COUNTIFS($D$1836:$D$1884,IF(D1833="","*",D1833),$E$1836:$E$1884,IF(E1833="","*",E1833),$F$1836:$F$1884,IF(F1833="","*",F1833),$G$1836:$G$1884,IF(G1833="","*",G1833))=1,INDEX($B:$B,SUMPRODUCT(((D1833="")+($D$1836:$D$1884=D1833)&gt;0)*((E1833="")+($E$1836:$E$1884=E1833)&gt;0)*((F1833="")+($F$1836:$F$1884=F1833)&gt;0)*((G1833="")+($G$1836:$G$1884=G1833)&gt;0)*ROW($B$1836:$B$1884))),IF(COUNTIFS($D$1836:$D$1884,IF(D1833="","*",D1833),$E$1836:$E$1884,IF(E1833="","*",E1833),$F$1836:$F$1884,IF(F1833="","*",F1833),$G$1836:$G$1884,IF(G1833="","*",G1833))=0,"Not available",COUNTIFS($D$1836:$D$1884,IF(D1833="","*",D1833),$E$1836:$E$1884,IF(E1833="","*",E1833),$F$1836:$F$1884,IF(F1833="","*",F1833),$G$1836:$G$1884,IF(G1833="","*",G1833))&amp;" match, keep choosing"))</f>
        <v>PW-A-BK-5x18.6x5-ZZ</v>
      </c>
      <c r="C1833" s="16" t="n">
        <f aca="false">IF(COUNTIFS($D$1836:$D$1884,IF(D1833="","*",D1833),$E$1836:$E$1884,IF(E1833="","*",E1833),$F$1836:$F$1884,IF(F1833="","*",F1833),$G$1836:$G$1884,IF(G1833="","*",G1833))=1,INDEX($C:$C,SUMPRODUCT(((D1833="")+($D$1836:$D$1884=D1833)&gt;0)*((E1833="")+($E$1836:$E$1884=E1833)&gt;0)*((F1833="")+($F$1836:$F$1884=F1833)&gt;0)*((G1833="")+($G$1836:$G$1884=G1833)&gt;0)*ROW($B$1836:$B$1884))),"")</f>
        <v>0.14</v>
      </c>
      <c r="D1833" s="17" t="s">
        <v>724</v>
      </c>
      <c r="E1833" s="17" t="s">
        <v>15382</v>
      </c>
      <c r="F1833" s="17" t="s">
        <v>15383</v>
      </c>
      <c r="G1833" s="17" t="s">
        <v>15384</v>
      </c>
    </row>
    <row r="1835" customFormat="false" ht="15" hidden="false" customHeight="false" outlineLevel="0" collapsed="false">
      <c r="B1835" s="18" t="s">
        <v>701</v>
      </c>
      <c r="C1835" s="18" t="s">
        <v>702</v>
      </c>
      <c r="D1835" s="18" t="s">
        <v>722</v>
      </c>
      <c r="E1835" s="18" t="s">
        <v>6523</v>
      </c>
      <c r="F1835" s="18" t="s">
        <v>15380</v>
      </c>
      <c r="G1835" s="18" t="s">
        <v>15381</v>
      </c>
    </row>
    <row r="1836" customFormat="false" ht="15" hidden="false" customHeight="false" outlineLevel="0" collapsed="false">
      <c r="B1836" s="19" t="s">
        <v>15385</v>
      </c>
      <c r="C1836" s="20" t="n">
        <f aca="false">ROUND(1/FX,2)</f>
        <v>0.14</v>
      </c>
      <c r="D1836" s="21" t="s">
        <v>724</v>
      </c>
      <c r="E1836" s="21" t="s">
        <v>15382</v>
      </c>
      <c r="F1836" s="21" t="s">
        <v>15383</v>
      </c>
      <c r="G1836" s="21" t="s">
        <v>15384</v>
      </c>
    </row>
    <row r="1837" customFormat="false" ht="15" hidden="false" customHeight="false" outlineLevel="0" collapsed="false">
      <c r="B1837" s="19" t="s">
        <v>15386</v>
      </c>
      <c r="C1837" s="20" t="n">
        <f aca="false">ROUND(0.52/FX,2)</f>
        <v>0.07</v>
      </c>
      <c r="D1837" s="21" t="s">
        <v>724</v>
      </c>
      <c r="E1837" s="21" t="s">
        <v>15387</v>
      </c>
      <c r="F1837" s="21" t="s">
        <v>15383</v>
      </c>
      <c r="G1837" s="21" t="s">
        <v>15384</v>
      </c>
    </row>
    <row r="1838" customFormat="false" ht="15" hidden="false" customHeight="false" outlineLevel="0" collapsed="false">
      <c r="B1838" s="19" t="s">
        <v>15388</v>
      </c>
      <c r="C1838" s="20" t="n">
        <f aca="false">ROUND(0.72/FX,2)</f>
        <v>0.1</v>
      </c>
      <c r="D1838" s="21" t="s">
        <v>724</v>
      </c>
      <c r="E1838" s="21" t="s">
        <v>15389</v>
      </c>
      <c r="F1838" s="21" t="s">
        <v>15383</v>
      </c>
      <c r="G1838" s="21" t="s">
        <v>15384</v>
      </c>
    </row>
    <row r="1839" customFormat="false" ht="15" hidden="false" customHeight="false" outlineLevel="0" collapsed="false">
      <c r="B1839" s="19" t="s">
        <v>15390</v>
      </c>
      <c r="C1839" s="20" t="n">
        <f aca="false">ROUND(1/FX,2)</f>
        <v>0.14</v>
      </c>
      <c r="D1839" s="21" t="s">
        <v>724</v>
      </c>
      <c r="E1839" s="21" t="s">
        <v>15391</v>
      </c>
      <c r="F1839" s="21" t="s">
        <v>15383</v>
      </c>
      <c r="G1839" s="21" t="s">
        <v>15384</v>
      </c>
    </row>
    <row r="1840" customFormat="false" ht="15" hidden="false" customHeight="false" outlineLevel="0" collapsed="false">
      <c r="B1840" s="19" t="s">
        <v>15392</v>
      </c>
      <c r="C1840" s="20" t="n">
        <f aca="false">ROUND(0.72/FX,2)</f>
        <v>0.1</v>
      </c>
      <c r="D1840" s="21" t="s">
        <v>724</v>
      </c>
      <c r="E1840" s="21" t="s">
        <v>15393</v>
      </c>
      <c r="F1840" s="21" t="s">
        <v>15383</v>
      </c>
      <c r="G1840" s="21" t="s">
        <v>15384</v>
      </c>
    </row>
    <row r="1841" customFormat="false" ht="15" hidden="false" customHeight="false" outlineLevel="0" collapsed="false">
      <c r="B1841" s="19" t="s">
        <v>15394</v>
      </c>
      <c r="C1841" s="20" t="n">
        <f aca="false">ROUND(3.4/FX,2)</f>
        <v>0.47</v>
      </c>
      <c r="D1841" s="21" t="s">
        <v>724</v>
      </c>
      <c r="E1841" s="21" t="s">
        <v>15395</v>
      </c>
      <c r="F1841" s="21" t="s">
        <v>15383</v>
      </c>
      <c r="G1841" s="21" t="s">
        <v>15384</v>
      </c>
    </row>
    <row r="1842" customFormat="false" ht="15" hidden="false" customHeight="false" outlineLevel="0" collapsed="false">
      <c r="B1842" s="19" t="s">
        <v>15396</v>
      </c>
      <c r="C1842" s="20" t="n">
        <f aca="false">ROUND(2.47/FX,2)</f>
        <v>0.34</v>
      </c>
      <c r="D1842" s="21" t="s">
        <v>724</v>
      </c>
      <c r="E1842" s="21" t="s">
        <v>15397</v>
      </c>
      <c r="F1842" s="21" t="s">
        <v>15383</v>
      </c>
      <c r="G1842" s="21" t="s">
        <v>15384</v>
      </c>
    </row>
    <row r="1843" customFormat="false" ht="15" hidden="false" customHeight="false" outlineLevel="0" collapsed="false">
      <c r="B1843" s="19" t="s">
        <v>15398</v>
      </c>
      <c r="C1843" s="20" t="n">
        <f aca="false">ROUND(3.51/FX,2)</f>
        <v>0.49</v>
      </c>
      <c r="D1843" s="21" t="s">
        <v>724</v>
      </c>
      <c r="E1843" s="21" t="s">
        <v>15399</v>
      </c>
      <c r="F1843" s="21" t="s">
        <v>15383</v>
      </c>
      <c r="G1843" s="21" t="s">
        <v>15384</v>
      </c>
    </row>
    <row r="1844" customFormat="false" ht="15" hidden="false" customHeight="false" outlineLevel="0" collapsed="false">
      <c r="B1844" s="19" t="s">
        <v>15400</v>
      </c>
      <c r="C1844" s="20" t="n">
        <f aca="false">ROUND(0.65/FX,2)</f>
        <v>0.09</v>
      </c>
      <c r="D1844" s="21" t="s">
        <v>724</v>
      </c>
      <c r="E1844" s="21" t="s">
        <v>15401</v>
      </c>
      <c r="F1844" s="21" t="s">
        <v>15383</v>
      </c>
      <c r="G1844" s="21" t="s">
        <v>15384</v>
      </c>
    </row>
    <row r="1845" customFormat="false" ht="15" hidden="false" customHeight="false" outlineLevel="0" collapsed="false">
      <c r="B1845" s="19" t="s">
        <v>15402</v>
      </c>
      <c r="C1845" s="20" t="n">
        <f aca="false">ROUND(0.65/FX,2)</f>
        <v>0.09</v>
      </c>
      <c r="D1845" s="21" t="s">
        <v>724</v>
      </c>
      <c r="E1845" s="21" t="s">
        <v>15403</v>
      </c>
      <c r="F1845" s="21" t="s">
        <v>15383</v>
      </c>
      <c r="G1845" s="21" t="s">
        <v>15384</v>
      </c>
    </row>
    <row r="1846" customFormat="false" ht="15" hidden="false" customHeight="false" outlineLevel="0" collapsed="false">
      <c r="B1846" s="19" t="s">
        <v>15404</v>
      </c>
      <c r="C1846" s="20" t="n">
        <f aca="false">ROUND(1/FX,2)</f>
        <v>0.14</v>
      </c>
      <c r="D1846" s="21" t="s">
        <v>6369</v>
      </c>
      <c r="E1846" s="21" t="s">
        <v>15405</v>
      </c>
      <c r="F1846" s="21" t="s">
        <v>15383</v>
      </c>
      <c r="G1846" s="21" t="s">
        <v>15384</v>
      </c>
    </row>
    <row r="1847" customFormat="false" ht="15" hidden="false" customHeight="false" outlineLevel="0" collapsed="false">
      <c r="B1847" s="19" t="s">
        <v>15406</v>
      </c>
      <c r="C1847" s="20" t="n">
        <f aca="false">ROUND(0.39/FX,2)</f>
        <v>0.05</v>
      </c>
      <c r="D1847" s="21" t="s">
        <v>751</v>
      </c>
      <c r="E1847" s="21" t="s">
        <v>15407</v>
      </c>
      <c r="F1847" s="21" t="s">
        <v>15383</v>
      </c>
      <c r="G1847" s="21" t="s">
        <v>15384</v>
      </c>
    </row>
    <row r="1848" customFormat="false" ht="15" hidden="false" customHeight="false" outlineLevel="0" collapsed="false">
      <c r="B1848" s="19" t="s">
        <v>15408</v>
      </c>
      <c r="C1848" s="20" t="n">
        <f aca="false">ROUND(0.6/FX,2)</f>
        <v>0.08</v>
      </c>
      <c r="D1848" s="21" t="s">
        <v>751</v>
      </c>
      <c r="E1848" s="21" t="s">
        <v>15409</v>
      </c>
      <c r="F1848" s="21" t="s">
        <v>15383</v>
      </c>
      <c r="G1848" s="21" t="s">
        <v>15384</v>
      </c>
    </row>
    <row r="1849" customFormat="false" ht="15" hidden="false" customHeight="false" outlineLevel="0" collapsed="false">
      <c r="B1849" s="19" t="s">
        <v>15410</v>
      </c>
      <c r="C1849" s="20" t="n">
        <f aca="false">ROUND(0.52/FX,2)</f>
        <v>0.07</v>
      </c>
      <c r="D1849" s="21" t="s">
        <v>751</v>
      </c>
      <c r="E1849" s="21" t="s">
        <v>15411</v>
      </c>
      <c r="F1849" s="21" t="s">
        <v>15383</v>
      </c>
      <c r="G1849" s="21" t="s">
        <v>15384</v>
      </c>
    </row>
    <row r="1850" customFormat="false" ht="15" hidden="false" customHeight="false" outlineLevel="0" collapsed="false">
      <c r="B1850" s="19" t="s">
        <v>15412</v>
      </c>
      <c r="C1850" s="20" t="n">
        <f aca="false">ROUND(1/FX,2)</f>
        <v>0.14</v>
      </c>
      <c r="D1850" s="21" t="s">
        <v>751</v>
      </c>
      <c r="E1850" s="21" t="s">
        <v>15413</v>
      </c>
      <c r="F1850" s="21" t="s">
        <v>15383</v>
      </c>
      <c r="G1850" s="21" t="s">
        <v>15384</v>
      </c>
    </row>
    <row r="1851" customFormat="false" ht="15" hidden="false" customHeight="false" outlineLevel="0" collapsed="false">
      <c r="B1851" s="19" t="s">
        <v>15414</v>
      </c>
      <c r="C1851" s="20" t="n">
        <f aca="false">ROUND(0.52/FX,2)</f>
        <v>0.07</v>
      </c>
      <c r="D1851" s="21" t="s">
        <v>751</v>
      </c>
      <c r="E1851" s="21" t="s">
        <v>15387</v>
      </c>
      <c r="F1851" s="21" t="s">
        <v>15383</v>
      </c>
      <c r="G1851" s="21" t="s">
        <v>15384</v>
      </c>
    </row>
    <row r="1852" customFormat="false" ht="15" hidden="false" customHeight="false" outlineLevel="0" collapsed="false">
      <c r="B1852" s="19" t="s">
        <v>15415</v>
      </c>
      <c r="C1852" s="20" t="n">
        <f aca="false">ROUND(0.46/FX,2)</f>
        <v>0.06</v>
      </c>
      <c r="D1852" s="21" t="s">
        <v>751</v>
      </c>
      <c r="E1852" s="21" t="s">
        <v>15416</v>
      </c>
      <c r="F1852" s="21" t="s">
        <v>15383</v>
      </c>
      <c r="G1852" s="21" t="s">
        <v>15384</v>
      </c>
    </row>
    <row r="1853" customFormat="false" ht="15" hidden="false" customHeight="false" outlineLevel="0" collapsed="false">
      <c r="B1853" s="19" t="s">
        <v>15417</v>
      </c>
      <c r="C1853" s="20" t="n">
        <f aca="false">ROUND(0.72/FX,2)</f>
        <v>0.1</v>
      </c>
      <c r="D1853" s="21" t="s">
        <v>751</v>
      </c>
      <c r="E1853" s="21" t="s">
        <v>15389</v>
      </c>
      <c r="F1853" s="21" t="s">
        <v>15383</v>
      </c>
      <c r="G1853" s="21" t="s">
        <v>15384</v>
      </c>
    </row>
    <row r="1854" customFormat="false" ht="15" hidden="false" customHeight="false" outlineLevel="0" collapsed="false">
      <c r="B1854" s="19" t="s">
        <v>15418</v>
      </c>
      <c r="C1854" s="20" t="n">
        <f aca="false">ROUND(1/FX,2)</f>
        <v>0.14</v>
      </c>
      <c r="D1854" s="21" t="s">
        <v>751</v>
      </c>
      <c r="E1854" s="21" t="s">
        <v>15391</v>
      </c>
      <c r="F1854" s="21" t="s">
        <v>15383</v>
      </c>
      <c r="G1854" s="21" t="s">
        <v>15384</v>
      </c>
    </row>
    <row r="1855" customFormat="false" ht="15" hidden="false" customHeight="false" outlineLevel="0" collapsed="false">
      <c r="B1855" s="19" t="s">
        <v>15419</v>
      </c>
      <c r="C1855" s="20" t="n">
        <f aca="false">ROUND(0.72/FX,2)</f>
        <v>0.1</v>
      </c>
      <c r="D1855" s="21" t="s">
        <v>751</v>
      </c>
      <c r="E1855" s="21" t="s">
        <v>15393</v>
      </c>
      <c r="F1855" s="21" t="s">
        <v>15383</v>
      </c>
      <c r="G1855" s="21" t="s">
        <v>15384</v>
      </c>
    </row>
    <row r="1856" customFormat="false" ht="15" hidden="false" customHeight="false" outlineLevel="0" collapsed="false">
      <c r="B1856" s="19" t="s">
        <v>15420</v>
      </c>
      <c r="C1856" s="20" t="n">
        <f aca="false">ROUND(0.46/FX,2)</f>
        <v>0.06</v>
      </c>
      <c r="D1856" s="21" t="s">
        <v>751</v>
      </c>
      <c r="E1856" s="21" t="s">
        <v>15421</v>
      </c>
      <c r="F1856" s="21" t="s">
        <v>15383</v>
      </c>
      <c r="G1856" s="21" t="s">
        <v>15384</v>
      </c>
    </row>
    <row r="1857" customFormat="false" ht="28.35" hidden="false" customHeight="false" outlineLevel="0" collapsed="false">
      <c r="B1857" s="19" t="s">
        <v>15422</v>
      </c>
      <c r="C1857" s="20" t="n">
        <f aca="false">ROUND(0.39/FX,2)</f>
        <v>0.05</v>
      </c>
      <c r="D1857" s="21" t="s">
        <v>751</v>
      </c>
      <c r="E1857" s="21" t="s">
        <v>15423</v>
      </c>
      <c r="F1857" s="21" t="s">
        <v>15383</v>
      </c>
      <c r="G1857" s="21" t="s">
        <v>15424</v>
      </c>
    </row>
    <row r="1858" customFormat="false" ht="15" hidden="false" customHeight="false" outlineLevel="0" collapsed="false">
      <c r="B1858" s="19" t="s">
        <v>15425</v>
      </c>
      <c r="C1858" s="20" t="n">
        <f aca="false">ROUND(0.39/FX,2)</f>
        <v>0.05</v>
      </c>
      <c r="D1858" s="21" t="s">
        <v>751</v>
      </c>
      <c r="E1858" s="21" t="s">
        <v>15423</v>
      </c>
      <c r="F1858" s="21" t="s">
        <v>15383</v>
      </c>
      <c r="G1858" s="21" t="s">
        <v>15384</v>
      </c>
    </row>
    <row r="1859" customFormat="false" ht="15" hidden="false" customHeight="false" outlineLevel="0" collapsed="false">
      <c r="B1859" s="19" t="s">
        <v>15426</v>
      </c>
      <c r="C1859" s="20" t="n">
        <f aca="false">ROUND(0.46/FX,2)</f>
        <v>0.06</v>
      </c>
      <c r="D1859" s="21" t="s">
        <v>751</v>
      </c>
      <c r="E1859" s="21" t="s">
        <v>15427</v>
      </c>
      <c r="F1859" s="21" t="s">
        <v>15383</v>
      </c>
      <c r="G1859" s="21" t="s">
        <v>15384</v>
      </c>
    </row>
    <row r="1860" customFormat="false" ht="15" hidden="false" customHeight="false" outlineLevel="0" collapsed="false">
      <c r="B1860" s="19" t="s">
        <v>15428</v>
      </c>
      <c r="C1860" s="20" t="n">
        <f aca="false">ROUND(1/FX,2)</f>
        <v>0.14</v>
      </c>
      <c r="D1860" s="21" t="s">
        <v>751</v>
      </c>
      <c r="E1860" s="21" t="s">
        <v>15429</v>
      </c>
      <c r="F1860" s="21" t="s">
        <v>15383</v>
      </c>
      <c r="G1860" s="21" t="s">
        <v>15384</v>
      </c>
    </row>
    <row r="1861" customFormat="false" ht="15" hidden="false" customHeight="false" outlineLevel="0" collapsed="false">
      <c r="B1861" s="19" t="s">
        <v>15430</v>
      </c>
      <c r="C1861" s="20" t="n">
        <f aca="false">ROUND(0.61/FX,2)</f>
        <v>0.08</v>
      </c>
      <c r="D1861" s="21" t="s">
        <v>751</v>
      </c>
      <c r="E1861" s="21" t="s">
        <v>15431</v>
      </c>
      <c r="F1861" s="21" t="s">
        <v>15383</v>
      </c>
      <c r="G1861" s="21" t="s">
        <v>15384</v>
      </c>
    </row>
    <row r="1862" customFormat="false" ht="15" hidden="false" customHeight="false" outlineLevel="0" collapsed="false">
      <c r="B1862" s="19" t="s">
        <v>15432</v>
      </c>
      <c r="C1862" s="20" t="n">
        <f aca="false">ROUND(0.52/FX,2)</f>
        <v>0.07</v>
      </c>
      <c r="D1862" s="21" t="s">
        <v>751</v>
      </c>
      <c r="E1862" s="21" t="s">
        <v>15433</v>
      </c>
      <c r="F1862" s="21" t="s">
        <v>15383</v>
      </c>
      <c r="G1862" s="21" t="s">
        <v>15384</v>
      </c>
    </row>
    <row r="1863" customFormat="false" ht="15" hidden="false" customHeight="false" outlineLevel="0" collapsed="false">
      <c r="B1863" s="19" t="s">
        <v>15434</v>
      </c>
      <c r="C1863" s="20" t="n">
        <f aca="false">ROUND(0.46/FX,2)</f>
        <v>0.06</v>
      </c>
      <c r="D1863" s="21" t="s">
        <v>751</v>
      </c>
      <c r="E1863" s="21" t="s">
        <v>15435</v>
      </c>
      <c r="F1863" s="21" t="s">
        <v>15383</v>
      </c>
      <c r="G1863" s="21" t="s">
        <v>15384</v>
      </c>
    </row>
    <row r="1864" customFormat="false" ht="15" hidden="false" customHeight="false" outlineLevel="0" collapsed="false">
      <c r="B1864" s="19" t="s">
        <v>15436</v>
      </c>
      <c r="C1864" s="20" t="n">
        <f aca="false">ROUND(0.65/FX,2)</f>
        <v>0.09</v>
      </c>
      <c r="D1864" s="21" t="s">
        <v>751</v>
      </c>
      <c r="E1864" s="21" t="s">
        <v>15437</v>
      </c>
      <c r="F1864" s="21" t="s">
        <v>15383</v>
      </c>
      <c r="G1864" s="21" t="s">
        <v>15384</v>
      </c>
    </row>
    <row r="1865" customFormat="false" ht="15" hidden="false" customHeight="false" outlineLevel="0" collapsed="false">
      <c r="B1865" s="19" t="s">
        <v>15438</v>
      </c>
      <c r="C1865" s="20" t="n">
        <f aca="false">ROUND(3.4/FX,2)</f>
        <v>0.47</v>
      </c>
      <c r="D1865" s="21" t="s">
        <v>751</v>
      </c>
      <c r="E1865" s="21" t="s">
        <v>15395</v>
      </c>
      <c r="F1865" s="21" t="s">
        <v>15383</v>
      </c>
      <c r="G1865" s="21" t="s">
        <v>15384</v>
      </c>
    </row>
    <row r="1866" customFormat="false" ht="15" hidden="false" customHeight="false" outlineLevel="0" collapsed="false">
      <c r="B1866" s="19" t="s">
        <v>15439</v>
      </c>
      <c r="C1866" s="20" t="n">
        <f aca="false">ROUND(1.5/FX,2)</f>
        <v>0.21</v>
      </c>
      <c r="D1866" s="21" t="s">
        <v>751</v>
      </c>
      <c r="E1866" s="21" t="s">
        <v>15440</v>
      </c>
      <c r="F1866" s="21" t="s">
        <v>15383</v>
      </c>
      <c r="G1866" s="21" t="s">
        <v>15384</v>
      </c>
    </row>
    <row r="1867" customFormat="false" ht="15" hidden="false" customHeight="false" outlineLevel="0" collapsed="false">
      <c r="B1867" s="19" t="s">
        <v>15441</v>
      </c>
      <c r="C1867" s="20" t="n">
        <f aca="false">ROUND(1.04/FX,2)</f>
        <v>0.14</v>
      </c>
      <c r="D1867" s="21" t="s">
        <v>751</v>
      </c>
      <c r="E1867" s="21" t="s">
        <v>15442</v>
      </c>
      <c r="F1867" s="21" t="s">
        <v>15383</v>
      </c>
      <c r="G1867" s="21" t="s">
        <v>15384</v>
      </c>
    </row>
    <row r="1868" customFormat="false" ht="28.35" hidden="false" customHeight="false" outlineLevel="0" collapsed="false">
      <c r="B1868" s="19" t="s">
        <v>15443</v>
      </c>
      <c r="C1868" s="20" t="n">
        <f aca="false">ROUND(1.17/FX,2)</f>
        <v>0.16</v>
      </c>
      <c r="D1868" s="21" t="s">
        <v>751</v>
      </c>
      <c r="E1868" s="21" t="s">
        <v>15444</v>
      </c>
      <c r="F1868" s="21" t="s">
        <v>15383</v>
      </c>
      <c r="G1868" s="21" t="s">
        <v>15424</v>
      </c>
    </row>
    <row r="1869" customFormat="false" ht="15" hidden="false" customHeight="false" outlineLevel="0" collapsed="false">
      <c r="B1869" s="19" t="s">
        <v>15445</v>
      </c>
      <c r="C1869" s="20" t="n">
        <f aca="false">ROUND(3.5/FX,2)</f>
        <v>0.49</v>
      </c>
      <c r="D1869" s="21" t="s">
        <v>751</v>
      </c>
      <c r="E1869" s="21" t="s">
        <v>15446</v>
      </c>
      <c r="F1869" s="21" t="s">
        <v>15383</v>
      </c>
      <c r="G1869" s="21" t="s">
        <v>15384</v>
      </c>
    </row>
    <row r="1870" customFormat="false" ht="15" hidden="false" customHeight="false" outlineLevel="0" collapsed="false">
      <c r="B1870" s="19" t="s">
        <v>15447</v>
      </c>
      <c r="C1870" s="20" t="n">
        <f aca="false">ROUND(3.51/FX,2)</f>
        <v>0.49</v>
      </c>
      <c r="D1870" s="21" t="s">
        <v>751</v>
      </c>
      <c r="E1870" s="21" t="s">
        <v>15399</v>
      </c>
      <c r="F1870" s="21" t="s">
        <v>15383</v>
      </c>
      <c r="G1870" s="21" t="s">
        <v>15384</v>
      </c>
    </row>
    <row r="1871" customFormat="false" ht="15" hidden="false" customHeight="false" outlineLevel="0" collapsed="false">
      <c r="B1871" s="19" t="s">
        <v>15448</v>
      </c>
      <c r="C1871" s="20" t="n">
        <f aca="false">ROUND(0.65/FX,2)</f>
        <v>0.09</v>
      </c>
      <c r="D1871" s="21" t="s">
        <v>751</v>
      </c>
      <c r="E1871" s="21" t="s">
        <v>15449</v>
      </c>
      <c r="F1871" s="21" t="s">
        <v>15383</v>
      </c>
      <c r="G1871" s="21" t="s">
        <v>15384</v>
      </c>
    </row>
    <row r="1872" customFormat="false" ht="15" hidden="false" customHeight="false" outlineLevel="0" collapsed="false">
      <c r="B1872" s="19" t="s">
        <v>15450</v>
      </c>
      <c r="C1872" s="20" t="n">
        <f aca="false">ROUND(0.65/FX,2)</f>
        <v>0.09</v>
      </c>
      <c r="D1872" s="21" t="s">
        <v>751</v>
      </c>
      <c r="E1872" s="21" t="s">
        <v>15401</v>
      </c>
      <c r="F1872" s="21" t="s">
        <v>15383</v>
      </c>
      <c r="G1872" s="21" t="s">
        <v>15384</v>
      </c>
    </row>
    <row r="1873" customFormat="false" ht="15" hidden="false" customHeight="false" outlineLevel="0" collapsed="false">
      <c r="B1873" s="19" t="s">
        <v>15451</v>
      </c>
      <c r="C1873" s="20" t="n">
        <f aca="false">ROUND(1.17/FX,2)</f>
        <v>0.16</v>
      </c>
      <c r="D1873" s="21" t="s">
        <v>751</v>
      </c>
      <c r="E1873" s="21" t="s">
        <v>15452</v>
      </c>
      <c r="F1873" s="21" t="s">
        <v>15383</v>
      </c>
      <c r="G1873" s="21" t="s">
        <v>15384</v>
      </c>
    </row>
    <row r="1874" customFormat="false" ht="15" hidden="false" customHeight="false" outlineLevel="0" collapsed="false">
      <c r="B1874" s="19" t="s">
        <v>15453</v>
      </c>
      <c r="C1874" s="20" t="n">
        <f aca="false">ROUND(1.95/FX,2)</f>
        <v>0.27</v>
      </c>
      <c r="D1874" s="21" t="s">
        <v>751</v>
      </c>
      <c r="E1874" s="21" t="s">
        <v>15454</v>
      </c>
      <c r="F1874" s="21" t="s">
        <v>15383</v>
      </c>
      <c r="G1874" s="21" t="s">
        <v>15384</v>
      </c>
    </row>
    <row r="1875" customFormat="false" ht="15" hidden="false" customHeight="false" outlineLevel="0" collapsed="false">
      <c r="B1875" s="19" t="s">
        <v>15455</v>
      </c>
      <c r="C1875" s="20" t="n">
        <f aca="false">ROUND(2.34/FX,2)</f>
        <v>0.33</v>
      </c>
      <c r="D1875" s="21" t="s">
        <v>751</v>
      </c>
      <c r="E1875" s="21" t="s">
        <v>15456</v>
      </c>
      <c r="F1875" s="21" t="s">
        <v>15457</v>
      </c>
      <c r="G1875" s="21" t="s">
        <v>15458</v>
      </c>
    </row>
    <row r="1876" customFormat="false" ht="15" hidden="false" customHeight="false" outlineLevel="0" collapsed="false">
      <c r="B1876" s="19" t="s">
        <v>15459</v>
      </c>
      <c r="C1876" s="20" t="n">
        <f aca="false">ROUND(0.78/FX,2)</f>
        <v>0.11</v>
      </c>
      <c r="D1876" s="21" t="s">
        <v>751</v>
      </c>
      <c r="E1876" s="21" t="s">
        <v>15460</v>
      </c>
      <c r="F1876" s="21" t="s">
        <v>15457</v>
      </c>
      <c r="G1876" s="21" t="s">
        <v>15458</v>
      </c>
    </row>
    <row r="1877" customFormat="false" ht="15" hidden="false" customHeight="false" outlineLevel="0" collapsed="false">
      <c r="B1877" s="19" t="s">
        <v>15461</v>
      </c>
      <c r="C1877" s="20" t="n">
        <f aca="false">ROUND(0.52/FX,2)</f>
        <v>0.07</v>
      </c>
      <c r="D1877" s="21" t="s">
        <v>751</v>
      </c>
      <c r="E1877" s="21" t="s">
        <v>15431</v>
      </c>
      <c r="F1877" s="21" t="s">
        <v>15457</v>
      </c>
      <c r="G1877" s="21" t="s">
        <v>15458</v>
      </c>
    </row>
    <row r="1878" customFormat="false" ht="15" hidden="false" customHeight="false" outlineLevel="0" collapsed="false">
      <c r="B1878" s="19" t="s">
        <v>15462</v>
      </c>
      <c r="C1878" s="20" t="n">
        <f aca="false">ROUND(0.65/FX,2)</f>
        <v>0.09</v>
      </c>
      <c r="D1878" s="21" t="s">
        <v>751</v>
      </c>
      <c r="E1878" s="21" t="s">
        <v>15463</v>
      </c>
      <c r="F1878" s="21" t="s">
        <v>15457</v>
      </c>
      <c r="G1878" s="21" t="s">
        <v>15458</v>
      </c>
    </row>
    <row r="1879" customFormat="false" ht="15" hidden="false" customHeight="false" outlineLevel="0" collapsed="false">
      <c r="B1879" s="19" t="s">
        <v>15464</v>
      </c>
      <c r="C1879" s="20" t="n">
        <f aca="false">ROUND(2.47/FX,2)</f>
        <v>0.34</v>
      </c>
      <c r="D1879" s="21" t="s">
        <v>724</v>
      </c>
      <c r="E1879" s="21" t="s">
        <v>15465</v>
      </c>
      <c r="F1879" s="21" t="s">
        <v>15466</v>
      </c>
      <c r="G1879" s="21" t="s">
        <v>15458</v>
      </c>
    </row>
    <row r="1880" customFormat="false" ht="15" hidden="false" customHeight="false" outlineLevel="0" collapsed="false">
      <c r="B1880" s="19" t="s">
        <v>15467</v>
      </c>
      <c r="C1880" s="20" t="n">
        <f aca="false">ROUND(1/FX,2)</f>
        <v>0.14</v>
      </c>
      <c r="D1880" s="21" t="s">
        <v>751</v>
      </c>
      <c r="E1880" s="21" t="s">
        <v>15468</v>
      </c>
      <c r="F1880" s="21" t="s">
        <v>15466</v>
      </c>
      <c r="G1880" s="21" t="s">
        <v>15458</v>
      </c>
    </row>
    <row r="1881" customFormat="false" ht="15" hidden="false" customHeight="false" outlineLevel="0" collapsed="false">
      <c r="B1881" s="19" t="s">
        <v>15469</v>
      </c>
      <c r="C1881" s="20" t="n">
        <f aca="false">ROUND(2.6/FX,2)</f>
        <v>0.36</v>
      </c>
      <c r="D1881" s="21" t="s">
        <v>751</v>
      </c>
      <c r="E1881" s="21" t="s">
        <v>15465</v>
      </c>
      <c r="F1881" s="21" t="s">
        <v>15466</v>
      </c>
      <c r="G1881" s="21" t="s">
        <v>15458</v>
      </c>
    </row>
    <row r="1882" customFormat="false" ht="15" hidden="false" customHeight="false" outlineLevel="0" collapsed="false">
      <c r="B1882" s="19" t="s">
        <v>15470</v>
      </c>
      <c r="C1882" s="20" t="n">
        <f aca="false">ROUND(3.12/FX,2)</f>
        <v>0.43</v>
      </c>
      <c r="D1882" s="21" t="s">
        <v>751</v>
      </c>
      <c r="E1882" s="21" t="s">
        <v>15471</v>
      </c>
      <c r="F1882" s="21" t="s">
        <v>15466</v>
      </c>
      <c r="G1882" s="21" t="s">
        <v>15458</v>
      </c>
    </row>
    <row r="1883" customFormat="false" ht="15" hidden="false" customHeight="false" outlineLevel="0" collapsed="false">
      <c r="B1883" s="19" t="s">
        <v>15472</v>
      </c>
      <c r="C1883" s="20" t="n">
        <f aca="false">ROUND(3.25/FX,2)</f>
        <v>0.45</v>
      </c>
      <c r="D1883" s="21" t="s">
        <v>751</v>
      </c>
      <c r="E1883" s="21" t="s">
        <v>15473</v>
      </c>
      <c r="F1883" s="21" t="s">
        <v>15466</v>
      </c>
      <c r="G1883" s="21" t="s">
        <v>15458</v>
      </c>
    </row>
    <row r="1884" customFormat="false" ht="15" hidden="false" customHeight="false" outlineLevel="0" collapsed="false">
      <c r="B1884" s="19" t="s">
        <v>15474</v>
      </c>
      <c r="C1884" s="20" t="n">
        <f aca="false">ROUND(0.89/FX,2)</f>
        <v>0.12</v>
      </c>
      <c r="D1884" s="21" t="s">
        <v>751</v>
      </c>
      <c r="E1884" s="21" t="s">
        <v>15440</v>
      </c>
      <c r="F1884" s="21" t="s">
        <v>15466</v>
      </c>
      <c r="G1884" s="21" t="s">
        <v>15458</v>
      </c>
    </row>
    <row r="1887" customFormat="false" ht="61.5" hidden="false" customHeight="true" outlineLevel="0" collapsed="false">
      <c r="A1887" s="9"/>
      <c r="B1887" s="10" t="s">
        <v>15475</v>
      </c>
      <c r="C1887" s="10"/>
      <c r="D1887" s="10"/>
    </row>
    <row r="1888" customFormat="false" ht="15" hidden="false" customHeight="false" outlineLevel="0" collapsed="false">
      <c r="B1888" s="18" t="s">
        <v>701</v>
      </c>
      <c r="C1888" s="18" t="s">
        <v>702</v>
      </c>
      <c r="D1888" s="18" t="s">
        <v>5610</v>
      </c>
    </row>
    <row r="1889" customFormat="false" ht="15" hidden="false" customHeight="false" outlineLevel="0" collapsed="false">
      <c r="B1889" s="19" t="s">
        <v>15476</v>
      </c>
      <c r="C1889" s="20" t="n">
        <f aca="false">ROUND(0.39/FX,2)</f>
        <v>0.05</v>
      </c>
      <c r="D1889" s="22" t="s">
        <v>5612</v>
      </c>
    </row>
    <row r="1892" customFormat="false" ht="61.5" hidden="false" customHeight="true" outlineLevel="0" collapsed="false">
      <c r="A1892" s="9"/>
      <c r="B1892" s="10" t="s">
        <v>15477</v>
      </c>
      <c r="C1892" s="10"/>
      <c r="D1892" s="10"/>
    </row>
    <row r="1893" customFormat="false" ht="15" hidden="false" customHeight="false" outlineLevel="0" collapsed="false">
      <c r="B1893" s="18" t="s">
        <v>701</v>
      </c>
      <c r="C1893" s="18" t="s">
        <v>702</v>
      </c>
      <c r="D1893" s="18" t="s">
        <v>5610</v>
      </c>
    </row>
    <row r="1894" customFormat="false" ht="15" hidden="false" customHeight="false" outlineLevel="0" collapsed="false">
      <c r="B1894" s="19" t="s">
        <v>15478</v>
      </c>
      <c r="C1894" s="20" t="n">
        <f aca="false">ROUND(24.7/FX,2)</f>
        <v>3.43</v>
      </c>
      <c r="D1894" s="22" t="s">
        <v>5612</v>
      </c>
    </row>
    <row r="1897" customFormat="false" ht="61.5" hidden="false" customHeight="true" outlineLevel="0" collapsed="false">
      <c r="A1897" s="9"/>
      <c r="B1897" s="10" t="s">
        <v>15479</v>
      </c>
      <c r="C1897" s="10"/>
      <c r="D1897" s="10"/>
    </row>
    <row r="1898" customFormat="false" ht="15" hidden="false" customHeight="false" outlineLevel="0" collapsed="false">
      <c r="B1898" s="18" t="s">
        <v>701</v>
      </c>
      <c r="C1898" s="18" t="s">
        <v>702</v>
      </c>
      <c r="D1898" s="18" t="s">
        <v>5610</v>
      </c>
    </row>
    <row r="1899" customFormat="false" ht="15" hidden="false" customHeight="false" outlineLevel="0" collapsed="false">
      <c r="B1899" s="19" t="s">
        <v>15480</v>
      </c>
      <c r="C1899" s="20" t="n">
        <f aca="false">ROUND(20.8/FX,2)</f>
        <v>2.89</v>
      </c>
      <c r="D1899" s="22" t="s">
        <v>5612</v>
      </c>
    </row>
    <row r="1902" customFormat="false" ht="61.5" hidden="false" customHeight="true" outlineLevel="0" collapsed="false">
      <c r="A1902" s="9"/>
      <c r="B1902" s="10" t="s">
        <v>15481</v>
      </c>
      <c r="C1902" s="10"/>
      <c r="D1902" s="10"/>
      <c r="E1902" s="10"/>
    </row>
    <row r="1903" customFormat="false" ht="15" hidden="false" customHeight="false" outlineLevel="0" collapsed="false">
      <c r="A1903" s="12" t="s">
        <v>700</v>
      </c>
      <c r="B1903" s="13" t="s">
        <v>701</v>
      </c>
      <c r="C1903" s="13" t="s">
        <v>702</v>
      </c>
      <c r="D1903" s="13" t="s">
        <v>5610</v>
      </c>
      <c r="E1903" s="13" t="s">
        <v>6523</v>
      </c>
    </row>
    <row r="1904" customFormat="false" ht="30" hidden="false" customHeight="true" outlineLevel="0" collapsed="false">
      <c r="A1904" s="14" t="s">
        <v>706</v>
      </c>
      <c r="B1904" s="15" t="str">
        <f aca="false">IF(COUNTIFS($D$1907:$D$1908,IF(D1904="","*",D1904),$E$1907:$E$1908,IF(E1904="","*",E1904))=1,INDEX($B:$B,SUMPRODUCT(((D1904="")+($D$1907:$D$1908=D1904)&gt;0)*((E1904="")+($E$1907:$E$1908=E1904)&gt;0)*ROW($B$1907:$B$1908))),IF(COUNTIFS($D$1907:$D$1908,IF(D1904="","*",D1904),$E$1907:$E$1908,IF(E1904="","*",E1904))=0,"Not available",COUNTIFS($D$1907:$D$1908,IF(D1904="","*",D1904),$E$1907:$E$1908,IF(E1904="","*",E1904))&amp;" match, keep choosing"))</f>
        <v>RL-053-12x28x8-6001</v>
      </c>
      <c r="C1904" s="16" t="n">
        <f aca="false">IF(COUNTIFS($D$1907:$D$1908,IF(D1904="","*",D1904),$E$1907:$E$1908,IF(E1904="","*",E1904))=1,INDEX($C:$C,SUMPRODUCT(((D1904="")+($D$1907:$D$1908=D1904)&gt;0)*((E1904="")+($E$1907:$E$1908=E1904)&gt;0)*ROW($B$1907:$B$1908))),"")</f>
        <v>2.01</v>
      </c>
      <c r="D1904" s="17" t="s">
        <v>15482</v>
      </c>
      <c r="E1904" s="17" t="s">
        <v>15483</v>
      </c>
    </row>
    <row r="1906" customFormat="false" ht="15" hidden="false" customHeight="false" outlineLevel="0" collapsed="false">
      <c r="B1906" s="18" t="s">
        <v>701</v>
      </c>
      <c r="C1906" s="18" t="s">
        <v>702</v>
      </c>
      <c r="D1906" s="18" t="s">
        <v>5610</v>
      </c>
      <c r="E1906" s="18" t="s">
        <v>6523</v>
      </c>
    </row>
    <row r="1907" customFormat="false" ht="15" hidden="false" customHeight="false" outlineLevel="0" collapsed="false">
      <c r="B1907" s="19" t="s">
        <v>15484</v>
      </c>
      <c r="C1907" s="20" t="n">
        <f aca="false">ROUND(14.5/FX,2)</f>
        <v>2.01</v>
      </c>
      <c r="D1907" s="21" t="s">
        <v>15482</v>
      </c>
      <c r="E1907" s="21" t="s">
        <v>15483</v>
      </c>
    </row>
    <row r="1908" customFormat="false" ht="15" hidden="false" customHeight="false" outlineLevel="0" collapsed="false">
      <c r="B1908" s="19" t="s">
        <v>15485</v>
      </c>
      <c r="C1908" s="20" t="n">
        <f aca="false">ROUND(26/FX,2)</f>
        <v>3.61</v>
      </c>
      <c r="D1908" s="21" t="s">
        <v>15486</v>
      </c>
      <c r="E1908" s="21" t="s">
        <v>15487</v>
      </c>
    </row>
    <row r="1911" customFormat="false" ht="61.5" hidden="false" customHeight="true" outlineLevel="0" collapsed="false">
      <c r="A1911" s="9"/>
      <c r="B1911" s="10" t="s">
        <v>15488</v>
      </c>
      <c r="C1911" s="10"/>
      <c r="D1911" s="10"/>
      <c r="E1911" s="10"/>
      <c r="F1911" s="10"/>
    </row>
    <row r="1912" customFormat="false" ht="15" hidden="false" customHeight="false" outlineLevel="0" collapsed="false">
      <c r="A1912" s="12" t="s">
        <v>700</v>
      </c>
      <c r="B1912" s="13" t="s">
        <v>701</v>
      </c>
      <c r="C1912" s="13" t="s">
        <v>702</v>
      </c>
      <c r="D1912" s="13" t="s">
        <v>5610</v>
      </c>
      <c r="E1912" s="13" t="s">
        <v>723</v>
      </c>
      <c r="F1912" s="13" t="s">
        <v>6523</v>
      </c>
    </row>
    <row r="1913" customFormat="false" ht="30" hidden="false" customHeight="true" outlineLevel="0" collapsed="false">
      <c r="A1913" s="14" t="s">
        <v>706</v>
      </c>
      <c r="B1913" s="15" t="str">
        <f aca="false">IF(COUNTIFS($D$1916:$D$1931,IF(D1913="","*",D1913),$E$1916:$E$1931,IF(E1913="","*",E1913),$F$1916:$F$1931,IF(F1913="","*",F1913))=1,INDEX($B:$B,SUMPRODUCT(((D1913="")+($D$1916:$D$1931=D1913)&gt;0)*((E1913="")+($E$1916:$E$1931=E1913)&gt;0)*((F1913="")+($F$1916:$F$1931=F1913)&gt;0)*ROW($B$1916:$B$1931))),IF(COUNTIFS($D$1916:$D$1931,IF(D1913="","*",D1913),$E$1916:$E$1931,IF(E1913="","*",E1913),$F$1916:$F$1931,IF(F1913="","*",F1913))=0,"Not available",COUNTIFS($D$1916:$D$1931,IF(D1913="","*",D1913),$E$1916:$E$1931,IF(E1913="","*",E1913),$F$1916:$F$1931,IF(F1913="","*",F1913))&amp;" match, keep choosing"))</f>
        <v>RL-020-10x19x5-DF-6800</v>
      </c>
      <c r="C1913" s="16" t="n">
        <f aca="false">IF(COUNTIFS($D$1916:$D$1931,IF(D1913="","*",D1913),$E$1916:$E$1931,IF(E1913="","*",E1913),$F$1916:$F$1931,IF(F1913="","*",F1913))=1,INDEX($C:$C,SUMPRODUCT(((D1913="")+($D$1916:$D$1931=D1913)&gt;0)*((E1913="")+($E$1916:$E$1931=E1913)&gt;0)*((F1913="")+($F$1916:$F$1931=F1913)&gt;0)*ROW($B$1916:$B$1931))),"")</f>
        <v>0.16</v>
      </c>
      <c r="D1913" s="17" t="s">
        <v>15489</v>
      </c>
      <c r="E1913" s="17" t="s">
        <v>15490</v>
      </c>
      <c r="F1913" s="17" t="s">
        <v>15491</v>
      </c>
    </row>
    <row r="1915" customFormat="false" ht="15" hidden="false" customHeight="false" outlineLevel="0" collapsed="false">
      <c r="B1915" s="18" t="s">
        <v>701</v>
      </c>
      <c r="C1915" s="18" t="s">
        <v>702</v>
      </c>
      <c r="D1915" s="18" t="s">
        <v>5610</v>
      </c>
      <c r="E1915" s="18" t="s">
        <v>723</v>
      </c>
      <c r="F1915" s="18" t="s">
        <v>6523</v>
      </c>
    </row>
    <row r="1916" customFormat="false" ht="15" hidden="false" customHeight="false" outlineLevel="0" collapsed="false">
      <c r="B1916" s="19" t="s">
        <v>15492</v>
      </c>
      <c r="C1916" s="20" t="n">
        <f aca="false">ROUND(1.17/FX,2)</f>
        <v>0.16</v>
      </c>
      <c r="D1916" s="21" t="s">
        <v>15489</v>
      </c>
      <c r="E1916" s="21" t="s">
        <v>15490</v>
      </c>
      <c r="F1916" s="21" t="s">
        <v>15491</v>
      </c>
    </row>
    <row r="1917" customFormat="false" ht="15" hidden="false" customHeight="false" outlineLevel="0" collapsed="false">
      <c r="B1917" s="19" t="s">
        <v>15493</v>
      </c>
      <c r="C1917" s="20" t="n">
        <f aca="false">ROUND(0.91/FX,2)</f>
        <v>0.13</v>
      </c>
      <c r="D1917" s="21" t="s">
        <v>15494</v>
      </c>
      <c r="E1917" s="21" t="s">
        <v>15490</v>
      </c>
      <c r="F1917" s="21" t="s">
        <v>15495</v>
      </c>
    </row>
    <row r="1918" customFormat="false" ht="15" hidden="false" customHeight="false" outlineLevel="0" collapsed="false">
      <c r="B1918" s="19" t="s">
        <v>15496</v>
      </c>
      <c r="C1918" s="20" t="n">
        <f aca="false">ROUND(1.04/FX,2)</f>
        <v>0.14</v>
      </c>
      <c r="D1918" s="21" t="s">
        <v>15494</v>
      </c>
      <c r="E1918" s="21" t="s">
        <v>15497</v>
      </c>
      <c r="F1918" s="21" t="s">
        <v>15495</v>
      </c>
    </row>
    <row r="1919" customFormat="false" ht="15" hidden="false" customHeight="false" outlineLevel="0" collapsed="false">
      <c r="B1919" s="19" t="s">
        <v>15498</v>
      </c>
      <c r="C1919" s="20" t="n">
        <f aca="false">ROUND(1.3/FX,2)</f>
        <v>0.18</v>
      </c>
      <c r="D1919" s="21" t="s">
        <v>15499</v>
      </c>
      <c r="E1919" s="21" t="s">
        <v>15490</v>
      </c>
      <c r="F1919" s="21" t="s">
        <v>15500</v>
      </c>
    </row>
    <row r="1920" customFormat="false" ht="15" hidden="false" customHeight="false" outlineLevel="0" collapsed="false">
      <c r="B1920" s="19" t="s">
        <v>15501</v>
      </c>
      <c r="C1920" s="20" t="n">
        <f aca="false">ROUND(1.3/FX,2)</f>
        <v>0.18</v>
      </c>
      <c r="D1920" s="21" t="s">
        <v>15482</v>
      </c>
      <c r="E1920" s="21" t="s">
        <v>15490</v>
      </c>
      <c r="F1920" s="21" t="s">
        <v>15483</v>
      </c>
    </row>
    <row r="1921" customFormat="false" ht="15" hidden="false" customHeight="false" outlineLevel="0" collapsed="false">
      <c r="B1921" s="19" t="s">
        <v>15502</v>
      </c>
      <c r="C1921" s="20" t="n">
        <f aca="false">ROUND(1.3/FX,2)</f>
        <v>0.18</v>
      </c>
      <c r="D1921" s="21" t="s">
        <v>15503</v>
      </c>
      <c r="E1921" s="21" t="s">
        <v>15490</v>
      </c>
      <c r="F1921" s="21" t="s">
        <v>15504</v>
      </c>
    </row>
    <row r="1922" customFormat="false" ht="15" hidden="false" customHeight="false" outlineLevel="0" collapsed="false">
      <c r="B1922" s="19" t="s">
        <v>15505</v>
      </c>
      <c r="C1922" s="20" t="n">
        <f aca="false">ROUND(2/FX,2)</f>
        <v>0.28</v>
      </c>
      <c r="D1922" s="21" t="s">
        <v>15506</v>
      </c>
      <c r="E1922" s="21" t="s">
        <v>15490</v>
      </c>
      <c r="F1922" s="21" t="s">
        <v>15507</v>
      </c>
    </row>
    <row r="1923" customFormat="false" ht="15" hidden="false" customHeight="false" outlineLevel="0" collapsed="false">
      <c r="B1923" s="19" t="s">
        <v>15508</v>
      </c>
      <c r="C1923" s="20" t="n">
        <f aca="false">ROUND(1.95/FX,2)</f>
        <v>0.27</v>
      </c>
      <c r="D1923" s="21" t="s">
        <v>15509</v>
      </c>
      <c r="E1923" s="21" t="s">
        <v>15490</v>
      </c>
      <c r="F1923" s="21" t="s">
        <v>15510</v>
      </c>
    </row>
    <row r="1924" customFormat="false" ht="15" hidden="false" customHeight="false" outlineLevel="0" collapsed="false">
      <c r="B1924" s="19" t="s">
        <v>15511</v>
      </c>
      <c r="C1924" s="20" t="n">
        <f aca="false">ROUND(1.69/FX,2)</f>
        <v>0.23</v>
      </c>
      <c r="D1924" s="21" t="s">
        <v>15512</v>
      </c>
      <c r="E1924" s="21" t="s">
        <v>15490</v>
      </c>
      <c r="F1924" s="21" t="s">
        <v>15513</v>
      </c>
    </row>
    <row r="1925" customFormat="false" ht="15" hidden="false" customHeight="false" outlineLevel="0" collapsed="false">
      <c r="B1925" s="19" t="s">
        <v>15514</v>
      </c>
      <c r="C1925" s="20" t="n">
        <f aca="false">ROUND(2.6/FX,2)</f>
        <v>0.36</v>
      </c>
      <c r="D1925" s="21" t="s">
        <v>15515</v>
      </c>
      <c r="E1925" s="21" t="s">
        <v>15516</v>
      </c>
      <c r="F1925" s="21" t="s">
        <v>15517</v>
      </c>
    </row>
    <row r="1926" customFormat="false" ht="15" hidden="false" customHeight="false" outlineLevel="0" collapsed="false">
      <c r="B1926" s="19" t="s">
        <v>15518</v>
      </c>
      <c r="C1926" s="20" t="n">
        <f aca="false">ROUND(3.25/FX,2)</f>
        <v>0.45</v>
      </c>
      <c r="D1926" s="21" t="s">
        <v>15519</v>
      </c>
      <c r="E1926" s="21" t="s">
        <v>15490</v>
      </c>
      <c r="F1926" s="21" t="s">
        <v>15520</v>
      </c>
    </row>
    <row r="1927" customFormat="false" ht="15" hidden="false" customHeight="false" outlineLevel="0" collapsed="false">
      <c r="B1927" s="19" t="s">
        <v>15521</v>
      </c>
      <c r="C1927" s="20" t="n">
        <f aca="false">ROUND(2.6/FX,2)</f>
        <v>0.36</v>
      </c>
      <c r="D1927" s="21" t="s">
        <v>15522</v>
      </c>
      <c r="E1927" s="21" t="s">
        <v>15490</v>
      </c>
      <c r="F1927" s="21" t="s">
        <v>15523</v>
      </c>
    </row>
    <row r="1928" customFormat="false" ht="15" hidden="false" customHeight="false" outlineLevel="0" collapsed="false">
      <c r="B1928" s="19" t="s">
        <v>15524</v>
      </c>
      <c r="C1928" s="20" t="n">
        <f aca="false">ROUND(1/FX,2)</f>
        <v>0.14</v>
      </c>
      <c r="D1928" s="21" t="s">
        <v>6513</v>
      </c>
      <c r="E1928" s="21" t="s">
        <v>15490</v>
      </c>
      <c r="F1928" s="21" t="s">
        <v>15525</v>
      </c>
    </row>
    <row r="1929" customFormat="false" ht="15" hidden="false" customHeight="false" outlineLevel="0" collapsed="false">
      <c r="B1929" s="19" t="s">
        <v>15526</v>
      </c>
      <c r="C1929" s="20" t="n">
        <f aca="false">ROUND(0.91/FX,2)</f>
        <v>0.13</v>
      </c>
      <c r="D1929" s="21" t="s">
        <v>15527</v>
      </c>
      <c r="E1929" s="21" t="s">
        <v>15490</v>
      </c>
      <c r="F1929" s="21" t="s">
        <v>15528</v>
      </c>
    </row>
    <row r="1930" customFormat="false" ht="15" hidden="false" customHeight="false" outlineLevel="0" collapsed="false">
      <c r="B1930" s="19" t="s">
        <v>15529</v>
      </c>
      <c r="C1930" s="20" t="n">
        <f aca="false">ROUND(1.04/FX,2)</f>
        <v>0.14</v>
      </c>
      <c r="D1930" s="21" t="s">
        <v>15527</v>
      </c>
      <c r="E1930" s="21" t="s">
        <v>15497</v>
      </c>
      <c r="F1930" s="21" t="s">
        <v>15528</v>
      </c>
    </row>
    <row r="1931" customFormat="false" ht="15" hidden="false" customHeight="false" outlineLevel="0" collapsed="false">
      <c r="B1931" s="19" t="s">
        <v>15530</v>
      </c>
      <c r="C1931" s="20" t="n">
        <f aca="false">ROUND(0.9/FX,2)</f>
        <v>0.13</v>
      </c>
      <c r="D1931" s="21" t="s">
        <v>15531</v>
      </c>
      <c r="E1931" s="21" t="s">
        <v>15490</v>
      </c>
      <c r="F1931" s="21" t="s">
        <v>15532</v>
      </c>
    </row>
    <row r="1934" customFormat="false" ht="61.5" hidden="false" customHeight="true" outlineLevel="0" collapsed="false">
      <c r="A1934" s="9"/>
      <c r="B1934" s="10" t="s">
        <v>15533</v>
      </c>
      <c r="C1934" s="10"/>
      <c r="D1934" s="10"/>
      <c r="E1934" s="10"/>
      <c r="F1934" s="10"/>
    </row>
    <row r="1935" customFormat="false" ht="15" hidden="false" customHeight="false" outlineLevel="0" collapsed="false">
      <c r="A1935" s="12" t="s">
        <v>700</v>
      </c>
      <c r="B1935" s="13" t="s">
        <v>701</v>
      </c>
      <c r="C1935" s="13" t="s">
        <v>702</v>
      </c>
      <c r="D1935" s="13" t="s">
        <v>722</v>
      </c>
      <c r="E1935" s="13" t="s">
        <v>723</v>
      </c>
      <c r="F1935" s="13" t="s">
        <v>6523</v>
      </c>
    </row>
    <row r="1936" customFormat="false" ht="30" hidden="false" customHeight="true" outlineLevel="0" collapsed="false">
      <c r="A1936" s="14" t="s">
        <v>706</v>
      </c>
      <c r="B1936" s="15" t="str">
        <f aca="false">IF(COUNTIFS($D$1939:$D$1954,IF(D1936="","*",D1936),$E$1939:$E$1954,IF(E1936="","*",E1936),$F$1939:$F$1954,IF(F1936="","*",F1936))=1,INDEX($B:$B,SUMPRODUCT(((D1936="")+($D$1939:$D$1954=D1936)&gt;0)*((E1936="")+($E$1939:$E$1954=E1936)&gt;0)*((F1936="")+($F$1939:$F$1954=F1936)&gt;0)*ROW($B$1939:$B$1954))),IF(COUNTIFS($D$1939:$D$1954,IF(D1936="","*",D1936),$E$1939:$E$1954,IF(E1936="","*",E1936),$F$1939:$F$1954,IF(F1936="","*",F1936))=0,"Not available",COUNTIFS($D$1939:$D$1954,IF(D1936="","*",D1936),$E$1939:$E$1954,IF(E1936="","*",E1936),$F$1939:$F$1954,IF(F1936="","*",F1936))&amp;" match, keep choosing"))</f>
        <v>RL-012-5x20.6x6.3-WH-625ZZ</v>
      </c>
      <c r="C1936" s="16" t="n">
        <f aca="false">IF(COUNTIFS($D$1939:$D$1954,IF(D1936="","*",D1936),$E$1939:$E$1954,IF(E1936="","*",E1936),$F$1939:$F$1954,IF(F1936="","*",F1936))=1,INDEX($C:$C,SUMPRODUCT(((D1936="")+($D$1939:$D$1954=D1936)&gt;0)*((E1936="")+($E$1939:$E$1954=E1936)&gt;0)*((F1936="")+($F$1939:$F$1954=F1936)&gt;0)*ROW($B$1939:$B$1954))),"")</f>
        <v>0.05</v>
      </c>
      <c r="D1936" s="17" t="s">
        <v>751</v>
      </c>
      <c r="E1936" s="17" t="s">
        <v>15534</v>
      </c>
      <c r="F1936" s="17" t="s">
        <v>15535</v>
      </c>
    </row>
    <row r="1938" customFormat="false" ht="15" hidden="false" customHeight="false" outlineLevel="0" collapsed="false">
      <c r="B1938" s="18" t="s">
        <v>701</v>
      </c>
      <c r="C1938" s="18" t="s">
        <v>702</v>
      </c>
      <c r="D1938" s="18" t="s">
        <v>722</v>
      </c>
      <c r="E1938" s="18" t="s">
        <v>723</v>
      </c>
      <c r="F1938" s="18" t="s">
        <v>6523</v>
      </c>
    </row>
    <row r="1939" customFormat="false" ht="15" hidden="false" customHeight="false" outlineLevel="0" collapsed="false">
      <c r="B1939" s="19" t="s">
        <v>15536</v>
      </c>
      <c r="C1939" s="20" t="n">
        <f aca="false">ROUND(0.39/FX,2)</f>
        <v>0.05</v>
      </c>
      <c r="D1939" s="21" t="s">
        <v>751</v>
      </c>
      <c r="E1939" s="21" t="s">
        <v>15534</v>
      </c>
      <c r="F1939" s="21" t="s">
        <v>15535</v>
      </c>
    </row>
    <row r="1940" customFormat="false" ht="15" hidden="false" customHeight="false" outlineLevel="0" collapsed="false">
      <c r="B1940" s="19" t="s">
        <v>15537</v>
      </c>
      <c r="C1940" s="20" t="n">
        <f aca="false">ROUND(0.72/FX,2)</f>
        <v>0.1</v>
      </c>
      <c r="D1940" s="21" t="s">
        <v>751</v>
      </c>
      <c r="E1940" s="21" t="s">
        <v>6369</v>
      </c>
      <c r="F1940" s="21" t="s">
        <v>15538</v>
      </c>
    </row>
    <row r="1941" customFormat="false" ht="15" hidden="false" customHeight="false" outlineLevel="0" collapsed="false">
      <c r="B1941" s="19" t="s">
        <v>15539</v>
      </c>
      <c r="C1941" s="20" t="n">
        <f aca="false">ROUND(1.5/FX,2)</f>
        <v>0.21</v>
      </c>
      <c r="D1941" s="21" t="s">
        <v>751</v>
      </c>
      <c r="E1941" s="21" t="s">
        <v>15540</v>
      </c>
      <c r="F1941" s="21" t="s">
        <v>15541</v>
      </c>
    </row>
    <row r="1942" customFormat="false" ht="15" hidden="false" customHeight="false" outlineLevel="0" collapsed="false">
      <c r="B1942" s="19" t="s">
        <v>15542</v>
      </c>
      <c r="C1942" s="20" t="n">
        <f aca="false">ROUND(0.8/FX,2)</f>
        <v>0.11</v>
      </c>
      <c r="D1942" s="21" t="s">
        <v>6336</v>
      </c>
      <c r="E1942" s="21" t="s">
        <v>15543</v>
      </c>
      <c r="F1942" s="21" t="s">
        <v>15393</v>
      </c>
    </row>
    <row r="1943" customFormat="false" ht="15" hidden="false" customHeight="false" outlineLevel="0" collapsed="false">
      <c r="B1943" s="19" t="s">
        <v>15544</v>
      </c>
      <c r="C1943" s="20" t="n">
        <f aca="false">ROUND(0.46/FX,2)</f>
        <v>0.06</v>
      </c>
      <c r="D1943" s="21" t="s">
        <v>751</v>
      </c>
      <c r="E1943" s="21" t="s">
        <v>15534</v>
      </c>
      <c r="F1943" s="21" t="s">
        <v>15393</v>
      </c>
    </row>
    <row r="1944" customFormat="false" ht="15" hidden="false" customHeight="false" outlineLevel="0" collapsed="false">
      <c r="B1944" s="19" t="s">
        <v>15545</v>
      </c>
      <c r="C1944" s="20" t="n">
        <f aca="false">ROUND(0.39/FX,2)</f>
        <v>0.05</v>
      </c>
      <c r="D1944" s="21" t="s">
        <v>751</v>
      </c>
      <c r="E1944" s="21" t="s">
        <v>15534</v>
      </c>
      <c r="F1944" s="21" t="s">
        <v>15546</v>
      </c>
    </row>
    <row r="1945" customFormat="false" ht="15" hidden="false" customHeight="false" outlineLevel="0" collapsed="false">
      <c r="B1945" s="19" t="s">
        <v>15547</v>
      </c>
      <c r="C1945" s="20" t="n">
        <f aca="false">ROUND(0.78/FX,2)</f>
        <v>0.11</v>
      </c>
      <c r="D1945" s="21" t="s">
        <v>751</v>
      </c>
      <c r="E1945" s="21" t="s">
        <v>15534</v>
      </c>
      <c r="F1945" s="21" t="s">
        <v>15421</v>
      </c>
    </row>
    <row r="1946" customFormat="false" ht="15" hidden="false" customHeight="false" outlineLevel="0" collapsed="false">
      <c r="B1946" s="19" t="s">
        <v>15548</v>
      </c>
      <c r="C1946" s="20" t="n">
        <f aca="false">ROUND(0.52/FX,2)</f>
        <v>0.07</v>
      </c>
      <c r="D1946" s="21" t="s">
        <v>6336</v>
      </c>
      <c r="E1946" s="21" t="s">
        <v>15549</v>
      </c>
      <c r="F1946" s="21" t="s">
        <v>15550</v>
      </c>
    </row>
    <row r="1947" customFormat="false" ht="15" hidden="false" customHeight="false" outlineLevel="0" collapsed="false">
      <c r="B1947" s="19" t="s">
        <v>15551</v>
      </c>
      <c r="C1947" s="20" t="n">
        <f aca="false">ROUND(0.78/FX,2)</f>
        <v>0.11</v>
      </c>
      <c r="D1947" s="21" t="s">
        <v>751</v>
      </c>
      <c r="E1947" s="21" t="s">
        <v>15534</v>
      </c>
      <c r="F1947" s="21" t="s">
        <v>15552</v>
      </c>
    </row>
    <row r="1948" customFormat="false" ht="15" hidden="false" customHeight="false" outlineLevel="0" collapsed="false">
      <c r="B1948" s="19" t="s">
        <v>15553</v>
      </c>
      <c r="C1948" s="20" t="n">
        <f aca="false">ROUND(1.5/FX,2)</f>
        <v>0.21</v>
      </c>
      <c r="D1948" s="21" t="s">
        <v>751</v>
      </c>
      <c r="E1948" s="21" t="s">
        <v>15554</v>
      </c>
      <c r="F1948" s="21" t="s">
        <v>15555</v>
      </c>
    </row>
    <row r="1949" customFormat="false" ht="15" hidden="false" customHeight="false" outlineLevel="0" collapsed="false">
      <c r="B1949" s="19" t="s">
        <v>15556</v>
      </c>
      <c r="C1949" s="20" t="n">
        <f aca="false">ROUND(1.5/FX,2)</f>
        <v>0.21</v>
      </c>
      <c r="D1949" s="21" t="s">
        <v>751</v>
      </c>
      <c r="E1949" s="21" t="s">
        <v>15557</v>
      </c>
      <c r="F1949" s="21" t="s">
        <v>15558</v>
      </c>
    </row>
    <row r="1950" customFormat="false" ht="15" hidden="false" customHeight="false" outlineLevel="0" collapsed="false">
      <c r="B1950" s="19" t="s">
        <v>15559</v>
      </c>
      <c r="C1950" s="20" t="n">
        <f aca="false">ROUND(1.5/FX,2)</f>
        <v>0.21</v>
      </c>
      <c r="D1950" s="21" t="s">
        <v>751</v>
      </c>
      <c r="E1950" s="21" t="s">
        <v>15557</v>
      </c>
      <c r="F1950" s="21" t="s">
        <v>15560</v>
      </c>
    </row>
    <row r="1951" customFormat="false" ht="15" hidden="false" customHeight="false" outlineLevel="0" collapsed="false">
      <c r="B1951" s="19" t="s">
        <v>15561</v>
      </c>
      <c r="C1951" s="20" t="n">
        <f aca="false">ROUND(3.71/FX,2)</f>
        <v>0.52</v>
      </c>
      <c r="D1951" s="21" t="s">
        <v>724</v>
      </c>
      <c r="E1951" s="21" t="s">
        <v>15562</v>
      </c>
      <c r="F1951" s="21" t="s">
        <v>15449</v>
      </c>
    </row>
    <row r="1952" customFormat="false" ht="15" hidden="false" customHeight="false" outlineLevel="0" collapsed="false">
      <c r="B1952" s="19" t="s">
        <v>15563</v>
      </c>
      <c r="C1952" s="20" t="n">
        <f aca="false">ROUND(0.65/FX,2)</f>
        <v>0.09</v>
      </c>
      <c r="D1952" s="21" t="s">
        <v>751</v>
      </c>
      <c r="E1952" s="21" t="s">
        <v>15564</v>
      </c>
      <c r="F1952" s="21" t="s">
        <v>15449</v>
      </c>
    </row>
    <row r="1953" customFormat="false" ht="15" hidden="false" customHeight="false" outlineLevel="0" collapsed="false">
      <c r="B1953" s="19" t="s">
        <v>15565</v>
      </c>
      <c r="C1953" s="20" t="n">
        <f aca="false">ROUND(0.65/FX,2)</f>
        <v>0.09</v>
      </c>
      <c r="D1953" s="21" t="s">
        <v>751</v>
      </c>
      <c r="E1953" s="21" t="s">
        <v>15564</v>
      </c>
      <c r="F1953" s="21" t="s">
        <v>15566</v>
      </c>
    </row>
    <row r="1954" customFormat="false" ht="15" hidden="false" customHeight="false" outlineLevel="0" collapsed="false">
      <c r="B1954" s="19" t="s">
        <v>15567</v>
      </c>
      <c r="C1954" s="20" t="n">
        <f aca="false">ROUND(6.24/FX,2)</f>
        <v>0.87</v>
      </c>
      <c r="D1954" s="21" t="s">
        <v>724</v>
      </c>
      <c r="E1954" s="21" t="s">
        <v>15562</v>
      </c>
      <c r="F1954" s="21" t="s">
        <v>15568</v>
      </c>
    </row>
    <row r="1957" customFormat="false" ht="61.5" hidden="false" customHeight="true" outlineLevel="0" collapsed="false">
      <c r="A1957" s="9"/>
      <c r="B1957" s="10" t="s">
        <v>15569</v>
      </c>
      <c r="C1957" s="10"/>
      <c r="D1957" s="10"/>
    </row>
    <row r="1958" customFormat="false" ht="15" hidden="false" customHeight="false" outlineLevel="0" collapsed="false">
      <c r="A1958" s="12" t="s">
        <v>700</v>
      </c>
      <c r="B1958" s="13" t="s">
        <v>701</v>
      </c>
      <c r="C1958" s="13" t="s">
        <v>702</v>
      </c>
      <c r="D1958" s="13" t="s">
        <v>723</v>
      </c>
    </row>
    <row r="1959" customFormat="false" ht="30" hidden="false" customHeight="true" outlineLevel="0" collapsed="false">
      <c r="A1959" s="14" t="s">
        <v>706</v>
      </c>
      <c r="B1959" s="15" t="str">
        <f aca="false">IF(COUNTIFS($D$1962:$D$1999,IF(D1959="","*",D1959))=1,INDEX($B:$B,SUMPRODUCT(((D1959="")+($D$1962:$D$1999=D1959)&gt;0)*ROW($B$1962:$B$1999))),IF(COUNTIFS($D$1962:$D$1999,IF(D1959="","*",D1959))=0,"Not available",COUNTIFS($D$1962:$D$1999,IF(D1959="","*",D1959))&amp;" match, keep choosing"))</f>
        <v>RL-047-BXGWK-+NLQ-CY-25A</v>
      </c>
      <c r="C1959" s="16" t="n">
        <f aca="false">IF(COUNTIFS($D$1962:$D$1999,IF(D1959="","*",D1959))=1,INDEX($C:$C,SUMPRODUCT(((D1959="")+($D$1962:$D$1999=D1959)&gt;0)*ROW($B$1962:$B$1999))),"")</f>
        <v>1.08</v>
      </c>
      <c r="D1959" s="17" t="s">
        <v>15570</v>
      </c>
    </row>
    <row r="1961" customFormat="false" ht="15" hidden="false" customHeight="false" outlineLevel="0" collapsed="false">
      <c r="B1961" s="18" t="s">
        <v>701</v>
      </c>
      <c r="C1961" s="18" t="s">
        <v>702</v>
      </c>
      <c r="D1961" s="18" t="s">
        <v>723</v>
      </c>
    </row>
    <row r="1962" customFormat="false" ht="28.35" hidden="false" customHeight="false" outlineLevel="0" collapsed="false">
      <c r="B1962" s="19" t="s">
        <v>15571</v>
      </c>
      <c r="C1962" s="20" t="n">
        <f aca="false">ROUND(7.8/FX,2)</f>
        <v>1.08</v>
      </c>
      <c r="D1962" s="21" t="s">
        <v>15570</v>
      </c>
    </row>
    <row r="1963" customFormat="false" ht="28.35" hidden="false" customHeight="false" outlineLevel="0" collapsed="false">
      <c r="B1963" s="19" t="s">
        <v>15572</v>
      </c>
      <c r="C1963" s="20" t="n">
        <f aca="false">ROUND(5.2/FX,2)</f>
        <v>0.72</v>
      </c>
      <c r="D1963" s="21" t="s">
        <v>15573</v>
      </c>
    </row>
    <row r="1964" customFormat="false" ht="28.35" hidden="false" customHeight="false" outlineLevel="0" collapsed="false">
      <c r="B1964" s="19" t="s">
        <v>15574</v>
      </c>
      <c r="C1964" s="20" t="n">
        <f aca="false">ROUND(6.11/FX,2)</f>
        <v>0.85</v>
      </c>
      <c r="D1964" s="21" t="s">
        <v>15575</v>
      </c>
    </row>
    <row r="1965" customFormat="false" ht="28.35" hidden="false" customHeight="false" outlineLevel="0" collapsed="false">
      <c r="B1965" s="19" t="s">
        <v>15576</v>
      </c>
      <c r="C1965" s="20" t="n">
        <f aca="false">ROUND(7.54/FX,2)</f>
        <v>1.05</v>
      </c>
      <c r="D1965" s="21" t="s">
        <v>15577</v>
      </c>
    </row>
    <row r="1966" customFormat="false" ht="28.35" hidden="false" customHeight="false" outlineLevel="0" collapsed="false">
      <c r="B1966" s="19" t="s">
        <v>15578</v>
      </c>
      <c r="C1966" s="20" t="n">
        <f aca="false">ROUND(7.8/FX,2)</f>
        <v>1.08</v>
      </c>
      <c r="D1966" s="21" t="s">
        <v>15579</v>
      </c>
    </row>
    <row r="1967" customFormat="false" ht="28.35" hidden="false" customHeight="false" outlineLevel="0" collapsed="false">
      <c r="B1967" s="19" t="s">
        <v>15580</v>
      </c>
      <c r="C1967" s="20" t="n">
        <f aca="false">ROUND(8.32/FX,2)</f>
        <v>1.16</v>
      </c>
      <c r="D1967" s="21" t="s">
        <v>15581</v>
      </c>
    </row>
    <row r="1968" customFormat="false" ht="28.35" hidden="false" customHeight="false" outlineLevel="0" collapsed="false">
      <c r="B1968" s="19" t="s">
        <v>15582</v>
      </c>
      <c r="C1968" s="20" t="n">
        <f aca="false">ROUND(10.14/FX,2)</f>
        <v>1.41</v>
      </c>
      <c r="D1968" s="21" t="s">
        <v>15583</v>
      </c>
    </row>
    <row r="1969" customFormat="false" ht="28.35" hidden="false" customHeight="false" outlineLevel="0" collapsed="false">
      <c r="B1969" s="19" t="s">
        <v>15584</v>
      </c>
      <c r="C1969" s="20" t="n">
        <f aca="false">ROUND(11.05/FX,2)</f>
        <v>1.53</v>
      </c>
      <c r="D1969" s="21" t="s">
        <v>15585</v>
      </c>
    </row>
    <row r="1970" customFormat="false" ht="28.35" hidden="false" customHeight="false" outlineLevel="0" collapsed="false">
      <c r="B1970" s="19" t="s">
        <v>15586</v>
      </c>
      <c r="C1970" s="20" t="n">
        <f aca="false">ROUND(10.14/FX,2)</f>
        <v>1.41</v>
      </c>
      <c r="D1970" s="21" t="s">
        <v>15587</v>
      </c>
    </row>
    <row r="1971" customFormat="false" ht="28.35" hidden="false" customHeight="false" outlineLevel="0" collapsed="false">
      <c r="B1971" s="19" t="s">
        <v>15588</v>
      </c>
      <c r="C1971" s="20" t="n">
        <f aca="false">ROUND(12.74/FX,2)</f>
        <v>1.77</v>
      </c>
      <c r="D1971" s="21" t="s">
        <v>15589</v>
      </c>
    </row>
    <row r="1972" customFormat="false" ht="28.35" hidden="false" customHeight="false" outlineLevel="0" collapsed="false">
      <c r="B1972" s="19" t="s">
        <v>15590</v>
      </c>
      <c r="C1972" s="20" t="n">
        <f aca="false">ROUND(19.24/FX,2)</f>
        <v>2.67</v>
      </c>
      <c r="D1972" s="21" t="s">
        <v>15591</v>
      </c>
    </row>
    <row r="1973" customFormat="false" ht="28.35" hidden="false" customHeight="false" outlineLevel="0" collapsed="false">
      <c r="B1973" s="19" t="s">
        <v>15592</v>
      </c>
      <c r="C1973" s="20" t="n">
        <f aca="false">ROUND(22.75/FX,2)</f>
        <v>3.16</v>
      </c>
      <c r="D1973" s="21" t="s">
        <v>15593</v>
      </c>
    </row>
    <row r="1974" customFormat="false" ht="28.35" hidden="false" customHeight="false" outlineLevel="0" collapsed="false">
      <c r="B1974" s="19" t="s">
        <v>15594</v>
      </c>
      <c r="C1974" s="20" t="n">
        <f aca="false">ROUND(51.74/FX,2)</f>
        <v>7.19</v>
      </c>
      <c r="D1974" s="21" t="s">
        <v>15595</v>
      </c>
    </row>
    <row r="1975" customFormat="false" ht="28.35" hidden="false" customHeight="false" outlineLevel="0" collapsed="false">
      <c r="B1975" s="19" t="s">
        <v>15596</v>
      </c>
      <c r="C1975" s="20" t="n">
        <f aca="false">ROUND(1.3/FX,2)</f>
        <v>0.18</v>
      </c>
      <c r="D1975" s="21" t="s">
        <v>15597</v>
      </c>
    </row>
    <row r="1976" customFormat="false" ht="28.35" hidden="false" customHeight="false" outlineLevel="0" collapsed="false">
      <c r="B1976" s="19" t="s">
        <v>15598</v>
      </c>
      <c r="C1976" s="20" t="n">
        <f aca="false">ROUND(1.56/FX,2)</f>
        <v>0.22</v>
      </c>
      <c r="D1976" s="21" t="s">
        <v>15599</v>
      </c>
    </row>
    <row r="1977" customFormat="false" ht="28.35" hidden="false" customHeight="false" outlineLevel="0" collapsed="false">
      <c r="B1977" s="19" t="s">
        <v>15600</v>
      </c>
      <c r="C1977" s="20" t="n">
        <f aca="false">ROUND(1.1/FX,2)</f>
        <v>0.15</v>
      </c>
      <c r="D1977" s="21" t="s">
        <v>15601</v>
      </c>
    </row>
    <row r="1978" customFormat="false" ht="28.35" hidden="false" customHeight="false" outlineLevel="0" collapsed="false">
      <c r="B1978" s="19" t="s">
        <v>15602</v>
      </c>
      <c r="C1978" s="20" t="n">
        <f aca="false">ROUND(1.39/FX,2)</f>
        <v>0.19</v>
      </c>
      <c r="D1978" s="21" t="s">
        <v>15603</v>
      </c>
    </row>
    <row r="1979" customFormat="false" ht="28.35" hidden="false" customHeight="false" outlineLevel="0" collapsed="false">
      <c r="B1979" s="19" t="s">
        <v>15604</v>
      </c>
      <c r="C1979" s="20" t="n">
        <f aca="false">ROUND(2.54/FX,2)</f>
        <v>0.35</v>
      </c>
      <c r="D1979" s="21" t="s">
        <v>15605</v>
      </c>
    </row>
    <row r="1980" customFormat="false" ht="28.35" hidden="false" customHeight="false" outlineLevel="0" collapsed="false">
      <c r="B1980" s="19" t="s">
        <v>15606</v>
      </c>
      <c r="C1980" s="20" t="n">
        <f aca="false">ROUND(1.77/FX,2)</f>
        <v>0.25</v>
      </c>
      <c r="D1980" s="21" t="s">
        <v>15607</v>
      </c>
    </row>
    <row r="1981" customFormat="false" ht="28.35" hidden="false" customHeight="false" outlineLevel="0" collapsed="false">
      <c r="B1981" s="19" t="s">
        <v>15608</v>
      </c>
      <c r="C1981" s="20" t="n">
        <f aca="false">ROUND(2.47/FX,2)</f>
        <v>0.34</v>
      </c>
      <c r="D1981" s="21" t="s">
        <v>15609</v>
      </c>
    </row>
    <row r="1982" customFormat="false" ht="28.35" hidden="false" customHeight="false" outlineLevel="0" collapsed="false">
      <c r="B1982" s="19" t="s">
        <v>15610</v>
      </c>
      <c r="C1982" s="20" t="n">
        <f aca="false">ROUND(1.84/FX,2)</f>
        <v>0.26</v>
      </c>
      <c r="D1982" s="21" t="s">
        <v>15611</v>
      </c>
    </row>
    <row r="1983" customFormat="false" ht="28.35" hidden="false" customHeight="false" outlineLevel="0" collapsed="false">
      <c r="B1983" s="19" t="s">
        <v>15612</v>
      </c>
      <c r="C1983" s="20" t="n">
        <f aca="false">ROUND(1.95/FX,2)</f>
        <v>0.27</v>
      </c>
      <c r="D1983" s="21" t="s">
        <v>15613</v>
      </c>
    </row>
    <row r="1984" customFormat="false" ht="28.35" hidden="false" customHeight="false" outlineLevel="0" collapsed="false">
      <c r="B1984" s="19" t="s">
        <v>15614</v>
      </c>
      <c r="C1984" s="20" t="n">
        <f aca="false">ROUND(6.24/FX,2)</f>
        <v>0.87</v>
      </c>
      <c r="D1984" s="21" t="s">
        <v>15615</v>
      </c>
    </row>
    <row r="1985" customFormat="false" ht="28.35" hidden="false" customHeight="false" outlineLevel="0" collapsed="false">
      <c r="B1985" s="19" t="s">
        <v>15616</v>
      </c>
      <c r="C1985" s="20" t="n">
        <f aca="false">ROUND(5.42/FX,2)</f>
        <v>0.75</v>
      </c>
      <c r="D1985" s="21" t="s">
        <v>15617</v>
      </c>
    </row>
    <row r="1986" customFormat="false" ht="28.35" hidden="false" customHeight="false" outlineLevel="0" collapsed="false">
      <c r="B1986" s="19" t="s">
        <v>15618</v>
      </c>
      <c r="C1986" s="20" t="n">
        <f aca="false">ROUND(11.57/FX,2)</f>
        <v>1.61</v>
      </c>
      <c r="D1986" s="21" t="s">
        <v>15619</v>
      </c>
    </row>
    <row r="1987" customFormat="false" ht="28.35" hidden="false" customHeight="false" outlineLevel="0" collapsed="false">
      <c r="B1987" s="19" t="s">
        <v>15620</v>
      </c>
      <c r="C1987" s="20" t="n">
        <f aca="false">ROUND(18.92/FX,2)</f>
        <v>2.63</v>
      </c>
      <c r="D1987" s="21" t="s">
        <v>15621</v>
      </c>
    </row>
    <row r="1988" customFormat="false" ht="28.35" hidden="false" customHeight="false" outlineLevel="0" collapsed="false">
      <c r="B1988" s="19" t="s">
        <v>15622</v>
      </c>
      <c r="C1988" s="20" t="n">
        <f aca="false">ROUND(1.95/FX,2)</f>
        <v>0.27</v>
      </c>
      <c r="D1988" s="21" t="s">
        <v>15623</v>
      </c>
    </row>
    <row r="1989" customFormat="false" ht="28.35" hidden="false" customHeight="false" outlineLevel="0" collapsed="false">
      <c r="B1989" s="19" t="s">
        <v>15624</v>
      </c>
      <c r="C1989" s="20" t="n">
        <f aca="false">ROUND(2.08/FX,2)</f>
        <v>0.29</v>
      </c>
      <c r="D1989" s="21" t="s">
        <v>15625</v>
      </c>
    </row>
    <row r="1990" customFormat="false" ht="28.35" hidden="false" customHeight="false" outlineLevel="0" collapsed="false">
      <c r="B1990" s="19" t="s">
        <v>15626</v>
      </c>
      <c r="C1990" s="20" t="n">
        <f aca="false">ROUND(2.08/FX,2)</f>
        <v>0.29</v>
      </c>
      <c r="D1990" s="21" t="s">
        <v>15627</v>
      </c>
    </row>
    <row r="1991" customFormat="false" ht="28.35" hidden="false" customHeight="false" outlineLevel="0" collapsed="false">
      <c r="B1991" s="19" t="s">
        <v>15628</v>
      </c>
      <c r="C1991" s="20" t="n">
        <f aca="false">ROUND(2.31/FX,2)</f>
        <v>0.32</v>
      </c>
      <c r="D1991" s="21" t="s">
        <v>15629</v>
      </c>
    </row>
    <row r="1992" customFormat="false" ht="28.35" hidden="false" customHeight="false" outlineLevel="0" collapsed="false">
      <c r="B1992" s="19" t="s">
        <v>15630</v>
      </c>
      <c r="C1992" s="20" t="n">
        <f aca="false">ROUND(2.47/FX,2)</f>
        <v>0.34</v>
      </c>
      <c r="D1992" s="21" t="s">
        <v>15631</v>
      </c>
    </row>
    <row r="1993" customFormat="false" ht="28.35" hidden="false" customHeight="false" outlineLevel="0" collapsed="false">
      <c r="B1993" s="19" t="s">
        <v>15632</v>
      </c>
      <c r="C1993" s="20" t="n">
        <f aca="false">ROUND(2.6/FX,2)</f>
        <v>0.36</v>
      </c>
      <c r="D1993" s="21" t="s">
        <v>15633</v>
      </c>
    </row>
    <row r="1994" customFormat="false" ht="28.35" hidden="false" customHeight="false" outlineLevel="0" collapsed="false">
      <c r="B1994" s="19" t="s">
        <v>15634</v>
      </c>
      <c r="C1994" s="20" t="n">
        <f aca="false">ROUND(2.99/FX,2)</f>
        <v>0.42</v>
      </c>
      <c r="D1994" s="21" t="s">
        <v>15635</v>
      </c>
    </row>
    <row r="1995" customFormat="false" ht="28.35" hidden="false" customHeight="false" outlineLevel="0" collapsed="false">
      <c r="B1995" s="19" t="s">
        <v>15636</v>
      </c>
      <c r="C1995" s="20" t="n">
        <f aca="false">ROUND(2.99/FX,2)</f>
        <v>0.42</v>
      </c>
      <c r="D1995" s="21" t="s">
        <v>15637</v>
      </c>
    </row>
    <row r="1996" customFormat="false" ht="28.35" hidden="false" customHeight="false" outlineLevel="0" collapsed="false">
      <c r="B1996" s="19" t="s">
        <v>15638</v>
      </c>
      <c r="C1996" s="20" t="n">
        <f aca="false">ROUND(2.99/FX,2)</f>
        <v>0.42</v>
      </c>
      <c r="D1996" s="21" t="s">
        <v>15639</v>
      </c>
    </row>
    <row r="1997" customFormat="false" ht="28.35" hidden="false" customHeight="false" outlineLevel="0" collapsed="false">
      <c r="B1997" s="19" t="s">
        <v>15640</v>
      </c>
      <c r="C1997" s="20" t="n">
        <f aca="false">ROUND(7.15/FX,2)</f>
        <v>0.99</v>
      </c>
      <c r="D1997" s="21" t="s">
        <v>15641</v>
      </c>
    </row>
    <row r="1998" customFormat="false" ht="28.35" hidden="false" customHeight="false" outlineLevel="0" collapsed="false">
      <c r="B1998" s="19" t="s">
        <v>15642</v>
      </c>
      <c r="C1998" s="20" t="n">
        <f aca="false">ROUND(8.06/FX,2)</f>
        <v>1.12</v>
      </c>
      <c r="D1998" s="21" t="s">
        <v>15643</v>
      </c>
    </row>
    <row r="1999" customFormat="false" ht="28.35" hidden="false" customHeight="false" outlineLevel="0" collapsed="false">
      <c r="B1999" s="19" t="s">
        <v>15644</v>
      </c>
      <c r="C1999" s="20" t="n">
        <f aca="false">ROUND(19.5/FX,2)</f>
        <v>2.71</v>
      </c>
      <c r="D1999" s="21" t="s">
        <v>15645</v>
      </c>
    </row>
    <row r="2002" customFormat="false" ht="61.5" hidden="false" customHeight="true" outlineLevel="0" collapsed="false">
      <c r="A2002" s="9"/>
      <c r="B2002" s="10" t="s">
        <v>15646</v>
      </c>
      <c r="C2002" s="10"/>
      <c r="D2002" s="10"/>
      <c r="E2002" s="10"/>
    </row>
    <row r="2003" customFormat="false" ht="15" hidden="false" customHeight="false" outlineLevel="0" collapsed="false">
      <c r="A2003" s="12" t="s">
        <v>700</v>
      </c>
      <c r="B2003" s="13" t="s">
        <v>701</v>
      </c>
      <c r="C2003" s="13" t="s">
        <v>702</v>
      </c>
      <c r="D2003" s="13" t="s">
        <v>723</v>
      </c>
      <c r="E2003" s="13" t="s">
        <v>6523</v>
      </c>
    </row>
    <row r="2004" customFormat="false" ht="30" hidden="false" customHeight="true" outlineLevel="0" collapsed="false">
      <c r="A2004" s="14" t="s">
        <v>706</v>
      </c>
      <c r="B2004" s="15" t="str">
        <f aca="false">IF(COUNTIFS($D$2007:$D$2024,IF(D2004="","*",D2004),$E$2007:$E$2024,IF(E2004="","*",E2004))=1,INDEX($B:$B,SUMPRODUCT(((D2004="")+($D$2007:$D$2024=D2004)&gt;0)*((E2004="")+($E$2007:$E$2024=E2004)&gt;0)*ROW($B$2007:$B$2024))),IF(COUNTIFS($D$2007:$D$2024,IF(D2004="","*",D2004),$E$2007:$E$2024,IF(E2004="","*",E2004))=0,"Not available",COUNTIFS($D$2007:$D$2024,IF(D2004="","*",D2004),$E$2007:$E$2024,IF(E2004="","*",E2004))&amp;" match, keep choosing"))</f>
        <v>RL-046-10x30x9-NWDC-CSK10PP</v>
      </c>
      <c r="C2004" s="16" t="n">
        <f aca="false">IF(COUNTIFS($D$2007:$D$2024,IF(D2004="","*",D2004),$E$2007:$E$2024,IF(E2004="","*",E2004))=1,INDEX($C:$C,SUMPRODUCT(((D2004="")+($D$2007:$D$2024=D2004)&gt;0)*((E2004="")+($E$2007:$E$2024=E2004)&gt;0)*ROW($B$2007:$B$2024))),"")</f>
        <v>1.53</v>
      </c>
      <c r="D2004" s="17" t="s">
        <v>15647</v>
      </c>
      <c r="E2004" s="17" t="s">
        <v>15500</v>
      </c>
    </row>
    <row r="2006" customFormat="false" ht="15" hidden="false" customHeight="false" outlineLevel="0" collapsed="false">
      <c r="B2006" s="18" t="s">
        <v>701</v>
      </c>
      <c r="C2006" s="18" t="s">
        <v>702</v>
      </c>
      <c r="D2006" s="18" t="s">
        <v>723</v>
      </c>
      <c r="E2006" s="18" t="s">
        <v>6523</v>
      </c>
    </row>
    <row r="2007" customFormat="false" ht="28.35" hidden="false" customHeight="false" outlineLevel="0" collapsed="false">
      <c r="B2007" s="19" t="s">
        <v>15648</v>
      </c>
      <c r="C2007" s="20" t="n">
        <f aca="false">ROUND(11.05/FX,2)</f>
        <v>1.53</v>
      </c>
      <c r="D2007" s="21" t="s">
        <v>15647</v>
      </c>
      <c r="E2007" s="21" t="s">
        <v>15500</v>
      </c>
    </row>
    <row r="2008" customFormat="false" ht="28.35" hidden="false" customHeight="false" outlineLevel="0" collapsed="false">
      <c r="B2008" s="19" t="s">
        <v>15649</v>
      </c>
      <c r="C2008" s="20" t="n">
        <f aca="false">ROUND(10.4/FX,2)</f>
        <v>1.44</v>
      </c>
      <c r="D2008" s="21" t="s">
        <v>15650</v>
      </c>
      <c r="E2008" s="21" t="s">
        <v>15504</v>
      </c>
    </row>
    <row r="2009" customFormat="false" ht="28.35" hidden="false" customHeight="false" outlineLevel="0" collapsed="false">
      <c r="B2009" s="19" t="s">
        <v>15651</v>
      </c>
      <c r="C2009" s="20" t="n">
        <f aca="false">ROUND(11.05/FX,2)</f>
        <v>1.53</v>
      </c>
      <c r="D2009" s="21" t="s">
        <v>15652</v>
      </c>
      <c r="E2009" s="21" t="s">
        <v>15510</v>
      </c>
    </row>
    <row r="2010" customFormat="false" ht="28.35" hidden="false" customHeight="false" outlineLevel="0" collapsed="false">
      <c r="B2010" s="19" t="s">
        <v>15653</v>
      </c>
      <c r="C2010" s="20" t="n">
        <f aca="false">ROUND(11.7/FX,2)</f>
        <v>1.63</v>
      </c>
      <c r="D2010" s="21" t="s">
        <v>15654</v>
      </c>
      <c r="E2010" s="21" t="s">
        <v>15513</v>
      </c>
    </row>
    <row r="2011" customFormat="false" ht="28.35" hidden="false" customHeight="false" outlineLevel="0" collapsed="false">
      <c r="B2011" s="19" t="s">
        <v>15655</v>
      </c>
      <c r="C2011" s="20" t="n">
        <f aca="false">ROUND(15.6/FX,2)</f>
        <v>2.17</v>
      </c>
      <c r="D2011" s="21" t="s">
        <v>15656</v>
      </c>
      <c r="E2011" s="21" t="s">
        <v>15517</v>
      </c>
    </row>
    <row r="2012" customFormat="false" ht="28.35" hidden="false" customHeight="false" outlineLevel="0" collapsed="false">
      <c r="B2012" s="19" t="s">
        <v>15657</v>
      </c>
      <c r="C2012" s="20" t="n">
        <f aca="false">ROUND(14.3/FX,2)</f>
        <v>1.99</v>
      </c>
      <c r="D2012" s="21" t="s">
        <v>15658</v>
      </c>
      <c r="E2012" s="21" t="s">
        <v>15520</v>
      </c>
    </row>
    <row r="2013" customFormat="false" ht="15" hidden="false" customHeight="false" outlineLevel="0" collapsed="false">
      <c r="B2013" s="19" t="s">
        <v>15659</v>
      </c>
      <c r="C2013" s="20" t="n">
        <f aca="false">ROUND(49.4/FX,2)</f>
        <v>6.86</v>
      </c>
      <c r="D2013" s="21" t="s">
        <v>15660</v>
      </c>
      <c r="E2013" s="21" t="s">
        <v>15661</v>
      </c>
    </row>
    <row r="2014" customFormat="false" ht="28.35" hidden="false" customHeight="false" outlineLevel="0" collapsed="false">
      <c r="B2014" s="19" t="s">
        <v>15662</v>
      </c>
      <c r="C2014" s="20" t="n">
        <f aca="false">ROUND(21.45/FX,2)</f>
        <v>2.98</v>
      </c>
      <c r="D2014" s="21" t="s">
        <v>15663</v>
      </c>
      <c r="E2014" s="21" t="s">
        <v>15664</v>
      </c>
    </row>
    <row r="2015" customFormat="false" ht="28.35" hidden="false" customHeight="false" outlineLevel="0" collapsed="false">
      <c r="B2015" s="19" t="s">
        <v>15665</v>
      </c>
      <c r="C2015" s="20" t="n">
        <f aca="false">ROUND(15.6/FX,2)</f>
        <v>2.17</v>
      </c>
      <c r="D2015" s="21" t="s">
        <v>15666</v>
      </c>
      <c r="E2015" s="21" t="s">
        <v>15667</v>
      </c>
    </row>
    <row r="2016" customFormat="false" ht="28.35" hidden="false" customHeight="false" outlineLevel="0" collapsed="false">
      <c r="B2016" s="19" t="s">
        <v>15668</v>
      </c>
      <c r="C2016" s="20" t="n">
        <f aca="false">ROUND(27.3/FX,2)</f>
        <v>3.79</v>
      </c>
      <c r="D2016" s="21" t="s">
        <v>15669</v>
      </c>
      <c r="E2016" s="21" t="s">
        <v>15670</v>
      </c>
    </row>
    <row r="2017" customFormat="false" ht="28.35" hidden="false" customHeight="false" outlineLevel="0" collapsed="false">
      <c r="B2017" s="19" t="s">
        <v>15671</v>
      </c>
      <c r="C2017" s="20" t="n">
        <f aca="false">ROUND(22.75/FX,2)</f>
        <v>3.16</v>
      </c>
      <c r="D2017" s="21" t="s">
        <v>15672</v>
      </c>
      <c r="E2017" s="21" t="s">
        <v>15673</v>
      </c>
    </row>
    <row r="2018" customFormat="false" ht="28.35" hidden="false" customHeight="false" outlineLevel="0" collapsed="false">
      <c r="B2018" s="19" t="s">
        <v>15674</v>
      </c>
      <c r="C2018" s="20" t="n">
        <f aca="false">ROUND(21.45/FX,2)</f>
        <v>2.98</v>
      </c>
      <c r="D2018" s="21" t="s">
        <v>15675</v>
      </c>
      <c r="E2018" s="21" t="s">
        <v>15676</v>
      </c>
    </row>
    <row r="2019" customFormat="false" ht="28.35" hidden="false" customHeight="false" outlineLevel="0" collapsed="false">
      <c r="B2019" s="19" t="s">
        <v>15677</v>
      </c>
      <c r="C2019" s="20" t="n">
        <f aca="false">ROUND(20.8/FX,2)</f>
        <v>2.89</v>
      </c>
      <c r="D2019" s="21" t="s">
        <v>15678</v>
      </c>
      <c r="E2019" s="21" t="s">
        <v>15679</v>
      </c>
    </row>
    <row r="2020" customFormat="false" ht="28.35" hidden="false" customHeight="false" outlineLevel="0" collapsed="false">
      <c r="B2020" s="19" t="s">
        <v>15680</v>
      </c>
      <c r="C2020" s="20" t="n">
        <f aca="false">ROUND(28.6/FX,2)</f>
        <v>3.97</v>
      </c>
      <c r="D2020" s="21" t="s">
        <v>15681</v>
      </c>
      <c r="E2020" s="21" t="s">
        <v>15682</v>
      </c>
    </row>
    <row r="2021" customFormat="false" ht="28.35" hidden="false" customHeight="false" outlineLevel="0" collapsed="false">
      <c r="B2021" s="19" t="s">
        <v>15683</v>
      </c>
      <c r="C2021" s="20" t="n">
        <f aca="false">ROUND(45.5/FX,2)</f>
        <v>6.32</v>
      </c>
      <c r="D2021" s="21" t="s">
        <v>15684</v>
      </c>
      <c r="E2021" s="21" t="s">
        <v>15685</v>
      </c>
    </row>
    <row r="2022" customFormat="false" ht="28.35" hidden="false" customHeight="false" outlineLevel="0" collapsed="false">
      <c r="B2022" s="19" t="s">
        <v>15686</v>
      </c>
      <c r="C2022" s="20" t="n">
        <f aca="false">ROUND(48.1/FX,2)</f>
        <v>6.68</v>
      </c>
      <c r="D2022" s="21" t="s">
        <v>15684</v>
      </c>
      <c r="E2022" s="21" t="s">
        <v>15687</v>
      </c>
    </row>
    <row r="2023" customFormat="false" ht="15" hidden="false" customHeight="false" outlineLevel="0" collapsed="false">
      <c r="B2023" s="19" t="s">
        <v>15688</v>
      </c>
      <c r="C2023" s="20" t="n">
        <f aca="false">ROUND(7.97/FX,2)</f>
        <v>1.11</v>
      </c>
      <c r="D2023" s="21" t="s">
        <v>15689</v>
      </c>
      <c r="E2023" s="21" t="s">
        <v>15690</v>
      </c>
    </row>
    <row r="2024" customFormat="false" ht="28.35" hidden="false" customHeight="false" outlineLevel="0" collapsed="false">
      <c r="B2024" s="19" t="s">
        <v>15691</v>
      </c>
      <c r="C2024" s="20" t="n">
        <f aca="false">ROUND(9.1/FX,2)</f>
        <v>1.26</v>
      </c>
      <c r="D2024" s="21" t="s">
        <v>15692</v>
      </c>
      <c r="E2024" s="21" t="s">
        <v>15690</v>
      </c>
    </row>
    <row r="2027" customFormat="false" ht="61.5" hidden="false" customHeight="true" outlineLevel="0" collapsed="false">
      <c r="A2027" s="9"/>
      <c r="B2027" s="10" t="s">
        <v>15693</v>
      </c>
      <c r="C2027" s="10"/>
      <c r="D2027" s="10"/>
      <c r="E2027" s="10"/>
    </row>
    <row r="2028" customFormat="false" ht="15" hidden="false" customHeight="false" outlineLevel="0" collapsed="false">
      <c r="A2028" s="12" t="s">
        <v>700</v>
      </c>
      <c r="B2028" s="13" t="s">
        <v>701</v>
      </c>
      <c r="C2028" s="13" t="s">
        <v>702</v>
      </c>
      <c r="D2028" s="13" t="s">
        <v>723</v>
      </c>
      <c r="E2028" s="13" t="s">
        <v>6523</v>
      </c>
    </row>
    <row r="2029" customFormat="false" ht="30" hidden="false" customHeight="true" outlineLevel="0" collapsed="false">
      <c r="A2029" s="14" t="s">
        <v>706</v>
      </c>
      <c r="B2029" s="15" t="str">
        <f aca="false">IF(COUNTIFS($D$2032:$D$2034,IF(D2029="","*",D2029),$E$2032:$E$2034,IF(E2029="","*",E2029))=1,INDEX($B:$B,SUMPRODUCT(((D2029="")+($D$2032:$D$2034=D2029)&gt;0)*((E2029="")+($E$2032:$E$2034=E2029)&gt;0)*ROW($B$2032:$B$2034))),IF(COUNTIFS($D$2032:$D$2034,IF(D2029="","*",D2029),$E$2032:$E$2034,IF(E2029="","*",E2029))=0,"Not available",COUNTIFS($D$2032:$D$2034,IF(D2029="","*",D2029),$E$2032:$E$2034,IF(E2029="","*",E2029))&amp;" match, keep choosing"))</f>
        <v>RL-019-12x45.72x15.88-W3-2Z</v>
      </c>
      <c r="C2029" s="16" t="n">
        <f aca="false">IF(COUNTIFS($D$2032:$D$2034,IF(D2029="","*",D2029),$E$2032:$E$2034,IF(E2029="","*",E2029))=1,INDEX($C:$C,SUMPRODUCT(((D2029="")+($D$2032:$D$2034=D2029)&gt;0)*((E2029="")+($E$2032:$E$2034=E2029)&gt;0)*ROW($B$2032:$B$2034))),"")</f>
        <v>2.35</v>
      </c>
      <c r="D2029" s="17" t="s">
        <v>15694</v>
      </c>
      <c r="E2029" s="17" t="s">
        <v>15695</v>
      </c>
    </row>
    <row r="2031" customFormat="false" ht="15" hidden="false" customHeight="false" outlineLevel="0" collapsed="false">
      <c r="B2031" s="18" t="s">
        <v>701</v>
      </c>
      <c r="C2031" s="18" t="s">
        <v>702</v>
      </c>
      <c r="D2031" s="18" t="s">
        <v>723</v>
      </c>
      <c r="E2031" s="18" t="s">
        <v>6523</v>
      </c>
    </row>
    <row r="2032" customFormat="false" ht="15" hidden="false" customHeight="false" outlineLevel="0" collapsed="false">
      <c r="B2032" s="19" t="s">
        <v>15696</v>
      </c>
      <c r="C2032" s="20" t="n">
        <f aca="false">ROUND(16.9/FX,2)</f>
        <v>2.35</v>
      </c>
      <c r="D2032" s="21" t="s">
        <v>15694</v>
      </c>
      <c r="E2032" s="21" t="s">
        <v>15695</v>
      </c>
    </row>
    <row r="2033" customFormat="false" ht="15" hidden="false" customHeight="false" outlineLevel="0" collapsed="false">
      <c r="B2033" s="19" t="s">
        <v>15697</v>
      </c>
      <c r="C2033" s="20" t="n">
        <f aca="false">ROUND(7.8/FX,2)</f>
        <v>1.08</v>
      </c>
      <c r="D2033" s="21" t="s">
        <v>15698</v>
      </c>
      <c r="E2033" s="21" t="s">
        <v>15699</v>
      </c>
    </row>
    <row r="2034" customFormat="false" ht="15" hidden="false" customHeight="false" outlineLevel="0" collapsed="false">
      <c r="B2034" s="19" t="s">
        <v>15700</v>
      </c>
      <c r="C2034" s="20" t="n">
        <f aca="false">ROUND(7.8/FX,2)</f>
        <v>1.08</v>
      </c>
      <c r="D2034" s="21" t="s">
        <v>15701</v>
      </c>
      <c r="E2034" s="21" t="s">
        <v>15699</v>
      </c>
    </row>
    <row r="2037" customFormat="false" ht="61.5" hidden="false" customHeight="true" outlineLevel="0" collapsed="false">
      <c r="A2037" s="9"/>
      <c r="B2037" s="10" t="s">
        <v>15702</v>
      </c>
      <c r="C2037" s="10"/>
      <c r="D2037" s="10"/>
      <c r="E2037" s="10"/>
    </row>
    <row r="2038" customFormat="false" ht="15" hidden="false" customHeight="false" outlineLevel="0" collapsed="false">
      <c r="A2038" s="12" t="s">
        <v>700</v>
      </c>
      <c r="B2038" s="13" t="s">
        <v>701</v>
      </c>
      <c r="C2038" s="13" t="s">
        <v>702</v>
      </c>
      <c r="D2038" s="13" t="s">
        <v>723</v>
      </c>
      <c r="E2038" s="13" t="s">
        <v>6523</v>
      </c>
    </row>
    <row r="2039" customFormat="false" ht="30" hidden="false" customHeight="true" outlineLevel="0" collapsed="false">
      <c r="A2039" s="14" t="s">
        <v>706</v>
      </c>
      <c r="B2039" s="15" t="str">
        <f aca="false">IF(COUNTIFS($D$2042:$D$2053,IF(D2039="","*",D2039),$E$2042:$E$2053,IF(E2039="","*",E2039))=1,INDEX($B:$B,SUMPRODUCT(((D2039="")+($D$2042:$D$2053=D2039)&gt;0)*((E2039="")+($E$2042:$E$2053=E2039)&gt;0)*ROW($B$2042:$B$2053))),IF(COUNTIFS($D$2042:$D$2053,IF(D2039="","*",D2039),$E$2042:$E$2053,IF(E2039="","*",E2039))=0,"Not available",COUNTIFS($D$2042:$D$2053,IF(D2039="","*",D2039),$E$2042:$E$2053,IF(E2039="","*",E2039))&amp;" match, keep choosing"))</f>
        <v>RL-016-10x26x8-UC6000ZZ</v>
      </c>
      <c r="C2039" s="16" t="n">
        <f aca="false">IF(COUNTIFS($D$2042:$D$2053,IF(D2039="","*",D2039),$E$2042:$E$2053,IF(E2039="","*",E2039))=1,INDEX($C:$C,SUMPRODUCT(((D2039="")+($D$2042:$D$2053=D2039)&gt;0)*((E2039="")+($E$2042:$E$2053=E2039)&gt;0)*ROW($B$2042:$B$2053))),"")</f>
        <v>0.18</v>
      </c>
      <c r="D2039" s="17" t="s">
        <v>15703</v>
      </c>
      <c r="E2039" s="17" t="s">
        <v>15495</v>
      </c>
    </row>
    <row r="2041" customFormat="false" ht="15" hidden="false" customHeight="false" outlineLevel="0" collapsed="false">
      <c r="B2041" s="18" t="s">
        <v>701</v>
      </c>
      <c r="C2041" s="18" t="s">
        <v>702</v>
      </c>
      <c r="D2041" s="18" t="s">
        <v>723</v>
      </c>
      <c r="E2041" s="18" t="s">
        <v>6523</v>
      </c>
    </row>
    <row r="2042" customFormat="false" ht="15" hidden="false" customHeight="false" outlineLevel="0" collapsed="false">
      <c r="B2042" s="19" t="s">
        <v>15704</v>
      </c>
      <c r="C2042" s="20" t="n">
        <f aca="false">ROUND(1.3/FX,2)</f>
        <v>0.18</v>
      </c>
      <c r="D2042" s="21" t="s">
        <v>15703</v>
      </c>
      <c r="E2042" s="21" t="s">
        <v>15495</v>
      </c>
    </row>
    <row r="2043" customFormat="false" ht="15" hidden="false" customHeight="false" outlineLevel="0" collapsed="false">
      <c r="B2043" s="19" t="s">
        <v>15705</v>
      </c>
      <c r="C2043" s="20" t="n">
        <f aca="false">ROUND(1.24/FX,2)</f>
        <v>0.17</v>
      </c>
      <c r="D2043" s="21" t="s">
        <v>15706</v>
      </c>
      <c r="E2043" s="21" t="s">
        <v>15707</v>
      </c>
    </row>
    <row r="2044" customFormat="false" ht="15" hidden="false" customHeight="false" outlineLevel="0" collapsed="false">
      <c r="B2044" s="19" t="s">
        <v>15708</v>
      </c>
      <c r="C2044" s="20" t="n">
        <f aca="false">ROUND(1.3/FX,2)</f>
        <v>0.18</v>
      </c>
      <c r="D2044" s="21" t="s">
        <v>15709</v>
      </c>
      <c r="E2044" s="21" t="s">
        <v>15710</v>
      </c>
    </row>
    <row r="2045" customFormat="false" ht="15" hidden="false" customHeight="false" outlineLevel="0" collapsed="false">
      <c r="B2045" s="19" t="s">
        <v>15711</v>
      </c>
      <c r="C2045" s="20" t="n">
        <f aca="false">ROUND(1.3/FX,2)</f>
        <v>0.18</v>
      </c>
      <c r="D2045" s="21" t="s">
        <v>15712</v>
      </c>
      <c r="E2045" s="21" t="s">
        <v>15525</v>
      </c>
    </row>
    <row r="2046" customFormat="false" ht="15" hidden="false" customHeight="false" outlineLevel="0" collapsed="false">
      <c r="B2046" s="19" t="s">
        <v>15713</v>
      </c>
      <c r="C2046" s="20" t="n">
        <f aca="false">ROUND(1.24/FX,2)</f>
        <v>0.17</v>
      </c>
      <c r="D2046" s="21" t="s">
        <v>15714</v>
      </c>
      <c r="E2046" s="21" t="s">
        <v>15715</v>
      </c>
    </row>
    <row r="2047" customFormat="false" ht="15" hidden="false" customHeight="false" outlineLevel="0" collapsed="false">
      <c r="B2047" s="19" t="s">
        <v>15716</v>
      </c>
      <c r="C2047" s="20" t="n">
        <f aca="false">ROUND(1.24/FX,2)</f>
        <v>0.17</v>
      </c>
      <c r="D2047" s="21" t="s">
        <v>15717</v>
      </c>
      <c r="E2047" s="21" t="s">
        <v>15718</v>
      </c>
    </row>
    <row r="2048" customFormat="false" ht="15" hidden="false" customHeight="false" outlineLevel="0" collapsed="false">
      <c r="B2048" s="19" t="s">
        <v>15719</v>
      </c>
      <c r="C2048" s="20" t="n">
        <f aca="false">ROUND(1.95/FX,2)</f>
        <v>0.27</v>
      </c>
      <c r="D2048" s="21" t="s">
        <v>15720</v>
      </c>
      <c r="E2048" s="21" t="s">
        <v>15532</v>
      </c>
    </row>
    <row r="2049" customFormat="false" ht="15" hidden="false" customHeight="false" outlineLevel="0" collapsed="false">
      <c r="B2049" s="19" t="s">
        <v>15721</v>
      </c>
      <c r="C2049" s="20" t="n">
        <f aca="false">ROUND(1.15/FX,2)</f>
        <v>0.16</v>
      </c>
      <c r="D2049" s="21" t="s">
        <v>15722</v>
      </c>
      <c r="E2049" s="21" t="s">
        <v>15723</v>
      </c>
    </row>
    <row r="2050" customFormat="false" ht="15" hidden="false" customHeight="false" outlineLevel="0" collapsed="false">
      <c r="B2050" s="19" t="s">
        <v>15724</v>
      </c>
      <c r="C2050" s="20" t="n">
        <f aca="false">ROUND(1.24/FX,2)</f>
        <v>0.17</v>
      </c>
      <c r="D2050" s="21" t="s">
        <v>15722</v>
      </c>
      <c r="E2050" s="21" t="s">
        <v>15725</v>
      </c>
    </row>
    <row r="2051" customFormat="false" ht="15" hidden="false" customHeight="false" outlineLevel="0" collapsed="false">
      <c r="B2051" s="19" t="s">
        <v>15726</v>
      </c>
      <c r="C2051" s="20" t="n">
        <f aca="false">ROUND(2.08/FX,2)</f>
        <v>0.29</v>
      </c>
      <c r="D2051" s="21" t="s">
        <v>15722</v>
      </c>
      <c r="E2051" s="21" t="s">
        <v>15444</v>
      </c>
    </row>
    <row r="2052" customFormat="false" ht="15" hidden="false" customHeight="false" outlineLevel="0" collapsed="false">
      <c r="B2052" s="19" t="s">
        <v>15727</v>
      </c>
      <c r="C2052" s="20" t="n">
        <f aca="false">ROUND(1.89/FX,2)</f>
        <v>0.26</v>
      </c>
      <c r="D2052" s="21" t="s">
        <v>15722</v>
      </c>
      <c r="E2052" s="21" t="s">
        <v>15728</v>
      </c>
    </row>
    <row r="2053" customFormat="false" ht="15" hidden="false" customHeight="false" outlineLevel="0" collapsed="false">
      <c r="B2053" s="19" t="s">
        <v>15729</v>
      </c>
      <c r="C2053" s="20" t="n">
        <f aca="false">ROUND(1.95/FX,2)</f>
        <v>0.27</v>
      </c>
      <c r="D2053" s="21" t="s">
        <v>15730</v>
      </c>
      <c r="E2053" s="21" t="s">
        <v>15731</v>
      </c>
    </row>
    <row r="2056" customFormat="false" ht="61.5" hidden="false" customHeight="true" outlineLevel="0" collapsed="false">
      <c r="A2056" s="9"/>
      <c r="B2056" s="10" t="s">
        <v>15732</v>
      </c>
      <c r="C2056" s="10"/>
      <c r="D2056" s="10"/>
    </row>
    <row r="2057" customFormat="false" ht="15" hidden="false" customHeight="false" outlineLevel="0" collapsed="false">
      <c r="A2057" s="12" t="s">
        <v>700</v>
      </c>
      <c r="B2057" s="13" t="s">
        <v>701</v>
      </c>
      <c r="C2057" s="13" t="s">
        <v>702</v>
      </c>
      <c r="D2057" s="13" t="s">
        <v>6523</v>
      </c>
    </row>
    <row r="2058" customFormat="false" ht="30" hidden="false" customHeight="true" outlineLevel="0" collapsed="false">
      <c r="A2058" s="14" t="s">
        <v>706</v>
      </c>
      <c r="B2058" s="15" t="str">
        <f aca="false">IF(COUNTIFS($D$2061:$D$2092,IF(D2058="","*",D2058))=1,INDEX($B:$B,SUMPRODUCT(((D2058="")+($D$2061:$D$2092=D2058)&gt;0)*ROW($B$2061:$B$2092))),IF(COUNTIFS($D$2061:$D$2092,IF(D2058="","*",D2058))=0,"Not available",COUNTIFS($D$2061:$D$2092,IF(D2058="","*",D2058))&amp;" match, keep choosing"))</f>
        <v>RL-036-51101</v>
      </c>
      <c r="C2058" s="16" t="n">
        <f aca="false">IF(COUNTIFS($D$2061:$D$2092,IF(D2058="","*",D2058))=1,INDEX($C:$C,SUMPRODUCT(((D2058="")+($D$2061:$D$2092=D2058)&gt;0)*ROW($B$2061:$B$2092))),"")</f>
        <v>0.14</v>
      </c>
      <c r="D2058" s="17" t="s">
        <v>15733</v>
      </c>
    </row>
    <row r="2060" customFormat="false" ht="15" hidden="false" customHeight="false" outlineLevel="0" collapsed="false">
      <c r="B2060" s="18" t="s">
        <v>701</v>
      </c>
      <c r="C2060" s="18" t="s">
        <v>702</v>
      </c>
      <c r="D2060" s="18" t="s">
        <v>6523</v>
      </c>
    </row>
    <row r="2061" customFormat="false" ht="15" hidden="false" customHeight="false" outlineLevel="0" collapsed="false">
      <c r="B2061" s="19" t="s">
        <v>15734</v>
      </c>
      <c r="C2061" s="20" t="n">
        <f aca="false">ROUND(0.98/FX,2)</f>
        <v>0.14</v>
      </c>
      <c r="D2061" s="21" t="s">
        <v>15733</v>
      </c>
    </row>
    <row r="2062" customFormat="false" ht="15" hidden="false" customHeight="false" outlineLevel="0" collapsed="false">
      <c r="B2062" s="19" t="s">
        <v>15735</v>
      </c>
      <c r="C2062" s="20" t="n">
        <f aca="false">ROUND(0.98/FX,2)</f>
        <v>0.14</v>
      </c>
      <c r="D2062" s="21" t="s">
        <v>15736</v>
      </c>
    </row>
    <row r="2063" customFormat="false" ht="15" hidden="false" customHeight="false" outlineLevel="0" collapsed="false">
      <c r="B2063" s="19" t="s">
        <v>15737</v>
      </c>
      <c r="C2063" s="20" t="n">
        <f aca="false">ROUND(0.98/FX,2)</f>
        <v>0.14</v>
      </c>
      <c r="D2063" s="21" t="s">
        <v>15738</v>
      </c>
    </row>
    <row r="2064" customFormat="false" ht="15" hidden="false" customHeight="false" outlineLevel="0" collapsed="false">
      <c r="B2064" s="19" t="s">
        <v>15739</v>
      </c>
      <c r="C2064" s="20" t="n">
        <f aca="false">ROUND(1.43/FX,2)</f>
        <v>0.2</v>
      </c>
      <c r="D2064" s="21" t="s">
        <v>15740</v>
      </c>
    </row>
    <row r="2065" customFormat="false" ht="15" hidden="false" customHeight="false" outlineLevel="0" collapsed="false">
      <c r="B2065" s="19" t="s">
        <v>15741</v>
      </c>
      <c r="C2065" s="20" t="n">
        <f aca="false">ROUND(1.82/FX,2)</f>
        <v>0.25</v>
      </c>
      <c r="D2065" s="21" t="s">
        <v>15742</v>
      </c>
    </row>
    <row r="2066" customFormat="false" ht="28.35" hidden="false" customHeight="false" outlineLevel="0" collapsed="false">
      <c r="B2066" s="19" t="s">
        <v>15743</v>
      </c>
      <c r="C2066" s="20" t="n">
        <f aca="false">ROUND(1.15/FX,2)</f>
        <v>0.16</v>
      </c>
      <c r="D2066" s="21" t="s">
        <v>15744</v>
      </c>
    </row>
    <row r="2067" customFormat="false" ht="28.35" hidden="false" customHeight="false" outlineLevel="0" collapsed="false">
      <c r="B2067" s="19" t="s">
        <v>15745</v>
      </c>
      <c r="C2067" s="20" t="n">
        <f aca="false">ROUND(1.56/FX,2)</f>
        <v>0.22</v>
      </c>
      <c r="D2067" s="21" t="s">
        <v>15746</v>
      </c>
    </row>
    <row r="2068" customFormat="false" ht="28.35" hidden="false" customHeight="false" outlineLevel="0" collapsed="false">
      <c r="B2068" s="19" t="s">
        <v>15747</v>
      </c>
      <c r="C2068" s="20" t="n">
        <f aca="false">ROUND(1.04/FX,2)</f>
        <v>0.14</v>
      </c>
      <c r="D2068" s="21" t="s">
        <v>15748</v>
      </c>
    </row>
    <row r="2069" customFormat="false" ht="28.35" hidden="false" customHeight="false" outlineLevel="0" collapsed="false">
      <c r="B2069" s="19" t="s">
        <v>15749</v>
      </c>
      <c r="C2069" s="20" t="n">
        <f aca="false">ROUND(1.76/FX,2)</f>
        <v>0.24</v>
      </c>
      <c r="D2069" s="21" t="s">
        <v>15750</v>
      </c>
    </row>
    <row r="2070" customFormat="false" ht="28.35" hidden="false" customHeight="false" outlineLevel="0" collapsed="false">
      <c r="B2070" s="19" t="s">
        <v>15751</v>
      </c>
      <c r="C2070" s="20" t="n">
        <f aca="false">ROUND(1.11/FX,2)</f>
        <v>0.15</v>
      </c>
      <c r="D2070" s="21" t="s">
        <v>15752</v>
      </c>
    </row>
    <row r="2071" customFormat="false" ht="15" hidden="false" customHeight="false" outlineLevel="0" collapsed="false">
      <c r="B2071" s="19" t="s">
        <v>15753</v>
      </c>
      <c r="C2071" s="20" t="n">
        <f aca="false">ROUND(1.63/FX,2)</f>
        <v>0.23</v>
      </c>
      <c r="D2071" s="21" t="s">
        <v>15754</v>
      </c>
    </row>
    <row r="2072" customFormat="false" ht="15" hidden="false" customHeight="false" outlineLevel="0" collapsed="false">
      <c r="B2072" s="19" t="s">
        <v>15755</v>
      </c>
      <c r="C2072" s="20" t="n">
        <f aca="false">ROUND(2.51/FX,2)</f>
        <v>0.35</v>
      </c>
      <c r="D2072" s="21" t="s">
        <v>15756</v>
      </c>
    </row>
    <row r="2073" customFormat="false" ht="15" hidden="false" customHeight="false" outlineLevel="0" collapsed="false">
      <c r="B2073" s="19" t="s">
        <v>15757</v>
      </c>
      <c r="C2073" s="20" t="n">
        <f aca="false">ROUND(1.4/FX,2)</f>
        <v>0.19</v>
      </c>
      <c r="D2073" s="21" t="s">
        <v>15758</v>
      </c>
    </row>
    <row r="2074" customFormat="false" ht="15" hidden="false" customHeight="false" outlineLevel="0" collapsed="false">
      <c r="B2074" s="19" t="s">
        <v>15759</v>
      </c>
      <c r="C2074" s="20" t="n">
        <f aca="false">ROUND(1.43/FX,2)</f>
        <v>0.2</v>
      </c>
      <c r="D2074" s="21" t="s">
        <v>15760</v>
      </c>
    </row>
    <row r="2075" customFormat="false" ht="15" hidden="false" customHeight="false" outlineLevel="0" collapsed="false">
      <c r="B2075" s="19" t="s">
        <v>15761</v>
      </c>
      <c r="C2075" s="20" t="n">
        <f aca="false">ROUND(1.63/FX,2)</f>
        <v>0.23</v>
      </c>
      <c r="D2075" s="21" t="s">
        <v>15762</v>
      </c>
    </row>
    <row r="2076" customFormat="false" ht="15" hidden="false" customHeight="false" outlineLevel="0" collapsed="false">
      <c r="B2076" s="19" t="s">
        <v>15763</v>
      </c>
      <c r="C2076" s="20" t="n">
        <f aca="false">ROUND(1.37/FX,2)</f>
        <v>0.19</v>
      </c>
      <c r="D2076" s="21" t="s">
        <v>15764</v>
      </c>
    </row>
    <row r="2077" customFormat="false" ht="15" hidden="false" customHeight="false" outlineLevel="0" collapsed="false">
      <c r="B2077" s="19" t="s">
        <v>15765</v>
      </c>
      <c r="C2077" s="20" t="n">
        <f aca="false">ROUND(1.43/FX,2)</f>
        <v>0.2</v>
      </c>
      <c r="D2077" s="21" t="s">
        <v>15766</v>
      </c>
    </row>
    <row r="2078" customFormat="false" ht="15" hidden="false" customHeight="false" outlineLevel="0" collapsed="false">
      <c r="B2078" s="19" t="s">
        <v>15767</v>
      </c>
      <c r="C2078" s="20" t="n">
        <f aca="false">ROUND(1.24/FX,2)</f>
        <v>0.17</v>
      </c>
      <c r="D2078" s="21" t="s">
        <v>15768</v>
      </c>
    </row>
    <row r="2079" customFormat="false" ht="15" hidden="false" customHeight="false" outlineLevel="0" collapsed="false">
      <c r="B2079" s="19" t="s">
        <v>15769</v>
      </c>
      <c r="C2079" s="20" t="n">
        <f aca="false">ROUND(1.76/FX,2)</f>
        <v>0.24</v>
      </c>
      <c r="D2079" s="21" t="s">
        <v>15770</v>
      </c>
    </row>
    <row r="2080" customFormat="false" ht="15" hidden="false" customHeight="false" outlineLevel="0" collapsed="false">
      <c r="B2080" s="19" t="s">
        <v>15771</v>
      </c>
      <c r="C2080" s="20" t="n">
        <f aca="false">ROUND(1.43/FX,2)</f>
        <v>0.2</v>
      </c>
      <c r="D2080" s="21" t="s">
        <v>15772</v>
      </c>
    </row>
    <row r="2081" customFormat="false" ht="15" hidden="false" customHeight="false" outlineLevel="0" collapsed="false">
      <c r="B2081" s="19" t="s">
        <v>15773</v>
      </c>
      <c r="C2081" s="20" t="n">
        <f aca="false">ROUND(1.69/FX,2)</f>
        <v>0.23</v>
      </c>
      <c r="D2081" s="21" t="s">
        <v>15774</v>
      </c>
    </row>
    <row r="2082" customFormat="false" ht="15" hidden="false" customHeight="false" outlineLevel="0" collapsed="false">
      <c r="B2082" s="19" t="s">
        <v>15775</v>
      </c>
      <c r="C2082" s="20" t="n">
        <f aca="false">ROUND(1.47/FX,2)</f>
        <v>0.2</v>
      </c>
      <c r="D2082" s="21" t="s">
        <v>15776</v>
      </c>
    </row>
    <row r="2083" customFormat="false" ht="15" hidden="false" customHeight="false" outlineLevel="0" collapsed="false">
      <c r="B2083" s="19" t="s">
        <v>15777</v>
      </c>
      <c r="C2083" s="20" t="n">
        <f aca="false">ROUND(1.47/FX,2)</f>
        <v>0.2</v>
      </c>
      <c r="D2083" s="21" t="s">
        <v>15778</v>
      </c>
    </row>
    <row r="2084" customFormat="false" ht="15" hidden="false" customHeight="false" outlineLevel="0" collapsed="false">
      <c r="B2084" s="19" t="s">
        <v>15779</v>
      </c>
      <c r="C2084" s="20" t="n">
        <f aca="false">ROUND(1.69/FX,2)</f>
        <v>0.23</v>
      </c>
      <c r="D2084" s="21" t="s">
        <v>15780</v>
      </c>
    </row>
    <row r="2085" customFormat="false" ht="15" hidden="false" customHeight="false" outlineLevel="0" collapsed="false">
      <c r="B2085" s="19" t="s">
        <v>15781</v>
      </c>
      <c r="C2085" s="20" t="n">
        <f aca="false">ROUND(1.47/FX,2)</f>
        <v>0.2</v>
      </c>
      <c r="D2085" s="21" t="s">
        <v>15782</v>
      </c>
    </row>
    <row r="2086" customFormat="false" ht="15" hidden="false" customHeight="false" outlineLevel="0" collapsed="false">
      <c r="B2086" s="19" t="s">
        <v>15783</v>
      </c>
      <c r="C2086" s="20" t="n">
        <f aca="false">ROUND(1.69/FX,2)</f>
        <v>0.23</v>
      </c>
      <c r="D2086" s="21" t="s">
        <v>15784</v>
      </c>
    </row>
    <row r="2087" customFormat="false" ht="15" hidden="false" customHeight="false" outlineLevel="0" collapsed="false">
      <c r="B2087" s="19" t="s">
        <v>15785</v>
      </c>
      <c r="C2087" s="20" t="n">
        <f aca="false">ROUND(1.56/FX,2)</f>
        <v>0.22</v>
      </c>
      <c r="D2087" s="21" t="s">
        <v>15786</v>
      </c>
    </row>
    <row r="2088" customFormat="false" ht="15" hidden="false" customHeight="false" outlineLevel="0" collapsed="false">
      <c r="B2088" s="19" t="s">
        <v>15787</v>
      </c>
      <c r="C2088" s="20" t="n">
        <f aca="false">ROUND(0.98/FX,2)</f>
        <v>0.14</v>
      </c>
      <c r="D2088" s="21" t="s">
        <v>15788</v>
      </c>
    </row>
    <row r="2089" customFormat="false" ht="15" hidden="false" customHeight="false" outlineLevel="0" collapsed="false">
      <c r="B2089" s="19" t="s">
        <v>15789</v>
      </c>
      <c r="C2089" s="20" t="n">
        <f aca="false">ROUND(1.76/FX,2)</f>
        <v>0.24</v>
      </c>
      <c r="D2089" s="21" t="s">
        <v>15790</v>
      </c>
    </row>
    <row r="2090" customFormat="false" ht="15" hidden="false" customHeight="false" outlineLevel="0" collapsed="false">
      <c r="B2090" s="19" t="s">
        <v>15791</v>
      </c>
      <c r="C2090" s="20" t="n">
        <f aca="false">ROUND(1.82/FX,2)</f>
        <v>0.25</v>
      </c>
      <c r="D2090" s="21" t="s">
        <v>15792</v>
      </c>
    </row>
    <row r="2091" customFormat="false" ht="15" hidden="false" customHeight="false" outlineLevel="0" collapsed="false">
      <c r="B2091" s="19" t="s">
        <v>15793</v>
      </c>
      <c r="C2091" s="20" t="n">
        <f aca="false">ROUND(1.43/FX,2)</f>
        <v>0.2</v>
      </c>
      <c r="D2091" s="21" t="s">
        <v>15794</v>
      </c>
    </row>
    <row r="2092" customFormat="false" ht="15" hidden="false" customHeight="false" outlineLevel="0" collapsed="false">
      <c r="B2092" s="19" t="s">
        <v>15795</v>
      </c>
      <c r="C2092" s="20" t="n">
        <f aca="false">ROUND(1.8/FX,2)</f>
        <v>0.25</v>
      </c>
      <c r="D2092" s="21" t="s">
        <v>15796</v>
      </c>
    </row>
    <row r="2095" customFormat="false" ht="61.5" hidden="false" customHeight="true" outlineLevel="0" collapsed="false">
      <c r="A2095" s="9"/>
      <c r="B2095" s="10" t="s">
        <v>15797</v>
      </c>
      <c r="C2095" s="10"/>
      <c r="D2095" s="10"/>
      <c r="E2095" s="10"/>
    </row>
    <row r="2096" customFormat="false" ht="15" hidden="false" customHeight="false" outlineLevel="0" collapsed="false">
      <c r="A2096" s="12" t="s">
        <v>700</v>
      </c>
      <c r="B2096" s="13" t="s">
        <v>701</v>
      </c>
      <c r="C2096" s="13" t="s">
        <v>702</v>
      </c>
      <c r="D2096" s="13" t="s">
        <v>723</v>
      </c>
      <c r="E2096" s="13" t="s">
        <v>6523</v>
      </c>
    </row>
    <row r="2097" customFormat="false" ht="30" hidden="false" customHeight="true" outlineLevel="0" collapsed="false">
      <c r="A2097" s="14" t="s">
        <v>706</v>
      </c>
      <c r="B2097" s="15" t="str">
        <f aca="false">IF(COUNTIFS($D$2100:$D$2102,IF(D2097="","*",D2097),$E$2100:$E$2102,IF(E2097="","*",E2097))=1,INDEX($B:$B,SUMPRODUCT(((D2097="")+($D$2100:$D$2102=D2097)&gt;0)*((E2097="")+($E$2100:$E$2102=E2097)&gt;0)*ROW($B$2100:$B$2102))),IF(COUNTIFS($D$2100:$D$2102,IF(D2097="","*",D2097),$E$2100:$E$2102,IF(E2097="","*",E2097))=0,"Not available",COUNTIFS($D$2100:$D$2102,IF(D2097="","*",D2097),$E$2100:$E$2102,IF(E2097="","*",E2097))&amp;" match, keep choosing"))</f>
        <v>RL-056-12x24x6-F6901-2RS</v>
      </c>
      <c r="C2097" s="16" t="n">
        <f aca="false">IF(COUNTIFS($D$2100:$D$2102,IF(D2097="","*",D2097),$E$2100:$E$2102,IF(E2097="","*",E2097))=1,INDEX($C:$C,SUMPRODUCT(((D2097="")+($D$2100:$D$2102=D2097)&gt;0)*((E2097="")+($E$2100:$E$2102=E2097)&gt;0)*ROW($B$2100:$B$2102))),"")</f>
        <v>0.33</v>
      </c>
      <c r="D2097" s="17" t="s">
        <v>15798</v>
      </c>
      <c r="E2097" s="17" t="s">
        <v>15799</v>
      </c>
    </row>
    <row r="2099" customFormat="false" ht="15" hidden="false" customHeight="false" outlineLevel="0" collapsed="false">
      <c r="B2099" s="18" t="s">
        <v>701</v>
      </c>
      <c r="C2099" s="18" t="s">
        <v>702</v>
      </c>
      <c r="D2099" s="18" t="s">
        <v>723</v>
      </c>
      <c r="E2099" s="18" t="s">
        <v>6523</v>
      </c>
    </row>
    <row r="2100" customFormat="false" ht="15" hidden="false" customHeight="false" outlineLevel="0" collapsed="false">
      <c r="B2100" s="19" t="s">
        <v>15800</v>
      </c>
      <c r="C2100" s="20" t="n">
        <f aca="false">ROUND(2.34/FX,2)</f>
        <v>0.33</v>
      </c>
      <c r="D2100" s="21" t="s">
        <v>15798</v>
      </c>
      <c r="E2100" s="21" t="s">
        <v>15799</v>
      </c>
    </row>
    <row r="2101" customFormat="false" ht="15" hidden="false" customHeight="false" outlineLevel="0" collapsed="false">
      <c r="B2101" s="19" t="s">
        <v>15801</v>
      </c>
      <c r="C2101" s="20" t="n">
        <f aca="false">ROUND(4.03/FX,2)</f>
        <v>0.56</v>
      </c>
      <c r="D2101" s="21" t="s">
        <v>15802</v>
      </c>
      <c r="E2101" s="21" t="s">
        <v>15803</v>
      </c>
    </row>
    <row r="2102" customFormat="false" ht="15" hidden="false" customHeight="false" outlineLevel="0" collapsed="false">
      <c r="B2102" s="19" t="s">
        <v>15804</v>
      </c>
      <c r="C2102" s="20" t="n">
        <f aca="false">ROUND(1.5/FX,2)</f>
        <v>0.21</v>
      </c>
      <c r="D2102" s="21" t="s">
        <v>15805</v>
      </c>
      <c r="E2102" s="21" t="s">
        <v>15806</v>
      </c>
    </row>
    <row r="2105" customFormat="false" ht="61.5" hidden="false" customHeight="true" outlineLevel="0" collapsed="false">
      <c r="A2105" s="9"/>
      <c r="B2105" s="10" t="s">
        <v>15807</v>
      </c>
      <c r="C2105" s="10"/>
      <c r="D2105" s="10"/>
    </row>
    <row r="2106" customFormat="false" ht="15" hidden="false" customHeight="false" outlineLevel="0" collapsed="false">
      <c r="B2106" s="18" t="s">
        <v>701</v>
      </c>
      <c r="C2106" s="18" t="s">
        <v>702</v>
      </c>
      <c r="D2106" s="18" t="s">
        <v>5610</v>
      </c>
    </row>
    <row r="2107" customFormat="false" ht="15" hidden="false" customHeight="false" outlineLevel="0" collapsed="false">
      <c r="B2107" s="19" t="s">
        <v>15808</v>
      </c>
      <c r="C2107" s="20" t="n">
        <f aca="false">ROUND(23.4/FX,2)</f>
        <v>3.25</v>
      </c>
      <c r="D2107" s="22" t="s">
        <v>5612</v>
      </c>
    </row>
    <row r="2110" customFormat="false" ht="61.5" hidden="false" customHeight="true" outlineLevel="0" collapsed="false">
      <c r="A2110" s="9"/>
      <c r="B2110" s="10" t="s">
        <v>15809</v>
      </c>
      <c r="C2110" s="10"/>
      <c r="D2110" s="10"/>
      <c r="E2110" s="10"/>
      <c r="F2110" s="10"/>
    </row>
    <row r="2111" customFormat="false" ht="15" hidden="false" customHeight="false" outlineLevel="0" collapsed="false">
      <c r="A2111" s="12" t="s">
        <v>700</v>
      </c>
      <c r="B2111" s="13" t="s">
        <v>701</v>
      </c>
      <c r="C2111" s="13" t="s">
        <v>702</v>
      </c>
      <c r="D2111" s="13" t="s">
        <v>704</v>
      </c>
      <c r="E2111" s="13" t="s">
        <v>723</v>
      </c>
      <c r="F2111" s="13" t="s">
        <v>6523</v>
      </c>
    </row>
    <row r="2112" customFormat="false" ht="30" hidden="false" customHeight="true" outlineLevel="0" collapsed="false">
      <c r="A2112" s="14" t="s">
        <v>706</v>
      </c>
      <c r="B2112" s="15" t="str">
        <f aca="false">IF(COUNTIFS($D$2115:$D$2119,IF(D2112="","*",D2112),$E$2115:$E$2119,IF(E2112="","*",E2112),$F$2115:$F$2119,IF(F2112="","*",F2112))=1,INDEX($B:$B,SUMPRODUCT(((D2112="")+($D$2115:$D$2119=D2112)&gt;0)*((E2112="")+($E$2115:$E$2119=E2112)&gt;0)*((F2112="")+($F$2115:$F$2119=F2112)&gt;0)*ROW($B$2115:$B$2119))),IF(COUNTIFS($D$2115:$D$2119,IF(D2112="","*",D2112),$E$2115:$E$2119,IF(E2112="","*",E2112),$F$2115:$F$2119,IF(F2112="","*",F2112))=0,"Not available",COUNTIFS($D$2115:$D$2119,IF(D2112="","*",D2112),$E$2115:$E$2119,IF(E2112="","*",E2112),$F$2115:$F$2119,IF(F2112="","*",F2112))&amp;" match, keep choosing"))</f>
        <v>RL-039-3x12x4-CS-V623ZZ</v>
      </c>
      <c r="C2112" s="16" t="n">
        <f aca="false">IF(COUNTIFS($D$2115:$D$2119,IF(D2112="","*",D2112),$E$2115:$E$2119,IF(E2112="","*",E2112),$F$2115:$F$2119,IF(F2112="","*",F2112))=1,INDEX($C:$C,SUMPRODUCT(((D2112="")+($D$2115:$D$2119=D2112)&gt;0)*((E2112="")+($E$2115:$E$2119=E2112)&gt;0)*((F2112="")+($F$2115:$F$2119=F2112)&gt;0)*ROW($B$2115:$B$2119))),"")</f>
        <v>0.08</v>
      </c>
      <c r="D2112" s="17" t="s">
        <v>10100</v>
      </c>
      <c r="E2112" s="17" t="s">
        <v>15810</v>
      </c>
      <c r="F2112" s="17" t="s">
        <v>15811</v>
      </c>
    </row>
    <row r="2114" customFormat="false" ht="15" hidden="false" customHeight="false" outlineLevel="0" collapsed="false">
      <c r="B2114" s="18" t="s">
        <v>701</v>
      </c>
      <c r="C2114" s="18" t="s">
        <v>702</v>
      </c>
      <c r="D2114" s="18" t="s">
        <v>704</v>
      </c>
      <c r="E2114" s="18" t="s">
        <v>723</v>
      </c>
      <c r="F2114" s="18" t="s">
        <v>6523</v>
      </c>
    </row>
    <row r="2115" customFormat="false" ht="15" hidden="false" customHeight="false" outlineLevel="0" collapsed="false">
      <c r="B2115" s="19" t="s">
        <v>15812</v>
      </c>
      <c r="C2115" s="20" t="n">
        <f aca="false">ROUND(0.61/FX,2)</f>
        <v>0.08</v>
      </c>
      <c r="D2115" s="21" t="s">
        <v>10100</v>
      </c>
      <c r="E2115" s="21" t="s">
        <v>15810</v>
      </c>
      <c r="F2115" s="21" t="s">
        <v>15811</v>
      </c>
    </row>
    <row r="2116" customFormat="false" ht="15" hidden="false" customHeight="false" outlineLevel="0" collapsed="false">
      <c r="B2116" s="19" t="s">
        <v>15813</v>
      </c>
      <c r="C2116" s="20" t="n">
        <f aca="false">ROUND(1.51/FX,2)</f>
        <v>0.21</v>
      </c>
      <c r="D2116" s="21" t="s">
        <v>15814</v>
      </c>
      <c r="E2116" s="21" t="s">
        <v>15810</v>
      </c>
      <c r="F2116" s="21" t="s">
        <v>15811</v>
      </c>
    </row>
    <row r="2117" customFormat="false" ht="15" hidden="false" customHeight="false" outlineLevel="0" collapsed="false">
      <c r="B2117" s="19" t="s">
        <v>15815</v>
      </c>
      <c r="C2117" s="20" t="n">
        <f aca="false">ROUND(0.6/FX,2)</f>
        <v>0.08</v>
      </c>
      <c r="D2117" s="21" t="s">
        <v>10100</v>
      </c>
      <c r="E2117" s="21" t="s">
        <v>15816</v>
      </c>
      <c r="F2117" s="21" t="s">
        <v>15817</v>
      </c>
    </row>
    <row r="2118" customFormat="false" ht="15" hidden="false" customHeight="false" outlineLevel="0" collapsed="false">
      <c r="B2118" s="19" t="s">
        <v>15818</v>
      </c>
      <c r="C2118" s="20" t="n">
        <f aca="false">ROUND(1.54/FX,2)</f>
        <v>0.21</v>
      </c>
      <c r="D2118" s="21" t="s">
        <v>15814</v>
      </c>
      <c r="E2118" s="21" t="s">
        <v>15816</v>
      </c>
      <c r="F2118" s="21" t="s">
        <v>15817</v>
      </c>
    </row>
    <row r="2119" customFormat="false" ht="15" hidden="false" customHeight="false" outlineLevel="0" collapsed="false">
      <c r="B2119" s="19" t="s">
        <v>15819</v>
      </c>
      <c r="C2119" s="20" t="n">
        <f aca="false">ROUND(2.21/FX,2)</f>
        <v>0.31</v>
      </c>
      <c r="D2119" s="21" t="s">
        <v>15814</v>
      </c>
      <c r="E2119" s="21" t="s">
        <v>15820</v>
      </c>
      <c r="F2119" s="21" t="s">
        <v>15723</v>
      </c>
    </row>
    <row r="2122" customFormat="false" ht="61.5" hidden="false" customHeight="true" outlineLevel="0" collapsed="false">
      <c r="A2122" s="9"/>
      <c r="B2122" s="10" t="s">
        <v>15821</v>
      </c>
      <c r="C2122" s="10"/>
      <c r="D2122" s="10"/>
      <c r="E2122" s="10"/>
      <c r="F2122" s="10"/>
      <c r="G2122" s="10"/>
      <c r="H2122" s="10"/>
    </row>
    <row r="2123" customFormat="false" ht="15" hidden="false" customHeight="false" outlineLevel="0" collapsed="false">
      <c r="A2123" s="12" t="s">
        <v>700</v>
      </c>
      <c r="B2123" s="13" t="s">
        <v>701</v>
      </c>
      <c r="C2123" s="13" t="s">
        <v>702</v>
      </c>
      <c r="D2123" s="13" t="s">
        <v>722</v>
      </c>
      <c r="E2123" s="13" t="s">
        <v>704</v>
      </c>
      <c r="F2123" s="13" t="s">
        <v>6159</v>
      </c>
      <c r="G2123" s="13" t="s">
        <v>705</v>
      </c>
      <c r="H2123" s="13" t="s">
        <v>6523</v>
      </c>
    </row>
    <row r="2124" customFormat="false" ht="30" hidden="false" customHeight="true" outlineLevel="0" collapsed="false">
      <c r="A2124" s="14" t="s">
        <v>706</v>
      </c>
      <c r="B2124" s="15" t="str">
        <f aca="false">IF(COUNTIFS($D$2127:$D$2241,IF(D2124="","*",D2124),$E$2127:$E$2241,IF(E2124="","*",E2124),$F$2127:$F$2241,IF(F2124="","*",F2124),$G$2127:$G$2241,IF(G2124="","*",G2124),$H$2127:$H$2241,IF(H2124="","*",H2124))=1,INDEX($B:$B,SUMPRODUCT(((D2124="")+($D$2127:$D$2241=D2124)&gt;0)*((E2124="")+($E$2127:$E$2241=E2124)&gt;0)*((F2124="")+($F$2127:$F$2241=F2124)&gt;0)*((G2124="")+($G$2127:$G$2241=G2124)&gt;0)*((H2124="")+($H$2127:$H$2241=H2124)&gt;0)*ROW($B$2127:$B$2241))),IF(COUNTIFS($D$2127:$D$2241,IF(D2124="","*",D2124),$E$2127:$E$2241,IF(E2124="","*",E2124),$F$2127:$F$2241,IF(F2124="","*",F2124),$G$2127:$G$2241,IF(G2124="","*",G2124),$H$2127:$H$2241,IF(H2124="","*",H2124))=0,"Not available",COUNTIFS($D$2127:$D$2241,IF(D2124="","*",D2124),$E$2127:$E$2241,IF(E2124="","*",E2124),$F$2127:$F$2241,IF(F2124="","*",F2124),$G$2127:$G$2241,IF(G2124="","*",G2124),$H$2127:$H$2241,IF(H2124="","*",H2124))&amp;" match, keep choosing"))</f>
        <v>BRG-12268-2RS-12x26x8</v>
      </c>
      <c r="C2124" s="16" t="n">
        <f aca="false">IF(COUNTIFS($D$2127:$D$2241,IF(D2124="","*",D2124),$E$2127:$E$2241,IF(E2124="","*",E2124),$F$2127:$F$2241,IF(F2124="","*",F2124),$G$2127:$G$2241,IF(G2124="","*",G2124),$H$2127:$H$2241,IF(H2124="","*",H2124))=1,INDEX($C:$C,SUMPRODUCT(((D2124="")+($D$2127:$D$2241=D2124)&gt;0)*((E2124="")+($E$2127:$E$2241=E2124)&gt;0)*((F2124="")+($F$2127:$F$2241=F2124)&gt;0)*((G2124="")+($G$2127:$G$2241=G2124)&gt;0)*((H2124="")+($H$2127:$H$2241=H2124)&gt;0)*ROW($B$2127:$B$2241))),"")</f>
        <v>0.24</v>
      </c>
      <c r="D2124" s="17" t="s">
        <v>15458</v>
      </c>
      <c r="E2124" s="17" t="s">
        <v>15814</v>
      </c>
      <c r="F2124" s="17" t="s">
        <v>15822</v>
      </c>
      <c r="G2124" s="17" t="s">
        <v>13732</v>
      </c>
      <c r="H2124" s="17" t="s">
        <v>15823</v>
      </c>
    </row>
    <row r="2126" customFormat="false" ht="15" hidden="false" customHeight="false" outlineLevel="0" collapsed="false">
      <c r="B2126" s="18" t="s">
        <v>701</v>
      </c>
      <c r="C2126" s="18" t="s">
        <v>702</v>
      </c>
      <c r="D2126" s="18" t="s">
        <v>722</v>
      </c>
      <c r="E2126" s="18" t="s">
        <v>704</v>
      </c>
      <c r="F2126" s="18" t="s">
        <v>6159</v>
      </c>
      <c r="G2126" s="18" t="s">
        <v>705</v>
      </c>
      <c r="H2126" s="18" t="s">
        <v>6523</v>
      </c>
    </row>
    <row r="2127" customFormat="false" ht="15" hidden="false" customHeight="false" outlineLevel="0" collapsed="false">
      <c r="B2127" s="19" t="s">
        <v>15824</v>
      </c>
      <c r="C2127" s="20" t="n">
        <f aca="false">ROUND(1.73/FX,2)</f>
        <v>0.24</v>
      </c>
      <c r="D2127" s="21" t="s">
        <v>15458</v>
      </c>
      <c r="E2127" s="21" t="s">
        <v>15814</v>
      </c>
      <c r="F2127" s="21" t="s">
        <v>15822</v>
      </c>
      <c r="G2127" s="21" t="s">
        <v>13732</v>
      </c>
      <c r="H2127" s="21" t="s">
        <v>15823</v>
      </c>
    </row>
    <row r="2128" customFormat="false" ht="15" hidden="false" customHeight="false" outlineLevel="0" collapsed="false">
      <c r="B2128" s="19" t="s">
        <v>15825</v>
      </c>
      <c r="C2128" s="20" t="n">
        <f aca="false">ROUND(16.9/FX,2)</f>
        <v>2.35</v>
      </c>
      <c r="D2128" s="21" t="s">
        <v>15458</v>
      </c>
      <c r="E2128" s="21" t="s">
        <v>15814</v>
      </c>
      <c r="F2128" s="21" t="s">
        <v>15826</v>
      </c>
      <c r="G2128" s="21" t="s">
        <v>13732</v>
      </c>
      <c r="H2128" s="21" t="s">
        <v>15827</v>
      </c>
    </row>
    <row r="2129" customFormat="false" ht="15" hidden="false" customHeight="false" outlineLevel="0" collapsed="false">
      <c r="B2129" s="19" t="s">
        <v>15828</v>
      </c>
      <c r="C2129" s="20" t="n">
        <f aca="false">ROUND(2.16/FX,2)</f>
        <v>0.3</v>
      </c>
      <c r="D2129" s="21" t="s">
        <v>15458</v>
      </c>
      <c r="E2129" s="21" t="s">
        <v>15814</v>
      </c>
      <c r="F2129" s="21" t="s">
        <v>15829</v>
      </c>
      <c r="G2129" s="21" t="s">
        <v>13732</v>
      </c>
      <c r="H2129" s="21" t="s">
        <v>15830</v>
      </c>
    </row>
    <row r="2130" customFormat="false" ht="15" hidden="false" customHeight="false" outlineLevel="0" collapsed="false">
      <c r="B2130" s="19" t="s">
        <v>15831</v>
      </c>
      <c r="C2130" s="20" t="n">
        <f aca="false">ROUND(1.82/FX,2)</f>
        <v>0.25</v>
      </c>
      <c r="D2130" s="21" t="s">
        <v>15458</v>
      </c>
      <c r="E2130" s="21" t="s">
        <v>15814</v>
      </c>
      <c r="F2130" s="21" t="s">
        <v>15832</v>
      </c>
      <c r="G2130" s="21" t="s">
        <v>13739</v>
      </c>
      <c r="H2130" s="21" t="s">
        <v>15495</v>
      </c>
    </row>
    <row r="2131" customFormat="false" ht="15" hidden="false" customHeight="false" outlineLevel="0" collapsed="false">
      <c r="B2131" s="19" t="s">
        <v>15833</v>
      </c>
      <c r="C2131" s="20" t="n">
        <f aca="false">ROUND(1.82/FX,2)</f>
        <v>0.25</v>
      </c>
      <c r="D2131" s="21" t="s">
        <v>15458</v>
      </c>
      <c r="E2131" s="21" t="s">
        <v>15814</v>
      </c>
      <c r="F2131" s="21" t="s">
        <v>15834</v>
      </c>
      <c r="G2131" s="21" t="s">
        <v>13739</v>
      </c>
      <c r="H2131" s="21" t="s">
        <v>15495</v>
      </c>
    </row>
    <row r="2132" customFormat="false" ht="15" hidden="false" customHeight="false" outlineLevel="0" collapsed="false">
      <c r="B2132" s="19" t="s">
        <v>15835</v>
      </c>
      <c r="C2132" s="20" t="n">
        <f aca="false">ROUND(1.88/FX,2)</f>
        <v>0.26</v>
      </c>
      <c r="D2132" s="21" t="s">
        <v>15458</v>
      </c>
      <c r="E2132" s="21" t="s">
        <v>15814</v>
      </c>
      <c r="F2132" s="21" t="s">
        <v>15836</v>
      </c>
      <c r="G2132" s="21" t="s">
        <v>13739</v>
      </c>
      <c r="H2132" s="21" t="s">
        <v>15483</v>
      </c>
    </row>
    <row r="2133" customFormat="false" ht="15" hidden="false" customHeight="false" outlineLevel="0" collapsed="false">
      <c r="B2133" s="19" t="s">
        <v>15837</v>
      </c>
      <c r="C2133" s="20" t="n">
        <f aca="false">ROUND(1.88/FX,2)</f>
        <v>0.26</v>
      </c>
      <c r="D2133" s="21" t="s">
        <v>15458</v>
      </c>
      <c r="E2133" s="21" t="s">
        <v>15814</v>
      </c>
      <c r="F2133" s="21" t="s">
        <v>15838</v>
      </c>
      <c r="G2133" s="21" t="s">
        <v>13739</v>
      </c>
      <c r="H2133" s="21" t="s">
        <v>15483</v>
      </c>
    </row>
    <row r="2134" customFormat="false" ht="15" hidden="false" customHeight="false" outlineLevel="0" collapsed="false">
      <c r="B2134" s="19" t="s">
        <v>15839</v>
      </c>
      <c r="C2134" s="20" t="n">
        <f aca="false">ROUND(0.89/FX,2)</f>
        <v>0.12</v>
      </c>
      <c r="D2134" s="21" t="s">
        <v>15458</v>
      </c>
      <c r="E2134" s="21" t="s">
        <v>15814</v>
      </c>
      <c r="F2134" s="21" t="s">
        <v>15840</v>
      </c>
      <c r="G2134" s="21" t="s">
        <v>13732</v>
      </c>
      <c r="H2134" s="21" t="s">
        <v>15507</v>
      </c>
    </row>
    <row r="2135" customFormat="false" ht="15" hidden="false" customHeight="false" outlineLevel="0" collapsed="false">
      <c r="B2135" s="19" t="s">
        <v>15841</v>
      </c>
      <c r="C2135" s="20" t="n">
        <f aca="false">ROUND(1.15/FX,2)</f>
        <v>0.16</v>
      </c>
      <c r="D2135" s="21" t="s">
        <v>15458</v>
      </c>
      <c r="E2135" s="21" t="s">
        <v>15814</v>
      </c>
      <c r="F2135" s="21" t="s">
        <v>15842</v>
      </c>
      <c r="G2135" s="21" t="s">
        <v>13732</v>
      </c>
      <c r="H2135" s="21" t="s">
        <v>15487</v>
      </c>
    </row>
    <row r="2136" customFormat="false" ht="15" hidden="false" customHeight="false" outlineLevel="0" collapsed="false">
      <c r="B2136" s="19" t="s">
        <v>15843</v>
      </c>
      <c r="C2136" s="20" t="n">
        <f aca="false">ROUND(1.15/FX,2)</f>
        <v>0.16</v>
      </c>
      <c r="D2136" s="21" t="s">
        <v>15458</v>
      </c>
      <c r="E2136" s="21" t="s">
        <v>15814</v>
      </c>
      <c r="F2136" s="21" t="s">
        <v>15844</v>
      </c>
      <c r="G2136" s="21" t="s">
        <v>13732</v>
      </c>
      <c r="H2136" s="21" t="s">
        <v>15487</v>
      </c>
    </row>
    <row r="2137" customFormat="false" ht="15" hidden="false" customHeight="false" outlineLevel="0" collapsed="false">
      <c r="B2137" s="19" t="s">
        <v>15845</v>
      </c>
      <c r="C2137" s="20" t="n">
        <f aca="false">ROUND(1.47/FX,2)</f>
        <v>0.2</v>
      </c>
      <c r="D2137" s="21" t="s">
        <v>15458</v>
      </c>
      <c r="E2137" s="21" t="s">
        <v>15814</v>
      </c>
      <c r="F2137" s="21" t="s">
        <v>15846</v>
      </c>
      <c r="G2137" s="21" t="s">
        <v>13732</v>
      </c>
      <c r="H2137" s="21" t="s">
        <v>15517</v>
      </c>
    </row>
    <row r="2138" customFormat="false" ht="15" hidden="false" customHeight="false" outlineLevel="0" collapsed="false">
      <c r="B2138" s="19" t="s">
        <v>15847</v>
      </c>
      <c r="C2138" s="20" t="n">
        <f aca="false">ROUND(1.76/FX,2)</f>
        <v>0.24</v>
      </c>
      <c r="D2138" s="21" t="s">
        <v>15458</v>
      </c>
      <c r="E2138" s="21" t="s">
        <v>15814</v>
      </c>
      <c r="F2138" s="21" t="s">
        <v>15848</v>
      </c>
      <c r="G2138" s="21" t="s">
        <v>13732</v>
      </c>
      <c r="H2138" s="21" t="s">
        <v>15523</v>
      </c>
    </row>
    <row r="2139" customFormat="false" ht="15" hidden="false" customHeight="false" outlineLevel="0" collapsed="false">
      <c r="B2139" s="19" t="s">
        <v>15849</v>
      </c>
      <c r="C2139" s="20" t="n">
        <f aca="false">ROUND(2.47/FX,2)</f>
        <v>0.34</v>
      </c>
      <c r="D2139" s="21" t="s">
        <v>15458</v>
      </c>
      <c r="E2139" s="21" t="s">
        <v>15814</v>
      </c>
      <c r="F2139" s="21" t="s">
        <v>15850</v>
      </c>
      <c r="G2139" s="21" t="s">
        <v>13732</v>
      </c>
      <c r="H2139" s="21" t="s">
        <v>15851</v>
      </c>
    </row>
    <row r="2140" customFormat="false" ht="15" hidden="false" customHeight="false" outlineLevel="0" collapsed="false">
      <c r="B2140" s="19" t="s">
        <v>15852</v>
      </c>
      <c r="C2140" s="20" t="n">
        <f aca="false">ROUND(2.47/FX,2)</f>
        <v>0.34</v>
      </c>
      <c r="D2140" s="21" t="s">
        <v>15458</v>
      </c>
      <c r="E2140" s="21" t="s">
        <v>15814</v>
      </c>
      <c r="F2140" s="21" t="s">
        <v>15850</v>
      </c>
      <c r="G2140" s="21" t="s">
        <v>13732</v>
      </c>
      <c r="H2140" s="21" t="s">
        <v>15853</v>
      </c>
    </row>
    <row r="2141" customFormat="false" ht="15" hidden="false" customHeight="false" outlineLevel="0" collapsed="false">
      <c r="B2141" s="19" t="s">
        <v>15854</v>
      </c>
      <c r="C2141" s="20" t="n">
        <f aca="false">ROUND(0.58/FX,2)</f>
        <v>0.08</v>
      </c>
      <c r="D2141" s="21" t="s">
        <v>15458</v>
      </c>
      <c r="E2141" s="21" t="s">
        <v>15814</v>
      </c>
      <c r="F2141" s="21" t="s">
        <v>15855</v>
      </c>
      <c r="G2141" s="21" t="s">
        <v>13732</v>
      </c>
      <c r="H2141" s="21" t="s">
        <v>13734</v>
      </c>
    </row>
    <row r="2142" customFormat="false" ht="15" hidden="false" customHeight="false" outlineLevel="0" collapsed="false">
      <c r="B2142" s="19" t="s">
        <v>15856</v>
      </c>
      <c r="C2142" s="20" t="n">
        <f aca="false">ROUND(0.55/FX,2)</f>
        <v>0.08</v>
      </c>
      <c r="D2142" s="21" t="s">
        <v>15458</v>
      </c>
      <c r="E2142" s="21" t="s">
        <v>15814</v>
      </c>
      <c r="F2142" s="21" t="s">
        <v>15540</v>
      </c>
      <c r="G2142" s="21" t="s">
        <v>13732</v>
      </c>
      <c r="H2142" s="21" t="s">
        <v>15857</v>
      </c>
    </row>
    <row r="2143" customFormat="false" ht="15" hidden="false" customHeight="false" outlineLevel="0" collapsed="false">
      <c r="B2143" s="19" t="s">
        <v>15858</v>
      </c>
      <c r="C2143" s="20" t="n">
        <f aca="false">ROUND(0.56/FX,2)</f>
        <v>0.08</v>
      </c>
      <c r="D2143" s="21" t="s">
        <v>15458</v>
      </c>
      <c r="E2143" s="21" t="s">
        <v>15814</v>
      </c>
      <c r="F2143" s="21" t="s">
        <v>15859</v>
      </c>
      <c r="G2143" s="21" t="s">
        <v>13732</v>
      </c>
      <c r="H2143" s="21" t="s">
        <v>15860</v>
      </c>
    </row>
    <row r="2144" customFormat="false" ht="15" hidden="false" customHeight="false" outlineLevel="0" collapsed="false">
      <c r="B2144" s="19" t="s">
        <v>15861</v>
      </c>
      <c r="C2144" s="20" t="n">
        <f aca="false">ROUND(1.3/FX,2)</f>
        <v>0.18</v>
      </c>
      <c r="D2144" s="21" t="s">
        <v>724</v>
      </c>
      <c r="E2144" s="21" t="s">
        <v>15814</v>
      </c>
      <c r="F2144" s="21" t="s">
        <v>15862</v>
      </c>
      <c r="G2144" s="21" t="s">
        <v>13739</v>
      </c>
      <c r="H2144" s="21" t="s">
        <v>15532</v>
      </c>
    </row>
    <row r="2145" customFormat="false" ht="15" hidden="false" customHeight="false" outlineLevel="0" collapsed="false">
      <c r="B2145" s="19" t="s">
        <v>15863</v>
      </c>
      <c r="C2145" s="20" t="n">
        <f aca="false">ROUND(1.3/FX,2)</f>
        <v>0.18</v>
      </c>
      <c r="D2145" s="21" t="s">
        <v>7884</v>
      </c>
      <c r="E2145" s="21" t="s">
        <v>15814</v>
      </c>
      <c r="F2145" s="21" t="s">
        <v>15862</v>
      </c>
      <c r="G2145" s="21" t="s">
        <v>13739</v>
      </c>
      <c r="H2145" s="21" t="s">
        <v>15532</v>
      </c>
    </row>
    <row r="2146" customFormat="false" ht="15" hidden="false" customHeight="false" outlineLevel="0" collapsed="false">
      <c r="B2146" s="19" t="s">
        <v>15864</v>
      </c>
      <c r="C2146" s="20" t="n">
        <f aca="false">ROUND(1.2/FX,2)</f>
        <v>0.17</v>
      </c>
      <c r="D2146" s="21" t="s">
        <v>15458</v>
      </c>
      <c r="E2146" s="21" t="s">
        <v>15814</v>
      </c>
      <c r="F2146" s="21" t="s">
        <v>15862</v>
      </c>
      <c r="G2146" s="21" t="s">
        <v>13739</v>
      </c>
      <c r="H2146" s="21" t="s">
        <v>15532</v>
      </c>
    </row>
    <row r="2147" customFormat="false" ht="15" hidden="false" customHeight="false" outlineLevel="0" collapsed="false">
      <c r="B2147" s="19" t="s">
        <v>15865</v>
      </c>
      <c r="C2147" s="20" t="n">
        <f aca="false">ROUND(1.3/FX,2)</f>
        <v>0.18</v>
      </c>
      <c r="D2147" s="21" t="s">
        <v>6362</v>
      </c>
      <c r="E2147" s="21" t="s">
        <v>15814</v>
      </c>
      <c r="F2147" s="21" t="s">
        <v>15862</v>
      </c>
      <c r="G2147" s="21" t="s">
        <v>13739</v>
      </c>
      <c r="H2147" s="21" t="s">
        <v>15532</v>
      </c>
    </row>
    <row r="2148" customFormat="false" ht="15" hidden="false" customHeight="false" outlineLevel="0" collapsed="false">
      <c r="B2148" s="19" t="s">
        <v>15866</v>
      </c>
      <c r="C2148" s="20" t="n">
        <f aca="false">ROUND(0.57/FX,2)</f>
        <v>0.08</v>
      </c>
      <c r="D2148" s="21" t="s">
        <v>15458</v>
      </c>
      <c r="E2148" s="21" t="s">
        <v>15814</v>
      </c>
      <c r="F2148" s="21" t="s">
        <v>15562</v>
      </c>
      <c r="G2148" s="21" t="s">
        <v>13732</v>
      </c>
      <c r="H2148" s="21" t="s">
        <v>15532</v>
      </c>
    </row>
    <row r="2149" customFormat="false" ht="15" hidden="false" customHeight="false" outlineLevel="0" collapsed="false">
      <c r="B2149" s="19" t="s">
        <v>15867</v>
      </c>
      <c r="C2149" s="20" t="n">
        <f aca="false">ROUND(0.73/FX,2)</f>
        <v>0.1</v>
      </c>
      <c r="D2149" s="21" t="s">
        <v>15458</v>
      </c>
      <c r="E2149" s="21" t="s">
        <v>15814</v>
      </c>
      <c r="F2149" s="21" t="s">
        <v>15868</v>
      </c>
      <c r="G2149" s="21" t="s">
        <v>13732</v>
      </c>
      <c r="H2149" s="21" t="s">
        <v>15869</v>
      </c>
    </row>
    <row r="2150" customFormat="false" ht="15" hidden="false" customHeight="false" outlineLevel="0" collapsed="false">
      <c r="B2150" s="19" t="s">
        <v>15870</v>
      </c>
      <c r="C2150" s="20" t="n">
        <f aca="false">ROUND(2.73/FX,2)</f>
        <v>0.38</v>
      </c>
      <c r="D2150" s="21" t="s">
        <v>15458</v>
      </c>
      <c r="E2150" s="21" t="s">
        <v>15814</v>
      </c>
      <c r="F2150" s="21" t="s">
        <v>15871</v>
      </c>
      <c r="G2150" s="21" t="s">
        <v>13732</v>
      </c>
      <c r="H2150" s="21" t="s">
        <v>15872</v>
      </c>
    </row>
    <row r="2151" customFormat="false" ht="15" hidden="false" customHeight="false" outlineLevel="0" collapsed="false">
      <c r="B2151" s="19" t="s">
        <v>15873</v>
      </c>
      <c r="C2151" s="20" t="n">
        <f aca="false">ROUND(1.14/FX,2)</f>
        <v>0.16</v>
      </c>
      <c r="D2151" s="21" t="s">
        <v>15458</v>
      </c>
      <c r="E2151" s="21" t="s">
        <v>15814</v>
      </c>
      <c r="F2151" s="21" t="s">
        <v>15874</v>
      </c>
      <c r="G2151" s="21" t="s">
        <v>13732</v>
      </c>
      <c r="H2151" s="21" t="s">
        <v>15504</v>
      </c>
    </row>
    <row r="2152" customFormat="false" ht="15" hidden="false" customHeight="false" outlineLevel="0" collapsed="false">
      <c r="B2152" s="19" t="s">
        <v>15875</v>
      </c>
      <c r="C2152" s="20" t="n">
        <f aca="false">ROUND(1.14/FX,2)</f>
        <v>0.16</v>
      </c>
      <c r="D2152" s="21" t="s">
        <v>15458</v>
      </c>
      <c r="E2152" s="21" t="s">
        <v>15814</v>
      </c>
      <c r="F2152" s="21" t="s">
        <v>15876</v>
      </c>
      <c r="G2152" s="21" t="s">
        <v>13732</v>
      </c>
      <c r="H2152" s="21" t="s">
        <v>15504</v>
      </c>
    </row>
    <row r="2153" customFormat="false" ht="15" hidden="false" customHeight="false" outlineLevel="0" collapsed="false">
      <c r="B2153" s="19" t="s">
        <v>15877</v>
      </c>
      <c r="C2153" s="20" t="n">
        <f aca="false">ROUND(1.07/FX,2)</f>
        <v>0.15</v>
      </c>
      <c r="D2153" s="21" t="s">
        <v>15458</v>
      </c>
      <c r="E2153" s="21" t="s">
        <v>15814</v>
      </c>
      <c r="F2153" s="21" t="s">
        <v>15878</v>
      </c>
      <c r="G2153" s="21" t="s">
        <v>13732</v>
      </c>
      <c r="H2153" s="21" t="s">
        <v>15879</v>
      </c>
    </row>
    <row r="2154" customFormat="false" ht="15" hidden="false" customHeight="false" outlineLevel="0" collapsed="false">
      <c r="B2154" s="19" t="s">
        <v>15880</v>
      </c>
      <c r="C2154" s="20" t="n">
        <f aca="false">ROUND(1.07/FX,2)</f>
        <v>0.15</v>
      </c>
      <c r="D2154" s="21" t="s">
        <v>15458</v>
      </c>
      <c r="E2154" s="21" t="s">
        <v>15814</v>
      </c>
      <c r="F2154" s="21" t="s">
        <v>15881</v>
      </c>
      <c r="G2154" s="21" t="s">
        <v>13732</v>
      </c>
      <c r="H2154" s="21" t="s">
        <v>15879</v>
      </c>
    </row>
    <row r="2155" customFormat="false" ht="15" hidden="false" customHeight="false" outlineLevel="0" collapsed="false">
      <c r="B2155" s="19" t="s">
        <v>15882</v>
      </c>
      <c r="C2155" s="20" t="n">
        <f aca="false">ROUND(2.08/FX,2)</f>
        <v>0.29</v>
      </c>
      <c r="D2155" s="21" t="s">
        <v>15458</v>
      </c>
      <c r="E2155" s="21" t="s">
        <v>15814</v>
      </c>
      <c r="F2155" s="21" t="s">
        <v>15883</v>
      </c>
      <c r="G2155" s="21" t="s">
        <v>13732</v>
      </c>
      <c r="H2155" s="21" t="s">
        <v>15520</v>
      </c>
    </row>
    <row r="2156" customFormat="false" ht="15" hidden="false" customHeight="false" outlineLevel="0" collapsed="false">
      <c r="B2156" s="19" t="s">
        <v>15884</v>
      </c>
      <c r="C2156" s="20" t="n">
        <f aca="false">ROUND(2.08/FX,2)</f>
        <v>0.29</v>
      </c>
      <c r="D2156" s="21" t="s">
        <v>15458</v>
      </c>
      <c r="E2156" s="21" t="s">
        <v>15814</v>
      </c>
      <c r="F2156" s="21" t="s">
        <v>15885</v>
      </c>
      <c r="G2156" s="21" t="s">
        <v>13732</v>
      </c>
      <c r="H2156" s="21" t="s">
        <v>15520</v>
      </c>
    </row>
    <row r="2157" customFormat="false" ht="15" hidden="false" customHeight="false" outlineLevel="0" collapsed="false">
      <c r="B2157" s="19" t="s">
        <v>15886</v>
      </c>
      <c r="C2157" s="20" t="n">
        <f aca="false">ROUND(1.18/FX,2)</f>
        <v>0.16</v>
      </c>
      <c r="D2157" s="21" t="s">
        <v>15458</v>
      </c>
      <c r="E2157" s="21" t="s">
        <v>15814</v>
      </c>
      <c r="F2157" s="21" t="s">
        <v>15887</v>
      </c>
      <c r="G2157" s="21" t="s">
        <v>13739</v>
      </c>
      <c r="H2157" s="21" t="s">
        <v>15888</v>
      </c>
    </row>
    <row r="2158" customFormat="false" ht="15" hidden="false" customHeight="false" outlineLevel="0" collapsed="false">
      <c r="B2158" s="19" t="s">
        <v>15889</v>
      </c>
      <c r="C2158" s="20" t="n">
        <f aca="false">ROUND(1.7/FX,2)</f>
        <v>0.24</v>
      </c>
      <c r="D2158" s="21" t="s">
        <v>15458</v>
      </c>
      <c r="E2158" s="21" t="s">
        <v>15814</v>
      </c>
      <c r="F2158" s="21" t="s">
        <v>15890</v>
      </c>
      <c r="G2158" s="21" t="s">
        <v>13739</v>
      </c>
      <c r="H2158" s="21" t="s">
        <v>15460</v>
      </c>
    </row>
    <row r="2159" customFormat="false" ht="15" hidden="false" customHeight="false" outlineLevel="0" collapsed="false">
      <c r="B2159" s="19" t="s">
        <v>15891</v>
      </c>
      <c r="C2159" s="20" t="n">
        <f aca="false">ROUND(1.36/FX,2)</f>
        <v>0.19</v>
      </c>
      <c r="D2159" s="21" t="s">
        <v>15458</v>
      </c>
      <c r="E2159" s="21" t="s">
        <v>15814</v>
      </c>
      <c r="F2159" s="21" t="s">
        <v>15892</v>
      </c>
      <c r="G2159" s="21" t="s">
        <v>13739</v>
      </c>
      <c r="H2159" s="21" t="s">
        <v>15460</v>
      </c>
    </row>
    <row r="2160" customFormat="false" ht="15" hidden="false" customHeight="false" outlineLevel="0" collapsed="false">
      <c r="B2160" s="19" t="s">
        <v>15893</v>
      </c>
      <c r="C2160" s="20" t="n">
        <f aca="false">ROUND(0.6/FX,2)</f>
        <v>0.08</v>
      </c>
      <c r="D2160" s="21" t="s">
        <v>15458</v>
      </c>
      <c r="E2160" s="21" t="s">
        <v>15814</v>
      </c>
      <c r="F2160" s="21" t="s">
        <v>15894</v>
      </c>
      <c r="G2160" s="21" t="s">
        <v>13732</v>
      </c>
      <c r="H2160" s="21" t="s">
        <v>15707</v>
      </c>
    </row>
    <row r="2161" customFormat="false" ht="15" hidden="false" customHeight="false" outlineLevel="0" collapsed="false">
      <c r="B2161" s="19" t="s">
        <v>15895</v>
      </c>
      <c r="C2161" s="20" t="n">
        <f aca="false">ROUND(0.52/FX,2)</f>
        <v>0.07</v>
      </c>
      <c r="D2161" s="21" t="s">
        <v>15458</v>
      </c>
      <c r="E2161" s="21" t="s">
        <v>15814</v>
      </c>
      <c r="F2161" s="21" t="s">
        <v>15534</v>
      </c>
      <c r="G2161" s="21" t="s">
        <v>13732</v>
      </c>
      <c r="H2161" s="21" t="s">
        <v>15707</v>
      </c>
    </row>
    <row r="2162" customFormat="false" ht="15" hidden="false" customHeight="false" outlineLevel="0" collapsed="false">
      <c r="B2162" s="19" t="s">
        <v>15896</v>
      </c>
      <c r="C2162" s="20" t="n">
        <f aca="false">ROUND(1.48/FX,2)</f>
        <v>0.21</v>
      </c>
      <c r="D2162" s="21" t="s">
        <v>15458</v>
      </c>
      <c r="E2162" s="21" t="s">
        <v>15814</v>
      </c>
      <c r="F2162" s="21" t="s">
        <v>15897</v>
      </c>
      <c r="G2162" s="21" t="s">
        <v>13739</v>
      </c>
      <c r="H2162" s="21" t="s">
        <v>15525</v>
      </c>
    </row>
    <row r="2163" customFormat="false" ht="15" hidden="false" customHeight="false" outlineLevel="0" collapsed="false">
      <c r="B2163" s="19" t="s">
        <v>15898</v>
      </c>
      <c r="C2163" s="20" t="n">
        <f aca="false">ROUND(0.57/FX,2)</f>
        <v>0.08</v>
      </c>
      <c r="D2163" s="21" t="s">
        <v>15458</v>
      </c>
      <c r="E2163" s="21" t="s">
        <v>15814</v>
      </c>
      <c r="F2163" s="21" t="s">
        <v>15557</v>
      </c>
      <c r="G2163" s="21" t="s">
        <v>13732</v>
      </c>
      <c r="H2163" s="21" t="s">
        <v>15525</v>
      </c>
    </row>
    <row r="2164" customFormat="false" ht="15" hidden="false" customHeight="false" outlineLevel="0" collapsed="false">
      <c r="B2164" s="19" t="s">
        <v>15899</v>
      </c>
      <c r="C2164" s="20" t="n">
        <f aca="false">ROUND(1.44/FX,2)</f>
        <v>0.2</v>
      </c>
      <c r="D2164" s="21" t="s">
        <v>15458</v>
      </c>
      <c r="E2164" s="21" t="s">
        <v>15814</v>
      </c>
      <c r="F2164" s="21" t="s">
        <v>15900</v>
      </c>
      <c r="G2164" s="21" t="s">
        <v>13739</v>
      </c>
      <c r="H2164" s="21" t="s">
        <v>15901</v>
      </c>
    </row>
    <row r="2165" customFormat="false" ht="15" hidden="false" customHeight="false" outlineLevel="0" collapsed="false">
      <c r="B2165" s="19" t="s">
        <v>15902</v>
      </c>
      <c r="C2165" s="20" t="n">
        <f aca="false">ROUND(1.82/FX,2)</f>
        <v>0.25</v>
      </c>
      <c r="D2165" s="21" t="s">
        <v>15458</v>
      </c>
      <c r="E2165" s="21" t="s">
        <v>15814</v>
      </c>
      <c r="F2165" s="21" t="s">
        <v>15903</v>
      </c>
      <c r="G2165" s="21" t="s">
        <v>13739</v>
      </c>
      <c r="H2165" s="21" t="s">
        <v>15723</v>
      </c>
    </row>
    <row r="2166" customFormat="false" ht="15" hidden="false" customHeight="false" outlineLevel="0" collapsed="false">
      <c r="B2166" s="19" t="s">
        <v>15904</v>
      </c>
      <c r="C2166" s="20" t="n">
        <f aca="false">ROUND(1.26/FX,2)</f>
        <v>0.18</v>
      </c>
      <c r="D2166" s="21" t="s">
        <v>15458</v>
      </c>
      <c r="E2166" s="21" t="s">
        <v>15814</v>
      </c>
      <c r="F2166" s="21" t="s">
        <v>15564</v>
      </c>
      <c r="G2166" s="21" t="s">
        <v>13732</v>
      </c>
      <c r="H2166" s="21" t="s">
        <v>15723</v>
      </c>
    </row>
    <row r="2167" customFormat="false" ht="15" hidden="false" customHeight="false" outlineLevel="0" collapsed="false">
      <c r="B2167" s="19" t="s">
        <v>15905</v>
      </c>
      <c r="C2167" s="20" t="n">
        <f aca="false">ROUND(1.82/FX,2)</f>
        <v>0.25</v>
      </c>
      <c r="D2167" s="21" t="s">
        <v>15458</v>
      </c>
      <c r="E2167" s="21" t="s">
        <v>15814</v>
      </c>
      <c r="F2167" s="21" t="s">
        <v>15906</v>
      </c>
      <c r="G2167" s="21" t="s">
        <v>13739</v>
      </c>
      <c r="H2167" s="21" t="s">
        <v>15731</v>
      </c>
    </row>
    <row r="2168" customFormat="false" ht="15" hidden="false" customHeight="false" outlineLevel="0" collapsed="false">
      <c r="B2168" s="19" t="s">
        <v>15907</v>
      </c>
      <c r="C2168" s="20" t="n">
        <f aca="false">ROUND(1.88/FX,2)</f>
        <v>0.26</v>
      </c>
      <c r="D2168" s="21" t="s">
        <v>15458</v>
      </c>
      <c r="E2168" s="21" t="s">
        <v>15814</v>
      </c>
      <c r="F2168" s="21" t="s">
        <v>15908</v>
      </c>
      <c r="G2168" s="21" t="s">
        <v>13739</v>
      </c>
      <c r="H2168" s="21" t="s">
        <v>15731</v>
      </c>
    </row>
    <row r="2169" customFormat="false" ht="15" hidden="false" customHeight="false" outlineLevel="0" collapsed="false">
      <c r="B2169" s="19" t="s">
        <v>15909</v>
      </c>
      <c r="C2169" s="20" t="n">
        <f aca="false">ROUND(1.3/FX,2)</f>
        <v>0.18</v>
      </c>
      <c r="D2169" s="21" t="s">
        <v>15458</v>
      </c>
      <c r="E2169" s="21" t="s">
        <v>15814</v>
      </c>
      <c r="F2169" s="21" t="s">
        <v>15910</v>
      </c>
      <c r="G2169" s="21" t="s">
        <v>13732</v>
      </c>
      <c r="H2169" s="21" t="s">
        <v>15911</v>
      </c>
    </row>
    <row r="2170" customFormat="false" ht="15" hidden="false" customHeight="false" outlineLevel="0" collapsed="false">
      <c r="B2170" s="19" t="s">
        <v>15912</v>
      </c>
      <c r="C2170" s="20" t="n">
        <f aca="false">ROUND(1.3/FX,2)</f>
        <v>0.18</v>
      </c>
      <c r="D2170" s="21" t="s">
        <v>15458</v>
      </c>
      <c r="E2170" s="21" t="s">
        <v>15814</v>
      </c>
      <c r="F2170" s="21" t="s">
        <v>15913</v>
      </c>
      <c r="G2170" s="21" t="s">
        <v>13732</v>
      </c>
      <c r="H2170" s="21" t="s">
        <v>15911</v>
      </c>
    </row>
    <row r="2171" customFormat="false" ht="15" hidden="false" customHeight="false" outlineLevel="0" collapsed="false">
      <c r="B2171" s="19" t="s">
        <v>15914</v>
      </c>
      <c r="C2171" s="20" t="n">
        <f aca="false">ROUND(0.66/FX,2)</f>
        <v>0.09</v>
      </c>
      <c r="D2171" s="21" t="s">
        <v>15458</v>
      </c>
      <c r="E2171" s="21" t="s">
        <v>15814</v>
      </c>
      <c r="F2171" s="21" t="s">
        <v>15915</v>
      </c>
      <c r="G2171" s="21" t="s">
        <v>13732</v>
      </c>
      <c r="H2171" s="21" t="s">
        <v>15710</v>
      </c>
    </row>
    <row r="2172" customFormat="false" ht="15" hidden="false" customHeight="false" outlineLevel="0" collapsed="false">
      <c r="B2172" s="19" t="s">
        <v>15916</v>
      </c>
      <c r="C2172" s="20" t="n">
        <f aca="false">ROUND(1.17/FX,2)</f>
        <v>0.16</v>
      </c>
      <c r="D2172" s="21" t="s">
        <v>15458</v>
      </c>
      <c r="E2172" s="21" t="s">
        <v>15814</v>
      </c>
      <c r="F2172" s="21" t="s">
        <v>15917</v>
      </c>
      <c r="G2172" s="21" t="s">
        <v>13732</v>
      </c>
      <c r="H2172" s="21" t="s">
        <v>15918</v>
      </c>
    </row>
    <row r="2173" customFormat="false" ht="15" hidden="false" customHeight="false" outlineLevel="0" collapsed="false">
      <c r="B2173" s="19" t="s">
        <v>15919</v>
      </c>
      <c r="C2173" s="20" t="n">
        <f aca="false">ROUND(1.12/FX,2)</f>
        <v>0.16</v>
      </c>
      <c r="D2173" s="21" t="s">
        <v>15458</v>
      </c>
      <c r="E2173" s="21" t="s">
        <v>15814</v>
      </c>
      <c r="F2173" s="21" t="s">
        <v>15920</v>
      </c>
      <c r="G2173" s="21" t="s">
        <v>13732</v>
      </c>
      <c r="H2173" s="21" t="s">
        <v>15918</v>
      </c>
    </row>
    <row r="2174" customFormat="false" ht="15" hidden="false" customHeight="false" outlineLevel="0" collapsed="false">
      <c r="B2174" s="19" t="s">
        <v>15921</v>
      </c>
      <c r="C2174" s="20" t="n">
        <f aca="false">ROUND(1.56/FX,2)</f>
        <v>0.22</v>
      </c>
      <c r="D2174" s="21" t="s">
        <v>15458</v>
      </c>
      <c r="E2174" s="21" t="s">
        <v>15814</v>
      </c>
      <c r="F2174" s="21" t="s">
        <v>15922</v>
      </c>
      <c r="G2174" s="21" t="s">
        <v>13739</v>
      </c>
      <c r="H2174" s="21" t="s">
        <v>15491</v>
      </c>
    </row>
    <row r="2175" customFormat="false" ht="15" hidden="false" customHeight="false" outlineLevel="0" collapsed="false">
      <c r="B2175" s="19" t="s">
        <v>15923</v>
      </c>
      <c r="C2175" s="20" t="n">
        <f aca="false">ROUND(1.28/FX,2)</f>
        <v>0.18</v>
      </c>
      <c r="D2175" s="21" t="s">
        <v>15458</v>
      </c>
      <c r="E2175" s="21" t="s">
        <v>15814</v>
      </c>
      <c r="F2175" s="21" t="s">
        <v>15924</v>
      </c>
      <c r="G2175" s="21" t="s">
        <v>13739</v>
      </c>
      <c r="H2175" s="21" t="s">
        <v>15491</v>
      </c>
    </row>
    <row r="2176" customFormat="false" ht="15" hidden="false" customHeight="false" outlineLevel="0" collapsed="false">
      <c r="B2176" s="19" t="s">
        <v>15925</v>
      </c>
      <c r="C2176" s="20" t="n">
        <f aca="false">ROUND(1.33/FX,2)</f>
        <v>0.18</v>
      </c>
      <c r="D2176" s="21" t="s">
        <v>15458</v>
      </c>
      <c r="E2176" s="21" t="s">
        <v>15814</v>
      </c>
      <c r="F2176" s="21" t="s">
        <v>15926</v>
      </c>
      <c r="G2176" s="21" t="s">
        <v>13739</v>
      </c>
      <c r="H2176" s="21" t="s">
        <v>15927</v>
      </c>
    </row>
    <row r="2177" customFormat="false" ht="15" hidden="false" customHeight="false" outlineLevel="0" collapsed="false">
      <c r="B2177" s="19" t="s">
        <v>15928</v>
      </c>
      <c r="C2177" s="20" t="n">
        <f aca="false">ROUND(1.26/FX,2)</f>
        <v>0.18</v>
      </c>
      <c r="D2177" s="21" t="s">
        <v>15458</v>
      </c>
      <c r="E2177" s="21" t="s">
        <v>15814</v>
      </c>
      <c r="F2177" s="21" t="s">
        <v>15929</v>
      </c>
      <c r="G2177" s="21" t="s">
        <v>13732</v>
      </c>
      <c r="H2177" s="21" t="s">
        <v>15930</v>
      </c>
    </row>
    <row r="2178" customFormat="false" ht="15" hidden="false" customHeight="false" outlineLevel="0" collapsed="false">
      <c r="B2178" s="19" t="s">
        <v>15931</v>
      </c>
      <c r="C2178" s="20" t="n">
        <f aca="false">ROUND(1.44/FX,2)</f>
        <v>0.2</v>
      </c>
      <c r="D2178" s="21" t="s">
        <v>15458</v>
      </c>
      <c r="E2178" s="21" t="s">
        <v>15814</v>
      </c>
      <c r="F2178" s="21" t="s">
        <v>15932</v>
      </c>
      <c r="G2178" s="21" t="s">
        <v>13739</v>
      </c>
      <c r="H2178" s="21" t="s">
        <v>15933</v>
      </c>
    </row>
    <row r="2179" customFormat="false" ht="15" hidden="false" customHeight="false" outlineLevel="0" collapsed="false">
      <c r="B2179" s="19" t="s">
        <v>15934</v>
      </c>
      <c r="C2179" s="20" t="n">
        <f aca="false">ROUND(0.63/FX,2)</f>
        <v>0.09</v>
      </c>
      <c r="D2179" s="21" t="s">
        <v>15458</v>
      </c>
      <c r="E2179" s="21" t="s">
        <v>15814</v>
      </c>
      <c r="F2179" s="21" t="s">
        <v>15935</v>
      </c>
      <c r="G2179" s="21" t="s">
        <v>13732</v>
      </c>
      <c r="H2179" s="21" t="s">
        <v>15936</v>
      </c>
    </row>
    <row r="2180" customFormat="false" ht="15" hidden="false" customHeight="false" outlineLevel="0" collapsed="false">
      <c r="B2180" s="19" t="s">
        <v>15937</v>
      </c>
      <c r="C2180" s="20" t="n">
        <f aca="false">ROUND(1.28/FX,2)</f>
        <v>0.18</v>
      </c>
      <c r="D2180" s="21" t="s">
        <v>15458</v>
      </c>
      <c r="E2180" s="21" t="s">
        <v>15814</v>
      </c>
      <c r="F2180" s="21" t="s">
        <v>15938</v>
      </c>
      <c r="G2180" s="21" t="s">
        <v>13739</v>
      </c>
      <c r="H2180" s="21" t="s">
        <v>15939</v>
      </c>
    </row>
    <row r="2181" customFormat="false" ht="15" hidden="false" customHeight="false" outlineLevel="0" collapsed="false">
      <c r="B2181" s="19" t="s">
        <v>15940</v>
      </c>
      <c r="C2181" s="20" t="n">
        <f aca="false">ROUND(1.44/FX,2)</f>
        <v>0.2</v>
      </c>
      <c r="D2181" s="21" t="s">
        <v>15458</v>
      </c>
      <c r="E2181" s="21" t="s">
        <v>15814</v>
      </c>
      <c r="F2181" s="21" t="s">
        <v>15941</v>
      </c>
      <c r="G2181" s="21" t="s">
        <v>13739</v>
      </c>
      <c r="H2181" s="21" t="s">
        <v>15528</v>
      </c>
    </row>
    <row r="2182" customFormat="false" ht="15" hidden="false" customHeight="false" outlineLevel="0" collapsed="false">
      <c r="B2182" s="19" t="s">
        <v>15942</v>
      </c>
      <c r="C2182" s="20" t="n">
        <f aca="false">ROUND(1.4/FX,2)</f>
        <v>0.19</v>
      </c>
      <c r="D2182" s="21" t="s">
        <v>15458</v>
      </c>
      <c r="E2182" s="21" t="s">
        <v>15814</v>
      </c>
      <c r="F2182" s="21" t="s">
        <v>15943</v>
      </c>
      <c r="G2182" s="21" t="s">
        <v>13739</v>
      </c>
      <c r="H2182" s="21" t="s">
        <v>15944</v>
      </c>
    </row>
    <row r="2183" customFormat="false" ht="15" hidden="false" customHeight="false" outlineLevel="0" collapsed="false">
      <c r="B2183" s="19" t="s">
        <v>15945</v>
      </c>
      <c r="C2183" s="20" t="n">
        <f aca="false">ROUND(0.53/FX,2)</f>
        <v>0.07</v>
      </c>
      <c r="D2183" s="21" t="s">
        <v>15458</v>
      </c>
      <c r="E2183" s="21" t="s">
        <v>15814</v>
      </c>
      <c r="F2183" s="21" t="s">
        <v>15943</v>
      </c>
      <c r="G2183" s="21" t="s">
        <v>13732</v>
      </c>
      <c r="H2183" s="21" t="s">
        <v>15528</v>
      </c>
    </row>
    <row r="2184" customFormat="false" ht="15" hidden="false" customHeight="false" outlineLevel="0" collapsed="false">
      <c r="B2184" s="19" t="s">
        <v>15946</v>
      </c>
      <c r="C2184" s="20" t="n">
        <f aca="false">ROUND(0.57/FX,2)</f>
        <v>0.08</v>
      </c>
      <c r="D2184" s="21" t="s">
        <v>15458</v>
      </c>
      <c r="E2184" s="21" t="s">
        <v>15814</v>
      </c>
      <c r="F2184" s="21" t="s">
        <v>15947</v>
      </c>
      <c r="G2184" s="21" t="s">
        <v>13732</v>
      </c>
      <c r="H2184" s="21" t="s">
        <v>15948</v>
      </c>
    </row>
    <row r="2185" customFormat="false" ht="15" hidden="false" customHeight="false" outlineLevel="0" collapsed="false">
      <c r="B2185" s="19" t="s">
        <v>15949</v>
      </c>
      <c r="C2185" s="20" t="n">
        <f aca="false">ROUND(1.43/FX,2)</f>
        <v>0.2</v>
      </c>
      <c r="D2185" s="21" t="s">
        <v>15458</v>
      </c>
      <c r="E2185" s="21" t="s">
        <v>15814</v>
      </c>
      <c r="F2185" s="21" t="s">
        <v>15950</v>
      </c>
      <c r="G2185" s="21" t="s">
        <v>13739</v>
      </c>
      <c r="H2185" s="21" t="s">
        <v>15799</v>
      </c>
    </row>
    <row r="2186" customFormat="false" ht="15" hidden="false" customHeight="false" outlineLevel="0" collapsed="false">
      <c r="B2186" s="19" t="s">
        <v>15951</v>
      </c>
      <c r="C2186" s="20" t="n">
        <f aca="false">ROUND(1.18/FX,2)</f>
        <v>0.16</v>
      </c>
      <c r="D2186" s="21" t="s">
        <v>15458</v>
      </c>
      <c r="E2186" s="21" t="s">
        <v>15814</v>
      </c>
      <c r="F2186" s="21" t="s">
        <v>15952</v>
      </c>
      <c r="G2186" s="21" t="s">
        <v>13739</v>
      </c>
      <c r="H2186" s="21" t="s">
        <v>15953</v>
      </c>
    </row>
    <row r="2187" customFormat="false" ht="15" hidden="false" customHeight="false" outlineLevel="0" collapsed="false">
      <c r="B2187" s="19" t="s">
        <v>15954</v>
      </c>
      <c r="C2187" s="20" t="n">
        <f aca="false">ROUND(0.62/FX,2)</f>
        <v>0.09</v>
      </c>
      <c r="D2187" s="21" t="s">
        <v>15458</v>
      </c>
      <c r="E2187" s="21" t="s">
        <v>15814</v>
      </c>
      <c r="F2187" s="21" t="s">
        <v>15955</v>
      </c>
      <c r="G2187" s="21" t="s">
        <v>13732</v>
      </c>
      <c r="H2187" s="21" t="s">
        <v>15956</v>
      </c>
    </row>
    <row r="2188" customFormat="false" ht="15" hidden="false" customHeight="false" outlineLevel="0" collapsed="false">
      <c r="B2188" s="19" t="s">
        <v>15957</v>
      </c>
      <c r="C2188" s="20" t="n">
        <f aca="false">ROUND(0.64/FX,2)</f>
        <v>0.09</v>
      </c>
      <c r="D2188" s="21" t="s">
        <v>15458</v>
      </c>
      <c r="E2188" s="21" t="s">
        <v>15814</v>
      </c>
      <c r="F2188" s="21" t="s">
        <v>15958</v>
      </c>
      <c r="G2188" s="21" t="s">
        <v>13732</v>
      </c>
      <c r="H2188" s="21" t="s">
        <v>15959</v>
      </c>
    </row>
    <row r="2189" customFormat="false" ht="15" hidden="false" customHeight="false" outlineLevel="0" collapsed="false">
      <c r="B2189" s="19" t="s">
        <v>15960</v>
      </c>
      <c r="C2189" s="20" t="n">
        <f aca="false">ROUND(1.1/FX,2)</f>
        <v>0.15</v>
      </c>
      <c r="D2189" s="21" t="s">
        <v>15458</v>
      </c>
      <c r="E2189" s="21" t="s">
        <v>15814</v>
      </c>
      <c r="F2189" s="21" t="s">
        <v>15554</v>
      </c>
      <c r="G2189" s="21" t="s">
        <v>13739</v>
      </c>
      <c r="H2189" s="21" t="s">
        <v>15961</v>
      </c>
    </row>
    <row r="2190" customFormat="false" ht="15" hidden="false" customHeight="false" outlineLevel="0" collapsed="false">
      <c r="B2190" s="19" t="s">
        <v>15962</v>
      </c>
      <c r="C2190" s="20" t="n">
        <f aca="false">ROUND(0.65/FX,2)</f>
        <v>0.09</v>
      </c>
      <c r="D2190" s="21" t="s">
        <v>15458</v>
      </c>
      <c r="E2190" s="21" t="s">
        <v>15814</v>
      </c>
      <c r="F2190" s="21" t="s">
        <v>15963</v>
      </c>
      <c r="G2190" s="21" t="s">
        <v>13732</v>
      </c>
      <c r="H2190" s="21" t="s">
        <v>15964</v>
      </c>
    </row>
    <row r="2191" customFormat="false" ht="15" hidden="false" customHeight="false" outlineLevel="0" collapsed="false">
      <c r="B2191" s="19" t="s">
        <v>15965</v>
      </c>
      <c r="C2191" s="20" t="n">
        <f aca="false">ROUND(0.56/FX,2)</f>
        <v>0.08</v>
      </c>
      <c r="D2191" s="21" t="s">
        <v>15458</v>
      </c>
      <c r="E2191" s="21" t="s">
        <v>15814</v>
      </c>
      <c r="F2191" s="21" t="s">
        <v>15966</v>
      </c>
      <c r="G2191" s="21" t="s">
        <v>13732</v>
      </c>
      <c r="H2191" s="21" t="s">
        <v>15967</v>
      </c>
    </row>
    <row r="2192" customFormat="false" ht="15" hidden="false" customHeight="false" outlineLevel="0" collapsed="false">
      <c r="B2192" s="19" t="s">
        <v>15968</v>
      </c>
      <c r="C2192" s="20" t="n">
        <f aca="false">ROUND(0.73/FX,2)</f>
        <v>0.1</v>
      </c>
      <c r="D2192" s="21" t="s">
        <v>15458</v>
      </c>
      <c r="E2192" s="21" t="s">
        <v>15814</v>
      </c>
      <c r="F2192" s="21" t="s">
        <v>15969</v>
      </c>
      <c r="G2192" s="21" t="s">
        <v>13732</v>
      </c>
      <c r="H2192" s="21" t="s">
        <v>15970</v>
      </c>
    </row>
    <row r="2193" customFormat="false" ht="15" hidden="false" customHeight="false" outlineLevel="0" collapsed="false">
      <c r="B2193" s="19" t="s">
        <v>15971</v>
      </c>
      <c r="C2193" s="20" t="n">
        <f aca="false">ROUND(2.6/FX,2)</f>
        <v>0.36</v>
      </c>
      <c r="D2193" s="21" t="s">
        <v>15458</v>
      </c>
      <c r="E2193" s="21" t="s">
        <v>15814</v>
      </c>
      <c r="F2193" s="21" t="s">
        <v>15972</v>
      </c>
      <c r="G2193" s="21" t="s">
        <v>13732</v>
      </c>
      <c r="H2193" s="21" t="s">
        <v>15495</v>
      </c>
    </row>
    <row r="2194" customFormat="false" ht="15" hidden="false" customHeight="false" outlineLevel="0" collapsed="false">
      <c r="B2194" s="19" t="s">
        <v>15973</v>
      </c>
      <c r="C2194" s="20" t="n">
        <f aca="false">ROUND(1.37/FX,2)</f>
        <v>0.19</v>
      </c>
      <c r="D2194" s="21" t="s">
        <v>15458</v>
      </c>
      <c r="E2194" s="21" t="s">
        <v>15814</v>
      </c>
      <c r="F2194" s="21" t="s">
        <v>15974</v>
      </c>
      <c r="G2194" s="21" t="s">
        <v>13732</v>
      </c>
      <c r="H2194" s="21" t="s">
        <v>15857</v>
      </c>
    </row>
    <row r="2195" customFormat="false" ht="15" hidden="false" customHeight="false" outlineLevel="0" collapsed="false">
      <c r="B2195" s="19" t="s">
        <v>15975</v>
      </c>
      <c r="C2195" s="20" t="n">
        <f aca="false">ROUND(1.3/FX,2)</f>
        <v>0.18</v>
      </c>
      <c r="D2195" s="21" t="s">
        <v>15458</v>
      </c>
      <c r="E2195" s="21" t="s">
        <v>15814</v>
      </c>
      <c r="F2195" s="21" t="s">
        <v>15976</v>
      </c>
      <c r="G2195" s="21" t="s">
        <v>13732</v>
      </c>
      <c r="H2195" s="21" t="s">
        <v>15532</v>
      </c>
    </row>
    <row r="2196" customFormat="false" ht="15" hidden="false" customHeight="false" outlineLevel="0" collapsed="false">
      <c r="B2196" s="19" t="s">
        <v>15977</v>
      </c>
      <c r="C2196" s="20" t="n">
        <f aca="false">ROUND(1.33/FX,2)</f>
        <v>0.18</v>
      </c>
      <c r="D2196" s="21" t="s">
        <v>15458</v>
      </c>
      <c r="E2196" s="21" t="s">
        <v>15814</v>
      </c>
      <c r="F2196" s="21" t="s">
        <v>15978</v>
      </c>
      <c r="G2196" s="21" t="s">
        <v>13732</v>
      </c>
      <c r="H2196" s="21" t="s">
        <v>15888</v>
      </c>
    </row>
    <row r="2197" customFormat="false" ht="15" hidden="false" customHeight="false" outlineLevel="0" collapsed="false">
      <c r="B2197" s="19" t="s">
        <v>15979</v>
      </c>
      <c r="C2197" s="20" t="n">
        <f aca="false">ROUND(1.37/FX,2)</f>
        <v>0.19</v>
      </c>
      <c r="D2197" s="21" t="s">
        <v>15458</v>
      </c>
      <c r="E2197" s="21" t="s">
        <v>15814</v>
      </c>
      <c r="F2197" s="21" t="s">
        <v>15980</v>
      </c>
      <c r="G2197" s="21" t="s">
        <v>13732</v>
      </c>
      <c r="H2197" s="21" t="s">
        <v>15460</v>
      </c>
    </row>
    <row r="2198" customFormat="false" ht="15" hidden="false" customHeight="false" outlineLevel="0" collapsed="false">
      <c r="B2198" s="19" t="s">
        <v>15981</v>
      </c>
      <c r="C2198" s="20" t="n">
        <f aca="false">ROUND(1.5/FX,2)</f>
        <v>0.21</v>
      </c>
      <c r="D2198" s="21" t="s">
        <v>15458</v>
      </c>
      <c r="E2198" s="21" t="s">
        <v>15814</v>
      </c>
      <c r="F2198" s="21" t="s">
        <v>15982</v>
      </c>
      <c r="G2198" s="21" t="s">
        <v>13732</v>
      </c>
      <c r="H2198" s="21" t="s">
        <v>15707</v>
      </c>
    </row>
    <row r="2199" customFormat="false" ht="15" hidden="false" customHeight="false" outlineLevel="0" collapsed="false">
      <c r="B2199" s="19" t="s">
        <v>15983</v>
      </c>
      <c r="C2199" s="20" t="n">
        <f aca="false">ROUND(1.74/FX,2)</f>
        <v>0.24</v>
      </c>
      <c r="D2199" s="21" t="s">
        <v>15458</v>
      </c>
      <c r="E2199" s="21" t="s">
        <v>15814</v>
      </c>
      <c r="F2199" s="21" t="s">
        <v>15984</v>
      </c>
      <c r="G2199" s="21" t="s">
        <v>13732</v>
      </c>
      <c r="H2199" s="21" t="s">
        <v>15525</v>
      </c>
    </row>
    <row r="2200" customFormat="false" ht="15" hidden="false" customHeight="false" outlineLevel="0" collapsed="false">
      <c r="B2200" s="19" t="s">
        <v>15985</v>
      </c>
      <c r="C2200" s="20" t="n">
        <f aca="false">ROUND(2.55/FX,2)</f>
        <v>0.35</v>
      </c>
      <c r="D2200" s="21" t="s">
        <v>15458</v>
      </c>
      <c r="E2200" s="21" t="s">
        <v>15814</v>
      </c>
      <c r="F2200" s="21" t="s">
        <v>15986</v>
      </c>
      <c r="G2200" s="21" t="s">
        <v>13732</v>
      </c>
      <c r="H2200" s="21" t="s">
        <v>15723</v>
      </c>
    </row>
    <row r="2201" customFormat="false" ht="15" hidden="false" customHeight="false" outlineLevel="0" collapsed="false">
      <c r="B2201" s="19" t="s">
        <v>15987</v>
      </c>
      <c r="C2201" s="20" t="n">
        <f aca="false">ROUND(1.42/FX,2)</f>
        <v>0.2</v>
      </c>
      <c r="D2201" s="21" t="s">
        <v>15458</v>
      </c>
      <c r="E2201" s="21" t="s">
        <v>15814</v>
      </c>
      <c r="F2201" s="21" t="s">
        <v>15988</v>
      </c>
      <c r="G2201" s="21" t="s">
        <v>13732</v>
      </c>
      <c r="H2201" s="21" t="s">
        <v>15491</v>
      </c>
    </row>
    <row r="2202" customFormat="false" ht="15" hidden="false" customHeight="false" outlineLevel="0" collapsed="false">
      <c r="B2202" s="19" t="s">
        <v>15989</v>
      </c>
      <c r="C2202" s="20" t="n">
        <f aca="false">ROUND(1.56/FX,2)</f>
        <v>0.22</v>
      </c>
      <c r="D2202" s="21" t="s">
        <v>15458</v>
      </c>
      <c r="E2202" s="21" t="s">
        <v>15814</v>
      </c>
      <c r="F2202" s="21" t="s">
        <v>15990</v>
      </c>
      <c r="G2202" s="21" t="s">
        <v>13732</v>
      </c>
      <c r="H2202" s="21" t="s">
        <v>15933</v>
      </c>
    </row>
    <row r="2203" customFormat="false" ht="15" hidden="false" customHeight="false" outlineLevel="0" collapsed="false">
      <c r="B2203" s="19" t="s">
        <v>15991</v>
      </c>
      <c r="C2203" s="20" t="n">
        <f aca="false">ROUND(1.3/FX,2)</f>
        <v>0.18</v>
      </c>
      <c r="D2203" s="21" t="s">
        <v>15458</v>
      </c>
      <c r="E2203" s="21" t="s">
        <v>15814</v>
      </c>
      <c r="F2203" s="21" t="s">
        <v>15992</v>
      </c>
      <c r="G2203" s="21" t="s">
        <v>13732</v>
      </c>
      <c r="H2203" s="21" t="s">
        <v>15939</v>
      </c>
    </row>
    <row r="2204" customFormat="false" ht="15" hidden="false" customHeight="false" outlineLevel="0" collapsed="false">
      <c r="B2204" s="19" t="s">
        <v>15993</v>
      </c>
      <c r="C2204" s="20" t="n">
        <f aca="false">ROUND(1.09/FX,2)</f>
        <v>0.15</v>
      </c>
      <c r="D2204" s="21" t="s">
        <v>15458</v>
      </c>
      <c r="E2204" s="21" t="s">
        <v>15814</v>
      </c>
      <c r="F2204" s="21" t="s">
        <v>15994</v>
      </c>
      <c r="G2204" s="21" t="s">
        <v>13732</v>
      </c>
      <c r="H2204" s="21" t="s">
        <v>15528</v>
      </c>
    </row>
    <row r="2205" customFormat="false" ht="15" hidden="false" customHeight="false" outlineLevel="0" collapsed="false">
      <c r="B2205" s="19" t="s">
        <v>15995</v>
      </c>
      <c r="C2205" s="20" t="n">
        <f aca="false">ROUND(2.21/FX,2)</f>
        <v>0.31</v>
      </c>
      <c r="D2205" s="21" t="s">
        <v>15458</v>
      </c>
      <c r="E2205" s="21" t="s">
        <v>15814</v>
      </c>
      <c r="F2205" s="21" t="s">
        <v>15996</v>
      </c>
      <c r="G2205" s="21" t="s">
        <v>13732</v>
      </c>
      <c r="H2205" s="21" t="s">
        <v>15799</v>
      </c>
    </row>
    <row r="2206" customFormat="false" ht="15" hidden="false" customHeight="false" outlineLevel="0" collapsed="false">
      <c r="B2206" s="19" t="s">
        <v>15997</v>
      </c>
      <c r="C2206" s="20" t="n">
        <f aca="false">ROUND(1.26/FX,2)</f>
        <v>0.18</v>
      </c>
      <c r="D2206" s="21" t="s">
        <v>15458</v>
      </c>
      <c r="E2206" s="21" t="s">
        <v>15814</v>
      </c>
      <c r="F2206" s="21" t="s">
        <v>15998</v>
      </c>
      <c r="G2206" s="21" t="s">
        <v>13732</v>
      </c>
      <c r="H2206" s="21" t="s">
        <v>15959</v>
      </c>
    </row>
    <row r="2207" customFormat="false" ht="15" hidden="false" customHeight="false" outlineLevel="0" collapsed="false">
      <c r="B2207" s="19" t="s">
        <v>15999</v>
      </c>
      <c r="C2207" s="20" t="n">
        <f aca="false">ROUND(1.42/FX,2)</f>
        <v>0.2</v>
      </c>
      <c r="D2207" s="21" t="s">
        <v>15458</v>
      </c>
      <c r="E2207" s="21" t="s">
        <v>15814</v>
      </c>
      <c r="F2207" s="21" t="s">
        <v>16000</v>
      </c>
      <c r="G2207" s="21" t="s">
        <v>13732</v>
      </c>
      <c r="H2207" s="21" t="s">
        <v>15967</v>
      </c>
    </row>
    <row r="2208" customFormat="false" ht="15" hidden="false" customHeight="false" outlineLevel="0" collapsed="false">
      <c r="B2208" s="19" t="s">
        <v>16001</v>
      </c>
      <c r="C2208" s="20" t="n">
        <f aca="false">ROUND(1.2/FX,2)</f>
        <v>0.17</v>
      </c>
      <c r="D2208" s="21" t="s">
        <v>15458</v>
      </c>
      <c r="E2208" s="21" t="s">
        <v>15814</v>
      </c>
      <c r="F2208" s="21" t="s">
        <v>16002</v>
      </c>
      <c r="G2208" s="21" t="s">
        <v>13732</v>
      </c>
      <c r="H2208" s="21" t="s">
        <v>16003</v>
      </c>
    </row>
    <row r="2209" customFormat="false" ht="15" hidden="false" customHeight="false" outlineLevel="0" collapsed="false">
      <c r="B2209" s="19" t="s">
        <v>16004</v>
      </c>
      <c r="C2209" s="20" t="n">
        <f aca="false">ROUND(1.16/FX,2)</f>
        <v>0.16</v>
      </c>
      <c r="D2209" s="21" t="s">
        <v>15458</v>
      </c>
      <c r="E2209" s="21" t="s">
        <v>15814</v>
      </c>
      <c r="F2209" s="21" t="s">
        <v>16005</v>
      </c>
      <c r="G2209" s="21" t="s">
        <v>13732</v>
      </c>
      <c r="H2209" s="21" t="s">
        <v>15806</v>
      </c>
    </row>
    <row r="2210" customFormat="false" ht="15" hidden="false" customHeight="false" outlineLevel="0" collapsed="false">
      <c r="B2210" s="19" t="s">
        <v>16006</v>
      </c>
      <c r="C2210" s="20" t="n">
        <f aca="false">ROUND(1.37/FX,2)</f>
        <v>0.19</v>
      </c>
      <c r="D2210" s="21" t="s">
        <v>15458</v>
      </c>
      <c r="E2210" s="21" t="s">
        <v>15814</v>
      </c>
      <c r="F2210" s="21" t="s">
        <v>16007</v>
      </c>
      <c r="G2210" s="21" t="s">
        <v>13732</v>
      </c>
      <c r="H2210" s="21" t="s">
        <v>16008</v>
      </c>
    </row>
    <row r="2211" customFormat="false" ht="15" hidden="false" customHeight="false" outlineLevel="0" collapsed="false">
      <c r="B2211" s="19" t="s">
        <v>16009</v>
      </c>
      <c r="C2211" s="20" t="n">
        <f aca="false">ROUND(1.3/FX,2)</f>
        <v>0.18</v>
      </c>
      <c r="D2211" s="21" t="s">
        <v>15458</v>
      </c>
      <c r="E2211" s="21" t="s">
        <v>15814</v>
      </c>
      <c r="F2211" s="21" t="s">
        <v>16010</v>
      </c>
      <c r="G2211" s="21" t="s">
        <v>13732</v>
      </c>
      <c r="H2211" s="21" t="s">
        <v>16011</v>
      </c>
    </row>
    <row r="2212" customFormat="false" ht="15" hidden="false" customHeight="false" outlineLevel="0" collapsed="false">
      <c r="B2212" s="19" t="s">
        <v>16012</v>
      </c>
      <c r="C2212" s="20" t="n">
        <f aca="false">ROUND(1.43/FX,2)</f>
        <v>0.2</v>
      </c>
      <c r="D2212" s="21" t="s">
        <v>15458</v>
      </c>
      <c r="E2212" s="21" t="s">
        <v>15814</v>
      </c>
      <c r="F2212" s="21" t="s">
        <v>16013</v>
      </c>
      <c r="G2212" s="21" t="s">
        <v>13732</v>
      </c>
      <c r="H2212" s="21" t="s">
        <v>16014</v>
      </c>
    </row>
    <row r="2213" customFormat="false" ht="15" hidden="false" customHeight="false" outlineLevel="0" collapsed="false">
      <c r="B2213" s="19" t="s">
        <v>16015</v>
      </c>
      <c r="C2213" s="20" t="n">
        <f aca="false">ROUND(1.46/FX,2)</f>
        <v>0.2</v>
      </c>
      <c r="D2213" s="21" t="s">
        <v>15458</v>
      </c>
      <c r="E2213" s="21" t="s">
        <v>15814</v>
      </c>
      <c r="F2213" s="21" t="s">
        <v>16016</v>
      </c>
      <c r="G2213" s="21" t="s">
        <v>13732</v>
      </c>
      <c r="H2213" s="21" t="s">
        <v>16017</v>
      </c>
    </row>
    <row r="2214" customFormat="false" ht="15" hidden="false" customHeight="false" outlineLevel="0" collapsed="false">
      <c r="B2214" s="19" t="s">
        <v>16018</v>
      </c>
      <c r="C2214" s="20" t="n">
        <f aca="false">ROUND(1.15/FX,2)</f>
        <v>0.16</v>
      </c>
      <c r="D2214" s="21" t="s">
        <v>15458</v>
      </c>
      <c r="E2214" s="21" t="s">
        <v>15814</v>
      </c>
      <c r="F2214" s="21" t="s">
        <v>16019</v>
      </c>
      <c r="G2214" s="21" t="s">
        <v>13732</v>
      </c>
      <c r="H2214" s="21" t="s">
        <v>16020</v>
      </c>
    </row>
    <row r="2215" customFormat="false" ht="15" hidden="false" customHeight="false" outlineLevel="0" collapsed="false">
      <c r="B2215" s="19" t="s">
        <v>16021</v>
      </c>
      <c r="C2215" s="20" t="n">
        <f aca="false">ROUND(1.82/FX,2)</f>
        <v>0.25</v>
      </c>
      <c r="D2215" s="21" t="s">
        <v>15458</v>
      </c>
      <c r="E2215" s="21" t="s">
        <v>15814</v>
      </c>
      <c r="F2215" s="21" t="s">
        <v>16022</v>
      </c>
      <c r="G2215" s="21" t="s">
        <v>13739</v>
      </c>
      <c r="H2215" s="21" t="s">
        <v>15806</v>
      </c>
    </row>
    <row r="2216" customFormat="false" ht="15" hidden="false" customHeight="false" outlineLevel="0" collapsed="false">
      <c r="B2216" s="19" t="s">
        <v>16023</v>
      </c>
      <c r="C2216" s="20" t="n">
        <f aca="false">ROUND(0.61/FX,2)</f>
        <v>0.08</v>
      </c>
      <c r="D2216" s="21" t="s">
        <v>15458</v>
      </c>
      <c r="E2216" s="21" t="s">
        <v>15814</v>
      </c>
      <c r="F2216" s="21" t="s">
        <v>16024</v>
      </c>
      <c r="G2216" s="21" t="s">
        <v>13732</v>
      </c>
      <c r="H2216" s="21" t="s">
        <v>15806</v>
      </c>
    </row>
    <row r="2217" customFormat="false" ht="15" hidden="false" customHeight="false" outlineLevel="0" collapsed="false">
      <c r="B2217" s="19" t="s">
        <v>16025</v>
      </c>
      <c r="C2217" s="20" t="n">
        <f aca="false">ROUND(1.7/FX,2)</f>
        <v>0.24</v>
      </c>
      <c r="D2217" s="21" t="s">
        <v>15458</v>
      </c>
      <c r="E2217" s="21" t="s">
        <v>15814</v>
      </c>
      <c r="F2217" s="21" t="s">
        <v>16026</v>
      </c>
      <c r="G2217" s="21" t="s">
        <v>13739</v>
      </c>
      <c r="H2217" s="21" t="s">
        <v>16027</v>
      </c>
    </row>
    <row r="2218" customFormat="false" ht="15" hidden="false" customHeight="false" outlineLevel="0" collapsed="false">
      <c r="B2218" s="19" t="s">
        <v>16028</v>
      </c>
      <c r="C2218" s="20" t="n">
        <f aca="false">ROUND(1.44/FX,2)</f>
        <v>0.2</v>
      </c>
      <c r="D2218" s="21" t="s">
        <v>15458</v>
      </c>
      <c r="E2218" s="21" t="s">
        <v>15814</v>
      </c>
      <c r="F2218" s="21" t="s">
        <v>16029</v>
      </c>
      <c r="G2218" s="21" t="s">
        <v>13739</v>
      </c>
      <c r="H2218" s="21" t="s">
        <v>16030</v>
      </c>
    </row>
    <row r="2219" customFormat="false" ht="15" hidden="false" customHeight="false" outlineLevel="0" collapsed="false">
      <c r="B2219" s="19" t="s">
        <v>16031</v>
      </c>
      <c r="C2219" s="20" t="n">
        <f aca="false">ROUND(1.7/FX,2)</f>
        <v>0.24</v>
      </c>
      <c r="D2219" s="21" t="s">
        <v>15458</v>
      </c>
      <c r="E2219" s="21" t="s">
        <v>15814</v>
      </c>
      <c r="F2219" s="21" t="s">
        <v>16032</v>
      </c>
      <c r="G2219" s="21" t="s">
        <v>13739</v>
      </c>
      <c r="H2219" s="21" t="s">
        <v>16008</v>
      </c>
    </row>
    <row r="2220" customFormat="false" ht="15" hidden="false" customHeight="false" outlineLevel="0" collapsed="false">
      <c r="B2220" s="19" t="s">
        <v>16033</v>
      </c>
      <c r="C2220" s="20" t="n">
        <f aca="false">ROUND(1.38/FX,2)</f>
        <v>0.19</v>
      </c>
      <c r="D2220" s="21" t="s">
        <v>15458</v>
      </c>
      <c r="E2220" s="21" t="s">
        <v>15814</v>
      </c>
      <c r="F2220" s="21" t="s">
        <v>16034</v>
      </c>
      <c r="G2220" s="21" t="s">
        <v>13739</v>
      </c>
      <c r="H2220" s="21" t="s">
        <v>16011</v>
      </c>
    </row>
    <row r="2221" customFormat="false" ht="15" hidden="false" customHeight="false" outlineLevel="0" collapsed="false">
      <c r="B2221" s="19" t="s">
        <v>16035</v>
      </c>
      <c r="C2221" s="20" t="n">
        <f aca="false">ROUND(0.66/FX,2)</f>
        <v>0.09</v>
      </c>
      <c r="D2221" s="21" t="s">
        <v>15458</v>
      </c>
      <c r="E2221" s="21" t="s">
        <v>15814</v>
      </c>
      <c r="F2221" s="21" t="s">
        <v>16036</v>
      </c>
      <c r="G2221" s="21" t="s">
        <v>13732</v>
      </c>
      <c r="H2221" s="21" t="s">
        <v>16014</v>
      </c>
    </row>
    <row r="2222" customFormat="false" ht="15" hidden="false" customHeight="false" outlineLevel="0" collapsed="false">
      <c r="B2222" s="19" t="s">
        <v>16037</v>
      </c>
      <c r="C2222" s="20" t="n">
        <f aca="false">ROUND(1.3/FX,2)</f>
        <v>0.18</v>
      </c>
      <c r="D2222" s="21" t="s">
        <v>15458</v>
      </c>
      <c r="E2222" s="21" t="s">
        <v>15814</v>
      </c>
      <c r="F2222" s="21" t="s">
        <v>16038</v>
      </c>
      <c r="G2222" s="21" t="s">
        <v>13739</v>
      </c>
      <c r="H2222" s="21" t="s">
        <v>16039</v>
      </c>
    </row>
    <row r="2223" customFormat="false" ht="15" hidden="false" customHeight="false" outlineLevel="0" collapsed="false">
      <c r="B2223" s="19" t="s">
        <v>16040</v>
      </c>
      <c r="C2223" s="20" t="n">
        <f aca="false">ROUND(1.3/FX,2)</f>
        <v>0.18</v>
      </c>
      <c r="D2223" s="21" t="s">
        <v>15458</v>
      </c>
      <c r="E2223" s="21" t="s">
        <v>15814</v>
      </c>
      <c r="F2223" s="21" t="s">
        <v>16041</v>
      </c>
      <c r="G2223" s="21" t="s">
        <v>13739</v>
      </c>
      <c r="H2223" s="21" t="s">
        <v>16042</v>
      </c>
    </row>
    <row r="2224" customFormat="false" ht="15" hidden="false" customHeight="false" outlineLevel="0" collapsed="false">
      <c r="B2224" s="19" t="s">
        <v>16043</v>
      </c>
      <c r="C2224" s="20" t="n">
        <f aca="false">ROUND(1.5/FX,2)</f>
        <v>0.21</v>
      </c>
      <c r="D2224" s="21" t="s">
        <v>15458</v>
      </c>
      <c r="E2224" s="21" t="s">
        <v>15814</v>
      </c>
      <c r="F2224" s="21" t="s">
        <v>16044</v>
      </c>
      <c r="G2224" s="21" t="s">
        <v>13739</v>
      </c>
      <c r="H2224" s="21" t="s">
        <v>16045</v>
      </c>
    </row>
    <row r="2225" customFormat="false" ht="15" hidden="false" customHeight="false" outlineLevel="0" collapsed="false">
      <c r="B2225" s="19" t="s">
        <v>16046</v>
      </c>
      <c r="C2225" s="20" t="n">
        <f aca="false">ROUND(1.72/FX,2)</f>
        <v>0.24</v>
      </c>
      <c r="D2225" s="21" t="s">
        <v>15458</v>
      </c>
      <c r="E2225" s="21" t="s">
        <v>15814</v>
      </c>
      <c r="F2225" s="21" t="s">
        <v>16047</v>
      </c>
      <c r="G2225" s="21" t="s">
        <v>13739</v>
      </c>
      <c r="H2225" s="21" t="s">
        <v>16017</v>
      </c>
    </row>
    <row r="2226" customFormat="false" ht="15" hidden="false" customHeight="false" outlineLevel="0" collapsed="false">
      <c r="B2226" s="19" t="s">
        <v>16048</v>
      </c>
      <c r="C2226" s="20" t="n">
        <f aca="false">ROUND(1.69/FX,2)</f>
        <v>0.23</v>
      </c>
      <c r="D2226" s="21" t="s">
        <v>15458</v>
      </c>
      <c r="E2226" s="21" t="s">
        <v>15814</v>
      </c>
      <c r="F2226" s="21" t="s">
        <v>16049</v>
      </c>
      <c r="G2226" s="21" t="s">
        <v>13732</v>
      </c>
      <c r="H2226" s="21" t="s">
        <v>16050</v>
      </c>
    </row>
    <row r="2227" customFormat="false" ht="15" hidden="false" customHeight="false" outlineLevel="0" collapsed="false">
      <c r="B2227" s="19" t="s">
        <v>16051</v>
      </c>
      <c r="C2227" s="20" t="n">
        <f aca="false">ROUND(1.82/FX,2)</f>
        <v>0.25</v>
      </c>
      <c r="D2227" s="21" t="s">
        <v>15458</v>
      </c>
      <c r="E2227" s="21" t="s">
        <v>15814</v>
      </c>
      <c r="F2227" s="21" t="s">
        <v>16052</v>
      </c>
      <c r="G2227" s="21" t="s">
        <v>13739</v>
      </c>
      <c r="H2227" s="21" t="s">
        <v>16053</v>
      </c>
    </row>
    <row r="2228" customFormat="false" ht="15" hidden="false" customHeight="false" outlineLevel="0" collapsed="false">
      <c r="B2228" s="19" t="s">
        <v>16054</v>
      </c>
      <c r="C2228" s="20" t="n">
        <f aca="false">ROUND(1.82/FX,2)</f>
        <v>0.25</v>
      </c>
      <c r="D2228" s="21" t="s">
        <v>15458</v>
      </c>
      <c r="E2228" s="21" t="s">
        <v>15814</v>
      </c>
      <c r="F2228" s="21" t="s">
        <v>16052</v>
      </c>
      <c r="G2228" s="21" t="s">
        <v>13739</v>
      </c>
      <c r="H2228" s="21" t="s">
        <v>16055</v>
      </c>
    </row>
    <row r="2229" customFormat="false" ht="15" hidden="false" customHeight="false" outlineLevel="0" collapsed="false">
      <c r="B2229" s="19" t="s">
        <v>16056</v>
      </c>
      <c r="C2229" s="20" t="n">
        <f aca="false">ROUND(1.56/FX,2)</f>
        <v>0.22</v>
      </c>
      <c r="D2229" s="21" t="s">
        <v>15458</v>
      </c>
      <c r="E2229" s="21" t="s">
        <v>15814</v>
      </c>
      <c r="F2229" s="21" t="s">
        <v>16057</v>
      </c>
      <c r="G2229" s="21" t="s">
        <v>13739</v>
      </c>
      <c r="H2229" s="21" t="s">
        <v>16058</v>
      </c>
    </row>
    <row r="2230" customFormat="false" ht="15" hidden="false" customHeight="false" outlineLevel="0" collapsed="false">
      <c r="B2230" s="19" t="s">
        <v>16059</v>
      </c>
      <c r="C2230" s="20" t="n">
        <f aca="false">ROUND(0.64/FX,2)</f>
        <v>0.09</v>
      </c>
      <c r="D2230" s="21" t="s">
        <v>15458</v>
      </c>
      <c r="E2230" s="21" t="s">
        <v>15814</v>
      </c>
      <c r="F2230" s="21" t="s">
        <v>16060</v>
      </c>
      <c r="G2230" s="21" t="s">
        <v>13732</v>
      </c>
      <c r="H2230" s="21" t="s">
        <v>16020</v>
      </c>
    </row>
    <row r="2231" customFormat="false" ht="15" hidden="false" customHeight="false" outlineLevel="0" collapsed="false">
      <c r="B2231" s="19" t="s">
        <v>16061</v>
      </c>
      <c r="C2231" s="20" t="n">
        <f aca="false">ROUND(4.55/FX,2)</f>
        <v>0.63</v>
      </c>
      <c r="D2231" s="21" t="s">
        <v>15458</v>
      </c>
      <c r="E2231" s="21" t="s">
        <v>8669</v>
      </c>
      <c r="F2231" s="21" t="s">
        <v>15832</v>
      </c>
      <c r="G2231" s="21" t="s">
        <v>13732</v>
      </c>
      <c r="H2231" s="21" t="s">
        <v>15495</v>
      </c>
    </row>
    <row r="2232" customFormat="false" ht="15" hidden="false" customHeight="false" outlineLevel="0" collapsed="false">
      <c r="B2232" s="19" t="s">
        <v>16062</v>
      </c>
      <c r="C2232" s="20" t="n">
        <f aca="false">ROUND(2.6/FX,2)</f>
        <v>0.36</v>
      </c>
      <c r="D2232" s="21" t="s">
        <v>15458</v>
      </c>
      <c r="E2232" s="21" t="s">
        <v>8669</v>
      </c>
      <c r="F2232" s="21" t="s">
        <v>15834</v>
      </c>
      <c r="G2232" s="21" t="s">
        <v>13732</v>
      </c>
      <c r="H2232" s="21" t="s">
        <v>15495</v>
      </c>
    </row>
    <row r="2233" customFormat="false" ht="15" hidden="false" customHeight="false" outlineLevel="0" collapsed="false">
      <c r="B2233" s="19" t="s">
        <v>16063</v>
      </c>
      <c r="C2233" s="20" t="n">
        <f aca="false">ROUND(4.94/FX,2)</f>
        <v>0.69</v>
      </c>
      <c r="D2233" s="21" t="s">
        <v>15458</v>
      </c>
      <c r="E2233" s="21" t="s">
        <v>8669</v>
      </c>
      <c r="F2233" s="21" t="s">
        <v>15836</v>
      </c>
      <c r="G2233" s="21" t="s">
        <v>13732</v>
      </c>
      <c r="H2233" s="21" t="s">
        <v>15483</v>
      </c>
    </row>
    <row r="2234" customFormat="false" ht="15" hidden="false" customHeight="false" outlineLevel="0" collapsed="false">
      <c r="B2234" s="19" t="s">
        <v>16064</v>
      </c>
      <c r="C2234" s="20" t="n">
        <f aca="false">ROUND(2.86/FX,2)</f>
        <v>0.4</v>
      </c>
      <c r="D2234" s="21" t="s">
        <v>15458</v>
      </c>
      <c r="E2234" s="21" t="s">
        <v>8669</v>
      </c>
      <c r="F2234" s="21" t="s">
        <v>15838</v>
      </c>
      <c r="G2234" s="21" t="s">
        <v>13732</v>
      </c>
      <c r="H2234" s="21" t="s">
        <v>15483</v>
      </c>
    </row>
    <row r="2235" customFormat="false" ht="15" hidden="false" customHeight="false" outlineLevel="0" collapsed="false">
      <c r="B2235" s="19" t="s">
        <v>16065</v>
      </c>
      <c r="C2235" s="20" t="n">
        <f aca="false">ROUND(2.47/FX,2)</f>
        <v>0.34</v>
      </c>
      <c r="D2235" s="21" t="s">
        <v>15458</v>
      </c>
      <c r="E2235" s="21" t="s">
        <v>8669</v>
      </c>
      <c r="F2235" s="21" t="s">
        <v>16066</v>
      </c>
      <c r="G2235" s="21" t="s">
        <v>13732</v>
      </c>
      <c r="H2235" s="21" t="s">
        <v>15723</v>
      </c>
    </row>
    <row r="2236" customFormat="false" ht="15" hidden="false" customHeight="false" outlineLevel="0" collapsed="false">
      <c r="B2236" s="19" t="s">
        <v>16067</v>
      </c>
      <c r="C2236" s="20" t="n">
        <f aca="false">ROUND(1.24/FX,2)</f>
        <v>0.17</v>
      </c>
      <c r="D2236" s="21" t="s">
        <v>15458</v>
      </c>
      <c r="E2236" s="21" t="s">
        <v>16068</v>
      </c>
      <c r="F2236" s="21" t="s">
        <v>16069</v>
      </c>
      <c r="G2236" s="21" t="s">
        <v>13732</v>
      </c>
      <c r="H2236" s="21" t="s">
        <v>15707</v>
      </c>
    </row>
    <row r="2237" customFormat="false" ht="15" hidden="false" customHeight="false" outlineLevel="0" collapsed="false">
      <c r="B2237" s="19" t="s">
        <v>16070</v>
      </c>
      <c r="C2237" s="20" t="n">
        <f aca="false">ROUND(3.38/FX,2)</f>
        <v>0.47</v>
      </c>
      <c r="D2237" s="21" t="s">
        <v>15458</v>
      </c>
      <c r="E2237" s="21" t="s">
        <v>16071</v>
      </c>
      <c r="F2237" s="21" t="s">
        <v>15834</v>
      </c>
      <c r="G2237" s="21" t="s">
        <v>13732</v>
      </c>
      <c r="H2237" s="21" t="s">
        <v>15495</v>
      </c>
    </row>
    <row r="2238" customFormat="false" ht="15" hidden="false" customHeight="false" outlineLevel="0" collapsed="false">
      <c r="B2238" s="19" t="s">
        <v>16072</v>
      </c>
      <c r="C2238" s="20" t="n">
        <f aca="false">ROUND(3.9/FX,2)</f>
        <v>0.54</v>
      </c>
      <c r="D2238" s="21" t="s">
        <v>15458</v>
      </c>
      <c r="E2238" s="21" t="s">
        <v>16071</v>
      </c>
      <c r="F2238" s="21" t="s">
        <v>15838</v>
      </c>
      <c r="G2238" s="21" t="s">
        <v>13732</v>
      </c>
      <c r="H2238" s="21" t="s">
        <v>15483</v>
      </c>
    </row>
    <row r="2239" customFormat="false" ht="15" hidden="false" customHeight="false" outlineLevel="0" collapsed="false">
      <c r="B2239" s="19" t="s">
        <v>16073</v>
      </c>
      <c r="C2239" s="20" t="n">
        <f aca="false">ROUND(1.24/FX,2)</f>
        <v>0.17</v>
      </c>
      <c r="D2239" s="21" t="s">
        <v>15458</v>
      </c>
      <c r="E2239" s="21" t="s">
        <v>16071</v>
      </c>
      <c r="F2239" s="21" t="s">
        <v>16024</v>
      </c>
      <c r="G2239" s="21" t="s">
        <v>13732</v>
      </c>
      <c r="H2239" s="21" t="s">
        <v>15806</v>
      </c>
    </row>
    <row r="2240" customFormat="false" ht="15" hidden="false" customHeight="false" outlineLevel="0" collapsed="false">
      <c r="B2240" s="19" t="s">
        <v>16074</v>
      </c>
      <c r="C2240" s="20" t="n">
        <f aca="false">ROUND(4.68/FX,2)</f>
        <v>0.65</v>
      </c>
      <c r="D2240" s="21" t="s">
        <v>15458</v>
      </c>
      <c r="E2240" s="21" t="s">
        <v>16071</v>
      </c>
      <c r="F2240" s="21" t="s">
        <v>16075</v>
      </c>
      <c r="G2240" s="21" t="s">
        <v>13732</v>
      </c>
      <c r="H2240" s="21" t="s">
        <v>15504</v>
      </c>
    </row>
    <row r="2241" customFormat="false" ht="15" hidden="false" customHeight="false" outlineLevel="0" collapsed="false">
      <c r="B2241" s="19" t="s">
        <v>16076</v>
      </c>
      <c r="C2241" s="20" t="n">
        <f aca="false">ROUND(4.68/FX,2)</f>
        <v>0.65</v>
      </c>
      <c r="D2241" s="21" t="s">
        <v>15458</v>
      </c>
      <c r="E2241" s="21" t="s">
        <v>16071</v>
      </c>
      <c r="F2241" s="21" t="s">
        <v>16077</v>
      </c>
      <c r="G2241" s="21" t="s">
        <v>13732</v>
      </c>
      <c r="H2241" s="21" t="s">
        <v>15504</v>
      </c>
    </row>
    <row r="2244" customFormat="false" ht="61.5" hidden="false" customHeight="true" outlineLevel="0" collapsed="false">
      <c r="A2244" s="9"/>
      <c r="B2244" s="10" t="s">
        <v>16078</v>
      </c>
      <c r="C2244" s="10"/>
      <c r="D2244" s="10"/>
      <c r="E2244" s="10"/>
    </row>
    <row r="2245" customFormat="false" ht="15" hidden="false" customHeight="false" outlineLevel="0" collapsed="false">
      <c r="A2245" s="12" t="s">
        <v>700</v>
      </c>
      <c r="B2245" s="13" t="s">
        <v>701</v>
      </c>
      <c r="C2245" s="13" t="s">
        <v>702</v>
      </c>
      <c r="D2245" s="13" t="s">
        <v>704</v>
      </c>
      <c r="E2245" s="13" t="s">
        <v>723</v>
      </c>
    </row>
    <row r="2246" customFormat="false" ht="30" hidden="false" customHeight="true" outlineLevel="0" collapsed="false">
      <c r="A2246" s="14" t="s">
        <v>706</v>
      </c>
      <c r="B2246" s="15" t="str">
        <f aca="false">IF(COUNTIFS($D$2249:$D$2283,IF(D2246="","*",D2246),$E$2249:$E$2283,IF(E2246="","*",E2246))=1,INDEX($B:$B,SUMPRODUCT(((D2246="")+($D$2249:$D$2283=D2246)&gt;0)*((E2246="")+($E$2249:$E$2283=E2246)&gt;0)*ROW($B$2249:$B$2283))),IF(COUNTIFS($D$2249:$D$2283,IF(D2246="","*",D2246),$E$2249:$E$2283,IF(E2246="","*",E2246))=0,"Not available",COUNTIFS($D$2249:$D$2283,IF(D2246="","*",D2246),$E$2249:$E$2283,IF(E2246="","*",E2246))&amp;" match, keep choosing"))</f>
        <v>RL-029-CS-CF10-1-KR26</v>
      </c>
      <c r="C2246" s="16" t="n">
        <f aca="false">IF(COUNTIFS($D$2249:$D$2283,IF(D2246="","*",D2246),$E$2249:$E$2283,IF(E2246="","*",E2246))=1,INDEX($C:$C,SUMPRODUCT(((D2246="")+($D$2249:$D$2283=D2246)&gt;0)*((E2246="")+($E$2249:$E$2283=E2246)&gt;0)*ROW($B$2249:$B$2283))),"")</f>
        <v>0.76</v>
      </c>
      <c r="D2246" s="17" t="s">
        <v>10100</v>
      </c>
      <c r="E2246" s="17" t="s">
        <v>16079</v>
      </c>
    </row>
    <row r="2248" customFormat="false" ht="15" hidden="false" customHeight="false" outlineLevel="0" collapsed="false">
      <c r="B2248" s="18" t="s">
        <v>701</v>
      </c>
      <c r="C2248" s="18" t="s">
        <v>702</v>
      </c>
      <c r="D2248" s="18" t="s">
        <v>704</v>
      </c>
      <c r="E2248" s="18" t="s">
        <v>723</v>
      </c>
    </row>
    <row r="2249" customFormat="false" ht="15" hidden="false" customHeight="false" outlineLevel="0" collapsed="false">
      <c r="B2249" s="19" t="s">
        <v>16080</v>
      </c>
      <c r="C2249" s="20" t="n">
        <f aca="false">ROUND(5.5/FX,2)</f>
        <v>0.76</v>
      </c>
      <c r="D2249" s="21" t="s">
        <v>10100</v>
      </c>
      <c r="E2249" s="21" t="s">
        <v>16079</v>
      </c>
    </row>
    <row r="2250" customFormat="false" ht="15" hidden="false" customHeight="false" outlineLevel="0" collapsed="false">
      <c r="B2250" s="19" t="s">
        <v>16081</v>
      </c>
      <c r="C2250" s="20" t="n">
        <f aca="false">ROUND(4.45/FX,2)</f>
        <v>0.62</v>
      </c>
      <c r="D2250" s="21" t="s">
        <v>10100</v>
      </c>
      <c r="E2250" s="21" t="s">
        <v>16082</v>
      </c>
    </row>
    <row r="2251" customFormat="false" ht="15" hidden="false" customHeight="false" outlineLevel="0" collapsed="false">
      <c r="B2251" s="19" t="s">
        <v>16083</v>
      </c>
      <c r="C2251" s="20" t="n">
        <f aca="false">ROUND(7.8/FX,2)</f>
        <v>1.08</v>
      </c>
      <c r="D2251" s="21" t="s">
        <v>10100</v>
      </c>
      <c r="E2251" s="21" t="s">
        <v>16084</v>
      </c>
    </row>
    <row r="2252" customFormat="false" ht="15" hidden="false" customHeight="false" outlineLevel="0" collapsed="false">
      <c r="B2252" s="19" t="s">
        <v>16085</v>
      </c>
      <c r="C2252" s="20" t="n">
        <f aca="false">ROUND(4.03/FX,2)</f>
        <v>0.56</v>
      </c>
      <c r="D2252" s="21" t="s">
        <v>10100</v>
      </c>
      <c r="E2252" s="21" t="s">
        <v>16086</v>
      </c>
    </row>
    <row r="2253" customFormat="false" ht="28.35" hidden="false" customHeight="false" outlineLevel="0" collapsed="false">
      <c r="B2253" s="19" t="s">
        <v>16087</v>
      </c>
      <c r="C2253" s="20" t="n">
        <f aca="false">ROUND(5.46/FX,2)</f>
        <v>0.76</v>
      </c>
      <c r="D2253" s="21" t="s">
        <v>10100</v>
      </c>
      <c r="E2253" s="21" t="s">
        <v>16088</v>
      </c>
    </row>
    <row r="2254" customFormat="false" ht="15" hidden="false" customHeight="false" outlineLevel="0" collapsed="false">
      <c r="B2254" s="19" t="s">
        <v>16089</v>
      </c>
      <c r="C2254" s="20" t="n">
        <f aca="false">ROUND(7.78/FX,2)</f>
        <v>1.08</v>
      </c>
      <c r="D2254" s="21" t="s">
        <v>10100</v>
      </c>
      <c r="E2254" s="21" t="s">
        <v>16090</v>
      </c>
    </row>
    <row r="2255" customFormat="false" ht="15" hidden="false" customHeight="false" outlineLevel="0" collapsed="false">
      <c r="B2255" s="19" t="s">
        <v>16091</v>
      </c>
      <c r="C2255" s="20" t="n">
        <f aca="false">ROUND(14.04/FX,2)</f>
        <v>1.95</v>
      </c>
      <c r="D2255" s="21" t="s">
        <v>10100</v>
      </c>
      <c r="E2255" s="21" t="s">
        <v>16092</v>
      </c>
    </row>
    <row r="2256" customFormat="false" ht="15" hidden="false" customHeight="false" outlineLevel="0" collapsed="false">
      <c r="B2256" s="19" t="s">
        <v>16093</v>
      </c>
      <c r="C2256" s="20" t="n">
        <f aca="false">ROUND(18.53/FX,2)</f>
        <v>2.57</v>
      </c>
      <c r="D2256" s="21" t="s">
        <v>10100</v>
      </c>
      <c r="E2256" s="21" t="s">
        <v>16094</v>
      </c>
    </row>
    <row r="2257" customFormat="false" ht="15" hidden="false" customHeight="false" outlineLevel="0" collapsed="false">
      <c r="B2257" s="19" t="s">
        <v>16095</v>
      </c>
      <c r="C2257" s="20" t="n">
        <f aca="false">ROUND(23.4/FX,2)</f>
        <v>3.25</v>
      </c>
      <c r="D2257" s="21" t="s">
        <v>10100</v>
      </c>
      <c r="E2257" s="21" t="s">
        <v>16096</v>
      </c>
    </row>
    <row r="2258" customFormat="false" ht="15" hidden="false" customHeight="false" outlineLevel="0" collapsed="false">
      <c r="B2258" s="19" t="s">
        <v>16097</v>
      </c>
      <c r="C2258" s="20" t="n">
        <f aca="false">ROUND(32.11/FX,2)</f>
        <v>4.46</v>
      </c>
      <c r="D2258" s="21" t="s">
        <v>10100</v>
      </c>
      <c r="E2258" s="21" t="s">
        <v>16098</v>
      </c>
    </row>
    <row r="2259" customFormat="false" ht="15" hidden="false" customHeight="false" outlineLevel="0" collapsed="false">
      <c r="B2259" s="19" t="s">
        <v>16099</v>
      </c>
      <c r="C2259" s="20" t="n">
        <f aca="false">ROUND(31.2/FX,2)</f>
        <v>4.33</v>
      </c>
      <c r="D2259" s="21" t="s">
        <v>10100</v>
      </c>
      <c r="E2259" s="21" t="s">
        <v>16100</v>
      </c>
    </row>
    <row r="2260" customFormat="false" ht="15" hidden="false" customHeight="false" outlineLevel="0" collapsed="false">
      <c r="B2260" s="19" t="s">
        <v>16101</v>
      </c>
      <c r="C2260" s="20" t="n">
        <f aca="false">ROUND(5.2/FX,2)</f>
        <v>0.72</v>
      </c>
      <c r="D2260" s="21" t="s">
        <v>10100</v>
      </c>
      <c r="E2260" s="21" t="s">
        <v>16102</v>
      </c>
    </row>
    <row r="2261" customFormat="false" ht="15" hidden="false" customHeight="false" outlineLevel="0" collapsed="false">
      <c r="B2261" s="19" t="s">
        <v>16103</v>
      </c>
      <c r="C2261" s="20" t="n">
        <f aca="false">ROUND(71.52/FX,2)</f>
        <v>9.93</v>
      </c>
      <c r="D2261" s="21" t="s">
        <v>10100</v>
      </c>
      <c r="E2261" s="21" t="s">
        <v>16104</v>
      </c>
    </row>
    <row r="2262" customFormat="false" ht="15" hidden="false" customHeight="false" outlineLevel="0" collapsed="false">
      <c r="B2262" s="19" t="s">
        <v>16105</v>
      </c>
      <c r="C2262" s="20" t="n">
        <f aca="false">ROUND(75.42/FX,2)</f>
        <v>10.48</v>
      </c>
      <c r="D2262" s="21" t="s">
        <v>10100</v>
      </c>
      <c r="E2262" s="21" t="s">
        <v>16106</v>
      </c>
    </row>
    <row r="2263" customFormat="false" ht="15" hidden="false" customHeight="false" outlineLevel="0" collapsed="false">
      <c r="B2263" s="19" t="s">
        <v>16107</v>
      </c>
      <c r="C2263" s="20" t="n">
        <f aca="false">ROUND(63.6/FX,2)</f>
        <v>8.83</v>
      </c>
      <c r="D2263" s="21" t="s">
        <v>10100</v>
      </c>
      <c r="E2263" s="21" t="s">
        <v>16108</v>
      </c>
    </row>
    <row r="2264" customFormat="false" ht="15" hidden="false" customHeight="false" outlineLevel="0" collapsed="false">
      <c r="B2264" s="19" t="s">
        <v>16109</v>
      </c>
      <c r="C2264" s="20" t="n">
        <f aca="false">ROUND(4.55/FX,2)</f>
        <v>0.63</v>
      </c>
      <c r="D2264" s="21" t="s">
        <v>10100</v>
      </c>
      <c r="E2264" s="21" t="s">
        <v>16110</v>
      </c>
    </row>
    <row r="2265" customFormat="false" ht="15" hidden="false" customHeight="false" outlineLevel="0" collapsed="false">
      <c r="B2265" s="19" t="s">
        <v>16111</v>
      </c>
      <c r="C2265" s="20" t="n">
        <f aca="false">ROUND(3.12/FX,2)</f>
        <v>0.43</v>
      </c>
      <c r="D2265" s="21" t="s">
        <v>10100</v>
      </c>
      <c r="E2265" s="21" t="s">
        <v>16112</v>
      </c>
    </row>
    <row r="2266" customFormat="false" ht="15" hidden="false" customHeight="false" outlineLevel="0" collapsed="false">
      <c r="B2266" s="19" t="s">
        <v>16113</v>
      </c>
      <c r="C2266" s="20" t="n">
        <f aca="false">ROUND(3.12/FX,2)</f>
        <v>0.43</v>
      </c>
      <c r="D2266" s="21" t="s">
        <v>10100</v>
      </c>
      <c r="E2266" s="21" t="s">
        <v>16114</v>
      </c>
    </row>
    <row r="2267" customFormat="false" ht="15" hidden="false" customHeight="false" outlineLevel="0" collapsed="false">
      <c r="B2267" s="19" t="s">
        <v>16115</v>
      </c>
      <c r="C2267" s="20" t="n">
        <f aca="false">ROUND(2.13/FX,2)</f>
        <v>0.3</v>
      </c>
      <c r="D2267" s="21" t="s">
        <v>10100</v>
      </c>
      <c r="E2267" s="21" t="s">
        <v>16116</v>
      </c>
    </row>
    <row r="2268" customFormat="false" ht="15" hidden="false" customHeight="false" outlineLevel="0" collapsed="false">
      <c r="B2268" s="19" t="s">
        <v>16117</v>
      </c>
      <c r="C2268" s="20" t="n">
        <f aca="false">ROUND(36.01/FX,2)</f>
        <v>5</v>
      </c>
      <c r="D2268" s="21" t="s">
        <v>8669</v>
      </c>
      <c r="E2268" s="21" t="s">
        <v>16079</v>
      </c>
    </row>
    <row r="2269" customFormat="false" ht="15" hidden="false" customHeight="false" outlineLevel="0" collapsed="false">
      <c r="B2269" s="19" t="s">
        <v>16118</v>
      </c>
      <c r="C2269" s="20" t="n">
        <f aca="false">ROUND(35.1/FX,2)</f>
        <v>4.88</v>
      </c>
      <c r="D2269" s="21" t="s">
        <v>8669</v>
      </c>
      <c r="E2269" s="21" t="s">
        <v>16082</v>
      </c>
    </row>
    <row r="2270" customFormat="false" ht="15" hidden="false" customHeight="false" outlineLevel="0" collapsed="false">
      <c r="B2270" s="19" t="s">
        <v>16119</v>
      </c>
      <c r="C2270" s="20" t="n">
        <f aca="false">ROUND(38.35/FX,2)</f>
        <v>5.33</v>
      </c>
      <c r="D2270" s="21" t="s">
        <v>8669</v>
      </c>
      <c r="E2270" s="21" t="s">
        <v>16084</v>
      </c>
    </row>
    <row r="2271" customFormat="false" ht="15" hidden="false" customHeight="false" outlineLevel="0" collapsed="false">
      <c r="B2271" s="19" t="s">
        <v>16120</v>
      </c>
      <c r="C2271" s="20" t="n">
        <f aca="false">ROUND(37.7/FX,2)</f>
        <v>5.24</v>
      </c>
      <c r="D2271" s="21" t="s">
        <v>8669</v>
      </c>
      <c r="E2271" s="21" t="s">
        <v>16086</v>
      </c>
    </row>
    <row r="2272" customFormat="false" ht="15" hidden="false" customHeight="false" outlineLevel="0" collapsed="false">
      <c r="B2272" s="19" t="s">
        <v>16121</v>
      </c>
      <c r="C2272" s="20" t="n">
        <f aca="false">ROUND(62.4/FX,2)</f>
        <v>8.67</v>
      </c>
      <c r="D2272" s="21" t="s">
        <v>8669</v>
      </c>
      <c r="E2272" s="21" t="s">
        <v>16090</v>
      </c>
    </row>
    <row r="2273" customFormat="false" ht="15" hidden="false" customHeight="false" outlineLevel="0" collapsed="false">
      <c r="B2273" s="19" t="s">
        <v>16122</v>
      </c>
      <c r="C2273" s="20" t="n">
        <f aca="false">ROUND(74.1/FX,2)</f>
        <v>10.29</v>
      </c>
      <c r="D2273" s="21" t="s">
        <v>8669</v>
      </c>
      <c r="E2273" s="21" t="s">
        <v>16092</v>
      </c>
    </row>
    <row r="2274" customFormat="false" ht="15" hidden="false" customHeight="false" outlineLevel="0" collapsed="false">
      <c r="B2274" s="19" t="s">
        <v>16123</v>
      </c>
      <c r="C2274" s="20" t="n">
        <f aca="false">ROUND(89.7/FX,2)</f>
        <v>12.46</v>
      </c>
      <c r="D2274" s="21" t="s">
        <v>8669</v>
      </c>
      <c r="E2274" s="21" t="s">
        <v>16094</v>
      </c>
    </row>
    <row r="2275" customFormat="false" ht="15" hidden="false" customHeight="false" outlineLevel="0" collapsed="false">
      <c r="B2275" s="19" t="s">
        <v>16124</v>
      </c>
      <c r="C2275" s="20" t="n">
        <f aca="false">ROUND(88.4/FX,2)</f>
        <v>12.28</v>
      </c>
      <c r="D2275" s="21" t="s">
        <v>8669</v>
      </c>
      <c r="E2275" s="21" t="s">
        <v>16096</v>
      </c>
    </row>
    <row r="2276" customFormat="false" ht="15" hidden="false" customHeight="false" outlineLevel="0" collapsed="false">
      <c r="B2276" s="19" t="s">
        <v>16125</v>
      </c>
      <c r="C2276" s="20" t="n">
        <f aca="false">ROUND(188.5/FX,2)</f>
        <v>26.18</v>
      </c>
      <c r="D2276" s="21" t="s">
        <v>8669</v>
      </c>
      <c r="E2276" s="21" t="s">
        <v>16098</v>
      </c>
    </row>
    <row r="2277" customFormat="false" ht="15" hidden="false" customHeight="false" outlineLevel="0" collapsed="false">
      <c r="B2277" s="19" t="s">
        <v>16126</v>
      </c>
      <c r="C2277" s="20" t="n">
        <f aca="false">ROUND(175.5/FX,2)</f>
        <v>24.38</v>
      </c>
      <c r="D2277" s="21" t="s">
        <v>8669</v>
      </c>
      <c r="E2277" s="21" t="s">
        <v>16100</v>
      </c>
    </row>
    <row r="2278" customFormat="false" ht="15" hidden="false" customHeight="false" outlineLevel="0" collapsed="false">
      <c r="B2278" s="19" t="s">
        <v>16127</v>
      </c>
      <c r="C2278" s="20" t="n">
        <f aca="false">ROUND(28.6/FX,2)</f>
        <v>3.97</v>
      </c>
      <c r="D2278" s="21" t="s">
        <v>8669</v>
      </c>
      <c r="E2278" s="21" t="s">
        <v>16102</v>
      </c>
    </row>
    <row r="2279" customFormat="false" ht="15" hidden="false" customHeight="false" outlineLevel="0" collapsed="false">
      <c r="B2279" s="19" t="s">
        <v>16128</v>
      </c>
      <c r="C2279" s="20" t="n">
        <f aca="false">ROUND(338/FX,2)</f>
        <v>46.94</v>
      </c>
      <c r="D2279" s="21" t="s">
        <v>8669</v>
      </c>
      <c r="E2279" s="21" t="s">
        <v>16108</v>
      </c>
    </row>
    <row r="2280" customFormat="false" ht="15" hidden="false" customHeight="false" outlineLevel="0" collapsed="false">
      <c r="B2280" s="19" t="s">
        <v>16129</v>
      </c>
      <c r="C2280" s="20" t="n">
        <f aca="false">ROUND(28.6/FX,2)</f>
        <v>3.97</v>
      </c>
      <c r="D2280" s="21" t="s">
        <v>8669</v>
      </c>
      <c r="E2280" s="21" t="s">
        <v>16110</v>
      </c>
    </row>
    <row r="2281" customFormat="false" ht="15" hidden="false" customHeight="false" outlineLevel="0" collapsed="false">
      <c r="B2281" s="19" t="s">
        <v>16130</v>
      </c>
      <c r="C2281" s="20" t="n">
        <f aca="false">ROUND(28.6/FX,2)</f>
        <v>3.97</v>
      </c>
      <c r="D2281" s="21" t="s">
        <v>8669</v>
      </c>
      <c r="E2281" s="21" t="s">
        <v>16112</v>
      </c>
    </row>
    <row r="2282" customFormat="false" ht="15" hidden="false" customHeight="false" outlineLevel="0" collapsed="false">
      <c r="B2282" s="19" t="s">
        <v>16131</v>
      </c>
      <c r="C2282" s="20" t="n">
        <f aca="false">ROUND(28.6/FX,2)</f>
        <v>3.97</v>
      </c>
      <c r="D2282" s="21" t="s">
        <v>8669</v>
      </c>
      <c r="E2282" s="21" t="s">
        <v>16114</v>
      </c>
    </row>
    <row r="2283" customFormat="false" ht="15" hidden="false" customHeight="false" outlineLevel="0" collapsed="false">
      <c r="B2283" s="19" t="s">
        <v>16132</v>
      </c>
      <c r="C2283" s="20" t="n">
        <f aca="false">ROUND(32.5/FX,2)</f>
        <v>4.51</v>
      </c>
      <c r="D2283" s="21" t="s">
        <v>8669</v>
      </c>
      <c r="E2283" s="21" t="s">
        <v>16116</v>
      </c>
    </row>
    <row r="2286" customFormat="false" ht="61.5" hidden="false" customHeight="true" outlineLevel="0" collapsed="false">
      <c r="A2286" s="9"/>
      <c r="B2286" s="10" t="s">
        <v>16133</v>
      </c>
      <c r="C2286" s="10"/>
      <c r="D2286" s="10"/>
    </row>
    <row r="2287" customFormat="false" ht="15" hidden="false" customHeight="false" outlineLevel="0" collapsed="false">
      <c r="B2287" s="18" t="s">
        <v>701</v>
      </c>
      <c r="C2287" s="18" t="s">
        <v>702</v>
      </c>
      <c r="D2287" s="18" t="s">
        <v>5610</v>
      </c>
    </row>
    <row r="2288" customFormat="false" ht="15" hidden="false" customHeight="false" outlineLevel="0" collapsed="false">
      <c r="B2288" s="19" t="s">
        <v>16134</v>
      </c>
      <c r="C2288" s="20" t="n">
        <f aca="false">ROUND(23.4/FX,2)</f>
        <v>3.25</v>
      </c>
      <c r="D2288" s="22" t="s">
        <v>5612</v>
      </c>
    </row>
    <row r="2291" customFormat="false" ht="61.5" hidden="false" customHeight="true" outlineLevel="0" collapsed="false">
      <c r="A2291" s="9"/>
      <c r="B2291" s="10" t="s">
        <v>16135</v>
      </c>
      <c r="C2291" s="10"/>
      <c r="D2291" s="10"/>
      <c r="E2291" s="10"/>
      <c r="F2291" s="10"/>
    </row>
    <row r="2292" customFormat="false" ht="15" hidden="false" customHeight="false" outlineLevel="0" collapsed="false">
      <c r="A2292" s="12" t="s">
        <v>700</v>
      </c>
      <c r="B2292" s="13" t="s">
        <v>701</v>
      </c>
      <c r="C2292" s="13" t="s">
        <v>702</v>
      </c>
      <c r="D2292" s="13" t="s">
        <v>6159</v>
      </c>
      <c r="E2292" s="13" t="s">
        <v>16136</v>
      </c>
      <c r="F2292" s="13" t="s">
        <v>16137</v>
      </c>
    </row>
    <row r="2293" customFormat="false" ht="30" hidden="false" customHeight="true" outlineLevel="0" collapsed="false">
      <c r="A2293" s="14" t="s">
        <v>706</v>
      </c>
      <c r="B2293" s="15" t="str">
        <f aca="false">IF(COUNTIFS($D$2296:$D$2348,IF(D2293="","*",D2293),$E$2296:$E$2348,IF(E2293="","*",E2293),$F$2296:$F$2348,IF(F2293="","*",F2293))=1,INDEX($B:$B,SUMPRODUCT(((D2293="")+($D$2296:$D$2348=D2293)&gt;0)*((E2293="")+($E$2296:$E$2348=E2293)&gt;0)*((F2293="")+($F$2296:$F$2348=F2293)&gt;0)*ROW($B$2296:$B$2348))),IF(COUNTIFS($D$2296:$D$2348,IF(D2293="","*",D2293),$E$2296:$E$2348,IF(E2293="","*",E2293),$F$2296:$F$2348,IF(F2293="","*",F2293))=0,"Not available",COUNTIFS($D$2296:$D$2348,IF(D2293="","*",D2293),$E$2296:$E$2348,IF(E2293="","*",E2293),$F$2296:$F$2348,IF(F2293="","*",F2293))&amp;" match, keep choosing"))</f>
        <v>KIT-SFU1204-1000</v>
      </c>
      <c r="C2293" s="16" t="n">
        <f aca="false">IF(COUNTIFS($D$2296:$D$2348,IF(D2293="","*",D2293),$E$2296:$E$2348,IF(E2293="","*",E2293),$F$2296:$F$2348,IF(F2293="","*",F2293))=1,INDEX($C:$C,SUMPRODUCT(((D2293="")+($D$2296:$D$2348=D2293)&gt;0)*((E2293="")+($E$2296:$E$2348=E2293)&gt;0)*((F2293="")+($F$2296:$F$2348=F2293)&gt;0)*ROW($B$2296:$B$2348))),"")</f>
        <v>22.84</v>
      </c>
      <c r="D2293" s="17" t="s">
        <v>13312</v>
      </c>
      <c r="E2293" s="17" t="s">
        <v>16138</v>
      </c>
      <c r="F2293" s="17" t="s">
        <v>1733</v>
      </c>
    </row>
    <row r="2295" customFormat="false" ht="15" hidden="false" customHeight="false" outlineLevel="0" collapsed="false">
      <c r="B2295" s="18" t="s">
        <v>701</v>
      </c>
      <c r="C2295" s="18" t="s">
        <v>702</v>
      </c>
      <c r="D2295" s="18" t="s">
        <v>6159</v>
      </c>
      <c r="E2295" s="18" t="s">
        <v>16136</v>
      </c>
      <c r="F2295" s="18" t="s">
        <v>16137</v>
      </c>
    </row>
    <row r="2296" customFormat="false" ht="15" hidden="false" customHeight="false" outlineLevel="0" collapsed="false">
      <c r="B2296" s="19" t="s">
        <v>16139</v>
      </c>
      <c r="C2296" s="20" t="n">
        <f aca="false">ROUND(164.45/FX,2)</f>
        <v>22.84</v>
      </c>
      <c r="D2296" s="21" t="s">
        <v>13312</v>
      </c>
      <c r="E2296" s="21" t="s">
        <v>16138</v>
      </c>
      <c r="F2296" s="21" t="s">
        <v>1733</v>
      </c>
    </row>
    <row r="2297" customFormat="false" ht="15" hidden="false" customHeight="false" outlineLevel="0" collapsed="false">
      <c r="B2297" s="19" t="s">
        <v>16140</v>
      </c>
      <c r="C2297" s="20" t="n">
        <f aca="false">ROUND(169.52/FX,2)</f>
        <v>23.54</v>
      </c>
      <c r="D2297" s="21" t="s">
        <v>13312</v>
      </c>
      <c r="E2297" s="21" t="s">
        <v>16138</v>
      </c>
      <c r="F2297" s="21" t="s">
        <v>1768</v>
      </c>
    </row>
    <row r="2298" customFormat="false" ht="15" hidden="false" customHeight="false" outlineLevel="0" collapsed="false">
      <c r="B2298" s="19" t="s">
        <v>16141</v>
      </c>
      <c r="C2298" s="20" t="n">
        <f aca="false">ROUND(174.59/FX,2)</f>
        <v>24.25</v>
      </c>
      <c r="D2298" s="21" t="s">
        <v>13312</v>
      </c>
      <c r="E2298" s="21" t="s">
        <v>16138</v>
      </c>
      <c r="F2298" s="21" t="s">
        <v>3253</v>
      </c>
    </row>
    <row r="2299" customFormat="false" ht="15" hidden="false" customHeight="false" outlineLevel="0" collapsed="false">
      <c r="B2299" s="19" t="s">
        <v>16142</v>
      </c>
      <c r="C2299" s="20" t="n">
        <f aca="false">ROUND(177.94/FX,2)</f>
        <v>24.71</v>
      </c>
      <c r="D2299" s="21" t="s">
        <v>13312</v>
      </c>
      <c r="E2299" s="21" t="s">
        <v>16138</v>
      </c>
      <c r="F2299" s="21" t="s">
        <v>13318</v>
      </c>
    </row>
    <row r="2300" customFormat="false" ht="15" hidden="false" customHeight="false" outlineLevel="0" collapsed="false">
      <c r="B2300" s="19" t="s">
        <v>16143</v>
      </c>
      <c r="C2300" s="20" t="n">
        <f aca="false">ROUND(121.36/FX,2)</f>
        <v>16.86</v>
      </c>
      <c r="D2300" s="21" t="s">
        <v>13312</v>
      </c>
      <c r="E2300" s="21" t="s">
        <v>16138</v>
      </c>
      <c r="F2300" s="21" t="s">
        <v>2851</v>
      </c>
    </row>
    <row r="2301" customFormat="false" ht="15" hidden="false" customHeight="false" outlineLevel="0" collapsed="false">
      <c r="B2301" s="19" t="s">
        <v>16144</v>
      </c>
      <c r="C2301" s="20" t="n">
        <f aca="false">ROUND(189.8/FX,2)</f>
        <v>26.36</v>
      </c>
      <c r="D2301" s="21" t="s">
        <v>13312</v>
      </c>
      <c r="E2301" s="21" t="s">
        <v>16138</v>
      </c>
      <c r="F2301" s="21" t="s">
        <v>1881</v>
      </c>
    </row>
    <row r="2302" customFormat="false" ht="15" hidden="false" customHeight="false" outlineLevel="0" collapsed="false">
      <c r="B2302" s="19" t="s">
        <v>16145</v>
      </c>
      <c r="C2302" s="20" t="n">
        <f aca="false">ROUND(122.88/FX,2)</f>
        <v>17.07</v>
      </c>
      <c r="D2302" s="21" t="s">
        <v>13312</v>
      </c>
      <c r="E2302" s="21" t="s">
        <v>16138</v>
      </c>
      <c r="F2302" s="21" t="s">
        <v>938</v>
      </c>
    </row>
    <row r="2303" customFormat="false" ht="15" hidden="false" customHeight="false" outlineLevel="0" collapsed="false">
      <c r="B2303" s="19" t="s">
        <v>16146</v>
      </c>
      <c r="C2303" s="20" t="n">
        <f aca="false">ROUND(123.89/FX,2)</f>
        <v>17.21</v>
      </c>
      <c r="D2303" s="21" t="s">
        <v>13312</v>
      </c>
      <c r="E2303" s="21" t="s">
        <v>16138</v>
      </c>
      <c r="F2303" s="21" t="s">
        <v>1048</v>
      </c>
    </row>
    <row r="2304" customFormat="false" ht="15" hidden="false" customHeight="false" outlineLevel="0" collapsed="false">
      <c r="B2304" s="19" t="s">
        <v>16147</v>
      </c>
      <c r="C2304" s="20" t="n">
        <f aca="false">ROUND(124.4/FX,2)</f>
        <v>17.28</v>
      </c>
      <c r="D2304" s="21" t="s">
        <v>13312</v>
      </c>
      <c r="E2304" s="21" t="s">
        <v>16138</v>
      </c>
      <c r="F2304" s="21" t="s">
        <v>1103</v>
      </c>
    </row>
    <row r="2305" customFormat="false" ht="15" hidden="false" customHeight="false" outlineLevel="0" collapsed="false">
      <c r="B2305" s="19" t="s">
        <v>16148</v>
      </c>
      <c r="C2305" s="20" t="n">
        <f aca="false">ROUND(117.39/FX,2)</f>
        <v>16.3</v>
      </c>
      <c r="D2305" s="21" t="s">
        <v>13312</v>
      </c>
      <c r="E2305" s="21" t="s">
        <v>16138</v>
      </c>
      <c r="F2305" s="21" t="s">
        <v>1323</v>
      </c>
    </row>
    <row r="2306" customFormat="false" ht="15" hidden="false" customHeight="false" outlineLevel="0" collapsed="false">
      <c r="B2306" s="19" t="s">
        <v>16149</v>
      </c>
      <c r="C2306" s="20" t="n">
        <f aca="false">ROUND(128.96/FX,2)</f>
        <v>17.91</v>
      </c>
      <c r="D2306" s="21" t="s">
        <v>13312</v>
      </c>
      <c r="E2306" s="21" t="s">
        <v>16138</v>
      </c>
      <c r="F2306" s="21" t="s">
        <v>1520</v>
      </c>
    </row>
    <row r="2307" customFormat="false" ht="15" hidden="false" customHeight="false" outlineLevel="0" collapsed="false">
      <c r="B2307" s="19" t="s">
        <v>16150</v>
      </c>
      <c r="C2307" s="20" t="n">
        <f aca="false">ROUND(123.44/FX,2)</f>
        <v>17.14</v>
      </c>
      <c r="D2307" s="21" t="s">
        <v>13312</v>
      </c>
      <c r="E2307" s="21" t="s">
        <v>16138</v>
      </c>
      <c r="F2307" s="21" t="s">
        <v>1635</v>
      </c>
    </row>
    <row r="2308" customFormat="false" ht="15" hidden="false" customHeight="false" outlineLevel="0" collapsed="false">
      <c r="B2308" s="19" t="s">
        <v>16151</v>
      </c>
      <c r="C2308" s="20" t="n">
        <f aca="false">ROUND(131.95/FX,2)</f>
        <v>18.33</v>
      </c>
      <c r="D2308" s="21" t="s">
        <v>13312</v>
      </c>
      <c r="E2308" s="21" t="s">
        <v>16138</v>
      </c>
      <c r="F2308" s="21" t="s">
        <v>13328</v>
      </c>
    </row>
    <row r="2309" customFormat="false" ht="15" hidden="false" customHeight="false" outlineLevel="0" collapsed="false">
      <c r="B2309" s="19" t="s">
        <v>16152</v>
      </c>
      <c r="C2309" s="20" t="n">
        <f aca="false">ROUND(134.03/FX,2)</f>
        <v>18.62</v>
      </c>
      <c r="D2309" s="21" t="s">
        <v>13312</v>
      </c>
      <c r="E2309" s="21" t="s">
        <v>16138</v>
      </c>
      <c r="F2309" s="21" t="s">
        <v>2002</v>
      </c>
    </row>
    <row r="2310" customFormat="false" ht="15" hidden="false" customHeight="false" outlineLevel="0" collapsed="false">
      <c r="B2310" s="19" t="s">
        <v>16153</v>
      </c>
      <c r="C2310" s="20" t="n">
        <f aca="false">ROUND(135.04/FX,2)</f>
        <v>18.76</v>
      </c>
      <c r="D2310" s="21" t="s">
        <v>13312</v>
      </c>
      <c r="E2310" s="21" t="s">
        <v>16138</v>
      </c>
      <c r="F2310" s="21" t="s">
        <v>2022</v>
      </c>
    </row>
    <row r="2311" customFormat="false" ht="15" hidden="false" customHeight="false" outlineLevel="0" collapsed="false">
      <c r="B2311" s="19" t="s">
        <v>16154</v>
      </c>
      <c r="C2311" s="20" t="n">
        <f aca="false">ROUND(136.57/FX,2)</f>
        <v>18.97</v>
      </c>
      <c r="D2311" s="21" t="s">
        <v>13312</v>
      </c>
      <c r="E2311" s="21" t="s">
        <v>16138</v>
      </c>
      <c r="F2311" s="21" t="s">
        <v>2067</v>
      </c>
    </row>
    <row r="2312" customFormat="false" ht="15" hidden="false" customHeight="false" outlineLevel="0" collapsed="false">
      <c r="B2312" s="19" t="s">
        <v>16155</v>
      </c>
      <c r="C2312" s="20" t="n">
        <f aca="false">ROUND(139.1/FX,2)</f>
        <v>19.32</v>
      </c>
      <c r="D2312" s="21" t="s">
        <v>13312</v>
      </c>
      <c r="E2312" s="21" t="s">
        <v>16138</v>
      </c>
      <c r="F2312" s="21" t="s">
        <v>2142</v>
      </c>
    </row>
    <row r="2313" customFormat="false" ht="15" hidden="false" customHeight="false" outlineLevel="0" collapsed="false">
      <c r="B2313" s="19" t="s">
        <v>16156</v>
      </c>
      <c r="C2313" s="20" t="n">
        <f aca="false">ROUND(141.64/FX,2)</f>
        <v>19.67</v>
      </c>
      <c r="D2313" s="21" t="s">
        <v>13312</v>
      </c>
      <c r="E2313" s="21" t="s">
        <v>16138</v>
      </c>
      <c r="F2313" s="21" t="s">
        <v>2187</v>
      </c>
    </row>
    <row r="2314" customFormat="false" ht="15" hidden="false" customHeight="false" outlineLevel="0" collapsed="false">
      <c r="B2314" s="19" t="s">
        <v>16157</v>
      </c>
      <c r="C2314" s="20" t="n">
        <f aca="false">ROUND(144.17/FX,2)</f>
        <v>20.02</v>
      </c>
      <c r="D2314" s="21" t="s">
        <v>13312</v>
      </c>
      <c r="E2314" s="21" t="s">
        <v>16138</v>
      </c>
      <c r="F2314" s="21" t="s">
        <v>2227</v>
      </c>
    </row>
    <row r="2315" customFormat="false" ht="15" hidden="false" customHeight="false" outlineLevel="0" collapsed="false">
      <c r="B2315" s="19" t="s">
        <v>16158</v>
      </c>
      <c r="C2315" s="20" t="n">
        <f aca="false">ROUND(146.71/FX,2)</f>
        <v>20.38</v>
      </c>
      <c r="D2315" s="21" t="s">
        <v>13312</v>
      </c>
      <c r="E2315" s="21" t="s">
        <v>16138</v>
      </c>
      <c r="F2315" s="21" t="s">
        <v>2297</v>
      </c>
    </row>
    <row r="2316" customFormat="false" ht="15" hidden="false" customHeight="false" outlineLevel="0" collapsed="false">
      <c r="B2316" s="19" t="s">
        <v>16159</v>
      </c>
      <c r="C2316" s="20" t="n">
        <f aca="false">ROUND(149.24/FX,2)</f>
        <v>20.73</v>
      </c>
      <c r="D2316" s="21" t="s">
        <v>13312</v>
      </c>
      <c r="E2316" s="21" t="s">
        <v>16138</v>
      </c>
      <c r="F2316" s="21" t="s">
        <v>2351</v>
      </c>
    </row>
    <row r="2317" customFormat="false" ht="15" hidden="false" customHeight="false" outlineLevel="0" collapsed="false">
      <c r="B2317" s="19" t="s">
        <v>16160</v>
      </c>
      <c r="C2317" s="20" t="n">
        <f aca="false">ROUND(151.78/FX,2)</f>
        <v>21.08</v>
      </c>
      <c r="D2317" s="21" t="s">
        <v>13312</v>
      </c>
      <c r="E2317" s="21" t="s">
        <v>16138</v>
      </c>
      <c r="F2317" s="21" t="s">
        <v>2400</v>
      </c>
    </row>
    <row r="2318" customFormat="false" ht="15" hidden="false" customHeight="false" outlineLevel="0" collapsed="false">
      <c r="B2318" s="19" t="s">
        <v>16161</v>
      </c>
      <c r="C2318" s="20" t="n">
        <f aca="false">ROUND(154.31/FX,2)</f>
        <v>21.43</v>
      </c>
      <c r="D2318" s="21" t="s">
        <v>13312</v>
      </c>
      <c r="E2318" s="21" t="s">
        <v>16138</v>
      </c>
      <c r="F2318" s="21" t="s">
        <v>2440</v>
      </c>
    </row>
    <row r="2319" customFormat="false" ht="15" hidden="false" customHeight="false" outlineLevel="0" collapsed="false">
      <c r="B2319" s="19" t="s">
        <v>16162</v>
      </c>
      <c r="C2319" s="20" t="n">
        <f aca="false">ROUND(156.85/FX,2)</f>
        <v>21.78</v>
      </c>
      <c r="D2319" s="21" t="s">
        <v>13312</v>
      </c>
      <c r="E2319" s="21" t="s">
        <v>16138</v>
      </c>
      <c r="F2319" s="21" t="s">
        <v>2470</v>
      </c>
    </row>
    <row r="2320" customFormat="false" ht="15" hidden="false" customHeight="false" outlineLevel="0" collapsed="false">
      <c r="B2320" s="19" t="s">
        <v>16163</v>
      </c>
      <c r="C2320" s="20" t="n">
        <f aca="false">ROUND(159.38/FX,2)</f>
        <v>22.14</v>
      </c>
      <c r="D2320" s="21" t="s">
        <v>13312</v>
      </c>
      <c r="E2320" s="21" t="s">
        <v>16138</v>
      </c>
      <c r="F2320" s="21" t="s">
        <v>2500</v>
      </c>
    </row>
    <row r="2321" customFormat="false" ht="15" hidden="false" customHeight="false" outlineLevel="0" collapsed="false">
      <c r="B2321" s="19" t="s">
        <v>16164</v>
      </c>
      <c r="C2321" s="20" t="n">
        <f aca="false">ROUND(161.92/FX,2)</f>
        <v>22.49</v>
      </c>
      <c r="D2321" s="21" t="s">
        <v>13312</v>
      </c>
      <c r="E2321" s="21" t="s">
        <v>16138</v>
      </c>
      <c r="F2321" s="21" t="s">
        <v>2540</v>
      </c>
    </row>
    <row r="2322" customFormat="false" ht="28.35" hidden="false" customHeight="false" outlineLevel="0" collapsed="false">
      <c r="B2322" s="19" t="s">
        <v>16165</v>
      </c>
      <c r="C2322" s="20" t="n">
        <f aca="false">ROUND(183.95/FX,2)</f>
        <v>25.55</v>
      </c>
      <c r="D2322" s="21" t="s">
        <v>13312</v>
      </c>
      <c r="E2322" s="21" t="s">
        <v>16166</v>
      </c>
      <c r="F2322" s="21" t="s">
        <v>1733</v>
      </c>
    </row>
    <row r="2323" customFormat="false" ht="28.35" hidden="false" customHeight="false" outlineLevel="0" collapsed="false">
      <c r="B2323" s="19" t="s">
        <v>16167</v>
      </c>
      <c r="C2323" s="20" t="n">
        <f aca="false">ROUND(189.02/FX,2)</f>
        <v>26.25</v>
      </c>
      <c r="D2323" s="21" t="s">
        <v>13312</v>
      </c>
      <c r="E2323" s="21" t="s">
        <v>16166</v>
      </c>
      <c r="F2323" s="21" t="s">
        <v>1768</v>
      </c>
    </row>
    <row r="2324" customFormat="false" ht="28.35" hidden="false" customHeight="false" outlineLevel="0" collapsed="false">
      <c r="B2324" s="19" t="s">
        <v>16168</v>
      </c>
      <c r="C2324" s="20" t="n">
        <f aca="false">ROUND(194.09/FX,2)</f>
        <v>26.96</v>
      </c>
      <c r="D2324" s="21" t="s">
        <v>13312</v>
      </c>
      <c r="E2324" s="21" t="s">
        <v>16166</v>
      </c>
      <c r="F2324" s="21" t="s">
        <v>3253</v>
      </c>
    </row>
    <row r="2325" customFormat="false" ht="28.35" hidden="false" customHeight="false" outlineLevel="0" collapsed="false">
      <c r="B2325" s="19" t="s">
        <v>16169</v>
      </c>
      <c r="C2325" s="20" t="n">
        <f aca="false">ROUND(197.44/FX,2)</f>
        <v>27.42</v>
      </c>
      <c r="D2325" s="21" t="s">
        <v>13312</v>
      </c>
      <c r="E2325" s="21" t="s">
        <v>16166</v>
      </c>
      <c r="F2325" s="21" t="s">
        <v>13318</v>
      </c>
    </row>
    <row r="2326" customFormat="false" ht="28.35" hidden="false" customHeight="false" outlineLevel="0" collapsed="false">
      <c r="B2326" s="19" t="s">
        <v>16170</v>
      </c>
      <c r="C2326" s="20" t="n">
        <f aca="false">ROUND(140.86/FX,2)</f>
        <v>19.56</v>
      </c>
      <c r="D2326" s="21" t="s">
        <v>13312</v>
      </c>
      <c r="E2326" s="21" t="s">
        <v>16166</v>
      </c>
      <c r="F2326" s="21" t="s">
        <v>2851</v>
      </c>
    </row>
    <row r="2327" customFormat="false" ht="28.35" hidden="false" customHeight="false" outlineLevel="0" collapsed="false">
      <c r="B2327" s="19" t="s">
        <v>16171</v>
      </c>
      <c r="C2327" s="20" t="n">
        <f aca="false">ROUND(209.3/FX,2)</f>
        <v>29.07</v>
      </c>
      <c r="D2327" s="21" t="s">
        <v>13312</v>
      </c>
      <c r="E2327" s="21" t="s">
        <v>16166</v>
      </c>
      <c r="F2327" s="21" t="s">
        <v>1881</v>
      </c>
    </row>
    <row r="2328" customFormat="false" ht="28.35" hidden="false" customHeight="false" outlineLevel="0" collapsed="false">
      <c r="B2328" s="19" t="s">
        <v>16172</v>
      </c>
      <c r="C2328" s="20" t="n">
        <f aca="false">ROUND(142.38/FX,2)</f>
        <v>19.78</v>
      </c>
      <c r="D2328" s="21" t="s">
        <v>13312</v>
      </c>
      <c r="E2328" s="21" t="s">
        <v>16166</v>
      </c>
      <c r="F2328" s="21" t="s">
        <v>938</v>
      </c>
    </row>
    <row r="2329" customFormat="false" ht="28.35" hidden="false" customHeight="false" outlineLevel="0" collapsed="false">
      <c r="B2329" s="19" t="s">
        <v>16173</v>
      </c>
      <c r="C2329" s="20" t="n">
        <f aca="false">ROUND(143.39/FX,2)</f>
        <v>19.92</v>
      </c>
      <c r="D2329" s="21" t="s">
        <v>13312</v>
      </c>
      <c r="E2329" s="21" t="s">
        <v>16166</v>
      </c>
      <c r="F2329" s="21" t="s">
        <v>1048</v>
      </c>
    </row>
    <row r="2330" customFormat="false" ht="28.35" hidden="false" customHeight="false" outlineLevel="0" collapsed="false">
      <c r="B2330" s="19" t="s">
        <v>16174</v>
      </c>
      <c r="C2330" s="20" t="n">
        <f aca="false">ROUND(143.9/FX,2)</f>
        <v>19.99</v>
      </c>
      <c r="D2330" s="21" t="s">
        <v>13312</v>
      </c>
      <c r="E2330" s="21" t="s">
        <v>16166</v>
      </c>
      <c r="F2330" s="21" t="s">
        <v>1103</v>
      </c>
    </row>
    <row r="2331" customFormat="false" ht="28.35" hidden="false" customHeight="false" outlineLevel="0" collapsed="false">
      <c r="B2331" s="19" t="s">
        <v>16175</v>
      </c>
      <c r="C2331" s="20" t="n">
        <f aca="false">ROUND(145.93/FX,2)</f>
        <v>20.27</v>
      </c>
      <c r="D2331" s="21" t="s">
        <v>13312</v>
      </c>
      <c r="E2331" s="21" t="s">
        <v>16166</v>
      </c>
      <c r="F2331" s="21" t="s">
        <v>1323</v>
      </c>
    </row>
    <row r="2332" customFormat="false" ht="28.35" hidden="false" customHeight="false" outlineLevel="0" collapsed="false">
      <c r="B2332" s="19" t="s">
        <v>16176</v>
      </c>
      <c r="C2332" s="20" t="n">
        <f aca="false">ROUND(148.46/FX,2)</f>
        <v>20.62</v>
      </c>
      <c r="D2332" s="21" t="s">
        <v>13312</v>
      </c>
      <c r="E2332" s="21" t="s">
        <v>16166</v>
      </c>
      <c r="F2332" s="21" t="s">
        <v>1520</v>
      </c>
    </row>
    <row r="2333" customFormat="false" ht="28.35" hidden="false" customHeight="false" outlineLevel="0" collapsed="false">
      <c r="B2333" s="19" t="s">
        <v>16177</v>
      </c>
      <c r="C2333" s="20" t="n">
        <f aca="false">ROUND(151/FX,2)</f>
        <v>20.97</v>
      </c>
      <c r="D2333" s="21" t="s">
        <v>13312</v>
      </c>
      <c r="E2333" s="21" t="s">
        <v>16166</v>
      </c>
      <c r="F2333" s="21" t="s">
        <v>1635</v>
      </c>
    </row>
    <row r="2334" customFormat="false" ht="28.35" hidden="false" customHeight="false" outlineLevel="0" collapsed="false">
      <c r="B2334" s="19" t="s">
        <v>16178</v>
      </c>
      <c r="C2334" s="20" t="n">
        <f aca="false">ROUND(151.45/FX,2)</f>
        <v>21.03</v>
      </c>
      <c r="D2334" s="21" t="s">
        <v>13312</v>
      </c>
      <c r="E2334" s="21" t="s">
        <v>16166</v>
      </c>
      <c r="F2334" s="21" t="s">
        <v>13328</v>
      </c>
    </row>
    <row r="2335" customFormat="false" ht="28.35" hidden="false" customHeight="false" outlineLevel="0" collapsed="false">
      <c r="B2335" s="19" t="s">
        <v>16179</v>
      </c>
      <c r="C2335" s="20" t="n">
        <f aca="false">ROUND(153.53/FX,2)</f>
        <v>21.32</v>
      </c>
      <c r="D2335" s="21" t="s">
        <v>13312</v>
      </c>
      <c r="E2335" s="21" t="s">
        <v>16166</v>
      </c>
      <c r="F2335" s="21" t="s">
        <v>2002</v>
      </c>
    </row>
    <row r="2336" customFormat="false" ht="28.35" hidden="false" customHeight="false" outlineLevel="0" collapsed="false">
      <c r="B2336" s="19" t="s">
        <v>16180</v>
      </c>
      <c r="C2336" s="20" t="n">
        <f aca="false">ROUND(154.54/FX,2)</f>
        <v>21.46</v>
      </c>
      <c r="D2336" s="21" t="s">
        <v>13312</v>
      </c>
      <c r="E2336" s="21" t="s">
        <v>16166</v>
      </c>
      <c r="F2336" s="21" t="s">
        <v>2022</v>
      </c>
    </row>
    <row r="2337" customFormat="false" ht="28.35" hidden="false" customHeight="false" outlineLevel="0" collapsed="false">
      <c r="B2337" s="19" t="s">
        <v>16181</v>
      </c>
      <c r="C2337" s="20" t="n">
        <f aca="false">ROUND(156.07/FX,2)</f>
        <v>21.68</v>
      </c>
      <c r="D2337" s="21" t="s">
        <v>13312</v>
      </c>
      <c r="E2337" s="21" t="s">
        <v>16166</v>
      </c>
      <c r="F2337" s="21" t="s">
        <v>2067</v>
      </c>
    </row>
    <row r="2338" customFormat="false" ht="28.35" hidden="false" customHeight="false" outlineLevel="0" collapsed="false">
      <c r="B2338" s="19" t="s">
        <v>16182</v>
      </c>
      <c r="C2338" s="20" t="n">
        <f aca="false">ROUND(158.6/FX,2)</f>
        <v>22.03</v>
      </c>
      <c r="D2338" s="21" t="s">
        <v>13312</v>
      </c>
      <c r="E2338" s="21" t="s">
        <v>16166</v>
      </c>
      <c r="F2338" s="21" t="s">
        <v>2142</v>
      </c>
    </row>
    <row r="2339" customFormat="false" ht="28.35" hidden="false" customHeight="false" outlineLevel="0" collapsed="false">
      <c r="B2339" s="19" t="s">
        <v>16183</v>
      </c>
      <c r="C2339" s="20" t="n">
        <f aca="false">ROUND(161.14/FX,2)</f>
        <v>22.38</v>
      </c>
      <c r="D2339" s="21" t="s">
        <v>13312</v>
      </c>
      <c r="E2339" s="21" t="s">
        <v>16166</v>
      </c>
      <c r="F2339" s="21" t="s">
        <v>2187</v>
      </c>
    </row>
    <row r="2340" customFormat="false" ht="28.35" hidden="false" customHeight="false" outlineLevel="0" collapsed="false">
      <c r="B2340" s="19" t="s">
        <v>16184</v>
      </c>
      <c r="C2340" s="20" t="n">
        <f aca="false">ROUND(163.67/FX,2)</f>
        <v>22.73</v>
      </c>
      <c r="D2340" s="21" t="s">
        <v>13312</v>
      </c>
      <c r="E2340" s="21" t="s">
        <v>16166</v>
      </c>
      <c r="F2340" s="21" t="s">
        <v>2227</v>
      </c>
    </row>
    <row r="2341" customFormat="false" ht="28.35" hidden="false" customHeight="false" outlineLevel="0" collapsed="false">
      <c r="B2341" s="19" t="s">
        <v>16185</v>
      </c>
      <c r="C2341" s="20" t="n">
        <f aca="false">ROUND(166.21/FX,2)</f>
        <v>23.08</v>
      </c>
      <c r="D2341" s="21" t="s">
        <v>13312</v>
      </c>
      <c r="E2341" s="21" t="s">
        <v>16166</v>
      </c>
      <c r="F2341" s="21" t="s">
        <v>2297</v>
      </c>
    </row>
    <row r="2342" customFormat="false" ht="28.35" hidden="false" customHeight="false" outlineLevel="0" collapsed="false">
      <c r="B2342" s="19" t="s">
        <v>16186</v>
      </c>
      <c r="C2342" s="20" t="n">
        <f aca="false">ROUND(168.74/FX,2)</f>
        <v>23.44</v>
      </c>
      <c r="D2342" s="21" t="s">
        <v>13312</v>
      </c>
      <c r="E2342" s="21" t="s">
        <v>16166</v>
      </c>
      <c r="F2342" s="21" t="s">
        <v>2351</v>
      </c>
    </row>
    <row r="2343" customFormat="false" ht="28.35" hidden="false" customHeight="false" outlineLevel="0" collapsed="false">
      <c r="B2343" s="19" t="s">
        <v>16187</v>
      </c>
      <c r="C2343" s="20" t="n">
        <f aca="false">ROUND(171.28/FX,2)</f>
        <v>23.79</v>
      </c>
      <c r="D2343" s="21" t="s">
        <v>13312</v>
      </c>
      <c r="E2343" s="21" t="s">
        <v>16166</v>
      </c>
      <c r="F2343" s="21" t="s">
        <v>2400</v>
      </c>
    </row>
    <row r="2344" customFormat="false" ht="28.35" hidden="false" customHeight="false" outlineLevel="0" collapsed="false">
      <c r="B2344" s="19" t="s">
        <v>16188</v>
      </c>
      <c r="C2344" s="20" t="n">
        <f aca="false">ROUND(173.81/FX,2)</f>
        <v>24.14</v>
      </c>
      <c r="D2344" s="21" t="s">
        <v>13312</v>
      </c>
      <c r="E2344" s="21" t="s">
        <v>16166</v>
      </c>
      <c r="F2344" s="21" t="s">
        <v>2440</v>
      </c>
    </row>
    <row r="2345" customFormat="false" ht="28.35" hidden="false" customHeight="false" outlineLevel="0" collapsed="false">
      <c r="B2345" s="19" t="s">
        <v>16189</v>
      </c>
      <c r="C2345" s="20" t="n">
        <f aca="false">ROUND(176.35/FX,2)</f>
        <v>24.49</v>
      </c>
      <c r="D2345" s="21" t="s">
        <v>13312</v>
      </c>
      <c r="E2345" s="21" t="s">
        <v>16166</v>
      </c>
      <c r="F2345" s="21" t="s">
        <v>2470</v>
      </c>
    </row>
    <row r="2346" customFormat="false" ht="28.35" hidden="false" customHeight="false" outlineLevel="0" collapsed="false">
      <c r="B2346" s="19" t="s">
        <v>16190</v>
      </c>
      <c r="C2346" s="20" t="n">
        <f aca="false">ROUND(178.88/FX,2)</f>
        <v>24.84</v>
      </c>
      <c r="D2346" s="21" t="s">
        <v>13312</v>
      </c>
      <c r="E2346" s="21" t="s">
        <v>16166</v>
      </c>
      <c r="F2346" s="21" t="s">
        <v>2500</v>
      </c>
    </row>
    <row r="2347" customFormat="false" ht="28.35" hidden="false" customHeight="false" outlineLevel="0" collapsed="false">
      <c r="B2347" s="19" t="s">
        <v>16191</v>
      </c>
      <c r="C2347" s="20" t="n">
        <f aca="false">ROUND(181.42/FX,2)</f>
        <v>25.2</v>
      </c>
      <c r="D2347" s="21" t="s">
        <v>13312</v>
      </c>
      <c r="E2347" s="21" t="s">
        <v>16166</v>
      </c>
      <c r="F2347" s="21" t="s">
        <v>2540</v>
      </c>
    </row>
    <row r="2348" customFormat="false" ht="28.35" hidden="false" customHeight="false" outlineLevel="0" collapsed="false">
      <c r="B2348" s="19" t="s">
        <v>16192</v>
      </c>
      <c r="C2348" s="20" t="n">
        <f aca="false">ROUND(146.9/FX,2)</f>
        <v>20.4</v>
      </c>
      <c r="D2348" s="21" t="s">
        <v>13409</v>
      </c>
      <c r="E2348" s="21" t="s">
        <v>16166</v>
      </c>
      <c r="F2348" s="21" t="s">
        <v>1635</v>
      </c>
    </row>
    <row r="2351" customFormat="false" ht="61.5" hidden="false" customHeight="true" outlineLevel="0" collapsed="false">
      <c r="A2351" s="9"/>
      <c r="B2351" s="10" t="s">
        <v>16193</v>
      </c>
      <c r="C2351" s="10"/>
      <c r="D2351" s="10"/>
      <c r="E2351" s="10"/>
      <c r="F2351" s="10"/>
      <c r="G2351" s="10"/>
    </row>
    <row r="2352" customFormat="false" ht="15" hidden="false" customHeight="false" outlineLevel="0" collapsed="false">
      <c r="A2352" s="12" t="s">
        <v>700</v>
      </c>
      <c r="B2352" s="13" t="s">
        <v>701</v>
      </c>
      <c r="C2352" s="13" t="s">
        <v>702</v>
      </c>
      <c r="D2352" s="13" t="s">
        <v>704</v>
      </c>
      <c r="E2352" s="13" t="s">
        <v>723</v>
      </c>
      <c r="F2352" s="13" t="s">
        <v>6328</v>
      </c>
      <c r="G2352" s="13" t="s">
        <v>13701</v>
      </c>
    </row>
    <row r="2353" customFormat="false" ht="30" hidden="false" customHeight="true" outlineLevel="0" collapsed="false">
      <c r="A2353" s="14" t="s">
        <v>706</v>
      </c>
      <c r="B2353" s="15" t="str">
        <f aca="false">IF(COUNTIFS($D$2356:$D$2541,IF(D2353="","*",D2353),$E$2356:$E$2541,IF(E2353="","*",E2353),$F$2356:$F$2541,IF(F2353="","*",F2353),$G$2356:$G$2541,IF(G2353="","*",G2353))=1,INDEX($B:$B,SUMPRODUCT(((D2353="")+($D$2356:$D$2541=D2353)&gt;0)*((E2353="")+($E$2356:$E$2541=E2353)&gt;0)*((F2353="")+($F$2356:$F$2541=F2353)&gt;0)*((G2353="")+($G$2356:$G$2541=G2353)&gt;0)*ROW($B$2356:$B$2541))),IF(COUNTIFS($D$2356:$D$2541,IF(D2353="","*",D2353),$E$2356:$E$2541,IF(E2353="","*",E2353),$F$2356:$F$2541,IF(F2353="","*",F2353),$G$2356:$G$2541,IF(G2353="","*",G2353))=0,"Not available",COUNTIFS($D$2356:$D$2541,IF(D2353="","*",D2353),$E$2356:$E$2541,IF(E2353="","*",E2353),$F$2356:$F$2541,IF(F2353="","*",F2353),$G$2356:$G$2541,IF(G2353="","*",G2353))&amp;" match, keep choosing"))</f>
        <v>LN-R-CS-M100x1.5</v>
      </c>
      <c r="C2353" s="16" t="n">
        <f aca="false">IF(COUNTIFS($D$2356:$D$2541,IF(D2353="","*",D2353),$E$2356:$E$2541,IF(E2353="","*",E2353),$F$2356:$F$2541,IF(F2353="","*",F2353),$G$2356:$G$2541,IF(G2353="","*",G2353))=1,INDEX($C:$C,SUMPRODUCT(((D2353="")+($D$2356:$D$2541=D2353)&gt;0)*((E2353="")+($E$2356:$E$2541=E2353)&gt;0)*((F2353="")+($F$2356:$F$2541=F2353)&gt;0)*((G2353="")+($G$2356:$G$2541=G2353)&gt;0)*ROW($B$2356:$B$2541))),"")</f>
        <v>8.34</v>
      </c>
      <c r="D2353" s="17" t="s">
        <v>10100</v>
      </c>
      <c r="E2353" s="17" t="s">
        <v>734</v>
      </c>
      <c r="F2353" s="17" t="s">
        <v>16194</v>
      </c>
      <c r="G2353" s="17" t="s">
        <v>16195</v>
      </c>
    </row>
    <row r="2355" customFormat="false" ht="15" hidden="false" customHeight="false" outlineLevel="0" collapsed="false">
      <c r="B2355" s="18" t="s">
        <v>701</v>
      </c>
      <c r="C2355" s="18" t="s">
        <v>702</v>
      </c>
      <c r="D2355" s="18" t="s">
        <v>704</v>
      </c>
      <c r="E2355" s="18" t="s">
        <v>723</v>
      </c>
      <c r="F2355" s="18" t="s">
        <v>6328</v>
      </c>
      <c r="G2355" s="18" t="s">
        <v>13701</v>
      </c>
    </row>
    <row r="2356" customFormat="false" ht="15" hidden="false" customHeight="false" outlineLevel="0" collapsed="false">
      <c r="B2356" s="19" t="s">
        <v>16196</v>
      </c>
      <c r="C2356" s="20" t="n">
        <f aca="false">ROUND(60.06/FX,2)</f>
        <v>8.34</v>
      </c>
      <c r="D2356" s="21" t="s">
        <v>10100</v>
      </c>
      <c r="E2356" s="21" t="s">
        <v>734</v>
      </c>
      <c r="F2356" s="21" t="s">
        <v>16194</v>
      </c>
      <c r="G2356" s="21" t="s">
        <v>16195</v>
      </c>
    </row>
    <row r="2357" customFormat="false" ht="15" hidden="false" customHeight="false" outlineLevel="0" collapsed="false">
      <c r="B2357" s="19" t="s">
        <v>16197</v>
      </c>
      <c r="C2357" s="20" t="n">
        <f aca="false">ROUND(60.06/FX,2)</f>
        <v>8.34</v>
      </c>
      <c r="D2357" s="21" t="s">
        <v>10100</v>
      </c>
      <c r="E2357" s="21" t="s">
        <v>734</v>
      </c>
      <c r="F2357" s="21" t="s">
        <v>16194</v>
      </c>
      <c r="G2357" s="21" t="s">
        <v>16198</v>
      </c>
    </row>
    <row r="2358" customFormat="false" ht="15" hidden="false" customHeight="false" outlineLevel="0" collapsed="false">
      <c r="B2358" s="19" t="s">
        <v>16199</v>
      </c>
      <c r="C2358" s="20" t="n">
        <f aca="false">ROUND(67.34/FX,2)</f>
        <v>9.35</v>
      </c>
      <c r="D2358" s="21" t="s">
        <v>10100</v>
      </c>
      <c r="E2358" s="21" t="s">
        <v>734</v>
      </c>
      <c r="F2358" s="21" t="s">
        <v>16194</v>
      </c>
      <c r="G2358" s="21" t="s">
        <v>16200</v>
      </c>
    </row>
    <row r="2359" customFormat="false" ht="15" hidden="false" customHeight="false" outlineLevel="0" collapsed="false">
      <c r="B2359" s="19" t="s">
        <v>16201</v>
      </c>
      <c r="C2359" s="20" t="n">
        <f aca="false">ROUND(7.15/FX,2)</f>
        <v>0.99</v>
      </c>
      <c r="D2359" s="21" t="s">
        <v>10100</v>
      </c>
      <c r="E2359" s="21" t="s">
        <v>734</v>
      </c>
      <c r="F2359" s="21" t="s">
        <v>16194</v>
      </c>
      <c r="G2359" s="21" t="s">
        <v>16202</v>
      </c>
    </row>
    <row r="2360" customFormat="false" ht="15" hidden="false" customHeight="false" outlineLevel="0" collapsed="false">
      <c r="B2360" s="19" t="s">
        <v>16203</v>
      </c>
      <c r="C2360" s="20" t="n">
        <f aca="false">ROUND(6.5/FX,2)</f>
        <v>0.9</v>
      </c>
      <c r="D2360" s="21" t="s">
        <v>10100</v>
      </c>
      <c r="E2360" s="21" t="s">
        <v>734</v>
      </c>
      <c r="F2360" s="21" t="s">
        <v>16194</v>
      </c>
      <c r="G2360" s="21" t="s">
        <v>16204</v>
      </c>
    </row>
    <row r="2361" customFormat="false" ht="15" hidden="false" customHeight="false" outlineLevel="0" collapsed="false">
      <c r="B2361" s="19" t="s">
        <v>16205</v>
      </c>
      <c r="C2361" s="20" t="n">
        <f aca="false">ROUND(7.15/FX,2)</f>
        <v>0.99</v>
      </c>
      <c r="D2361" s="21" t="s">
        <v>10100</v>
      </c>
      <c r="E2361" s="21" t="s">
        <v>734</v>
      </c>
      <c r="F2361" s="21" t="s">
        <v>16194</v>
      </c>
      <c r="G2361" s="21" t="s">
        <v>14776</v>
      </c>
    </row>
    <row r="2362" customFormat="false" ht="15" hidden="false" customHeight="false" outlineLevel="0" collapsed="false">
      <c r="B2362" s="19" t="s">
        <v>16206</v>
      </c>
      <c r="C2362" s="20" t="n">
        <f aca="false">ROUND(7.15/FX,2)</f>
        <v>0.99</v>
      </c>
      <c r="D2362" s="21" t="s">
        <v>10100</v>
      </c>
      <c r="E2362" s="21" t="s">
        <v>734</v>
      </c>
      <c r="F2362" s="21" t="s">
        <v>16194</v>
      </c>
      <c r="G2362" s="21" t="s">
        <v>14780</v>
      </c>
    </row>
    <row r="2363" customFormat="false" ht="15" hidden="false" customHeight="false" outlineLevel="0" collapsed="false">
      <c r="B2363" s="19" t="s">
        <v>16207</v>
      </c>
      <c r="C2363" s="20" t="n">
        <f aca="false">ROUND(70.2/FX,2)</f>
        <v>9.75</v>
      </c>
      <c r="D2363" s="21" t="s">
        <v>10100</v>
      </c>
      <c r="E2363" s="21" t="s">
        <v>734</v>
      </c>
      <c r="F2363" s="21" t="s">
        <v>16194</v>
      </c>
      <c r="G2363" s="21" t="s">
        <v>16208</v>
      </c>
    </row>
    <row r="2364" customFormat="false" ht="15" hidden="false" customHeight="false" outlineLevel="0" collapsed="false">
      <c r="B2364" s="19" t="s">
        <v>16209</v>
      </c>
      <c r="C2364" s="20" t="n">
        <f aca="false">ROUND(74.36/FX,2)</f>
        <v>10.33</v>
      </c>
      <c r="D2364" s="21" t="s">
        <v>10100</v>
      </c>
      <c r="E2364" s="21" t="s">
        <v>734</v>
      </c>
      <c r="F2364" s="21" t="s">
        <v>16194</v>
      </c>
      <c r="G2364" s="21" t="s">
        <v>16210</v>
      </c>
    </row>
    <row r="2365" customFormat="false" ht="15" hidden="false" customHeight="false" outlineLevel="0" collapsed="false">
      <c r="B2365" s="19" t="s">
        <v>16211</v>
      </c>
      <c r="C2365" s="20" t="n">
        <f aca="false">ROUND(83.46/FX,2)</f>
        <v>11.59</v>
      </c>
      <c r="D2365" s="21" t="s">
        <v>10100</v>
      </c>
      <c r="E2365" s="21" t="s">
        <v>734</v>
      </c>
      <c r="F2365" s="21" t="s">
        <v>16194</v>
      </c>
      <c r="G2365" s="21" t="s">
        <v>16212</v>
      </c>
    </row>
    <row r="2366" customFormat="false" ht="15" hidden="false" customHeight="false" outlineLevel="0" collapsed="false">
      <c r="B2366" s="19" t="s">
        <v>16213</v>
      </c>
      <c r="C2366" s="20" t="n">
        <f aca="false">ROUND(93.6/FX,2)</f>
        <v>13</v>
      </c>
      <c r="D2366" s="21" t="s">
        <v>10100</v>
      </c>
      <c r="E2366" s="21" t="s">
        <v>734</v>
      </c>
      <c r="F2366" s="21" t="s">
        <v>16194</v>
      </c>
      <c r="G2366" s="21" t="s">
        <v>16214</v>
      </c>
    </row>
    <row r="2367" customFormat="false" ht="15" hidden="false" customHeight="false" outlineLevel="0" collapsed="false">
      <c r="B2367" s="19" t="s">
        <v>16215</v>
      </c>
      <c r="C2367" s="20" t="n">
        <f aca="false">ROUND(6.5/FX,2)</f>
        <v>0.9</v>
      </c>
      <c r="D2367" s="21" t="s">
        <v>10100</v>
      </c>
      <c r="E2367" s="21" t="s">
        <v>734</v>
      </c>
      <c r="F2367" s="21" t="s">
        <v>16194</v>
      </c>
      <c r="G2367" s="21" t="s">
        <v>16216</v>
      </c>
    </row>
    <row r="2368" customFormat="false" ht="15" hidden="false" customHeight="false" outlineLevel="0" collapsed="false">
      <c r="B2368" s="19" t="s">
        <v>16217</v>
      </c>
      <c r="C2368" s="20" t="n">
        <f aca="false">ROUND(7.54/FX,2)</f>
        <v>1.05</v>
      </c>
      <c r="D2368" s="21" t="s">
        <v>10100</v>
      </c>
      <c r="E2368" s="21" t="s">
        <v>734</v>
      </c>
      <c r="F2368" s="21" t="s">
        <v>16194</v>
      </c>
      <c r="G2368" s="21" t="s">
        <v>14783</v>
      </c>
    </row>
    <row r="2369" customFormat="false" ht="15" hidden="false" customHeight="false" outlineLevel="0" collapsed="false">
      <c r="B2369" s="19" t="s">
        <v>16218</v>
      </c>
      <c r="C2369" s="20" t="n">
        <f aca="false">ROUND(104.65/FX,2)</f>
        <v>14.53</v>
      </c>
      <c r="D2369" s="21" t="s">
        <v>10100</v>
      </c>
      <c r="E2369" s="21" t="s">
        <v>734</v>
      </c>
      <c r="F2369" s="21" t="s">
        <v>16194</v>
      </c>
      <c r="G2369" s="21" t="s">
        <v>16219</v>
      </c>
    </row>
    <row r="2370" customFormat="false" ht="15" hidden="false" customHeight="false" outlineLevel="0" collapsed="false">
      <c r="B2370" s="19" t="s">
        <v>16220</v>
      </c>
      <c r="C2370" s="20" t="n">
        <f aca="false">ROUND(148.2/FX,2)</f>
        <v>20.58</v>
      </c>
      <c r="D2370" s="21" t="s">
        <v>10100</v>
      </c>
      <c r="E2370" s="21" t="s">
        <v>734</v>
      </c>
      <c r="F2370" s="21" t="s">
        <v>16194</v>
      </c>
      <c r="G2370" s="21" t="s">
        <v>16221</v>
      </c>
    </row>
    <row r="2371" customFormat="false" ht="15" hidden="false" customHeight="false" outlineLevel="0" collapsed="false">
      <c r="B2371" s="19" t="s">
        <v>16222</v>
      </c>
      <c r="C2371" s="20" t="n">
        <f aca="false">ROUND(167.44/FX,2)</f>
        <v>23.26</v>
      </c>
      <c r="D2371" s="21" t="s">
        <v>10100</v>
      </c>
      <c r="E2371" s="21" t="s">
        <v>734</v>
      </c>
      <c r="F2371" s="21" t="s">
        <v>16194</v>
      </c>
      <c r="G2371" s="21" t="s">
        <v>16223</v>
      </c>
    </row>
    <row r="2372" customFormat="false" ht="15" hidden="false" customHeight="false" outlineLevel="0" collapsed="false">
      <c r="B2372" s="19" t="s">
        <v>16224</v>
      </c>
      <c r="C2372" s="20" t="n">
        <f aca="false">ROUND(167.06/FX,2)</f>
        <v>23.2</v>
      </c>
      <c r="D2372" s="21" t="s">
        <v>10100</v>
      </c>
      <c r="E2372" s="21" t="s">
        <v>734</v>
      </c>
      <c r="F2372" s="21" t="s">
        <v>16194</v>
      </c>
      <c r="G2372" s="21" t="s">
        <v>16225</v>
      </c>
    </row>
    <row r="2373" customFormat="false" ht="15" hidden="false" customHeight="false" outlineLevel="0" collapsed="false">
      <c r="B2373" s="19" t="s">
        <v>16226</v>
      </c>
      <c r="C2373" s="20" t="n">
        <f aca="false">ROUND(7.8/FX,2)</f>
        <v>1.08</v>
      </c>
      <c r="D2373" s="21" t="s">
        <v>10100</v>
      </c>
      <c r="E2373" s="21" t="s">
        <v>734</v>
      </c>
      <c r="F2373" s="21" t="s">
        <v>16194</v>
      </c>
      <c r="G2373" s="21" t="s">
        <v>16227</v>
      </c>
    </row>
    <row r="2374" customFormat="false" ht="15" hidden="false" customHeight="false" outlineLevel="0" collapsed="false">
      <c r="B2374" s="19" t="s">
        <v>16228</v>
      </c>
      <c r="C2374" s="20" t="n">
        <f aca="false">ROUND(7.8/FX,2)</f>
        <v>1.08</v>
      </c>
      <c r="D2374" s="21" t="s">
        <v>10100</v>
      </c>
      <c r="E2374" s="21" t="s">
        <v>734</v>
      </c>
      <c r="F2374" s="21" t="s">
        <v>16194</v>
      </c>
      <c r="G2374" s="21" t="s">
        <v>14790</v>
      </c>
    </row>
    <row r="2375" customFormat="false" ht="15" hidden="false" customHeight="false" outlineLevel="0" collapsed="false">
      <c r="B2375" s="19" t="s">
        <v>16229</v>
      </c>
      <c r="C2375" s="20" t="n">
        <f aca="false">ROUND(173.42/FX,2)</f>
        <v>24.09</v>
      </c>
      <c r="D2375" s="21" t="s">
        <v>10100</v>
      </c>
      <c r="E2375" s="21" t="s">
        <v>734</v>
      </c>
      <c r="F2375" s="21" t="s">
        <v>16194</v>
      </c>
      <c r="G2375" s="21" t="s">
        <v>16230</v>
      </c>
    </row>
    <row r="2376" customFormat="false" ht="15" hidden="false" customHeight="false" outlineLevel="0" collapsed="false">
      <c r="B2376" s="19" t="s">
        <v>16231</v>
      </c>
      <c r="C2376" s="20" t="n">
        <f aca="false">ROUND(178.93/FX,2)</f>
        <v>24.85</v>
      </c>
      <c r="D2376" s="21" t="s">
        <v>10100</v>
      </c>
      <c r="E2376" s="21" t="s">
        <v>734</v>
      </c>
      <c r="F2376" s="21" t="s">
        <v>16194</v>
      </c>
      <c r="G2376" s="21" t="s">
        <v>16232</v>
      </c>
    </row>
    <row r="2377" customFormat="false" ht="15" hidden="false" customHeight="false" outlineLevel="0" collapsed="false">
      <c r="B2377" s="19" t="s">
        <v>16233</v>
      </c>
      <c r="C2377" s="20" t="n">
        <f aca="false">ROUND(7.8/FX,2)</f>
        <v>1.08</v>
      </c>
      <c r="D2377" s="21" t="s">
        <v>10100</v>
      </c>
      <c r="E2377" s="21" t="s">
        <v>734</v>
      </c>
      <c r="F2377" s="21" t="s">
        <v>16194</v>
      </c>
      <c r="G2377" s="21" t="s">
        <v>16234</v>
      </c>
    </row>
    <row r="2378" customFormat="false" ht="15" hidden="false" customHeight="false" outlineLevel="0" collapsed="false">
      <c r="B2378" s="19" t="s">
        <v>16235</v>
      </c>
      <c r="C2378" s="20" t="n">
        <f aca="false">ROUND(7.8/FX,2)</f>
        <v>1.08</v>
      </c>
      <c r="D2378" s="21" t="s">
        <v>10100</v>
      </c>
      <c r="E2378" s="21" t="s">
        <v>734</v>
      </c>
      <c r="F2378" s="21" t="s">
        <v>16194</v>
      </c>
      <c r="G2378" s="21" t="s">
        <v>16236</v>
      </c>
    </row>
    <row r="2379" customFormat="false" ht="15" hidden="false" customHeight="false" outlineLevel="0" collapsed="false">
      <c r="B2379" s="19" t="s">
        <v>16237</v>
      </c>
      <c r="C2379" s="20" t="n">
        <f aca="false">ROUND(183.57/FX,2)</f>
        <v>25.5</v>
      </c>
      <c r="D2379" s="21" t="s">
        <v>10100</v>
      </c>
      <c r="E2379" s="21" t="s">
        <v>734</v>
      </c>
      <c r="F2379" s="21" t="s">
        <v>16194</v>
      </c>
      <c r="G2379" s="21" t="s">
        <v>16238</v>
      </c>
    </row>
    <row r="2380" customFormat="false" ht="15" hidden="false" customHeight="false" outlineLevel="0" collapsed="false">
      <c r="B2380" s="19" t="s">
        <v>16239</v>
      </c>
      <c r="C2380" s="20" t="n">
        <f aca="false">ROUND(197.6/FX,2)</f>
        <v>27.44</v>
      </c>
      <c r="D2380" s="21" t="s">
        <v>10100</v>
      </c>
      <c r="E2380" s="21" t="s">
        <v>734</v>
      </c>
      <c r="F2380" s="21" t="s">
        <v>16194</v>
      </c>
      <c r="G2380" s="21" t="s">
        <v>16240</v>
      </c>
    </row>
    <row r="2381" customFormat="false" ht="15" hidden="false" customHeight="false" outlineLevel="0" collapsed="false">
      <c r="B2381" s="19" t="s">
        <v>16241</v>
      </c>
      <c r="C2381" s="20" t="n">
        <f aca="false">ROUND(8.06/FX,2)</f>
        <v>1.12</v>
      </c>
      <c r="D2381" s="21" t="s">
        <v>10100</v>
      </c>
      <c r="E2381" s="21" t="s">
        <v>734</v>
      </c>
      <c r="F2381" s="21" t="s">
        <v>16194</v>
      </c>
      <c r="G2381" s="21" t="s">
        <v>16242</v>
      </c>
    </row>
    <row r="2382" customFormat="false" ht="15" hidden="false" customHeight="false" outlineLevel="0" collapsed="false">
      <c r="B2382" s="19" t="s">
        <v>16243</v>
      </c>
      <c r="C2382" s="20" t="n">
        <f aca="false">ROUND(8.06/FX,2)</f>
        <v>1.12</v>
      </c>
      <c r="D2382" s="21" t="s">
        <v>10100</v>
      </c>
      <c r="E2382" s="21" t="s">
        <v>734</v>
      </c>
      <c r="F2382" s="21" t="s">
        <v>16194</v>
      </c>
      <c r="G2382" s="21" t="s">
        <v>14795</v>
      </c>
    </row>
    <row r="2383" customFormat="false" ht="15" hidden="false" customHeight="false" outlineLevel="0" collapsed="false">
      <c r="B2383" s="19" t="s">
        <v>16244</v>
      </c>
      <c r="C2383" s="20" t="n">
        <f aca="false">ROUND(204.43/FX,2)</f>
        <v>28.39</v>
      </c>
      <c r="D2383" s="21" t="s">
        <v>10100</v>
      </c>
      <c r="E2383" s="21" t="s">
        <v>734</v>
      </c>
      <c r="F2383" s="21" t="s">
        <v>16194</v>
      </c>
      <c r="G2383" s="21" t="s">
        <v>16245</v>
      </c>
    </row>
    <row r="2384" customFormat="false" ht="15" hidden="false" customHeight="false" outlineLevel="0" collapsed="false">
      <c r="B2384" s="19" t="s">
        <v>16246</v>
      </c>
      <c r="C2384" s="20" t="n">
        <f aca="false">ROUND(8.71/FX,2)</f>
        <v>1.21</v>
      </c>
      <c r="D2384" s="21" t="s">
        <v>10100</v>
      </c>
      <c r="E2384" s="21" t="s">
        <v>734</v>
      </c>
      <c r="F2384" s="21" t="s">
        <v>16194</v>
      </c>
      <c r="G2384" s="21" t="s">
        <v>16247</v>
      </c>
    </row>
    <row r="2385" customFormat="false" ht="15" hidden="false" customHeight="false" outlineLevel="0" collapsed="false">
      <c r="B2385" s="19" t="s">
        <v>16248</v>
      </c>
      <c r="C2385" s="20" t="n">
        <f aca="false">ROUND(8.71/FX,2)</f>
        <v>1.21</v>
      </c>
      <c r="D2385" s="21" t="s">
        <v>10100</v>
      </c>
      <c r="E2385" s="21" t="s">
        <v>734</v>
      </c>
      <c r="F2385" s="21" t="s">
        <v>16194</v>
      </c>
      <c r="G2385" s="21" t="s">
        <v>16249</v>
      </c>
    </row>
    <row r="2386" customFormat="false" ht="15" hidden="false" customHeight="false" outlineLevel="0" collapsed="false">
      <c r="B2386" s="19" t="s">
        <v>16250</v>
      </c>
      <c r="C2386" s="20" t="n">
        <f aca="false">ROUND(213.85/FX,2)</f>
        <v>29.7</v>
      </c>
      <c r="D2386" s="21" t="s">
        <v>10100</v>
      </c>
      <c r="E2386" s="21" t="s">
        <v>734</v>
      </c>
      <c r="F2386" s="21" t="s">
        <v>16194</v>
      </c>
      <c r="G2386" s="21" t="s">
        <v>16251</v>
      </c>
    </row>
    <row r="2387" customFormat="false" ht="15" hidden="false" customHeight="false" outlineLevel="0" collapsed="false">
      <c r="B2387" s="19" t="s">
        <v>16252</v>
      </c>
      <c r="C2387" s="20" t="n">
        <f aca="false">ROUND(9.23/FX,2)</f>
        <v>1.28</v>
      </c>
      <c r="D2387" s="21" t="s">
        <v>10100</v>
      </c>
      <c r="E2387" s="21" t="s">
        <v>734</v>
      </c>
      <c r="F2387" s="21" t="s">
        <v>16194</v>
      </c>
      <c r="G2387" s="21" t="s">
        <v>16253</v>
      </c>
    </row>
    <row r="2388" customFormat="false" ht="15" hidden="false" customHeight="false" outlineLevel="0" collapsed="false">
      <c r="B2388" s="19" t="s">
        <v>16254</v>
      </c>
      <c r="C2388" s="20" t="n">
        <f aca="false">ROUND(9.23/FX,2)</f>
        <v>1.28</v>
      </c>
      <c r="D2388" s="21" t="s">
        <v>10100</v>
      </c>
      <c r="E2388" s="21" t="s">
        <v>734</v>
      </c>
      <c r="F2388" s="21" t="s">
        <v>16194</v>
      </c>
      <c r="G2388" s="21" t="s">
        <v>14800</v>
      </c>
    </row>
    <row r="2389" customFormat="false" ht="15" hidden="false" customHeight="false" outlineLevel="0" collapsed="false">
      <c r="B2389" s="19" t="s">
        <v>16255</v>
      </c>
      <c r="C2389" s="20" t="n">
        <f aca="false">ROUND(235.85/FX,2)</f>
        <v>32.76</v>
      </c>
      <c r="D2389" s="21" t="s">
        <v>10100</v>
      </c>
      <c r="E2389" s="21" t="s">
        <v>734</v>
      </c>
      <c r="F2389" s="21" t="s">
        <v>16194</v>
      </c>
      <c r="G2389" s="21" t="s">
        <v>16256</v>
      </c>
    </row>
    <row r="2390" customFormat="false" ht="15" hidden="false" customHeight="false" outlineLevel="0" collapsed="false">
      <c r="B2390" s="19" t="s">
        <v>16257</v>
      </c>
      <c r="C2390" s="20" t="n">
        <f aca="false">ROUND(257.4/FX,2)</f>
        <v>35.75</v>
      </c>
      <c r="D2390" s="21" t="s">
        <v>10100</v>
      </c>
      <c r="E2390" s="21" t="s">
        <v>734</v>
      </c>
      <c r="F2390" s="21" t="s">
        <v>16194</v>
      </c>
      <c r="G2390" s="21" t="s">
        <v>16258</v>
      </c>
    </row>
    <row r="2391" customFormat="false" ht="15" hidden="false" customHeight="false" outlineLevel="0" collapsed="false">
      <c r="B2391" s="19" t="s">
        <v>16259</v>
      </c>
      <c r="C2391" s="20" t="n">
        <f aca="false">ROUND(9.75/FX,2)</f>
        <v>1.35</v>
      </c>
      <c r="D2391" s="21" t="s">
        <v>10100</v>
      </c>
      <c r="E2391" s="21" t="s">
        <v>734</v>
      </c>
      <c r="F2391" s="21" t="s">
        <v>16194</v>
      </c>
      <c r="G2391" s="21" t="s">
        <v>16260</v>
      </c>
    </row>
    <row r="2392" customFormat="false" ht="15" hidden="false" customHeight="false" outlineLevel="0" collapsed="false">
      <c r="B2392" s="19" t="s">
        <v>16261</v>
      </c>
      <c r="C2392" s="20" t="n">
        <f aca="false">ROUND(9.75/FX,2)</f>
        <v>1.35</v>
      </c>
      <c r="D2392" s="21" t="s">
        <v>10100</v>
      </c>
      <c r="E2392" s="21" t="s">
        <v>734</v>
      </c>
      <c r="F2392" s="21" t="s">
        <v>16194</v>
      </c>
      <c r="G2392" s="21" t="s">
        <v>14803</v>
      </c>
    </row>
    <row r="2393" customFormat="false" ht="15" hidden="false" customHeight="false" outlineLevel="0" collapsed="false">
      <c r="B2393" s="19" t="s">
        <v>16262</v>
      </c>
      <c r="C2393" s="20" t="n">
        <f aca="false">ROUND(9.88/FX,2)</f>
        <v>1.37</v>
      </c>
      <c r="D2393" s="21" t="s">
        <v>10100</v>
      </c>
      <c r="E2393" s="21" t="s">
        <v>734</v>
      </c>
      <c r="F2393" s="21" t="s">
        <v>16194</v>
      </c>
      <c r="G2393" s="21" t="s">
        <v>16263</v>
      </c>
    </row>
    <row r="2394" customFormat="false" ht="15" hidden="false" customHeight="false" outlineLevel="0" collapsed="false">
      <c r="B2394" s="19" t="s">
        <v>16264</v>
      </c>
      <c r="C2394" s="20" t="n">
        <f aca="false">ROUND(9.88/FX,2)</f>
        <v>1.37</v>
      </c>
      <c r="D2394" s="21" t="s">
        <v>10100</v>
      </c>
      <c r="E2394" s="21" t="s">
        <v>734</v>
      </c>
      <c r="F2394" s="21" t="s">
        <v>16194</v>
      </c>
      <c r="G2394" s="21" t="s">
        <v>14811</v>
      </c>
    </row>
    <row r="2395" customFormat="false" ht="15" hidden="false" customHeight="false" outlineLevel="0" collapsed="false">
      <c r="B2395" s="19" t="s">
        <v>16265</v>
      </c>
      <c r="C2395" s="20" t="n">
        <f aca="false">ROUND(10.66/FX,2)</f>
        <v>1.48</v>
      </c>
      <c r="D2395" s="21" t="s">
        <v>10100</v>
      </c>
      <c r="E2395" s="21" t="s">
        <v>734</v>
      </c>
      <c r="F2395" s="21" t="s">
        <v>16194</v>
      </c>
      <c r="G2395" s="21" t="s">
        <v>16266</v>
      </c>
    </row>
    <row r="2396" customFormat="false" ht="15" hidden="false" customHeight="false" outlineLevel="0" collapsed="false">
      <c r="B2396" s="19" t="s">
        <v>16267</v>
      </c>
      <c r="C2396" s="20" t="n">
        <f aca="false">ROUND(10.66/FX,2)</f>
        <v>1.48</v>
      </c>
      <c r="D2396" s="21" t="s">
        <v>10100</v>
      </c>
      <c r="E2396" s="21" t="s">
        <v>734</v>
      </c>
      <c r="F2396" s="21" t="s">
        <v>16194</v>
      </c>
      <c r="G2396" s="21" t="s">
        <v>14958</v>
      </c>
    </row>
    <row r="2397" customFormat="false" ht="15" hidden="false" customHeight="false" outlineLevel="0" collapsed="false">
      <c r="B2397" s="19" t="s">
        <v>16268</v>
      </c>
      <c r="C2397" s="20" t="n">
        <f aca="false">ROUND(10.66/FX,2)</f>
        <v>1.48</v>
      </c>
      <c r="D2397" s="21" t="s">
        <v>10100</v>
      </c>
      <c r="E2397" s="21" t="s">
        <v>734</v>
      </c>
      <c r="F2397" s="21" t="s">
        <v>16194</v>
      </c>
      <c r="G2397" s="21" t="s">
        <v>16269</v>
      </c>
    </row>
    <row r="2398" customFormat="false" ht="15" hidden="false" customHeight="false" outlineLevel="0" collapsed="false">
      <c r="B2398" s="19" t="s">
        <v>16270</v>
      </c>
      <c r="C2398" s="20" t="n">
        <f aca="false">ROUND(10.66/FX,2)</f>
        <v>1.48</v>
      </c>
      <c r="D2398" s="21" t="s">
        <v>10100</v>
      </c>
      <c r="E2398" s="21" t="s">
        <v>734</v>
      </c>
      <c r="F2398" s="21" t="s">
        <v>16194</v>
      </c>
      <c r="G2398" s="21" t="s">
        <v>16271</v>
      </c>
    </row>
    <row r="2399" customFormat="false" ht="15" hidden="false" customHeight="false" outlineLevel="0" collapsed="false">
      <c r="B2399" s="19" t="s">
        <v>16272</v>
      </c>
      <c r="C2399" s="20" t="n">
        <f aca="false">ROUND(11.05/FX,2)</f>
        <v>1.53</v>
      </c>
      <c r="D2399" s="21" t="s">
        <v>10100</v>
      </c>
      <c r="E2399" s="21" t="s">
        <v>734</v>
      </c>
      <c r="F2399" s="21" t="s">
        <v>16194</v>
      </c>
      <c r="G2399" s="21" t="s">
        <v>16273</v>
      </c>
    </row>
    <row r="2400" customFormat="false" ht="15" hidden="false" customHeight="false" outlineLevel="0" collapsed="false">
      <c r="B2400" s="19" t="s">
        <v>16274</v>
      </c>
      <c r="C2400" s="20" t="n">
        <f aca="false">ROUND(12.09/FX,2)</f>
        <v>1.68</v>
      </c>
      <c r="D2400" s="21" t="s">
        <v>10100</v>
      </c>
      <c r="E2400" s="21" t="s">
        <v>734</v>
      </c>
      <c r="F2400" s="21" t="s">
        <v>16194</v>
      </c>
      <c r="G2400" s="21" t="s">
        <v>16275</v>
      </c>
    </row>
    <row r="2401" customFormat="false" ht="15" hidden="false" customHeight="false" outlineLevel="0" collapsed="false">
      <c r="B2401" s="19" t="s">
        <v>16276</v>
      </c>
      <c r="C2401" s="20" t="n">
        <f aca="false">ROUND(12.09/FX,2)</f>
        <v>1.68</v>
      </c>
      <c r="D2401" s="21" t="s">
        <v>10100</v>
      </c>
      <c r="E2401" s="21" t="s">
        <v>734</v>
      </c>
      <c r="F2401" s="21" t="s">
        <v>16194</v>
      </c>
      <c r="G2401" s="21" t="s">
        <v>16277</v>
      </c>
    </row>
    <row r="2402" customFormat="false" ht="15" hidden="false" customHeight="false" outlineLevel="0" collapsed="false">
      <c r="B2402" s="19" t="s">
        <v>16278</v>
      </c>
      <c r="C2402" s="20" t="n">
        <f aca="false">ROUND(12.74/FX,2)</f>
        <v>1.77</v>
      </c>
      <c r="D2402" s="21" t="s">
        <v>10100</v>
      </c>
      <c r="E2402" s="21" t="s">
        <v>734</v>
      </c>
      <c r="F2402" s="21" t="s">
        <v>16194</v>
      </c>
      <c r="G2402" s="21" t="s">
        <v>16279</v>
      </c>
    </row>
    <row r="2403" customFormat="false" ht="15" hidden="false" customHeight="false" outlineLevel="0" collapsed="false">
      <c r="B2403" s="19" t="s">
        <v>16280</v>
      </c>
      <c r="C2403" s="20" t="n">
        <f aca="false">ROUND(12.74/FX,2)</f>
        <v>1.77</v>
      </c>
      <c r="D2403" s="21" t="s">
        <v>10100</v>
      </c>
      <c r="E2403" s="21" t="s">
        <v>734</v>
      </c>
      <c r="F2403" s="21" t="s">
        <v>16194</v>
      </c>
      <c r="G2403" s="21" t="s">
        <v>14821</v>
      </c>
    </row>
    <row r="2404" customFormat="false" ht="15" hidden="false" customHeight="false" outlineLevel="0" collapsed="false">
      <c r="B2404" s="19" t="s">
        <v>16281</v>
      </c>
      <c r="C2404" s="20" t="n">
        <f aca="false">ROUND(12.74/FX,2)</f>
        <v>1.77</v>
      </c>
      <c r="D2404" s="21" t="s">
        <v>10100</v>
      </c>
      <c r="E2404" s="21" t="s">
        <v>734</v>
      </c>
      <c r="F2404" s="21" t="s">
        <v>16194</v>
      </c>
      <c r="G2404" s="21" t="s">
        <v>14823</v>
      </c>
    </row>
    <row r="2405" customFormat="false" ht="15" hidden="false" customHeight="false" outlineLevel="0" collapsed="false">
      <c r="B2405" s="19" t="s">
        <v>16282</v>
      </c>
      <c r="C2405" s="20" t="n">
        <f aca="false">ROUND(13/FX,2)</f>
        <v>1.81</v>
      </c>
      <c r="D2405" s="21" t="s">
        <v>10100</v>
      </c>
      <c r="E2405" s="21" t="s">
        <v>734</v>
      </c>
      <c r="F2405" s="21" t="s">
        <v>16194</v>
      </c>
      <c r="G2405" s="21" t="s">
        <v>16283</v>
      </c>
    </row>
    <row r="2406" customFormat="false" ht="15" hidden="false" customHeight="false" outlineLevel="0" collapsed="false">
      <c r="B2406" s="19" t="s">
        <v>16284</v>
      </c>
      <c r="C2406" s="20" t="n">
        <f aca="false">ROUND(13.65/FX,2)</f>
        <v>1.9</v>
      </c>
      <c r="D2406" s="21" t="s">
        <v>10100</v>
      </c>
      <c r="E2406" s="21" t="s">
        <v>734</v>
      </c>
      <c r="F2406" s="21" t="s">
        <v>16194</v>
      </c>
      <c r="G2406" s="21" t="s">
        <v>16285</v>
      </c>
    </row>
    <row r="2407" customFormat="false" ht="15" hidden="false" customHeight="false" outlineLevel="0" collapsed="false">
      <c r="B2407" s="19" t="s">
        <v>16286</v>
      </c>
      <c r="C2407" s="20" t="n">
        <f aca="false">ROUND(13.91/FX,2)</f>
        <v>1.93</v>
      </c>
      <c r="D2407" s="21" t="s">
        <v>10100</v>
      </c>
      <c r="E2407" s="21" t="s">
        <v>734</v>
      </c>
      <c r="F2407" s="21" t="s">
        <v>16194</v>
      </c>
      <c r="G2407" s="21" t="s">
        <v>16287</v>
      </c>
    </row>
    <row r="2408" customFormat="false" ht="15" hidden="false" customHeight="false" outlineLevel="0" collapsed="false">
      <c r="B2408" s="19" t="s">
        <v>16288</v>
      </c>
      <c r="C2408" s="20" t="n">
        <f aca="false">ROUND(13.91/FX,2)</f>
        <v>1.93</v>
      </c>
      <c r="D2408" s="21" t="s">
        <v>10100</v>
      </c>
      <c r="E2408" s="21" t="s">
        <v>734</v>
      </c>
      <c r="F2408" s="21" t="s">
        <v>16194</v>
      </c>
      <c r="G2408" s="21" t="s">
        <v>16289</v>
      </c>
    </row>
    <row r="2409" customFormat="false" ht="15" hidden="false" customHeight="false" outlineLevel="0" collapsed="false">
      <c r="B2409" s="19" t="s">
        <v>16290</v>
      </c>
      <c r="C2409" s="20" t="n">
        <f aca="false">ROUND(14.3/FX,2)</f>
        <v>1.99</v>
      </c>
      <c r="D2409" s="21" t="s">
        <v>10100</v>
      </c>
      <c r="E2409" s="21" t="s">
        <v>734</v>
      </c>
      <c r="F2409" s="21" t="s">
        <v>16194</v>
      </c>
      <c r="G2409" s="21" t="s">
        <v>16291</v>
      </c>
    </row>
    <row r="2410" customFormat="false" ht="15" hidden="false" customHeight="false" outlineLevel="0" collapsed="false">
      <c r="B2410" s="19" t="s">
        <v>16292</v>
      </c>
      <c r="C2410" s="20" t="n">
        <f aca="false">ROUND(14.3/FX,2)</f>
        <v>1.99</v>
      </c>
      <c r="D2410" s="21" t="s">
        <v>10100</v>
      </c>
      <c r="E2410" s="21" t="s">
        <v>734</v>
      </c>
      <c r="F2410" s="21" t="s">
        <v>16194</v>
      </c>
      <c r="G2410" s="21" t="s">
        <v>16293</v>
      </c>
    </row>
    <row r="2411" customFormat="false" ht="15" hidden="false" customHeight="false" outlineLevel="0" collapsed="false">
      <c r="B2411" s="19" t="s">
        <v>16294</v>
      </c>
      <c r="C2411" s="20" t="n">
        <f aca="false">ROUND(15.08/FX,2)</f>
        <v>2.09</v>
      </c>
      <c r="D2411" s="21" t="s">
        <v>10100</v>
      </c>
      <c r="E2411" s="21" t="s">
        <v>734</v>
      </c>
      <c r="F2411" s="21" t="s">
        <v>16194</v>
      </c>
      <c r="G2411" s="21" t="s">
        <v>16295</v>
      </c>
    </row>
    <row r="2412" customFormat="false" ht="15" hidden="false" customHeight="false" outlineLevel="0" collapsed="false">
      <c r="B2412" s="19" t="s">
        <v>16296</v>
      </c>
      <c r="C2412" s="20" t="n">
        <f aca="false">ROUND(15.08/FX,2)</f>
        <v>2.09</v>
      </c>
      <c r="D2412" s="21" t="s">
        <v>10100</v>
      </c>
      <c r="E2412" s="21" t="s">
        <v>734</v>
      </c>
      <c r="F2412" s="21" t="s">
        <v>16194</v>
      </c>
      <c r="G2412" s="21" t="s">
        <v>14968</v>
      </c>
    </row>
    <row r="2413" customFormat="false" ht="15" hidden="false" customHeight="false" outlineLevel="0" collapsed="false">
      <c r="B2413" s="19" t="s">
        <v>16297</v>
      </c>
      <c r="C2413" s="20" t="n">
        <f aca="false">ROUND(16.9/FX,2)</f>
        <v>2.35</v>
      </c>
      <c r="D2413" s="21" t="s">
        <v>10100</v>
      </c>
      <c r="E2413" s="21" t="s">
        <v>734</v>
      </c>
      <c r="F2413" s="21" t="s">
        <v>16194</v>
      </c>
      <c r="G2413" s="21" t="s">
        <v>16298</v>
      </c>
    </row>
    <row r="2414" customFormat="false" ht="15" hidden="false" customHeight="false" outlineLevel="0" collapsed="false">
      <c r="B2414" s="19" t="s">
        <v>16299</v>
      </c>
      <c r="C2414" s="20" t="n">
        <f aca="false">ROUND(16.9/FX,2)</f>
        <v>2.35</v>
      </c>
      <c r="D2414" s="21" t="s">
        <v>10100</v>
      </c>
      <c r="E2414" s="21" t="s">
        <v>734</v>
      </c>
      <c r="F2414" s="21" t="s">
        <v>16194</v>
      </c>
      <c r="G2414" s="21" t="s">
        <v>16300</v>
      </c>
    </row>
    <row r="2415" customFormat="false" ht="15" hidden="false" customHeight="false" outlineLevel="0" collapsed="false">
      <c r="B2415" s="19" t="s">
        <v>16301</v>
      </c>
      <c r="C2415" s="20" t="n">
        <f aca="false">ROUND(16.9/FX,2)</f>
        <v>2.35</v>
      </c>
      <c r="D2415" s="21" t="s">
        <v>10100</v>
      </c>
      <c r="E2415" s="21" t="s">
        <v>734</v>
      </c>
      <c r="F2415" s="21" t="s">
        <v>16194</v>
      </c>
      <c r="G2415" s="21" t="s">
        <v>16302</v>
      </c>
    </row>
    <row r="2416" customFormat="false" ht="15" hidden="false" customHeight="false" outlineLevel="0" collapsed="false">
      <c r="B2416" s="19" t="s">
        <v>16303</v>
      </c>
      <c r="C2416" s="20" t="n">
        <f aca="false">ROUND(16.9/FX,2)</f>
        <v>2.35</v>
      </c>
      <c r="D2416" s="21" t="s">
        <v>10100</v>
      </c>
      <c r="E2416" s="21" t="s">
        <v>734</v>
      </c>
      <c r="F2416" s="21" t="s">
        <v>16194</v>
      </c>
      <c r="G2416" s="21" t="s">
        <v>16304</v>
      </c>
    </row>
    <row r="2417" customFormat="false" ht="15" hidden="false" customHeight="false" outlineLevel="0" collapsed="false">
      <c r="B2417" s="19" t="s">
        <v>16305</v>
      </c>
      <c r="C2417" s="20" t="n">
        <f aca="false">ROUND(16.9/FX,2)</f>
        <v>2.35</v>
      </c>
      <c r="D2417" s="21" t="s">
        <v>10100</v>
      </c>
      <c r="E2417" s="21" t="s">
        <v>734</v>
      </c>
      <c r="F2417" s="21" t="s">
        <v>16194</v>
      </c>
      <c r="G2417" s="21" t="s">
        <v>16306</v>
      </c>
    </row>
    <row r="2418" customFormat="false" ht="15" hidden="false" customHeight="false" outlineLevel="0" collapsed="false">
      <c r="B2418" s="19" t="s">
        <v>16307</v>
      </c>
      <c r="C2418" s="20" t="n">
        <f aca="false">ROUND(17.42/FX,2)</f>
        <v>2.42</v>
      </c>
      <c r="D2418" s="21" t="s">
        <v>10100</v>
      </c>
      <c r="E2418" s="21" t="s">
        <v>734</v>
      </c>
      <c r="F2418" s="21" t="s">
        <v>16194</v>
      </c>
      <c r="G2418" s="21" t="s">
        <v>16308</v>
      </c>
    </row>
    <row r="2419" customFormat="false" ht="15" hidden="false" customHeight="false" outlineLevel="0" collapsed="false">
      <c r="B2419" s="19" t="s">
        <v>16309</v>
      </c>
      <c r="C2419" s="20" t="n">
        <f aca="false">ROUND(17.42/FX,2)</f>
        <v>2.42</v>
      </c>
      <c r="D2419" s="21" t="s">
        <v>10100</v>
      </c>
      <c r="E2419" s="21" t="s">
        <v>734</v>
      </c>
      <c r="F2419" s="21" t="s">
        <v>16194</v>
      </c>
      <c r="G2419" s="21" t="s">
        <v>16310</v>
      </c>
    </row>
    <row r="2420" customFormat="false" ht="15" hidden="false" customHeight="false" outlineLevel="0" collapsed="false">
      <c r="B2420" s="19" t="s">
        <v>16311</v>
      </c>
      <c r="C2420" s="20" t="n">
        <f aca="false">ROUND(19.5/FX,2)</f>
        <v>2.71</v>
      </c>
      <c r="D2420" s="21" t="s">
        <v>10100</v>
      </c>
      <c r="E2420" s="21" t="s">
        <v>734</v>
      </c>
      <c r="F2420" s="21" t="s">
        <v>16194</v>
      </c>
      <c r="G2420" s="21" t="s">
        <v>16312</v>
      </c>
    </row>
    <row r="2421" customFormat="false" ht="15" hidden="false" customHeight="false" outlineLevel="0" collapsed="false">
      <c r="B2421" s="19" t="s">
        <v>16313</v>
      </c>
      <c r="C2421" s="20" t="n">
        <f aca="false">ROUND(19.5/FX,2)</f>
        <v>2.71</v>
      </c>
      <c r="D2421" s="21" t="s">
        <v>10100</v>
      </c>
      <c r="E2421" s="21" t="s">
        <v>734</v>
      </c>
      <c r="F2421" s="21" t="s">
        <v>16194</v>
      </c>
      <c r="G2421" s="21" t="s">
        <v>14976</v>
      </c>
    </row>
    <row r="2422" customFormat="false" ht="15" hidden="false" customHeight="false" outlineLevel="0" collapsed="false">
      <c r="B2422" s="19" t="s">
        <v>16314</v>
      </c>
      <c r="C2422" s="20" t="n">
        <f aca="false">ROUND(20.15/FX,2)</f>
        <v>2.8</v>
      </c>
      <c r="D2422" s="21" t="s">
        <v>10100</v>
      </c>
      <c r="E2422" s="21" t="s">
        <v>734</v>
      </c>
      <c r="F2422" s="21" t="s">
        <v>16194</v>
      </c>
      <c r="G2422" s="21" t="s">
        <v>16315</v>
      </c>
    </row>
    <row r="2423" customFormat="false" ht="15" hidden="false" customHeight="false" outlineLevel="0" collapsed="false">
      <c r="B2423" s="19" t="s">
        <v>16316</v>
      </c>
      <c r="C2423" s="20" t="n">
        <f aca="false">ROUND(20.15/FX,2)</f>
        <v>2.8</v>
      </c>
      <c r="D2423" s="21" t="s">
        <v>10100</v>
      </c>
      <c r="E2423" s="21" t="s">
        <v>734</v>
      </c>
      <c r="F2423" s="21" t="s">
        <v>16194</v>
      </c>
      <c r="G2423" s="21" t="s">
        <v>16317</v>
      </c>
    </row>
    <row r="2424" customFormat="false" ht="15" hidden="false" customHeight="false" outlineLevel="0" collapsed="false">
      <c r="B2424" s="19" t="s">
        <v>16318</v>
      </c>
      <c r="C2424" s="20" t="n">
        <f aca="false">ROUND(20.28/FX,2)</f>
        <v>2.82</v>
      </c>
      <c r="D2424" s="21" t="s">
        <v>10100</v>
      </c>
      <c r="E2424" s="21" t="s">
        <v>734</v>
      </c>
      <c r="F2424" s="21" t="s">
        <v>16194</v>
      </c>
      <c r="G2424" s="21" t="s">
        <v>16319</v>
      </c>
    </row>
    <row r="2425" customFormat="false" ht="15" hidden="false" customHeight="false" outlineLevel="0" collapsed="false">
      <c r="B2425" s="19" t="s">
        <v>16320</v>
      </c>
      <c r="C2425" s="20" t="n">
        <f aca="false">ROUND(20.28/FX,2)</f>
        <v>2.82</v>
      </c>
      <c r="D2425" s="21" t="s">
        <v>10100</v>
      </c>
      <c r="E2425" s="21" t="s">
        <v>734</v>
      </c>
      <c r="F2425" s="21" t="s">
        <v>16194</v>
      </c>
      <c r="G2425" s="21" t="s">
        <v>16321</v>
      </c>
    </row>
    <row r="2426" customFormat="false" ht="15" hidden="false" customHeight="false" outlineLevel="0" collapsed="false">
      <c r="B2426" s="19" t="s">
        <v>16322</v>
      </c>
      <c r="C2426" s="20" t="n">
        <f aca="false">ROUND(20.8/FX,2)</f>
        <v>2.89</v>
      </c>
      <c r="D2426" s="21" t="s">
        <v>10100</v>
      </c>
      <c r="E2426" s="21" t="s">
        <v>734</v>
      </c>
      <c r="F2426" s="21" t="s">
        <v>16194</v>
      </c>
      <c r="G2426" s="21" t="s">
        <v>16323</v>
      </c>
    </row>
    <row r="2427" customFormat="false" ht="15" hidden="false" customHeight="false" outlineLevel="0" collapsed="false">
      <c r="B2427" s="19" t="s">
        <v>16324</v>
      </c>
      <c r="C2427" s="20" t="n">
        <f aca="false">ROUND(21.84/FX,2)</f>
        <v>3.03</v>
      </c>
      <c r="D2427" s="21" t="s">
        <v>10100</v>
      </c>
      <c r="E2427" s="21" t="s">
        <v>734</v>
      </c>
      <c r="F2427" s="21" t="s">
        <v>16194</v>
      </c>
      <c r="G2427" s="21" t="s">
        <v>16325</v>
      </c>
    </row>
    <row r="2428" customFormat="false" ht="15" hidden="false" customHeight="false" outlineLevel="0" collapsed="false">
      <c r="B2428" s="19" t="s">
        <v>16326</v>
      </c>
      <c r="C2428" s="20" t="n">
        <f aca="false">ROUND(21.84/FX,2)</f>
        <v>3.03</v>
      </c>
      <c r="D2428" s="21" t="s">
        <v>10100</v>
      </c>
      <c r="E2428" s="21" t="s">
        <v>734</v>
      </c>
      <c r="F2428" s="21" t="s">
        <v>16194</v>
      </c>
      <c r="G2428" s="21" t="s">
        <v>14982</v>
      </c>
    </row>
    <row r="2429" customFormat="false" ht="15" hidden="false" customHeight="false" outlineLevel="0" collapsed="false">
      <c r="B2429" s="19" t="s">
        <v>16327</v>
      </c>
      <c r="C2429" s="20" t="n">
        <f aca="false">ROUND(22.49/FX,2)</f>
        <v>3.12</v>
      </c>
      <c r="D2429" s="21" t="s">
        <v>10100</v>
      </c>
      <c r="E2429" s="21" t="s">
        <v>734</v>
      </c>
      <c r="F2429" s="21" t="s">
        <v>16194</v>
      </c>
      <c r="G2429" s="21" t="s">
        <v>16328</v>
      </c>
    </row>
    <row r="2430" customFormat="false" ht="15" hidden="false" customHeight="false" outlineLevel="0" collapsed="false">
      <c r="B2430" s="19" t="s">
        <v>16329</v>
      </c>
      <c r="C2430" s="20" t="n">
        <f aca="false">ROUND(22.49/FX,2)</f>
        <v>3.12</v>
      </c>
      <c r="D2430" s="21" t="s">
        <v>10100</v>
      </c>
      <c r="E2430" s="21" t="s">
        <v>734</v>
      </c>
      <c r="F2430" s="21" t="s">
        <v>16194</v>
      </c>
      <c r="G2430" s="21" t="s">
        <v>16330</v>
      </c>
    </row>
    <row r="2431" customFormat="false" ht="15" hidden="false" customHeight="false" outlineLevel="0" collapsed="false">
      <c r="B2431" s="19" t="s">
        <v>16331</v>
      </c>
      <c r="C2431" s="20" t="n">
        <f aca="false">ROUND(25.09/FX,2)</f>
        <v>3.48</v>
      </c>
      <c r="D2431" s="21" t="s">
        <v>10100</v>
      </c>
      <c r="E2431" s="21" t="s">
        <v>734</v>
      </c>
      <c r="F2431" s="21" t="s">
        <v>16194</v>
      </c>
      <c r="G2431" s="21" t="s">
        <v>16332</v>
      </c>
    </row>
    <row r="2432" customFormat="false" ht="15" hidden="false" customHeight="false" outlineLevel="0" collapsed="false">
      <c r="B2432" s="19" t="s">
        <v>16333</v>
      </c>
      <c r="C2432" s="20" t="n">
        <f aca="false">ROUND(25.09/FX,2)</f>
        <v>3.48</v>
      </c>
      <c r="D2432" s="21" t="s">
        <v>10100</v>
      </c>
      <c r="E2432" s="21" t="s">
        <v>734</v>
      </c>
      <c r="F2432" s="21" t="s">
        <v>16194</v>
      </c>
      <c r="G2432" s="21" t="s">
        <v>16334</v>
      </c>
    </row>
    <row r="2433" customFormat="false" ht="15" hidden="false" customHeight="false" outlineLevel="0" collapsed="false">
      <c r="B2433" s="19" t="s">
        <v>16335</v>
      </c>
      <c r="C2433" s="20" t="n">
        <f aca="false">ROUND(27.04/FX,2)</f>
        <v>3.76</v>
      </c>
      <c r="D2433" s="21" t="s">
        <v>10100</v>
      </c>
      <c r="E2433" s="21" t="s">
        <v>734</v>
      </c>
      <c r="F2433" s="21" t="s">
        <v>16194</v>
      </c>
      <c r="G2433" s="21" t="s">
        <v>16336</v>
      </c>
    </row>
    <row r="2434" customFormat="false" ht="15" hidden="false" customHeight="false" outlineLevel="0" collapsed="false">
      <c r="B2434" s="19" t="s">
        <v>16337</v>
      </c>
      <c r="C2434" s="20" t="n">
        <f aca="false">ROUND(27.04/FX,2)</f>
        <v>3.76</v>
      </c>
      <c r="D2434" s="21" t="s">
        <v>10100</v>
      </c>
      <c r="E2434" s="21" t="s">
        <v>734</v>
      </c>
      <c r="F2434" s="21" t="s">
        <v>16194</v>
      </c>
      <c r="G2434" s="21" t="s">
        <v>16338</v>
      </c>
    </row>
    <row r="2435" customFormat="false" ht="15" hidden="false" customHeight="false" outlineLevel="0" collapsed="false">
      <c r="B2435" s="19" t="s">
        <v>16339</v>
      </c>
      <c r="C2435" s="20" t="n">
        <f aca="false">ROUND(28.6/FX,2)</f>
        <v>3.97</v>
      </c>
      <c r="D2435" s="21" t="s">
        <v>10100</v>
      </c>
      <c r="E2435" s="21" t="s">
        <v>734</v>
      </c>
      <c r="F2435" s="21" t="s">
        <v>16194</v>
      </c>
      <c r="G2435" s="21" t="s">
        <v>16340</v>
      </c>
    </row>
    <row r="2436" customFormat="false" ht="15" hidden="false" customHeight="false" outlineLevel="0" collapsed="false">
      <c r="B2436" s="19" t="s">
        <v>16341</v>
      </c>
      <c r="C2436" s="20" t="n">
        <f aca="false">ROUND(28.6/FX,2)</f>
        <v>3.97</v>
      </c>
      <c r="D2436" s="21" t="s">
        <v>10100</v>
      </c>
      <c r="E2436" s="21" t="s">
        <v>734</v>
      </c>
      <c r="F2436" s="21" t="s">
        <v>16194</v>
      </c>
      <c r="G2436" s="21" t="s">
        <v>16342</v>
      </c>
    </row>
    <row r="2437" customFormat="false" ht="15" hidden="false" customHeight="false" outlineLevel="0" collapsed="false">
      <c r="B2437" s="19" t="s">
        <v>16343</v>
      </c>
      <c r="C2437" s="20" t="n">
        <f aca="false">ROUND(29.38/FX,2)</f>
        <v>4.08</v>
      </c>
      <c r="D2437" s="21" t="s">
        <v>10100</v>
      </c>
      <c r="E2437" s="21" t="s">
        <v>734</v>
      </c>
      <c r="F2437" s="21" t="s">
        <v>16194</v>
      </c>
      <c r="G2437" s="21" t="s">
        <v>16344</v>
      </c>
    </row>
    <row r="2438" customFormat="false" ht="15" hidden="false" customHeight="false" outlineLevel="0" collapsed="false">
      <c r="B2438" s="19" t="s">
        <v>16345</v>
      </c>
      <c r="C2438" s="20" t="n">
        <f aca="false">ROUND(29.38/FX,2)</f>
        <v>4.08</v>
      </c>
      <c r="D2438" s="21" t="s">
        <v>10100</v>
      </c>
      <c r="E2438" s="21" t="s">
        <v>734</v>
      </c>
      <c r="F2438" s="21" t="s">
        <v>16194</v>
      </c>
      <c r="G2438" s="21" t="s">
        <v>16346</v>
      </c>
    </row>
    <row r="2439" customFormat="false" ht="15" hidden="false" customHeight="false" outlineLevel="0" collapsed="false">
      <c r="B2439" s="19" t="s">
        <v>16347</v>
      </c>
      <c r="C2439" s="20" t="n">
        <f aca="false">ROUND(30.55/FX,2)</f>
        <v>4.24</v>
      </c>
      <c r="D2439" s="21" t="s">
        <v>10100</v>
      </c>
      <c r="E2439" s="21" t="s">
        <v>734</v>
      </c>
      <c r="F2439" s="21" t="s">
        <v>16194</v>
      </c>
      <c r="G2439" s="21" t="s">
        <v>16348</v>
      </c>
    </row>
    <row r="2440" customFormat="false" ht="15" hidden="false" customHeight="false" outlineLevel="0" collapsed="false">
      <c r="B2440" s="19" t="s">
        <v>16349</v>
      </c>
      <c r="C2440" s="20" t="n">
        <f aca="false">ROUND(30.55/FX,2)</f>
        <v>4.24</v>
      </c>
      <c r="D2440" s="21" t="s">
        <v>10100</v>
      </c>
      <c r="E2440" s="21" t="s">
        <v>734</v>
      </c>
      <c r="F2440" s="21" t="s">
        <v>16194</v>
      </c>
      <c r="G2440" s="21" t="s">
        <v>16350</v>
      </c>
    </row>
    <row r="2441" customFormat="false" ht="15" hidden="false" customHeight="false" outlineLevel="0" collapsed="false">
      <c r="B2441" s="19" t="s">
        <v>16351</v>
      </c>
      <c r="C2441" s="20" t="n">
        <f aca="false">ROUND(31.59/FX,2)</f>
        <v>4.39</v>
      </c>
      <c r="D2441" s="21" t="s">
        <v>10100</v>
      </c>
      <c r="E2441" s="21" t="s">
        <v>734</v>
      </c>
      <c r="F2441" s="21" t="s">
        <v>16194</v>
      </c>
      <c r="G2441" s="21" t="s">
        <v>16352</v>
      </c>
    </row>
    <row r="2442" customFormat="false" ht="15" hidden="false" customHeight="false" outlineLevel="0" collapsed="false">
      <c r="B2442" s="19" t="s">
        <v>16353</v>
      </c>
      <c r="C2442" s="20" t="n">
        <f aca="false">ROUND(31.59/FX,2)</f>
        <v>4.39</v>
      </c>
      <c r="D2442" s="21" t="s">
        <v>10100</v>
      </c>
      <c r="E2442" s="21" t="s">
        <v>734</v>
      </c>
      <c r="F2442" s="21" t="s">
        <v>16194</v>
      </c>
      <c r="G2442" s="21" t="s">
        <v>16354</v>
      </c>
    </row>
    <row r="2443" customFormat="false" ht="15" hidden="false" customHeight="false" outlineLevel="0" collapsed="false">
      <c r="B2443" s="19" t="s">
        <v>16355</v>
      </c>
      <c r="C2443" s="20" t="n">
        <f aca="false">ROUND(33.8/FX,2)</f>
        <v>4.69</v>
      </c>
      <c r="D2443" s="21" t="s">
        <v>10100</v>
      </c>
      <c r="E2443" s="21" t="s">
        <v>734</v>
      </c>
      <c r="F2443" s="21" t="s">
        <v>16194</v>
      </c>
      <c r="G2443" s="21" t="s">
        <v>16356</v>
      </c>
    </row>
    <row r="2444" customFormat="false" ht="15" hidden="false" customHeight="false" outlineLevel="0" collapsed="false">
      <c r="B2444" s="19" t="s">
        <v>16357</v>
      </c>
      <c r="C2444" s="20" t="n">
        <f aca="false">ROUND(33.8/FX,2)</f>
        <v>4.69</v>
      </c>
      <c r="D2444" s="21" t="s">
        <v>10100</v>
      </c>
      <c r="E2444" s="21" t="s">
        <v>734</v>
      </c>
      <c r="F2444" s="21" t="s">
        <v>16194</v>
      </c>
      <c r="G2444" s="21" t="s">
        <v>16358</v>
      </c>
    </row>
    <row r="2445" customFormat="false" ht="15" hidden="false" customHeight="false" outlineLevel="0" collapsed="false">
      <c r="B2445" s="19" t="s">
        <v>16359</v>
      </c>
      <c r="C2445" s="20" t="n">
        <f aca="false">ROUND(33.8/FX,2)</f>
        <v>4.69</v>
      </c>
      <c r="D2445" s="21" t="s">
        <v>10100</v>
      </c>
      <c r="E2445" s="21" t="s">
        <v>734</v>
      </c>
      <c r="F2445" s="21" t="s">
        <v>16194</v>
      </c>
      <c r="G2445" s="21" t="s">
        <v>16360</v>
      </c>
    </row>
    <row r="2446" customFormat="false" ht="15" hidden="false" customHeight="false" outlineLevel="0" collapsed="false">
      <c r="B2446" s="19" t="s">
        <v>16361</v>
      </c>
      <c r="C2446" s="20" t="n">
        <f aca="false">ROUND(33.8/FX,2)</f>
        <v>4.69</v>
      </c>
      <c r="D2446" s="21" t="s">
        <v>10100</v>
      </c>
      <c r="E2446" s="21" t="s">
        <v>734</v>
      </c>
      <c r="F2446" s="21" t="s">
        <v>16194</v>
      </c>
      <c r="G2446" s="21" t="s">
        <v>16362</v>
      </c>
    </row>
    <row r="2447" customFormat="false" ht="15" hidden="false" customHeight="false" outlineLevel="0" collapsed="false">
      <c r="B2447" s="19" t="s">
        <v>16363</v>
      </c>
      <c r="C2447" s="20" t="n">
        <f aca="false">ROUND(36.14/FX,2)</f>
        <v>5.02</v>
      </c>
      <c r="D2447" s="21" t="s">
        <v>10100</v>
      </c>
      <c r="E2447" s="21" t="s">
        <v>734</v>
      </c>
      <c r="F2447" s="21" t="s">
        <v>16194</v>
      </c>
      <c r="G2447" s="21" t="s">
        <v>16364</v>
      </c>
    </row>
    <row r="2448" customFormat="false" ht="15" hidden="false" customHeight="false" outlineLevel="0" collapsed="false">
      <c r="B2448" s="19" t="s">
        <v>16365</v>
      </c>
      <c r="C2448" s="20" t="n">
        <f aca="false">ROUND(36.14/FX,2)</f>
        <v>5.02</v>
      </c>
      <c r="D2448" s="21" t="s">
        <v>10100</v>
      </c>
      <c r="E2448" s="21" t="s">
        <v>734</v>
      </c>
      <c r="F2448" s="21" t="s">
        <v>16194</v>
      </c>
      <c r="G2448" s="21" t="s">
        <v>16366</v>
      </c>
    </row>
    <row r="2449" customFormat="false" ht="15" hidden="false" customHeight="false" outlineLevel="0" collapsed="false">
      <c r="B2449" s="19" t="s">
        <v>16367</v>
      </c>
      <c r="C2449" s="20" t="n">
        <f aca="false">ROUND(7.41/FX,2)</f>
        <v>1.03</v>
      </c>
      <c r="D2449" s="21" t="s">
        <v>10100</v>
      </c>
      <c r="E2449" s="21" t="s">
        <v>734</v>
      </c>
      <c r="F2449" s="21" t="s">
        <v>16194</v>
      </c>
      <c r="G2449" s="21" t="s">
        <v>16368</v>
      </c>
    </row>
    <row r="2450" customFormat="false" ht="15" hidden="false" customHeight="false" outlineLevel="0" collapsed="false">
      <c r="B2450" s="19" t="s">
        <v>16369</v>
      </c>
      <c r="C2450" s="20" t="n">
        <f aca="false">ROUND(7.41/FX,2)</f>
        <v>1.03</v>
      </c>
      <c r="D2450" s="21" t="s">
        <v>10100</v>
      </c>
      <c r="E2450" s="21" t="s">
        <v>734</v>
      </c>
      <c r="F2450" s="21" t="s">
        <v>16194</v>
      </c>
      <c r="G2450" s="21" t="s">
        <v>16370</v>
      </c>
    </row>
    <row r="2451" customFormat="false" ht="15" hidden="false" customHeight="false" outlineLevel="0" collapsed="false">
      <c r="B2451" s="19" t="s">
        <v>16371</v>
      </c>
      <c r="C2451" s="20" t="n">
        <f aca="false">ROUND(7.41/FX,2)</f>
        <v>1.03</v>
      </c>
      <c r="D2451" s="21" t="s">
        <v>10100</v>
      </c>
      <c r="E2451" s="21" t="s">
        <v>734</v>
      </c>
      <c r="F2451" s="21" t="s">
        <v>16194</v>
      </c>
      <c r="G2451" s="21" t="s">
        <v>14829</v>
      </c>
    </row>
    <row r="2452" customFormat="false" ht="15" hidden="false" customHeight="false" outlineLevel="0" collapsed="false">
      <c r="B2452" s="19" t="s">
        <v>16372</v>
      </c>
      <c r="C2452" s="20" t="n">
        <f aca="false">ROUND(37.7/FX,2)</f>
        <v>5.24</v>
      </c>
      <c r="D2452" s="21" t="s">
        <v>10100</v>
      </c>
      <c r="E2452" s="21" t="s">
        <v>734</v>
      </c>
      <c r="F2452" s="21" t="s">
        <v>16194</v>
      </c>
      <c r="G2452" s="21" t="s">
        <v>16373</v>
      </c>
    </row>
    <row r="2453" customFormat="false" ht="15" hidden="false" customHeight="false" outlineLevel="0" collapsed="false">
      <c r="B2453" s="19" t="s">
        <v>16374</v>
      </c>
      <c r="C2453" s="20" t="n">
        <f aca="false">ROUND(37.7/FX,2)</f>
        <v>5.24</v>
      </c>
      <c r="D2453" s="21" t="s">
        <v>10100</v>
      </c>
      <c r="E2453" s="21" t="s">
        <v>734</v>
      </c>
      <c r="F2453" s="21" t="s">
        <v>16194</v>
      </c>
      <c r="G2453" s="21" t="s">
        <v>16375</v>
      </c>
    </row>
    <row r="2454" customFormat="false" ht="15" hidden="false" customHeight="false" outlineLevel="0" collapsed="false">
      <c r="B2454" s="19" t="s">
        <v>16376</v>
      </c>
      <c r="C2454" s="20" t="n">
        <f aca="false">ROUND(40.04/FX,2)</f>
        <v>5.56</v>
      </c>
      <c r="D2454" s="21" t="s">
        <v>10100</v>
      </c>
      <c r="E2454" s="21" t="s">
        <v>734</v>
      </c>
      <c r="F2454" s="21" t="s">
        <v>16194</v>
      </c>
      <c r="G2454" s="21" t="s">
        <v>16377</v>
      </c>
    </row>
    <row r="2455" customFormat="false" ht="15" hidden="false" customHeight="false" outlineLevel="0" collapsed="false">
      <c r="B2455" s="19" t="s">
        <v>16378</v>
      </c>
      <c r="C2455" s="20" t="n">
        <f aca="false">ROUND(40.04/FX,2)</f>
        <v>5.56</v>
      </c>
      <c r="D2455" s="21" t="s">
        <v>10100</v>
      </c>
      <c r="E2455" s="21" t="s">
        <v>734</v>
      </c>
      <c r="F2455" s="21" t="s">
        <v>16194</v>
      </c>
      <c r="G2455" s="21" t="s">
        <v>16379</v>
      </c>
    </row>
    <row r="2456" customFormat="false" ht="15" hidden="false" customHeight="false" outlineLevel="0" collapsed="false">
      <c r="B2456" s="19" t="s">
        <v>16380</v>
      </c>
      <c r="C2456" s="20" t="n">
        <f aca="false">ROUND(41.34/FX,2)</f>
        <v>5.74</v>
      </c>
      <c r="D2456" s="21" t="s">
        <v>10100</v>
      </c>
      <c r="E2456" s="21" t="s">
        <v>734</v>
      </c>
      <c r="F2456" s="21" t="s">
        <v>16194</v>
      </c>
      <c r="G2456" s="21" t="s">
        <v>16381</v>
      </c>
    </row>
    <row r="2457" customFormat="false" ht="15" hidden="false" customHeight="false" outlineLevel="0" collapsed="false">
      <c r="B2457" s="19" t="s">
        <v>16382</v>
      </c>
      <c r="C2457" s="20" t="n">
        <f aca="false">ROUND(41.34/FX,2)</f>
        <v>5.74</v>
      </c>
      <c r="D2457" s="21" t="s">
        <v>10100</v>
      </c>
      <c r="E2457" s="21" t="s">
        <v>734</v>
      </c>
      <c r="F2457" s="21" t="s">
        <v>16194</v>
      </c>
      <c r="G2457" s="21" t="s">
        <v>16383</v>
      </c>
    </row>
    <row r="2458" customFormat="false" ht="15" hidden="false" customHeight="false" outlineLevel="0" collapsed="false">
      <c r="B2458" s="19" t="s">
        <v>16384</v>
      </c>
      <c r="C2458" s="20" t="n">
        <f aca="false">ROUND(45.37/FX,2)</f>
        <v>6.3</v>
      </c>
      <c r="D2458" s="21" t="s">
        <v>10100</v>
      </c>
      <c r="E2458" s="21" t="s">
        <v>734</v>
      </c>
      <c r="F2458" s="21" t="s">
        <v>16194</v>
      </c>
      <c r="G2458" s="21" t="s">
        <v>16385</v>
      </c>
    </row>
    <row r="2459" customFormat="false" ht="15" hidden="false" customHeight="false" outlineLevel="0" collapsed="false">
      <c r="B2459" s="19" t="s">
        <v>16386</v>
      </c>
      <c r="C2459" s="20" t="n">
        <f aca="false">ROUND(45.37/FX,2)</f>
        <v>6.3</v>
      </c>
      <c r="D2459" s="21" t="s">
        <v>10100</v>
      </c>
      <c r="E2459" s="21" t="s">
        <v>734</v>
      </c>
      <c r="F2459" s="21" t="s">
        <v>16194</v>
      </c>
      <c r="G2459" s="21" t="s">
        <v>16387</v>
      </c>
    </row>
    <row r="2460" customFormat="false" ht="15" hidden="false" customHeight="false" outlineLevel="0" collapsed="false">
      <c r="B2460" s="19" t="s">
        <v>16388</v>
      </c>
      <c r="C2460" s="20" t="n">
        <f aca="false">ROUND(49.14/FX,2)</f>
        <v>6.83</v>
      </c>
      <c r="D2460" s="21" t="s">
        <v>10100</v>
      </c>
      <c r="E2460" s="21" t="s">
        <v>734</v>
      </c>
      <c r="F2460" s="21" t="s">
        <v>16194</v>
      </c>
      <c r="G2460" s="21" t="s">
        <v>16389</v>
      </c>
    </row>
    <row r="2461" customFormat="false" ht="15" hidden="false" customHeight="false" outlineLevel="0" collapsed="false">
      <c r="B2461" s="19" t="s">
        <v>16390</v>
      </c>
      <c r="C2461" s="20" t="n">
        <f aca="false">ROUND(49.14/FX,2)</f>
        <v>6.83</v>
      </c>
      <c r="D2461" s="21" t="s">
        <v>10100</v>
      </c>
      <c r="E2461" s="21" t="s">
        <v>734</v>
      </c>
      <c r="F2461" s="21" t="s">
        <v>16194</v>
      </c>
      <c r="G2461" s="21" t="s">
        <v>16391</v>
      </c>
    </row>
    <row r="2462" customFormat="false" ht="15" hidden="false" customHeight="false" outlineLevel="0" collapsed="false">
      <c r="B2462" s="19" t="s">
        <v>16392</v>
      </c>
      <c r="C2462" s="20" t="n">
        <f aca="false">ROUND(7.41/FX,2)</f>
        <v>1.03</v>
      </c>
      <c r="D2462" s="21" t="s">
        <v>10100</v>
      </c>
      <c r="E2462" s="21" t="s">
        <v>734</v>
      </c>
      <c r="F2462" s="21" t="s">
        <v>16194</v>
      </c>
      <c r="G2462" s="21" t="s">
        <v>16393</v>
      </c>
    </row>
    <row r="2463" customFormat="false" ht="15" hidden="false" customHeight="false" outlineLevel="0" collapsed="false">
      <c r="B2463" s="19" t="s">
        <v>16394</v>
      </c>
      <c r="C2463" s="20" t="n">
        <f aca="false">ROUND(6.5/FX,2)</f>
        <v>0.9</v>
      </c>
      <c r="D2463" s="21" t="s">
        <v>10100</v>
      </c>
      <c r="E2463" s="21" t="s">
        <v>734</v>
      </c>
      <c r="F2463" s="21" t="s">
        <v>16194</v>
      </c>
      <c r="G2463" s="21" t="s">
        <v>16395</v>
      </c>
    </row>
    <row r="2464" customFormat="false" ht="15" hidden="false" customHeight="false" outlineLevel="0" collapsed="false">
      <c r="B2464" s="19" t="s">
        <v>16396</v>
      </c>
      <c r="C2464" s="20" t="n">
        <f aca="false">ROUND(7.41/FX,2)</f>
        <v>1.03</v>
      </c>
      <c r="D2464" s="21" t="s">
        <v>10100</v>
      </c>
      <c r="E2464" s="21" t="s">
        <v>734</v>
      </c>
      <c r="F2464" s="21" t="s">
        <v>16194</v>
      </c>
      <c r="G2464" s="21" t="s">
        <v>14832</v>
      </c>
    </row>
    <row r="2465" customFormat="false" ht="15" hidden="false" customHeight="false" outlineLevel="0" collapsed="false">
      <c r="B2465" s="19" t="s">
        <v>16397</v>
      </c>
      <c r="C2465" s="20" t="n">
        <f aca="false">ROUND(53.43/FX,2)</f>
        <v>7.42</v>
      </c>
      <c r="D2465" s="21" t="s">
        <v>10100</v>
      </c>
      <c r="E2465" s="21" t="s">
        <v>734</v>
      </c>
      <c r="F2465" s="21" t="s">
        <v>16194</v>
      </c>
      <c r="G2465" s="21" t="s">
        <v>16398</v>
      </c>
    </row>
    <row r="2466" customFormat="false" ht="15" hidden="false" customHeight="false" outlineLevel="0" collapsed="false">
      <c r="B2466" s="19" t="s">
        <v>16399</v>
      </c>
      <c r="C2466" s="20" t="n">
        <f aca="false">ROUND(53.43/FX,2)</f>
        <v>7.42</v>
      </c>
      <c r="D2466" s="21" t="s">
        <v>10100</v>
      </c>
      <c r="E2466" s="21" t="s">
        <v>734</v>
      </c>
      <c r="F2466" s="21" t="s">
        <v>16194</v>
      </c>
      <c r="G2466" s="21" t="s">
        <v>16400</v>
      </c>
    </row>
    <row r="2467" customFormat="false" ht="15" hidden="false" customHeight="false" outlineLevel="0" collapsed="false">
      <c r="B2467" s="19" t="s">
        <v>16401</v>
      </c>
      <c r="C2467" s="20" t="n">
        <f aca="false">ROUND(56.55/FX,2)</f>
        <v>7.85</v>
      </c>
      <c r="D2467" s="21" t="s">
        <v>10100</v>
      </c>
      <c r="E2467" s="21" t="s">
        <v>734</v>
      </c>
      <c r="F2467" s="21" t="s">
        <v>16194</v>
      </c>
      <c r="G2467" s="21" t="s">
        <v>16402</v>
      </c>
    </row>
    <row r="2468" customFormat="false" ht="15" hidden="false" customHeight="false" outlineLevel="0" collapsed="false">
      <c r="B2468" s="19" t="s">
        <v>16403</v>
      </c>
      <c r="C2468" s="20" t="n">
        <f aca="false">ROUND(56.55/FX,2)</f>
        <v>7.85</v>
      </c>
      <c r="D2468" s="21" t="s">
        <v>10100</v>
      </c>
      <c r="E2468" s="21" t="s">
        <v>734</v>
      </c>
      <c r="F2468" s="21" t="s">
        <v>16194</v>
      </c>
      <c r="G2468" s="21" t="s">
        <v>16404</v>
      </c>
    </row>
    <row r="2469" customFormat="false" ht="28.35" hidden="false" customHeight="false" outlineLevel="0" collapsed="false">
      <c r="B2469" s="19" t="s">
        <v>16405</v>
      </c>
      <c r="C2469" s="20" t="n">
        <f aca="false">ROUND(3.81/FX,2)</f>
        <v>0.53</v>
      </c>
      <c r="D2469" s="21" t="s">
        <v>10100</v>
      </c>
      <c r="E2469" s="21" t="s">
        <v>16406</v>
      </c>
      <c r="F2469" s="21" t="s">
        <v>16407</v>
      </c>
      <c r="G2469" s="21" t="s">
        <v>16204</v>
      </c>
    </row>
    <row r="2470" customFormat="false" ht="28.35" hidden="false" customHeight="false" outlineLevel="0" collapsed="false">
      <c r="B2470" s="19" t="s">
        <v>16408</v>
      </c>
      <c r="C2470" s="20" t="n">
        <f aca="false">ROUND(4.94/FX,2)</f>
        <v>0.69</v>
      </c>
      <c r="D2470" s="21" t="s">
        <v>10100</v>
      </c>
      <c r="E2470" s="21" t="s">
        <v>16406</v>
      </c>
      <c r="F2470" s="21" t="s">
        <v>16407</v>
      </c>
      <c r="G2470" s="21" t="s">
        <v>14776</v>
      </c>
    </row>
    <row r="2471" customFormat="false" ht="28.35" hidden="false" customHeight="false" outlineLevel="0" collapsed="false">
      <c r="B2471" s="19" t="s">
        <v>16409</v>
      </c>
      <c r="C2471" s="20" t="n">
        <f aca="false">ROUND(4.94/FX,2)</f>
        <v>0.69</v>
      </c>
      <c r="D2471" s="21" t="s">
        <v>10100</v>
      </c>
      <c r="E2471" s="21" t="s">
        <v>16406</v>
      </c>
      <c r="F2471" s="21" t="s">
        <v>16407</v>
      </c>
      <c r="G2471" s="21" t="s">
        <v>14780</v>
      </c>
    </row>
    <row r="2472" customFormat="false" ht="28.35" hidden="false" customHeight="false" outlineLevel="0" collapsed="false">
      <c r="B2472" s="19" t="s">
        <v>16410</v>
      </c>
      <c r="C2472" s="20" t="n">
        <f aca="false">ROUND(4.94/FX,2)</f>
        <v>0.69</v>
      </c>
      <c r="D2472" s="21" t="s">
        <v>10100</v>
      </c>
      <c r="E2472" s="21" t="s">
        <v>16406</v>
      </c>
      <c r="F2472" s="21" t="s">
        <v>16407</v>
      </c>
      <c r="G2472" s="21" t="s">
        <v>16411</v>
      </c>
    </row>
    <row r="2473" customFormat="false" ht="28.35" hidden="false" customHeight="false" outlineLevel="0" collapsed="false">
      <c r="B2473" s="19" t="s">
        <v>16412</v>
      </c>
      <c r="C2473" s="20" t="n">
        <f aca="false">ROUND(3.38/FX,2)</f>
        <v>0.47</v>
      </c>
      <c r="D2473" s="21" t="s">
        <v>10100</v>
      </c>
      <c r="E2473" s="21" t="s">
        <v>16406</v>
      </c>
      <c r="F2473" s="21" t="s">
        <v>16407</v>
      </c>
      <c r="G2473" s="21" t="s">
        <v>16216</v>
      </c>
    </row>
    <row r="2474" customFormat="false" ht="28.35" hidden="false" customHeight="false" outlineLevel="0" collapsed="false">
      <c r="B2474" s="19" t="s">
        <v>16413</v>
      </c>
      <c r="C2474" s="20" t="n">
        <f aca="false">ROUND(5.2/FX,2)</f>
        <v>0.72</v>
      </c>
      <c r="D2474" s="21" t="s">
        <v>10100</v>
      </c>
      <c r="E2474" s="21" t="s">
        <v>16406</v>
      </c>
      <c r="F2474" s="21" t="s">
        <v>16407</v>
      </c>
      <c r="G2474" s="21" t="s">
        <v>14783</v>
      </c>
    </row>
    <row r="2475" customFormat="false" ht="28.35" hidden="false" customHeight="false" outlineLevel="0" collapsed="false">
      <c r="B2475" s="19" t="s">
        <v>16414</v>
      </c>
      <c r="C2475" s="20" t="n">
        <f aca="false">ROUND(5.2/FX,2)</f>
        <v>0.72</v>
      </c>
      <c r="D2475" s="21" t="s">
        <v>10100</v>
      </c>
      <c r="E2475" s="21" t="s">
        <v>16406</v>
      </c>
      <c r="F2475" s="21" t="s">
        <v>16407</v>
      </c>
      <c r="G2475" s="21" t="s">
        <v>14785</v>
      </c>
    </row>
    <row r="2476" customFormat="false" ht="28.35" hidden="false" customHeight="false" outlineLevel="0" collapsed="false">
      <c r="B2476" s="19" t="s">
        <v>16415</v>
      </c>
      <c r="C2476" s="20" t="n">
        <f aca="false">ROUND(5.2/FX,2)</f>
        <v>0.72</v>
      </c>
      <c r="D2476" s="21" t="s">
        <v>10100</v>
      </c>
      <c r="E2476" s="21" t="s">
        <v>16406</v>
      </c>
      <c r="F2476" s="21" t="s">
        <v>16407</v>
      </c>
      <c r="G2476" s="21" t="s">
        <v>14787</v>
      </c>
    </row>
    <row r="2477" customFormat="false" ht="28.35" hidden="false" customHeight="false" outlineLevel="0" collapsed="false">
      <c r="B2477" s="19" t="s">
        <v>16416</v>
      </c>
      <c r="C2477" s="20" t="n">
        <f aca="false">ROUND(5.85/FX,2)</f>
        <v>0.81</v>
      </c>
      <c r="D2477" s="21" t="s">
        <v>10100</v>
      </c>
      <c r="E2477" s="21" t="s">
        <v>16406</v>
      </c>
      <c r="F2477" s="21" t="s">
        <v>16407</v>
      </c>
      <c r="G2477" s="21" t="s">
        <v>16227</v>
      </c>
    </row>
    <row r="2478" customFormat="false" ht="28.35" hidden="false" customHeight="false" outlineLevel="0" collapsed="false">
      <c r="B2478" s="19" t="s">
        <v>16417</v>
      </c>
      <c r="C2478" s="20" t="n">
        <f aca="false">ROUND(5.85/FX,2)</f>
        <v>0.81</v>
      </c>
      <c r="D2478" s="21" t="s">
        <v>10100</v>
      </c>
      <c r="E2478" s="21" t="s">
        <v>16406</v>
      </c>
      <c r="F2478" s="21" t="s">
        <v>16407</v>
      </c>
      <c r="G2478" s="21" t="s">
        <v>14790</v>
      </c>
    </row>
    <row r="2479" customFormat="false" ht="28.35" hidden="false" customHeight="false" outlineLevel="0" collapsed="false">
      <c r="B2479" s="19" t="s">
        <v>16418</v>
      </c>
      <c r="C2479" s="20" t="n">
        <f aca="false">ROUND(4.55/FX,2)</f>
        <v>0.63</v>
      </c>
      <c r="D2479" s="21" t="s">
        <v>10100</v>
      </c>
      <c r="E2479" s="21" t="s">
        <v>16406</v>
      </c>
      <c r="F2479" s="21" t="s">
        <v>16407</v>
      </c>
      <c r="G2479" s="21" t="s">
        <v>16234</v>
      </c>
    </row>
    <row r="2480" customFormat="false" ht="28.35" hidden="false" customHeight="false" outlineLevel="0" collapsed="false">
      <c r="B2480" s="19" t="s">
        <v>16419</v>
      </c>
      <c r="C2480" s="20" t="n">
        <f aca="false">ROUND(5.85/FX,2)</f>
        <v>0.81</v>
      </c>
      <c r="D2480" s="21" t="s">
        <v>10100</v>
      </c>
      <c r="E2480" s="21" t="s">
        <v>16406</v>
      </c>
      <c r="F2480" s="21" t="s">
        <v>16407</v>
      </c>
      <c r="G2480" s="21" t="s">
        <v>16420</v>
      </c>
    </row>
    <row r="2481" customFormat="false" ht="28.35" hidden="false" customHeight="false" outlineLevel="0" collapsed="false">
      <c r="B2481" s="19" t="s">
        <v>16421</v>
      </c>
      <c r="C2481" s="20" t="n">
        <f aca="false">ROUND(5.85/FX,2)</f>
        <v>0.81</v>
      </c>
      <c r="D2481" s="21" t="s">
        <v>10100</v>
      </c>
      <c r="E2481" s="21" t="s">
        <v>16406</v>
      </c>
      <c r="F2481" s="21" t="s">
        <v>16407</v>
      </c>
      <c r="G2481" s="21" t="s">
        <v>16236</v>
      </c>
    </row>
    <row r="2482" customFormat="false" ht="28.35" hidden="false" customHeight="false" outlineLevel="0" collapsed="false">
      <c r="B2482" s="19" t="s">
        <v>16422</v>
      </c>
      <c r="C2482" s="20" t="n">
        <f aca="false">ROUND(6.24/FX,2)</f>
        <v>0.87</v>
      </c>
      <c r="D2482" s="21" t="s">
        <v>10100</v>
      </c>
      <c r="E2482" s="21" t="s">
        <v>16406</v>
      </c>
      <c r="F2482" s="21" t="s">
        <v>16407</v>
      </c>
      <c r="G2482" s="21" t="s">
        <v>16242</v>
      </c>
    </row>
    <row r="2483" customFormat="false" ht="28.35" hidden="false" customHeight="false" outlineLevel="0" collapsed="false">
      <c r="B2483" s="19" t="s">
        <v>16423</v>
      </c>
      <c r="C2483" s="20" t="n">
        <f aca="false">ROUND(6.24/FX,2)</f>
        <v>0.87</v>
      </c>
      <c r="D2483" s="21" t="s">
        <v>10100</v>
      </c>
      <c r="E2483" s="21" t="s">
        <v>16406</v>
      </c>
      <c r="F2483" s="21" t="s">
        <v>16407</v>
      </c>
      <c r="G2483" s="21" t="s">
        <v>14795</v>
      </c>
    </row>
    <row r="2484" customFormat="false" ht="28.35" hidden="false" customHeight="false" outlineLevel="0" collapsed="false">
      <c r="B2484" s="19" t="s">
        <v>16424</v>
      </c>
      <c r="C2484" s="20" t="n">
        <f aca="false">ROUND(6.24/FX,2)</f>
        <v>0.87</v>
      </c>
      <c r="D2484" s="21" t="s">
        <v>10100</v>
      </c>
      <c r="E2484" s="21" t="s">
        <v>16406</v>
      </c>
      <c r="F2484" s="21" t="s">
        <v>16407</v>
      </c>
      <c r="G2484" s="21" t="s">
        <v>14797</v>
      </c>
    </row>
    <row r="2485" customFormat="false" ht="28.35" hidden="false" customHeight="false" outlineLevel="0" collapsed="false">
      <c r="B2485" s="19" t="s">
        <v>16425</v>
      </c>
      <c r="C2485" s="20" t="n">
        <f aca="false">ROUND(6.89/FX,2)</f>
        <v>0.96</v>
      </c>
      <c r="D2485" s="21" t="s">
        <v>10100</v>
      </c>
      <c r="E2485" s="21" t="s">
        <v>16406</v>
      </c>
      <c r="F2485" s="21" t="s">
        <v>16407</v>
      </c>
      <c r="G2485" s="21" t="s">
        <v>14800</v>
      </c>
    </row>
    <row r="2486" customFormat="false" ht="28.35" hidden="false" customHeight="false" outlineLevel="0" collapsed="false">
      <c r="B2486" s="19" t="s">
        <v>16426</v>
      </c>
      <c r="C2486" s="20" t="n">
        <f aca="false">ROUND(7.67/FX,2)</f>
        <v>1.07</v>
      </c>
      <c r="D2486" s="21" t="s">
        <v>10100</v>
      </c>
      <c r="E2486" s="21" t="s">
        <v>16406</v>
      </c>
      <c r="F2486" s="21" t="s">
        <v>16407</v>
      </c>
      <c r="G2486" s="21" t="s">
        <v>16427</v>
      </c>
    </row>
    <row r="2487" customFormat="false" ht="28.35" hidden="false" customHeight="false" outlineLevel="0" collapsed="false">
      <c r="B2487" s="19" t="s">
        <v>16428</v>
      </c>
      <c r="C2487" s="20" t="n">
        <f aca="false">ROUND(6.89/FX,2)</f>
        <v>0.96</v>
      </c>
      <c r="D2487" s="21" t="s">
        <v>10100</v>
      </c>
      <c r="E2487" s="21" t="s">
        <v>16406</v>
      </c>
      <c r="F2487" s="21" t="s">
        <v>16407</v>
      </c>
      <c r="G2487" s="21" t="s">
        <v>16429</v>
      </c>
    </row>
    <row r="2488" customFormat="false" ht="28.35" hidden="false" customHeight="false" outlineLevel="0" collapsed="false">
      <c r="B2488" s="19" t="s">
        <v>16430</v>
      </c>
      <c r="C2488" s="20" t="n">
        <f aca="false">ROUND(6.89/FX,2)</f>
        <v>0.96</v>
      </c>
      <c r="D2488" s="21" t="s">
        <v>10100</v>
      </c>
      <c r="E2488" s="21" t="s">
        <v>16406</v>
      </c>
      <c r="F2488" s="21" t="s">
        <v>16407</v>
      </c>
      <c r="G2488" s="21" t="s">
        <v>16431</v>
      </c>
    </row>
    <row r="2489" customFormat="false" ht="28.35" hidden="false" customHeight="false" outlineLevel="0" collapsed="false">
      <c r="B2489" s="19" t="s">
        <v>16432</v>
      </c>
      <c r="C2489" s="20" t="n">
        <f aca="false">ROUND(5.98/FX,2)</f>
        <v>0.83</v>
      </c>
      <c r="D2489" s="21" t="s">
        <v>10100</v>
      </c>
      <c r="E2489" s="21" t="s">
        <v>16406</v>
      </c>
      <c r="F2489" s="21" t="s">
        <v>16407</v>
      </c>
      <c r="G2489" s="21" t="s">
        <v>16368</v>
      </c>
    </row>
    <row r="2490" customFormat="false" ht="28.35" hidden="false" customHeight="false" outlineLevel="0" collapsed="false">
      <c r="B2490" s="19" t="s">
        <v>16433</v>
      </c>
      <c r="C2490" s="20" t="n">
        <f aca="false">ROUND(5.2/FX,2)</f>
        <v>0.72</v>
      </c>
      <c r="D2490" s="21" t="s">
        <v>10100</v>
      </c>
      <c r="E2490" s="21" t="s">
        <v>16406</v>
      </c>
      <c r="F2490" s="21" t="s">
        <v>16407</v>
      </c>
      <c r="G2490" s="21" t="s">
        <v>16370</v>
      </c>
    </row>
    <row r="2491" customFormat="false" ht="28.35" hidden="false" customHeight="false" outlineLevel="0" collapsed="false">
      <c r="B2491" s="19" t="s">
        <v>16434</v>
      </c>
      <c r="C2491" s="20" t="n">
        <f aca="false">ROUND(5.98/FX,2)</f>
        <v>0.83</v>
      </c>
      <c r="D2491" s="21" t="s">
        <v>10100</v>
      </c>
      <c r="E2491" s="21" t="s">
        <v>16406</v>
      </c>
      <c r="F2491" s="21" t="s">
        <v>16407</v>
      </c>
      <c r="G2491" s="21" t="s">
        <v>14829</v>
      </c>
    </row>
    <row r="2492" customFormat="false" ht="28.35" hidden="false" customHeight="false" outlineLevel="0" collapsed="false">
      <c r="B2492" s="19" t="s">
        <v>16435</v>
      </c>
      <c r="C2492" s="20" t="n">
        <f aca="false">ROUND(5.98/FX,2)</f>
        <v>0.83</v>
      </c>
      <c r="D2492" s="21" t="s">
        <v>10100</v>
      </c>
      <c r="E2492" s="21" t="s">
        <v>16406</v>
      </c>
      <c r="F2492" s="21" t="s">
        <v>16407</v>
      </c>
      <c r="G2492" s="21" t="s">
        <v>16393</v>
      </c>
    </row>
    <row r="2493" customFormat="false" ht="28.35" hidden="false" customHeight="false" outlineLevel="0" collapsed="false">
      <c r="B2493" s="19" t="s">
        <v>16436</v>
      </c>
      <c r="C2493" s="20" t="n">
        <f aca="false">ROUND(5.98/FX,2)</f>
        <v>0.83</v>
      </c>
      <c r="D2493" s="21" t="s">
        <v>10100</v>
      </c>
      <c r="E2493" s="21" t="s">
        <v>16406</v>
      </c>
      <c r="F2493" s="21" t="s">
        <v>16407</v>
      </c>
      <c r="G2493" s="21" t="s">
        <v>16395</v>
      </c>
    </row>
    <row r="2494" customFormat="false" ht="28.35" hidden="false" customHeight="false" outlineLevel="0" collapsed="false">
      <c r="B2494" s="19" t="s">
        <v>16437</v>
      </c>
      <c r="C2494" s="20" t="n">
        <f aca="false">ROUND(5.98/FX,2)</f>
        <v>0.83</v>
      </c>
      <c r="D2494" s="21" t="s">
        <v>10100</v>
      </c>
      <c r="E2494" s="21" t="s">
        <v>16406</v>
      </c>
      <c r="F2494" s="21" t="s">
        <v>16407</v>
      </c>
      <c r="G2494" s="21" t="s">
        <v>14832</v>
      </c>
    </row>
    <row r="2495" customFormat="false" ht="28.35" hidden="false" customHeight="false" outlineLevel="0" collapsed="false">
      <c r="B2495" s="19" t="s">
        <v>16438</v>
      </c>
      <c r="C2495" s="20" t="n">
        <f aca="false">ROUND(4.94/FX,2)</f>
        <v>0.69</v>
      </c>
      <c r="D2495" s="21" t="s">
        <v>10100</v>
      </c>
      <c r="E2495" s="21" t="s">
        <v>16406</v>
      </c>
      <c r="F2495" s="21" t="s">
        <v>16407</v>
      </c>
      <c r="G2495" s="21" t="s">
        <v>16439</v>
      </c>
    </row>
    <row r="2496" customFormat="false" ht="28.35" hidden="false" customHeight="false" outlineLevel="0" collapsed="false">
      <c r="B2496" s="19" t="s">
        <v>16440</v>
      </c>
      <c r="C2496" s="20" t="n">
        <f aca="false">ROUND(4.94/FX,2)</f>
        <v>0.69</v>
      </c>
      <c r="D2496" s="21" t="s">
        <v>10100</v>
      </c>
      <c r="E2496" s="21" t="s">
        <v>16406</v>
      </c>
      <c r="F2496" s="21" t="s">
        <v>16407</v>
      </c>
      <c r="G2496" s="21" t="s">
        <v>16441</v>
      </c>
    </row>
    <row r="2497" customFormat="false" ht="15" hidden="false" customHeight="false" outlineLevel="0" collapsed="false">
      <c r="B2497" s="19" t="s">
        <v>16442</v>
      </c>
      <c r="C2497" s="20" t="n">
        <f aca="false">ROUND(1.69/FX,2)</f>
        <v>0.23</v>
      </c>
      <c r="D2497" s="21" t="s">
        <v>10100</v>
      </c>
      <c r="E2497" s="21" t="s">
        <v>16443</v>
      </c>
      <c r="F2497" s="21" t="s">
        <v>16407</v>
      </c>
      <c r="G2497" s="21" t="s">
        <v>16204</v>
      </c>
    </row>
    <row r="2498" customFormat="false" ht="15" hidden="false" customHeight="false" outlineLevel="0" collapsed="false">
      <c r="B2498" s="19" t="s">
        <v>16444</v>
      </c>
      <c r="C2498" s="20" t="n">
        <f aca="false">ROUND(1.69/FX,2)</f>
        <v>0.23</v>
      </c>
      <c r="D2498" s="21" t="s">
        <v>10100</v>
      </c>
      <c r="E2498" s="21" t="s">
        <v>16443</v>
      </c>
      <c r="F2498" s="21" t="s">
        <v>16407</v>
      </c>
      <c r="G2498" s="21" t="s">
        <v>16216</v>
      </c>
    </row>
    <row r="2499" customFormat="false" ht="15" hidden="false" customHeight="false" outlineLevel="0" collapsed="false">
      <c r="B2499" s="19" t="s">
        <v>16445</v>
      </c>
      <c r="C2499" s="20" t="n">
        <f aca="false">ROUND(1.69/FX,2)</f>
        <v>0.23</v>
      </c>
      <c r="D2499" s="21" t="s">
        <v>10100</v>
      </c>
      <c r="E2499" s="21" t="s">
        <v>16443</v>
      </c>
      <c r="F2499" s="21" t="s">
        <v>16407</v>
      </c>
      <c r="G2499" s="21" t="s">
        <v>14783</v>
      </c>
    </row>
    <row r="2500" customFormat="false" ht="15" hidden="false" customHeight="false" outlineLevel="0" collapsed="false">
      <c r="B2500" s="19" t="s">
        <v>16446</v>
      </c>
      <c r="C2500" s="20" t="n">
        <f aca="false">ROUND(2.08/FX,2)</f>
        <v>0.29</v>
      </c>
      <c r="D2500" s="21" t="s">
        <v>10100</v>
      </c>
      <c r="E2500" s="21" t="s">
        <v>16443</v>
      </c>
      <c r="F2500" s="21" t="s">
        <v>16407</v>
      </c>
      <c r="G2500" s="21" t="s">
        <v>16234</v>
      </c>
    </row>
    <row r="2501" customFormat="false" ht="15" hidden="false" customHeight="false" outlineLevel="0" collapsed="false">
      <c r="B2501" s="19" t="s">
        <v>16447</v>
      </c>
      <c r="C2501" s="20" t="n">
        <f aca="false">ROUND(2.21/FX,2)</f>
        <v>0.31</v>
      </c>
      <c r="D2501" s="21" t="s">
        <v>10100</v>
      </c>
      <c r="E2501" s="21" t="s">
        <v>16443</v>
      </c>
      <c r="F2501" s="21" t="s">
        <v>16407</v>
      </c>
      <c r="G2501" s="21" t="s">
        <v>16368</v>
      </c>
    </row>
    <row r="2502" customFormat="false" ht="15" hidden="false" customHeight="false" outlineLevel="0" collapsed="false">
      <c r="B2502" s="19" t="s">
        <v>16448</v>
      </c>
      <c r="C2502" s="20" t="n">
        <f aca="false">ROUND(3.9/FX,2)</f>
        <v>0.54</v>
      </c>
      <c r="D2502" s="21" t="s">
        <v>10100</v>
      </c>
      <c r="E2502" s="21" t="s">
        <v>16443</v>
      </c>
      <c r="F2502" s="21" t="s">
        <v>16407</v>
      </c>
      <c r="G2502" s="21" t="s">
        <v>16370</v>
      </c>
    </row>
    <row r="2503" customFormat="false" ht="15" hidden="false" customHeight="false" outlineLevel="0" collapsed="false">
      <c r="B2503" s="19" t="s">
        <v>16449</v>
      </c>
      <c r="C2503" s="20" t="n">
        <f aca="false">ROUND(2.21/FX,2)</f>
        <v>0.31</v>
      </c>
      <c r="D2503" s="21" t="s">
        <v>10100</v>
      </c>
      <c r="E2503" s="21" t="s">
        <v>16443</v>
      </c>
      <c r="F2503" s="21" t="s">
        <v>16407</v>
      </c>
      <c r="G2503" s="21" t="s">
        <v>14829</v>
      </c>
    </row>
    <row r="2504" customFormat="false" ht="15" hidden="false" customHeight="false" outlineLevel="0" collapsed="false">
      <c r="B2504" s="19" t="s">
        <v>16450</v>
      </c>
      <c r="C2504" s="20" t="n">
        <f aca="false">ROUND(3.25/FX,2)</f>
        <v>0.45</v>
      </c>
      <c r="D2504" s="21" t="s">
        <v>10100</v>
      </c>
      <c r="E2504" s="21" t="s">
        <v>16443</v>
      </c>
      <c r="F2504" s="21" t="s">
        <v>16407</v>
      </c>
      <c r="G2504" s="21" t="s">
        <v>16395</v>
      </c>
    </row>
    <row r="2505" customFormat="false" ht="28.35" hidden="false" customHeight="false" outlineLevel="0" collapsed="false">
      <c r="B2505" s="19" t="s">
        <v>16451</v>
      </c>
      <c r="C2505" s="20" t="n">
        <f aca="false">ROUND(5.98/FX,2)</f>
        <v>0.83</v>
      </c>
      <c r="D2505" s="21" t="s">
        <v>10100</v>
      </c>
      <c r="E2505" s="21" t="s">
        <v>16452</v>
      </c>
      <c r="F2505" s="21" t="s">
        <v>16407</v>
      </c>
      <c r="G2505" s="21" t="s">
        <v>16204</v>
      </c>
    </row>
    <row r="2506" customFormat="false" ht="28.35" hidden="false" customHeight="false" outlineLevel="0" collapsed="false">
      <c r="B2506" s="19" t="s">
        <v>16453</v>
      </c>
      <c r="C2506" s="20" t="n">
        <f aca="false">ROUND(5.98/FX,2)</f>
        <v>0.83</v>
      </c>
      <c r="D2506" s="21" t="s">
        <v>10100</v>
      </c>
      <c r="E2506" s="21" t="s">
        <v>16452</v>
      </c>
      <c r="F2506" s="21" t="s">
        <v>16407</v>
      </c>
      <c r="G2506" s="21" t="s">
        <v>16216</v>
      </c>
    </row>
    <row r="2507" customFormat="false" ht="28.35" hidden="false" customHeight="false" outlineLevel="0" collapsed="false">
      <c r="B2507" s="19" t="s">
        <v>16454</v>
      </c>
      <c r="C2507" s="20" t="n">
        <f aca="false">ROUND(6.89/FX,2)</f>
        <v>0.96</v>
      </c>
      <c r="D2507" s="21" t="s">
        <v>10100</v>
      </c>
      <c r="E2507" s="21" t="s">
        <v>16452</v>
      </c>
      <c r="F2507" s="21" t="s">
        <v>16407</v>
      </c>
      <c r="G2507" s="21" t="s">
        <v>16234</v>
      </c>
    </row>
    <row r="2508" customFormat="false" ht="28.35" hidden="false" customHeight="false" outlineLevel="0" collapsed="false">
      <c r="B2508" s="19" t="s">
        <v>16455</v>
      </c>
      <c r="C2508" s="20" t="n">
        <f aca="false">ROUND(5.85/FX,2)</f>
        <v>0.81</v>
      </c>
      <c r="D2508" s="21" t="s">
        <v>10100</v>
      </c>
      <c r="E2508" s="21" t="s">
        <v>16452</v>
      </c>
      <c r="F2508" s="21" t="s">
        <v>16407</v>
      </c>
      <c r="G2508" s="21" t="s">
        <v>16247</v>
      </c>
    </row>
    <row r="2509" customFormat="false" ht="28.35" hidden="false" customHeight="false" outlineLevel="0" collapsed="false">
      <c r="B2509" s="19" t="s">
        <v>16456</v>
      </c>
      <c r="C2509" s="20" t="n">
        <f aca="false">ROUND(6.89/FX,2)</f>
        <v>0.96</v>
      </c>
      <c r="D2509" s="21" t="s">
        <v>10100</v>
      </c>
      <c r="E2509" s="21" t="s">
        <v>16452</v>
      </c>
      <c r="F2509" s="21" t="s">
        <v>16407</v>
      </c>
      <c r="G2509" s="21" t="s">
        <v>16249</v>
      </c>
    </row>
    <row r="2510" customFormat="false" ht="28.35" hidden="false" customHeight="false" outlineLevel="0" collapsed="false">
      <c r="B2510" s="19" t="s">
        <v>16457</v>
      </c>
      <c r="C2510" s="20" t="n">
        <f aca="false">ROUND(4.16/FX,2)</f>
        <v>0.58</v>
      </c>
      <c r="D2510" s="21" t="s">
        <v>10100</v>
      </c>
      <c r="E2510" s="21" t="s">
        <v>16452</v>
      </c>
      <c r="F2510" s="21" t="s">
        <v>16407</v>
      </c>
      <c r="G2510" s="21" t="s">
        <v>16260</v>
      </c>
    </row>
    <row r="2511" customFormat="false" ht="28.35" hidden="false" customHeight="false" outlineLevel="0" collapsed="false">
      <c r="B2511" s="19" t="s">
        <v>16458</v>
      </c>
      <c r="C2511" s="20" t="n">
        <f aca="false">ROUND(7.41/FX,2)</f>
        <v>1.03</v>
      </c>
      <c r="D2511" s="21" t="s">
        <v>10100</v>
      </c>
      <c r="E2511" s="21" t="s">
        <v>16452</v>
      </c>
      <c r="F2511" s="21" t="s">
        <v>16407</v>
      </c>
      <c r="G2511" s="21" t="s">
        <v>14803</v>
      </c>
    </row>
    <row r="2512" customFormat="false" ht="28.35" hidden="false" customHeight="false" outlineLevel="0" collapsed="false">
      <c r="B2512" s="19" t="s">
        <v>16459</v>
      </c>
      <c r="C2512" s="20" t="n">
        <f aca="false">ROUND(7.41/FX,2)</f>
        <v>1.03</v>
      </c>
      <c r="D2512" s="21" t="s">
        <v>10100</v>
      </c>
      <c r="E2512" s="21" t="s">
        <v>16452</v>
      </c>
      <c r="F2512" s="21" t="s">
        <v>16407</v>
      </c>
      <c r="G2512" s="21" t="s">
        <v>14806</v>
      </c>
    </row>
    <row r="2513" customFormat="false" ht="28.35" hidden="false" customHeight="false" outlineLevel="0" collapsed="false">
      <c r="B2513" s="19" t="s">
        <v>16460</v>
      </c>
      <c r="C2513" s="20" t="n">
        <f aca="false">ROUND(7.41/FX,2)</f>
        <v>1.03</v>
      </c>
      <c r="D2513" s="21" t="s">
        <v>10100</v>
      </c>
      <c r="E2513" s="21" t="s">
        <v>16452</v>
      </c>
      <c r="F2513" s="21" t="s">
        <v>16407</v>
      </c>
      <c r="G2513" s="21" t="s">
        <v>14808</v>
      </c>
    </row>
    <row r="2514" customFormat="false" ht="28.35" hidden="false" customHeight="false" outlineLevel="0" collapsed="false">
      <c r="B2514" s="19" t="s">
        <v>16461</v>
      </c>
      <c r="C2514" s="20" t="n">
        <f aca="false">ROUND(7.41/FX,2)</f>
        <v>1.03</v>
      </c>
      <c r="D2514" s="21" t="s">
        <v>10100</v>
      </c>
      <c r="E2514" s="21" t="s">
        <v>16452</v>
      </c>
      <c r="F2514" s="21" t="s">
        <v>16407</v>
      </c>
      <c r="G2514" s="21" t="s">
        <v>14811</v>
      </c>
    </row>
    <row r="2515" customFormat="false" ht="28.35" hidden="false" customHeight="false" outlineLevel="0" collapsed="false">
      <c r="B2515" s="19" t="s">
        <v>16462</v>
      </c>
      <c r="C2515" s="20" t="n">
        <f aca="false">ROUND(8.32/FX,2)</f>
        <v>1.16</v>
      </c>
      <c r="D2515" s="21" t="s">
        <v>10100</v>
      </c>
      <c r="E2515" s="21" t="s">
        <v>16452</v>
      </c>
      <c r="F2515" s="21" t="s">
        <v>16407</v>
      </c>
      <c r="G2515" s="21" t="s">
        <v>16266</v>
      </c>
    </row>
    <row r="2516" customFormat="false" ht="28.35" hidden="false" customHeight="false" outlineLevel="0" collapsed="false">
      <c r="B2516" s="19" t="s">
        <v>16463</v>
      </c>
      <c r="C2516" s="20" t="n">
        <f aca="false">ROUND(8.32/FX,2)</f>
        <v>1.16</v>
      </c>
      <c r="D2516" s="21" t="s">
        <v>10100</v>
      </c>
      <c r="E2516" s="21" t="s">
        <v>16452</v>
      </c>
      <c r="F2516" s="21" t="s">
        <v>16407</v>
      </c>
      <c r="G2516" s="21" t="s">
        <v>14958</v>
      </c>
    </row>
    <row r="2517" customFormat="false" ht="28.35" hidden="false" customHeight="false" outlineLevel="0" collapsed="false">
      <c r="B2517" s="19" t="s">
        <v>16464</v>
      </c>
      <c r="C2517" s="20" t="n">
        <f aca="false">ROUND(8.45/FX,2)</f>
        <v>1.17</v>
      </c>
      <c r="D2517" s="21" t="s">
        <v>10100</v>
      </c>
      <c r="E2517" s="21" t="s">
        <v>16452</v>
      </c>
      <c r="F2517" s="21" t="s">
        <v>16407</v>
      </c>
      <c r="G2517" s="21" t="s">
        <v>16269</v>
      </c>
    </row>
    <row r="2518" customFormat="false" ht="28.35" hidden="false" customHeight="false" outlineLevel="0" collapsed="false">
      <c r="B2518" s="19" t="s">
        <v>16465</v>
      </c>
      <c r="C2518" s="20" t="n">
        <f aca="false">ROUND(8.45/FX,2)</f>
        <v>1.17</v>
      </c>
      <c r="D2518" s="21" t="s">
        <v>10100</v>
      </c>
      <c r="E2518" s="21" t="s">
        <v>16452</v>
      </c>
      <c r="F2518" s="21" t="s">
        <v>16407</v>
      </c>
      <c r="G2518" s="21" t="s">
        <v>16271</v>
      </c>
    </row>
    <row r="2519" customFormat="false" ht="28.35" hidden="false" customHeight="false" outlineLevel="0" collapsed="false">
      <c r="B2519" s="19" t="s">
        <v>16466</v>
      </c>
      <c r="C2519" s="20" t="n">
        <f aca="false">ROUND(8.45/FX,2)</f>
        <v>1.17</v>
      </c>
      <c r="D2519" s="21" t="s">
        <v>10100</v>
      </c>
      <c r="E2519" s="21" t="s">
        <v>16452</v>
      </c>
      <c r="F2519" s="21" t="s">
        <v>16407</v>
      </c>
      <c r="G2519" s="21" t="s">
        <v>16467</v>
      </c>
    </row>
    <row r="2520" customFormat="false" ht="28.35" hidden="false" customHeight="false" outlineLevel="0" collapsed="false">
      <c r="B2520" s="19" t="s">
        <v>16468</v>
      </c>
      <c r="C2520" s="20" t="n">
        <f aca="false">ROUND(8.71/FX,2)</f>
        <v>1.21</v>
      </c>
      <c r="D2520" s="21" t="s">
        <v>10100</v>
      </c>
      <c r="E2520" s="21" t="s">
        <v>16452</v>
      </c>
      <c r="F2520" s="21" t="s">
        <v>16407</v>
      </c>
      <c r="G2520" s="21" t="s">
        <v>16469</v>
      </c>
    </row>
    <row r="2521" customFormat="false" ht="28.35" hidden="false" customHeight="false" outlineLevel="0" collapsed="false">
      <c r="B2521" s="19" t="s">
        <v>16470</v>
      </c>
      <c r="C2521" s="20" t="n">
        <f aca="false">ROUND(8.71/FX,2)</f>
        <v>1.21</v>
      </c>
      <c r="D2521" s="21" t="s">
        <v>10100</v>
      </c>
      <c r="E2521" s="21" t="s">
        <v>16452</v>
      </c>
      <c r="F2521" s="21" t="s">
        <v>16407</v>
      </c>
      <c r="G2521" s="21" t="s">
        <v>16275</v>
      </c>
    </row>
    <row r="2522" customFormat="false" ht="28.35" hidden="false" customHeight="false" outlineLevel="0" collapsed="false">
      <c r="B2522" s="19" t="s">
        <v>16471</v>
      </c>
      <c r="C2522" s="20" t="n">
        <f aca="false">ROUND(9.88/FX,2)</f>
        <v>1.37</v>
      </c>
      <c r="D2522" s="21" t="s">
        <v>10100</v>
      </c>
      <c r="E2522" s="21" t="s">
        <v>16452</v>
      </c>
      <c r="F2522" s="21" t="s">
        <v>16407</v>
      </c>
      <c r="G2522" s="21" t="s">
        <v>16279</v>
      </c>
    </row>
    <row r="2523" customFormat="false" ht="28.35" hidden="false" customHeight="false" outlineLevel="0" collapsed="false">
      <c r="B2523" s="19" t="s">
        <v>16472</v>
      </c>
      <c r="C2523" s="20" t="n">
        <f aca="false">ROUND(6.48/FX,2)</f>
        <v>0.9</v>
      </c>
      <c r="D2523" s="21" t="s">
        <v>10100</v>
      </c>
      <c r="E2523" s="21" t="s">
        <v>16452</v>
      </c>
      <c r="F2523" s="21" t="s">
        <v>16407</v>
      </c>
      <c r="G2523" s="21" t="s">
        <v>14821</v>
      </c>
    </row>
    <row r="2524" customFormat="false" ht="28.35" hidden="false" customHeight="false" outlineLevel="0" collapsed="false">
      <c r="B2524" s="19" t="s">
        <v>16473</v>
      </c>
      <c r="C2524" s="20" t="n">
        <f aca="false">ROUND(9.88/FX,2)</f>
        <v>1.37</v>
      </c>
      <c r="D2524" s="21" t="s">
        <v>10100</v>
      </c>
      <c r="E2524" s="21" t="s">
        <v>16452</v>
      </c>
      <c r="F2524" s="21" t="s">
        <v>16407</v>
      </c>
      <c r="G2524" s="21" t="s">
        <v>14823</v>
      </c>
    </row>
    <row r="2525" customFormat="false" ht="28.35" hidden="false" customHeight="false" outlineLevel="0" collapsed="false">
      <c r="B2525" s="19" t="s">
        <v>16474</v>
      </c>
      <c r="C2525" s="20" t="n">
        <f aca="false">ROUND(13/FX,2)</f>
        <v>1.81</v>
      </c>
      <c r="D2525" s="21" t="s">
        <v>10100</v>
      </c>
      <c r="E2525" s="21" t="s">
        <v>16452</v>
      </c>
      <c r="F2525" s="21" t="s">
        <v>16407</v>
      </c>
      <c r="G2525" s="21" t="s">
        <v>16291</v>
      </c>
    </row>
    <row r="2526" customFormat="false" ht="28.35" hidden="false" customHeight="false" outlineLevel="0" collapsed="false">
      <c r="B2526" s="19" t="s">
        <v>16475</v>
      </c>
      <c r="C2526" s="20" t="n">
        <f aca="false">ROUND(14.04/FX,2)</f>
        <v>1.95</v>
      </c>
      <c r="D2526" s="21" t="s">
        <v>10100</v>
      </c>
      <c r="E2526" s="21" t="s">
        <v>16452</v>
      </c>
      <c r="F2526" s="21" t="s">
        <v>16407</v>
      </c>
      <c r="G2526" s="21" t="s">
        <v>16293</v>
      </c>
    </row>
    <row r="2527" customFormat="false" ht="28.35" hidden="false" customHeight="false" outlineLevel="0" collapsed="false">
      <c r="B2527" s="19" t="s">
        <v>16476</v>
      </c>
      <c r="C2527" s="20" t="n">
        <f aca="false">ROUND(15.6/FX,2)</f>
        <v>2.17</v>
      </c>
      <c r="D2527" s="21" t="s">
        <v>10100</v>
      </c>
      <c r="E2527" s="21" t="s">
        <v>16452</v>
      </c>
      <c r="F2527" s="21" t="s">
        <v>16407</v>
      </c>
      <c r="G2527" s="21" t="s">
        <v>16308</v>
      </c>
    </row>
    <row r="2528" customFormat="false" ht="28.35" hidden="false" customHeight="false" outlineLevel="0" collapsed="false">
      <c r="B2528" s="19" t="s">
        <v>16477</v>
      </c>
      <c r="C2528" s="20" t="n">
        <f aca="false">ROUND(15.99/FX,2)</f>
        <v>2.22</v>
      </c>
      <c r="D2528" s="21" t="s">
        <v>10100</v>
      </c>
      <c r="E2528" s="21" t="s">
        <v>16452</v>
      </c>
      <c r="F2528" s="21" t="s">
        <v>16407</v>
      </c>
      <c r="G2528" s="21" t="s">
        <v>16310</v>
      </c>
    </row>
    <row r="2529" customFormat="false" ht="28.35" hidden="false" customHeight="false" outlineLevel="0" collapsed="false">
      <c r="B2529" s="19" t="s">
        <v>16478</v>
      </c>
      <c r="C2529" s="20" t="n">
        <f aca="false">ROUND(26/FX,2)</f>
        <v>3.61</v>
      </c>
      <c r="D2529" s="21" t="s">
        <v>10100</v>
      </c>
      <c r="E2529" s="21" t="s">
        <v>16452</v>
      </c>
      <c r="F2529" s="21" t="s">
        <v>16407</v>
      </c>
      <c r="G2529" s="21" t="s">
        <v>16328</v>
      </c>
    </row>
    <row r="2530" customFormat="false" ht="28.35" hidden="false" customHeight="false" outlineLevel="0" collapsed="false">
      <c r="B2530" s="19" t="s">
        <v>16479</v>
      </c>
      <c r="C2530" s="20" t="n">
        <f aca="false">ROUND(26/FX,2)</f>
        <v>3.61</v>
      </c>
      <c r="D2530" s="21" t="s">
        <v>10100</v>
      </c>
      <c r="E2530" s="21" t="s">
        <v>16452</v>
      </c>
      <c r="F2530" s="21" t="s">
        <v>16407</v>
      </c>
      <c r="G2530" s="21" t="s">
        <v>16330</v>
      </c>
    </row>
    <row r="2531" customFormat="false" ht="28.35" hidden="false" customHeight="false" outlineLevel="0" collapsed="false">
      <c r="B2531" s="19" t="s">
        <v>16480</v>
      </c>
      <c r="C2531" s="20" t="n">
        <f aca="false">ROUND(6.5/FX,2)</f>
        <v>0.9</v>
      </c>
      <c r="D2531" s="21" t="s">
        <v>10100</v>
      </c>
      <c r="E2531" s="21" t="s">
        <v>16452</v>
      </c>
      <c r="F2531" s="21" t="s">
        <v>16407</v>
      </c>
      <c r="G2531" s="21" t="s">
        <v>16370</v>
      </c>
    </row>
    <row r="2532" customFormat="false" ht="15" hidden="false" customHeight="false" outlineLevel="0" collapsed="false">
      <c r="B2532" s="19" t="s">
        <v>16481</v>
      </c>
      <c r="C2532" s="20" t="n">
        <f aca="false">ROUND(2.21/FX,2)</f>
        <v>0.31</v>
      </c>
      <c r="D2532" s="21" t="s">
        <v>10100</v>
      </c>
      <c r="E2532" s="21" t="s">
        <v>16482</v>
      </c>
      <c r="F2532" s="21" t="s">
        <v>16407</v>
      </c>
      <c r="G2532" s="21" t="s">
        <v>16234</v>
      </c>
    </row>
    <row r="2533" customFormat="false" ht="15" hidden="false" customHeight="false" outlineLevel="0" collapsed="false">
      <c r="B2533" s="19" t="s">
        <v>16483</v>
      </c>
      <c r="C2533" s="20" t="n">
        <f aca="false">ROUND(3.9/FX,2)</f>
        <v>0.54</v>
      </c>
      <c r="D2533" s="21" t="s">
        <v>10100</v>
      </c>
      <c r="E2533" s="21" t="s">
        <v>16482</v>
      </c>
      <c r="F2533" s="21" t="s">
        <v>16407</v>
      </c>
      <c r="G2533" s="21" t="s">
        <v>16247</v>
      </c>
    </row>
    <row r="2534" customFormat="false" ht="15" hidden="false" customHeight="false" outlineLevel="0" collapsed="false">
      <c r="B2534" s="19" t="s">
        <v>16484</v>
      </c>
      <c r="C2534" s="20" t="n">
        <f aca="false">ROUND(2.96/FX,2)</f>
        <v>0.41</v>
      </c>
      <c r="D2534" s="21" t="s">
        <v>10100</v>
      </c>
      <c r="E2534" s="21" t="s">
        <v>16482</v>
      </c>
      <c r="F2534" s="21" t="s">
        <v>16407</v>
      </c>
      <c r="G2534" s="21" t="s">
        <v>16260</v>
      </c>
    </row>
    <row r="2535" customFormat="false" ht="15" hidden="false" customHeight="false" outlineLevel="0" collapsed="false">
      <c r="B2535" s="19" t="s">
        <v>16485</v>
      </c>
      <c r="C2535" s="20" t="n">
        <f aca="false">ROUND(3.64/FX,2)</f>
        <v>0.51</v>
      </c>
      <c r="D2535" s="21" t="s">
        <v>10100</v>
      </c>
      <c r="E2535" s="21" t="s">
        <v>16482</v>
      </c>
      <c r="F2535" s="21" t="s">
        <v>16407</v>
      </c>
      <c r="G2535" s="21" t="s">
        <v>14803</v>
      </c>
    </row>
    <row r="2536" customFormat="false" ht="15" hidden="false" customHeight="false" outlineLevel="0" collapsed="false">
      <c r="B2536" s="19" t="s">
        <v>16486</v>
      </c>
      <c r="C2536" s="20" t="n">
        <f aca="false">ROUND(3.64/FX,2)</f>
        <v>0.51</v>
      </c>
      <c r="D2536" s="21" t="s">
        <v>10100</v>
      </c>
      <c r="E2536" s="21" t="s">
        <v>16482</v>
      </c>
      <c r="F2536" s="21" t="s">
        <v>16407</v>
      </c>
      <c r="G2536" s="21" t="s">
        <v>16269</v>
      </c>
    </row>
    <row r="2537" customFormat="false" ht="15" hidden="false" customHeight="false" outlineLevel="0" collapsed="false">
      <c r="B2537" s="19" t="s">
        <v>16487</v>
      </c>
      <c r="C2537" s="20" t="n">
        <f aca="false">ROUND(4.64/FX,2)</f>
        <v>0.64</v>
      </c>
      <c r="D2537" s="21" t="s">
        <v>10100</v>
      </c>
      <c r="E2537" s="21" t="s">
        <v>16482</v>
      </c>
      <c r="F2537" s="21" t="s">
        <v>16407</v>
      </c>
      <c r="G2537" s="21" t="s">
        <v>16271</v>
      </c>
    </row>
    <row r="2538" customFormat="false" ht="15" hidden="false" customHeight="false" outlineLevel="0" collapsed="false">
      <c r="B2538" s="19" t="s">
        <v>16488</v>
      </c>
      <c r="C2538" s="20" t="n">
        <f aca="false">ROUND(5.98/FX,2)</f>
        <v>0.83</v>
      </c>
      <c r="D2538" s="21" t="s">
        <v>10100</v>
      </c>
      <c r="E2538" s="21" t="s">
        <v>16482</v>
      </c>
      <c r="F2538" s="21" t="s">
        <v>16407</v>
      </c>
      <c r="G2538" s="21" t="s">
        <v>14821</v>
      </c>
    </row>
    <row r="2539" customFormat="false" ht="15" hidden="false" customHeight="false" outlineLevel="0" collapsed="false">
      <c r="B2539" s="19" t="s">
        <v>16489</v>
      </c>
      <c r="C2539" s="20" t="n">
        <f aca="false">ROUND(9.88/FX,2)</f>
        <v>1.37</v>
      </c>
      <c r="D2539" s="21" t="s">
        <v>10100</v>
      </c>
      <c r="E2539" s="21" t="s">
        <v>16482</v>
      </c>
      <c r="F2539" s="21" t="s">
        <v>16407</v>
      </c>
      <c r="G2539" s="21" t="s">
        <v>16291</v>
      </c>
    </row>
    <row r="2540" customFormat="false" ht="15" hidden="false" customHeight="false" outlineLevel="0" collapsed="false">
      <c r="B2540" s="19" t="s">
        <v>16490</v>
      </c>
      <c r="C2540" s="20" t="n">
        <f aca="false">ROUND(11.05/FX,2)</f>
        <v>1.53</v>
      </c>
      <c r="D2540" s="21" t="s">
        <v>10100</v>
      </c>
      <c r="E2540" s="21" t="s">
        <v>16482</v>
      </c>
      <c r="F2540" s="21" t="s">
        <v>16407</v>
      </c>
      <c r="G2540" s="21" t="s">
        <v>16308</v>
      </c>
    </row>
    <row r="2541" customFormat="false" ht="28.35" hidden="false" customHeight="false" outlineLevel="0" collapsed="false">
      <c r="B2541" s="19" t="s">
        <v>16491</v>
      </c>
      <c r="C2541" s="20" t="n">
        <f aca="false">ROUND(26/FX,2)</f>
        <v>3.61</v>
      </c>
      <c r="D2541" s="21" t="s">
        <v>8669</v>
      </c>
      <c r="E2541" s="21" t="s">
        <v>16452</v>
      </c>
      <c r="F2541" s="21" t="s">
        <v>16407</v>
      </c>
      <c r="G2541" s="21" t="s">
        <v>16216</v>
      </c>
    </row>
    <row r="2544" customFormat="false" ht="61.5" hidden="false" customHeight="true" outlineLevel="0" collapsed="false">
      <c r="A2544" s="9"/>
      <c r="B2544" s="10" t="s">
        <v>16492</v>
      </c>
      <c r="C2544" s="10"/>
      <c r="D2544" s="10"/>
      <c r="E2544" s="10"/>
      <c r="F2544" s="10"/>
    </row>
    <row r="2545" customFormat="false" ht="15" hidden="false" customHeight="false" outlineLevel="0" collapsed="false">
      <c r="A2545" s="12" t="s">
        <v>700</v>
      </c>
      <c r="B2545" s="13" t="s">
        <v>701</v>
      </c>
      <c r="C2545" s="13" t="s">
        <v>702</v>
      </c>
      <c r="D2545" s="13" t="s">
        <v>722</v>
      </c>
      <c r="E2545" s="13" t="s">
        <v>723</v>
      </c>
      <c r="F2545" s="13" t="s">
        <v>7711</v>
      </c>
    </row>
    <row r="2546" customFormat="false" ht="30" hidden="false" customHeight="true" outlineLevel="0" collapsed="false">
      <c r="A2546" s="14" t="s">
        <v>706</v>
      </c>
      <c r="B2546" s="15" t="str">
        <f aca="false">IF(COUNTIFS($D$2549:$D$2571,IF(D2546="","*",D2546),$E$2549:$E$2571,IF(E2546="","*",E2546),$F$2549:$F$2571,IF(F2546="","*",F2546))=1,INDEX($B:$B,SUMPRODUCT(((D2546="")+($D$2549:$D$2571=D2546)&gt;0)*((E2546="")+($E$2549:$E$2571=E2546)&gt;0)*((F2546="")+($F$2549:$F$2571=F2546)&gt;0)*ROW($B$2549:$B$2571))),IF(COUNTIFS($D$2549:$D$2571,IF(D2546="","*",D2546),$E$2549:$E$2571,IF(E2546="","*",E2546),$F$2549:$F$2571,IF(F2546="","*",F2546))=0,"Not available",COUNTIFS($D$2549:$D$2571,IF(D2546="","*",D2546),$E$2549:$E$2571,IF(E2546="","*",E2546),$F$2549:$F$2571,IF(F2546="","*",F2546))&amp;" match, keep choosing"))</f>
        <v>RL-007-10-SV-CLTAM10</v>
      </c>
      <c r="C2546" s="16" t="n">
        <f aca="false">IF(COUNTIFS($D$2549:$D$2571,IF(D2546="","*",D2546),$E$2549:$E$2571,IF(E2546="","*",E2546),$F$2549:$F$2571,IF(F2546="","*",F2546))=1,INDEX($C:$C,SUMPRODUCT(((D2546="")+($D$2549:$D$2571=D2546)&gt;0)*((E2546="")+($E$2549:$E$2571=E2546)&gt;0)*((F2546="")+($F$2549:$F$2571=F2546)&gt;0)*ROW($B$2549:$B$2571))),"")</f>
        <v>2.71</v>
      </c>
      <c r="D2546" s="17" t="s">
        <v>6549</v>
      </c>
      <c r="E2546" s="17" t="s">
        <v>16493</v>
      </c>
      <c r="F2546" s="17" t="s">
        <v>707</v>
      </c>
    </row>
    <row r="2548" customFormat="false" ht="15" hidden="false" customHeight="false" outlineLevel="0" collapsed="false">
      <c r="B2548" s="18" t="s">
        <v>701</v>
      </c>
      <c r="C2548" s="18" t="s">
        <v>702</v>
      </c>
      <c r="D2548" s="18" t="s">
        <v>722</v>
      </c>
      <c r="E2548" s="18" t="s">
        <v>723</v>
      </c>
      <c r="F2548" s="18" t="s">
        <v>7711</v>
      </c>
    </row>
    <row r="2549" customFormat="false" ht="15" hidden="false" customHeight="false" outlineLevel="0" collapsed="false">
      <c r="B2549" s="19" t="s">
        <v>16494</v>
      </c>
      <c r="C2549" s="20" t="n">
        <f aca="false">ROUND(19.5/FX,2)</f>
        <v>2.71</v>
      </c>
      <c r="D2549" s="21" t="s">
        <v>6549</v>
      </c>
      <c r="E2549" s="21" t="s">
        <v>16493</v>
      </c>
      <c r="F2549" s="21" t="s">
        <v>707</v>
      </c>
    </row>
    <row r="2550" customFormat="false" ht="15" hidden="false" customHeight="false" outlineLevel="0" collapsed="false">
      <c r="B2550" s="19" t="s">
        <v>16495</v>
      </c>
      <c r="C2550" s="20" t="n">
        <f aca="false">ROUND(7.44/FX,2)</f>
        <v>1.03</v>
      </c>
      <c r="D2550" s="21" t="s">
        <v>6549</v>
      </c>
      <c r="E2550" s="21" t="s">
        <v>16496</v>
      </c>
      <c r="F2550" s="21" t="s">
        <v>761</v>
      </c>
    </row>
    <row r="2551" customFormat="false" ht="15" hidden="false" customHeight="false" outlineLevel="0" collapsed="false">
      <c r="B2551" s="19" t="s">
        <v>16497</v>
      </c>
      <c r="C2551" s="20" t="n">
        <f aca="false">ROUND(9.22/FX,2)</f>
        <v>1.28</v>
      </c>
      <c r="D2551" s="21" t="s">
        <v>6549</v>
      </c>
      <c r="E2551" s="21" t="s">
        <v>16498</v>
      </c>
      <c r="F2551" s="21" t="s">
        <v>4761</v>
      </c>
    </row>
    <row r="2552" customFormat="false" ht="15" hidden="false" customHeight="false" outlineLevel="0" collapsed="false">
      <c r="B2552" s="19" t="s">
        <v>16499</v>
      </c>
      <c r="C2552" s="20" t="n">
        <f aca="false">ROUND(23.4/FX,2)</f>
        <v>3.25</v>
      </c>
      <c r="D2552" s="21" t="s">
        <v>6549</v>
      </c>
      <c r="E2552" s="21" t="s">
        <v>16500</v>
      </c>
      <c r="F2552" s="21" t="s">
        <v>4721</v>
      </c>
    </row>
    <row r="2553" customFormat="false" ht="15" hidden="false" customHeight="false" outlineLevel="0" collapsed="false">
      <c r="B2553" s="19" t="s">
        <v>16501</v>
      </c>
      <c r="C2553" s="20" t="n">
        <f aca="false">ROUND(8.81/FX,2)</f>
        <v>1.22</v>
      </c>
      <c r="D2553" s="21" t="s">
        <v>6549</v>
      </c>
      <c r="E2553" s="21" t="s">
        <v>16502</v>
      </c>
      <c r="F2553" s="21" t="s">
        <v>714</v>
      </c>
    </row>
    <row r="2554" customFormat="false" ht="15" hidden="false" customHeight="false" outlineLevel="0" collapsed="false">
      <c r="B2554" s="19" t="s">
        <v>16503</v>
      </c>
      <c r="C2554" s="20" t="n">
        <f aca="false">ROUND(8.81/FX,2)</f>
        <v>1.22</v>
      </c>
      <c r="D2554" s="21" t="s">
        <v>6549</v>
      </c>
      <c r="E2554" s="21" t="s">
        <v>16504</v>
      </c>
      <c r="F2554" s="21" t="s">
        <v>3833</v>
      </c>
    </row>
    <row r="2555" customFormat="false" ht="15" hidden="false" customHeight="false" outlineLevel="0" collapsed="false">
      <c r="B2555" s="19" t="s">
        <v>16505</v>
      </c>
      <c r="C2555" s="20" t="n">
        <f aca="false">ROUND(23.4/FX,2)</f>
        <v>3.25</v>
      </c>
      <c r="D2555" s="21" t="s">
        <v>724</v>
      </c>
      <c r="E2555" s="21" t="s">
        <v>16506</v>
      </c>
      <c r="F2555" s="21" t="s">
        <v>3247</v>
      </c>
    </row>
    <row r="2556" customFormat="false" ht="15" hidden="false" customHeight="false" outlineLevel="0" collapsed="false">
      <c r="B2556" s="19" t="s">
        <v>16507</v>
      </c>
      <c r="C2556" s="20" t="n">
        <f aca="false">ROUND(26/FX,2)</f>
        <v>3.61</v>
      </c>
      <c r="D2556" s="21" t="s">
        <v>6549</v>
      </c>
      <c r="E2556" s="21" t="s">
        <v>16508</v>
      </c>
      <c r="F2556" s="21" t="s">
        <v>3247</v>
      </c>
    </row>
    <row r="2557" customFormat="false" ht="15" hidden="false" customHeight="false" outlineLevel="0" collapsed="false">
      <c r="B2557" s="19" t="s">
        <v>16509</v>
      </c>
      <c r="C2557" s="20" t="n">
        <f aca="false">ROUND(14.34/FX,2)</f>
        <v>1.99</v>
      </c>
      <c r="D2557" s="21" t="s">
        <v>6549</v>
      </c>
      <c r="E2557" s="21" t="s">
        <v>16510</v>
      </c>
      <c r="F2557" s="21" t="s">
        <v>3247</v>
      </c>
    </row>
    <row r="2558" customFormat="false" ht="15" hidden="false" customHeight="false" outlineLevel="0" collapsed="false">
      <c r="B2558" s="19" t="s">
        <v>16511</v>
      </c>
      <c r="C2558" s="20" t="n">
        <f aca="false">ROUND(33.8/FX,2)</f>
        <v>4.69</v>
      </c>
      <c r="D2558" s="21" t="s">
        <v>724</v>
      </c>
      <c r="E2558" s="21" t="s">
        <v>16512</v>
      </c>
      <c r="F2558" s="21" t="s">
        <v>3317</v>
      </c>
    </row>
    <row r="2559" customFormat="false" ht="15" hidden="false" customHeight="false" outlineLevel="0" collapsed="false">
      <c r="B2559" s="19" t="s">
        <v>16513</v>
      </c>
      <c r="C2559" s="20" t="n">
        <f aca="false">ROUND(35.1/FX,2)</f>
        <v>4.88</v>
      </c>
      <c r="D2559" s="21" t="s">
        <v>6549</v>
      </c>
      <c r="E2559" s="21" t="s">
        <v>16514</v>
      </c>
      <c r="F2559" s="21" t="s">
        <v>3317</v>
      </c>
    </row>
    <row r="2560" customFormat="false" ht="15" hidden="false" customHeight="false" outlineLevel="0" collapsed="false">
      <c r="B2560" s="19" t="s">
        <v>16515</v>
      </c>
      <c r="C2560" s="20" t="n">
        <f aca="false">ROUND(18.92/FX,2)</f>
        <v>2.63</v>
      </c>
      <c r="D2560" s="21" t="s">
        <v>6549</v>
      </c>
      <c r="E2560" s="21" t="s">
        <v>16516</v>
      </c>
      <c r="F2560" s="21" t="s">
        <v>3317</v>
      </c>
    </row>
    <row r="2561" customFormat="false" ht="15" hidden="false" customHeight="false" outlineLevel="0" collapsed="false">
      <c r="B2561" s="19" t="s">
        <v>16517</v>
      </c>
      <c r="C2561" s="20" t="n">
        <f aca="false">ROUND(47.45/FX,2)</f>
        <v>6.59</v>
      </c>
      <c r="D2561" s="21" t="s">
        <v>724</v>
      </c>
      <c r="E2561" s="21" t="s">
        <v>16518</v>
      </c>
      <c r="F2561" s="21" t="s">
        <v>784</v>
      </c>
    </row>
    <row r="2562" customFormat="false" ht="15" hidden="false" customHeight="false" outlineLevel="0" collapsed="false">
      <c r="B2562" s="19" t="s">
        <v>16519</v>
      </c>
      <c r="C2562" s="20" t="n">
        <f aca="false">ROUND(45.5/FX,2)</f>
        <v>6.32</v>
      </c>
      <c r="D2562" s="21" t="s">
        <v>6549</v>
      </c>
      <c r="E2562" s="21" t="s">
        <v>16520</v>
      </c>
      <c r="F2562" s="21" t="s">
        <v>784</v>
      </c>
    </row>
    <row r="2563" customFormat="false" ht="15" hidden="false" customHeight="false" outlineLevel="0" collapsed="false">
      <c r="B2563" s="19" t="s">
        <v>16521</v>
      </c>
      <c r="C2563" s="20" t="n">
        <f aca="false">ROUND(25.68/FX,2)</f>
        <v>3.57</v>
      </c>
      <c r="D2563" s="21" t="s">
        <v>6549</v>
      </c>
      <c r="E2563" s="21" t="s">
        <v>16522</v>
      </c>
      <c r="F2563" s="21" t="s">
        <v>784</v>
      </c>
    </row>
    <row r="2564" customFormat="false" ht="15" hidden="false" customHeight="false" outlineLevel="0" collapsed="false">
      <c r="B2564" s="19" t="s">
        <v>16523</v>
      </c>
      <c r="C2564" s="20" t="n">
        <f aca="false">ROUND(40.1/FX,2)</f>
        <v>5.57</v>
      </c>
      <c r="D2564" s="21" t="s">
        <v>6549</v>
      </c>
      <c r="E2564" s="21" t="s">
        <v>16524</v>
      </c>
      <c r="F2564" s="21" t="s">
        <v>6244</v>
      </c>
    </row>
    <row r="2565" customFormat="false" ht="15" hidden="false" customHeight="false" outlineLevel="0" collapsed="false">
      <c r="B2565" s="19" t="s">
        <v>16525</v>
      </c>
      <c r="C2565" s="20" t="n">
        <f aca="false">ROUND(62.4/FX,2)</f>
        <v>8.67</v>
      </c>
      <c r="D2565" s="21" t="s">
        <v>6549</v>
      </c>
      <c r="E2565" s="21" t="s">
        <v>16526</v>
      </c>
      <c r="F2565" s="21" t="s">
        <v>3328</v>
      </c>
    </row>
    <row r="2566" customFormat="false" ht="15" hidden="false" customHeight="false" outlineLevel="0" collapsed="false">
      <c r="B2566" s="19" t="s">
        <v>16527</v>
      </c>
      <c r="C2566" s="20" t="n">
        <f aca="false">ROUND(43.88/FX,2)</f>
        <v>6.09</v>
      </c>
      <c r="D2566" s="21" t="s">
        <v>6549</v>
      </c>
      <c r="E2566" s="21" t="s">
        <v>16528</v>
      </c>
      <c r="F2566" s="21" t="s">
        <v>3328</v>
      </c>
    </row>
    <row r="2567" customFormat="false" ht="15" hidden="false" customHeight="false" outlineLevel="0" collapsed="false">
      <c r="B2567" s="19" t="s">
        <v>16529</v>
      </c>
      <c r="C2567" s="20" t="n">
        <f aca="false">ROUND(88.4/FX,2)</f>
        <v>12.28</v>
      </c>
      <c r="D2567" s="21" t="s">
        <v>6549</v>
      </c>
      <c r="E2567" s="21" t="s">
        <v>16530</v>
      </c>
      <c r="F2567" s="21" t="s">
        <v>6246</v>
      </c>
    </row>
    <row r="2568" customFormat="false" ht="15" hidden="false" customHeight="false" outlineLevel="0" collapsed="false">
      <c r="B2568" s="19" t="s">
        <v>16531</v>
      </c>
      <c r="C2568" s="20" t="n">
        <f aca="false">ROUND(61.53/FX,2)</f>
        <v>8.55</v>
      </c>
      <c r="D2568" s="21" t="s">
        <v>6549</v>
      </c>
      <c r="E2568" s="21" t="s">
        <v>16532</v>
      </c>
      <c r="F2568" s="21" t="s">
        <v>6246</v>
      </c>
    </row>
    <row r="2569" customFormat="false" ht="15" hidden="false" customHeight="false" outlineLevel="0" collapsed="false">
      <c r="B2569" s="19" t="s">
        <v>16533</v>
      </c>
      <c r="C2569" s="20" t="n">
        <f aca="false">ROUND(100.88/FX,2)</f>
        <v>14.01</v>
      </c>
      <c r="D2569" s="21" t="s">
        <v>6549</v>
      </c>
      <c r="E2569" s="21" t="s">
        <v>16534</v>
      </c>
      <c r="F2569" s="21" t="s">
        <v>2911</v>
      </c>
    </row>
    <row r="2570" customFormat="false" ht="15" hidden="false" customHeight="false" outlineLevel="0" collapsed="false">
      <c r="B2570" s="19" t="s">
        <v>16535</v>
      </c>
      <c r="C2570" s="20" t="n">
        <f aca="false">ROUND(19.5/FX,2)</f>
        <v>2.71</v>
      </c>
      <c r="D2570" s="21" t="s">
        <v>6549</v>
      </c>
      <c r="E2570" s="21" t="s">
        <v>16536</v>
      </c>
      <c r="F2570" s="21" t="s">
        <v>716</v>
      </c>
    </row>
    <row r="2571" customFormat="false" ht="15" hidden="false" customHeight="false" outlineLevel="0" collapsed="false">
      <c r="B2571" s="19" t="s">
        <v>16537</v>
      </c>
      <c r="C2571" s="20" t="n">
        <f aca="false">ROUND(19.5/FX,2)</f>
        <v>2.71</v>
      </c>
      <c r="D2571" s="21" t="s">
        <v>6549</v>
      </c>
      <c r="E2571" s="21" t="s">
        <v>16538</v>
      </c>
      <c r="F2571" s="21" t="s">
        <v>847</v>
      </c>
    </row>
    <row r="2574" customFormat="false" ht="61.5" hidden="false" customHeight="true" outlineLevel="0" collapsed="false">
      <c r="A2574" s="9"/>
      <c r="B2574" s="10" t="s">
        <v>16539</v>
      </c>
      <c r="C2574" s="10"/>
      <c r="D2574" s="10"/>
      <c r="E2574" s="10"/>
    </row>
    <row r="2575" customFormat="false" ht="15" hidden="false" customHeight="false" outlineLevel="0" collapsed="false">
      <c r="A2575" s="12" t="s">
        <v>700</v>
      </c>
      <c r="B2575" s="13" t="s">
        <v>701</v>
      </c>
      <c r="C2575" s="13" t="s">
        <v>702</v>
      </c>
      <c r="D2575" s="13" t="s">
        <v>722</v>
      </c>
      <c r="E2575" s="13" t="s">
        <v>723</v>
      </c>
    </row>
    <row r="2576" customFormat="false" ht="30" hidden="false" customHeight="true" outlineLevel="0" collapsed="false">
      <c r="A2576" s="14" t="s">
        <v>706</v>
      </c>
      <c r="B2576" s="15" t="str">
        <f aca="false">IF(COUNTIFS($D$2579:$D$2668,IF(D2576="","*",D2576),$E$2579:$E$2668,IF(E2576="","*",E2576))=1,INDEX($B:$B,SUMPRODUCT(((D2576="")+($D$2579:$D$2668=D2576)&gt;0)*((E2576="")+($E$2579:$E$2668=E2576)&gt;0)*ROW($B$2579:$B$2668))),IF(COUNTIFS($D$2579:$D$2668,IF(D2576="","*",D2576),$E$2579:$E$2668,IF(E2576="","*",E2576))=0,"Not available",COUNTIFS($D$2579:$D$2668,IF(D2576="","*",D2576),$E$2579:$E$2668,IF(E2576="","*",E2576))&amp;" match, keep choosing"))</f>
        <v>RL-006-BK-BR-SHF16-DTJ</v>
      </c>
      <c r="C2576" s="16" t="n">
        <f aca="false">IF(COUNTIFS($D$2579:$D$2668,IF(D2576="","*",D2576),$E$2579:$E$2668,IF(E2576="","*",E2576))=1,INDEX($C:$C,SUMPRODUCT(((D2576="")+($D$2579:$D$2668=D2576)&gt;0)*((E2576="")+($E$2579:$E$2668=E2576)&gt;0)*ROW($B$2579:$B$2668))),"")</f>
        <v>0.43</v>
      </c>
      <c r="D2576" s="17" t="s">
        <v>724</v>
      </c>
      <c r="E2576" s="17" t="s">
        <v>16540</v>
      </c>
    </row>
    <row r="2578" customFormat="false" ht="15" hidden="false" customHeight="false" outlineLevel="0" collapsed="false">
      <c r="B2578" s="18" t="s">
        <v>701</v>
      </c>
      <c r="C2578" s="18" t="s">
        <v>702</v>
      </c>
      <c r="D2578" s="18" t="s">
        <v>722</v>
      </c>
      <c r="E2578" s="18" t="s">
        <v>723</v>
      </c>
    </row>
    <row r="2579" customFormat="false" ht="28.35" hidden="false" customHeight="false" outlineLevel="0" collapsed="false">
      <c r="B2579" s="19" t="s">
        <v>16541</v>
      </c>
      <c r="C2579" s="20" t="n">
        <f aca="false">ROUND(3.12/FX,2)</f>
        <v>0.43</v>
      </c>
      <c r="D2579" s="21" t="s">
        <v>724</v>
      </c>
      <c r="E2579" s="21" t="s">
        <v>16540</v>
      </c>
    </row>
    <row r="2580" customFormat="false" ht="15" hidden="false" customHeight="false" outlineLevel="0" collapsed="false">
      <c r="B2580" s="19" t="s">
        <v>16542</v>
      </c>
      <c r="C2580" s="20" t="n">
        <f aca="false">ROUND(3.25/FX,2)</f>
        <v>0.45</v>
      </c>
      <c r="D2580" s="21" t="s">
        <v>724</v>
      </c>
      <c r="E2580" s="21" t="s">
        <v>16543</v>
      </c>
    </row>
    <row r="2581" customFormat="false" ht="28.35" hidden="false" customHeight="false" outlineLevel="0" collapsed="false">
      <c r="B2581" s="19" t="s">
        <v>16544</v>
      </c>
      <c r="C2581" s="20" t="n">
        <f aca="false">ROUND(23.4/FX,2)</f>
        <v>3.25</v>
      </c>
      <c r="D2581" s="21" t="s">
        <v>6549</v>
      </c>
      <c r="E2581" s="21" t="s">
        <v>16545</v>
      </c>
    </row>
    <row r="2582" customFormat="false" ht="28.35" hidden="false" customHeight="false" outlineLevel="0" collapsed="false">
      <c r="B2582" s="19" t="s">
        <v>16546</v>
      </c>
      <c r="C2582" s="20" t="n">
        <f aca="false">ROUND(29.9/FX,2)</f>
        <v>4.15</v>
      </c>
      <c r="D2582" s="21" t="s">
        <v>6549</v>
      </c>
      <c r="E2582" s="21" t="s">
        <v>16547</v>
      </c>
    </row>
    <row r="2583" customFormat="false" ht="28.35" hidden="false" customHeight="false" outlineLevel="0" collapsed="false">
      <c r="B2583" s="19" t="s">
        <v>16548</v>
      </c>
      <c r="C2583" s="20" t="n">
        <f aca="false">ROUND(37.7/FX,2)</f>
        <v>5.24</v>
      </c>
      <c r="D2583" s="21" t="s">
        <v>6549</v>
      </c>
      <c r="E2583" s="21" t="s">
        <v>16549</v>
      </c>
    </row>
    <row r="2584" customFormat="false" ht="28.35" hidden="false" customHeight="false" outlineLevel="0" collapsed="false">
      <c r="B2584" s="19" t="s">
        <v>16550</v>
      </c>
      <c r="C2584" s="20" t="n">
        <f aca="false">ROUND(45.5/FX,2)</f>
        <v>6.32</v>
      </c>
      <c r="D2584" s="21" t="s">
        <v>6549</v>
      </c>
      <c r="E2584" s="21" t="s">
        <v>16551</v>
      </c>
    </row>
    <row r="2585" customFormat="false" ht="28.35" hidden="false" customHeight="false" outlineLevel="0" collapsed="false">
      <c r="B2585" s="19" t="s">
        <v>16552</v>
      </c>
      <c r="C2585" s="20" t="n">
        <f aca="false">ROUND(72.8/FX,2)</f>
        <v>10.11</v>
      </c>
      <c r="D2585" s="21" t="s">
        <v>6549</v>
      </c>
      <c r="E2585" s="21" t="s">
        <v>16553</v>
      </c>
    </row>
    <row r="2586" customFormat="false" ht="28.35" hidden="false" customHeight="false" outlineLevel="0" collapsed="false">
      <c r="B2586" s="19" t="s">
        <v>16554</v>
      </c>
      <c r="C2586" s="20" t="n">
        <f aca="false">ROUND(78/FX,2)</f>
        <v>10.83</v>
      </c>
      <c r="D2586" s="21" t="s">
        <v>6549</v>
      </c>
      <c r="E2586" s="21" t="s">
        <v>16555</v>
      </c>
    </row>
    <row r="2587" customFormat="false" ht="28.35" hidden="false" customHeight="false" outlineLevel="0" collapsed="false">
      <c r="B2587" s="19" t="s">
        <v>16556</v>
      </c>
      <c r="C2587" s="20" t="n">
        <f aca="false">ROUND(97.5/FX,2)</f>
        <v>13.54</v>
      </c>
      <c r="D2587" s="21" t="s">
        <v>6549</v>
      </c>
      <c r="E2587" s="21" t="s">
        <v>16557</v>
      </c>
    </row>
    <row r="2588" customFormat="false" ht="41.75" hidden="false" customHeight="false" outlineLevel="0" collapsed="false">
      <c r="B2588" s="19" t="s">
        <v>16558</v>
      </c>
      <c r="C2588" s="20" t="n">
        <f aca="false">ROUND(3.9/FX,2)</f>
        <v>0.54</v>
      </c>
      <c r="D2588" s="21" t="s">
        <v>6549</v>
      </c>
      <c r="E2588" s="21" t="s">
        <v>16559</v>
      </c>
    </row>
    <row r="2589" customFormat="false" ht="41.75" hidden="false" customHeight="false" outlineLevel="0" collapsed="false">
      <c r="B2589" s="19" t="s">
        <v>16560</v>
      </c>
      <c r="C2589" s="20" t="n">
        <f aca="false">ROUND(5.2/FX,2)</f>
        <v>0.72</v>
      </c>
      <c r="D2589" s="21" t="s">
        <v>6549</v>
      </c>
      <c r="E2589" s="21" t="s">
        <v>16561</v>
      </c>
    </row>
    <row r="2590" customFormat="false" ht="41.75" hidden="false" customHeight="false" outlineLevel="0" collapsed="false">
      <c r="B2590" s="19" t="s">
        <v>16562</v>
      </c>
      <c r="C2590" s="20" t="n">
        <f aca="false">ROUND(6.44/FX,2)</f>
        <v>0.89</v>
      </c>
      <c r="D2590" s="21" t="s">
        <v>6549</v>
      </c>
      <c r="E2590" s="21" t="s">
        <v>16563</v>
      </c>
    </row>
    <row r="2591" customFormat="false" ht="41.75" hidden="false" customHeight="false" outlineLevel="0" collapsed="false">
      <c r="B2591" s="19" t="s">
        <v>16564</v>
      </c>
      <c r="C2591" s="20" t="n">
        <f aca="false">ROUND(7.15/FX,2)</f>
        <v>0.99</v>
      </c>
      <c r="D2591" s="21" t="s">
        <v>6549</v>
      </c>
      <c r="E2591" s="21" t="s">
        <v>16565</v>
      </c>
    </row>
    <row r="2592" customFormat="false" ht="41.75" hidden="false" customHeight="false" outlineLevel="0" collapsed="false">
      <c r="B2592" s="19" t="s">
        <v>16566</v>
      </c>
      <c r="C2592" s="20" t="n">
        <f aca="false">ROUND(9.75/FX,2)</f>
        <v>1.35</v>
      </c>
      <c r="D2592" s="21" t="s">
        <v>6549</v>
      </c>
      <c r="E2592" s="21" t="s">
        <v>16567</v>
      </c>
    </row>
    <row r="2593" customFormat="false" ht="41.75" hidden="false" customHeight="false" outlineLevel="0" collapsed="false">
      <c r="B2593" s="19" t="s">
        <v>16568</v>
      </c>
      <c r="C2593" s="20" t="n">
        <f aca="false">ROUND(13/FX,2)</f>
        <v>1.81</v>
      </c>
      <c r="D2593" s="21" t="s">
        <v>6549</v>
      </c>
      <c r="E2593" s="21" t="s">
        <v>16569</v>
      </c>
    </row>
    <row r="2594" customFormat="false" ht="41.75" hidden="false" customHeight="false" outlineLevel="0" collapsed="false">
      <c r="B2594" s="19" t="s">
        <v>16570</v>
      </c>
      <c r="C2594" s="20" t="n">
        <f aca="false">ROUND(22.1/FX,2)</f>
        <v>3.07</v>
      </c>
      <c r="D2594" s="21" t="s">
        <v>6549</v>
      </c>
      <c r="E2594" s="21" t="s">
        <v>16571</v>
      </c>
    </row>
    <row r="2595" customFormat="false" ht="41.75" hidden="false" customHeight="false" outlineLevel="0" collapsed="false">
      <c r="B2595" s="19" t="s">
        <v>16572</v>
      </c>
      <c r="C2595" s="20" t="n">
        <f aca="false">ROUND(29.9/FX,2)</f>
        <v>4.15</v>
      </c>
      <c r="D2595" s="21" t="s">
        <v>6549</v>
      </c>
      <c r="E2595" s="21" t="s">
        <v>16573</v>
      </c>
    </row>
    <row r="2596" customFormat="false" ht="41.75" hidden="false" customHeight="false" outlineLevel="0" collapsed="false">
      <c r="B2596" s="19" t="s">
        <v>16574</v>
      </c>
      <c r="C2596" s="20" t="n">
        <f aca="false">ROUND(46.8/FX,2)</f>
        <v>6.5</v>
      </c>
      <c r="D2596" s="21" t="s">
        <v>6549</v>
      </c>
      <c r="E2596" s="21" t="s">
        <v>16575</v>
      </c>
    </row>
    <row r="2597" customFormat="false" ht="41.75" hidden="false" customHeight="false" outlineLevel="0" collapsed="false">
      <c r="B2597" s="19" t="s">
        <v>16576</v>
      </c>
      <c r="C2597" s="20" t="n">
        <f aca="false">ROUND(3.9/FX,2)</f>
        <v>0.54</v>
      </c>
      <c r="D2597" s="21" t="s">
        <v>6549</v>
      </c>
      <c r="E2597" s="21" t="s">
        <v>16577</v>
      </c>
    </row>
    <row r="2598" customFormat="false" ht="41.75" hidden="false" customHeight="false" outlineLevel="0" collapsed="false">
      <c r="B2598" s="19" t="s">
        <v>16578</v>
      </c>
      <c r="C2598" s="20" t="n">
        <f aca="false">ROUND(3.9/FX,2)</f>
        <v>0.54</v>
      </c>
      <c r="D2598" s="21" t="s">
        <v>6549</v>
      </c>
      <c r="E2598" s="21" t="s">
        <v>16579</v>
      </c>
    </row>
    <row r="2599" customFormat="false" ht="28.35" hidden="false" customHeight="false" outlineLevel="0" collapsed="false">
      <c r="B2599" s="19" t="s">
        <v>16580</v>
      </c>
      <c r="C2599" s="20" t="n">
        <f aca="false">ROUND(3.9/FX,2)</f>
        <v>0.54</v>
      </c>
      <c r="D2599" s="21" t="s">
        <v>6549</v>
      </c>
      <c r="E2599" s="21" t="s">
        <v>16581</v>
      </c>
    </row>
    <row r="2600" customFormat="false" ht="28.35" hidden="false" customHeight="false" outlineLevel="0" collapsed="false">
      <c r="B2600" s="19" t="s">
        <v>16582</v>
      </c>
      <c r="C2600" s="20" t="n">
        <f aca="false">ROUND(4.16/FX,2)</f>
        <v>0.58</v>
      </c>
      <c r="D2600" s="21" t="s">
        <v>6549</v>
      </c>
      <c r="E2600" s="21" t="s">
        <v>16583</v>
      </c>
    </row>
    <row r="2601" customFormat="false" ht="28.35" hidden="false" customHeight="false" outlineLevel="0" collapsed="false">
      <c r="B2601" s="19" t="s">
        <v>16584</v>
      </c>
      <c r="C2601" s="20" t="n">
        <f aca="false">ROUND(6.5/FX,2)</f>
        <v>0.9</v>
      </c>
      <c r="D2601" s="21" t="s">
        <v>6549</v>
      </c>
      <c r="E2601" s="21" t="s">
        <v>16585</v>
      </c>
    </row>
    <row r="2602" customFormat="false" ht="28.35" hidden="false" customHeight="false" outlineLevel="0" collapsed="false">
      <c r="B2602" s="19" t="s">
        <v>16586</v>
      </c>
      <c r="C2602" s="20" t="n">
        <f aca="false">ROUND(7.15/FX,2)</f>
        <v>0.99</v>
      </c>
      <c r="D2602" s="21" t="s">
        <v>6549</v>
      </c>
      <c r="E2602" s="21" t="s">
        <v>16587</v>
      </c>
    </row>
    <row r="2603" customFormat="false" ht="28.35" hidden="false" customHeight="false" outlineLevel="0" collapsed="false">
      <c r="B2603" s="19" t="s">
        <v>16588</v>
      </c>
      <c r="C2603" s="20" t="n">
        <f aca="false">ROUND(10.4/FX,2)</f>
        <v>1.44</v>
      </c>
      <c r="D2603" s="21" t="s">
        <v>6549</v>
      </c>
      <c r="E2603" s="21" t="s">
        <v>16589</v>
      </c>
    </row>
    <row r="2604" customFormat="false" ht="28.35" hidden="false" customHeight="false" outlineLevel="0" collapsed="false">
      <c r="B2604" s="19" t="s">
        <v>16590</v>
      </c>
      <c r="C2604" s="20" t="n">
        <f aca="false">ROUND(13.65/FX,2)</f>
        <v>1.9</v>
      </c>
      <c r="D2604" s="21" t="s">
        <v>6549</v>
      </c>
      <c r="E2604" s="21" t="s">
        <v>16591</v>
      </c>
    </row>
    <row r="2605" customFormat="false" ht="28.35" hidden="false" customHeight="false" outlineLevel="0" collapsed="false">
      <c r="B2605" s="19" t="s">
        <v>16592</v>
      </c>
      <c r="C2605" s="20" t="n">
        <f aca="false">ROUND(19.5/FX,2)</f>
        <v>2.71</v>
      </c>
      <c r="D2605" s="21" t="s">
        <v>6549</v>
      </c>
      <c r="E2605" s="21" t="s">
        <v>16593</v>
      </c>
    </row>
    <row r="2606" customFormat="false" ht="28.35" hidden="false" customHeight="false" outlineLevel="0" collapsed="false">
      <c r="B2606" s="19" t="s">
        <v>16594</v>
      </c>
      <c r="C2606" s="20" t="n">
        <f aca="false">ROUND(28.6/FX,2)</f>
        <v>3.97</v>
      </c>
      <c r="D2606" s="21" t="s">
        <v>6549</v>
      </c>
      <c r="E2606" s="21" t="s">
        <v>16595</v>
      </c>
    </row>
    <row r="2607" customFormat="false" ht="28.35" hidden="false" customHeight="false" outlineLevel="0" collapsed="false">
      <c r="B2607" s="19" t="s">
        <v>16596</v>
      </c>
      <c r="C2607" s="20" t="n">
        <f aca="false">ROUND(45.5/FX,2)</f>
        <v>6.32</v>
      </c>
      <c r="D2607" s="21" t="s">
        <v>6549</v>
      </c>
      <c r="E2607" s="21" t="s">
        <v>16597</v>
      </c>
    </row>
    <row r="2608" customFormat="false" ht="28.35" hidden="false" customHeight="false" outlineLevel="0" collapsed="false">
      <c r="B2608" s="19" t="s">
        <v>16598</v>
      </c>
      <c r="C2608" s="20" t="n">
        <f aca="false">ROUND(2.47/FX,2)</f>
        <v>0.34</v>
      </c>
      <c r="D2608" s="21" t="s">
        <v>6549</v>
      </c>
      <c r="E2608" s="21" t="s">
        <v>16599</v>
      </c>
    </row>
    <row r="2609" customFormat="false" ht="28.35" hidden="false" customHeight="false" outlineLevel="0" collapsed="false">
      <c r="B2609" s="19" t="s">
        <v>16600</v>
      </c>
      <c r="C2609" s="20" t="n">
        <f aca="false">ROUND(101.4/FX,2)</f>
        <v>14.08</v>
      </c>
      <c r="D2609" s="21" t="s">
        <v>6549</v>
      </c>
      <c r="E2609" s="21" t="s">
        <v>16601</v>
      </c>
    </row>
    <row r="2610" customFormat="false" ht="28.35" hidden="false" customHeight="false" outlineLevel="0" collapsed="false">
      <c r="B2610" s="19" t="s">
        <v>16602</v>
      </c>
      <c r="C2610" s="20" t="n">
        <f aca="false">ROUND(3.9/FX,2)</f>
        <v>0.54</v>
      </c>
      <c r="D2610" s="21" t="s">
        <v>6549</v>
      </c>
      <c r="E2610" s="21" t="s">
        <v>16603</v>
      </c>
    </row>
    <row r="2611" customFormat="false" ht="28.35" hidden="false" customHeight="false" outlineLevel="0" collapsed="false">
      <c r="B2611" s="19" t="s">
        <v>16604</v>
      </c>
      <c r="C2611" s="20" t="n">
        <f aca="false">ROUND(2.86/FX,2)</f>
        <v>0.4</v>
      </c>
      <c r="D2611" s="21" t="s">
        <v>6549</v>
      </c>
      <c r="E2611" s="21" t="s">
        <v>16605</v>
      </c>
    </row>
    <row r="2612" customFormat="false" ht="28.35" hidden="false" customHeight="false" outlineLevel="0" collapsed="false">
      <c r="B2612" s="19" t="s">
        <v>16606</v>
      </c>
      <c r="C2612" s="20" t="n">
        <f aca="false">ROUND(2.38/FX,2)</f>
        <v>0.33</v>
      </c>
      <c r="D2612" s="21" t="s">
        <v>6549</v>
      </c>
      <c r="E2612" s="21" t="s">
        <v>16607</v>
      </c>
    </row>
    <row r="2613" customFormat="false" ht="28.35" hidden="false" customHeight="false" outlineLevel="0" collapsed="false">
      <c r="B2613" s="19" t="s">
        <v>16608</v>
      </c>
      <c r="C2613" s="20" t="n">
        <f aca="false">ROUND(5.2/FX,2)</f>
        <v>0.72</v>
      </c>
      <c r="D2613" s="21" t="s">
        <v>6549</v>
      </c>
      <c r="E2613" s="21" t="s">
        <v>16609</v>
      </c>
    </row>
    <row r="2614" customFormat="false" ht="28.35" hidden="false" customHeight="false" outlineLevel="0" collapsed="false">
      <c r="B2614" s="19" t="s">
        <v>16610</v>
      </c>
      <c r="C2614" s="20" t="n">
        <f aca="false">ROUND(2.47/FX,2)</f>
        <v>0.34</v>
      </c>
      <c r="D2614" s="21" t="s">
        <v>6549</v>
      </c>
      <c r="E2614" s="21" t="s">
        <v>16540</v>
      </c>
    </row>
    <row r="2615" customFormat="false" ht="28.35" hidden="false" customHeight="false" outlineLevel="0" collapsed="false">
      <c r="B2615" s="19" t="s">
        <v>16611</v>
      </c>
      <c r="C2615" s="20" t="n">
        <f aca="false">ROUND(4.94/FX,2)</f>
        <v>0.69</v>
      </c>
      <c r="D2615" s="21" t="s">
        <v>6549</v>
      </c>
      <c r="E2615" s="21" t="s">
        <v>16612</v>
      </c>
    </row>
    <row r="2616" customFormat="false" ht="28.35" hidden="false" customHeight="false" outlineLevel="0" collapsed="false">
      <c r="B2616" s="19" t="s">
        <v>16613</v>
      </c>
      <c r="C2616" s="20" t="n">
        <f aca="false">ROUND(5.72/FX,2)</f>
        <v>0.79</v>
      </c>
      <c r="D2616" s="21" t="s">
        <v>6549</v>
      </c>
      <c r="E2616" s="21" t="s">
        <v>16614</v>
      </c>
    </row>
    <row r="2617" customFormat="false" ht="28.35" hidden="false" customHeight="false" outlineLevel="0" collapsed="false">
      <c r="B2617" s="19" t="s">
        <v>16615</v>
      </c>
      <c r="C2617" s="20" t="n">
        <f aca="false">ROUND(7.67/FX,2)</f>
        <v>1.07</v>
      </c>
      <c r="D2617" s="21" t="s">
        <v>6549</v>
      </c>
      <c r="E2617" s="21" t="s">
        <v>16616</v>
      </c>
    </row>
    <row r="2618" customFormat="false" ht="28.35" hidden="false" customHeight="false" outlineLevel="0" collapsed="false">
      <c r="B2618" s="19" t="s">
        <v>16617</v>
      </c>
      <c r="C2618" s="20" t="n">
        <f aca="false">ROUND(15/FX,2)</f>
        <v>2.08</v>
      </c>
      <c r="D2618" s="21" t="s">
        <v>6549</v>
      </c>
      <c r="E2618" s="21" t="s">
        <v>16618</v>
      </c>
    </row>
    <row r="2619" customFormat="false" ht="28.35" hidden="false" customHeight="false" outlineLevel="0" collapsed="false">
      <c r="B2619" s="19" t="s">
        <v>16619</v>
      </c>
      <c r="C2619" s="20" t="n">
        <f aca="false">ROUND(20.8/FX,2)</f>
        <v>2.89</v>
      </c>
      <c r="D2619" s="21" t="s">
        <v>6549</v>
      </c>
      <c r="E2619" s="21" t="s">
        <v>16620</v>
      </c>
    </row>
    <row r="2620" customFormat="false" ht="28.35" hidden="false" customHeight="false" outlineLevel="0" collapsed="false">
      <c r="B2620" s="19" t="s">
        <v>16621</v>
      </c>
      <c r="C2620" s="20" t="n">
        <f aca="false">ROUND(39/FX,2)</f>
        <v>5.42</v>
      </c>
      <c r="D2620" s="21" t="s">
        <v>6549</v>
      </c>
      <c r="E2620" s="21" t="s">
        <v>16622</v>
      </c>
    </row>
    <row r="2621" customFormat="false" ht="28.35" hidden="false" customHeight="false" outlineLevel="0" collapsed="false">
      <c r="B2621" s="19" t="s">
        <v>16623</v>
      </c>
      <c r="C2621" s="20" t="n">
        <f aca="false">ROUND(3.38/FX,2)</f>
        <v>0.47</v>
      </c>
      <c r="D2621" s="21" t="s">
        <v>6549</v>
      </c>
      <c r="E2621" s="21" t="s">
        <v>16624</v>
      </c>
    </row>
    <row r="2622" customFormat="false" ht="28.35" hidden="false" customHeight="false" outlineLevel="0" collapsed="false">
      <c r="B2622" s="19" t="s">
        <v>16625</v>
      </c>
      <c r="C2622" s="20" t="n">
        <f aca="false">ROUND(65/FX,2)</f>
        <v>9.03</v>
      </c>
      <c r="D2622" s="21" t="s">
        <v>6549</v>
      </c>
      <c r="E2622" s="21" t="s">
        <v>16626</v>
      </c>
    </row>
    <row r="2623" customFormat="false" ht="28.35" hidden="false" customHeight="false" outlineLevel="0" collapsed="false">
      <c r="B2623" s="19" t="s">
        <v>16627</v>
      </c>
      <c r="C2623" s="20" t="n">
        <f aca="false">ROUND(1.95/FX,2)</f>
        <v>0.27</v>
      </c>
      <c r="D2623" s="21" t="s">
        <v>6549</v>
      </c>
      <c r="E2623" s="21" t="s">
        <v>16628</v>
      </c>
    </row>
    <row r="2624" customFormat="false" ht="28.35" hidden="false" customHeight="false" outlineLevel="0" collapsed="false">
      <c r="B2624" s="19" t="s">
        <v>16629</v>
      </c>
      <c r="C2624" s="20" t="n">
        <f aca="false">ROUND(1.69/FX,2)</f>
        <v>0.23</v>
      </c>
      <c r="D2624" s="21" t="s">
        <v>6549</v>
      </c>
      <c r="E2624" s="21" t="s">
        <v>16630</v>
      </c>
    </row>
    <row r="2625" customFormat="false" ht="15" hidden="false" customHeight="false" outlineLevel="0" collapsed="false">
      <c r="B2625" s="19" t="s">
        <v>16631</v>
      </c>
      <c r="C2625" s="20" t="n">
        <f aca="false">ROUND(2.73/FX,2)</f>
        <v>0.38</v>
      </c>
      <c r="D2625" s="21" t="s">
        <v>6549</v>
      </c>
      <c r="E2625" s="21" t="s">
        <v>16632</v>
      </c>
    </row>
    <row r="2626" customFormat="false" ht="15" hidden="false" customHeight="false" outlineLevel="0" collapsed="false">
      <c r="B2626" s="19" t="s">
        <v>16633</v>
      </c>
      <c r="C2626" s="20" t="n">
        <f aca="false">ROUND(1.69/FX,2)</f>
        <v>0.23</v>
      </c>
      <c r="D2626" s="21" t="s">
        <v>6549</v>
      </c>
      <c r="E2626" s="21" t="s">
        <v>16634</v>
      </c>
    </row>
    <row r="2627" customFormat="false" ht="15" hidden="false" customHeight="false" outlineLevel="0" collapsed="false">
      <c r="B2627" s="19" t="s">
        <v>16635</v>
      </c>
      <c r="C2627" s="20" t="n">
        <f aca="false">ROUND(3.1/FX,2)</f>
        <v>0.43</v>
      </c>
      <c r="D2627" s="21" t="s">
        <v>6549</v>
      </c>
      <c r="E2627" s="21" t="s">
        <v>16636</v>
      </c>
    </row>
    <row r="2628" customFormat="false" ht="15" hidden="false" customHeight="false" outlineLevel="0" collapsed="false">
      <c r="B2628" s="19" t="s">
        <v>16637</v>
      </c>
      <c r="C2628" s="20" t="n">
        <f aca="false">ROUND(5.85/FX,2)</f>
        <v>0.81</v>
      </c>
      <c r="D2628" s="21" t="s">
        <v>6549</v>
      </c>
      <c r="E2628" s="21" t="s">
        <v>16638</v>
      </c>
    </row>
    <row r="2629" customFormat="false" ht="15" hidden="false" customHeight="false" outlineLevel="0" collapsed="false">
      <c r="B2629" s="19" t="s">
        <v>16639</v>
      </c>
      <c r="C2629" s="20" t="n">
        <f aca="false">ROUND(2.28/FX,2)</f>
        <v>0.32</v>
      </c>
      <c r="D2629" s="21" t="s">
        <v>6549</v>
      </c>
      <c r="E2629" s="21" t="s">
        <v>16543</v>
      </c>
    </row>
    <row r="2630" customFormat="false" ht="15" hidden="false" customHeight="false" outlineLevel="0" collapsed="false">
      <c r="B2630" s="19" t="s">
        <v>16640</v>
      </c>
      <c r="C2630" s="20" t="n">
        <f aca="false">ROUND(11.12/FX,2)</f>
        <v>1.54</v>
      </c>
      <c r="D2630" s="21" t="s">
        <v>6549</v>
      </c>
      <c r="E2630" s="21" t="s">
        <v>16641</v>
      </c>
    </row>
    <row r="2631" customFormat="false" ht="15" hidden="false" customHeight="false" outlineLevel="0" collapsed="false">
      <c r="B2631" s="19" t="s">
        <v>16642</v>
      </c>
      <c r="C2631" s="20" t="n">
        <f aca="false">ROUND(11.12/FX,2)</f>
        <v>1.54</v>
      </c>
      <c r="D2631" s="21" t="s">
        <v>6549</v>
      </c>
      <c r="E2631" s="21" t="s">
        <v>16643</v>
      </c>
    </row>
    <row r="2632" customFormat="false" ht="15" hidden="false" customHeight="false" outlineLevel="0" collapsed="false">
      <c r="B2632" s="19" t="s">
        <v>16644</v>
      </c>
      <c r="C2632" s="20" t="n">
        <f aca="false">ROUND(4.16/FX,2)</f>
        <v>0.58</v>
      </c>
      <c r="D2632" s="21" t="s">
        <v>6549</v>
      </c>
      <c r="E2632" s="21" t="s">
        <v>16645</v>
      </c>
    </row>
    <row r="2633" customFormat="false" ht="15" hidden="false" customHeight="false" outlineLevel="0" collapsed="false">
      <c r="B2633" s="19" t="s">
        <v>16646</v>
      </c>
      <c r="C2633" s="20" t="n">
        <f aca="false">ROUND(14.63/FX,2)</f>
        <v>2.03</v>
      </c>
      <c r="D2633" s="21" t="s">
        <v>6549</v>
      </c>
      <c r="E2633" s="21" t="s">
        <v>16647</v>
      </c>
    </row>
    <row r="2634" customFormat="false" ht="15" hidden="false" customHeight="false" outlineLevel="0" collapsed="false">
      <c r="B2634" s="19" t="s">
        <v>16648</v>
      </c>
      <c r="C2634" s="20" t="n">
        <f aca="false">ROUND(5.46/FX,2)</f>
        <v>0.76</v>
      </c>
      <c r="D2634" s="21" t="s">
        <v>6549</v>
      </c>
      <c r="E2634" s="21" t="s">
        <v>16649</v>
      </c>
    </row>
    <row r="2635" customFormat="false" ht="15" hidden="false" customHeight="false" outlineLevel="0" collapsed="false">
      <c r="B2635" s="19" t="s">
        <v>16650</v>
      </c>
      <c r="C2635" s="20" t="n">
        <f aca="false">ROUND(21.06/FX,2)</f>
        <v>2.93</v>
      </c>
      <c r="D2635" s="21" t="s">
        <v>6549</v>
      </c>
      <c r="E2635" s="21" t="s">
        <v>16651</v>
      </c>
    </row>
    <row r="2636" customFormat="false" ht="15" hidden="false" customHeight="false" outlineLevel="0" collapsed="false">
      <c r="B2636" s="19" t="s">
        <v>16652</v>
      </c>
      <c r="C2636" s="20" t="n">
        <f aca="false">ROUND(8.45/FX,2)</f>
        <v>1.17</v>
      </c>
      <c r="D2636" s="21" t="s">
        <v>6549</v>
      </c>
      <c r="E2636" s="21" t="s">
        <v>16653</v>
      </c>
    </row>
    <row r="2637" customFormat="false" ht="15" hidden="false" customHeight="false" outlineLevel="0" collapsed="false">
      <c r="B2637" s="19" t="s">
        <v>16654</v>
      </c>
      <c r="C2637" s="20" t="n">
        <f aca="false">ROUND(24.57/FX,2)</f>
        <v>3.41</v>
      </c>
      <c r="D2637" s="21" t="s">
        <v>6549</v>
      </c>
      <c r="E2637" s="21" t="s">
        <v>16655</v>
      </c>
    </row>
    <row r="2638" customFormat="false" ht="15" hidden="false" customHeight="false" outlineLevel="0" collapsed="false">
      <c r="B2638" s="19" t="s">
        <v>16656</v>
      </c>
      <c r="C2638" s="20" t="n">
        <f aca="false">ROUND(13.65/FX,2)</f>
        <v>1.9</v>
      </c>
      <c r="D2638" s="21" t="s">
        <v>6549</v>
      </c>
      <c r="E2638" s="21" t="s">
        <v>16657</v>
      </c>
    </row>
    <row r="2639" customFormat="false" ht="15" hidden="false" customHeight="false" outlineLevel="0" collapsed="false">
      <c r="B2639" s="19" t="s">
        <v>16658</v>
      </c>
      <c r="C2639" s="20" t="n">
        <f aca="false">ROUND(38.61/FX,2)</f>
        <v>5.36</v>
      </c>
      <c r="D2639" s="21" t="s">
        <v>6549</v>
      </c>
      <c r="E2639" s="21" t="s">
        <v>16659</v>
      </c>
    </row>
    <row r="2640" customFormat="false" ht="15" hidden="false" customHeight="false" outlineLevel="0" collapsed="false">
      <c r="B2640" s="19" t="s">
        <v>16660</v>
      </c>
      <c r="C2640" s="20" t="n">
        <f aca="false">ROUND(18.85/FX,2)</f>
        <v>2.62</v>
      </c>
      <c r="D2640" s="21" t="s">
        <v>6549</v>
      </c>
      <c r="E2640" s="21" t="s">
        <v>16661</v>
      </c>
    </row>
    <row r="2641" customFormat="false" ht="15" hidden="false" customHeight="false" outlineLevel="0" collapsed="false">
      <c r="B2641" s="19" t="s">
        <v>16662</v>
      </c>
      <c r="C2641" s="20" t="n">
        <f aca="false">ROUND(52.65/FX,2)</f>
        <v>7.31</v>
      </c>
      <c r="D2641" s="21" t="s">
        <v>6549</v>
      </c>
      <c r="E2641" s="21" t="s">
        <v>16663</v>
      </c>
    </row>
    <row r="2642" customFormat="false" ht="15" hidden="false" customHeight="false" outlineLevel="0" collapsed="false">
      <c r="B2642" s="19" t="s">
        <v>16664</v>
      </c>
      <c r="C2642" s="20" t="n">
        <f aca="false">ROUND(32.5/FX,2)</f>
        <v>4.51</v>
      </c>
      <c r="D2642" s="21" t="s">
        <v>6549</v>
      </c>
      <c r="E2642" s="21" t="s">
        <v>16665</v>
      </c>
    </row>
    <row r="2643" customFormat="false" ht="15" hidden="false" customHeight="false" outlineLevel="0" collapsed="false">
      <c r="B2643" s="19" t="s">
        <v>16666</v>
      </c>
      <c r="C2643" s="20" t="n">
        <f aca="false">ROUND(2.47/FX,2)</f>
        <v>0.34</v>
      </c>
      <c r="D2643" s="21" t="s">
        <v>6549</v>
      </c>
      <c r="E2643" s="21" t="s">
        <v>16667</v>
      </c>
    </row>
    <row r="2644" customFormat="false" ht="15" hidden="false" customHeight="false" outlineLevel="0" collapsed="false">
      <c r="B2644" s="19" t="s">
        <v>16668</v>
      </c>
      <c r="C2644" s="20" t="n">
        <f aca="false">ROUND(65/FX,2)</f>
        <v>9.03</v>
      </c>
      <c r="D2644" s="21" t="s">
        <v>6549</v>
      </c>
      <c r="E2644" s="21" t="s">
        <v>16669</v>
      </c>
    </row>
    <row r="2645" customFormat="false" ht="15" hidden="false" customHeight="false" outlineLevel="0" collapsed="false">
      <c r="B2645" s="19" t="s">
        <v>16670</v>
      </c>
      <c r="C2645" s="20" t="n">
        <f aca="false">ROUND(1.56/FX,2)</f>
        <v>0.22</v>
      </c>
      <c r="D2645" s="21" t="s">
        <v>6549</v>
      </c>
      <c r="E2645" s="21" t="s">
        <v>16671</v>
      </c>
    </row>
    <row r="2646" customFormat="false" ht="41.75" hidden="false" customHeight="false" outlineLevel="0" collapsed="false">
      <c r="B2646" s="19" t="s">
        <v>16672</v>
      </c>
      <c r="C2646" s="20" t="n">
        <f aca="false">ROUND(3.9/FX,2)</f>
        <v>0.54</v>
      </c>
      <c r="D2646" s="21" t="s">
        <v>6549</v>
      </c>
      <c r="E2646" s="21" t="s">
        <v>16673</v>
      </c>
    </row>
    <row r="2647" customFormat="false" ht="41.75" hidden="false" customHeight="false" outlineLevel="0" collapsed="false">
      <c r="B2647" s="19" t="s">
        <v>16674</v>
      </c>
      <c r="C2647" s="20" t="n">
        <f aca="false">ROUND(5.2/FX,2)</f>
        <v>0.72</v>
      </c>
      <c r="D2647" s="21" t="s">
        <v>6549</v>
      </c>
      <c r="E2647" s="21" t="s">
        <v>16675</v>
      </c>
    </row>
    <row r="2648" customFormat="false" ht="41.75" hidden="false" customHeight="false" outlineLevel="0" collapsed="false">
      <c r="B2648" s="19" t="s">
        <v>16676</v>
      </c>
      <c r="C2648" s="20" t="n">
        <f aca="false">ROUND(6.44/FX,2)</f>
        <v>0.89</v>
      </c>
      <c r="D2648" s="21" t="s">
        <v>6549</v>
      </c>
      <c r="E2648" s="21" t="s">
        <v>16677</v>
      </c>
    </row>
    <row r="2649" customFormat="false" ht="41.75" hidden="false" customHeight="false" outlineLevel="0" collapsed="false">
      <c r="B2649" s="19" t="s">
        <v>16678</v>
      </c>
      <c r="C2649" s="20" t="n">
        <f aca="false">ROUND(7.15/FX,2)</f>
        <v>0.99</v>
      </c>
      <c r="D2649" s="21" t="s">
        <v>6549</v>
      </c>
      <c r="E2649" s="21" t="s">
        <v>16679</v>
      </c>
    </row>
    <row r="2650" customFormat="false" ht="41.75" hidden="false" customHeight="false" outlineLevel="0" collapsed="false">
      <c r="B2650" s="19" t="s">
        <v>16680</v>
      </c>
      <c r="C2650" s="20" t="n">
        <f aca="false">ROUND(9.75/FX,2)</f>
        <v>1.35</v>
      </c>
      <c r="D2650" s="21" t="s">
        <v>6549</v>
      </c>
      <c r="E2650" s="21" t="s">
        <v>16681</v>
      </c>
    </row>
    <row r="2651" customFormat="false" ht="41.75" hidden="false" customHeight="false" outlineLevel="0" collapsed="false">
      <c r="B2651" s="19" t="s">
        <v>16682</v>
      </c>
      <c r="C2651" s="20" t="n">
        <f aca="false">ROUND(13/FX,2)</f>
        <v>1.81</v>
      </c>
      <c r="D2651" s="21" t="s">
        <v>6549</v>
      </c>
      <c r="E2651" s="21" t="s">
        <v>16683</v>
      </c>
    </row>
    <row r="2652" customFormat="false" ht="41.75" hidden="false" customHeight="false" outlineLevel="0" collapsed="false">
      <c r="B2652" s="19" t="s">
        <v>16684</v>
      </c>
      <c r="C2652" s="20" t="n">
        <f aca="false">ROUND(22.1/FX,2)</f>
        <v>3.07</v>
      </c>
      <c r="D2652" s="21" t="s">
        <v>6549</v>
      </c>
      <c r="E2652" s="21" t="s">
        <v>16685</v>
      </c>
    </row>
    <row r="2653" customFormat="false" ht="41.75" hidden="false" customHeight="false" outlineLevel="0" collapsed="false">
      <c r="B2653" s="19" t="s">
        <v>16686</v>
      </c>
      <c r="C2653" s="20" t="n">
        <f aca="false">ROUND(29.9/FX,2)</f>
        <v>4.15</v>
      </c>
      <c r="D2653" s="21" t="s">
        <v>6549</v>
      </c>
      <c r="E2653" s="21" t="s">
        <v>16687</v>
      </c>
    </row>
    <row r="2654" customFormat="false" ht="41.75" hidden="false" customHeight="false" outlineLevel="0" collapsed="false">
      <c r="B2654" s="19" t="s">
        <v>16688</v>
      </c>
      <c r="C2654" s="20" t="n">
        <f aca="false">ROUND(46.8/FX,2)</f>
        <v>6.5</v>
      </c>
      <c r="D2654" s="21" t="s">
        <v>6549</v>
      </c>
      <c r="E2654" s="21" t="s">
        <v>16689</v>
      </c>
    </row>
    <row r="2655" customFormat="false" ht="41.75" hidden="false" customHeight="false" outlineLevel="0" collapsed="false">
      <c r="B2655" s="19" t="s">
        <v>16690</v>
      </c>
      <c r="C2655" s="20" t="n">
        <f aca="false">ROUND(3.38/FX,2)</f>
        <v>0.47</v>
      </c>
      <c r="D2655" s="21" t="s">
        <v>6549</v>
      </c>
      <c r="E2655" s="21" t="s">
        <v>16691</v>
      </c>
    </row>
    <row r="2656" customFormat="false" ht="41.75" hidden="false" customHeight="false" outlineLevel="0" collapsed="false">
      <c r="B2656" s="19" t="s">
        <v>16692</v>
      </c>
      <c r="C2656" s="20" t="n">
        <f aca="false">ROUND(3.9/FX,2)</f>
        <v>0.54</v>
      </c>
      <c r="D2656" s="21" t="s">
        <v>6549</v>
      </c>
      <c r="E2656" s="21" t="s">
        <v>16693</v>
      </c>
    </row>
    <row r="2657" customFormat="false" ht="41.75" hidden="false" customHeight="false" outlineLevel="0" collapsed="false">
      <c r="B2657" s="19" t="s">
        <v>16694</v>
      </c>
      <c r="C2657" s="20" t="n">
        <f aca="false">ROUND(3.9/FX,2)</f>
        <v>0.54</v>
      </c>
      <c r="D2657" s="21" t="s">
        <v>6549</v>
      </c>
      <c r="E2657" s="21" t="s">
        <v>16695</v>
      </c>
    </row>
    <row r="2658" customFormat="false" ht="28.35" hidden="false" customHeight="false" outlineLevel="0" collapsed="false">
      <c r="B2658" s="19" t="s">
        <v>16696</v>
      </c>
      <c r="C2658" s="20" t="n">
        <f aca="false">ROUND(3.9/FX,2)</f>
        <v>0.54</v>
      </c>
      <c r="D2658" s="21" t="s">
        <v>6549</v>
      </c>
      <c r="E2658" s="21" t="s">
        <v>16697</v>
      </c>
    </row>
    <row r="2659" customFormat="false" ht="28.35" hidden="false" customHeight="false" outlineLevel="0" collapsed="false">
      <c r="B2659" s="19" t="s">
        <v>16698</v>
      </c>
      <c r="C2659" s="20" t="n">
        <f aca="false">ROUND(4.16/FX,2)</f>
        <v>0.58</v>
      </c>
      <c r="D2659" s="21" t="s">
        <v>6549</v>
      </c>
      <c r="E2659" s="21" t="s">
        <v>16699</v>
      </c>
    </row>
    <row r="2660" customFormat="false" ht="28.35" hidden="false" customHeight="false" outlineLevel="0" collapsed="false">
      <c r="B2660" s="19" t="s">
        <v>16700</v>
      </c>
      <c r="C2660" s="20" t="n">
        <f aca="false">ROUND(6.5/FX,2)</f>
        <v>0.9</v>
      </c>
      <c r="D2660" s="21" t="s">
        <v>6549</v>
      </c>
      <c r="E2660" s="21" t="s">
        <v>16701</v>
      </c>
    </row>
    <row r="2661" customFormat="false" ht="28.35" hidden="false" customHeight="false" outlineLevel="0" collapsed="false">
      <c r="B2661" s="19" t="s">
        <v>16702</v>
      </c>
      <c r="C2661" s="20" t="n">
        <f aca="false">ROUND(7.15/FX,2)</f>
        <v>0.99</v>
      </c>
      <c r="D2661" s="21" t="s">
        <v>6549</v>
      </c>
      <c r="E2661" s="21" t="s">
        <v>16703</v>
      </c>
    </row>
    <row r="2662" customFormat="false" ht="28.35" hidden="false" customHeight="false" outlineLevel="0" collapsed="false">
      <c r="B2662" s="19" t="s">
        <v>16704</v>
      </c>
      <c r="C2662" s="20" t="n">
        <f aca="false">ROUND(10.4/FX,2)</f>
        <v>1.44</v>
      </c>
      <c r="D2662" s="21" t="s">
        <v>6549</v>
      </c>
      <c r="E2662" s="21" t="s">
        <v>16705</v>
      </c>
    </row>
    <row r="2663" customFormat="false" ht="28.35" hidden="false" customHeight="false" outlineLevel="0" collapsed="false">
      <c r="B2663" s="19" t="s">
        <v>16706</v>
      </c>
      <c r="C2663" s="20" t="n">
        <f aca="false">ROUND(13.65/FX,2)</f>
        <v>1.9</v>
      </c>
      <c r="D2663" s="21" t="s">
        <v>6549</v>
      </c>
      <c r="E2663" s="21" t="s">
        <v>16707</v>
      </c>
    </row>
    <row r="2664" customFormat="false" ht="28.35" hidden="false" customHeight="false" outlineLevel="0" collapsed="false">
      <c r="B2664" s="19" t="s">
        <v>16708</v>
      </c>
      <c r="C2664" s="20" t="n">
        <f aca="false">ROUND(19.5/FX,2)</f>
        <v>2.71</v>
      </c>
      <c r="D2664" s="21" t="s">
        <v>6549</v>
      </c>
      <c r="E2664" s="21" t="s">
        <v>16709</v>
      </c>
    </row>
    <row r="2665" customFormat="false" ht="28.35" hidden="false" customHeight="false" outlineLevel="0" collapsed="false">
      <c r="B2665" s="19" t="s">
        <v>16710</v>
      </c>
      <c r="C2665" s="20" t="n">
        <f aca="false">ROUND(28.6/FX,2)</f>
        <v>3.97</v>
      </c>
      <c r="D2665" s="21" t="s">
        <v>6549</v>
      </c>
      <c r="E2665" s="21" t="s">
        <v>16711</v>
      </c>
    </row>
    <row r="2666" customFormat="false" ht="28.35" hidden="false" customHeight="false" outlineLevel="0" collapsed="false">
      <c r="B2666" s="19" t="s">
        <v>16712</v>
      </c>
      <c r="C2666" s="20" t="n">
        <f aca="false">ROUND(45.5/FX,2)</f>
        <v>6.32</v>
      </c>
      <c r="D2666" s="21" t="s">
        <v>6549</v>
      </c>
      <c r="E2666" s="21" t="s">
        <v>16713</v>
      </c>
    </row>
    <row r="2667" customFormat="false" ht="28.35" hidden="false" customHeight="false" outlineLevel="0" collapsed="false">
      <c r="B2667" s="19" t="s">
        <v>16714</v>
      </c>
      <c r="C2667" s="20" t="n">
        <f aca="false">ROUND(101.4/FX,2)</f>
        <v>14.08</v>
      </c>
      <c r="D2667" s="21" t="s">
        <v>6549</v>
      </c>
      <c r="E2667" s="21" t="s">
        <v>16715</v>
      </c>
    </row>
    <row r="2668" customFormat="false" ht="28.35" hidden="false" customHeight="false" outlineLevel="0" collapsed="false">
      <c r="B2668" s="19" t="s">
        <v>16716</v>
      </c>
      <c r="C2668" s="20" t="n">
        <f aca="false">ROUND(3.9/FX,2)</f>
        <v>0.54</v>
      </c>
      <c r="D2668" s="21" t="s">
        <v>6549</v>
      </c>
      <c r="E2668" s="21" t="s">
        <v>16717</v>
      </c>
    </row>
    <row r="2671" customFormat="false" ht="61.5" hidden="false" customHeight="true" outlineLevel="0" collapsed="false">
      <c r="A2671" s="9"/>
      <c r="B2671" s="10" t="s">
        <v>16718</v>
      </c>
      <c r="C2671" s="10"/>
      <c r="D2671" s="10"/>
    </row>
    <row r="2672" customFormat="false" ht="15" hidden="false" customHeight="false" outlineLevel="0" collapsed="false">
      <c r="A2672" s="12" t="s">
        <v>700</v>
      </c>
      <c r="B2672" s="13" t="s">
        <v>701</v>
      </c>
      <c r="C2672" s="13" t="s">
        <v>702</v>
      </c>
      <c r="D2672" s="13" t="s">
        <v>723</v>
      </c>
    </row>
    <row r="2673" customFormat="false" ht="30" hidden="false" customHeight="true" outlineLevel="0" collapsed="false">
      <c r="A2673" s="14" t="s">
        <v>706</v>
      </c>
      <c r="B2673" s="15" t="str">
        <f aca="false">IF(COUNTIFS($D$2676:$D$2765,IF(D2673="","*",D2673))=1,INDEX($B:$B,SUMPRODUCT(((D2673="")+($D$2676:$D$2765=D2673)&gt;0)*ROW($B$2676:$B$2765))),IF(COUNTIFS($D$2676:$D$2765,IF(D2673="","*",D2673))=0,"Not available",COUNTIFS($D$2676:$D$2765,IF(D2673="","*",D2673))&amp;" match, keep choosing"))</f>
        <v>RL-008-AF10</v>
      </c>
      <c r="C2673" s="16" t="n">
        <f aca="false">IF(COUNTIFS($D$2676:$D$2765,IF(D2673="","*",D2673))=1,INDEX($C:$C,SUMPRODUCT(((D2673="")+($D$2676:$D$2765=D2673)&gt;0)*ROW($B$2676:$B$2765))),"")</f>
        <v>1.63</v>
      </c>
      <c r="D2673" s="17" t="s">
        <v>16719</v>
      </c>
    </row>
    <row r="2675" customFormat="false" ht="15" hidden="false" customHeight="false" outlineLevel="0" collapsed="false">
      <c r="B2675" s="18" t="s">
        <v>701</v>
      </c>
      <c r="C2675" s="18" t="s">
        <v>702</v>
      </c>
      <c r="D2675" s="18" t="s">
        <v>723</v>
      </c>
    </row>
    <row r="2676" customFormat="false" ht="15" hidden="false" customHeight="false" outlineLevel="0" collapsed="false">
      <c r="B2676" s="19" t="s">
        <v>16720</v>
      </c>
      <c r="C2676" s="20" t="n">
        <f aca="false">ROUND(11.7/FX,2)</f>
        <v>1.63</v>
      </c>
      <c r="D2676" s="21" t="s">
        <v>16719</v>
      </c>
    </row>
    <row r="2677" customFormat="false" ht="15" hidden="false" customHeight="false" outlineLevel="0" collapsed="false">
      <c r="B2677" s="19" t="s">
        <v>16721</v>
      </c>
      <c r="C2677" s="20" t="n">
        <f aca="false">ROUND(11.7/FX,2)</f>
        <v>1.63</v>
      </c>
      <c r="D2677" s="21" t="s">
        <v>16722</v>
      </c>
    </row>
    <row r="2678" customFormat="false" ht="15" hidden="false" customHeight="false" outlineLevel="0" collapsed="false">
      <c r="B2678" s="19" t="s">
        <v>16723</v>
      </c>
      <c r="C2678" s="20" t="n">
        <f aca="false">ROUND(15.6/FX,2)</f>
        <v>2.17</v>
      </c>
      <c r="D2678" s="21" t="s">
        <v>16724</v>
      </c>
    </row>
    <row r="2679" customFormat="false" ht="15" hidden="false" customHeight="false" outlineLevel="0" collapsed="false">
      <c r="B2679" s="19" t="s">
        <v>16725</v>
      </c>
      <c r="C2679" s="20" t="n">
        <f aca="false">ROUND(28.6/FX,2)</f>
        <v>3.97</v>
      </c>
      <c r="D2679" s="21" t="s">
        <v>16726</v>
      </c>
    </row>
    <row r="2680" customFormat="false" ht="15" hidden="false" customHeight="false" outlineLevel="0" collapsed="false">
      <c r="B2680" s="19" t="s">
        <v>16727</v>
      </c>
      <c r="C2680" s="20" t="n">
        <f aca="false">ROUND(44.2/FX,2)</f>
        <v>6.14</v>
      </c>
      <c r="D2680" s="21" t="s">
        <v>16728</v>
      </c>
    </row>
    <row r="2681" customFormat="false" ht="15" hidden="false" customHeight="false" outlineLevel="0" collapsed="false">
      <c r="B2681" s="19" t="s">
        <v>16729</v>
      </c>
      <c r="C2681" s="20" t="n">
        <f aca="false">ROUND(24.7/FX,2)</f>
        <v>3.43</v>
      </c>
      <c r="D2681" s="21" t="s">
        <v>16730</v>
      </c>
    </row>
    <row r="2682" customFormat="false" ht="28.35" hidden="false" customHeight="false" outlineLevel="0" collapsed="false">
      <c r="B2682" s="19" t="s">
        <v>16731</v>
      </c>
      <c r="C2682" s="20" t="n">
        <f aca="false">ROUND(4.68/FX,2)</f>
        <v>0.65</v>
      </c>
      <c r="D2682" s="21" t="s">
        <v>16732</v>
      </c>
    </row>
    <row r="2683" customFormat="false" ht="15" hidden="false" customHeight="false" outlineLevel="0" collapsed="false">
      <c r="B2683" s="19" t="s">
        <v>16733</v>
      </c>
      <c r="C2683" s="20" t="n">
        <f aca="false">ROUND(24.7/FX,2)</f>
        <v>3.43</v>
      </c>
      <c r="D2683" s="21" t="s">
        <v>16734</v>
      </c>
    </row>
    <row r="2684" customFormat="false" ht="28.35" hidden="false" customHeight="false" outlineLevel="0" collapsed="false">
      <c r="B2684" s="19" t="s">
        <v>16735</v>
      </c>
      <c r="C2684" s="20" t="n">
        <f aca="false">ROUND(4.68/FX,2)</f>
        <v>0.65</v>
      </c>
      <c r="D2684" s="21" t="s">
        <v>16736</v>
      </c>
    </row>
    <row r="2685" customFormat="false" ht="15" hidden="false" customHeight="false" outlineLevel="0" collapsed="false">
      <c r="B2685" s="19" t="s">
        <v>16737</v>
      </c>
      <c r="C2685" s="20" t="n">
        <f aca="false">ROUND(29.9/FX,2)</f>
        <v>4.15</v>
      </c>
      <c r="D2685" s="21" t="s">
        <v>16738</v>
      </c>
    </row>
    <row r="2686" customFormat="false" ht="28.35" hidden="false" customHeight="false" outlineLevel="0" collapsed="false">
      <c r="B2686" s="19" t="s">
        <v>16739</v>
      </c>
      <c r="C2686" s="20" t="n">
        <f aca="false">ROUND(53.3/FX,2)</f>
        <v>7.4</v>
      </c>
      <c r="D2686" s="21" t="s">
        <v>16740</v>
      </c>
    </row>
    <row r="2687" customFormat="false" ht="15" hidden="false" customHeight="false" outlineLevel="0" collapsed="false">
      <c r="B2687" s="19" t="s">
        <v>16741</v>
      </c>
      <c r="C2687" s="20" t="n">
        <f aca="false">ROUND(54.6/FX,2)</f>
        <v>7.58</v>
      </c>
      <c r="D2687" s="21" t="s">
        <v>16742</v>
      </c>
    </row>
    <row r="2688" customFormat="false" ht="28.35" hidden="false" customHeight="false" outlineLevel="0" collapsed="false">
      <c r="B2688" s="19" t="s">
        <v>16743</v>
      </c>
      <c r="C2688" s="20" t="n">
        <f aca="false">ROUND(84.5/FX,2)</f>
        <v>11.74</v>
      </c>
      <c r="D2688" s="21" t="s">
        <v>16744</v>
      </c>
    </row>
    <row r="2689" customFormat="false" ht="15" hidden="false" customHeight="false" outlineLevel="0" collapsed="false">
      <c r="B2689" s="19" t="s">
        <v>16745</v>
      </c>
      <c r="C2689" s="20" t="n">
        <f aca="false">ROUND(84.9/FX,2)</f>
        <v>11.79</v>
      </c>
      <c r="D2689" s="21" t="s">
        <v>16746</v>
      </c>
    </row>
    <row r="2690" customFormat="false" ht="28.35" hidden="false" customHeight="false" outlineLevel="0" collapsed="false">
      <c r="B2690" s="19" t="s">
        <v>16747</v>
      </c>
      <c r="C2690" s="20" t="n">
        <f aca="false">ROUND(114.4/FX,2)</f>
        <v>15.89</v>
      </c>
      <c r="D2690" s="21" t="s">
        <v>16748</v>
      </c>
    </row>
    <row r="2691" customFormat="false" ht="15" hidden="false" customHeight="false" outlineLevel="0" collapsed="false">
      <c r="B2691" s="19" t="s">
        <v>16749</v>
      </c>
      <c r="C2691" s="20" t="n">
        <f aca="false">ROUND(11.7/FX,2)</f>
        <v>1.63</v>
      </c>
      <c r="D2691" s="21" t="s">
        <v>16750</v>
      </c>
    </row>
    <row r="2692" customFormat="false" ht="15" hidden="false" customHeight="false" outlineLevel="0" collapsed="false">
      <c r="B2692" s="19" t="s">
        <v>16751</v>
      </c>
      <c r="C2692" s="20" t="n">
        <f aca="false">ROUND(11.7/FX,2)</f>
        <v>1.63</v>
      </c>
      <c r="D2692" s="21" t="s">
        <v>16752</v>
      </c>
    </row>
    <row r="2693" customFormat="false" ht="15" hidden="false" customHeight="false" outlineLevel="0" collapsed="false">
      <c r="B2693" s="19" t="s">
        <v>16753</v>
      </c>
      <c r="C2693" s="20" t="n">
        <f aca="false">ROUND(15.6/FX,2)</f>
        <v>2.17</v>
      </c>
      <c r="D2693" s="21" t="s">
        <v>16754</v>
      </c>
    </row>
    <row r="2694" customFormat="false" ht="15" hidden="false" customHeight="false" outlineLevel="0" collapsed="false">
      <c r="B2694" s="19" t="s">
        <v>16755</v>
      </c>
      <c r="C2694" s="20" t="n">
        <f aca="false">ROUND(35.1/FX,2)</f>
        <v>4.88</v>
      </c>
      <c r="D2694" s="21" t="s">
        <v>16756</v>
      </c>
    </row>
    <row r="2695" customFormat="false" ht="15" hidden="false" customHeight="false" outlineLevel="0" collapsed="false">
      <c r="B2695" s="19" t="s">
        <v>16757</v>
      </c>
      <c r="C2695" s="20" t="n">
        <f aca="false">ROUND(35.1/FX,2)</f>
        <v>4.88</v>
      </c>
      <c r="D2695" s="21" t="s">
        <v>16758</v>
      </c>
    </row>
    <row r="2696" customFormat="false" ht="28.35" hidden="false" customHeight="false" outlineLevel="0" collapsed="false">
      <c r="B2696" s="19" t="s">
        <v>16759</v>
      </c>
      <c r="C2696" s="20" t="n">
        <f aca="false">ROUND(41.6/FX,2)</f>
        <v>5.78</v>
      </c>
      <c r="D2696" s="21" t="s">
        <v>16760</v>
      </c>
    </row>
    <row r="2697" customFormat="false" ht="15" hidden="false" customHeight="false" outlineLevel="0" collapsed="false">
      <c r="B2697" s="19" t="s">
        <v>16761</v>
      </c>
      <c r="C2697" s="20" t="n">
        <f aca="false">ROUND(50.7/FX,2)</f>
        <v>7.04</v>
      </c>
      <c r="D2697" s="21" t="s">
        <v>16762</v>
      </c>
    </row>
    <row r="2698" customFormat="false" ht="15" hidden="false" customHeight="false" outlineLevel="0" collapsed="false">
      <c r="B2698" s="19" t="s">
        <v>16763</v>
      </c>
      <c r="C2698" s="20" t="n">
        <f aca="false">ROUND(71.5/FX,2)</f>
        <v>9.93</v>
      </c>
      <c r="D2698" s="21" t="s">
        <v>16764</v>
      </c>
    </row>
    <row r="2699" customFormat="false" ht="15" hidden="false" customHeight="false" outlineLevel="0" collapsed="false">
      <c r="B2699" s="19" t="s">
        <v>16765</v>
      </c>
      <c r="C2699" s="20" t="n">
        <f aca="false">ROUND(92.3/FX,2)</f>
        <v>12.82</v>
      </c>
      <c r="D2699" s="21" t="s">
        <v>16766</v>
      </c>
    </row>
    <row r="2700" customFormat="false" ht="15" hidden="false" customHeight="false" outlineLevel="0" collapsed="false">
      <c r="B2700" s="19" t="s">
        <v>16767</v>
      </c>
      <c r="C2700" s="20" t="n">
        <f aca="false">ROUND(171.6/FX,2)</f>
        <v>23.83</v>
      </c>
      <c r="D2700" s="21" t="s">
        <v>16768</v>
      </c>
    </row>
    <row r="2701" customFormat="false" ht="15" hidden="false" customHeight="false" outlineLevel="0" collapsed="false">
      <c r="B2701" s="19" t="s">
        <v>16769</v>
      </c>
      <c r="C2701" s="20" t="n">
        <f aca="false">ROUND(23.4/FX,2)</f>
        <v>3.25</v>
      </c>
      <c r="D2701" s="21" t="s">
        <v>16770</v>
      </c>
    </row>
    <row r="2702" customFormat="false" ht="28.35" hidden="false" customHeight="false" outlineLevel="0" collapsed="false">
      <c r="B2702" s="19" t="s">
        <v>16771</v>
      </c>
      <c r="C2702" s="20" t="n">
        <f aca="false">ROUND(57.2/FX,2)</f>
        <v>7.94</v>
      </c>
      <c r="D2702" s="21" t="s">
        <v>16772</v>
      </c>
    </row>
    <row r="2703" customFormat="false" ht="15" hidden="false" customHeight="false" outlineLevel="0" collapsed="false">
      <c r="B2703" s="19" t="s">
        <v>16773</v>
      </c>
      <c r="C2703" s="20" t="n">
        <f aca="false">ROUND(22.1/FX,2)</f>
        <v>3.07</v>
      </c>
      <c r="D2703" s="21" t="s">
        <v>16774</v>
      </c>
    </row>
    <row r="2704" customFormat="false" ht="28.35" hidden="false" customHeight="false" outlineLevel="0" collapsed="false">
      <c r="B2704" s="19" t="s">
        <v>16775</v>
      </c>
      <c r="C2704" s="20" t="n">
        <f aca="false">ROUND(57.2/FX,2)</f>
        <v>7.94</v>
      </c>
      <c r="D2704" s="21" t="s">
        <v>16776</v>
      </c>
    </row>
    <row r="2705" customFormat="false" ht="15" hidden="false" customHeight="false" outlineLevel="0" collapsed="false">
      <c r="B2705" s="19" t="s">
        <v>16777</v>
      </c>
      <c r="C2705" s="20" t="n">
        <f aca="false">ROUND(40.3/FX,2)</f>
        <v>5.6</v>
      </c>
      <c r="D2705" s="21" t="s">
        <v>16778</v>
      </c>
    </row>
    <row r="2706" customFormat="false" ht="28.35" hidden="false" customHeight="false" outlineLevel="0" collapsed="false">
      <c r="B2706" s="19" t="s">
        <v>16779</v>
      </c>
      <c r="C2706" s="20" t="n">
        <f aca="false">ROUND(67.6/FX,2)</f>
        <v>9.39</v>
      </c>
      <c r="D2706" s="21" t="s">
        <v>16780</v>
      </c>
    </row>
    <row r="2707" customFormat="false" ht="15" hidden="false" customHeight="false" outlineLevel="0" collapsed="false">
      <c r="B2707" s="19" t="s">
        <v>16781</v>
      </c>
      <c r="C2707" s="20" t="n">
        <f aca="false">ROUND(71.5/FX,2)</f>
        <v>9.93</v>
      </c>
      <c r="D2707" s="21" t="s">
        <v>16782</v>
      </c>
    </row>
    <row r="2708" customFormat="false" ht="28.35" hidden="false" customHeight="false" outlineLevel="0" collapsed="false">
      <c r="B2708" s="19" t="s">
        <v>16783</v>
      </c>
      <c r="C2708" s="20" t="n">
        <f aca="false">ROUND(105.3/FX,2)</f>
        <v>14.63</v>
      </c>
      <c r="D2708" s="21" t="s">
        <v>16784</v>
      </c>
    </row>
    <row r="2709" customFormat="false" ht="15" hidden="false" customHeight="false" outlineLevel="0" collapsed="false">
      <c r="B2709" s="19" t="s">
        <v>16785</v>
      </c>
      <c r="C2709" s="20" t="n">
        <f aca="false">ROUND(70.2/FX,2)</f>
        <v>9.75</v>
      </c>
      <c r="D2709" s="21" t="s">
        <v>16786</v>
      </c>
    </row>
    <row r="2710" customFormat="false" ht="28.35" hidden="false" customHeight="false" outlineLevel="0" collapsed="false">
      <c r="B2710" s="19" t="s">
        <v>16787</v>
      </c>
      <c r="C2710" s="20" t="n">
        <f aca="false">ROUND(104/FX,2)</f>
        <v>14.44</v>
      </c>
      <c r="D2710" s="21" t="s">
        <v>16788</v>
      </c>
    </row>
    <row r="2711" customFormat="false" ht="15" hidden="false" customHeight="false" outlineLevel="0" collapsed="false">
      <c r="B2711" s="19" t="s">
        <v>16789</v>
      </c>
      <c r="C2711" s="20" t="n">
        <f aca="false">ROUND(106.6/FX,2)</f>
        <v>14.81</v>
      </c>
      <c r="D2711" s="21" t="s">
        <v>16790</v>
      </c>
    </row>
    <row r="2712" customFormat="false" ht="28.35" hidden="false" customHeight="false" outlineLevel="0" collapsed="false">
      <c r="B2712" s="19" t="s">
        <v>16791</v>
      </c>
      <c r="C2712" s="20" t="n">
        <f aca="false">ROUND(141.7/FX,2)</f>
        <v>19.68</v>
      </c>
      <c r="D2712" s="21" t="s">
        <v>16792</v>
      </c>
    </row>
    <row r="2713" customFormat="false" ht="15" hidden="false" customHeight="false" outlineLevel="0" collapsed="false">
      <c r="B2713" s="19" t="s">
        <v>16793</v>
      </c>
      <c r="C2713" s="20" t="n">
        <f aca="false">ROUND(143/FX,2)</f>
        <v>19.86</v>
      </c>
      <c r="D2713" s="21" t="s">
        <v>16794</v>
      </c>
    </row>
    <row r="2714" customFormat="false" ht="28.35" hidden="false" customHeight="false" outlineLevel="0" collapsed="false">
      <c r="B2714" s="19" t="s">
        <v>16795</v>
      </c>
      <c r="C2714" s="20" t="n">
        <f aca="false">ROUND(184.6/FX,2)</f>
        <v>25.64</v>
      </c>
      <c r="D2714" s="21" t="s">
        <v>16796</v>
      </c>
    </row>
    <row r="2715" customFormat="false" ht="15" hidden="false" customHeight="false" outlineLevel="0" collapsed="false">
      <c r="B2715" s="19" t="s">
        <v>16797</v>
      </c>
      <c r="C2715" s="20" t="n">
        <f aca="false">ROUND(187.2/FX,2)</f>
        <v>26</v>
      </c>
      <c r="D2715" s="21" t="s">
        <v>16798</v>
      </c>
    </row>
    <row r="2716" customFormat="false" ht="28.35" hidden="false" customHeight="false" outlineLevel="0" collapsed="false">
      <c r="B2716" s="19" t="s">
        <v>16799</v>
      </c>
      <c r="C2716" s="20" t="n">
        <f aca="false">ROUND(236.6/FX,2)</f>
        <v>32.86</v>
      </c>
      <c r="D2716" s="21" t="s">
        <v>16800</v>
      </c>
    </row>
    <row r="2717" customFormat="false" ht="15" hidden="false" customHeight="false" outlineLevel="0" collapsed="false">
      <c r="B2717" s="19" t="s">
        <v>16801</v>
      </c>
      <c r="C2717" s="20" t="n">
        <f aca="false">ROUND(352.3/FX,2)</f>
        <v>48.93</v>
      </c>
      <c r="D2717" s="21" t="s">
        <v>16802</v>
      </c>
    </row>
    <row r="2718" customFormat="false" ht="28.35" hidden="false" customHeight="false" outlineLevel="0" collapsed="false">
      <c r="B2718" s="19" t="s">
        <v>16803</v>
      </c>
      <c r="C2718" s="20" t="n">
        <f aca="false">ROUND(420/FX,2)</f>
        <v>58.33</v>
      </c>
      <c r="D2718" s="21" t="s">
        <v>16804</v>
      </c>
    </row>
    <row r="2719" customFormat="false" ht="15" hidden="false" customHeight="false" outlineLevel="0" collapsed="false">
      <c r="B2719" s="19" t="s">
        <v>16805</v>
      </c>
      <c r="C2719" s="20" t="n">
        <f aca="false">ROUND(15.6/FX,2)</f>
        <v>2.17</v>
      </c>
      <c r="D2719" s="21" t="s">
        <v>16806</v>
      </c>
    </row>
    <row r="2720" customFormat="false" ht="15" hidden="false" customHeight="false" outlineLevel="0" collapsed="false">
      <c r="B2720" s="19" t="s">
        <v>16807</v>
      </c>
      <c r="C2720" s="20" t="n">
        <f aca="false">ROUND(15.6/FX,2)</f>
        <v>2.17</v>
      </c>
      <c r="D2720" s="21" t="s">
        <v>16808</v>
      </c>
    </row>
    <row r="2721" customFormat="false" ht="15" hidden="false" customHeight="false" outlineLevel="0" collapsed="false">
      <c r="B2721" s="19" t="s">
        <v>16809</v>
      </c>
      <c r="C2721" s="20" t="n">
        <f aca="false">ROUND(19.5/FX,2)</f>
        <v>2.71</v>
      </c>
      <c r="D2721" s="21" t="s">
        <v>16810</v>
      </c>
    </row>
    <row r="2722" customFormat="false" ht="15" hidden="false" customHeight="false" outlineLevel="0" collapsed="false">
      <c r="B2722" s="19" t="s">
        <v>16811</v>
      </c>
      <c r="C2722" s="20" t="n">
        <f aca="false">ROUND(35.1/FX,2)</f>
        <v>4.88</v>
      </c>
      <c r="D2722" s="21" t="s">
        <v>16812</v>
      </c>
    </row>
    <row r="2723" customFormat="false" ht="15" hidden="false" customHeight="false" outlineLevel="0" collapsed="false">
      <c r="B2723" s="19" t="s">
        <v>16813</v>
      </c>
      <c r="C2723" s="20" t="n">
        <f aca="false">ROUND(53.3/FX,2)</f>
        <v>7.4</v>
      </c>
      <c r="D2723" s="21" t="s">
        <v>16814</v>
      </c>
    </row>
    <row r="2724" customFormat="false" ht="15" hidden="false" customHeight="false" outlineLevel="0" collapsed="false">
      <c r="B2724" s="19" t="s">
        <v>16815</v>
      </c>
      <c r="C2724" s="20" t="n">
        <f aca="false">ROUND(16.9/FX,2)</f>
        <v>2.35</v>
      </c>
      <c r="D2724" s="21" t="s">
        <v>16816</v>
      </c>
    </row>
    <row r="2725" customFormat="false" ht="15" hidden="false" customHeight="false" outlineLevel="0" collapsed="false">
      <c r="B2725" s="19" t="s">
        <v>16817</v>
      </c>
      <c r="C2725" s="20" t="n">
        <f aca="false">ROUND(16.9/FX,2)</f>
        <v>2.35</v>
      </c>
      <c r="D2725" s="21" t="s">
        <v>16818</v>
      </c>
    </row>
    <row r="2726" customFormat="false" ht="28.35" hidden="false" customHeight="false" outlineLevel="0" collapsed="false">
      <c r="B2726" s="19" t="s">
        <v>16819</v>
      </c>
      <c r="C2726" s="20" t="n">
        <f aca="false">ROUND(72.8/FX,2)</f>
        <v>10.11</v>
      </c>
      <c r="D2726" s="21" t="s">
        <v>16820</v>
      </c>
    </row>
    <row r="2727" customFormat="false" ht="28.35" hidden="false" customHeight="false" outlineLevel="0" collapsed="false">
      <c r="B2727" s="19" t="s">
        <v>16821</v>
      </c>
      <c r="C2727" s="20" t="n">
        <f aca="false">ROUND(66.3/FX,2)</f>
        <v>9.21</v>
      </c>
      <c r="D2727" s="21" t="s">
        <v>16822</v>
      </c>
    </row>
    <row r="2728" customFormat="false" ht="15" hidden="false" customHeight="false" outlineLevel="0" collapsed="false">
      <c r="B2728" s="19" t="s">
        <v>16823</v>
      </c>
      <c r="C2728" s="20" t="n">
        <f aca="false">ROUND(31.2/FX,2)</f>
        <v>4.33</v>
      </c>
      <c r="D2728" s="21" t="s">
        <v>16824</v>
      </c>
    </row>
    <row r="2729" customFormat="false" ht="28.35" hidden="false" customHeight="false" outlineLevel="0" collapsed="false">
      <c r="B2729" s="19" t="s">
        <v>16825</v>
      </c>
      <c r="C2729" s="20" t="n">
        <f aca="false">ROUND(57.2/FX,2)</f>
        <v>7.94</v>
      </c>
      <c r="D2729" s="21" t="s">
        <v>16826</v>
      </c>
    </row>
    <row r="2730" customFormat="false" ht="15" hidden="false" customHeight="false" outlineLevel="0" collapsed="false">
      <c r="B2730" s="19" t="s">
        <v>16827</v>
      </c>
      <c r="C2730" s="20" t="n">
        <f aca="false">ROUND(31.2/FX,2)</f>
        <v>4.33</v>
      </c>
      <c r="D2730" s="21" t="s">
        <v>16828</v>
      </c>
    </row>
    <row r="2731" customFormat="false" ht="28.35" hidden="false" customHeight="false" outlineLevel="0" collapsed="false">
      <c r="B2731" s="19" t="s">
        <v>16829</v>
      </c>
      <c r="C2731" s="20" t="n">
        <f aca="false">ROUND(57.2/FX,2)</f>
        <v>7.94</v>
      </c>
      <c r="D2731" s="21" t="s">
        <v>16830</v>
      </c>
    </row>
    <row r="2732" customFormat="false" ht="15" hidden="false" customHeight="false" outlineLevel="0" collapsed="false">
      <c r="B2732" s="19" t="s">
        <v>16831</v>
      </c>
      <c r="C2732" s="20" t="n">
        <f aca="false">ROUND(41.6/FX,2)</f>
        <v>5.78</v>
      </c>
      <c r="D2732" s="21" t="s">
        <v>16832</v>
      </c>
    </row>
    <row r="2733" customFormat="false" ht="28.35" hidden="false" customHeight="false" outlineLevel="0" collapsed="false">
      <c r="B2733" s="19" t="s">
        <v>16833</v>
      </c>
      <c r="C2733" s="20" t="n">
        <f aca="false">ROUND(68.9/FX,2)</f>
        <v>9.57</v>
      </c>
      <c r="D2733" s="21" t="s">
        <v>16834</v>
      </c>
    </row>
    <row r="2734" customFormat="false" ht="15" hidden="false" customHeight="false" outlineLevel="0" collapsed="false">
      <c r="B2734" s="19" t="s">
        <v>16835</v>
      </c>
      <c r="C2734" s="20" t="n">
        <f aca="false">ROUND(71.5/FX,2)</f>
        <v>9.93</v>
      </c>
      <c r="D2734" s="21" t="s">
        <v>16836</v>
      </c>
    </row>
    <row r="2735" customFormat="false" ht="28.35" hidden="false" customHeight="false" outlineLevel="0" collapsed="false">
      <c r="B2735" s="19" t="s">
        <v>16837</v>
      </c>
      <c r="C2735" s="20" t="n">
        <f aca="false">ROUND(105.3/FX,2)</f>
        <v>14.63</v>
      </c>
      <c r="D2735" s="21" t="s">
        <v>16838</v>
      </c>
    </row>
    <row r="2736" customFormat="false" ht="15" hidden="false" customHeight="false" outlineLevel="0" collapsed="false">
      <c r="B2736" s="19" t="s">
        <v>16839</v>
      </c>
      <c r="C2736" s="20" t="n">
        <f aca="false">ROUND(107.9/FX,2)</f>
        <v>14.99</v>
      </c>
      <c r="D2736" s="21" t="s">
        <v>16840</v>
      </c>
    </row>
    <row r="2737" customFormat="false" ht="28.35" hidden="false" customHeight="false" outlineLevel="0" collapsed="false">
      <c r="B2737" s="19" t="s">
        <v>16841</v>
      </c>
      <c r="C2737" s="20" t="n">
        <f aca="false">ROUND(144.3/FX,2)</f>
        <v>20.04</v>
      </c>
      <c r="D2737" s="21" t="s">
        <v>16842</v>
      </c>
    </row>
    <row r="2738" customFormat="false" ht="15" hidden="false" customHeight="false" outlineLevel="0" collapsed="false">
      <c r="B2738" s="19" t="s">
        <v>16843</v>
      </c>
      <c r="C2738" s="20" t="n">
        <f aca="false">ROUND(37.7/FX,2)</f>
        <v>5.24</v>
      </c>
      <c r="D2738" s="21" t="s">
        <v>16844</v>
      </c>
    </row>
    <row r="2739" customFormat="false" ht="15" hidden="false" customHeight="false" outlineLevel="0" collapsed="false">
      <c r="B2739" s="19" t="s">
        <v>16845</v>
      </c>
      <c r="C2739" s="20" t="n">
        <f aca="false">ROUND(35.1/FX,2)</f>
        <v>4.88</v>
      </c>
      <c r="D2739" s="21" t="s">
        <v>16846</v>
      </c>
    </row>
    <row r="2740" customFormat="false" ht="15" hidden="false" customHeight="false" outlineLevel="0" collapsed="false">
      <c r="B2740" s="19" t="s">
        <v>16847</v>
      </c>
      <c r="C2740" s="20" t="n">
        <f aca="false">ROUND(14.3/FX,2)</f>
        <v>1.99</v>
      </c>
      <c r="D2740" s="21" t="s">
        <v>16848</v>
      </c>
    </row>
    <row r="2741" customFormat="false" ht="15" hidden="false" customHeight="false" outlineLevel="0" collapsed="false">
      <c r="B2741" s="19" t="s">
        <v>16849</v>
      </c>
      <c r="C2741" s="20" t="n">
        <f aca="false">ROUND(14.3/FX,2)</f>
        <v>1.99</v>
      </c>
      <c r="D2741" s="21" t="s">
        <v>16850</v>
      </c>
    </row>
    <row r="2742" customFormat="false" ht="15" hidden="false" customHeight="false" outlineLevel="0" collapsed="false">
      <c r="B2742" s="19" t="s">
        <v>16851</v>
      </c>
      <c r="C2742" s="20" t="n">
        <f aca="false">ROUND(18.2/FX,2)</f>
        <v>2.53</v>
      </c>
      <c r="D2742" s="21" t="s">
        <v>16852</v>
      </c>
    </row>
    <row r="2743" customFormat="false" ht="15" hidden="false" customHeight="false" outlineLevel="0" collapsed="false">
      <c r="B2743" s="19" t="s">
        <v>16853</v>
      </c>
      <c r="C2743" s="20" t="n">
        <f aca="false">ROUND(32.5/FX,2)</f>
        <v>4.51</v>
      </c>
      <c r="D2743" s="21" t="s">
        <v>16854</v>
      </c>
    </row>
    <row r="2744" customFormat="false" ht="15" hidden="false" customHeight="false" outlineLevel="0" collapsed="false">
      <c r="B2744" s="19" t="s">
        <v>16855</v>
      </c>
      <c r="C2744" s="20" t="n">
        <f aca="false">ROUND(32.5/FX,2)</f>
        <v>4.51</v>
      </c>
      <c r="D2744" s="21" t="s">
        <v>16856</v>
      </c>
    </row>
    <row r="2745" customFormat="false" ht="15" hidden="false" customHeight="false" outlineLevel="0" collapsed="false">
      <c r="B2745" s="19" t="s">
        <v>16857</v>
      </c>
      <c r="C2745" s="20" t="n">
        <f aca="false">ROUND(158.6/FX,2)</f>
        <v>22.03</v>
      </c>
      <c r="D2745" s="21" t="s">
        <v>16858</v>
      </c>
    </row>
    <row r="2746" customFormat="false" ht="15" hidden="false" customHeight="false" outlineLevel="0" collapsed="false">
      <c r="B2746" s="19" t="s">
        <v>16859</v>
      </c>
      <c r="C2746" s="20" t="n">
        <f aca="false">ROUND(211.9/FX,2)</f>
        <v>29.43</v>
      </c>
      <c r="D2746" s="21" t="s">
        <v>16860</v>
      </c>
    </row>
    <row r="2747" customFormat="false" ht="15" hidden="false" customHeight="false" outlineLevel="0" collapsed="false">
      <c r="B2747" s="19" t="s">
        <v>16861</v>
      </c>
      <c r="C2747" s="20" t="n">
        <f aca="false">ROUND(14.3/FX,2)</f>
        <v>1.99</v>
      </c>
      <c r="D2747" s="21" t="s">
        <v>16862</v>
      </c>
    </row>
    <row r="2748" customFormat="false" ht="15" hidden="false" customHeight="false" outlineLevel="0" collapsed="false">
      <c r="B2748" s="19" t="s">
        <v>16863</v>
      </c>
      <c r="C2748" s="20" t="n">
        <f aca="false">ROUND(27.3/FX,2)</f>
        <v>3.79</v>
      </c>
      <c r="D2748" s="21" t="s">
        <v>16864</v>
      </c>
    </row>
    <row r="2749" customFormat="false" ht="28.35" hidden="false" customHeight="false" outlineLevel="0" collapsed="false">
      <c r="B2749" s="19" t="s">
        <v>16865</v>
      </c>
      <c r="C2749" s="20" t="n">
        <f aca="false">ROUND(58.01/FX,2)</f>
        <v>8.06</v>
      </c>
      <c r="D2749" s="21" t="s">
        <v>16866</v>
      </c>
    </row>
    <row r="2750" customFormat="false" ht="28.35" hidden="false" customHeight="false" outlineLevel="0" collapsed="false">
      <c r="B2750" s="19" t="s">
        <v>16867</v>
      </c>
      <c r="C2750" s="20" t="n">
        <f aca="false">ROUND(54.6/FX,2)</f>
        <v>7.58</v>
      </c>
      <c r="D2750" s="21" t="s">
        <v>16868</v>
      </c>
    </row>
    <row r="2751" customFormat="false" ht="15" hidden="false" customHeight="false" outlineLevel="0" collapsed="false">
      <c r="B2751" s="19" t="s">
        <v>16869</v>
      </c>
      <c r="C2751" s="20" t="n">
        <f aca="false">ROUND(24.7/FX,2)</f>
        <v>3.43</v>
      </c>
      <c r="D2751" s="21" t="s">
        <v>16870</v>
      </c>
    </row>
    <row r="2752" customFormat="false" ht="28.35" hidden="false" customHeight="false" outlineLevel="0" collapsed="false">
      <c r="B2752" s="19" t="s">
        <v>16871</v>
      </c>
      <c r="C2752" s="20" t="n">
        <f aca="false">ROUND(54.6/FX,2)</f>
        <v>7.58</v>
      </c>
      <c r="D2752" s="21" t="s">
        <v>16872</v>
      </c>
    </row>
    <row r="2753" customFormat="false" ht="15" hidden="false" customHeight="false" outlineLevel="0" collapsed="false">
      <c r="B2753" s="19" t="s">
        <v>16873</v>
      </c>
      <c r="C2753" s="20" t="n">
        <f aca="false">ROUND(32.5/FX,2)</f>
        <v>4.51</v>
      </c>
      <c r="D2753" s="21" t="s">
        <v>16874</v>
      </c>
    </row>
    <row r="2754" customFormat="false" ht="28.35" hidden="false" customHeight="false" outlineLevel="0" collapsed="false">
      <c r="B2754" s="19" t="s">
        <v>16875</v>
      </c>
      <c r="C2754" s="20" t="n">
        <f aca="false">ROUND(54.6/FX,2)</f>
        <v>7.58</v>
      </c>
      <c r="D2754" s="21" t="s">
        <v>16876</v>
      </c>
    </row>
    <row r="2755" customFormat="false" ht="15" hidden="false" customHeight="false" outlineLevel="0" collapsed="false">
      <c r="B2755" s="19" t="s">
        <v>16877</v>
      </c>
      <c r="C2755" s="20" t="n">
        <f aca="false">ROUND(42.9/FX,2)</f>
        <v>5.96</v>
      </c>
      <c r="D2755" s="21" t="s">
        <v>16878</v>
      </c>
    </row>
    <row r="2756" customFormat="false" ht="28.35" hidden="false" customHeight="false" outlineLevel="0" collapsed="false">
      <c r="B2756" s="19" t="s">
        <v>16879</v>
      </c>
      <c r="C2756" s="20" t="n">
        <f aca="false">ROUND(66.3/FX,2)</f>
        <v>9.21</v>
      </c>
      <c r="D2756" s="21" t="s">
        <v>16880</v>
      </c>
    </row>
    <row r="2757" customFormat="false" ht="15" hidden="false" customHeight="false" outlineLevel="0" collapsed="false">
      <c r="B2757" s="19" t="s">
        <v>16881</v>
      </c>
      <c r="C2757" s="20" t="n">
        <f aca="false">ROUND(74.1/FX,2)</f>
        <v>10.29</v>
      </c>
      <c r="D2757" s="21" t="s">
        <v>16882</v>
      </c>
    </row>
    <row r="2758" customFormat="false" ht="28.35" hidden="false" customHeight="false" outlineLevel="0" collapsed="false">
      <c r="B2758" s="19" t="s">
        <v>16883</v>
      </c>
      <c r="C2758" s="20" t="n">
        <f aca="false">ROUND(98.8/FX,2)</f>
        <v>13.72</v>
      </c>
      <c r="D2758" s="21" t="s">
        <v>16884</v>
      </c>
    </row>
    <row r="2759" customFormat="false" ht="15" hidden="false" customHeight="false" outlineLevel="0" collapsed="false">
      <c r="B2759" s="19" t="s">
        <v>16885</v>
      </c>
      <c r="C2759" s="20" t="n">
        <f aca="false">ROUND(74.1/FX,2)</f>
        <v>10.29</v>
      </c>
      <c r="D2759" s="21" t="s">
        <v>16886</v>
      </c>
    </row>
    <row r="2760" customFormat="false" ht="28.35" hidden="false" customHeight="false" outlineLevel="0" collapsed="false">
      <c r="B2760" s="19" t="s">
        <v>16887</v>
      </c>
      <c r="C2760" s="20" t="n">
        <f aca="false">ROUND(98.8/FX,2)</f>
        <v>13.72</v>
      </c>
      <c r="D2760" s="21" t="s">
        <v>16888</v>
      </c>
    </row>
    <row r="2761" customFormat="false" ht="15" hidden="false" customHeight="false" outlineLevel="0" collapsed="false">
      <c r="B2761" s="19" t="s">
        <v>16889</v>
      </c>
      <c r="C2761" s="20" t="n">
        <f aca="false">ROUND(111.8/FX,2)</f>
        <v>15.53</v>
      </c>
      <c r="D2761" s="21" t="s">
        <v>16890</v>
      </c>
    </row>
    <row r="2762" customFormat="false" ht="28.35" hidden="false" customHeight="false" outlineLevel="0" collapsed="false">
      <c r="B2762" s="19" t="s">
        <v>16891</v>
      </c>
      <c r="C2762" s="20" t="n">
        <f aca="false">ROUND(133.9/FX,2)</f>
        <v>18.6</v>
      </c>
      <c r="D2762" s="21" t="s">
        <v>16892</v>
      </c>
    </row>
    <row r="2763" customFormat="false" ht="15" hidden="false" customHeight="false" outlineLevel="0" collapsed="false">
      <c r="B2763" s="19" t="s">
        <v>16893</v>
      </c>
      <c r="C2763" s="20" t="n">
        <f aca="false">ROUND(146.9/FX,2)</f>
        <v>20.4</v>
      </c>
      <c r="D2763" s="21" t="s">
        <v>16894</v>
      </c>
    </row>
    <row r="2764" customFormat="false" ht="28.35" hidden="false" customHeight="false" outlineLevel="0" collapsed="false">
      <c r="B2764" s="19" t="s">
        <v>16895</v>
      </c>
      <c r="C2764" s="20" t="n">
        <f aca="false">ROUND(170.3/FX,2)</f>
        <v>23.65</v>
      </c>
      <c r="D2764" s="21" t="s">
        <v>16896</v>
      </c>
    </row>
    <row r="2765" customFormat="false" ht="15" hidden="false" customHeight="false" outlineLevel="0" collapsed="false">
      <c r="B2765" s="19" t="s">
        <v>16897</v>
      </c>
      <c r="C2765" s="20" t="n">
        <f aca="false">ROUND(28.6/FX,2)</f>
        <v>3.97</v>
      </c>
      <c r="D2765" s="21" t="s">
        <v>16898</v>
      </c>
    </row>
    <row r="2768" customFormat="false" ht="61.5" hidden="false" customHeight="true" outlineLevel="0" collapsed="false">
      <c r="A2768" s="9"/>
      <c r="B2768" s="10" t="s">
        <v>16899</v>
      </c>
      <c r="C2768" s="10"/>
      <c r="D2768" s="10"/>
    </row>
    <row r="2769" customFormat="false" ht="15" hidden="false" customHeight="false" outlineLevel="0" collapsed="false">
      <c r="A2769" s="12" t="s">
        <v>700</v>
      </c>
      <c r="B2769" s="13" t="s">
        <v>701</v>
      </c>
      <c r="C2769" s="13" t="s">
        <v>702</v>
      </c>
      <c r="D2769" s="13" t="s">
        <v>723</v>
      </c>
    </row>
    <row r="2770" customFormat="false" ht="30" hidden="false" customHeight="true" outlineLevel="0" collapsed="false">
      <c r="A2770" s="14" t="s">
        <v>706</v>
      </c>
      <c r="B2770" s="15" t="str">
        <f aca="false">IF(COUNTIFS($D$2773:$D$2774,IF(D2770="","*",D2770))=1,INDEX($B:$B,SUMPRODUCT(((D2770="")+($D$2773:$D$2774=D2770)&gt;0)*ROW($B$2773:$B$2774))),IF(COUNTIFS($D$2773:$D$2774,IF(D2770="","*",D2770))=0,"Not available",COUNTIFS($D$2773:$D$2774,IF(D2770="","*",D2770))&amp;" match, keep choosing"))</f>
        <v>RL-005-SSx10-57</v>
      </c>
      <c r="C2770" s="16" t="n">
        <f aca="false">IF(COUNTIFS($D$2773:$D$2774,IF(D2770="","*",D2770))=1,INDEX($C:$C,SUMPRODUCT(((D2770="")+($D$2773:$D$2774=D2770)&gt;0)*ROW($B$2773:$B$2774))),"")</f>
        <v>6.32</v>
      </c>
      <c r="D2770" s="17" t="s">
        <v>16900</v>
      </c>
    </row>
    <row r="2772" customFormat="false" ht="15" hidden="false" customHeight="false" outlineLevel="0" collapsed="false">
      <c r="B2772" s="18" t="s">
        <v>701</v>
      </c>
      <c r="C2772" s="18" t="s">
        <v>702</v>
      </c>
      <c r="D2772" s="18" t="s">
        <v>723</v>
      </c>
    </row>
    <row r="2773" customFormat="false" ht="15" hidden="false" customHeight="false" outlineLevel="0" collapsed="false">
      <c r="B2773" s="19" t="s">
        <v>16901</v>
      </c>
      <c r="C2773" s="20" t="n">
        <f aca="false">ROUND(45.5/FX,2)</f>
        <v>6.32</v>
      </c>
      <c r="D2773" s="21" t="s">
        <v>16900</v>
      </c>
    </row>
    <row r="2774" customFormat="false" ht="15" hidden="false" customHeight="false" outlineLevel="0" collapsed="false">
      <c r="B2774" s="19" t="s">
        <v>16902</v>
      </c>
      <c r="C2774" s="20" t="n">
        <f aca="false">ROUND(50.7/FX,2)</f>
        <v>7.04</v>
      </c>
      <c r="D2774" s="21" t="s">
        <v>16903</v>
      </c>
    </row>
    <row r="2777" customFormat="false" ht="61.5" hidden="false" customHeight="true" outlineLevel="0" collapsed="false">
      <c r="A2777" s="9"/>
      <c r="B2777" s="10" t="s">
        <v>16904</v>
      </c>
      <c r="C2777" s="10"/>
      <c r="D2777" s="10"/>
      <c r="E2777" s="10"/>
      <c r="F2777" s="10"/>
      <c r="G2777" s="10"/>
      <c r="H2777" s="10"/>
    </row>
    <row r="2778" customFormat="false" ht="15" hidden="false" customHeight="false" outlineLevel="0" collapsed="false">
      <c r="A2778" s="12" t="s">
        <v>700</v>
      </c>
      <c r="B2778" s="13" t="s">
        <v>701</v>
      </c>
      <c r="C2778" s="13" t="s">
        <v>702</v>
      </c>
      <c r="D2778" s="13" t="s">
        <v>722</v>
      </c>
      <c r="E2778" s="13" t="s">
        <v>704</v>
      </c>
      <c r="F2778" s="13" t="s">
        <v>6159</v>
      </c>
      <c r="G2778" s="13" t="s">
        <v>723</v>
      </c>
      <c r="H2778" s="13" t="s">
        <v>7711</v>
      </c>
    </row>
    <row r="2779" customFormat="false" ht="30" hidden="false" customHeight="true" outlineLevel="0" collapsed="false">
      <c r="A2779" s="14" t="s">
        <v>706</v>
      </c>
      <c r="B2779" s="15" t="str">
        <f aca="false">IF(COUNTIFS($D$2782:$D$2853,IF(D2779="","*",D2779),$E$2782:$E$2853,IF(E2779="","*",E2779),$F$2782:$F$2853,IF(F2779="","*",F2779),$G$2782:$G$2853,IF(G2779="","*",G2779),$H$2782:$H$2853,IF(H2779="","*",H2779))=1,INDEX($B:$B,SUMPRODUCT(((D2779="")+($D$2782:$D$2853=D2779)&gt;0)*((E2779="")+($E$2782:$E$2853=E2779)&gt;0)*((F2779="")+($F$2782:$F$2853=F2779)&gt;0)*((G2779="")+($G$2782:$G$2853=G2779)&gt;0)*((H2779="")+($H$2782:$H$2853=H2779)&gt;0)*ROW($B$2782:$B$2853))),IF(COUNTIFS($D$2782:$D$2853,IF(D2779="","*",D2779),$E$2782:$E$2853,IF(E2779="","*",E2779),$F$2782:$F$2853,IF(F2779="","*",F2779),$G$2782:$G$2853,IF(G2779="","*",G2779),$H$2782:$H$2853,IF(H2779="","*",H2779))=0,"Not available",COUNTIFS($D$2782:$D$2853,IF(D2779="","*",D2779),$E$2782:$E$2853,IF(E2779="","*",E2779),$F$2782:$F$2853,IF(F2779="","*",F2779),$G$2782:$G$2853,IF(G2779="","*",G2779),$H$2782:$H$2853,IF(H2779="","*",H2779))&amp;" match, keep choosing"))</f>
        <v>NS-1616-FC-BK-32</v>
      </c>
      <c r="C2779" s="16" t="n">
        <f aca="false">IF(COUNTIFS($D$2782:$D$2853,IF(D2779="","*",D2779),$E$2782:$E$2853,IF(E2779="","*",E2779),$F$2782:$F$2853,IF(F2779="","*",F2779),$G$2782:$G$2853,IF(G2779="","*",G2779),$H$2782:$H$2853,IF(H2779="","*",H2779))=1,INDEX($C:$C,SUMPRODUCT(((D2779="")+($D$2782:$D$2853=D2779)&gt;0)*((E2779="")+($E$2782:$E$2853=E2779)&gt;0)*((F2779="")+($F$2782:$F$2853=F2779)&gt;0)*((G2779="")+($G$2782:$G$2853=G2779)&gt;0)*((H2779="")+($H$2782:$H$2853=H2779)&gt;0)*ROW($B$2782:$B$2853))),"")</f>
        <v>4.51</v>
      </c>
      <c r="D2779" s="17" t="s">
        <v>724</v>
      </c>
      <c r="E2779" s="17" t="s">
        <v>16905</v>
      </c>
      <c r="F2779" s="17" t="s">
        <v>16906</v>
      </c>
      <c r="G2779" s="17" t="s">
        <v>734</v>
      </c>
      <c r="H2779" s="17" t="s">
        <v>6244</v>
      </c>
    </row>
    <row r="2781" customFormat="false" ht="15" hidden="false" customHeight="false" outlineLevel="0" collapsed="false">
      <c r="B2781" s="18" t="s">
        <v>701</v>
      </c>
      <c r="C2781" s="18" t="s">
        <v>702</v>
      </c>
      <c r="D2781" s="18" t="s">
        <v>722</v>
      </c>
      <c r="E2781" s="18" t="s">
        <v>704</v>
      </c>
      <c r="F2781" s="18" t="s">
        <v>6159</v>
      </c>
      <c r="G2781" s="18" t="s">
        <v>723</v>
      </c>
      <c r="H2781" s="18" t="s">
        <v>7711</v>
      </c>
    </row>
    <row r="2782" customFormat="false" ht="15" hidden="false" customHeight="false" outlineLevel="0" collapsed="false">
      <c r="B2782" s="19" t="s">
        <v>16907</v>
      </c>
      <c r="C2782" s="20" t="n">
        <f aca="false">ROUND(32.5/FX,2)</f>
        <v>4.51</v>
      </c>
      <c r="D2782" s="21" t="s">
        <v>724</v>
      </c>
      <c r="E2782" s="21" t="s">
        <v>16905</v>
      </c>
      <c r="F2782" s="21" t="s">
        <v>16906</v>
      </c>
      <c r="G2782" s="21" t="s">
        <v>734</v>
      </c>
      <c r="H2782" s="21" t="s">
        <v>6244</v>
      </c>
    </row>
    <row r="2783" customFormat="false" ht="15" hidden="false" customHeight="false" outlineLevel="0" collapsed="false">
      <c r="B2783" s="19" t="s">
        <v>16908</v>
      </c>
      <c r="C2783" s="20" t="n">
        <f aca="false">ROUND(39/FX,2)</f>
        <v>5.42</v>
      </c>
      <c r="D2783" s="21" t="s">
        <v>724</v>
      </c>
      <c r="E2783" s="21" t="s">
        <v>16905</v>
      </c>
      <c r="F2783" s="21" t="s">
        <v>16909</v>
      </c>
      <c r="G2783" s="21" t="s">
        <v>734</v>
      </c>
      <c r="H2783" s="21" t="s">
        <v>16910</v>
      </c>
    </row>
    <row r="2784" customFormat="false" ht="15" hidden="false" customHeight="false" outlineLevel="0" collapsed="false">
      <c r="B2784" s="19" t="s">
        <v>16911</v>
      </c>
      <c r="C2784" s="20" t="n">
        <f aca="false">ROUND(52/FX,2)</f>
        <v>7.22</v>
      </c>
      <c r="D2784" s="21" t="s">
        <v>724</v>
      </c>
      <c r="E2784" s="21" t="s">
        <v>16905</v>
      </c>
      <c r="F2784" s="21" t="s">
        <v>16912</v>
      </c>
      <c r="G2784" s="21" t="s">
        <v>734</v>
      </c>
      <c r="H2784" s="21" t="s">
        <v>14417</v>
      </c>
    </row>
    <row r="2785" customFormat="false" ht="15" hidden="false" customHeight="false" outlineLevel="0" collapsed="false">
      <c r="B2785" s="19" t="s">
        <v>16913</v>
      </c>
      <c r="C2785" s="20" t="n">
        <f aca="false">ROUND(65/FX,2)</f>
        <v>9.03</v>
      </c>
      <c r="D2785" s="21" t="s">
        <v>724</v>
      </c>
      <c r="E2785" s="21" t="s">
        <v>16905</v>
      </c>
      <c r="F2785" s="21" t="s">
        <v>16914</v>
      </c>
      <c r="G2785" s="21" t="s">
        <v>734</v>
      </c>
      <c r="H2785" s="21" t="s">
        <v>2951</v>
      </c>
    </row>
    <row r="2786" customFormat="false" ht="15" hidden="false" customHeight="false" outlineLevel="0" collapsed="false">
      <c r="B2786" s="19" t="s">
        <v>16915</v>
      </c>
      <c r="C2786" s="20" t="n">
        <f aca="false">ROUND(84.5/FX,2)</f>
        <v>11.74</v>
      </c>
      <c r="D2786" s="21" t="s">
        <v>724</v>
      </c>
      <c r="E2786" s="21" t="s">
        <v>16905</v>
      </c>
      <c r="F2786" s="21" t="s">
        <v>16916</v>
      </c>
      <c r="G2786" s="21" t="s">
        <v>734</v>
      </c>
      <c r="H2786" s="21" t="s">
        <v>16917</v>
      </c>
    </row>
    <row r="2787" customFormat="false" ht="15" hidden="false" customHeight="false" outlineLevel="0" collapsed="false">
      <c r="B2787" s="19" t="s">
        <v>16918</v>
      </c>
      <c r="C2787" s="20" t="n">
        <f aca="false">ROUND(91/FX,2)</f>
        <v>12.64</v>
      </c>
      <c r="D2787" s="21" t="s">
        <v>724</v>
      </c>
      <c r="E2787" s="21" t="s">
        <v>16905</v>
      </c>
      <c r="F2787" s="21" t="s">
        <v>16919</v>
      </c>
      <c r="G2787" s="21" t="s">
        <v>734</v>
      </c>
      <c r="H2787" s="21" t="s">
        <v>16920</v>
      </c>
    </row>
    <row r="2788" customFormat="false" ht="15" hidden="false" customHeight="false" outlineLevel="0" collapsed="false">
      <c r="B2788" s="19" t="s">
        <v>16921</v>
      </c>
      <c r="C2788" s="20" t="n">
        <f aca="false">ROUND(140.4/FX,2)</f>
        <v>19.5</v>
      </c>
      <c r="D2788" s="21" t="s">
        <v>724</v>
      </c>
      <c r="E2788" s="21" t="s">
        <v>16905</v>
      </c>
      <c r="F2788" s="21" t="s">
        <v>16922</v>
      </c>
      <c r="G2788" s="21" t="s">
        <v>734</v>
      </c>
      <c r="H2788" s="21" t="s">
        <v>7396</v>
      </c>
    </row>
    <row r="2789" customFormat="false" ht="15" hidden="false" customHeight="false" outlineLevel="0" collapsed="false">
      <c r="B2789" s="19" t="s">
        <v>16923</v>
      </c>
      <c r="C2789" s="20" t="n">
        <f aca="false">ROUND(149.5/FX,2)</f>
        <v>20.76</v>
      </c>
      <c r="D2789" s="21" t="s">
        <v>724</v>
      </c>
      <c r="E2789" s="21" t="s">
        <v>16905</v>
      </c>
      <c r="F2789" s="21" t="s">
        <v>16924</v>
      </c>
      <c r="G2789" s="21" t="s">
        <v>734</v>
      </c>
      <c r="H2789" s="21" t="s">
        <v>2661</v>
      </c>
    </row>
    <row r="2790" customFormat="false" ht="15" hidden="false" customHeight="false" outlineLevel="0" collapsed="false">
      <c r="B2790" s="19" t="s">
        <v>16925</v>
      </c>
      <c r="C2790" s="20" t="n">
        <f aca="false">ROUND(7.2/FX,2)</f>
        <v>1</v>
      </c>
      <c r="D2790" s="21" t="s">
        <v>6549</v>
      </c>
      <c r="E2790" s="21" t="s">
        <v>6550</v>
      </c>
      <c r="F2790" s="21" t="s">
        <v>16926</v>
      </c>
      <c r="G2790" s="21" t="s">
        <v>734</v>
      </c>
      <c r="H2790" s="21" t="s">
        <v>5097</v>
      </c>
    </row>
    <row r="2791" customFormat="false" ht="15" hidden="false" customHeight="false" outlineLevel="0" collapsed="false">
      <c r="B2791" s="19" t="s">
        <v>16927</v>
      </c>
      <c r="C2791" s="20" t="n">
        <f aca="false">ROUND(7.2/FX,2)</f>
        <v>1</v>
      </c>
      <c r="D2791" s="21" t="s">
        <v>6549</v>
      </c>
      <c r="E2791" s="21" t="s">
        <v>6550</v>
      </c>
      <c r="F2791" s="21" t="s">
        <v>16926</v>
      </c>
      <c r="G2791" s="21" t="s">
        <v>734</v>
      </c>
      <c r="H2791" s="21" t="s">
        <v>6723</v>
      </c>
    </row>
    <row r="2792" customFormat="false" ht="15" hidden="false" customHeight="false" outlineLevel="0" collapsed="false">
      <c r="B2792" s="19" t="s">
        <v>16928</v>
      </c>
      <c r="C2792" s="20" t="n">
        <f aca="false">ROUND(9.75/FX,2)</f>
        <v>1.35</v>
      </c>
      <c r="D2792" s="21" t="s">
        <v>6549</v>
      </c>
      <c r="E2792" s="21" t="s">
        <v>6550</v>
      </c>
      <c r="F2792" s="21" t="s">
        <v>16929</v>
      </c>
      <c r="G2792" s="21" t="s">
        <v>734</v>
      </c>
      <c r="H2792" s="21" t="s">
        <v>6244</v>
      </c>
    </row>
    <row r="2793" customFormat="false" ht="15" hidden="false" customHeight="false" outlineLevel="0" collapsed="false">
      <c r="B2793" s="19" t="s">
        <v>16930</v>
      </c>
      <c r="C2793" s="20" t="n">
        <f aca="false">ROUND(10.14/FX,2)</f>
        <v>1.41</v>
      </c>
      <c r="D2793" s="21" t="s">
        <v>724</v>
      </c>
      <c r="E2793" s="21" t="s">
        <v>6550</v>
      </c>
      <c r="F2793" s="21" t="s">
        <v>16931</v>
      </c>
      <c r="G2793" s="21" t="s">
        <v>734</v>
      </c>
      <c r="H2793" s="21" t="s">
        <v>6768</v>
      </c>
    </row>
    <row r="2794" customFormat="false" ht="15" hidden="false" customHeight="false" outlineLevel="0" collapsed="false">
      <c r="B2794" s="19" t="s">
        <v>16932</v>
      </c>
      <c r="C2794" s="20" t="n">
        <f aca="false">ROUND(6.5/FX,2)</f>
        <v>0.9</v>
      </c>
      <c r="D2794" s="21" t="s">
        <v>6549</v>
      </c>
      <c r="E2794" s="21" t="s">
        <v>6550</v>
      </c>
      <c r="F2794" s="21" t="s">
        <v>16931</v>
      </c>
      <c r="G2794" s="21" t="s">
        <v>734</v>
      </c>
      <c r="H2794" s="21" t="s">
        <v>6768</v>
      </c>
    </row>
    <row r="2795" customFormat="false" ht="15" hidden="false" customHeight="false" outlineLevel="0" collapsed="false">
      <c r="B2795" s="19" t="s">
        <v>16933</v>
      </c>
      <c r="C2795" s="20" t="n">
        <f aca="false">ROUND(10.4/FX,2)</f>
        <v>1.44</v>
      </c>
      <c r="D2795" s="21" t="s">
        <v>6549</v>
      </c>
      <c r="E2795" s="21" t="s">
        <v>6550</v>
      </c>
      <c r="F2795" s="21" t="s">
        <v>16934</v>
      </c>
      <c r="G2795" s="21" t="s">
        <v>734</v>
      </c>
      <c r="H2795" s="21" t="s">
        <v>16910</v>
      </c>
    </row>
    <row r="2796" customFormat="false" ht="15" hidden="false" customHeight="false" outlineLevel="0" collapsed="false">
      <c r="B2796" s="19" t="s">
        <v>16935</v>
      </c>
      <c r="C2796" s="20" t="n">
        <f aca="false">ROUND(12.35/FX,2)</f>
        <v>1.72</v>
      </c>
      <c r="D2796" s="21" t="s">
        <v>724</v>
      </c>
      <c r="E2796" s="21" t="s">
        <v>6550</v>
      </c>
      <c r="F2796" s="21" t="s">
        <v>16936</v>
      </c>
      <c r="G2796" s="21" t="s">
        <v>734</v>
      </c>
      <c r="H2796" s="21" t="s">
        <v>6730</v>
      </c>
    </row>
    <row r="2797" customFormat="false" ht="15" hidden="false" customHeight="false" outlineLevel="0" collapsed="false">
      <c r="B2797" s="19" t="s">
        <v>16937</v>
      </c>
      <c r="C2797" s="20" t="n">
        <f aca="false">ROUND(8.45/FX,2)</f>
        <v>1.17</v>
      </c>
      <c r="D2797" s="21" t="s">
        <v>6549</v>
      </c>
      <c r="E2797" s="21" t="s">
        <v>6550</v>
      </c>
      <c r="F2797" s="21" t="s">
        <v>16936</v>
      </c>
      <c r="G2797" s="21" t="s">
        <v>734</v>
      </c>
      <c r="H2797" s="21" t="s">
        <v>6730</v>
      </c>
    </row>
    <row r="2798" customFormat="false" ht="15" hidden="false" customHeight="false" outlineLevel="0" collapsed="false">
      <c r="B2798" s="19" t="s">
        <v>16938</v>
      </c>
      <c r="C2798" s="20" t="n">
        <f aca="false">ROUND(23.4/FX,2)</f>
        <v>3.25</v>
      </c>
      <c r="D2798" s="21" t="s">
        <v>6549</v>
      </c>
      <c r="E2798" s="21" t="s">
        <v>6550</v>
      </c>
      <c r="F2798" s="21" t="s">
        <v>16939</v>
      </c>
      <c r="G2798" s="21" t="s">
        <v>734</v>
      </c>
      <c r="H2798" s="21" t="s">
        <v>14417</v>
      </c>
    </row>
    <row r="2799" customFormat="false" ht="15" hidden="false" customHeight="false" outlineLevel="0" collapsed="false">
      <c r="B2799" s="19" t="s">
        <v>16940</v>
      </c>
      <c r="C2799" s="20" t="n">
        <f aca="false">ROUND(10.45/FX,2)</f>
        <v>1.45</v>
      </c>
      <c r="D2799" s="21" t="s">
        <v>6549</v>
      </c>
      <c r="E2799" s="21" t="s">
        <v>6550</v>
      </c>
      <c r="F2799" s="21" t="s">
        <v>16941</v>
      </c>
      <c r="G2799" s="21" t="s">
        <v>734</v>
      </c>
      <c r="H2799" s="21" t="s">
        <v>6246</v>
      </c>
    </row>
    <row r="2800" customFormat="false" ht="15" hidden="false" customHeight="false" outlineLevel="0" collapsed="false">
      <c r="B2800" s="19" t="s">
        <v>16942</v>
      </c>
      <c r="C2800" s="20" t="n">
        <f aca="false">ROUND(32.5/FX,2)</f>
        <v>4.51</v>
      </c>
      <c r="D2800" s="21" t="s">
        <v>6549</v>
      </c>
      <c r="E2800" s="21" t="s">
        <v>6550</v>
      </c>
      <c r="F2800" s="21" t="s">
        <v>16943</v>
      </c>
      <c r="G2800" s="21" t="s">
        <v>734</v>
      </c>
      <c r="H2800" s="21" t="s">
        <v>2951</v>
      </c>
    </row>
    <row r="2801" customFormat="false" ht="15" hidden="false" customHeight="false" outlineLevel="0" collapsed="false">
      <c r="B2801" s="19" t="s">
        <v>16944</v>
      </c>
      <c r="C2801" s="20" t="n">
        <f aca="false">ROUND(18.2/FX,2)</f>
        <v>2.53</v>
      </c>
      <c r="D2801" s="21" t="s">
        <v>6549</v>
      </c>
      <c r="E2801" s="21" t="s">
        <v>6550</v>
      </c>
      <c r="F2801" s="21" t="s">
        <v>16945</v>
      </c>
      <c r="G2801" s="21" t="s">
        <v>734</v>
      </c>
      <c r="H2801" s="21" t="s">
        <v>2911</v>
      </c>
    </row>
    <row r="2802" customFormat="false" ht="15" hidden="false" customHeight="false" outlineLevel="0" collapsed="false">
      <c r="B2802" s="19" t="s">
        <v>16946</v>
      </c>
      <c r="C2802" s="20" t="n">
        <f aca="false">ROUND(50.5/FX,2)</f>
        <v>7.01</v>
      </c>
      <c r="D2802" s="21" t="s">
        <v>6549</v>
      </c>
      <c r="E2802" s="21" t="s">
        <v>6550</v>
      </c>
      <c r="F2802" s="21" t="s">
        <v>16947</v>
      </c>
      <c r="G2802" s="21" t="s">
        <v>734</v>
      </c>
      <c r="H2802" s="21" t="s">
        <v>16917</v>
      </c>
    </row>
    <row r="2803" customFormat="false" ht="15" hidden="false" customHeight="false" outlineLevel="0" collapsed="false">
      <c r="B2803" s="19" t="s">
        <v>16948</v>
      </c>
      <c r="C2803" s="20" t="n">
        <f aca="false">ROUND(19/FX,2)</f>
        <v>2.64</v>
      </c>
      <c r="D2803" s="21" t="s">
        <v>6549</v>
      </c>
      <c r="E2803" s="21" t="s">
        <v>6550</v>
      </c>
      <c r="F2803" s="21" t="s">
        <v>16949</v>
      </c>
      <c r="G2803" s="21" t="s">
        <v>734</v>
      </c>
      <c r="H2803" s="21" t="s">
        <v>16950</v>
      </c>
    </row>
    <row r="2804" customFormat="false" ht="15" hidden="false" customHeight="false" outlineLevel="0" collapsed="false">
      <c r="B2804" s="19" t="s">
        <v>16951</v>
      </c>
      <c r="C2804" s="20" t="n">
        <f aca="false">ROUND(15/FX,2)</f>
        <v>2.08</v>
      </c>
      <c r="D2804" s="21" t="s">
        <v>724</v>
      </c>
      <c r="E2804" s="21" t="s">
        <v>6550</v>
      </c>
      <c r="F2804" s="21" t="s">
        <v>16952</v>
      </c>
      <c r="G2804" s="21" t="s">
        <v>734</v>
      </c>
      <c r="H2804" s="21" t="s">
        <v>16953</v>
      </c>
    </row>
    <row r="2805" customFormat="false" ht="15" hidden="false" customHeight="false" outlineLevel="0" collapsed="false">
      <c r="B2805" s="19" t="s">
        <v>16954</v>
      </c>
      <c r="C2805" s="20" t="n">
        <f aca="false">ROUND(15/FX,2)</f>
        <v>2.08</v>
      </c>
      <c r="D2805" s="21" t="s">
        <v>724</v>
      </c>
      <c r="E2805" s="21" t="s">
        <v>6550</v>
      </c>
      <c r="F2805" s="21" t="s">
        <v>16952</v>
      </c>
      <c r="G2805" s="21" t="s">
        <v>734</v>
      </c>
      <c r="H2805" s="21" t="s">
        <v>16955</v>
      </c>
    </row>
    <row r="2806" customFormat="false" ht="15" hidden="false" customHeight="false" outlineLevel="0" collapsed="false">
      <c r="B2806" s="19" t="s">
        <v>16956</v>
      </c>
      <c r="C2806" s="20" t="n">
        <f aca="false">ROUND(7.8/FX,2)</f>
        <v>1.08</v>
      </c>
      <c r="D2806" s="21" t="s">
        <v>6549</v>
      </c>
      <c r="E2806" s="21" t="s">
        <v>6550</v>
      </c>
      <c r="F2806" s="21" t="s">
        <v>16952</v>
      </c>
      <c r="G2806" s="21" t="s">
        <v>734</v>
      </c>
      <c r="H2806" s="21" t="s">
        <v>16953</v>
      </c>
    </row>
    <row r="2807" customFormat="false" ht="15" hidden="false" customHeight="false" outlineLevel="0" collapsed="false">
      <c r="B2807" s="19" t="s">
        <v>16957</v>
      </c>
      <c r="C2807" s="20" t="n">
        <f aca="false">ROUND(9.1/FX,2)</f>
        <v>1.26</v>
      </c>
      <c r="D2807" s="21" t="s">
        <v>6549</v>
      </c>
      <c r="E2807" s="21" t="s">
        <v>6550</v>
      </c>
      <c r="F2807" s="21" t="s">
        <v>16952</v>
      </c>
      <c r="G2807" s="21" t="s">
        <v>734</v>
      </c>
      <c r="H2807" s="21" t="s">
        <v>16955</v>
      </c>
    </row>
    <row r="2808" customFormat="false" ht="15" hidden="false" customHeight="false" outlineLevel="0" collapsed="false">
      <c r="B2808" s="19" t="s">
        <v>16958</v>
      </c>
      <c r="C2808" s="20" t="n">
        <f aca="false">ROUND(13/FX,2)</f>
        <v>1.81</v>
      </c>
      <c r="D2808" s="21" t="s">
        <v>724</v>
      </c>
      <c r="E2808" s="21" t="s">
        <v>6550</v>
      </c>
      <c r="F2808" s="21" t="s">
        <v>16959</v>
      </c>
      <c r="G2808" s="21" t="s">
        <v>734</v>
      </c>
      <c r="H2808" s="21" t="s">
        <v>6768</v>
      </c>
    </row>
    <row r="2809" customFormat="false" ht="15" hidden="false" customHeight="false" outlineLevel="0" collapsed="false">
      <c r="B2809" s="19" t="s">
        <v>16960</v>
      </c>
      <c r="C2809" s="20" t="n">
        <f aca="false">ROUND(13/FX,2)</f>
        <v>1.81</v>
      </c>
      <c r="D2809" s="21" t="s">
        <v>6549</v>
      </c>
      <c r="E2809" s="21" t="s">
        <v>6550</v>
      </c>
      <c r="F2809" s="21" t="s">
        <v>16959</v>
      </c>
      <c r="G2809" s="21" t="s">
        <v>734</v>
      </c>
      <c r="H2809" s="21" t="s">
        <v>6768</v>
      </c>
    </row>
    <row r="2810" customFormat="false" ht="15" hidden="false" customHeight="false" outlineLevel="0" collapsed="false">
      <c r="B2810" s="19" t="s">
        <v>16961</v>
      </c>
      <c r="C2810" s="20" t="n">
        <f aca="false">ROUND(29.9/FX,2)</f>
        <v>4.15</v>
      </c>
      <c r="D2810" s="21" t="s">
        <v>724</v>
      </c>
      <c r="E2810" s="21" t="s">
        <v>16905</v>
      </c>
      <c r="F2810" s="21" t="s">
        <v>16959</v>
      </c>
      <c r="G2810" s="21" t="s">
        <v>734</v>
      </c>
      <c r="H2810" s="21" t="s">
        <v>6768</v>
      </c>
    </row>
    <row r="2811" customFormat="false" ht="15" hidden="false" customHeight="false" outlineLevel="0" collapsed="false">
      <c r="B2811" s="19" t="s">
        <v>16962</v>
      </c>
      <c r="C2811" s="20" t="n">
        <f aca="false">ROUND(32.5/FX,2)</f>
        <v>4.51</v>
      </c>
      <c r="D2811" s="21" t="s">
        <v>724</v>
      </c>
      <c r="E2811" s="21" t="s">
        <v>14260</v>
      </c>
      <c r="F2811" s="21" t="s">
        <v>16959</v>
      </c>
      <c r="G2811" s="21" t="s">
        <v>16963</v>
      </c>
      <c r="H2811" s="21" t="s">
        <v>6768</v>
      </c>
    </row>
    <row r="2812" customFormat="false" ht="15" hidden="false" customHeight="false" outlineLevel="0" collapsed="false">
      <c r="B2812" s="19" t="s">
        <v>16964</v>
      </c>
      <c r="C2812" s="20" t="n">
        <f aca="false">ROUND(26/FX,2)</f>
        <v>3.61</v>
      </c>
      <c r="D2812" s="21" t="s">
        <v>724</v>
      </c>
      <c r="E2812" s="21" t="s">
        <v>14260</v>
      </c>
      <c r="F2812" s="21" t="s">
        <v>16959</v>
      </c>
      <c r="G2812" s="21" t="s">
        <v>16965</v>
      </c>
      <c r="H2812" s="21" t="s">
        <v>6768</v>
      </c>
    </row>
    <row r="2813" customFormat="false" ht="15" hidden="false" customHeight="false" outlineLevel="0" collapsed="false">
      <c r="B2813" s="19" t="s">
        <v>16966</v>
      </c>
      <c r="C2813" s="20" t="n">
        <f aca="false">ROUND(29.9/FX,2)</f>
        <v>4.15</v>
      </c>
      <c r="D2813" s="21" t="s">
        <v>724</v>
      </c>
      <c r="E2813" s="21" t="s">
        <v>14260</v>
      </c>
      <c r="F2813" s="21" t="s">
        <v>16967</v>
      </c>
      <c r="G2813" s="21" t="s">
        <v>734</v>
      </c>
      <c r="H2813" s="21" t="s">
        <v>6244</v>
      </c>
    </row>
    <row r="2814" customFormat="false" ht="15" hidden="false" customHeight="false" outlineLevel="0" collapsed="false">
      <c r="B2814" s="19" t="s">
        <v>16968</v>
      </c>
      <c r="C2814" s="20" t="n">
        <f aca="false">ROUND(14.95/FX,2)</f>
        <v>2.08</v>
      </c>
      <c r="D2814" s="21" t="s">
        <v>724</v>
      </c>
      <c r="E2814" s="21" t="s">
        <v>6550</v>
      </c>
      <c r="F2814" s="21" t="s">
        <v>16969</v>
      </c>
      <c r="G2814" s="21" t="s">
        <v>734</v>
      </c>
      <c r="H2814" s="21" t="s">
        <v>6730</v>
      </c>
    </row>
    <row r="2815" customFormat="false" ht="15" hidden="false" customHeight="false" outlineLevel="0" collapsed="false">
      <c r="B2815" s="19" t="s">
        <v>16970</v>
      </c>
      <c r="C2815" s="20" t="n">
        <f aca="false">ROUND(39/FX,2)</f>
        <v>5.42</v>
      </c>
      <c r="D2815" s="21" t="s">
        <v>724</v>
      </c>
      <c r="E2815" s="21" t="s">
        <v>16905</v>
      </c>
      <c r="F2815" s="21" t="s">
        <v>16969</v>
      </c>
      <c r="G2815" s="21" t="s">
        <v>734</v>
      </c>
      <c r="H2815" s="21" t="s">
        <v>6730</v>
      </c>
    </row>
    <row r="2816" customFormat="false" ht="15" hidden="false" customHeight="false" outlineLevel="0" collapsed="false">
      <c r="B2816" s="19" t="s">
        <v>16971</v>
      </c>
      <c r="C2816" s="20" t="n">
        <f aca="false">ROUND(33.8/FX,2)</f>
        <v>4.69</v>
      </c>
      <c r="D2816" s="21" t="s">
        <v>724</v>
      </c>
      <c r="E2816" s="21" t="s">
        <v>14260</v>
      </c>
      <c r="F2816" s="21" t="s">
        <v>16969</v>
      </c>
      <c r="G2816" s="21" t="s">
        <v>16972</v>
      </c>
      <c r="H2816" s="21" t="s">
        <v>6730</v>
      </c>
    </row>
    <row r="2817" customFormat="false" ht="15" hidden="false" customHeight="false" outlineLevel="0" collapsed="false">
      <c r="B2817" s="19" t="s">
        <v>16973</v>
      </c>
      <c r="C2817" s="20" t="n">
        <f aca="false">ROUND(45.5/FX,2)</f>
        <v>6.32</v>
      </c>
      <c r="D2817" s="21" t="s">
        <v>724</v>
      </c>
      <c r="E2817" s="21" t="s">
        <v>14260</v>
      </c>
      <c r="F2817" s="21" t="s">
        <v>16969</v>
      </c>
      <c r="G2817" s="21" t="s">
        <v>16974</v>
      </c>
      <c r="H2817" s="21" t="s">
        <v>6730</v>
      </c>
    </row>
    <row r="2818" customFormat="false" ht="15" hidden="false" customHeight="false" outlineLevel="0" collapsed="false">
      <c r="B2818" s="19" t="s">
        <v>16975</v>
      </c>
      <c r="C2818" s="20" t="n">
        <f aca="false">ROUND(39/FX,2)</f>
        <v>5.42</v>
      </c>
      <c r="D2818" s="21" t="s">
        <v>724</v>
      </c>
      <c r="E2818" s="21" t="s">
        <v>14260</v>
      </c>
      <c r="F2818" s="21" t="s">
        <v>16976</v>
      </c>
      <c r="G2818" s="21" t="s">
        <v>734</v>
      </c>
      <c r="H2818" s="21" t="s">
        <v>16910</v>
      </c>
    </row>
    <row r="2819" customFormat="false" ht="15" hidden="false" customHeight="false" outlineLevel="0" collapsed="false">
      <c r="B2819" s="19" t="s">
        <v>16977</v>
      </c>
      <c r="C2819" s="20" t="n">
        <f aca="false">ROUND(19.5/FX,2)</f>
        <v>2.71</v>
      </c>
      <c r="D2819" s="21" t="s">
        <v>724</v>
      </c>
      <c r="E2819" s="21" t="s">
        <v>6550</v>
      </c>
      <c r="F2819" s="21" t="s">
        <v>16978</v>
      </c>
      <c r="G2819" s="21" t="s">
        <v>734</v>
      </c>
      <c r="H2819" s="21" t="s">
        <v>6246</v>
      </c>
    </row>
    <row r="2820" customFormat="false" ht="15" hidden="false" customHeight="false" outlineLevel="0" collapsed="false">
      <c r="B2820" s="19" t="s">
        <v>16979</v>
      </c>
      <c r="C2820" s="20" t="n">
        <f aca="false">ROUND(19.5/FX,2)</f>
        <v>2.71</v>
      </c>
      <c r="D2820" s="21" t="s">
        <v>6549</v>
      </c>
      <c r="E2820" s="21" t="s">
        <v>6550</v>
      </c>
      <c r="F2820" s="21" t="s">
        <v>16978</v>
      </c>
      <c r="G2820" s="21" t="s">
        <v>734</v>
      </c>
      <c r="H2820" s="21" t="s">
        <v>6246</v>
      </c>
    </row>
    <row r="2821" customFormat="false" ht="15" hidden="false" customHeight="false" outlineLevel="0" collapsed="false">
      <c r="B2821" s="19" t="s">
        <v>16980</v>
      </c>
      <c r="C2821" s="20" t="n">
        <f aca="false">ROUND(44.14/FX,2)</f>
        <v>6.13</v>
      </c>
      <c r="D2821" s="21" t="s">
        <v>724</v>
      </c>
      <c r="E2821" s="21" t="s">
        <v>16905</v>
      </c>
      <c r="F2821" s="21" t="s">
        <v>16978</v>
      </c>
      <c r="G2821" s="21" t="s">
        <v>734</v>
      </c>
      <c r="H2821" s="21" t="s">
        <v>6246</v>
      </c>
    </row>
    <row r="2822" customFormat="false" ht="15" hidden="false" customHeight="false" outlineLevel="0" collapsed="false">
      <c r="B2822" s="19" t="s">
        <v>16981</v>
      </c>
      <c r="C2822" s="20" t="n">
        <f aca="false">ROUND(43.94/FX,2)</f>
        <v>6.1</v>
      </c>
      <c r="D2822" s="21" t="s">
        <v>724</v>
      </c>
      <c r="E2822" s="21" t="s">
        <v>14260</v>
      </c>
      <c r="F2822" s="21" t="s">
        <v>16978</v>
      </c>
      <c r="G2822" s="21" t="s">
        <v>16982</v>
      </c>
      <c r="H2822" s="21" t="s">
        <v>6246</v>
      </c>
    </row>
    <row r="2823" customFormat="false" ht="15" hidden="false" customHeight="false" outlineLevel="0" collapsed="false">
      <c r="B2823" s="19" t="s">
        <v>16983</v>
      </c>
      <c r="C2823" s="20" t="n">
        <f aca="false">ROUND(62.4/FX,2)</f>
        <v>8.67</v>
      </c>
      <c r="D2823" s="21" t="s">
        <v>724</v>
      </c>
      <c r="E2823" s="21" t="s">
        <v>14260</v>
      </c>
      <c r="F2823" s="21" t="s">
        <v>16978</v>
      </c>
      <c r="G2823" s="21" t="s">
        <v>16984</v>
      </c>
      <c r="H2823" s="21" t="s">
        <v>6246</v>
      </c>
    </row>
    <row r="2824" customFormat="false" ht="15" hidden="false" customHeight="false" outlineLevel="0" collapsed="false">
      <c r="B2824" s="19" t="s">
        <v>16985</v>
      </c>
      <c r="C2824" s="20" t="n">
        <f aca="false">ROUND(52/FX,2)</f>
        <v>7.22</v>
      </c>
      <c r="D2824" s="21" t="s">
        <v>724</v>
      </c>
      <c r="E2824" s="21" t="s">
        <v>14260</v>
      </c>
      <c r="F2824" s="21" t="s">
        <v>16986</v>
      </c>
      <c r="G2824" s="21" t="s">
        <v>734</v>
      </c>
      <c r="H2824" s="21" t="s">
        <v>14417</v>
      </c>
    </row>
    <row r="2825" customFormat="false" ht="15" hidden="false" customHeight="false" outlineLevel="0" collapsed="false">
      <c r="B2825" s="19" t="s">
        <v>16987</v>
      </c>
      <c r="C2825" s="20" t="n">
        <f aca="false">ROUND(70.2/FX,2)</f>
        <v>9.75</v>
      </c>
      <c r="D2825" s="21" t="s">
        <v>724</v>
      </c>
      <c r="E2825" s="21" t="s">
        <v>6550</v>
      </c>
      <c r="F2825" s="21" t="s">
        <v>16988</v>
      </c>
      <c r="G2825" s="21" t="s">
        <v>734</v>
      </c>
      <c r="H2825" s="21" t="s">
        <v>2911</v>
      </c>
    </row>
    <row r="2826" customFormat="false" ht="15" hidden="false" customHeight="false" outlineLevel="0" collapsed="false">
      <c r="B2826" s="19" t="s">
        <v>16989</v>
      </c>
      <c r="C2826" s="20" t="n">
        <f aca="false">ROUND(28.6/FX,2)</f>
        <v>3.97</v>
      </c>
      <c r="D2826" s="21" t="s">
        <v>6549</v>
      </c>
      <c r="E2826" s="21" t="s">
        <v>6550</v>
      </c>
      <c r="F2826" s="21" t="s">
        <v>16988</v>
      </c>
      <c r="G2826" s="21" t="s">
        <v>734</v>
      </c>
      <c r="H2826" s="21" t="s">
        <v>2911</v>
      </c>
    </row>
    <row r="2827" customFormat="false" ht="15" hidden="false" customHeight="false" outlineLevel="0" collapsed="false">
      <c r="B2827" s="19" t="s">
        <v>16990</v>
      </c>
      <c r="C2827" s="20" t="n">
        <f aca="false">ROUND(58.5/FX,2)</f>
        <v>8.13</v>
      </c>
      <c r="D2827" s="21" t="s">
        <v>724</v>
      </c>
      <c r="E2827" s="21" t="s">
        <v>16905</v>
      </c>
      <c r="F2827" s="21" t="s">
        <v>16988</v>
      </c>
      <c r="G2827" s="21" t="s">
        <v>734</v>
      </c>
      <c r="H2827" s="21" t="s">
        <v>2911</v>
      </c>
    </row>
    <row r="2828" customFormat="false" ht="15" hidden="false" customHeight="false" outlineLevel="0" collapsed="false">
      <c r="B2828" s="19" t="s">
        <v>16991</v>
      </c>
      <c r="C2828" s="20" t="n">
        <f aca="false">ROUND(55.9/FX,2)</f>
        <v>7.76</v>
      </c>
      <c r="D2828" s="21" t="s">
        <v>724</v>
      </c>
      <c r="E2828" s="21" t="s">
        <v>14260</v>
      </c>
      <c r="F2828" s="21" t="s">
        <v>16988</v>
      </c>
      <c r="G2828" s="21" t="s">
        <v>734</v>
      </c>
      <c r="H2828" s="21" t="s">
        <v>2911</v>
      </c>
    </row>
    <row r="2829" customFormat="false" ht="15" hidden="false" customHeight="false" outlineLevel="0" collapsed="false">
      <c r="B2829" s="19" t="s">
        <v>16992</v>
      </c>
      <c r="C2829" s="20" t="n">
        <f aca="false">ROUND(65/FX,2)</f>
        <v>9.03</v>
      </c>
      <c r="D2829" s="21" t="s">
        <v>724</v>
      </c>
      <c r="E2829" s="21" t="s">
        <v>14260</v>
      </c>
      <c r="F2829" s="21" t="s">
        <v>16993</v>
      </c>
      <c r="G2829" s="21" t="s">
        <v>734</v>
      </c>
      <c r="H2829" s="21" t="s">
        <v>2951</v>
      </c>
    </row>
    <row r="2830" customFormat="false" ht="15" hidden="false" customHeight="false" outlineLevel="0" collapsed="false">
      <c r="B2830" s="19" t="s">
        <v>16994</v>
      </c>
      <c r="C2830" s="20" t="n">
        <f aca="false">ROUND(94.9/FX,2)</f>
        <v>13.18</v>
      </c>
      <c r="D2830" s="21" t="s">
        <v>724</v>
      </c>
      <c r="E2830" s="21" t="s">
        <v>14260</v>
      </c>
      <c r="F2830" s="21" t="s">
        <v>16995</v>
      </c>
      <c r="G2830" s="21" t="s">
        <v>734</v>
      </c>
      <c r="H2830" s="21" t="s">
        <v>16917</v>
      </c>
    </row>
    <row r="2831" customFormat="false" ht="15" hidden="false" customHeight="false" outlineLevel="0" collapsed="false">
      <c r="B2831" s="19" t="s">
        <v>16996</v>
      </c>
      <c r="C2831" s="20" t="n">
        <f aca="false">ROUND(136.5/FX,2)</f>
        <v>18.96</v>
      </c>
      <c r="D2831" s="21" t="s">
        <v>724</v>
      </c>
      <c r="E2831" s="21" t="s">
        <v>14260</v>
      </c>
      <c r="F2831" s="21" t="s">
        <v>16997</v>
      </c>
      <c r="G2831" s="21" t="s">
        <v>734</v>
      </c>
      <c r="H2831" s="21" t="s">
        <v>16998</v>
      </c>
    </row>
    <row r="2832" customFormat="false" ht="15" hidden="false" customHeight="false" outlineLevel="0" collapsed="false">
      <c r="B2832" s="19" t="s">
        <v>16999</v>
      </c>
      <c r="C2832" s="20" t="n">
        <f aca="false">ROUND(156/FX,2)</f>
        <v>21.67</v>
      </c>
      <c r="D2832" s="21" t="s">
        <v>724</v>
      </c>
      <c r="E2832" s="21" t="s">
        <v>14260</v>
      </c>
      <c r="F2832" s="21" t="s">
        <v>17000</v>
      </c>
      <c r="G2832" s="21" t="s">
        <v>734</v>
      </c>
      <c r="H2832" s="21" t="s">
        <v>7396</v>
      </c>
    </row>
    <row r="2833" customFormat="false" ht="15" hidden="false" customHeight="false" outlineLevel="0" collapsed="false">
      <c r="B2833" s="19" t="s">
        <v>17001</v>
      </c>
      <c r="C2833" s="20" t="n">
        <f aca="false">ROUND(208/FX,2)</f>
        <v>28.89</v>
      </c>
      <c r="D2833" s="21" t="s">
        <v>724</v>
      </c>
      <c r="E2833" s="21" t="s">
        <v>14260</v>
      </c>
      <c r="F2833" s="21" t="s">
        <v>17002</v>
      </c>
      <c r="G2833" s="21" t="s">
        <v>734</v>
      </c>
      <c r="H2833" s="21" t="s">
        <v>3111</v>
      </c>
    </row>
    <row r="2834" customFormat="false" ht="15" hidden="false" customHeight="false" outlineLevel="0" collapsed="false">
      <c r="B2834" s="19" t="s">
        <v>17003</v>
      </c>
      <c r="C2834" s="20" t="n">
        <f aca="false">ROUND(16.9/FX,2)</f>
        <v>2.35</v>
      </c>
      <c r="D2834" s="21" t="s">
        <v>724</v>
      </c>
      <c r="E2834" s="21" t="s">
        <v>14260</v>
      </c>
      <c r="F2834" s="21" t="s">
        <v>17004</v>
      </c>
      <c r="G2834" s="21" t="s">
        <v>734</v>
      </c>
      <c r="H2834" s="21" t="s">
        <v>6244</v>
      </c>
    </row>
    <row r="2835" customFormat="false" ht="15" hidden="false" customHeight="false" outlineLevel="0" collapsed="false">
      <c r="B2835" s="19" t="s">
        <v>17005</v>
      </c>
      <c r="C2835" s="20" t="n">
        <f aca="false">ROUND(19.5/FX,2)</f>
        <v>2.71</v>
      </c>
      <c r="D2835" s="21" t="s">
        <v>724</v>
      </c>
      <c r="E2835" s="21" t="s">
        <v>14260</v>
      </c>
      <c r="F2835" s="21" t="s">
        <v>17006</v>
      </c>
      <c r="G2835" s="21" t="s">
        <v>734</v>
      </c>
      <c r="H2835" s="21" t="s">
        <v>6768</v>
      </c>
    </row>
    <row r="2836" customFormat="false" ht="15" hidden="false" customHeight="false" outlineLevel="0" collapsed="false">
      <c r="B2836" s="19" t="s">
        <v>17007</v>
      </c>
      <c r="C2836" s="20" t="n">
        <f aca="false">ROUND(26/FX,2)</f>
        <v>3.61</v>
      </c>
      <c r="D2836" s="21" t="s">
        <v>724</v>
      </c>
      <c r="E2836" s="21" t="s">
        <v>14260</v>
      </c>
      <c r="F2836" s="21" t="s">
        <v>17008</v>
      </c>
      <c r="G2836" s="21" t="s">
        <v>734</v>
      </c>
      <c r="H2836" s="21" t="s">
        <v>16910</v>
      </c>
    </row>
    <row r="2837" customFormat="false" ht="15" hidden="false" customHeight="false" outlineLevel="0" collapsed="false">
      <c r="B2837" s="19" t="s">
        <v>17009</v>
      </c>
      <c r="C2837" s="20" t="n">
        <f aca="false">ROUND(23.4/FX,2)</f>
        <v>3.25</v>
      </c>
      <c r="D2837" s="21" t="s">
        <v>724</v>
      </c>
      <c r="E2837" s="21" t="s">
        <v>14260</v>
      </c>
      <c r="F2837" s="21" t="s">
        <v>17010</v>
      </c>
      <c r="G2837" s="21" t="s">
        <v>734</v>
      </c>
      <c r="H2837" s="21" t="s">
        <v>6730</v>
      </c>
    </row>
    <row r="2838" customFormat="false" ht="15" hidden="false" customHeight="false" outlineLevel="0" collapsed="false">
      <c r="B2838" s="19" t="s">
        <v>17011</v>
      </c>
      <c r="C2838" s="20" t="n">
        <f aca="false">ROUND(36.4/FX,2)</f>
        <v>5.06</v>
      </c>
      <c r="D2838" s="21" t="s">
        <v>724</v>
      </c>
      <c r="E2838" s="21" t="s">
        <v>14260</v>
      </c>
      <c r="F2838" s="21" t="s">
        <v>17012</v>
      </c>
      <c r="G2838" s="21" t="s">
        <v>734</v>
      </c>
      <c r="H2838" s="21" t="s">
        <v>14417</v>
      </c>
    </row>
    <row r="2839" customFormat="false" ht="15" hidden="false" customHeight="false" outlineLevel="0" collapsed="false">
      <c r="B2839" s="19" t="s">
        <v>17013</v>
      </c>
      <c r="C2839" s="20" t="n">
        <f aca="false">ROUND(32.5/FX,2)</f>
        <v>4.51</v>
      </c>
      <c r="D2839" s="21" t="s">
        <v>724</v>
      </c>
      <c r="E2839" s="21" t="s">
        <v>14260</v>
      </c>
      <c r="F2839" s="21" t="s">
        <v>17014</v>
      </c>
      <c r="G2839" s="21" t="s">
        <v>734</v>
      </c>
      <c r="H2839" s="21" t="s">
        <v>6246</v>
      </c>
    </row>
    <row r="2840" customFormat="false" ht="15" hidden="false" customHeight="false" outlineLevel="0" collapsed="false">
      <c r="B2840" s="19" t="s">
        <v>17015</v>
      </c>
      <c r="C2840" s="20" t="n">
        <f aca="false">ROUND(52/FX,2)</f>
        <v>7.22</v>
      </c>
      <c r="D2840" s="21" t="s">
        <v>724</v>
      </c>
      <c r="E2840" s="21" t="s">
        <v>14260</v>
      </c>
      <c r="F2840" s="21" t="s">
        <v>17016</v>
      </c>
      <c r="G2840" s="21" t="s">
        <v>734</v>
      </c>
      <c r="H2840" s="21" t="s">
        <v>2951</v>
      </c>
    </row>
    <row r="2841" customFormat="false" ht="15" hidden="false" customHeight="false" outlineLevel="0" collapsed="false">
      <c r="B2841" s="19" t="s">
        <v>17017</v>
      </c>
      <c r="C2841" s="20" t="n">
        <f aca="false">ROUND(42.9/FX,2)</f>
        <v>5.96</v>
      </c>
      <c r="D2841" s="21" t="s">
        <v>724</v>
      </c>
      <c r="E2841" s="21" t="s">
        <v>14260</v>
      </c>
      <c r="F2841" s="21" t="s">
        <v>17018</v>
      </c>
      <c r="G2841" s="21" t="s">
        <v>734</v>
      </c>
      <c r="H2841" s="21" t="s">
        <v>2911</v>
      </c>
    </row>
    <row r="2842" customFormat="false" ht="15" hidden="false" customHeight="false" outlineLevel="0" collapsed="false">
      <c r="B2842" s="19" t="s">
        <v>17019</v>
      </c>
      <c r="C2842" s="20" t="n">
        <f aca="false">ROUND(123.5/FX,2)</f>
        <v>17.15</v>
      </c>
      <c r="D2842" s="21" t="s">
        <v>724</v>
      </c>
      <c r="E2842" s="21" t="s">
        <v>14260</v>
      </c>
      <c r="F2842" s="21" t="s">
        <v>17020</v>
      </c>
      <c r="G2842" s="21" t="s">
        <v>734</v>
      </c>
      <c r="H2842" s="21" t="s">
        <v>16998</v>
      </c>
    </row>
    <row r="2843" customFormat="false" ht="15" hidden="false" customHeight="false" outlineLevel="0" collapsed="false">
      <c r="B2843" s="19" t="s">
        <v>17021</v>
      </c>
      <c r="C2843" s="20" t="n">
        <f aca="false">ROUND(75.4/FX,2)</f>
        <v>10.47</v>
      </c>
      <c r="D2843" s="21" t="s">
        <v>724</v>
      </c>
      <c r="E2843" s="21" t="s">
        <v>14260</v>
      </c>
      <c r="F2843" s="21" t="s">
        <v>17022</v>
      </c>
      <c r="G2843" s="21" t="s">
        <v>734</v>
      </c>
      <c r="H2843" s="21" t="s">
        <v>16917</v>
      </c>
    </row>
    <row r="2844" customFormat="false" ht="15" hidden="false" customHeight="false" outlineLevel="0" collapsed="false">
      <c r="B2844" s="19" t="s">
        <v>17023</v>
      </c>
      <c r="C2844" s="20" t="n">
        <f aca="false">ROUND(175.5/FX,2)</f>
        <v>24.38</v>
      </c>
      <c r="D2844" s="21" t="s">
        <v>724</v>
      </c>
      <c r="E2844" s="21" t="s">
        <v>14260</v>
      </c>
      <c r="F2844" s="21" t="s">
        <v>17024</v>
      </c>
      <c r="G2844" s="21" t="s">
        <v>734</v>
      </c>
      <c r="H2844" s="21" t="s">
        <v>3111</v>
      </c>
    </row>
    <row r="2845" customFormat="false" ht="15" hidden="false" customHeight="false" outlineLevel="0" collapsed="false">
      <c r="B2845" s="19" t="s">
        <v>17025</v>
      </c>
      <c r="C2845" s="20" t="n">
        <f aca="false">ROUND(114.4/FX,2)</f>
        <v>15.89</v>
      </c>
      <c r="D2845" s="21" t="s">
        <v>724</v>
      </c>
      <c r="E2845" s="21" t="s">
        <v>14260</v>
      </c>
      <c r="F2845" s="21" t="s">
        <v>17026</v>
      </c>
      <c r="G2845" s="21" t="s">
        <v>734</v>
      </c>
      <c r="H2845" s="21" t="s">
        <v>7396</v>
      </c>
    </row>
    <row r="2846" customFormat="false" ht="15" hidden="false" customHeight="false" outlineLevel="0" collapsed="false">
      <c r="B2846" s="19" t="s">
        <v>17027</v>
      </c>
      <c r="C2846" s="20" t="n">
        <f aca="false">ROUND(9.1/FX,2)</f>
        <v>1.26</v>
      </c>
      <c r="D2846" s="21" t="s">
        <v>724</v>
      </c>
      <c r="E2846" s="21" t="s">
        <v>6550</v>
      </c>
      <c r="F2846" s="21" t="s">
        <v>13312</v>
      </c>
      <c r="G2846" s="21" t="s">
        <v>734</v>
      </c>
      <c r="H2846" s="21" t="s">
        <v>5097</v>
      </c>
    </row>
    <row r="2847" customFormat="false" ht="15" hidden="false" customHeight="false" outlineLevel="0" collapsed="false">
      <c r="B2847" s="19" t="s">
        <v>17028</v>
      </c>
      <c r="C2847" s="20" t="n">
        <f aca="false">ROUND(7.15/FX,2)</f>
        <v>0.99</v>
      </c>
      <c r="D2847" s="21" t="s">
        <v>724</v>
      </c>
      <c r="E2847" s="21" t="s">
        <v>6550</v>
      </c>
      <c r="F2847" s="21" t="s">
        <v>13312</v>
      </c>
      <c r="G2847" s="21" t="s">
        <v>734</v>
      </c>
      <c r="H2847" s="21" t="s">
        <v>6723</v>
      </c>
    </row>
    <row r="2848" customFormat="false" ht="15" hidden="false" customHeight="false" outlineLevel="0" collapsed="false">
      <c r="B2848" s="19" t="s">
        <v>17029</v>
      </c>
      <c r="C2848" s="20" t="n">
        <f aca="false">ROUND(8.45/FX,2)</f>
        <v>1.17</v>
      </c>
      <c r="D2848" s="21" t="s">
        <v>6549</v>
      </c>
      <c r="E2848" s="21" t="s">
        <v>6550</v>
      </c>
      <c r="F2848" s="21" t="s">
        <v>13312</v>
      </c>
      <c r="G2848" s="21" t="s">
        <v>734</v>
      </c>
      <c r="H2848" s="21" t="s">
        <v>5097</v>
      </c>
    </row>
    <row r="2849" customFormat="false" ht="15" hidden="false" customHeight="false" outlineLevel="0" collapsed="false">
      <c r="B2849" s="19" t="s">
        <v>17030</v>
      </c>
      <c r="C2849" s="20" t="n">
        <f aca="false">ROUND(9.75/FX,2)</f>
        <v>1.35</v>
      </c>
      <c r="D2849" s="21" t="s">
        <v>6549</v>
      </c>
      <c r="E2849" s="21" t="s">
        <v>6550</v>
      </c>
      <c r="F2849" s="21" t="s">
        <v>13312</v>
      </c>
      <c r="G2849" s="21" t="s">
        <v>734</v>
      </c>
      <c r="H2849" s="21" t="s">
        <v>6723</v>
      </c>
    </row>
    <row r="2850" customFormat="false" ht="15" hidden="false" customHeight="false" outlineLevel="0" collapsed="false">
      <c r="B2850" s="19" t="s">
        <v>17031</v>
      </c>
      <c r="C2850" s="20" t="n">
        <f aca="false">ROUND(17.55/FX,2)</f>
        <v>2.44</v>
      </c>
      <c r="D2850" s="21" t="s">
        <v>6549</v>
      </c>
      <c r="E2850" s="21" t="s">
        <v>6550</v>
      </c>
      <c r="F2850" s="21" t="s">
        <v>13409</v>
      </c>
      <c r="G2850" s="21" t="s">
        <v>734</v>
      </c>
      <c r="H2850" s="21" t="s">
        <v>6768</v>
      </c>
    </row>
    <row r="2851" customFormat="false" ht="15" hidden="false" customHeight="false" outlineLevel="0" collapsed="false">
      <c r="B2851" s="19" t="s">
        <v>17032</v>
      </c>
      <c r="C2851" s="20" t="n">
        <f aca="false">ROUND(17.6/FX,2)</f>
        <v>2.44</v>
      </c>
      <c r="D2851" s="21" t="s">
        <v>724</v>
      </c>
      <c r="E2851" s="21" t="s">
        <v>6550</v>
      </c>
      <c r="F2851" s="21" t="s">
        <v>13567</v>
      </c>
      <c r="G2851" s="21" t="s">
        <v>734</v>
      </c>
      <c r="H2851" s="21" t="s">
        <v>6730</v>
      </c>
    </row>
    <row r="2852" customFormat="false" ht="15" hidden="false" customHeight="false" outlineLevel="0" collapsed="false">
      <c r="B2852" s="19" t="s">
        <v>17033</v>
      </c>
      <c r="C2852" s="20" t="n">
        <f aca="false">ROUND(18.49/FX,2)</f>
        <v>2.57</v>
      </c>
      <c r="D2852" s="21" t="s">
        <v>6549</v>
      </c>
      <c r="E2852" s="21" t="s">
        <v>6550</v>
      </c>
      <c r="F2852" s="21" t="s">
        <v>13567</v>
      </c>
      <c r="G2852" s="21" t="s">
        <v>734</v>
      </c>
      <c r="H2852" s="21" t="s">
        <v>6730</v>
      </c>
    </row>
    <row r="2853" customFormat="false" ht="15" hidden="false" customHeight="false" outlineLevel="0" collapsed="false">
      <c r="B2853" s="19" t="s">
        <v>17034</v>
      </c>
      <c r="C2853" s="20" t="n">
        <f aca="false">ROUND(22.1/FX,2)</f>
        <v>3.07</v>
      </c>
      <c r="D2853" s="21" t="s">
        <v>6549</v>
      </c>
      <c r="E2853" s="21" t="s">
        <v>6550</v>
      </c>
      <c r="F2853" s="21" t="s">
        <v>13659</v>
      </c>
      <c r="G2853" s="21" t="s">
        <v>734</v>
      </c>
      <c r="H2853" s="21" t="s">
        <v>6246</v>
      </c>
    </row>
    <row r="2856" customFormat="false" ht="61.5" hidden="false" customHeight="true" outlineLevel="0" collapsed="false">
      <c r="A2856" s="9"/>
      <c r="B2856" s="10" t="s">
        <v>17035</v>
      </c>
      <c r="C2856" s="10"/>
      <c r="D2856" s="10"/>
      <c r="E2856" s="10"/>
      <c r="F2856" s="10"/>
      <c r="G2856" s="10"/>
    </row>
    <row r="2857" customFormat="false" ht="15" hidden="false" customHeight="false" outlineLevel="0" collapsed="false">
      <c r="A2857" s="12" t="s">
        <v>700</v>
      </c>
      <c r="B2857" s="13" t="s">
        <v>701</v>
      </c>
      <c r="C2857" s="13" t="s">
        <v>702</v>
      </c>
      <c r="D2857" s="13" t="s">
        <v>722</v>
      </c>
      <c r="E2857" s="13" t="s">
        <v>17036</v>
      </c>
      <c r="F2857" s="13" t="s">
        <v>17037</v>
      </c>
      <c r="G2857" s="13" t="s">
        <v>17038</v>
      </c>
    </row>
    <row r="2858" customFormat="false" ht="30" hidden="false" customHeight="true" outlineLevel="0" collapsed="false">
      <c r="A2858" s="14" t="s">
        <v>706</v>
      </c>
      <c r="B2858" s="15" t="str">
        <f aca="false">IF(COUNTIFS($D$2861:$D$2907,IF(D2858="","*",D2858),$E$2861:$E$2907,IF(E2858="","*",E2858),$F$2861:$F$2907,IF(F2858="","*",F2858),$G$2861:$G$2907,IF(G2858="","*",G2858))=1,INDEX($B:$B,SUMPRODUCT(((D2858="")+($D$2861:$D$2907=D2858)&gt;0)*((E2858="")+($E$2861:$E$2907=E2858)&gt;0)*((F2858="")+($F$2861:$F$2907=F2858)&gt;0)*((G2858="")+($G$2861:$G$2907=G2858)&gt;0)*ROW($B$2861:$B$2907))),IF(COUNTIFS($D$2861:$D$2907,IF(D2858="","*",D2858),$E$2861:$E$2907,IF(E2858="","*",E2858),$F$2861:$F$2907,IF(F2858="","*",F2858),$G$2861:$G$2907,IF(G2858="","*",G2858))=0,"Not available",COUNTIFS($D$2861:$D$2907,IF(D2858="","*",D2858),$E$2861:$E$2907,IF(E2858="","*",E2858),$F$2861:$F$2907,IF(F2858="","*",F2858),$G$2861:$G$2907,IF(G2858="","*",G2858))&amp;" match, keep choosing"))</f>
        <v>LG-BK-EGH15CA-EGR15</v>
      </c>
      <c r="C2858" s="16" t="n">
        <f aca="false">IF(COUNTIFS($D$2861:$D$2907,IF(D2858="","*",D2858),$E$2861:$E$2907,IF(E2858="","*",E2858),$F$2861:$F$2907,IF(F2858="","*",F2858),$G$2861:$G$2907,IF(G2858="","*",G2858))=1,INDEX($C:$C,SUMPRODUCT(((D2858="")+($D$2861:$D$2907=D2858)&gt;0)*((E2858="")+($E$2861:$E$2907=E2858)&gt;0)*((F2858="")+($F$2861:$F$2907=F2858)&gt;0)*((G2858="")+($G$2861:$G$2907=G2858)&gt;0)*ROW($B$2861:$B$2907))),"")</f>
        <v>2.98</v>
      </c>
      <c r="D2858" s="17" t="s">
        <v>724</v>
      </c>
      <c r="E2858" s="17" t="s">
        <v>17039</v>
      </c>
      <c r="F2858" s="17" t="s">
        <v>6336</v>
      </c>
      <c r="G2858" s="17" t="s">
        <v>17040</v>
      </c>
    </row>
    <row r="2860" customFormat="false" ht="15" hidden="false" customHeight="false" outlineLevel="0" collapsed="false">
      <c r="B2860" s="18" t="s">
        <v>701</v>
      </c>
      <c r="C2860" s="18" t="s">
        <v>702</v>
      </c>
      <c r="D2860" s="18" t="s">
        <v>722</v>
      </c>
      <c r="E2860" s="18" t="s">
        <v>17036</v>
      </c>
      <c r="F2860" s="18" t="s">
        <v>17037</v>
      </c>
      <c r="G2860" s="18" t="s">
        <v>17038</v>
      </c>
    </row>
    <row r="2861" customFormat="false" ht="15" hidden="false" customHeight="false" outlineLevel="0" collapsed="false">
      <c r="B2861" s="19" t="s">
        <v>17041</v>
      </c>
      <c r="C2861" s="20" t="n">
        <f aca="false">ROUND(21.45/FX,2)</f>
        <v>2.98</v>
      </c>
      <c r="D2861" s="21" t="s">
        <v>724</v>
      </c>
      <c r="E2861" s="21" t="s">
        <v>17039</v>
      </c>
      <c r="F2861" s="21" t="s">
        <v>6336</v>
      </c>
      <c r="G2861" s="21" t="s">
        <v>17040</v>
      </c>
    </row>
    <row r="2862" customFormat="false" ht="15" hidden="false" customHeight="false" outlineLevel="0" collapsed="false">
      <c r="B2862" s="19" t="s">
        <v>17042</v>
      </c>
      <c r="C2862" s="20" t="n">
        <f aca="false">ROUND(24.7/FX,2)</f>
        <v>3.43</v>
      </c>
      <c r="D2862" s="21" t="s">
        <v>724</v>
      </c>
      <c r="E2862" s="21" t="s">
        <v>17043</v>
      </c>
      <c r="F2862" s="21" t="s">
        <v>6336</v>
      </c>
      <c r="G2862" s="21" t="s">
        <v>17044</v>
      </c>
    </row>
    <row r="2863" customFormat="false" ht="15" hidden="false" customHeight="false" outlineLevel="0" collapsed="false">
      <c r="B2863" s="19" t="s">
        <v>17045</v>
      </c>
      <c r="C2863" s="20" t="n">
        <f aca="false">ROUND(16.06/FX,2)</f>
        <v>2.23</v>
      </c>
      <c r="D2863" s="21" t="s">
        <v>15458</v>
      </c>
      <c r="E2863" s="21" t="s">
        <v>17046</v>
      </c>
      <c r="F2863" s="21" t="s">
        <v>17047</v>
      </c>
      <c r="G2863" s="21" t="s">
        <v>17040</v>
      </c>
    </row>
    <row r="2864" customFormat="false" ht="15" hidden="false" customHeight="false" outlineLevel="0" collapsed="false">
      <c r="B2864" s="19" t="s">
        <v>17048</v>
      </c>
      <c r="C2864" s="20" t="n">
        <f aca="false">ROUND(28.55/FX,2)</f>
        <v>3.97</v>
      </c>
      <c r="D2864" s="21" t="s">
        <v>15458</v>
      </c>
      <c r="E2864" s="21" t="s">
        <v>17046</v>
      </c>
      <c r="F2864" s="21" t="s">
        <v>2242</v>
      </c>
      <c r="G2864" s="21" t="s">
        <v>17044</v>
      </c>
    </row>
    <row r="2865" customFormat="false" ht="15" hidden="false" customHeight="false" outlineLevel="0" collapsed="false">
      <c r="B2865" s="19" t="s">
        <v>17049</v>
      </c>
      <c r="C2865" s="20" t="n">
        <f aca="false">ROUND(32.11/FX,2)</f>
        <v>4.46</v>
      </c>
      <c r="D2865" s="21" t="s">
        <v>17050</v>
      </c>
      <c r="E2865" s="21" t="s">
        <v>17051</v>
      </c>
      <c r="F2865" s="21" t="s">
        <v>6336</v>
      </c>
      <c r="G2865" s="21" t="s">
        <v>17052</v>
      </c>
    </row>
    <row r="2866" customFormat="false" ht="15" hidden="false" customHeight="false" outlineLevel="0" collapsed="false">
      <c r="B2866" s="19" t="s">
        <v>17053</v>
      </c>
      <c r="C2866" s="20" t="n">
        <f aca="false">ROUND(27.3/FX,2)</f>
        <v>3.79</v>
      </c>
      <c r="D2866" s="21" t="s">
        <v>17050</v>
      </c>
      <c r="E2866" s="21" t="s">
        <v>17054</v>
      </c>
      <c r="F2866" s="21" t="s">
        <v>6336</v>
      </c>
      <c r="G2866" s="21" t="s">
        <v>17052</v>
      </c>
    </row>
    <row r="2867" customFormat="false" ht="15" hidden="false" customHeight="false" outlineLevel="0" collapsed="false">
      <c r="B2867" s="19" t="s">
        <v>17055</v>
      </c>
      <c r="C2867" s="20" t="n">
        <f aca="false">ROUND(135.2/FX,2)</f>
        <v>18.78</v>
      </c>
      <c r="D2867" s="21" t="s">
        <v>17050</v>
      </c>
      <c r="E2867" s="21" t="s">
        <v>17046</v>
      </c>
      <c r="F2867" s="21" t="s">
        <v>1733</v>
      </c>
      <c r="G2867" s="21" t="s">
        <v>17056</v>
      </c>
    </row>
    <row r="2868" customFormat="false" ht="15" hidden="false" customHeight="false" outlineLevel="0" collapsed="false">
      <c r="B2868" s="19" t="s">
        <v>17057</v>
      </c>
      <c r="C2868" s="20" t="n">
        <f aca="false">ROUND(82.68/FX,2)</f>
        <v>11.48</v>
      </c>
      <c r="D2868" s="21" t="s">
        <v>17050</v>
      </c>
      <c r="E2868" s="21" t="s">
        <v>17046</v>
      </c>
      <c r="F2868" s="21" t="s">
        <v>3253</v>
      </c>
      <c r="G2868" s="21" t="s">
        <v>17056</v>
      </c>
    </row>
    <row r="2869" customFormat="false" ht="15" hidden="false" customHeight="false" outlineLevel="0" collapsed="false">
      <c r="B2869" s="19" t="s">
        <v>17058</v>
      </c>
      <c r="C2869" s="20" t="n">
        <f aca="false">ROUND(6.11/FX,2)</f>
        <v>0.85</v>
      </c>
      <c r="D2869" s="21" t="s">
        <v>17050</v>
      </c>
      <c r="E2869" s="21" t="s">
        <v>17046</v>
      </c>
      <c r="F2869" s="21" t="s">
        <v>2851</v>
      </c>
      <c r="G2869" s="21" t="s">
        <v>17056</v>
      </c>
    </row>
    <row r="2870" customFormat="false" ht="15" hidden="false" customHeight="false" outlineLevel="0" collapsed="false">
      <c r="B2870" s="19" t="s">
        <v>17059</v>
      </c>
      <c r="C2870" s="20" t="n">
        <f aca="false">ROUND(103.35/FX,2)</f>
        <v>14.35</v>
      </c>
      <c r="D2870" s="21" t="s">
        <v>17050</v>
      </c>
      <c r="E2870" s="21" t="s">
        <v>17046</v>
      </c>
      <c r="F2870" s="21" t="s">
        <v>1881</v>
      </c>
      <c r="G2870" s="21" t="s">
        <v>17056</v>
      </c>
    </row>
    <row r="2871" customFormat="false" ht="15" hidden="false" customHeight="false" outlineLevel="0" collapsed="false">
      <c r="B2871" s="19" t="s">
        <v>17060</v>
      </c>
      <c r="C2871" s="20" t="n">
        <f aca="false">ROUND(117.13/FX,2)</f>
        <v>16.27</v>
      </c>
      <c r="D2871" s="21" t="s">
        <v>17050</v>
      </c>
      <c r="E2871" s="21" t="s">
        <v>17046</v>
      </c>
      <c r="F2871" s="21" t="s">
        <v>5525</v>
      </c>
      <c r="G2871" s="21" t="s">
        <v>17056</v>
      </c>
    </row>
    <row r="2872" customFormat="false" ht="15" hidden="false" customHeight="false" outlineLevel="0" collapsed="false">
      <c r="B2872" s="19" t="s">
        <v>17061</v>
      </c>
      <c r="C2872" s="20" t="n">
        <f aca="false">ROUND(35.1/FX,2)</f>
        <v>4.88</v>
      </c>
      <c r="D2872" s="21" t="s">
        <v>17050</v>
      </c>
      <c r="E2872" s="21" t="s">
        <v>17046</v>
      </c>
      <c r="F2872" s="21" t="s">
        <v>1048</v>
      </c>
      <c r="G2872" s="21" t="s">
        <v>17056</v>
      </c>
    </row>
    <row r="2873" customFormat="false" ht="15" hidden="false" customHeight="false" outlineLevel="0" collapsed="false">
      <c r="B2873" s="19" t="s">
        <v>17062</v>
      </c>
      <c r="C2873" s="20" t="n">
        <f aca="false">ROUND(40.56/FX,2)</f>
        <v>5.63</v>
      </c>
      <c r="D2873" s="21" t="s">
        <v>17050</v>
      </c>
      <c r="E2873" s="21" t="s">
        <v>17046</v>
      </c>
      <c r="F2873" s="21" t="s">
        <v>1520</v>
      </c>
      <c r="G2873" s="21" t="s">
        <v>17056</v>
      </c>
    </row>
    <row r="2874" customFormat="false" ht="15" hidden="false" customHeight="false" outlineLevel="0" collapsed="false">
      <c r="B2874" s="19" t="s">
        <v>17063</v>
      </c>
      <c r="C2874" s="20" t="n">
        <f aca="false">ROUND(128.7/FX,2)</f>
        <v>17.88</v>
      </c>
      <c r="D2874" s="21" t="s">
        <v>17050</v>
      </c>
      <c r="E2874" s="21" t="s">
        <v>17046</v>
      </c>
      <c r="F2874" s="21" t="s">
        <v>1954</v>
      </c>
      <c r="G2874" s="21" t="s">
        <v>17056</v>
      </c>
    </row>
    <row r="2875" customFormat="false" ht="15" hidden="false" customHeight="false" outlineLevel="0" collapsed="false">
      <c r="B2875" s="19" t="s">
        <v>17064</v>
      </c>
      <c r="C2875" s="20" t="n">
        <f aca="false">ROUND(35.49/FX,2)</f>
        <v>4.93</v>
      </c>
      <c r="D2875" s="21" t="s">
        <v>17050</v>
      </c>
      <c r="E2875" s="21" t="s">
        <v>17046</v>
      </c>
      <c r="F2875" s="21" t="s">
        <v>1635</v>
      </c>
      <c r="G2875" s="21" t="s">
        <v>17056</v>
      </c>
    </row>
    <row r="2876" customFormat="false" ht="15" hidden="false" customHeight="false" outlineLevel="0" collapsed="false">
      <c r="B2876" s="19" t="s">
        <v>17065</v>
      </c>
      <c r="C2876" s="20" t="n">
        <f aca="false">ROUND(57.2/FX,2)</f>
        <v>7.94</v>
      </c>
      <c r="D2876" s="21" t="s">
        <v>17050</v>
      </c>
      <c r="E2876" s="21" t="s">
        <v>17046</v>
      </c>
      <c r="F2876" s="21" t="s">
        <v>2002</v>
      </c>
      <c r="G2876" s="21" t="s">
        <v>17056</v>
      </c>
    </row>
    <row r="2877" customFormat="false" ht="15" hidden="false" customHeight="false" outlineLevel="0" collapsed="false">
      <c r="B2877" s="19" t="s">
        <v>17066</v>
      </c>
      <c r="C2877" s="20" t="n">
        <f aca="false">ROUND(59.15/FX,2)</f>
        <v>8.22</v>
      </c>
      <c r="D2877" s="21" t="s">
        <v>17050</v>
      </c>
      <c r="E2877" s="21" t="s">
        <v>17046</v>
      </c>
      <c r="F2877" s="21" t="s">
        <v>2351</v>
      </c>
      <c r="G2877" s="21" t="s">
        <v>17056</v>
      </c>
    </row>
    <row r="2878" customFormat="false" ht="15" hidden="false" customHeight="false" outlineLevel="0" collapsed="false">
      <c r="B2878" s="19" t="s">
        <v>17067</v>
      </c>
      <c r="C2878" s="20" t="n">
        <f aca="false">ROUND(21.13/FX,2)</f>
        <v>2.93</v>
      </c>
      <c r="D2878" s="21" t="s">
        <v>17050</v>
      </c>
      <c r="E2878" s="21" t="s">
        <v>17046</v>
      </c>
      <c r="F2878" s="21" t="s">
        <v>1323</v>
      </c>
      <c r="G2878" s="21" t="s">
        <v>17068</v>
      </c>
    </row>
    <row r="2879" customFormat="false" ht="15" hidden="false" customHeight="false" outlineLevel="0" collapsed="false">
      <c r="B2879" s="19" t="s">
        <v>17069</v>
      </c>
      <c r="C2879" s="20" t="n">
        <f aca="false">ROUND(33.8/FX,2)</f>
        <v>4.69</v>
      </c>
      <c r="D2879" s="21" t="s">
        <v>17050</v>
      </c>
      <c r="E2879" s="21" t="s">
        <v>17046</v>
      </c>
      <c r="F2879" s="21" t="s">
        <v>2002</v>
      </c>
      <c r="G2879" s="21" t="s">
        <v>17068</v>
      </c>
    </row>
    <row r="2880" customFormat="false" ht="15" hidden="false" customHeight="false" outlineLevel="0" collapsed="false">
      <c r="B2880" s="19" t="s">
        <v>17070</v>
      </c>
      <c r="C2880" s="20" t="n">
        <f aca="false">ROUND(338/FX,2)</f>
        <v>46.94</v>
      </c>
      <c r="D2880" s="21" t="s">
        <v>17050</v>
      </c>
      <c r="E2880" s="21" t="s">
        <v>17046</v>
      </c>
      <c r="F2880" s="21" t="s">
        <v>17071</v>
      </c>
      <c r="G2880" s="21" t="s">
        <v>17068</v>
      </c>
    </row>
    <row r="2881" customFormat="false" ht="15" hidden="false" customHeight="false" outlineLevel="0" collapsed="false">
      <c r="B2881" s="19" t="s">
        <v>17072</v>
      </c>
      <c r="C2881" s="20" t="n">
        <f aca="false">ROUND(42.25/FX,2)</f>
        <v>5.87</v>
      </c>
      <c r="D2881" s="21" t="s">
        <v>17050</v>
      </c>
      <c r="E2881" s="21" t="s">
        <v>17046</v>
      </c>
      <c r="F2881" s="21" t="s">
        <v>2142</v>
      </c>
      <c r="G2881" s="21" t="s">
        <v>17068</v>
      </c>
    </row>
    <row r="2882" customFormat="false" ht="15" hidden="false" customHeight="false" outlineLevel="0" collapsed="false">
      <c r="B2882" s="19" t="s">
        <v>17073</v>
      </c>
      <c r="C2882" s="20" t="n">
        <f aca="false">ROUND(46.48/FX,2)</f>
        <v>6.46</v>
      </c>
      <c r="D2882" s="21" t="s">
        <v>17050</v>
      </c>
      <c r="E2882" s="21" t="s">
        <v>17046</v>
      </c>
      <c r="F2882" s="21" t="s">
        <v>2187</v>
      </c>
      <c r="G2882" s="21" t="s">
        <v>17068</v>
      </c>
    </row>
    <row r="2883" customFormat="false" ht="15" hidden="false" customHeight="false" outlineLevel="0" collapsed="false">
      <c r="B2883" s="19" t="s">
        <v>17074</v>
      </c>
      <c r="C2883" s="20" t="n">
        <f aca="false">ROUND(42.9/FX,2)</f>
        <v>5.96</v>
      </c>
      <c r="D2883" s="21" t="s">
        <v>17050</v>
      </c>
      <c r="E2883" s="21" t="s">
        <v>17046</v>
      </c>
      <c r="F2883" s="21" t="s">
        <v>2227</v>
      </c>
      <c r="G2883" s="21" t="s">
        <v>17068</v>
      </c>
    </row>
    <row r="2884" customFormat="false" ht="15" hidden="false" customHeight="false" outlineLevel="0" collapsed="false">
      <c r="B2884" s="19" t="s">
        <v>17075</v>
      </c>
      <c r="C2884" s="20" t="n">
        <f aca="false">ROUND(50.05/FX,2)</f>
        <v>6.95</v>
      </c>
      <c r="D2884" s="21" t="s">
        <v>17050</v>
      </c>
      <c r="E2884" s="21" t="s">
        <v>17046</v>
      </c>
      <c r="F2884" s="21" t="s">
        <v>2351</v>
      </c>
      <c r="G2884" s="21" t="s">
        <v>17068</v>
      </c>
    </row>
    <row r="2885" customFormat="false" ht="15" hidden="false" customHeight="false" outlineLevel="0" collapsed="false">
      <c r="B2885" s="19" t="s">
        <v>17076</v>
      </c>
      <c r="C2885" s="20" t="n">
        <f aca="false">ROUND(53.63/FX,2)</f>
        <v>7.45</v>
      </c>
      <c r="D2885" s="21" t="s">
        <v>17050</v>
      </c>
      <c r="E2885" s="21" t="s">
        <v>17046</v>
      </c>
      <c r="F2885" s="21" t="s">
        <v>2400</v>
      </c>
      <c r="G2885" s="21" t="s">
        <v>17068</v>
      </c>
    </row>
    <row r="2886" customFormat="false" ht="15" hidden="false" customHeight="false" outlineLevel="0" collapsed="false">
      <c r="B2886" s="19" t="s">
        <v>17077</v>
      </c>
      <c r="C2886" s="20" t="n">
        <f aca="false">ROUND(35.49/FX,2)</f>
        <v>4.93</v>
      </c>
      <c r="D2886" s="21" t="s">
        <v>17050</v>
      </c>
      <c r="E2886" s="21" t="s">
        <v>17078</v>
      </c>
      <c r="F2886" s="21" t="s">
        <v>6336</v>
      </c>
      <c r="G2886" s="21" t="s">
        <v>17052</v>
      </c>
    </row>
    <row r="2887" customFormat="false" ht="15" hidden="false" customHeight="false" outlineLevel="0" collapsed="false">
      <c r="B2887" s="19" t="s">
        <v>17079</v>
      </c>
      <c r="C2887" s="20" t="n">
        <f aca="false">ROUND(31.2/FX,2)</f>
        <v>4.33</v>
      </c>
      <c r="D2887" s="21" t="s">
        <v>17050</v>
      </c>
      <c r="E2887" s="21" t="s">
        <v>17080</v>
      </c>
      <c r="F2887" s="21" t="s">
        <v>6336</v>
      </c>
      <c r="G2887" s="21" t="s">
        <v>17052</v>
      </c>
    </row>
    <row r="2888" customFormat="false" ht="15" hidden="false" customHeight="false" outlineLevel="0" collapsed="false">
      <c r="B2888" s="19" t="s">
        <v>17081</v>
      </c>
      <c r="C2888" s="20" t="n">
        <f aca="false">ROUND(16.9/FX,2)</f>
        <v>2.35</v>
      </c>
      <c r="D2888" s="21" t="s">
        <v>15458</v>
      </c>
      <c r="E2888" s="21" t="s">
        <v>17051</v>
      </c>
      <c r="F2888" s="21" t="s">
        <v>6336</v>
      </c>
      <c r="G2888" s="21" t="s">
        <v>17052</v>
      </c>
    </row>
    <row r="2889" customFormat="false" ht="15" hidden="false" customHeight="false" outlineLevel="0" collapsed="false">
      <c r="B2889" s="19" t="s">
        <v>17082</v>
      </c>
      <c r="C2889" s="20" t="n">
        <f aca="false">ROUND(22.1/FX,2)</f>
        <v>3.07</v>
      </c>
      <c r="D2889" s="21" t="s">
        <v>15458</v>
      </c>
      <c r="E2889" s="21" t="s">
        <v>17054</v>
      </c>
      <c r="F2889" s="21" t="s">
        <v>6336</v>
      </c>
      <c r="G2889" s="21" t="s">
        <v>17052</v>
      </c>
    </row>
    <row r="2890" customFormat="false" ht="15" hidden="false" customHeight="false" outlineLevel="0" collapsed="false">
      <c r="B2890" s="19" t="s">
        <v>17083</v>
      </c>
      <c r="C2890" s="20" t="n">
        <f aca="false">ROUND(46.8/FX,2)</f>
        <v>6.5</v>
      </c>
      <c r="D2890" s="21" t="s">
        <v>15458</v>
      </c>
      <c r="E2890" s="21" t="s">
        <v>17046</v>
      </c>
      <c r="F2890" s="21" t="s">
        <v>1733</v>
      </c>
      <c r="G2890" s="21" t="s">
        <v>17056</v>
      </c>
    </row>
    <row r="2891" customFormat="false" ht="15" hidden="false" customHeight="false" outlineLevel="0" collapsed="false">
      <c r="B2891" s="19" t="s">
        <v>17084</v>
      </c>
      <c r="C2891" s="20" t="n">
        <f aca="false">ROUND(51.48/FX,2)</f>
        <v>7.15</v>
      </c>
      <c r="D2891" s="21" t="s">
        <v>15458</v>
      </c>
      <c r="E2891" s="21" t="s">
        <v>17046</v>
      </c>
      <c r="F2891" s="21" t="s">
        <v>3253</v>
      </c>
      <c r="G2891" s="21" t="s">
        <v>17056</v>
      </c>
    </row>
    <row r="2892" customFormat="false" ht="15" hidden="false" customHeight="false" outlineLevel="0" collapsed="false">
      <c r="B2892" s="19" t="s">
        <v>17085</v>
      </c>
      <c r="C2892" s="20" t="n">
        <f aca="false">ROUND(6.11/FX,2)</f>
        <v>0.85</v>
      </c>
      <c r="D2892" s="21" t="s">
        <v>15458</v>
      </c>
      <c r="E2892" s="21" t="s">
        <v>17046</v>
      </c>
      <c r="F2892" s="21" t="s">
        <v>2851</v>
      </c>
      <c r="G2892" s="21" t="s">
        <v>17056</v>
      </c>
    </row>
    <row r="2893" customFormat="false" ht="15" hidden="false" customHeight="false" outlineLevel="0" collapsed="false">
      <c r="B2893" s="19" t="s">
        <v>17086</v>
      </c>
      <c r="C2893" s="20" t="n">
        <f aca="false">ROUND(87.75/FX,2)</f>
        <v>12.19</v>
      </c>
      <c r="D2893" s="21" t="s">
        <v>15458</v>
      </c>
      <c r="E2893" s="21" t="s">
        <v>17046</v>
      </c>
      <c r="F2893" s="21" t="s">
        <v>1881</v>
      </c>
      <c r="G2893" s="21" t="s">
        <v>17056</v>
      </c>
    </row>
    <row r="2894" customFormat="false" ht="15" hidden="false" customHeight="false" outlineLevel="0" collapsed="false">
      <c r="B2894" s="19" t="s">
        <v>17087</v>
      </c>
      <c r="C2894" s="20" t="n">
        <f aca="false">ROUND(99.45/FX,2)</f>
        <v>13.81</v>
      </c>
      <c r="D2894" s="21" t="s">
        <v>15458</v>
      </c>
      <c r="E2894" s="21" t="s">
        <v>17046</v>
      </c>
      <c r="F2894" s="21" t="s">
        <v>5525</v>
      </c>
      <c r="G2894" s="21" t="s">
        <v>17056</v>
      </c>
    </row>
    <row r="2895" customFormat="false" ht="15" hidden="false" customHeight="false" outlineLevel="0" collapsed="false">
      <c r="B2895" s="19" t="s">
        <v>17088</v>
      </c>
      <c r="C2895" s="20" t="n">
        <f aca="false">ROUND(8.58/FX,2)</f>
        <v>1.19</v>
      </c>
      <c r="D2895" s="21" t="s">
        <v>15458</v>
      </c>
      <c r="E2895" s="21" t="s">
        <v>17046</v>
      </c>
      <c r="F2895" s="21" t="s">
        <v>1048</v>
      </c>
      <c r="G2895" s="21" t="s">
        <v>17056</v>
      </c>
    </row>
    <row r="2896" customFormat="false" ht="15" hidden="false" customHeight="false" outlineLevel="0" collapsed="false">
      <c r="B2896" s="19" t="s">
        <v>17089</v>
      </c>
      <c r="C2896" s="20" t="n">
        <f aca="false">ROUND(117/FX,2)</f>
        <v>16.25</v>
      </c>
      <c r="D2896" s="21" t="s">
        <v>15458</v>
      </c>
      <c r="E2896" s="21" t="s">
        <v>17046</v>
      </c>
      <c r="F2896" s="21" t="s">
        <v>1924</v>
      </c>
      <c r="G2896" s="21" t="s">
        <v>17056</v>
      </c>
    </row>
    <row r="2897" customFormat="false" ht="15" hidden="false" customHeight="false" outlineLevel="0" collapsed="false">
      <c r="B2897" s="19" t="s">
        <v>17090</v>
      </c>
      <c r="C2897" s="20" t="n">
        <f aca="false">ROUND(119.93/FX,2)</f>
        <v>16.66</v>
      </c>
      <c r="D2897" s="21" t="s">
        <v>15458</v>
      </c>
      <c r="E2897" s="21" t="s">
        <v>17046</v>
      </c>
      <c r="F2897" s="21" t="s">
        <v>17091</v>
      </c>
      <c r="G2897" s="21" t="s">
        <v>17056</v>
      </c>
    </row>
    <row r="2898" customFormat="false" ht="15" hidden="false" customHeight="false" outlineLevel="0" collapsed="false">
      <c r="B2898" s="19" t="s">
        <v>17092</v>
      </c>
      <c r="C2898" s="20" t="n">
        <f aca="false">ROUND(17.55/FX,2)</f>
        <v>2.44</v>
      </c>
      <c r="D2898" s="21" t="s">
        <v>15458</v>
      </c>
      <c r="E2898" s="21" t="s">
        <v>17046</v>
      </c>
      <c r="F2898" s="21" t="s">
        <v>1520</v>
      </c>
      <c r="G2898" s="21" t="s">
        <v>17056</v>
      </c>
    </row>
    <row r="2899" customFormat="false" ht="15" hidden="false" customHeight="false" outlineLevel="0" collapsed="false">
      <c r="B2899" s="19" t="s">
        <v>17093</v>
      </c>
      <c r="C2899" s="20" t="n">
        <f aca="false">ROUND(123.5/FX,2)</f>
        <v>17.15</v>
      </c>
      <c r="D2899" s="21" t="s">
        <v>15458</v>
      </c>
      <c r="E2899" s="21" t="s">
        <v>17046</v>
      </c>
      <c r="F2899" s="21" t="s">
        <v>1954</v>
      </c>
      <c r="G2899" s="21" t="s">
        <v>17056</v>
      </c>
    </row>
    <row r="2900" customFormat="false" ht="15" hidden="false" customHeight="false" outlineLevel="0" collapsed="false">
      <c r="B2900" s="19" t="s">
        <v>17094</v>
      </c>
      <c r="C2900" s="20" t="n">
        <f aca="false">ROUND(20.48/FX,2)</f>
        <v>2.84</v>
      </c>
      <c r="D2900" s="21" t="s">
        <v>15458</v>
      </c>
      <c r="E2900" s="21" t="s">
        <v>17046</v>
      </c>
      <c r="F2900" s="21" t="s">
        <v>1635</v>
      </c>
      <c r="G2900" s="21" t="s">
        <v>17056</v>
      </c>
    </row>
    <row r="2901" customFormat="false" ht="15" hidden="false" customHeight="false" outlineLevel="0" collapsed="false">
      <c r="B2901" s="19" t="s">
        <v>17095</v>
      </c>
      <c r="C2901" s="20" t="n">
        <f aca="false">ROUND(19.24/FX,2)</f>
        <v>2.67</v>
      </c>
      <c r="D2901" s="21" t="s">
        <v>15458</v>
      </c>
      <c r="E2901" s="21" t="s">
        <v>17046</v>
      </c>
      <c r="F2901" s="21" t="s">
        <v>2002</v>
      </c>
      <c r="G2901" s="21" t="s">
        <v>17056</v>
      </c>
    </row>
    <row r="2902" customFormat="false" ht="15" hidden="false" customHeight="false" outlineLevel="0" collapsed="false">
      <c r="B2902" s="19" t="s">
        <v>17096</v>
      </c>
      <c r="C2902" s="20" t="n">
        <f aca="false">ROUND(40.95/FX,2)</f>
        <v>5.69</v>
      </c>
      <c r="D2902" s="21" t="s">
        <v>15458</v>
      </c>
      <c r="E2902" s="21" t="s">
        <v>17046</v>
      </c>
      <c r="F2902" s="21" t="s">
        <v>2351</v>
      </c>
      <c r="G2902" s="21" t="s">
        <v>17056</v>
      </c>
    </row>
    <row r="2903" customFormat="false" ht="15" hidden="false" customHeight="false" outlineLevel="0" collapsed="false">
      <c r="B2903" s="19" t="s">
        <v>17097</v>
      </c>
      <c r="C2903" s="20" t="n">
        <f aca="false">ROUND(127.4/FX,2)</f>
        <v>17.69</v>
      </c>
      <c r="D2903" s="21" t="s">
        <v>15458</v>
      </c>
      <c r="E2903" s="21" t="s">
        <v>17046</v>
      </c>
      <c r="F2903" s="21" t="s">
        <v>1954</v>
      </c>
      <c r="G2903" s="21" t="s">
        <v>17068</v>
      </c>
    </row>
    <row r="2904" customFormat="false" ht="15" hidden="false" customHeight="false" outlineLevel="0" collapsed="false">
      <c r="B2904" s="19" t="s">
        <v>17098</v>
      </c>
      <c r="C2904" s="20" t="n">
        <f aca="false">ROUND(169/FX,2)</f>
        <v>23.47</v>
      </c>
      <c r="D2904" s="21" t="s">
        <v>15458</v>
      </c>
      <c r="E2904" s="21" t="s">
        <v>17046</v>
      </c>
      <c r="F2904" s="21" t="s">
        <v>1954</v>
      </c>
      <c r="G2904" s="21" t="s">
        <v>17099</v>
      </c>
    </row>
    <row r="2905" customFormat="false" ht="15" hidden="false" customHeight="false" outlineLevel="0" collapsed="false">
      <c r="B2905" s="19" t="s">
        <v>17100</v>
      </c>
      <c r="C2905" s="20" t="n">
        <f aca="false">ROUND(18.2/FX,2)</f>
        <v>2.53</v>
      </c>
      <c r="D2905" s="21" t="s">
        <v>15458</v>
      </c>
      <c r="E2905" s="21" t="s">
        <v>17078</v>
      </c>
      <c r="F2905" s="21" t="s">
        <v>6336</v>
      </c>
      <c r="G2905" s="21" t="s">
        <v>17052</v>
      </c>
    </row>
    <row r="2906" customFormat="false" ht="15" hidden="false" customHeight="false" outlineLevel="0" collapsed="false">
      <c r="B2906" s="19" t="s">
        <v>17101</v>
      </c>
      <c r="C2906" s="20" t="n">
        <f aca="false">ROUND(110.5/FX,2)</f>
        <v>15.35</v>
      </c>
      <c r="D2906" s="21" t="s">
        <v>6549</v>
      </c>
      <c r="E2906" s="21" t="s">
        <v>17054</v>
      </c>
      <c r="F2906" s="21" t="s">
        <v>6336</v>
      </c>
      <c r="G2906" s="21" t="s">
        <v>17068</v>
      </c>
    </row>
    <row r="2907" customFormat="false" ht="15" hidden="false" customHeight="false" outlineLevel="0" collapsed="false">
      <c r="B2907" s="19" t="s">
        <v>17102</v>
      </c>
      <c r="C2907" s="20" t="n">
        <f aca="false">ROUND(237.9/FX,2)</f>
        <v>33.04</v>
      </c>
      <c r="D2907" s="21" t="s">
        <v>6549</v>
      </c>
      <c r="E2907" s="21" t="s">
        <v>17054</v>
      </c>
      <c r="F2907" s="21" t="s">
        <v>2142</v>
      </c>
      <c r="G2907" s="21" t="s">
        <v>17068</v>
      </c>
    </row>
    <row r="2910" customFormat="false" ht="61.5" hidden="false" customHeight="true" outlineLevel="0" collapsed="false">
      <c r="A2910" s="9"/>
      <c r="B2910" s="10" t="s">
        <v>17103</v>
      </c>
      <c r="C2910" s="10"/>
      <c r="D2910" s="10"/>
      <c r="E2910" s="10"/>
      <c r="F2910" s="10"/>
      <c r="G2910" s="10"/>
    </row>
    <row r="2911" customFormat="false" ht="15" hidden="false" customHeight="false" outlineLevel="0" collapsed="false">
      <c r="A2911" s="12" t="s">
        <v>700</v>
      </c>
      <c r="B2911" s="13" t="s">
        <v>701</v>
      </c>
      <c r="C2911" s="13" t="s">
        <v>702</v>
      </c>
      <c r="D2911" s="13" t="s">
        <v>6159</v>
      </c>
      <c r="E2911" s="13" t="s">
        <v>723</v>
      </c>
      <c r="F2911" s="13" t="s">
        <v>6328</v>
      </c>
      <c r="G2911" s="13" t="s">
        <v>6523</v>
      </c>
    </row>
    <row r="2912" customFormat="false" ht="30" hidden="false" customHeight="true" outlineLevel="0" collapsed="false">
      <c r="A2912" s="14" t="s">
        <v>706</v>
      </c>
      <c r="B2912" s="15" t="str">
        <f aca="false">IF(COUNTIFS($D$2915:$D$3066,IF(D2912="","*",D2912),$E$2915:$E$3066,IF(E2912="","*",E2912),$F$2915:$F$3066,IF(F2912="","*",F2912),$G$2915:$G$3066,IF(G2912="","*",G2912))=1,INDEX($B:$B,SUMPRODUCT(((D2912="")+($D$2915:$D$3066=D2912)&gt;0)*((E2912="")+($E$2915:$E$3066=E2912)&gt;0)*((F2912="")+($F$2915:$F$3066=F2912)&gt;0)*((G2912="")+($G$2915:$G$3066=G2912)&gt;0)*ROW($B$2915:$B$3066))),IF(COUNTIFS($D$2915:$D$3066,IF(D2912="","*",D2912),$E$2915:$E$3066,IF(E2912="","*",E2912),$F$2915:$F$3066,IF(F2912="","*",F2912),$G$2915:$G$3066,IF(G2912="","*",G2912))=0,"Not available",COUNTIFS($D$2915:$D$3066,IF(D2912="","*",D2912),$E$2915:$E$3066,IF(E2912="","*",E2912),$F$2915:$F$3066,IF(F2912="","*",F2912),$G$2915:$G$3066,IF(G2912="","*",G2912))&amp;" match, keep choosing"))</f>
        <v>LB-LM100UU-100x150x175</v>
      </c>
      <c r="C2912" s="16" t="n">
        <f aca="false">IF(COUNTIFS($D$2915:$D$3066,IF(D2912="","*",D2912),$E$2915:$E$3066,IF(E2912="","*",E2912),$F$2915:$F$3066,IF(F2912="","*",F2912),$G$2915:$G$3066,IF(G2912="","*",G2912))=1,INDEX($C:$C,SUMPRODUCT(((D2912="")+($D$2915:$D$3066=D2912)&gt;0)*((E2912="")+($E$2915:$E$3066=E2912)&gt;0)*((F2912="")+($F$2915:$F$3066=F2912)&gt;0)*((G2912="")+($G$2915:$G$3066=G2912)&gt;0)*ROW($B$2915:$B$3066))),"")</f>
        <v>119.17</v>
      </c>
      <c r="D2912" s="17" t="s">
        <v>17104</v>
      </c>
      <c r="E2912" s="17" t="s">
        <v>734</v>
      </c>
      <c r="F2912" s="17" t="s">
        <v>17105</v>
      </c>
      <c r="G2912" s="17" t="s">
        <v>17106</v>
      </c>
    </row>
    <row r="2914" customFormat="false" ht="15" hidden="false" customHeight="false" outlineLevel="0" collapsed="false">
      <c r="B2914" s="18" t="s">
        <v>701</v>
      </c>
      <c r="C2914" s="18" t="s">
        <v>702</v>
      </c>
      <c r="D2914" s="18" t="s">
        <v>6159</v>
      </c>
      <c r="E2914" s="18" t="s">
        <v>723</v>
      </c>
      <c r="F2914" s="18" t="s">
        <v>6328</v>
      </c>
      <c r="G2914" s="18" t="s">
        <v>6523</v>
      </c>
    </row>
    <row r="2915" customFormat="false" ht="15" hidden="false" customHeight="false" outlineLevel="0" collapsed="false">
      <c r="B2915" s="19" t="s">
        <v>17107</v>
      </c>
      <c r="C2915" s="20" t="n">
        <f aca="false">ROUND(858/FX,2)</f>
        <v>119.17</v>
      </c>
      <c r="D2915" s="21" t="s">
        <v>17104</v>
      </c>
      <c r="E2915" s="21" t="s">
        <v>734</v>
      </c>
      <c r="F2915" s="21" t="s">
        <v>17105</v>
      </c>
      <c r="G2915" s="21" t="s">
        <v>17106</v>
      </c>
    </row>
    <row r="2916" customFormat="false" ht="15" hidden="false" customHeight="false" outlineLevel="0" collapsed="false">
      <c r="B2916" s="19" t="s">
        <v>17108</v>
      </c>
      <c r="C2916" s="20" t="n">
        <f aca="false">ROUND(4.84/FX,2)</f>
        <v>0.67</v>
      </c>
      <c r="D2916" s="21" t="s">
        <v>17109</v>
      </c>
      <c r="E2916" s="21" t="s">
        <v>734</v>
      </c>
      <c r="F2916" s="21" t="s">
        <v>17110</v>
      </c>
      <c r="G2916" s="21" t="s">
        <v>17111</v>
      </c>
    </row>
    <row r="2917" customFormat="false" ht="15" hidden="false" customHeight="false" outlineLevel="0" collapsed="false">
      <c r="B2917" s="19" t="s">
        <v>17112</v>
      </c>
      <c r="C2917" s="20" t="n">
        <f aca="false">ROUND(6.5/FX,2)</f>
        <v>0.9</v>
      </c>
      <c r="D2917" s="21" t="s">
        <v>17109</v>
      </c>
      <c r="E2917" s="21" t="s">
        <v>17113</v>
      </c>
      <c r="F2917" s="21" t="s">
        <v>17110</v>
      </c>
      <c r="G2917" s="21" t="s">
        <v>17111</v>
      </c>
    </row>
    <row r="2918" customFormat="false" ht="28.35" hidden="false" customHeight="false" outlineLevel="0" collapsed="false">
      <c r="B2918" s="19" t="s">
        <v>17114</v>
      </c>
      <c r="C2918" s="20" t="n">
        <f aca="false">ROUND(48.1/FX,2)</f>
        <v>6.68</v>
      </c>
      <c r="D2918" s="21" t="s">
        <v>17109</v>
      </c>
      <c r="E2918" s="21" t="s">
        <v>17115</v>
      </c>
      <c r="F2918" s="21" t="s">
        <v>17110</v>
      </c>
      <c r="G2918" s="21" t="s">
        <v>17111</v>
      </c>
    </row>
    <row r="2919" customFormat="false" ht="28.35" hidden="false" customHeight="false" outlineLevel="0" collapsed="false">
      <c r="B2919" s="19" t="s">
        <v>17116</v>
      </c>
      <c r="C2919" s="20" t="n">
        <f aca="false">ROUND(48.1/FX,2)</f>
        <v>6.68</v>
      </c>
      <c r="D2919" s="21" t="s">
        <v>17109</v>
      </c>
      <c r="E2919" s="21" t="s">
        <v>17117</v>
      </c>
      <c r="F2919" s="21" t="s">
        <v>17110</v>
      </c>
      <c r="G2919" s="21" t="s">
        <v>17111</v>
      </c>
    </row>
    <row r="2920" customFormat="false" ht="15" hidden="false" customHeight="false" outlineLevel="0" collapsed="false">
      <c r="B2920" s="19" t="s">
        <v>17118</v>
      </c>
      <c r="C2920" s="20" t="n">
        <f aca="false">ROUND(1.69/FX,2)</f>
        <v>0.23</v>
      </c>
      <c r="D2920" s="21" t="s">
        <v>17119</v>
      </c>
      <c r="E2920" s="21" t="s">
        <v>734</v>
      </c>
      <c r="F2920" s="21" t="s">
        <v>17105</v>
      </c>
      <c r="G2920" s="21" t="s">
        <v>17120</v>
      </c>
    </row>
    <row r="2921" customFormat="false" ht="15" hidden="false" customHeight="false" outlineLevel="0" collapsed="false">
      <c r="B2921" s="19" t="s">
        <v>17121</v>
      </c>
      <c r="C2921" s="20" t="n">
        <f aca="false">ROUND(2.86/FX,2)</f>
        <v>0.4</v>
      </c>
      <c r="D2921" s="21" t="s">
        <v>17119</v>
      </c>
      <c r="E2921" s="21" t="s">
        <v>17113</v>
      </c>
      <c r="F2921" s="21" t="s">
        <v>17105</v>
      </c>
      <c r="G2921" s="21" t="s">
        <v>17120</v>
      </c>
    </row>
    <row r="2922" customFormat="false" ht="28.35" hidden="false" customHeight="false" outlineLevel="0" collapsed="false">
      <c r="B2922" s="19" t="s">
        <v>17122</v>
      </c>
      <c r="C2922" s="20" t="n">
        <f aca="false">ROUND(22.1/FX,2)</f>
        <v>3.07</v>
      </c>
      <c r="D2922" s="21" t="s">
        <v>17119</v>
      </c>
      <c r="E2922" s="21" t="s">
        <v>17115</v>
      </c>
      <c r="F2922" s="21" t="s">
        <v>17105</v>
      </c>
      <c r="G2922" s="21" t="s">
        <v>17120</v>
      </c>
    </row>
    <row r="2923" customFormat="false" ht="28.35" hidden="false" customHeight="false" outlineLevel="0" collapsed="false">
      <c r="B2923" s="19" t="s">
        <v>17123</v>
      </c>
      <c r="C2923" s="20" t="n">
        <f aca="false">ROUND(22.1/FX,2)</f>
        <v>3.07</v>
      </c>
      <c r="D2923" s="21" t="s">
        <v>17119</v>
      </c>
      <c r="E2923" s="21" t="s">
        <v>17117</v>
      </c>
      <c r="F2923" s="21" t="s">
        <v>17105</v>
      </c>
      <c r="G2923" s="21" t="s">
        <v>17120</v>
      </c>
    </row>
    <row r="2924" customFormat="false" ht="28.35" hidden="false" customHeight="false" outlineLevel="0" collapsed="false">
      <c r="B2924" s="19" t="s">
        <v>17124</v>
      </c>
      <c r="C2924" s="20" t="n">
        <f aca="false">ROUND(3.9/FX,2)</f>
        <v>0.54</v>
      </c>
      <c r="D2924" s="21" t="s">
        <v>17125</v>
      </c>
      <c r="E2924" s="21" t="s">
        <v>734</v>
      </c>
      <c r="F2924" s="21" t="s">
        <v>17126</v>
      </c>
      <c r="G2924" s="21" t="s">
        <v>17120</v>
      </c>
    </row>
    <row r="2925" customFormat="false" ht="15" hidden="false" customHeight="false" outlineLevel="0" collapsed="false">
      <c r="B2925" s="19" t="s">
        <v>17127</v>
      </c>
      <c r="C2925" s="20" t="n">
        <f aca="false">ROUND(3.38/FX,2)</f>
        <v>0.47</v>
      </c>
      <c r="D2925" s="21" t="s">
        <v>17128</v>
      </c>
      <c r="E2925" s="21" t="s">
        <v>734</v>
      </c>
      <c r="F2925" s="21" t="s">
        <v>15516</v>
      </c>
      <c r="G2925" s="21" t="s">
        <v>17120</v>
      </c>
    </row>
    <row r="2926" customFormat="false" ht="15" hidden="false" customHeight="false" outlineLevel="0" collapsed="false">
      <c r="B2926" s="19" t="s">
        <v>17129</v>
      </c>
      <c r="C2926" s="20" t="n">
        <f aca="false">ROUND(4.29/FX,2)</f>
        <v>0.6</v>
      </c>
      <c r="D2926" s="21" t="s">
        <v>17130</v>
      </c>
      <c r="E2926" s="21" t="s">
        <v>734</v>
      </c>
      <c r="F2926" s="21" t="s">
        <v>17110</v>
      </c>
      <c r="G2926" s="21" t="s">
        <v>17131</v>
      </c>
    </row>
    <row r="2927" customFormat="false" ht="15" hidden="false" customHeight="false" outlineLevel="0" collapsed="false">
      <c r="B2927" s="19" t="s">
        <v>17132</v>
      </c>
      <c r="C2927" s="20" t="n">
        <f aca="false">ROUND(7.15/FX,2)</f>
        <v>0.99</v>
      </c>
      <c r="D2927" s="21" t="s">
        <v>17130</v>
      </c>
      <c r="E2927" s="21" t="s">
        <v>17113</v>
      </c>
      <c r="F2927" s="21" t="s">
        <v>17110</v>
      </c>
      <c r="G2927" s="21" t="s">
        <v>17131</v>
      </c>
    </row>
    <row r="2928" customFormat="false" ht="28.35" hidden="false" customHeight="false" outlineLevel="0" collapsed="false">
      <c r="B2928" s="19" t="s">
        <v>17133</v>
      </c>
      <c r="C2928" s="20" t="n">
        <f aca="false">ROUND(49.4/FX,2)</f>
        <v>6.86</v>
      </c>
      <c r="D2928" s="21" t="s">
        <v>17130</v>
      </c>
      <c r="E2928" s="21" t="s">
        <v>17115</v>
      </c>
      <c r="F2928" s="21" t="s">
        <v>17110</v>
      </c>
      <c r="G2928" s="21" t="s">
        <v>17131</v>
      </c>
    </row>
    <row r="2929" customFormat="false" ht="28.35" hidden="false" customHeight="false" outlineLevel="0" collapsed="false">
      <c r="B2929" s="19" t="s">
        <v>17134</v>
      </c>
      <c r="C2929" s="20" t="n">
        <f aca="false">ROUND(49.4/FX,2)</f>
        <v>6.86</v>
      </c>
      <c r="D2929" s="21" t="s">
        <v>17130</v>
      </c>
      <c r="E2929" s="21" t="s">
        <v>17117</v>
      </c>
      <c r="F2929" s="21" t="s">
        <v>17110</v>
      </c>
      <c r="G2929" s="21" t="s">
        <v>17131</v>
      </c>
    </row>
    <row r="2930" customFormat="false" ht="15" hidden="false" customHeight="false" outlineLevel="0" collapsed="false">
      <c r="B2930" s="19" t="s">
        <v>17135</v>
      </c>
      <c r="C2930" s="20" t="n">
        <f aca="false">ROUND(1.69/FX,2)</f>
        <v>0.23</v>
      </c>
      <c r="D2930" s="21" t="s">
        <v>17136</v>
      </c>
      <c r="E2930" s="21" t="s">
        <v>734</v>
      </c>
      <c r="F2930" s="21" t="s">
        <v>17105</v>
      </c>
      <c r="G2930" s="21" t="s">
        <v>17137</v>
      </c>
    </row>
    <row r="2931" customFormat="false" ht="15" hidden="false" customHeight="false" outlineLevel="0" collapsed="false">
      <c r="B2931" s="19" t="s">
        <v>17138</v>
      </c>
      <c r="C2931" s="20" t="n">
        <f aca="false">ROUND(2.6/FX,2)</f>
        <v>0.36</v>
      </c>
      <c r="D2931" s="21" t="s">
        <v>17136</v>
      </c>
      <c r="E2931" s="21" t="s">
        <v>17113</v>
      </c>
      <c r="F2931" s="21" t="s">
        <v>17105</v>
      </c>
      <c r="G2931" s="21" t="s">
        <v>17137</v>
      </c>
    </row>
    <row r="2932" customFormat="false" ht="28.35" hidden="false" customHeight="false" outlineLevel="0" collapsed="false">
      <c r="B2932" s="19" t="s">
        <v>17139</v>
      </c>
      <c r="C2932" s="20" t="n">
        <f aca="false">ROUND(24.7/FX,2)</f>
        <v>3.43</v>
      </c>
      <c r="D2932" s="21" t="s">
        <v>17136</v>
      </c>
      <c r="E2932" s="21" t="s">
        <v>17115</v>
      </c>
      <c r="F2932" s="21" t="s">
        <v>17105</v>
      </c>
      <c r="G2932" s="21" t="s">
        <v>17137</v>
      </c>
    </row>
    <row r="2933" customFormat="false" ht="28.35" hidden="false" customHeight="false" outlineLevel="0" collapsed="false">
      <c r="B2933" s="19" t="s">
        <v>17140</v>
      </c>
      <c r="C2933" s="20" t="n">
        <f aca="false">ROUND(24.7/FX,2)</f>
        <v>3.43</v>
      </c>
      <c r="D2933" s="21" t="s">
        <v>17136</v>
      </c>
      <c r="E2933" s="21" t="s">
        <v>17117</v>
      </c>
      <c r="F2933" s="21" t="s">
        <v>17105</v>
      </c>
      <c r="G2933" s="21" t="s">
        <v>17137</v>
      </c>
    </row>
    <row r="2934" customFormat="false" ht="28.35" hidden="false" customHeight="false" outlineLevel="0" collapsed="false">
      <c r="B2934" s="19" t="s">
        <v>17141</v>
      </c>
      <c r="C2934" s="20" t="n">
        <f aca="false">ROUND(3.64/FX,2)</f>
        <v>0.51</v>
      </c>
      <c r="D2934" s="21" t="s">
        <v>17142</v>
      </c>
      <c r="E2934" s="21" t="s">
        <v>734</v>
      </c>
      <c r="F2934" s="21" t="s">
        <v>17126</v>
      </c>
      <c r="G2934" s="21" t="s">
        <v>17137</v>
      </c>
    </row>
    <row r="2935" customFormat="false" ht="15" hidden="false" customHeight="false" outlineLevel="0" collapsed="false">
      <c r="B2935" s="19" t="s">
        <v>17143</v>
      </c>
      <c r="C2935" s="20" t="n">
        <f aca="false">ROUND(3.64/FX,2)</f>
        <v>0.51</v>
      </c>
      <c r="D2935" s="21" t="s">
        <v>17144</v>
      </c>
      <c r="E2935" s="21" t="s">
        <v>734</v>
      </c>
      <c r="F2935" s="21" t="s">
        <v>15516</v>
      </c>
      <c r="G2935" s="21" t="s">
        <v>17137</v>
      </c>
    </row>
    <row r="2936" customFormat="false" ht="15" hidden="false" customHeight="false" outlineLevel="0" collapsed="false">
      <c r="B2936" s="19" t="s">
        <v>17145</v>
      </c>
      <c r="C2936" s="20" t="n">
        <f aca="false">ROUND(7.8/FX,2)</f>
        <v>1.08</v>
      </c>
      <c r="D2936" s="21" t="s">
        <v>17146</v>
      </c>
      <c r="E2936" s="21" t="s">
        <v>734</v>
      </c>
      <c r="F2936" s="21" t="s">
        <v>17110</v>
      </c>
      <c r="G2936" s="21" t="s">
        <v>17147</v>
      </c>
    </row>
    <row r="2937" customFormat="false" ht="15" hidden="false" customHeight="false" outlineLevel="0" collapsed="false">
      <c r="B2937" s="19" t="s">
        <v>17148</v>
      </c>
      <c r="C2937" s="20" t="n">
        <f aca="false">ROUND(3/FX,2)</f>
        <v>0.42</v>
      </c>
      <c r="D2937" s="21" t="s">
        <v>17149</v>
      </c>
      <c r="E2937" s="21" t="s">
        <v>734</v>
      </c>
      <c r="F2937" s="21" t="s">
        <v>17105</v>
      </c>
      <c r="G2937" s="21" t="s">
        <v>17150</v>
      </c>
    </row>
    <row r="2938" customFormat="false" ht="15" hidden="false" customHeight="false" outlineLevel="0" collapsed="false">
      <c r="B2938" s="19" t="s">
        <v>17151</v>
      </c>
      <c r="C2938" s="20" t="n">
        <f aca="false">ROUND(4.55/FX,2)</f>
        <v>0.63</v>
      </c>
      <c r="D2938" s="21" t="s">
        <v>17149</v>
      </c>
      <c r="E2938" s="21" t="s">
        <v>17113</v>
      </c>
      <c r="F2938" s="21" t="s">
        <v>17105</v>
      </c>
      <c r="G2938" s="21" t="s">
        <v>17150</v>
      </c>
    </row>
    <row r="2939" customFormat="false" ht="15" hidden="false" customHeight="false" outlineLevel="0" collapsed="false">
      <c r="B2939" s="19" t="s">
        <v>17152</v>
      </c>
      <c r="C2939" s="20" t="n">
        <f aca="false">ROUND(11.7/FX,2)</f>
        <v>1.63</v>
      </c>
      <c r="D2939" s="21" t="s">
        <v>17153</v>
      </c>
      <c r="E2939" s="21" t="s">
        <v>17154</v>
      </c>
      <c r="F2939" s="21" t="s">
        <v>15516</v>
      </c>
      <c r="G2939" s="21" t="s">
        <v>17155</v>
      </c>
    </row>
    <row r="2940" customFormat="false" ht="15" hidden="false" customHeight="false" outlineLevel="0" collapsed="false">
      <c r="B2940" s="19" t="s">
        <v>17156</v>
      </c>
      <c r="C2940" s="20" t="n">
        <f aca="false">ROUND(5.07/FX,2)</f>
        <v>0.7</v>
      </c>
      <c r="D2940" s="21" t="s">
        <v>17157</v>
      </c>
      <c r="E2940" s="21" t="s">
        <v>734</v>
      </c>
      <c r="F2940" s="21" t="s">
        <v>17110</v>
      </c>
      <c r="G2940" s="21" t="s">
        <v>17158</v>
      </c>
    </row>
    <row r="2941" customFormat="false" ht="15" hidden="false" customHeight="false" outlineLevel="0" collapsed="false">
      <c r="B2941" s="19" t="s">
        <v>17159</v>
      </c>
      <c r="C2941" s="20" t="n">
        <f aca="false">ROUND(11.18/FX,2)</f>
        <v>1.55</v>
      </c>
      <c r="D2941" s="21" t="s">
        <v>17157</v>
      </c>
      <c r="E2941" s="21" t="s">
        <v>17113</v>
      </c>
      <c r="F2941" s="21" t="s">
        <v>17110</v>
      </c>
      <c r="G2941" s="21" t="s">
        <v>17158</v>
      </c>
    </row>
    <row r="2942" customFormat="false" ht="28.35" hidden="false" customHeight="false" outlineLevel="0" collapsed="false">
      <c r="B2942" s="19" t="s">
        <v>17160</v>
      </c>
      <c r="C2942" s="20" t="n">
        <f aca="false">ROUND(59.8/FX,2)</f>
        <v>8.31</v>
      </c>
      <c r="D2942" s="21" t="s">
        <v>17157</v>
      </c>
      <c r="E2942" s="21" t="s">
        <v>17115</v>
      </c>
      <c r="F2942" s="21" t="s">
        <v>17110</v>
      </c>
      <c r="G2942" s="21" t="s">
        <v>17158</v>
      </c>
    </row>
    <row r="2943" customFormat="false" ht="28.35" hidden="false" customHeight="false" outlineLevel="0" collapsed="false">
      <c r="B2943" s="19" t="s">
        <v>17161</v>
      </c>
      <c r="C2943" s="20" t="n">
        <f aca="false">ROUND(59.8/FX,2)</f>
        <v>8.31</v>
      </c>
      <c r="D2943" s="21" t="s">
        <v>17157</v>
      </c>
      <c r="E2943" s="21" t="s">
        <v>17117</v>
      </c>
      <c r="F2943" s="21" t="s">
        <v>17110</v>
      </c>
      <c r="G2943" s="21" t="s">
        <v>17158</v>
      </c>
    </row>
    <row r="2944" customFormat="false" ht="15" hidden="false" customHeight="false" outlineLevel="0" collapsed="false">
      <c r="B2944" s="19" t="s">
        <v>17162</v>
      </c>
      <c r="C2944" s="20" t="n">
        <f aca="false">ROUND(2.27/FX,2)</f>
        <v>0.32</v>
      </c>
      <c r="D2944" s="21" t="s">
        <v>17163</v>
      </c>
      <c r="E2944" s="21" t="s">
        <v>734</v>
      </c>
      <c r="F2944" s="21" t="s">
        <v>17105</v>
      </c>
      <c r="G2944" s="21" t="s">
        <v>17155</v>
      </c>
    </row>
    <row r="2945" customFormat="false" ht="15" hidden="false" customHeight="false" outlineLevel="0" collapsed="false">
      <c r="B2945" s="19" t="s">
        <v>17164</v>
      </c>
      <c r="C2945" s="20" t="n">
        <f aca="false">ROUND(4.03/FX,2)</f>
        <v>0.56</v>
      </c>
      <c r="D2945" s="21" t="s">
        <v>17163</v>
      </c>
      <c r="E2945" s="21" t="s">
        <v>17113</v>
      </c>
      <c r="F2945" s="21" t="s">
        <v>17105</v>
      </c>
      <c r="G2945" s="21" t="s">
        <v>17155</v>
      </c>
    </row>
    <row r="2946" customFormat="false" ht="28.35" hidden="false" customHeight="false" outlineLevel="0" collapsed="false">
      <c r="B2946" s="19" t="s">
        <v>17165</v>
      </c>
      <c r="C2946" s="20" t="n">
        <f aca="false">ROUND(31.2/FX,2)</f>
        <v>4.33</v>
      </c>
      <c r="D2946" s="21" t="s">
        <v>17163</v>
      </c>
      <c r="E2946" s="21" t="s">
        <v>17115</v>
      </c>
      <c r="F2946" s="21" t="s">
        <v>17105</v>
      </c>
      <c r="G2946" s="21" t="s">
        <v>17155</v>
      </c>
    </row>
    <row r="2947" customFormat="false" ht="28.35" hidden="false" customHeight="false" outlineLevel="0" collapsed="false">
      <c r="B2947" s="19" t="s">
        <v>17166</v>
      </c>
      <c r="C2947" s="20" t="n">
        <f aca="false">ROUND(31.2/FX,2)</f>
        <v>4.33</v>
      </c>
      <c r="D2947" s="21" t="s">
        <v>17163</v>
      </c>
      <c r="E2947" s="21" t="s">
        <v>17117</v>
      </c>
      <c r="F2947" s="21" t="s">
        <v>17105</v>
      </c>
      <c r="G2947" s="21" t="s">
        <v>17155</v>
      </c>
    </row>
    <row r="2948" customFormat="false" ht="28.35" hidden="false" customHeight="false" outlineLevel="0" collapsed="false">
      <c r="B2948" s="19" t="s">
        <v>17167</v>
      </c>
      <c r="C2948" s="20" t="n">
        <f aca="false">ROUND(4.03/FX,2)</f>
        <v>0.56</v>
      </c>
      <c r="D2948" s="21" t="s">
        <v>17168</v>
      </c>
      <c r="E2948" s="21" t="s">
        <v>734</v>
      </c>
      <c r="F2948" s="21" t="s">
        <v>17126</v>
      </c>
      <c r="G2948" s="21" t="s">
        <v>17155</v>
      </c>
    </row>
    <row r="2949" customFormat="false" ht="15" hidden="false" customHeight="false" outlineLevel="0" collapsed="false">
      <c r="B2949" s="19" t="s">
        <v>17169</v>
      </c>
      <c r="C2949" s="20" t="n">
        <f aca="false">ROUND(2.86/FX,2)</f>
        <v>0.4</v>
      </c>
      <c r="D2949" s="21" t="s">
        <v>17170</v>
      </c>
      <c r="E2949" s="21" t="s">
        <v>734</v>
      </c>
      <c r="F2949" s="21" t="s">
        <v>15516</v>
      </c>
      <c r="G2949" s="21" t="s">
        <v>17155</v>
      </c>
    </row>
    <row r="2950" customFormat="false" ht="15" hidden="false" customHeight="false" outlineLevel="0" collapsed="false">
      <c r="B2950" s="19" t="s">
        <v>17171</v>
      </c>
      <c r="C2950" s="20" t="n">
        <f aca="false">ROUND(3.9/FX,2)</f>
        <v>0.54</v>
      </c>
      <c r="D2950" s="21" t="s">
        <v>17170</v>
      </c>
      <c r="E2950" s="21" t="s">
        <v>17172</v>
      </c>
      <c r="F2950" s="21" t="s">
        <v>15516</v>
      </c>
      <c r="G2950" s="21" t="s">
        <v>17155</v>
      </c>
    </row>
    <row r="2951" customFormat="false" ht="15" hidden="false" customHeight="false" outlineLevel="0" collapsed="false">
      <c r="B2951" s="19" t="s">
        <v>17173</v>
      </c>
      <c r="C2951" s="20" t="n">
        <f aca="false">ROUND(2.86/FX,2)</f>
        <v>0.4</v>
      </c>
      <c r="D2951" s="21" t="s">
        <v>17174</v>
      </c>
      <c r="E2951" s="21" t="s">
        <v>17154</v>
      </c>
      <c r="F2951" s="21" t="s">
        <v>17105</v>
      </c>
      <c r="G2951" s="21" t="s">
        <v>17175</v>
      </c>
    </row>
    <row r="2952" customFormat="false" ht="15" hidden="false" customHeight="false" outlineLevel="0" collapsed="false">
      <c r="B2952" s="19" t="s">
        <v>17176</v>
      </c>
      <c r="C2952" s="20" t="n">
        <f aca="false">ROUND(13/FX,2)</f>
        <v>1.81</v>
      </c>
      <c r="D2952" s="21" t="s">
        <v>17177</v>
      </c>
      <c r="E2952" s="21" t="s">
        <v>17154</v>
      </c>
      <c r="F2952" s="21" t="s">
        <v>15516</v>
      </c>
      <c r="G2952" s="21" t="s">
        <v>17175</v>
      </c>
    </row>
    <row r="2953" customFormat="false" ht="15" hidden="false" customHeight="false" outlineLevel="0" collapsed="false">
      <c r="B2953" s="19" t="s">
        <v>17178</v>
      </c>
      <c r="C2953" s="20" t="n">
        <f aca="false">ROUND(5.72/FX,2)</f>
        <v>0.79</v>
      </c>
      <c r="D2953" s="21" t="s">
        <v>17179</v>
      </c>
      <c r="E2953" s="21" t="s">
        <v>734</v>
      </c>
      <c r="F2953" s="21" t="s">
        <v>17110</v>
      </c>
      <c r="G2953" s="21" t="s">
        <v>17180</v>
      </c>
    </row>
    <row r="2954" customFormat="false" ht="15" hidden="false" customHeight="false" outlineLevel="0" collapsed="false">
      <c r="B2954" s="19" t="s">
        <v>17181</v>
      </c>
      <c r="C2954" s="20" t="n">
        <f aca="false">ROUND(11.44/FX,2)</f>
        <v>1.59</v>
      </c>
      <c r="D2954" s="21" t="s">
        <v>17179</v>
      </c>
      <c r="E2954" s="21" t="s">
        <v>17113</v>
      </c>
      <c r="F2954" s="21" t="s">
        <v>17110</v>
      </c>
      <c r="G2954" s="21" t="s">
        <v>17180</v>
      </c>
    </row>
    <row r="2955" customFormat="false" ht="28.35" hidden="false" customHeight="false" outlineLevel="0" collapsed="false">
      <c r="B2955" s="19" t="s">
        <v>17182</v>
      </c>
      <c r="C2955" s="20" t="n">
        <f aca="false">ROUND(80.6/FX,2)</f>
        <v>11.19</v>
      </c>
      <c r="D2955" s="21" t="s">
        <v>17179</v>
      </c>
      <c r="E2955" s="21" t="s">
        <v>17115</v>
      </c>
      <c r="F2955" s="21" t="s">
        <v>17110</v>
      </c>
      <c r="G2955" s="21" t="s">
        <v>17180</v>
      </c>
    </row>
    <row r="2956" customFormat="false" ht="28.35" hidden="false" customHeight="false" outlineLevel="0" collapsed="false">
      <c r="B2956" s="19" t="s">
        <v>17183</v>
      </c>
      <c r="C2956" s="20" t="n">
        <f aca="false">ROUND(67.6/FX,2)</f>
        <v>9.39</v>
      </c>
      <c r="D2956" s="21" t="s">
        <v>17179</v>
      </c>
      <c r="E2956" s="21" t="s">
        <v>17117</v>
      </c>
      <c r="F2956" s="21" t="s">
        <v>17110</v>
      </c>
      <c r="G2956" s="21" t="s">
        <v>17180</v>
      </c>
    </row>
    <row r="2957" customFormat="false" ht="15" hidden="false" customHeight="false" outlineLevel="0" collapsed="false">
      <c r="B2957" s="19" t="s">
        <v>17184</v>
      </c>
      <c r="C2957" s="20" t="n">
        <f aca="false">ROUND(2.21/FX,2)</f>
        <v>0.31</v>
      </c>
      <c r="D2957" s="21" t="s">
        <v>17185</v>
      </c>
      <c r="E2957" s="21" t="s">
        <v>734</v>
      </c>
      <c r="F2957" s="21" t="s">
        <v>17105</v>
      </c>
      <c r="G2957" s="21" t="s">
        <v>17175</v>
      </c>
    </row>
    <row r="2958" customFormat="false" ht="15" hidden="false" customHeight="false" outlineLevel="0" collapsed="false">
      <c r="B2958" s="19" t="s">
        <v>17186</v>
      </c>
      <c r="C2958" s="20" t="n">
        <f aca="false">ROUND(4.29/FX,2)</f>
        <v>0.6</v>
      </c>
      <c r="D2958" s="21" t="s">
        <v>17185</v>
      </c>
      <c r="E2958" s="21" t="s">
        <v>17113</v>
      </c>
      <c r="F2958" s="21" t="s">
        <v>17105</v>
      </c>
      <c r="G2958" s="21" t="s">
        <v>17175</v>
      </c>
    </row>
    <row r="2959" customFormat="false" ht="28.35" hidden="false" customHeight="false" outlineLevel="0" collapsed="false">
      <c r="B2959" s="19" t="s">
        <v>17187</v>
      </c>
      <c r="C2959" s="20" t="n">
        <f aca="false">ROUND(35.1/FX,2)</f>
        <v>4.88</v>
      </c>
      <c r="D2959" s="21" t="s">
        <v>17185</v>
      </c>
      <c r="E2959" s="21" t="s">
        <v>17115</v>
      </c>
      <c r="F2959" s="21" t="s">
        <v>17105</v>
      </c>
      <c r="G2959" s="21" t="s">
        <v>17175</v>
      </c>
    </row>
    <row r="2960" customFormat="false" ht="28.35" hidden="false" customHeight="false" outlineLevel="0" collapsed="false">
      <c r="B2960" s="19" t="s">
        <v>17188</v>
      </c>
      <c r="C2960" s="20" t="n">
        <f aca="false">ROUND(35.1/FX,2)</f>
        <v>4.88</v>
      </c>
      <c r="D2960" s="21" t="s">
        <v>17185</v>
      </c>
      <c r="E2960" s="21" t="s">
        <v>17117</v>
      </c>
      <c r="F2960" s="21" t="s">
        <v>17105</v>
      </c>
      <c r="G2960" s="21" t="s">
        <v>17175</v>
      </c>
    </row>
    <row r="2961" customFormat="false" ht="28.35" hidden="false" customHeight="false" outlineLevel="0" collapsed="false">
      <c r="B2961" s="19" t="s">
        <v>17189</v>
      </c>
      <c r="C2961" s="20" t="n">
        <f aca="false">ROUND(4.29/FX,2)</f>
        <v>0.6</v>
      </c>
      <c r="D2961" s="21" t="s">
        <v>17190</v>
      </c>
      <c r="E2961" s="21" t="s">
        <v>734</v>
      </c>
      <c r="F2961" s="21" t="s">
        <v>17126</v>
      </c>
      <c r="G2961" s="21" t="s">
        <v>17175</v>
      </c>
    </row>
    <row r="2962" customFormat="false" ht="15" hidden="false" customHeight="false" outlineLevel="0" collapsed="false">
      <c r="B2962" s="19" t="s">
        <v>17191</v>
      </c>
      <c r="C2962" s="20" t="n">
        <f aca="false">ROUND(4.29/FX,2)</f>
        <v>0.6</v>
      </c>
      <c r="D2962" s="21" t="s">
        <v>17192</v>
      </c>
      <c r="E2962" s="21" t="s">
        <v>734</v>
      </c>
      <c r="F2962" s="21" t="s">
        <v>15516</v>
      </c>
      <c r="G2962" s="21" t="s">
        <v>17175</v>
      </c>
    </row>
    <row r="2963" customFormat="false" ht="15" hidden="false" customHeight="false" outlineLevel="0" collapsed="false">
      <c r="B2963" s="19" t="s">
        <v>17193</v>
      </c>
      <c r="C2963" s="20" t="n">
        <f aca="false">ROUND(17.68/FX,2)</f>
        <v>2.46</v>
      </c>
      <c r="D2963" s="21" t="s">
        <v>17194</v>
      </c>
      <c r="E2963" s="21" t="s">
        <v>17154</v>
      </c>
      <c r="F2963" s="21" t="s">
        <v>17105</v>
      </c>
      <c r="G2963" s="21" t="s">
        <v>17195</v>
      </c>
    </row>
    <row r="2964" customFormat="false" ht="15" hidden="false" customHeight="false" outlineLevel="0" collapsed="false">
      <c r="B2964" s="19" t="s">
        <v>17196</v>
      </c>
      <c r="C2964" s="20" t="n">
        <f aca="false">ROUND(20.8/FX,2)</f>
        <v>2.89</v>
      </c>
      <c r="D2964" s="21" t="s">
        <v>17197</v>
      </c>
      <c r="E2964" s="21" t="s">
        <v>17154</v>
      </c>
      <c r="F2964" s="21" t="s">
        <v>15516</v>
      </c>
      <c r="G2964" s="21" t="s">
        <v>17195</v>
      </c>
    </row>
    <row r="2965" customFormat="false" ht="15" hidden="false" customHeight="false" outlineLevel="0" collapsed="false">
      <c r="B2965" s="19" t="s">
        <v>17198</v>
      </c>
      <c r="C2965" s="20" t="n">
        <f aca="false">ROUND(15/FX,2)</f>
        <v>2.08</v>
      </c>
      <c r="D2965" s="21" t="s">
        <v>17199</v>
      </c>
      <c r="E2965" s="21" t="s">
        <v>734</v>
      </c>
      <c r="F2965" s="21" t="s">
        <v>17110</v>
      </c>
      <c r="G2965" s="21" t="s">
        <v>17200</v>
      </c>
    </row>
    <row r="2966" customFormat="false" ht="15" hidden="false" customHeight="false" outlineLevel="0" collapsed="false">
      <c r="B2966" s="19" t="s">
        <v>17201</v>
      </c>
      <c r="C2966" s="20" t="n">
        <f aca="false">ROUND(26.26/FX,2)</f>
        <v>3.65</v>
      </c>
      <c r="D2966" s="21" t="s">
        <v>17199</v>
      </c>
      <c r="E2966" s="21" t="s">
        <v>17113</v>
      </c>
      <c r="F2966" s="21" t="s">
        <v>17110</v>
      </c>
      <c r="G2966" s="21" t="s">
        <v>17200</v>
      </c>
    </row>
    <row r="2967" customFormat="false" ht="28.35" hidden="false" customHeight="false" outlineLevel="0" collapsed="false">
      <c r="B2967" s="19" t="s">
        <v>17202</v>
      </c>
      <c r="C2967" s="20" t="n">
        <f aca="false">ROUND(101.4/FX,2)</f>
        <v>14.08</v>
      </c>
      <c r="D2967" s="21" t="s">
        <v>17199</v>
      </c>
      <c r="E2967" s="21" t="s">
        <v>17115</v>
      </c>
      <c r="F2967" s="21" t="s">
        <v>17110</v>
      </c>
      <c r="G2967" s="21" t="s">
        <v>17200</v>
      </c>
    </row>
    <row r="2968" customFormat="false" ht="28.35" hidden="false" customHeight="false" outlineLevel="0" collapsed="false">
      <c r="B2968" s="19" t="s">
        <v>17203</v>
      </c>
      <c r="C2968" s="20" t="n">
        <f aca="false">ROUND(101.4/FX,2)</f>
        <v>14.08</v>
      </c>
      <c r="D2968" s="21" t="s">
        <v>17199</v>
      </c>
      <c r="E2968" s="21" t="s">
        <v>17117</v>
      </c>
      <c r="F2968" s="21" t="s">
        <v>17110</v>
      </c>
      <c r="G2968" s="21" t="s">
        <v>17200</v>
      </c>
    </row>
    <row r="2969" customFormat="false" ht="15" hidden="false" customHeight="false" outlineLevel="0" collapsed="false">
      <c r="B2969" s="19" t="s">
        <v>17204</v>
      </c>
      <c r="C2969" s="20" t="n">
        <f aca="false">ROUND(4.24/FX,2)</f>
        <v>0.59</v>
      </c>
      <c r="D2969" s="21" t="s">
        <v>17205</v>
      </c>
      <c r="E2969" s="21" t="s">
        <v>734</v>
      </c>
      <c r="F2969" s="21" t="s">
        <v>17105</v>
      </c>
      <c r="G2969" s="21" t="s">
        <v>17195</v>
      </c>
    </row>
    <row r="2970" customFormat="false" ht="15" hidden="false" customHeight="false" outlineLevel="0" collapsed="false">
      <c r="B2970" s="19" t="s">
        <v>17206</v>
      </c>
      <c r="C2970" s="20" t="n">
        <f aca="false">ROUND(7.15/FX,2)</f>
        <v>0.99</v>
      </c>
      <c r="D2970" s="21" t="s">
        <v>17205</v>
      </c>
      <c r="E2970" s="21" t="s">
        <v>17113</v>
      </c>
      <c r="F2970" s="21" t="s">
        <v>17105</v>
      </c>
      <c r="G2970" s="21" t="s">
        <v>17195</v>
      </c>
    </row>
    <row r="2971" customFormat="false" ht="28.35" hidden="false" customHeight="false" outlineLevel="0" collapsed="false">
      <c r="B2971" s="19" t="s">
        <v>17207</v>
      </c>
      <c r="C2971" s="20" t="n">
        <f aca="false">ROUND(50.05/FX,2)</f>
        <v>6.95</v>
      </c>
      <c r="D2971" s="21" t="s">
        <v>17205</v>
      </c>
      <c r="E2971" s="21" t="s">
        <v>17115</v>
      </c>
      <c r="F2971" s="21" t="s">
        <v>17105</v>
      </c>
      <c r="G2971" s="21" t="s">
        <v>17195</v>
      </c>
    </row>
    <row r="2972" customFormat="false" ht="28.35" hidden="false" customHeight="false" outlineLevel="0" collapsed="false">
      <c r="B2972" s="19" t="s">
        <v>17208</v>
      </c>
      <c r="C2972" s="20" t="n">
        <f aca="false">ROUND(50.05/FX,2)</f>
        <v>6.95</v>
      </c>
      <c r="D2972" s="21" t="s">
        <v>17205</v>
      </c>
      <c r="E2972" s="21" t="s">
        <v>17117</v>
      </c>
      <c r="F2972" s="21" t="s">
        <v>17105</v>
      </c>
      <c r="G2972" s="21" t="s">
        <v>17195</v>
      </c>
    </row>
    <row r="2973" customFormat="false" ht="28.35" hidden="false" customHeight="false" outlineLevel="0" collapsed="false">
      <c r="B2973" s="19" t="s">
        <v>17209</v>
      </c>
      <c r="C2973" s="20" t="n">
        <f aca="false">ROUND(6.5/FX,2)</f>
        <v>0.9</v>
      </c>
      <c r="D2973" s="21" t="s">
        <v>17210</v>
      </c>
      <c r="E2973" s="21" t="s">
        <v>734</v>
      </c>
      <c r="F2973" s="21" t="s">
        <v>17126</v>
      </c>
      <c r="G2973" s="21" t="s">
        <v>17195</v>
      </c>
    </row>
    <row r="2974" customFormat="false" ht="15" hidden="false" customHeight="false" outlineLevel="0" collapsed="false">
      <c r="B2974" s="19" t="s">
        <v>17211</v>
      </c>
      <c r="C2974" s="20" t="n">
        <f aca="false">ROUND(7.54/FX,2)</f>
        <v>1.05</v>
      </c>
      <c r="D2974" s="21" t="s">
        <v>17212</v>
      </c>
      <c r="E2974" s="21" t="s">
        <v>734</v>
      </c>
      <c r="F2974" s="21" t="s">
        <v>15516</v>
      </c>
      <c r="G2974" s="21" t="s">
        <v>17195</v>
      </c>
    </row>
    <row r="2975" customFormat="false" ht="15" hidden="false" customHeight="false" outlineLevel="0" collapsed="false">
      <c r="B2975" s="19" t="s">
        <v>17213</v>
      </c>
      <c r="C2975" s="20" t="n">
        <f aca="false">ROUND(18.85/FX,2)</f>
        <v>2.62</v>
      </c>
      <c r="D2975" s="21" t="s">
        <v>17214</v>
      </c>
      <c r="E2975" s="21" t="s">
        <v>17154</v>
      </c>
      <c r="F2975" s="21" t="s">
        <v>17105</v>
      </c>
      <c r="G2975" s="21" t="s">
        <v>17215</v>
      </c>
    </row>
    <row r="2976" customFormat="false" ht="15" hidden="false" customHeight="false" outlineLevel="0" collapsed="false">
      <c r="B2976" s="19" t="s">
        <v>17216</v>
      </c>
      <c r="C2976" s="20" t="n">
        <f aca="false">ROUND(17.58/FX,2)</f>
        <v>2.44</v>
      </c>
      <c r="D2976" s="21" t="s">
        <v>17217</v>
      </c>
      <c r="E2976" s="21" t="s">
        <v>734</v>
      </c>
      <c r="F2976" s="21" t="s">
        <v>17110</v>
      </c>
      <c r="G2976" s="21" t="s">
        <v>17218</v>
      </c>
    </row>
    <row r="2977" customFormat="false" ht="15" hidden="false" customHeight="false" outlineLevel="0" collapsed="false">
      <c r="B2977" s="19" t="s">
        <v>17219</v>
      </c>
      <c r="C2977" s="20" t="n">
        <f aca="false">ROUND(22.88/FX,2)</f>
        <v>3.18</v>
      </c>
      <c r="D2977" s="21" t="s">
        <v>17217</v>
      </c>
      <c r="E2977" s="21" t="s">
        <v>17113</v>
      </c>
      <c r="F2977" s="21" t="s">
        <v>17110</v>
      </c>
      <c r="G2977" s="21" t="s">
        <v>17218</v>
      </c>
    </row>
    <row r="2978" customFormat="false" ht="28.35" hidden="false" customHeight="false" outlineLevel="0" collapsed="false">
      <c r="B2978" s="19" t="s">
        <v>17220</v>
      </c>
      <c r="C2978" s="20" t="n">
        <f aca="false">ROUND(123.5/FX,2)</f>
        <v>17.15</v>
      </c>
      <c r="D2978" s="21" t="s">
        <v>17217</v>
      </c>
      <c r="E2978" s="21" t="s">
        <v>17115</v>
      </c>
      <c r="F2978" s="21" t="s">
        <v>17110</v>
      </c>
      <c r="G2978" s="21" t="s">
        <v>17218</v>
      </c>
    </row>
    <row r="2979" customFormat="false" ht="28.35" hidden="false" customHeight="false" outlineLevel="0" collapsed="false">
      <c r="B2979" s="19" t="s">
        <v>17221</v>
      </c>
      <c r="C2979" s="20" t="n">
        <f aca="false">ROUND(123.5/FX,2)</f>
        <v>17.15</v>
      </c>
      <c r="D2979" s="21" t="s">
        <v>17217</v>
      </c>
      <c r="E2979" s="21" t="s">
        <v>17117</v>
      </c>
      <c r="F2979" s="21" t="s">
        <v>17110</v>
      </c>
      <c r="G2979" s="21" t="s">
        <v>17218</v>
      </c>
    </row>
    <row r="2980" customFormat="false" ht="15" hidden="false" customHeight="false" outlineLevel="0" collapsed="false">
      <c r="B2980" s="19" t="s">
        <v>17222</v>
      </c>
      <c r="C2980" s="20" t="n">
        <f aca="false">ROUND(4.8/FX,2)</f>
        <v>0.67</v>
      </c>
      <c r="D2980" s="21" t="s">
        <v>17223</v>
      </c>
      <c r="E2980" s="21" t="s">
        <v>734</v>
      </c>
      <c r="F2980" s="21" t="s">
        <v>17105</v>
      </c>
      <c r="G2980" s="21" t="s">
        <v>17215</v>
      </c>
    </row>
    <row r="2981" customFormat="false" ht="15" hidden="false" customHeight="false" outlineLevel="0" collapsed="false">
      <c r="B2981" s="19" t="s">
        <v>17224</v>
      </c>
      <c r="C2981" s="20" t="n">
        <f aca="false">ROUND(10.4/FX,2)</f>
        <v>1.44</v>
      </c>
      <c r="D2981" s="21" t="s">
        <v>17223</v>
      </c>
      <c r="E2981" s="21" t="s">
        <v>17113</v>
      </c>
      <c r="F2981" s="21" t="s">
        <v>17105</v>
      </c>
      <c r="G2981" s="21" t="s">
        <v>17215</v>
      </c>
    </row>
    <row r="2982" customFormat="false" ht="15" hidden="false" customHeight="false" outlineLevel="0" collapsed="false">
      <c r="B2982" s="19" t="s">
        <v>17225</v>
      </c>
      <c r="C2982" s="20" t="n">
        <f aca="false">ROUND(5.85/FX,2)</f>
        <v>0.81</v>
      </c>
      <c r="D2982" s="21" t="s">
        <v>17223</v>
      </c>
      <c r="E2982" s="21" t="s">
        <v>17172</v>
      </c>
      <c r="F2982" s="21" t="s">
        <v>17105</v>
      </c>
      <c r="G2982" s="21" t="s">
        <v>17215</v>
      </c>
    </row>
    <row r="2983" customFormat="false" ht="28.35" hidden="false" customHeight="false" outlineLevel="0" collapsed="false">
      <c r="B2983" s="19" t="s">
        <v>17226</v>
      </c>
      <c r="C2983" s="20" t="n">
        <f aca="false">ROUND(62.4/FX,2)</f>
        <v>8.67</v>
      </c>
      <c r="D2983" s="21" t="s">
        <v>17223</v>
      </c>
      <c r="E2983" s="21" t="s">
        <v>17115</v>
      </c>
      <c r="F2983" s="21" t="s">
        <v>17105</v>
      </c>
      <c r="G2983" s="21" t="s">
        <v>17215</v>
      </c>
    </row>
    <row r="2984" customFormat="false" ht="28.35" hidden="false" customHeight="false" outlineLevel="0" collapsed="false">
      <c r="B2984" s="19" t="s">
        <v>17227</v>
      </c>
      <c r="C2984" s="20" t="n">
        <f aca="false">ROUND(62.4/FX,2)</f>
        <v>8.67</v>
      </c>
      <c r="D2984" s="21" t="s">
        <v>17223</v>
      </c>
      <c r="E2984" s="21" t="s">
        <v>17117</v>
      </c>
      <c r="F2984" s="21" t="s">
        <v>17105</v>
      </c>
      <c r="G2984" s="21" t="s">
        <v>17215</v>
      </c>
    </row>
    <row r="2985" customFormat="false" ht="28.35" hidden="false" customHeight="false" outlineLevel="0" collapsed="false">
      <c r="B2985" s="19" t="s">
        <v>17228</v>
      </c>
      <c r="C2985" s="20" t="n">
        <f aca="false">ROUND(9.1/FX,2)</f>
        <v>1.26</v>
      </c>
      <c r="D2985" s="21" t="s">
        <v>17229</v>
      </c>
      <c r="E2985" s="21" t="s">
        <v>734</v>
      </c>
      <c r="F2985" s="21" t="s">
        <v>17126</v>
      </c>
      <c r="G2985" s="21" t="s">
        <v>17215</v>
      </c>
    </row>
    <row r="2986" customFormat="false" ht="15" hidden="false" customHeight="false" outlineLevel="0" collapsed="false">
      <c r="B2986" s="19" t="s">
        <v>17230</v>
      </c>
      <c r="C2986" s="20" t="n">
        <f aca="false">ROUND(8.84/FX,2)</f>
        <v>1.23</v>
      </c>
      <c r="D2986" s="21" t="s">
        <v>17231</v>
      </c>
      <c r="E2986" s="21" t="s">
        <v>734</v>
      </c>
      <c r="F2986" s="21" t="s">
        <v>15516</v>
      </c>
      <c r="G2986" s="21" t="s">
        <v>17215</v>
      </c>
    </row>
    <row r="2987" customFormat="false" ht="15" hidden="false" customHeight="false" outlineLevel="0" collapsed="false">
      <c r="B2987" s="19" t="s">
        <v>17232</v>
      </c>
      <c r="C2987" s="20" t="n">
        <f aca="false">ROUND(27.3/FX,2)</f>
        <v>3.79</v>
      </c>
      <c r="D2987" s="21" t="s">
        <v>17233</v>
      </c>
      <c r="E2987" s="21" t="s">
        <v>734</v>
      </c>
      <c r="F2987" s="21" t="s">
        <v>17110</v>
      </c>
      <c r="G2987" s="21" t="s">
        <v>17234</v>
      </c>
    </row>
    <row r="2988" customFormat="false" ht="15" hidden="false" customHeight="false" outlineLevel="0" collapsed="false">
      <c r="B2988" s="19" t="s">
        <v>17235</v>
      </c>
      <c r="C2988" s="20" t="n">
        <f aca="false">ROUND(35.75/FX,2)</f>
        <v>4.97</v>
      </c>
      <c r="D2988" s="21" t="s">
        <v>17233</v>
      </c>
      <c r="E2988" s="21" t="s">
        <v>17113</v>
      </c>
      <c r="F2988" s="21" t="s">
        <v>17110</v>
      </c>
      <c r="G2988" s="21" t="s">
        <v>17234</v>
      </c>
    </row>
    <row r="2989" customFormat="false" ht="28.35" hidden="false" customHeight="false" outlineLevel="0" collapsed="false">
      <c r="B2989" s="19" t="s">
        <v>17236</v>
      </c>
      <c r="C2989" s="20" t="n">
        <f aca="false">ROUND(188.5/FX,2)</f>
        <v>26.18</v>
      </c>
      <c r="D2989" s="21" t="s">
        <v>17233</v>
      </c>
      <c r="E2989" s="21" t="s">
        <v>17117</v>
      </c>
      <c r="F2989" s="21" t="s">
        <v>17110</v>
      </c>
      <c r="G2989" s="21" t="s">
        <v>17234</v>
      </c>
    </row>
    <row r="2990" customFormat="false" ht="15" hidden="false" customHeight="false" outlineLevel="0" collapsed="false">
      <c r="B2990" s="19" t="s">
        <v>17237</v>
      </c>
      <c r="C2990" s="20" t="n">
        <f aca="false">ROUND(7.15/FX,2)</f>
        <v>0.99</v>
      </c>
      <c r="D2990" s="21" t="s">
        <v>17238</v>
      </c>
      <c r="E2990" s="21" t="s">
        <v>734</v>
      </c>
      <c r="F2990" s="21" t="s">
        <v>17105</v>
      </c>
      <c r="G2990" s="21" t="s">
        <v>17239</v>
      </c>
    </row>
    <row r="2991" customFormat="false" ht="15" hidden="false" customHeight="false" outlineLevel="0" collapsed="false">
      <c r="B2991" s="19" t="s">
        <v>17240</v>
      </c>
      <c r="C2991" s="20" t="n">
        <f aca="false">ROUND(11.7/FX,2)</f>
        <v>1.63</v>
      </c>
      <c r="D2991" s="21" t="s">
        <v>17238</v>
      </c>
      <c r="E2991" s="21" t="s">
        <v>17113</v>
      </c>
      <c r="F2991" s="21" t="s">
        <v>17105</v>
      </c>
      <c r="G2991" s="21" t="s">
        <v>17239</v>
      </c>
    </row>
    <row r="2992" customFormat="false" ht="28.35" hidden="false" customHeight="false" outlineLevel="0" collapsed="false">
      <c r="B2992" s="19" t="s">
        <v>17241</v>
      </c>
      <c r="C2992" s="20" t="n">
        <f aca="false">ROUND(97.5/FX,2)</f>
        <v>13.54</v>
      </c>
      <c r="D2992" s="21" t="s">
        <v>17238</v>
      </c>
      <c r="E2992" s="21" t="s">
        <v>17115</v>
      </c>
      <c r="F2992" s="21" t="s">
        <v>17105</v>
      </c>
      <c r="G2992" s="21" t="s">
        <v>17239</v>
      </c>
    </row>
    <row r="2993" customFormat="false" ht="28.35" hidden="false" customHeight="false" outlineLevel="0" collapsed="false">
      <c r="B2993" s="19" t="s">
        <v>17242</v>
      </c>
      <c r="C2993" s="20" t="n">
        <f aca="false">ROUND(97.5/FX,2)</f>
        <v>13.54</v>
      </c>
      <c r="D2993" s="21" t="s">
        <v>17238</v>
      </c>
      <c r="E2993" s="21" t="s">
        <v>17117</v>
      </c>
      <c r="F2993" s="21" t="s">
        <v>17105</v>
      </c>
      <c r="G2993" s="21" t="s">
        <v>17239</v>
      </c>
    </row>
    <row r="2994" customFormat="false" ht="15" hidden="false" customHeight="false" outlineLevel="0" collapsed="false">
      <c r="B2994" s="19" t="s">
        <v>17243</v>
      </c>
      <c r="C2994" s="20" t="n">
        <f aca="false">ROUND(15.6/FX,2)</f>
        <v>2.17</v>
      </c>
      <c r="D2994" s="21" t="s">
        <v>17244</v>
      </c>
      <c r="E2994" s="21" t="s">
        <v>734</v>
      </c>
      <c r="F2994" s="21" t="s">
        <v>15516</v>
      </c>
      <c r="G2994" s="21" t="s">
        <v>17239</v>
      </c>
    </row>
    <row r="2995" customFormat="false" ht="15" hidden="false" customHeight="false" outlineLevel="0" collapsed="false">
      <c r="B2995" s="19" t="s">
        <v>17245</v>
      </c>
      <c r="C2995" s="20" t="n">
        <f aca="false">ROUND(4.55/FX,2)</f>
        <v>0.63</v>
      </c>
      <c r="D2995" s="21" t="s">
        <v>17246</v>
      </c>
      <c r="E2995" s="21" t="s">
        <v>734</v>
      </c>
      <c r="F2995" s="21" t="s">
        <v>17105</v>
      </c>
      <c r="G2995" s="21" t="s">
        <v>17247</v>
      </c>
    </row>
    <row r="2996" customFormat="false" ht="15" hidden="false" customHeight="false" outlineLevel="0" collapsed="false">
      <c r="B2996" s="19" t="s">
        <v>17248</v>
      </c>
      <c r="C2996" s="20" t="n">
        <f aca="false">ROUND(36.42/FX,2)</f>
        <v>5.06</v>
      </c>
      <c r="D2996" s="21" t="s">
        <v>17249</v>
      </c>
      <c r="E2996" s="21" t="s">
        <v>734</v>
      </c>
      <c r="F2996" s="21" t="s">
        <v>17110</v>
      </c>
      <c r="G2996" s="21" t="s">
        <v>17250</v>
      </c>
    </row>
    <row r="2997" customFormat="false" ht="15" hidden="false" customHeight="false" outlineLevel="0" collapsed="false">
      <c r="B2997" s="19" t="s">
        <v>17251</v>
      </c>
      <c r="C2997" s="20" t="n">
        <f aca="false">ROUND(50.05/FX,2)</f>
        <v>6.95</v>
      </c>
      <c r="D2997" s="21" t="s">
        <v>17249</v>
      </c>
      <c r="E2997" s="21" t="s">
        <v>17113</v>
      </c>
      <c r="F2997" s="21" t="s">
        <v>17110</v>
      </c>
      <c r="G2997" s="21" t="s">
        <v>17250</v>
      </c>
    </row>
    <row r="2998" customFormat="false" ht="28.35" hidden="false" customHeight="false" outlineLevel="0" collapsed="false">
      <c r="B2998" s="19" t="s">
        <v>17252</v>
      </c>
      <c r="C2998" s="20" t="n">
        <f aca="false">ROUND(240.5/FX,2)</f>
        <v>33.4</v>
      </c>
      <c r="D2998" s="21" t="s">
        <v>17249</v>
      </c>
      <c r="E2998" s="21" t="s">
        <v>17117</v>
      </c>
      <c r="F2998" s="21" t="s">
        <v>17110</v>
      </c>
      <c r="G2998" s="21" t="s">
        <v>17250</v>
      </c>
    </row>
    <row r="2999" customFormat="false" ht="15" hidden="false" customHeight="false" outlineLevel="0" collapsed="false">
      <c r="B2999" s="19" t="s">
        <v>17253</v>
      </c>
      <c r="C2999" s="20" t="n">
        <f aca="false">ROUND(10.47/FX,2)</f>
        <v>1.45</v>
      </c>
      <c r="D2999" s="21" t="s">
        <v>17254</v>
      </c>
      <c r="E2999" s="21" t="s">
        <v>734</v>
      </c>
      <c r="F2999" s="21" t="s">
        <v>17105</v>
      </c>
      <c r="G2999" s="21" t="s">
        <v>17255</v>
      </c>
    </row>
    <row r="3000" customFormat="false" ht="15" hidden="false" customHeight="false" outlineLevel="0" collapsed="false">
      <c r="B3000" s="19" t="s">
        <v>17256</v>
      </c>
      <c r="C3000" s="20" t="n">
        <f aca="false">ROUND(16.9/FX,2)</f>
        <v>2.35</v>
      </c>
      <c r="D3000" s="21" t="s">
        <v>17254</v>
      </c>
      <c r="E3000" s="21" t="s">
        <v>17113</v>
      </c>
      <c r="F3000" s="21" t="s">
        <v>17105</v>
      </c>
      <c r="G3000" s="21" t="s">
        <v>17255</v>
      </c>
    </row>
    <row r="3001" customFormat="false" ht="15" hidden="false" customHeight="false" outlineLevel="0" collapsed="false">
      <c r="B3001" s="19" t="s">
        <v>17257</v>
      </c>
      <c r="C3001" s="20" t="n">
        <f aca="false">ROUND(11.7/FX,2)</f>
        <v>1.63</v>
      </c>
      <c r="D3001" s="21" t="s">
        <v>17254</v>
      </c>
      <c r="E3001" s="21" t="s">
        <v>17172</v>
      </c>
      <c r="F3001" s="21" t="s">
        <v>17105</v>
      </c>
      <c r="G3001" s="21" t="s">
        <v>17255</v>
      </c>
    </row>
    <row r="3002" customFormat="false" ht="28.35" hidden="false" customHeight="false" outlineLevel="0" collapsed="false">
      <c r="B3002" s="19" t="s">
        <v>17258</v>
      </c>
      <c r="C3002" s="20" t="n">
        <f aca="false">ROUND(127.4/FX,2)</f>
        <v>17.69</v>
      </c>
      <c r="D3002" s="21" t="s">
        <v>17254</v>
      </c>
      <c r="E3002" s="21" t="s">
        <v>17115</v>
      </c>
      <c r="F3002" s="21" t="s">
        <v>17105</v>
      </c>
      <c r="G3002" s="21" t="s">
        <v>17255</v>
      </c>
    </row>
    <row r="3003" customFormat="false" ht="28.35" hidden="false" customHeight="false" outlineLevel="0" collapsed="false">
      <c r="B3003" s="19" t="s">
        <v>17259</v>
      </c>
      <c r="C3003" s="20" t="n">
        <f aca="false">ROUND(127.4/FX,2)</f>
        <v>17.69</v>
      </c>
      <c r="D3003" s="21" t="s">
        <v>17254</v>
      </c>
      <c r="E3003" s="21" t="s">
        <v>17117</v>
      </c>
      <c r="F3003" s="21" t="s">
        <v>17105</v>
      </c>
      <c r="G3003" s="21" t="s">
        <v>17255</v>
      </c>
    </row>
    <row r="3004" customFormat="false" ht="15" hidden="false" customHeight="false" outlineLevel="0" collapsed="false">
      <c r="B3004" s="19" t="s">
        <v>17260</v>
      </c>
      <c r="C3004" s="20" t="n">
        <f aca="false">ROUND(10.4/FX,2)</f>
        <v>1.44</v>
      </c>
      <c r="D3004" s="21" t="s">
        <v>17261</v>
      </c>
      <c r="E3004" s="21" t="s">
        <v>734</v>
      </c>
      <c r="F3004" s="21" t="s">
        <v>17110</v>
      </c>
      <c r="G3004" s="21" t="s">
        <v>17262</v>
      </c>
    </row>
    <row r="3005" customFormat="false" ht="15" hidden="false" customHeight="false" outlineLevel="0" collapsed="false">
      <c r="B3005" s="19" t="s">
        <v>17263</v>
      </c>
      <c r="C3005" s="20" t="n">
        <f aca="false">ROUND(2.93/FX,2)</f>
        <v>0.41</v>
      </c>
      <c r="D3005" s="21" t="s">
        <v>17264</v>
      </c>
      <c r="E3005" s="21" t="s">
        <v>734</v>
      </c>
      <c r="F3005" s="21" t="s">
        <v>17105</v>
      </c>
      <c r="G3005" s="21" t="s">
        <v>17265</v>
      </c>
    </row>
    <row r="3006" customFormat="false" ht="15" hidden="false" customHeight="false" outlineLevel="0" collapsed="false">
      <c r="B3006" s="19" t="s">
        <v>17266</v>
      </c>
      <c r="C3006" s="20" t="n">
        <f aca="false">ROUND(106.56/FX,2)</f>
        <v>14.8</v>
      </c>
      <c r="D3006" s="21" t="s">
        <v>17267</v>
      </c>
      <c r="E3006" s="21" t="s">
        <v>734</v>
      </c>
      <c r="F3006" s="21" t="s">
        <v>17110</v>
      </c>
      <c r="G3006" s="21" t="s">
        <v>17268</v>
      </c>
    </row>
    <row r="3007" customFormat="false" ht="15" hidden="false" customHeight="false" outlineLevel="0" collapsed="false">
      <c r="B3007" s="19" t="s">
        <v>17269</v>
      </c>
      <c r="C3007" s="20" t="n">
        <f aca="false">ROUND(165.1/FX,2)</f>
        <v>22.93</v>
      </c>
      <c r="D3007" s="21" t="s">
        <v>17267</v>
      </c>
      <c r="E3007" s="21" t="s">
        <v>17113</v>
      </c>
      <c r="F3007" s="21" t="s">
        <v>17110</v>
      </c>
      <c r="G3007" s="21" t="s">
        <v>17268</v>
      </c>
    </row>
    <row r="3008" customFormat="false" ht="15" hidden="false" customHeight="false" outlineLevel="0" collapsed="false">
      <c r="B3008" s="19" t="s">
        <v>17270</v>
      </c>
      <c r="C3008" s="20" t="n">
        <f aca="false">ROUND(37.7/FX,2)</f>
        <v>5.24</v>
      </c>
      <c r="D3008" s="21" t="s">
        <v>17271</v>
      </c>
      <c r="E3008" s="21" t="s">
        <v>734</v>
      </c>
      <c r="F3008" s="21" t="s">
        <v>17105</v>
      </c>
      <c r="G3008" s="21" t="s">
        <v>17272</v>
      </c>
    </row>
    <row r="3009" customFormat="false" ht="15" hidden="false" customHeight="false" outlineLevel="0" collapsed="false">
      <c r="B3009" s="19" t="s">
        <v>17273</v>
      </c>
      <c r="C3009" s="20" t="n">
        <f aca="false">ROUND(45.5/FX,2)</f>
        <v>6.32</v>
      </c>
      <c r="D3009" s="21" t="s">
        <v>17271</v>
      </c>
      <c r="E3009" s="21" t="s">
        <v>17113</v>
      </c>
      <c r="F3009" s="21" t="s">
        <v>17105</v>
      </c>
      <c r="G3009" s="21" t="s">
        <v>17272</v>
      </c>
    </row>
    <row r="3010" customFormat="false" ht="15" hidden="false" customHeight="false" outlineLevel="0" collapsed="false">
      <c r="B3010" s="19" t="s">
        <v>17274</v>
      </c>
      <c r="C3010" s="20" t="n">
        <f aca="false">ROUND(10.4/FX,2)</f>
        <v>1.44</v>
      </c>
      <c r="D3010" s="21" t="s">
        <v>17275</v>
      </c>
      <c r="E3010" s="21" t="s">
        <v>734</v>
      </c>
      <c r="F3010" s="21" t="s">
        <v>17110</v>
      </c>
      <c r="G3010" s="21" t="s">
        <v>17276</v>
      </c>
    </row>
    <row r="3011" customFormat="false" ht="15" hidden="false" customHeight="false" outlineLevel="0" collapsed="false">
      <c r="B3011" s="19" t="s">
        <v>17277</v>
      </c>
      <c r="C3011" s="20" t="n">
        <f aca="false">ROUND(2.34/FX,2)</f>
        <v>0.33</v>
      </c>
      <c r="D3011" s="21" t="s">
        <v>17278</v>
      </c>
      <c r="E3011" s="21" t="s">
        <v>734</v>
      </c>
      <c r="F3011" s="21" t="s">
        <v>17105</v>
      </c>
      <c r="G3011" s="21" t="s">
        <v>17279</v>
      </c>
    </row>
    <row r="3012" customFormat="false" ht="15" hidden="false" customHeight="false" outlineLevel="0" collapsed="false">
      <c r="B3012" s="19" t="s">
        <v>17280</v>
      </c>
      <c r="C3012" s="20" t="n">
        <f aca="false">ROUND(130.02/FX,2)</f>
        <v>18.06</v>
      </c>
      <c r="D3012" s="21" t="s">
        <v>17281</v>
      </c>
      <c r="E3012" s="21" t="s">
        <v>734</v>
      </c>
      <c r="F3012" s="21" t="s">
        <v>17110</v>
      </c>
      <c r="G3012" s="21" t="s">
        <v>17282</v>
      </c>
    </row>
    <row r="3013" customFormat="false" ht="15" hidden="false" customHeight="false" outlineLevel="0" collapsed="false">
      <c r="B3013" s="19" t="s">
        <v>17283</v>
      </c>
      <c r="C3013" s="20" t="n">
        <f aca="false">ROUND(52/FX,2)</f>
        <v>7.22</v>
      </c>
      <c r="D3013" s="21" t="s">
        <v>17284</v>
      </c>
      <c r="E3013" s="21" t="s">
        <v>734</v>
      </c>
      <c r="F3013" s="21" t="s">
        <v>17105</v>
      </c>
      <c r="G3013" s="21" t="s">
        <v>17285</v>
      </c>
    </row>
    <row r="3014" customFormat="false" ht="15" hidden="false" customHeight="false" outlineLevel="0" collapsed="false">
      <c r="B3014" s="19" t="s">
        <v>17286</v>
      </c>
      <c r="C3014" s="20" t="n">
        <f aca="false">ROUND(71.5/FX,2)</f>
        <v>9.93</v>
      </c>
      <c r="D3014" s="21" t="s">
        <v>17284</v>
      </c>
      <c r="E3014" s="21" t="s">
        <v>17113</v>
      </c>
      <c r="F3014" s="21" t="s">
        <v>17105</v>
      </c>
      <c r="G3014" s="21" t="s">
        <v>17285</v>
      </c>
    </row>
    <row r="3015" customFormat="false" ht="15" hidden="false" customHeight="false" outlineLevel="0" collapsed="false">
      <c r="B3015" s="19" t="s">
        <v>17287</v>
      </c>
      <c r="C3015" s="20" t="n">
        <f aca="false">ROUND(2.99/FX,2)</f>
        <v>0.42</v>
      </c>
      <c r="D3015" s="21" t="s">
        <v>17288</v>
      </c>
      <c r="E3015" s="21" t="s">
        <v>734</v>
      </c>
      <c r="F3015" s="21" t="s">
        <v>17110</v>
      </c>
      <c r="G3015" s="21" t="s">
        <v>17289</v>
      </c>
    </row>
    <row r="3016" customFormat="false" ht="15" hidden="false" customHeight="false" outlineLevel="0" collapsed="false">
      <c r="B3016" s="19" t="s">
        <v>17290</v>
      </c>
      <c r="C3016" s="20" t="n">
        <f aca="false">ROUND(4.16/FX,2)</f>
        <v>0.58</v>
      </c>
      <c r="D3016" s="21" t="s">
        <v>17288</v>
      </c>
      <c r="E3016" s="21" t="s">
        <v>17113</v>
      </c>
      <c r="F3016" s="21" t="s">
        <v>17110</v>
      </c>
      <c r="G3016" s="21" t="s">
        <v>17289</v>
      </c>
    </row>
    <row r="3017" customFormat="false" ht="15" hidden="false" customHeight="false" outlineLevel="0" collapsed="false">
      <c r="B3017" s="19" t="s">
        <v>17291</v>
      </c>
      <c r="C3017" s="20" t="n">
        <f aca="false">ROUND(1.17/FX,2)</f>
        <v>0.16</v>
      </c>
      <c r="D3017" s="21" t="s">
        <v>17292</v>
      </c>
      <c r="E3017" s="21" t="s">
        <v>734</v>
      </c>
      <c r="F3017" s="21" t="s">
        <v>17105</v>
      </c>
      <c r="G3017" s="21" t="s">
        <v>17293</v>
      </c>
    </row>
    <row r="3018" customFormat="false" ht="15" hidden="false" customHeight="false" outlineLevel="0" collapsed="false">
      <c r="B3018" s="19" t="s">
        <v>17294</v>
      </c>
      <c r="C3018" s="20" t="n">
        <f aca="false">ROUND(1.95/FX,2)</f>
        <v>0.27</v>
      </c>
      <c r="D3018" s="21" t="s">
        <v>17292</v>
      </c>
      <c r="E3018" s="21" t="s">
        <v>17113</v>
      </c>
      <c r="F3018" s="21" t="s">
        <v>17105</v>
      </c>
      <c r="G3018" s="21" t="s">
        <v>17293</v>
      </c>
    </row>
    <row r="3019" customFormat="false" ht="15" hidden="false" customHeight="false" outlineLevel="0" collapsed="false">
      <c r="B3019" s="19" t="s">
        <v>17295</v>
      </c>
      <c r="C3019" s="20" t="n">
        <f aca="false">ROUND(624/FX,2)</f>
        <v>86.67</v>
      </c>
      <c r="D3019" s="21" t="s">
        <v>17296</v>
      </c>
      <c r="E3019" s="21" t="s">
        <v>734</v>
      </c>
      <c r="F3019" s="21" t="s">
        <v>17110</v>
      </c>
      <c r="G3019" s="21" t="s">
        <v>17297</v>
      </c>
    </row>
    <row r="3020" customFormat="false" ht="15" hidden="false" customHeight="false" outlineLevel="0" collapsed="false">
      <c r="B3020" s="19" t="s">
        <v>17298</v>
      </c>
      <c r="C3020" s="20" t="n">
        <f aca="false">ROUND(169/FX,2)</f>
        <v>23.47</v>
      </c>
      <c r="D3020" s="21" t="s">
        <v>17299</v>
      </c>
      <c r="E3020" s="21" t="s">
        <v>734</v>
      </c>
      <c r="F3020" s="21" t="s">
        <v>17105</v>
      </c>
      <c r="G3020" s="21" t="s">
        <v>17300</v>
      </c>
    </row>
    <row r="3021" customFormat="false" ht="15" hidden="false" customHeight="false" outlineLevel="0" collapsed="false">
      <c r="B3021" s="19" t="s">
        <v>17301</v>
      </c>
      <c r="C3021" s="20" t="n">
        <f aca="false">ROUND(8.84/FX,2)</f>
        <v>1.23</v>
      </c>
      <c r="D3021" s="21" t="s">
        <v>17302</v>
      </c>
      <c r="E3021" s="21" t="s">
        <v>17154</v>
      </c>
      <c r="F3021" s="21" t="s">
        <v>17105</v>
      </c>
      <c r="G3021" s="21" t="s">
        <v>17303</v>
      </c>
    </row>
    <row r="3022" customFormat="false" ht="15" hidden="false" customHeight="false" outlineLevel="0" collapsed="false">
      <c r="B3022" s="19" t="s">
        <v>17304</v>
      </c>
      <c r="C3022" s="20" t="n">
        <f aca="false">ROUND(2.99/FX,2)</f>
        <v>0.42</v>
      </c>
      <c r="D3022" s="21" t="s">
        <v>17305</v>
      </c>
      <c r="E3022" s="21" t="s">
        <v>734</v>
      </c>
      <c r="F3022" s="21" t="s">
        <v>17110</v>
      </c>
      <c r="G3022" s="21" t="s">
        <v>17306</v>
      </c>
    </row>
    <row r="3023" customFormat="false" ht="15" hidden="false" customHeight="false" outlineLevel="0" collapsed="false">
      <c r="B3023" s="19" t="s">
        <v>17307</v>
      </c>
      <c r="C3023" s="20" t="n">
        <f aca="false">ROUND(3.64/FX,2)</f>
        <v>0.51</v>
      </c>
      <c r="D3023" s="21" t="s">
        <v>17305</v>
      </c>
      <c r="E3023" s="21" t="s">
        <v>17113</v>
      </c>
      <c r="F3023" s="21" t="s">
        <v>17110</v>
      </c>
      <c r="G3023" s="21" t="s">
        <v>17306</v>
      </c>
    </row>
    <row r="3024" customFormat="false" ht="28.35" hidden="false" customHeight="false" outlineLevel="0" collapsed="false">
      <c r="B3024" s="19" t="s">
        <v>17308</v>
      </c>
      <c r="C3024" s="20" t="n">
        <f aca="false">ROUND(39/FX,2)</f>
        <v>5.42</v>
      </c>
      <c r="D3024" s="21" t="s">
        <v>17305</v>
      </c>
      <c r="E3024" s="21" t="s">
        <v>17117</v>
      </c>
      <c r="F3024" s="21" t="s">
        <v>17110</v>
      </c>
      <c r="G3024" s="21" t="s">
        <v>17306</v>
      </c>
    </row>
    <row r="3025" customFormat="false" ht="15" hidden="false" customHeight="false" outlineLevel="0" collapsed="false">
      <c r="B3025" s="19" t="s">
        <v>17309</v>
      </c>
      <c r="C3025" s="20" t="n">
        <f aca="false">ROUND(1.69/FX,2)</f>
        <v>0.23</v>
      </c>
      <c r="D3025" s="21" t="s">
        <v>17310</v>
      </c>
      <c r="E3025" s="21" t="s">
        <v>734</v>
      </c>
      <c r="F3025" s="21" t="s">
        <v>17105</v>
      </c>
      <c r="G3025" s="21" t="s">
        <v>17311</v>
      </c>
    </row>
    <row r="3026" customFormat="false" ht="15" hidden="false" customHeight="false" outlineLevel="0" collapsed="false">
      <c r="B3026" s="19" t="s">
        <v>17312</v>
      </c>
      <c r="C3026" s="20" t="n">
        <f aca="false">ROUND(2.08/FX,2)</f>
        <v>0.29</v>
      </c>
      <c r="D3026" s="21" t="s">
        <v>17310</v>
      </c>
      <c r="E3026" s="21" t="s">
        <v>17113</v>
      </c>
      <c r="F3026" s="21" t="s">
        <v>17105</v>
      </c>
      <c r="G3026" s="21" t="s">
        <v>17311</v>
      </c>
    </row>
    <row r="3027" customFormat="false" ht="15" hidden="false" customHeight="false" outlineLevel="0" collapsed="false">
      <c r="B3027" s="19" t="s">
        <v>17313</v>
      </c>
      <c r="C3027" s="20" t="n">
        <f aca="false">ROUND(1.56/FX,2)</f>
        <v>0.22</v>
      </c>
      <c r="D3027" s="21" t="s">
        <v>17314</v>
      </c>
      <c r="E3027" s="21" t="s">
        <v>734</v>
      </c>
      <c r="F3027" s="21" t="s">
        <v>17105</v>
      </c>
      <c r="G3027" s="21" t="s">
        <v>17303</v>
      </c>
    </row>
    <row r="3028" customFormat="false" ht="15" hidden="false" customHeight="false" outlineLevel="0" collapsed="false">
      <c r="B3028" s="19" t="s">
        <v>17315</v>
      </c>
      <c r="C3028" s="20" t="n">
        <f aca="false">ROUND(1.69/FX,2)</f>
        <v>0.23</v>
      </c>
      <c r="D3028" s="21" t="s">
        <v>17314</v>
      </c>
      <c r="E3028" s="21" t="s">
        <v>17113</v>
      </c>
      <c r="F3028" s="21" t="s">
        <v>17105</v>
      </c>
      <c r="G3028" s="21" t="s">
        <v>17303</v>
      </c>
    </row>
    <row r="3029" customFormat="false" ht="28.35" hidden="false" customHeight="false" outlineLevel="0" collapsed="false">
      <c r="B3029" s="19" t="s">
        <v>17316</v>
      </c>
      <c r="C3029" s="20" t="n">
        <f aca="false">ROUND(19.5/FX,2)</f>
        <v>2.71</v>
      </c>
      <c r="D3029" s="21" t="s">
        <v>17314</v>
      </c>
      <c r="E3029" s="21" t="s">
        <v>17115</v>
      </c>
      <c r="F3029" s="21" t="s">
        <v>17105</v>
      </c>
      <c r="G3029" s="21" t="s">
        <v>17303</v>
      </c>
    </row>
    <row r="3030" customFormat="false" ht="28.35" hidden="false" customHeight="false" outlineLevel="0" collapsed="false">
      <c r="B3030" s="19" t="s">
        <v>17317</v>
      </c>
      <c r="C3030" s="20" t="n">
        <f aca="false">ROUND(19.5/FX,2)</f>
        <v>2.71</v>
      </c>
      <c r="D3030" s="21" t="s">
        <v>17314</v>
      </c>
      <c r="E3030" s="21" t="s">
        <v>17117</v>
      </c>
      <c r="F3030" s="21" t="s">
        <v>17105</v>
      </c>
      <c r="G3030" s="21" t="s">
        <v>17303</v>
      </c>
    </row>
    <row r="3031" customFormat="false" ht="28.35" hidden="false" customHeight="false" outlineLevel="0" collapsed="false">
      <c r="B3031" s="19" t="s">
        <v>17318</v>
      </c>
      <c r="C3031" s="20" t="n">
        <f aca="false">ROUND(2.86/FX,2)</f>
        <v>0.4</v>
      </c>
      <c r="D3031" s="21" t="s">
        <v>17319</v>
      </c>
      <c r="E3031" s="21" t="s">
        <v>734</v>
      </c>
      <c r="F3031" s="21" t="s">
        <v>17126</v>
      </c>
      <c r="G3031" s="21" t="s">
        <v>17303</v>
      </c>
    </row>
    <row r="3032" customFormat="false" ht="15" hidden="false" customHeight="false" outlineLevel="0" collapsed="false">
      <c r="B3032" s="19" t="s">
        <v>17320</v>
      </c>
      <c r="C3032" s="20" t="n">
        <f aca="false">ROUND(5.2/FX,2)</f>
        <v>0.72</v>
      </c>
      <c r="D3032" s="21" t="s">
        <v>17321</v>
      </c>
      <c r="E3032" s="21" t="s">
        <v>734</v>
      </c>
      <c r="F3032" s="21" t="s">
        <v>15516</v>
      </c>
      <c r="G3032" s="21" t="s">
        <v>17303</v>
      </c>
    </row>
    <row r="3033" customFormat="false" ht="28.35" hidden="false" customHeight="false" outlineLevel="0" collapsed="false">
      <c r="B3033" s="19" t="s">
        <v>17322</v>
      </c>
      <c r="C3033" s="20" t="n">
        <f aca="false">ROUND(14.04/FX,2)</f>
        <v>1.95</v>
      </c>
      <c r="D3033" s="21" t="s">
        <v>17323</v>
      </c>
      <c r="E3033" s="21" t="s">
        <v>734</v>
      </c>
      <c r="F3033" s="21" t="s">
        <v>17105</v>
      </c>
      <c r="G3033" s="21" t="s">
        <v>17324</v>
      </c>
    </row>
    <row r="3034" customFormat="false" ht="28.35" hidden="false" customHeight="false" outlineLevel="0" collapsed="false">
      <c r="B3034" s="19" t="s">
        <v>17325</v>
      </c>
      <c r="C3034" s="20" t="n">
        <f aca="false">ROUND(16.77/FX,2)</f>
        <v>2.33</v>
      </c>
      <c r="D3034" s="21" t="s">
        <v>17326</v>
      </c>
      <c r="E3034" s="21" t="s">
        <v>734</v>
      </c>
      <c r="F3034" s="21" t="s">
        <v>15516</v>
      </c>
      <c r="G3034" s="21" t="s">
        <v>17324</v>
      </c>
    </row>
    <row r="3035" customFormat="false" ht="28.35" hidden="false" customHeight="false" outlineLevel="0" collapsed="false">
      <c r="B3035" s="19" t="s">
        <v>17327</v>
      </c>
      <c r="C3035" s="20" t="n">
        <f aca="false">ROUND(11.18/FX,2)</f>
        <v>1.55</v>
      </c>
      <c r="D3035" s="21" t="s">
        <v>17328</v>
      </c>
      <c r="E3035" s="21" t="s">
        <v>734</v>
      </c>
      <c r="F3035" s="21" t="s">
        <v>17105</v>
      </c>
      <c r="G3035" s="21" t="s">
        <v>17329</v>
      </c>
    </row>
    <row r="3036" customFormat="false" ht="28.35" hidden="false" customHeight="false" outlineLevel="0" collapsed="false">
      <c r="B3036" s="19" t="s">
        <v>17330</v>
      </c>
      <c r="C3036" s="20" t="n">
        <f aca="false">ROUND(17.55/FX,2)</f>
        <v>2.44</v>
      </c>
      <c r="D3036" s="21" t="s">
        <v>17331</v>
      </c>
      <c r="E3036" s="21" t="s">
        <v>734</v>
      </c>
      <c r="F3036" s="21" t="s">
        <v>15516</v>
      </c>
      <c r="G3036" s="21" t="s">
        <v>17329</v>
      </c>
    </row>
    <row r="3037" customFormat="false" ht="15" hidden="false" customHeight="false" outlineLevel="0" collapsed="false">
      <c r="B3037" s="19" t="s">
        <v>17332</v>
      </c>
      <c r="C3037" s="20" t="n">
        <f aca="false">ROUND(22.1/FX,2)</f>
        <v>3.07</v>
      </c>
      <c r="D3037" s="21" t="s">
        <v>17333</v>
      </c>
      <c r="E3037" s="21" t="s">
        <v>734</v>
      </c>
      <c r="F3037" s="21" t="s">
        <v>17105</v>
      </c>
      <c r="G3037" s="21" t="s">
        <v>17334</v>
      </c>
    </row>
    <row r="3038" customFormat="false" ht="15" hidden="false" customHeight="false" outlineLevel="0" collapsed="false">
      <c r="B3038" s="19" t="s">
        <v>17335</v>
      </c>
      <c r="C3038" s="20" t="n">
        <f aca="false">ROUND(34.19/FX,2)</f>
        <v>4.75</v>
      </c>
      <c r="D3038" s="21" t="s">
        <v>17336</v>
      </c>
      <c r="E3038" s="21" t="s">
        <v>734</v>
      </c>
      <c r="F3038" s="21" t="s">
        <v>15516</v>
      </c>
      <c r="G3038" s="21" t="s">
        <v>17334</v>
      </c>
    </row>
    <row r="3039" customFormat="false" ht="15" hidden="false" customHeight="false" outlineLevel="0" collapsed="false">
      <c r="B3039" s="19" t="s">
        <v>17337</v>
      </c>
      <c r="C3039" s="20" t="n">
        <f aca="false">ROUND(26.65/FX,2)</f>
        <v>3.7</v>
      </c>
      <c r="D3039" s="21" t="s">
        <v>17338</v>
      </c>
      <c r="E3039" s="21" t="s">
        <v>734</v>
      </c>
      <c r="F3039" s="21" t="s">
        <v>17105</v>
      </c>
      <c r="G3039" s="21" t="s">
        <v>17339</v>
      </c>
    </row>
    <row r="3040" customFormat="false" ht="15" hidden="false" customHeight="false" outlineLevel="0" collapsed="false">
      <c r="B3040" s="19" t="s">
        <v>17340</v>
      </c>
      <c r="C3040" s="20" t="n">
        <f aca="false">ROUND(26.65/FX,2)</f>
        <v>3.7</v>
      </c>
      <c r="D3040" s="21" t="s">
        <v>17341</v>
      </c>
      <c r="E3040" s="21" t="s">
        <v>734</v>
      </c>
      <c r="F3040" s="21" t="s">
        <v>15516</v>
      </c>
      <c r="G3040" s="21" t="s">
        <v>17339</v>
      </c>
    </row>
    <row r="3041" customFormat="false" ht="15" hidden="false" customHeight="false" outlineLevel="0" collapsed="false">
      <c r="B3041" s="19" t="s">
        <v>17342</v>
      </c>
      <c r="C3041" s="20" t="n">
        <f aca="false">ROUND(47.19/FX,2)</f>
        <v>6.55</v>
      </c>
      <c r="D3041" s="21" t="s">
        <v>17343</v>
      </c>
      <c r="E3041" s="21" t="s">
        <v>734</v>
      </c>
      <c r="F3041" s="21" t="s">
        <v>17105</v>
      </c>
      <c r="G3041" s="21" t="s">
        <v>17344</v>
      </c>
    </row>
    <row r="3042" customFormat="false" ht="15" hidden="false" customHeight="false" outlineLevel="0" collapsed="false">
      <c r="B3042" s="19" t="s">
        <v>17345</v>
      </c>
      <c r="C3042" s="20" t="n">
        <f aca="false">ROUND(66.95/FX,2)</f>
        <v>9.3</v>
      </c>
      <c r="D3042" s="21" t="s">
        <v>17346</v>
      </c>
      <c r="E3042" s="21" t="s">
        <v>734</v>
      </c>
      <c r="F3042" s="21" t="s">
        <v>15516</v>
      </c>
      <c r="G3042" s="21" t="s">
        <v>17344</v>
      </c>
    </row>
    <row r="3043" customFormat="false" ht="15" hidden="false" customHeight="false" outlineLevel="0" collapsed="false">
      <c r="B3043" s="19" t="s">
        <v>17347</v>
      </c>
      <c r="C3043" s="20" t="n">
        <f aca="false">ROUND(87.88/FX,2)</f>
        <v>12.21</v>
      </c>
      <c r="D3043" s="21" t="s">
        <v>17348</v>
      </c>
      <c r="E3043" s="21" t="s">
        <v>734</v>
      </c>
      <c r="F3043" s="21" t="s">
        <v>17105</v>
      </c>
      <c r="G3043" s="21" t="s">
        <v>17349</v>
      </c>
    </row>
    <row r="3044" customFormat="false" ht="15" hidden="false" customHeight="false" outlineLevel="0" collapsed="false">
      <c r="B3044" s="19" t="s">
        <v>17350</v>
      </c>
      <c r="C3044" s="20" t="n">
        <f aca="false">ROUND(131.17/FX,2)</f>
        <v>18.22</v>
      </c>
      <c r="D3044" s="21" t="s">
        <v>17351</v>
      </c>
      <c r="E3044" s="21" t="s">
        <v>734</v>
      </c>
      <c r="F3044" s="21" t="s">
        <v>15516</v>
      </c>
      <c r="G3044" s="21" t="s">
        <v>17349</v>
      </c>
    </row>
    <row r="3045" customFormat="false" ht="15" hidden="false" customHeight="false" outlineLevel="0" collapsed="false">
      <c r="B3045" s="19" t="s">
        <v>17352</v>
      </c>
      <c r="C3045" s="20" t="n">
        <f aca="false">ROUND(10.01/FX,2)</f>
        <v>1.39</v>
      </c>
      <c r="D3045" s="21" t="s">
        <v>17353</v>
      </c>
      <c r="E3045" s="21" t="s">
        <v>734</v>
      </c>
      <c r="F3045" s="21" t="s">
        <v>17105</v>
      </c>
      <c r="G3045" s="21" t="s">
        <v>17354</v>
      </c>
    </row>
    <row r="3046" customFormat="false" ht="28.35" hidden="false" customHeight="false" outlineLevel="0" collapsed="false">
      <c r="B3046" s="19" t="s">
        <v>17355</v>
      </c>
      <c r="C3046" s="20" t="n">
        <f aca="false">ROUND(11.83/FX,2)</f>
        <v>1.64</v>
      </c>
      <c r="D3046" s="21" t="s">
        <v>17356</v>
      </c>
      <c r="E3046" s="21" t="s">
        <v>734</v>
      </c>
      <c r="F3046" s="21" t="s">
        <v>17105</v>
      </c>
      <c r="G3046" s="21" t="s">
        <v>17357</v>
      </c>
    </row>
    <row r="3047" customFormat="false" ht="15" hidden="false" customHeight="false" outlineLevel="0" collapsed="false">
      <c r="B3047" s="19" t="s">
        <v>17358</v>
      </c>
      <c r="C3047" s="20" t="n">
        <f aca="false">ROUND(13/FX,2)</f>
        <v>1.81</v>
      </c>
      <c r="D3047" s="21" t="s">
        <v>17359</v>
      </c>
      <c r="E3047" s="21" t="s">
        <v>734</v>
      </c>
      <c r="F3047" s="21" t="s">
        <v>17105</v>
      </c>
      <c r="G3047" s="21" t="s">
        <v>17360</v>
      </c>
    </row>
    <row r="3048" customFormat="false" ht="15" hidden="false" customHeight="false" outlineLevel="0" collapsed="false">
      <c r="B3048" s="19" t="s">
        <v>17361</v>
      </c>
      <c r="C3048" s="20" t="n">
        <f aca="false">ROUND(13/FX,2)</f>
        <v>1.81</v>
      </c>
      <c r="D3048" s="21" t="s">
        <v>17362</v>
      </c>
      <c r="E3048" s="21" t="s">
        <v>734</v>
      </c>
      <c r="F3048" s="21" t="s">
        <v>15516</v>
      </c>
      <c r="G3048" s="21" t="s">
        <v>17360</v>
      </c>
    </row>
    <row r="3049" customFormat="false" ht="15" hidden="false" customHeight="false" outlineLevel="0" collapsed="false">
      <c r="B3049" s="19" t="s">
        <v>17363</v>
      </c>
      <c r="C3049" s="20" t="n">
        <f aca="false">ROUND(7.8/FX,2)</f>
        <v>1.08</v>
      </c>
      <c r="D3049" s="21" t="s">
        <v>17364</v>
      </c>
      <c r="E3049" s="21" t="s">
        <v>734</v>
      </c>
      <c r="F3049" s="21" t="s">
        <v>17110</v>
      </c>
      <c r="G3049" s="21" t="s">
        <v>17365</v>
      </c>
    </row>
    <row r="3050" customFormat="false" ht="15" hidden="false" customHeight="false" outlineLevel="0" collapsed="false">
      <c r="B3050" s="19" t="s">
        <v>17366</v>
      </c>
      <c r="C3050" s="20" t="n">
        <f aca="false">ROUND(2.88/FX,2)</f>
        <v>0.4</v>
      </c>
      <c r="D3050" s="21" t="s">
        <v>17367</v>
      </c>
      <c r="E3050" s="21" t="s">
        <v>734</v>
      </c>
      <c r="F3050" s="21" t="s">
        <v>17105</v>
      </c>
      <c r="G3050" s="21" t="s">
        <v>17368</v>
      </c>
    </row>
    <row r="3051" customFormat="false" ht="28.35" hidden="false" customHeight="false" outlineLevel="0" collapsed="false">
      <c r="B3051" s="19" t="s">
        <v>17369</v>
      </c>
      <c r="C3051" s="20" t="n">
        <f aca="false">ROUND(6.5/FX,2)</f>
        <v>0.9</v>
      </c>
      <c r="D3051" s="21" t="s">
        <v>17370</v>
      </c>
      <c r="E3051" s="21" t="s">
        <v>734</v>
      </c>
      <c r="F3051" s="21" t="s">
        <v>17126</v>
      </c>
      <c r="G3051" s="21" t="s">
        <v>17368</v>
      </c>
    </row>
    <row r="3052" customFormat="false" ht="15" hidden="false" customHeight="false" outlineLevel="0" collapsed="false">
      <c r="B3052" s="19" t="s">
        <v>17371</v>
      </c>
      <c r="C3052" s="20" t="n">
        <f aca="false">ROUND(11.05/FX,2)</f>
        <v>1.53</v>
      </c>
      <c r="D3052" s="21" t="s">
        <v>17372</v>
      </c>
      <c r="E3052" s="21" t="s">
        <v>734</v>
      </c>
      <c r="F3052" s="21" t="s">
        <v>17110</v>
      </c>
      <c r="G3052" s="21" t="s">
        <v>17373</v>
      </c>
    </row>
    <row r="3053" customFormat="false" ht="15" hidden="false" customHeight="false" outlineLevel="0" collapsed="false">
      <c r="B3053" s="19" t="s">
        <v>17374</v>
      </c>
      <c r="C3053" s="20" t="n">
        <f aca="false">ROUND(4.16/FX,2)</f>
        <v>0.58</v>
      </c>
      <c r="D3053" s="21" t="s">
        <v>17375</v>
      </c>
      <c r="E3053" s="21" t="s">
        <v>734</v>
      </c>
      <c r="F3053" s="21" t="s">
        <v>17105</v>
      </c>
      <c r="G3053" s="21" t="s">
        <v>17376</v>
      </c>
    </row>
    <row r="3054" customFormat="false" ht="15" hidden="false" customHeight="false" outlineLevel="0" collapsed="false">
      <c r="B3054" s="19" t="s">
        <v>17377</v>
      </c>
      <c r="C3054" s="20" t="n">
        <f aca="false">ROUND(4.29/FX,2)</f>
        <v>0.6</v>
      </c>
      <c r="D3054" s="21" t="s">
        <v>17378</v>
      </c>
      <c r="E3054" s="21" t="s">
        <v>734</v>
      </c>
      <c r="F3054" s="21" t="s">
        <v>15516</v>
      </c>
      <c r="G3054" s="21" t="s">
        <v>17376</v>
      </c>
    </row>
    <row r="3055" customFormat="false" ht="15" hidden="false" customHeight="false" outlineLevel="0" collapsed="false">
      <c r="B3055" s="19" t="s">
        <v>17379</v>
      </c>
      <c r="C3055" s="20" t="n">
        <f aca="false">ROUND(3.66/FX,2)</f>
        <v>0.51</v>
      </c>
      <c r="D3055" s="21" t="s">
        <v>17380</v>
      </c>
      <c r="E3055" s="21" t="s">
        <v>734</v>
      </c>
      <c r="F3055" s="21" t="s">
        <v>17105</v>
      </c>
      <c r="G3055" s="21" t="s">
        <v>17381</v>
      </c>
    </row>
    <row r="3056" customFormat="false" ht="28.35" hidden="false" customHeight="false" outlineLevel="0" collapsed="false">
      <c r="B3056" s="19" t="s">
        <v>17382</v>
      </c>
      <c r="C3056" s="20" t="n">
        <f aca="false">ROUND(5.85/FX,2)</f>
        <v>0.81</v>
      </c>
      <c r="D3056" s="21" t="s">
        <v>17383</v>
      </c>
      <c r="E3056" s="21" t="s">
        <v>734</v>
      </c>
      <c r="F3056" s="21" t="s">
        <v>17126</v>
      </c>
      <c r="G3056" s="21" t="s">
        <v>17381</v>
      </c>
    </row>
    <row r="3057" customFormat="false" ht="15" hidden="false" customHeight="false" outlineLevel="0" collapsed="false">
      <c r="B3057" s="19" t="s">
        <v>17384</v>
      </c>
      <c r="C3057" s="20" t="n">
        <f aca="false">ROUND(6.5/FX,2)</f>
        <v>0.9</v>
      </c>
      <c r="D3057" s="21" t="s">
        <v>17385</v>
      </c>
      <c r="E3057" s="21" t="s">
        <v>734</v>
      </c>
      <c r="F3057" s="21" t="s">
        <v>17105</v>
      </c>
      <c r="G3057" s="21" t="s">
        <v>17386</v>
      </c>
    </row>
    <row r="3058" customFormat="false" ht="28.35" hidden="false" customHeight="false" outlineLevel="0" collapsed="false">
      <c r="B3058" s="19" t="s">
        <v>17387</v>
      </c>
      <c r="C3058" s="20" t="n">
        <f aca="false">ROUND(16.25/FX,2)</f>
        <v>2.26</v>
      </c>
      <c r="D3058" s="21" t="s">
        <v>17388</v>
      </c>
      <c r="E3058" s="21" t="s">
        <v>734</v>
      </c>
      <c r="F3058" s="21" t="s">
        <v>17126</v>
      </c>
      <c r="G3058" s="21" t="s">
        <v>17386</v>
      </c>
    </row>
    <row r="3059" customFormat="false" ht="15" hidden="false" customHeight="false" outlineLevel="0" collapsed="false">
      <c r="B3059" s="19" t="s">
        <v>17389</v>
      </c>
      <c r="C3059" s="20" t="n">
        <f aca="false">ROUND(16.25/FX,2)</f>
        <v>2.26</v>
      </c>
      <c r="D3059" s="21" t="s">
        <v>17390</v>
      </c>
      <c r="E3059" s="21" t="s">
        <v>734</v>
      </c>
      <c r="F3059" s="21" t="s">
        <v>15516</v>
      </c>
      <c r="G3059" s="21" t="s">
        <v>17386</v>
      </c>
    </row>
    <row r="3060" customFormat="false" ht="15" hidden="false" customHeight="false" outlineLevel="0" collapsed="false">
      <c r="B3060" s="19" t="s">
        <v>17391</v>
      </c>
      <c r="C3060" s="20" t="n">
        <f aca="false">ROUND(12.35/FX,2)</f>
        <v>1.72</v>
      </c>
      <c r="D3060" s="21" t="s">
        <v>17392</v>
      </c>
      <c r="E3060" s="21" t="s">
        <v>734</v>
      </c>
      <c r="F3060" s="21" t="s">
        <v>17105</v>
      </c>
      <c r="G3060" s="21" t="s">
        <v>17393</v>
      </c>
    </row>
    <row r="3061" customFormat="false" ht="28.35" hidden="false" customHeight="false" outlineLevel="0" collapsed="false">
      <c r="B3061" s="19" t="s">
        <v>17394</v>
      </c>
      <c r="C3061" s="20" t="n">
        <f aca="false">ROUND(23.4/FX,2)</f>
        <v>3.25</v>
      </c>
      <c r="D3061" s="21" t="s">
        <v>17395</v>
      </c>
      <c r="E3061" s="21" t="s">
        <v>734</v>
      </c>
      <c r="F3061" s="21" t="s">
        <v>17126</v>
      </c>
      <c r="G3061" s="21" t="s">
        <v>17393</v>
      </c>
    </row>
    <row r="3062" customFormat="false" ht="15" hidden="false" customHeight="false" outlineLevel="0" collapsed="false">
      <c r="B3062" s="19" t="s">
        <v>17396</v>
      </c>
      <c r="C3062" s="20" t="n">
        <f aca="false">ROUND(15.6/FX,2)</f>
        <v>2.17</v>
      </c>
      <c r="D3062" s="21" t="s">
        <v>17397</v>
      </c>
      <c r="E3062" s="21" t="s">
        <v>734</v>
      </c>
      <c r="F3062" s="21" t="s">
        <v>17105</v>
      </c>
      <c r="G3062" s="21" t="s">
        <v>17398</v>
      </c>
    </row>
    <row r="3063" customFormat="false" ht="15" hidden="false" customHeight="false" outlineLevel="0" collapsed="false">
      <c r="B3063" s="19" t="s">
        <v>17399</v>
      </c>
      <c r="C3063" s="20" t="n">
        <f aca="false">ROUND(37.7/FX,2)</f>
        <v>5.24</v>
      </c>
      <c r="D3063" s="21" t="s">
        <v>17400</v>
      </c>
      <c r="E3063" s="21" t="s">
        <v>734</v>
      </c>
      <c r="F3063" s="21" t="s">
        <v>17105</v>
      </c>
      <c r="G3063" s="21" t="s">
        <v>17401</v>
      </c>
    </row>
    <row r="3064" customFormat="false" ht="15" hidden="false" customHeight="false" outlineLevel="0" collapsed="false">
      <c r="B3064" s="19" t="s">
        <v>17402</v>
      </c>
      <c r="C3064" s="20" t="n">
        <f aca="false">ROUND(65/FX,2)</f>
        <v>9.03</v>
      </c>
      <c r="D3064" s="21" t="s">
        <v>17403</v>
      </c>
      <c r="E3064" s="21" t="s">
        <v>734</v>
      </c>
      <c r="F3064" s="21" t="s">
        <v>17105</v>
      </c>
      <c r="G3064" s="21" t="s">
        <v>17404</v>
      </c>
    </row>
    <row r="3065" customFormat="false" ht="15" hidden="false" customHeight="false" outlineLevel="0" collapsed="false">
      <c r="B3065" s="19" t="s">
        <v>17405</v>
      </c>
      <c r="C3065" s="20" t="n">
        <f aca="false">ROUND(410/FX,2)</f>
        <v>56.94</v>
      </c>
      <c r="D3065" s="21" t="s">
        <v>17406</v>
      </c>
      <c r="E3065" s="21" t="s">
        <v>734</v>
      </c>
      <c r="F3065" s="21" t="s">
        <v>17105</v>
      </c>
      <c r="G3065" s="21" t="s">
        <v>17407</v>
      </c>
    </row>
    <row r="3066" customFormat="false" ht="15" hidden="false" customHeight="false" outlineLevel="0" collapsed="false">
      <c r="B3066" s="19" t="s">
        <v>17408</v>
      </c>
      <c r="C3066" s="20" t="n">
        <f aca="false">ROUND(2.21/FX,2)</f>
        <v>0.31</v>
      </c>
      <c r="D3066" s="21" t="s">
        <v>17409</v>
      </c>
      <c r="E3066" s="21" t="s">
        <v>734</v>
      </c>
      <c r="F3066" s="21" t="s">
        <v>17105</v>
      </c>
      <c r="G3066" s="21" t="s">
        <v>17410</v>
      </c>
    </row>
    <row r="3069" customFormat="false" ht="61.5" hidden="false" customHeight="true" outlineLevel="0" collapsed="false">
      <c r="A3069" s="9"/>
      <c r="B3069" s="10" t="s">
        <v>17411</v>
      </c>
      <c r="C3069" s="10"/>
      <c r="D3069" s="10"/>
      <c r="E3069" s="10"/>
      <c r="F3069" s="10"/>
      <c r="G3069" s="10"/>
    </row>
    <row r="3070" customFormat="false" ht="15" hidden="false" customHeight="false" outlineLevel="0" collapsed="false">
      <c r="A3070" s="12" t="s">
        <v>700</v>
      </c>
      <c r="B3070" s="13" t="s">
        <v>701</v>
      </c>
      <c r="C3070" s="13" t="s">
        <v>702</v>
      </c>
      <c r="D3070" s="13" t="s">
        <v>17412</v>
      </c>
      <c r="E3070" s="13" t="s">
        <v>17036</v>
      </c>
      <c r="F3070" s="13" t="s">
        <v>17037</v>
      </c>
      <c r="G3070" s="13" t="s">
        <v>17413</v>
      </c>
    </row>
    <row r="3071" customFormat="false" ht="30" hidden="false" customHeight="true" outlineLevel="0" collapsed="false">
      <c r="A3071" s="14" t="s">
        <v>706</v>
      </c>
      <c r="B3071" s="15" t="str">
        <f aca="false">IF(COUNTIFS($D$3074:$D$3306,IF(D3071="","*",D3071),$E$3074:$E$3306,IF(E3071="","*",E3071),$F$3074:$F$3306,IF(F3071="","*",F3071),$G$3074:$G$3306,IF(G3071="","*",G3071))=1,INDEX($B:$B,SUMPRODUCT(((D3071="")+($D$3074:$D$3306=D3071)&gt;0)*((E3071="")+($E$3074:$E$3306=E3071)&gt;0)*((F3071="")+($F$3074:$F$3306=F3071)&gt;0)*((G3071="")+($G$3074:$G$3306=G3071)&gt;0)*ROW($B$3074:$B$3306))),IF(COUNTIFS($D$3074:$D$3306,IF(D3071="","*",D3071),$E$3074:$E$3306,IF(E3071="","*",E3071),$F$3074:$F$3306,IF(F3071="","*",F3071),$G$3074:$G$3306,IF(G3071="","*",G3071))=0,"Not available",COUNTIFS($D$3074:$D$3306,IF(D3071="","*",D3071),$E$3074:$E$3306,IF(E3071="","*",E3071),$F$3074:$F$3306,IF(F3071="","*",F3071),$G$3074:$G$3306,IF(G3071="","*",G3071))&amp;" match, keep choosing"))</f>
        <v>MGN-BK-MGN12C</v>
      </c>
      <c r="C3071" s="16" t="n">
        <f aca="false">IF(COUNTIFS($D$3074:$D$3306,IF(D3071="","*",D3071),$E$3074:$E$3306,IF(E3071="","*",E3071),$F$3074:$F$3306,IF(F3071="","*",F3071),$G$3074:$G$3306,IF(G3071="","*",G3071))=1,INDEX($C:$C,SUMPRODUCT(((D3071="")+($D$3074:$D$3306=D3071)&gt;0)*((E3071="")+($E$3074:$E$3306=E3071)&gt;0)*((F3071="")+($F$3074:$F$3306=F3071)&gt;0)*((G3071="")+($G$3074:$G$3306=G3071)&gt;0)*ROW($B$3074:$B$3306))),"")</f>
        <v>2.71</v>
      </c>
      <c r="D3071" s="17" t="s">
        <v>724</v>
      </c>
      <c r="E3071" s="17" t="s">
        <v>17414</v>
      </c>
      <c r="F3071" s="17" t="s">
        <v>17052</v>
      </c>
      <c r="G3071" s="17" t="s">
        <v>13732</v>
      </c>
    </row>
    <row r="3073" customFormat="false" ht="15" hidden="false" customHeight="false" outlineLevel="0" collapsed="false">
      <c r="B3073" s="18" t="s">
        <v>701</v>
      </c>
      <c r="C3073" s="18" t="s">
        <v>702</v>
      </c>
      <c r="D3073" s="18" t="s">
        <v>17412</v>
      </c>
      <c r="E3073" s="18" t="s">
        <v>17036</v>
      </c>
      <c r="F3073" s="18" t="s">
        <v>17037</v>
      </c>
      <c r="G3073" s="18" t="s">
        <v>17413</v>
      </c>
    </row>
    <row r="3074" customFormat="false" ht="15" hidden="false" customHeight="false" outlineLevel="0" collapsed="false">
      <c r="B3074" s="19" t="s">
        <v>17415</v>
      </c>
      <c r="C3074" s="20" t="n">
        <f aca="false">ROUND(19.5/FX,2)</f>
        <v>2.71</v>
      </c>
      <c r="D3074" s="21" t="s">
        <v>724</v>
      </c>
      <c r="E3074" s="21" t="s">
        <v>17414</v>
      </c>
      <c r="F3074" s="21" t="s">
        <v>17052</v>
      </c>
      <c r="G3074" s="21" t="s">
        <v>13732</v>
      </c>
    </row>
    <row r="3075" customFormat="false" ht="15" hidden="false" customHeight="false" outlineLevel="0" collapsed="false">
      <c r="B3075" s="19" t="s">
        <v>17416</v>
      </c>
      <c r="C3075" s="20" t="n">
        <f aca="false">ROUND(46.8/FX,2)</f>
        <v>6.5</v>
      </c>
      <c r="D3075" s="21" t="s">
        <v>724</v>
      </c>
      <c r="E3075" s="21" t="s">
        <v>17414</v>
      </c>
      <c r="F3075" s="21" t="s">
        <v>1520</v>
      </c>
      <c r="G3075" s="21" t="s">
        <v>13732</v>
      </c>
    </row>
    <row r="3076" customFormat="false" ht="15" hidden="false" customHeight="false" outlineLevel="0" collapsed="false">
      <c r="B3076" s="19" t="s">
        <v>17417</v>
      </c>
      <c r="C3076" s="20" t="n">
        <f aca="false">ROUND(54.6/FX,2)</f>
        <v>7.58</v>
      </c>
      <c r="D3076" s="21" t="s">
        <v>724</v>
      </c>
      <c r="E3076" s="21" t="s">
        <v>17414</v>
      </c>
      <c r="F3076" s="21" t="s">
        <v>2002</v>
      </c>
      <c r="G3076" s="21" t="s">
        <v>13732</v>
      </c>
    </row>
    <row r="3077" customFormat="false" ht="15" hidden="false" customHeight="false" outlineLevel="0" collapsed="false">
      <c r="B3077" s="19" t="s">
        <v>17418</v>
      </c>
      <c r="C3077" s="20" t="n">
        <f aca="false">ROUND(23.4/FX,2)</f>
        <v>3.25</v>
      </c>
      <c r="D3077" s="21" t="s">
        <v>724</v>
      </c>
      <c r="E3077" s="21" t="s">
        <v>17419</v>
      </c>
      <c r="F3077" s="21" t="s">
        <v>17052</v>
      </c>
      <c r="G3077" s="21" t="s">
        <v>13732</v>
      </c>
    </row>
    <row r="3078" customFormat="false" ht="15" hidden="false" customHeight="false" outlineLevel="0" collapsed="false">
      <c r="B3078" s="19" t="s">
        <v>17420</v>
      </c>
      <c r="C3078" s="20" t="n">
        <f aca="false">ROUND(189.28/FX,2)</f>
        <v>26.29</v>
      </c>
      <c r="D3078" s="21" t="s">
        <v>724</v>
      </c>
      <c r="E3078" s="21" t="s">
        <v>17419</v>
      </c>
      <c r="F3078" s="21" t="s">
        <v>1733</v>
      </c>
      <c r="G3078" s="21" t="s">
        <v>13732</v>
      </c>
    </row>
    <row r="3079" customFormat="false" ht="15" hidden="false" customHeight="false" outlineLevel="0" collapsed="false">
      <c r="B3079" s="19" t="s">
        <v>17421</v>
      </c>
      <c r="C3079" s="20" t="n">
        <f aca="false">ROUND(202.8/FX,2)</f>
        <v>28.17</v>
      </c>
      <c r="D3079" s="21" t="s">
        <v>724</v>
      </c>
      <c r="E3079" s="21" t="s">
        <v>17419</v>
      </c>
      <c r="F3079" s="21" t="s">
        <v>1881</v>
      </c>
      <c r="G3079" s="21" t="s">
        <v>13732</v>
      </c>
    </row>
    <row r="3080" customFormat="false" ht="15" hidden="false" customHeight="false" outlineLevel="0" collapsed="false">
      <c r="B3080" s="19" t="s">
        <v>17422</v>
      </c>
      <c r="C3080" s="20" t="n">
        <f aca="false">ROUND(67.6/FX,2)</f>
        <v>9.39</v>
      </c>
      <c r="D3080" s="21" t="s">
        <v>724</v>
      </c>
      <c r="E3080" s="21" t="s">
        <v>17419</v>
      </c>
      <c r="F3080" s="21" t="s">
        <v>1048</v>
      </c>
      <c r="G3080" s="21" t="s">
        <v>13732</v>
      </c>
    </row>
    <row r="3081" customFormat="false" ht="15" hidden="false" customHeight="false" outlineLevel="0" collapsed="false">
      <c r="B3081" s="19" t="s">
        <v>17423</v>
      </c>
      <c r="C3081" s="20" t="n">
        <f aca="false">ROUND(46.8/FX,2)</f>
        <v>6.5</v>
      </c>
      <c r="D3081" s="21" t="s">
        <v>724</v>
      </c>
      <c r="E3081" s="21" t="s">
        <v>17419</v>
      </c>
      <c r="F3081" s="21" t="s">
        <v>1520</v>
      </c>
      <c r="G3081" s="21" t="s">
        <v>13732</v>
      </c>
    </row>
    <row r="3082" customFormat="false" ht="15" hidden="false" customHeight="false" outlineLevel="0" collapsed="false">
      <c r="B3082" s="19" t="s">
        <v>17424</v>
      </c>
      <c r="C3082" s="20" t="n">
        <f aca="false">ROUND(54.6/FX,2)</f>
        <v>7.58</v>
      </c>
      <c r="D3082" s="21" t="s">
        <v>724</v>
      </c>
      <c r="E3082" s="21" t="s">
        <v>17419</v>
      </c>
      <c r="F3082" s="21" t="s">
        <v>2002</v>
      </c>
      <c r="G3082" s="21" t="s">
        <v>13732</v>
      </c>
    </row>
    <row r="3083" customFormat="false" ht="15" hidden="false" customHeight="false" outlineLevel="0" collapsed="false">
      <c r="B3083" s="19" t="s">
        <v>17425</v>
      </c>
      <c r="C3083" s="20" t="n">
        <f aca="false">ROUND(85.8/FX,2)</f>
        <v>11.92</v>
      </c>
      <c r="D3083" s="21" t="s">
        <v>724</v>
      </c>
      <c r="E3083" s="21" t="s">
        <v>17419</v>
      </c>
      <c r="F3083" s="21" t="s">
        <v>2142</v>
      </c>
      <c r="G3083" s="21" t="s">
        <v>13732</v>
      </c>
    </row>
    <row r="3084" customFormat="false" ht="15" hidden="false" customHeight="false" outlineLevel="0" collapsed="false">
      <c r="B3084" s="19" t="s">
        <v>17426</v>
      </c>
      <c r="C3084" s="20" t="n">
        <f aca="false">ROUND(97.5/FX,2)</f>
        <v>13.54</v>
      </c>
      <c r="D3084" s="21" t="s">
        <v>724</v>
      </c>
      <c r="E3084" s="21" t="s">
        <v>17419</v>
      </c>
      <c r="F3084" s="21" t="s">
        <v>2227</v>
      </c>
      <c r="G3084" s="21" t="s">
        <v>13732</v>
      </c>
    </row>
    <row r="3085" customFormat="false" ht="15" hidden="false" customHeight="false" outlineLevel="0" collapsed="false">
      <c r="B3085" s="19" t="s">
        <v>17427</v>
      </c>
      <c r="C3085" s="20" t="n">
        <f aca="false">ROUND(19.5/FX,2)</f>
        <v>2.71</v>
      </c>
      <c r="D3085" s="21" t="s">
        <v>724</v>
      </c>
      <c r="E3085" s="21" t="s">
        <v>17428</v>
      </c>
      <c r="F3085" s="21" t="s">
        <v>17052</v>
      </c>
      <c r="G3085" s="21" t="s">
        <v>13732</v>
      </c>
    </row>
    <row r="3086" customFormat="false" ht="15" hidden="false" customHeight="false" outlineLevel="0" collapsed="false">
      <c r="B3086" s="19" t="s">
        <v>17429</v>
      </c>
      <c r="C3086" s="20" t="n">
        <f aca="false">ROUND(70.2/FX,2)</f>
        <v>9.75</v>
      </c>
      <c r="D3086" s="21" t="s">
        <v>724</v>
      </c>
      <c r="E3086" s="21" t="s">
        <v>17428</v>
      </c>
      <c r="F3086" s="21" t="s">
        <v>2227</v>
      </c>
      <c r="G3086" s="21" t="s">
        <v>13732</v>
      </c>
    </row>
    <row r="3087" customFormat="false" ht="15" hidden="false" customHeight="false" outlineLevel="0" collapsed="false">
      <c r="B3087" s="19" t="s">
        <v>17430</v>
      </c>
      <c r="C3087" s="20" t="n">
        <f aca="false">ROUND(32.5/FX,2)</f>
        <v>4.51</v>
      </c>
      <c r="D3087" s="21" t="s">
        <v>724</v>
      </c>
      <c r="E3087" s="21" t="s">
        <v>17431</v>
      </c>
      <c r="F3087" s="21" t="s">
        <v>17052</v>
      </c>
      <c r="G3087" s="21" t="s">
        <v>13732</v>
      </c>
    </row>
    <row r="3088" customFormat="false" ht="15" hidden="false" customHeight="false" outlineLevel="0" collapsed="false">
      <c r="B3088" s="19" t="s">
        <v>17432</v>
      </c>
      <c r="C3088" s="20" t="n">
        <f aca="false">ROUND(118.3/FX,2)</f>
        <v>16.43</v>
      </c>
      <c r="D3088" s="21" t="s">
        <v>724</v>
      </c>
      <c r="E3088" s="21" t="s">
        <v>17431</v>
      </c>
      <c r="F3088" s="21" t="s">
        <v>2227</v>
      </c>
      <c r="G3088" s="21" t="s">
        <v>13732</v>
      </c>
    </row>
    <row r="3089" customFormat="false" ht="15" hidden="false" customHeight="false" outlineLevel="0" collapsed="false">
      <c r="B3089" s="19" t="s">
        <v>17433</v>
      </c>
      <c r="C3089" s="20" t="n">
        <f aca="false">ROUND(15.6/FX,2)</f>
        <v>2.17</v>
      </c>
      <c r="D3089" s="21" t="s">
        <v>17050</v>
      </c>
      <c r="E3089" s="21" t="s">
        <v>17414</v>
      </c>
      <c r="F3089" s="21" t="s">
        <v>17052</v>
      </c>
      <c r="G3089" s="21" t="s">
        <v>13732</v>
      </c>
    </row>
    <row r="3090" customFormat="false" ht="15" hidden="false" customHeight="false" outlineLevel="0" collapsed="false">
      <c r="B3090" s="19" t="s">
        <v>17434</v>
      </c>
      <c r="C3090" s="20" t="n">
        <f aca="false">ROUND(23.4/FX,2)</f>
        <v>3.25</v>
      </c>
      <c r="D3090" s="21" t="s">
        <v>17050</v>
      </c>
      <c r="E3090" s="21" t="s">
        <v>17414</v>
      </c>
      <c r="F3090" s="21" t="s">
        <v>2600</v>
      </c>
      <c r="G3090" s="21" t="s">
        <v>13732</v>
      </c>
    </row>
    <row r="3091" customFormat="false" ht="15" hidden="false" customHeight="false" outlineLevel="0" collapsed="false">
      <c r="B3091" s="19" t="s">
        <v>17435</v>
      </c>
      <c r="C3091" s="20" t="n">
        <f aca="false">ROUND(25.74/FX,2)</f>
        <v>3.58</v>
      </c>
      <c r="D3091" s="21" t="s">
        <v>17050</v>
      </c>
      <c r="E3091" s="21" t="s">
        <v>17414</v>
      </c>
      <c r="F3091" s="21" t="s">
        <v>2751</v>
      </c>
      <c r="G3091" s="21" t="s">
        <v>13732</v>
      </c>
    </row>
    <row r="3092" customFormat="false" ht="15" hidden="false" customHeight="false" outlineLevel="0" collapsed="false">
      <c r="B3092" s="19" t="s">
        <v>17436</v>
      </c>
      <c r="C3092" s="20" t="n">
        <f aca="false">ROUND(27.3/FX,2)</f>
        <v>3.79</v>
      </c>
      <c r="D3092" s="21" t="s">
        <v>17050</v>
      </c>
      <c r="E3092" s="21" t="s">
        <v>17414</v>
      </c>
      <c r="F3092" s="21" t="s">
        <v>2851</v>
      </c>
      <c r="G3092" s="21" t="s">
        <v>13732</v>
      </c>
    </row>
    <row r="3093" customFormat="false" ht="15" hidden="false" customHeight="false" outlineLevel="0" collapsed="false">
      <c r="B3093" s="19" t="s">
        <v>17437</v>
      </c>
      <c r="C3093" s="20" t="n">
        <f aca="false">ROUND(31.2/FX,2)</f>
        <v>4.33</v>
      </c>
      <c r="D3093" s="21" t="s">
        <v>17050</v>
      </c>
      <c r="E3093" s="21" t="s">
        <v>17414</v>
      </c>
      <c r="F3093" s="21" t="s">
        <v>1048</v>
      </c>
      <c r="G3093" s="21" t="s">
        <v>13732</v>
      </c>
    </row>
    <row r="3094" customFormat="false" ht="15" hidden="false" customHeight="false" outlineLevel="0" collapsed="false">
      <c r="B3094" s="19" t="s">
        <v>17438</v>
      </c>
      <c r="C3094" s="20" t="n">
        <f aca="false">ROUND(39/FX,2)</f>
        <v>5.42</v>
      </c>
      <c r="D3094" s="21" t="s">
        <v>17050</v>
      </c>
      <c r="E3094" s="21" t="s">
        <v>17414</v>
      </c>
      <c r="F3094" s="21" t="s">
        <v>1520</v>
      </c>
      <c r="G3094" s="21" t="s">
        <v>13732</v>
      </c>
    </row>
    <row r="3095" customFormat="false" ht="15" hidden="false" customHeight="false" outlineLevel="0" collapsed="false">
      <c r="B3095" s="19" t="s">
        <v>17439</v>
      </c>
      <c r="C3095" s="20" t="n">
        <f aca="false">ROUND(42.9/FX,2)</f>
        <v>5.96</v>
      </c>
      <c r="D3095" s="21" t="s">
        <v>17050</v>
      </c>
      <c r="E3095" s="21" t="s">
        <v>17414</v>
      </c>
      <c r="F3095" s="21" t="s">
        <v>1635</v>
      </c>
      <c r="G3095" s="21" t="s">
        <v>13732</v>
      </c>
    </row>
    <row r="3096" customFormat="false" ht="15" hidden="false" customHeight="false" outlineLevel="0" collapsed="false">
      <c r="B3096" s="19" t="s">
        <v>17440</v>
      </c>
      <c r="C3096" s="20" t="n">
        <f aca="false">ROUND(43.68/FX,2)</f>
        <v>6.07</v>
      </c>
      <c r="D3096" s="21" t="s">
        <v>17050</v>
      </c>
      <c r="E3096" s="21" t="s">
        <v>17414</v>
      </c>
      <c r="F3096" s="21" t="s">
        <v>1655</v>
      </c>
      <c r="G3096" s="21" t="s">
        <v>13732</v>
      </c>
    </row>
    <row r="3097" customFormat="false" ht="15" hidden="false" customHeight="false" outlineLevel="0" collapsed="false">
      <c r="B3097" s="19" t="s">
        <v>17441</v>
      </c>
      <c r="C3097" s="20" t="n">
        <f aca="false">ROUND(49.61/FX,2)</f>
        <v>6.89</v>
      </c>
      <c r="D3097" s="21" t="s">
        <v>17050</v>
      </c>
      <c r="E3097" s="21" t="s">
        <v>17414</v>
      </c>
      <c r="F3097" s="21" t="s">
        <v>2002</v>
      </c>
      <c r="G3097" s="21" t="s">
        <v>13739</v>
      </c>
    </row>
    <row r="3098" customFormat="false" ht="15" hidden="false" customHeight="false" outlineLevel="0" collapsed="false">
      <c r="B3098" s="19" t="s">
        <v>17442</v>
      </c>
      <c r="C3098" s="20" t="n">
        <f aca="false">ROUND(54.6/FX,2)</f>
        <v>7.58</v>
      </c>
      <c r="D3098" s="21" t="s">
        <v>17050</v>
      </c>
      <c r="E3098" s="21" t="s">
        <v>17414</v>
      </c>
      <c r="F3098" s="21" t="s">
        <v>2142</v>
      </c>
      <c r="G3098" s="21" t="s">
        <v>13732</v>
      </c>
    </row>
    <row r="3099" customFormat="false" ht="15" hidden="false" customHeight="false" outlineLevel="0" collapsed="false">
      <c r="B3099" s="19" t="s">
        <v>17443</v>
      </c>
      <c r="C3099" s="20" t="n">
        <f aca="false">ROUND(20.8/FX,2)</f>
        <v>2.89</v>
      </c>
      <c r="D3099" s="21" t="s">
        <v>17050</v>
      </c>
      <c r="E3099" s="21" t="s">
        <v>17419</v>
      </c>
      <c r="F3099" s="21" t="s">
        <v>17052</v>
      </c>
      <c r="G3099" s="21" t="s">
        <v>13732</v>
      </c>
    </row>
    <row r="3100" customFormat="false" ht="15" hidden="false" customHeight="false" outlineLevel="0" collapsed="false">
      <c r="B3100" s="19" t="s">
        <v>17444</v>
      </c>
      <c r="C3100" s="20" t="n">
        <f aca="false">ROUND(28.6/FX,2)</f>
        <v>3.97</v>
      </c>
      <c r="D3100" s="21" t="s">
        <v>17050</v>
      </c>
      <c r="E3100" s="21" t="s">
        <v>17419</v>
      </c>
      <c r="F3100" s="21" t="s">
        <v>2600</v>
      </c>
      <c r="G3100" s="21" t="s">
        <v>13732</v>
      </c>
    </row>
    <row r="3101" customFormat="false" ht="15" hidden="false" customHeight="false" outlineLevel="0" collapsed="false">
      <c r="B3101" s="19" t="s">
        <v>17445</v>
      </c>
      <c r="C3101" s="20" t="n">
        <f aca="false">ROUND(30.55/FX,2)</f>
        <v>4.24</v>
      </c>
      <c r="D3101" s="21" t="s">
        <v>17050</v>
      </c>
      <c r="E3101" s="21" t="s">
        <v>17419</v>
      </c>
      <c r="F3101" s="21" t="s">
        <v>11968</v>
      </c>
      <c r="G3101" s="21" t="s">
        <v>13732</v>
      </c>
    </row>
    <row r="3102" customFormat="false" ht="15" hidden="false" customHeight="false" outlineLevel="0" collapsed="false">
      <c r="B3102" s="19" t="s">
        <v>17446</v>
      </c>
      <c r="C3102" s="20" t="n">
        <f aca="false">ROUND(32.5/FX,2)</f>
        <v>4.51</v>
      </c>
      <c r="D3102" s="21" t="s">
        <v>17050</v>
      </c>
      <c r="E3102" s="21" t="s">
        <v>17419</v>
      </c>
      <c r="F3102" s="21" t="s">
        <v>2851</v>
      </c>
      <c r="G3102" s="21" t="s">
        <v>13732</v>
      </c>
    </row>
    <row r="3103" customFormat="false" ht="15" hidden="false" customHeight="false" outlineLevel="0" collapsed="false">
      <c r="B3103" s="19" t="s">
        <v>17447</v>
      </c>
      <c r="C3103" s="20" t="n">
        <f aca="false">ROUND(42.25/FX,2)</f>
        <v>5.87</v>
      </c>
      <c r="D3103" s="21" t="s">
        <v>17050</v>
      </c>
      <c r="E3103" s="21" t="s">
        <v>17419</v>
      </c>
      <c r="F3103" s="21" t="s">
        <v>4883</v>
      </c>
      <c r="G3103" s="21" t="s">
        <v>13732</v>
      </c>
    </row>
    <row r="3104" customFormat="false" ht="15" hidden="false" customHeight="false" outlineLevel="0" collapsed="false">
      <c r="B3104" s="19" t="s">
        <v>17448</v>
      </c>
      <c r="C3104" s="20" t="n">
        <f aca="false">ROUND(42.64/FX,2)</f>
        <v>5.92</v>
      </c>
      <c r="D3104" s="21" t="s">
        <v>17050</v>
      </c>
      <c r="E3104" s="21" t="s">
        <v>17419</v>
      </c>
      <c r="F3104" s="21" t="s">
        <v>1470</v>
      </c>
      <c r="G3104" s="21" t="s">
        <v>13732</v>
      </c>
    </row>
    <row r="3105" customFormat="false" ht="15" hidden="false" customHeight="false" outlineLevel="0" collapsed="false">
      <c r="B3105" s="19" t="s">
        <v>17449</v>
      </c>
      <c r="C3105" s="20" t="n">
        <f aca="false">ROUND(44.2/FX,2)</f>
        <v>6.14</v>
      </c>
      <c r="D3105" s="21" t="s">
        <v>17050</v>
      </c>
      <c r="E3105" s="21" t="s">
        <v>17419</v>
      </c>
      <c r="F3105" s="21" t="s">
        <v>1520</v>
      </c>
      <c r="G3105" s="21" t="s">
        <v>13732</v>
      </c>
    </row>
    <row r="3106" customFormat="false" ht="15" hidden="false" customHeight="false" outlineLevel="0" collapsed="false">
      <c r="B3106" s="19" t="s">
        <v>17450</v>
      </c>
      <c r="C3106" s="20" t="n">
        <f aca="false">ROUND(39/FX,2)</f>
        <v>5.42</v>
      </c>
      <c r="D3106" s="21" t="s">
        <v>17050</v>
      </c>
      <c r="E3106" s="21" t="s">
        <v>17419</v>
      </c>
      <c r="F3106" s="21" t="s">
        <v>1635</v>
      </c>
      <c r="G3106" s="21" t="s">
        <v>13732</v>
      </c>
    </row>
    <row r="3107" customFormat="false" ht="15" hidden="false" customHeight="false" outlineLevel="0" collapsed="false">
      <c r="B3107" s="19" t="s">
        <v>17451</v>
      </c>
      <c r="C3107" s="20" t="n">
        <f aca="false">ROUND(48.88/FX,2)</f>
        <v>6.79</v>
      </c>
      <c r="D3107" s="21" t="s">
        <v>17050</v>
      </c>
      <c r="E3107" s="21" t="s">
        <v>17419</v>
      </c>
      <c r="F3107" s="21" t="s">
        <v>1655</v>
      </c>
      <c r="G3107" s="21" t="s">
        <v>13732</v>
      </c>
    </row>
    <row r="3108" customFormat="false" ht="15" hidden="false" customHeight="false" outlineLevel="0" collapsed="false">
      <c r="B3108" s="19" t="s">
        <v>17452</v>
      </c>
      <c r="C3108" s="20" t="n">
        <f aca="false">ROUND(42.9/FX,2)</f>
        <v>5.96</v>
      </c>
      <c r="D3108" s="21" t="s">
        <v>17050</v>
      </c>
      <c r="E3108" s="21" t="s">
        <v>17419</v>
      </c>
      <c r="F3108" s="21" t="s">
        <v>2002</v>
      </c>
      <c r="G3108" s="21" t="s">
        <v>13732</v>
      </c>
    </row>
    <row r="3109" customFormat="false" ht="15" hidden="false" customHeight="false" outlineLevel="0" collapsed="false">
      <c r="B3109" s="19" t="s">
        <v>17453</v>
      </c>
      <c r="C3109" s="20" t="n">
        <f aca="false">ROUND(56.37/FX,2)</f>
        <v>7.83</v>
      </c>
      <c r="D3109" s="21" t="s">
        <v>17050</v>
      </c>
      <c r="E3109" s="21" t="s">
        <v>17419</v>
      </c>
      <c r="F3109" s="21" t="s">
        <v>2002</v>
      </c>
      <c r="G3109" s="21" t="s">
        <v>13739</v>
      </c>
    </row>
    <row r="3110" customFormat="false" ht="15" hidden="false" customHeight="false" outlineLevel="0" collapsed="false">
      <c r="B3110" s="19" t="s">
        <v>17454</v>
      </c>
      <c r="C3110" s="20" t="n">
        <f aca="false">ROUND(43.72/FX,2)</f>
        <v>6.07</v>
      </c>
      <c r="D3110" s="21" t="s">
        <v>17050</v>
      </c>
      <c r="E3110" s="21" t="s">
        <v>17419</v>
      </c>
      <c r="F3110" s="21" t="s">
        <v>3675</v>
      </c>
      <c r="G3110" s="21" t="s">
        <v>13732</v>
      </c>
    </row>
    <row r="3111" customFormat="false" ht="15" hidden="false" customHeight="false" outlineLevel="0" collapsed="false">
      <c r="B3111" s="19" t="s">
        <v>17455</v>
      </c>
      <c r="C3111" s="20" t="n">
        <f aca="false">ROUND(45.18/FX,2)</f>
        <v>6.28</v>
      </c>
      <c r="D3111" s="21" t="s">
        <v>17050</v>
      </c>
      <c r="E3111" s="21" t="s">
        <v>17419</v>
      </c>
      <c r="F3111" s="21" t="s">
        <v>2187</v>
      </c>
      <c r="G3111" s="21" t="s">
        <v>13732</v>
      </c>
    </row>
    <row r="3112" customFormat="false" ht="15" hidden="false" customHeight="false" outlineLevel="0" collapsed="false">
      <c r="B3112" s="19" t="s">
        <v>17456</v>
      </c>
      <c r="C3112" s="20" t="n">
        <f aca="false">ROUND(67.6/FX,2)</f>
        <v>9.39</v>
      </c>
      <c r="D3112" s="21" t="s">
        <v>17050</v>
      </c>
      <c r="E3112" s="21" t="s">
        <v>17419</v>
      </c>
      <c r="F3112" s="21" t="s">
        <v>2227</v>
      </c>
      <c r="G3112" s="21" t="s">
        <v>13732</v>
      </c>
    </row>
    <row r="3113" customFormat="false" ht="15" hidden="false" customHeight="false" outlineLevel="0" collapsed="false">
      <c r="B3113" s="19" t="s">
        <v>17457</v>
      </c>
      <c r="C3113" s="20" t="n">
        <f aca="false">ROUND(61.1/FX,2)</f>
        <v>8.49</v>
      </c>
      <c r="D3113" s="21" t="s">
        <v>17050</v>
      </c>
      <c r="E3113" s="21" t="s">
        <v>17419</v>
      </c>
      <c r="F3113" s="21" t="s">
        <v>2309</v>
      </c>
      <c r="G3113" s="21" t="s">
        <v>13732</v>
      </c>
    </row>
    <row r="3114" customFormat="false" ht="15" hidden="false" customHeight="false" outlineLevel="0" collapsed="false">
      <c r="B3114" s="19" t="s">
        <v>17458</v>
      </c>
      <c r="C3114" s="20" t="n">
        <f aca="false">ROUND(79.3/FX,2)</f>
        <v>11.01</v>
      </c>
      <c r="D3114" s="21" t="s">
        <v>17050</v>
      </c>
      <c r="E3114" s="21" t="s">
        <v>17419</v>
      </c>
      <c r="F3114" s="21" t="s">
        <v>2400</v>
      </c>
      <c r="G3114" s="21" t="s">
        <v>13732</v>
      </c>
    </row>
    <row r="3115" customFormat="false" ht="15" hidden="false" customHeight="false" outlineLevel="0" collapsed="false">
      <c r="B3115" s="19" t="s">
        <v>17459</v>
      </c>
      <c r="C3115" s="20" t="n">
        <f aca="false">ROUND(83.2/FX,2)</f>
        <v>11.56</v>
      </c>
      <c r="D3115" s="21" t="s">
        <v>17050</v>
      </c>
      <c r="E3115" s="21" t="s">
        <v>17419</v>
      </c>
      <c r="F3115" s="21" t="s">
        <v>2440</v>
      </c>
      <c r="G3115" s="21" t="s">
        <v>13732</v>
      </c>
    </row>
    <row r="3116" customFormat="false" ht="15" hidden="false" customHeight="false" outlineLevel="0" collapsed="false">
      <c r="B3116" s="19" t="s">
        <v>17460</v>
      </c>
      <c r="C3116" s="20" t="n">
        <f aca="false">ROUND(19.5/FX,2)</f>
        <v>2.71</v>
      </c>
      <c r="D3116" s="21" t="s">
        <v>17050</v>
      </c>
      <c r="E3116" s="21" t="s">
        <v>17428</v>
      </c>
      <c r="F3116" s="21" t="s">
        <v>17052</v>
      </c>
      <c r="G3116" s="21" t="s">
        <v>13732</v>
      </c>
    </row>
    <row r="3117" customFormat="false" ht="15" hidden="false" customHeight="false" outlineLevel="0" collapsed="false">
      <c r="B3117" s="19" t="s">
        <v>17461</v>
      </c>
      <c r="C3117" s="20" t="n">
        <f aca="false">ROUND(70.2/FX,2)</f>
        <v>9.75</v>
      </c>
      <c r="D3117" s="21" t="s">
        <v>17050</v>
      </c>
      <c r="E3117" s="21" t="s">
        <v>17428</v>
      </c>
      <c r="F3117" s="21" t="s">
        <v>2227</v>
      </c>
      <c r="G3117" s="21" t="s">
        <v>13732</v>
      </c>
    </row>
    <row r="3118" customFormat="false" ht="15" hidden="false" customHeight="false" outlineLevel="0" collapsed="false">
      <c r="B3118" s="19" t="s">
        <v>17462</v>
      </c>
      <c r="C3118" s="20" t="n">
        <f aca="false">ROUND(24.7/FX,2)</f>
        <v>3.43</v>
      </c>
      <c r="D3118" s="21" t="s">
        <v>17050</v>
      </c>
      <c r="E3118" s="21" t="s">
        <v>17431</v>
      </c>
      <c r="F3118" s="21" t="s">
        <v>17052</v>
      </c>
      <c r="G3118" s="21" t="s">
        <v>13732</v>
      </c>
    </row>
    <row r="3119" customFormat="false" ht="15" hidden="false" customHeight="false" outlineLevel="0" collapsed="false">
      <c r="B3119" s="19" t="s">
        <v>17463</v>
      </c>
      <c r="C3119" s="20" t="n">
        <f aca="false">ROUND(75.4/FX,2)</f>
        <v>10.47</v>
      </c>
      <c r="D3119" s="21" t="s">
        <v>17050</v>
      </c>
      <c r="E3119" s="21" t="s">
        <v>17431</v>
      </c>
      <c r="F3119" s="21" t="s">
        <v>2227</v>
      </c>
      <c r="G3119" s="21" t="s">
        <v>13732</v>
      </c>
    </row>
    <row r="3120" customFormat="false" ht="15" hidden="false" customHeight="false" outlineLevel="0" collapsed="false">
      <c r="B3120" s="19" t="s">
        <v>17464</v>
      </c>
      <c r="C3120" s="20" t="n">
        <f aca="false">ROUND(13/FX,2)</f>
        <v>1.81</v>
      </c>
      <c r="D3120" s="21" t="s">
        <v>17050</v>
      </c>
      <c r="E3120" s="21" t="s">
        <v>17465</v>
      </c>
      <c r="F3120" s="21" t="s">
        <v>17052</v>
      </c>
      <c r="G3120" s="21" t="s">
        <v>13732</v>
      </c>
    </row>
    <row r="3121" customFormat="false" ht="15" hidden="false" customHeight="false" outlineLevel="0" collapsed="false">
      <c r="B3121" s="19" t="s">
        <v>17466</v>
      </c>
      <c r="C3121" s="20" t="n">
        <f aca="false">ROUND(16.25/FX,2)</f>
        <v>2.26</v>
      </c>
      <c r="D3121" s="21" t="s">
        <v>17050</v>
      </c>
      <c r="E3121" s="21" t="s">
        <v>17465</v>
      </c>
      <c r="F3121" s="21" t="s">
        <v>2600</v>
      </c>
      <c r="G3121" s="21" t="s">
        <v>13732</v>
      </c>
    </row>
    <row r="3122" customFormat="false" ht="15" hidden="false" customHeight="false" outlineLevel="0" collapsed="false">
      <c r="B3122" s="19" t="s">
        <v>17467</v>
      </c>
      <c r="C3122" s="20" t="n">
        <f aca="false">ROUND(21.58/FX,2)</f>
        <v>3</v>
      </c>
      <c r="D3122" s="21" t="s">
        <v>17050</v>
      </c>
      <c r="E3122" s="21" t="s">
        <v>17465</v>
      </c>
      <c r="F3122" s="21" t="s">
        <v>2701</v>
      </c>
      <c r="G3122" s="21" t="s">
        <v>13732</v>
      </c>
    </row>
    <row r="3123" customFormat="false" ht="15" hidden="false" customHeight="false" outlineLevel="0" collapsed="false">
      <c r="B3123" s="19" t="s">
        <v>17468</v>
      </c>
      <c r="C3123" s="20" t="n">
        <f aca="false">ROUND(22.1/FX,2)</f>
        <v>3.07</v>
      </c>
      <c r="D3123" s="21" t="s">
        <v>17050</v>
      </c>
      <c r="E3123" s="21" t="s">
        <v>17465</v>
      </c>
      <c r="F3123" s="21" t="s">
        <v>2851</v>
      </c>
      <c r="G3123" s="21" t="s">
        <v>13732</v>
      </c>
    </row>
    <row r="3124" customFormat="false" ht="15" hidden="false" customHeight="false" outlineLevel="0" collapsed="false">
      <c r="B3124" s="19" t="s">
        <v>17469</v>
      </c>
      <c r="C3124" s="20" t="n">
        <f aca="false">ROUND(27.3/FX,2)</f>
        <v>3.79</v>
      </c>
      <c r="D3124" s="21" t="s">
        <v>17050</v>
      </c>
      <c r="E3124" s="21" t="s">
        <v>17465</v>
      </c>
      <c r="F3124" s="21" t="s">
        <v>1048</v>
      </c>
      <c r="G3124" s="21" t="s">
        <v>13732</v>
      </c>
    </row>
    <row r="3125" customFormat="false" ht="15" hidden="false" customHeight="false" outlineLevel="0" collapsed="false">
      <c r="B3125" s="19" t="s">
        <v>17470</v>
      </c>
      <c r="C3125" s="20" t="n">
        <f aca="false">ROUND(23.6/FX,2)</f>
        <v>3.28</v>
      </c>
      <c r="D3125" s="21" t="s">
        <v>17050</v>
      </c>
      <c r="E3125" s="21" t="s">
        <v>17465</v>
      </c>
      <c r="F3125" s="21" t="s">
        <v>1323</v>
      </c>
      <c r="G3125" s="21" t="s">
        <v>13732</v>
      </c>
    </row>
    <row r="3126" customFormat="false" ht="15" hidden="false" customHeight="false" outlineLevel="0" collapsed="false">
      <c r="B3126" s="19" t="s">
        <v>17471</v>
      </c>
      <c r="C3126" s="20" t="n">
        <f aca="false">ROUND(34.45/FX,2)</f>
        <v>4.78</v>
      </c>
      <c r="D3126" s="21" t="s">
        <v>17050</v>
      </c>
      <c r="E3126" s="21" t="s">
        <v>17465</v>
      </c>
      <c r="F3126" s="21" t="s">
        <v>1520</v>
      </c>
      <c r="G3126" s="21" t="s">
        <v>13732</v>
      </c>
    </row>
    <row r="3127" customFormat="false" ht="15" hidden="false" customHeight="false" outlineLevel="0" collapsed="false">
      <c r="B3127" s="19" t="s">
        <v>17472</v>
      </c>
      <c r="C3127" s="20" t="n">
        <f aca="false">ROUND(38.03/FX,2)</f>
        <v>5.28</v>
      </c>
      <c r="D3127" s="21" t="s">
        <v>17050</v>
      </c>
      <c r="E3127" s="21" t="s">
        <v>17465</v>
      </c>
      <c r="F3127" s="21" t="s">
        <v>1635</v>
      </c>
      <c r="G3127" s="21" t="s">
        <v>13732</v>
      </c>
    </row>
    <row r="3128" customFormat="false" ht="15" hidden="false" customHeight="false" outlineLevel="0" collapsed="false">
      <c r="B3128" s="19" t="s">
        <v>17473</v>
      </c>
      <c r="C3128" s="20" t="n">
        <f aca="false">ROUND(41.6/FX,2)</f>
        <v>5.78</v>
      </c>
      <c r="D3128" s="21" t="s">
        <v>17050</v>
      </c>
      <c r="E3128" s="21" t="s">
        <v>17465</v>
      </c>
      <c r="F3128" s="21" t="s">
        <v>2002</v>
      </c>
      <c r="G3128" s="21" t="s">
        <v>13732</v>
      </c>
    </row>
    <row r="3129" customFormat="false" ht="15" hidden="false" customHeight="false" outlineLevel="0" collapsed="false">
      <c r="B3129" s="19" t="s">
        <v>17474</v>
      </c>
      <c r="C3129" s="20" t="n">
        <f aca="false">ROUND(45.18/FX,2)</f>
        <v>6.28</v>
      </c>
      <c r="D3129" s="21" t="s">
        <v>17050</v>
      </c>
      <c r="E3129" s="21" t="s">
        <v>17465</v>
      </c>
      <c r="F3129" s="21" t="s">
        <v>2067</v>
      </c>
      <c r="G3129" s="21" t="s">
        <v>13732</v>
      </c>
    </row>
    <row r="3130" customFormat="false" ht="15" hidden="false" customHeight="false" outlineLevel="0" collapsed="false">
      <c r="B3130" s="19" t="s">
        <v>17475</v>
      </c>
      <c r="C3130" s="20" t="n">
        <f aca="false">ROUND(14.5/FX,2)</f>
        <v>2.01</v>
      </c>
      <c r="D3130" s="21" t="s">
        <v>17050</v>
      </c>
      <c r="E3130" s="21" t="s">
        <v>17465</v>
      </c>
      <c r="F3130" s="21" t="s">
        <v>3011</v>
      </c>
      <c r="G3130" s="21" t="s">
        <v>13732</v>
      </c>
    </row>
    <row r="3131" customFormat="false" ht="15" hidden="false" customHeight="false" outlineLevel="0" collapsed="false">
      <c r="B3131" s="19" t="s">
        <v>17476</v>
      </c>
      <c r="C3131" s="20" t="n">
        <f aca="false">ROUND(15.6/FX,2)</f>
        <v>2.17</v>
      </c>
      <c r="D3131" s="21" t="s">
        <v>17050</v>
      </c>
      <c r="E3131" s="21" t="s">
        <v>17477</v>
      </c>
      <c r="F3131" s="21" t="s">
        <v>17052</v>
      </c>
      <c r="G3131" s="21" t="s">
        <v>13732</v>
      </c>
    </row>
    <row r="3132" customFormat="false" ht="15" hidden="false" customHeight="false" outlineLevel="0" collapsed="false">
      <c r="B3132" s="19" t="s">
        <v>17478</v>
      </c>
      <c r="C3132" s="20" t="n">
        <f aca="false">ROUND(22.75/FX,2)</f>
        <v>3.16</v>
      </c>
      <c r="D3132" s="21" t="s">
        <v>17050</v>
      </c>
      <c r="E3132" s="21" t="s">
        <v>17477</v>
      </c>
      <c r="F3132" s="21" t="s">
        <v>2600</v>
      </c>
      <c r="G3132" s="21" t="s">
        <v>13732</v>
      </c>
    </row>
    <row r="3133" customFormat="false" ht="15" hidden="false" customHeight="false" outlineLevel="0" collapsed="false">
      <c r="B3133" s="19" t="s">
        <v>17479</v>
      </c>
      <c r="C3133" s="20" t="n">
        <f aca="false">ROUND(24.7/FX,2)</f>
        <v>3.43</v>
      </c>
      <c r="D3133" s="21" t="s">
        <v>17050</v>
      </c>
      <c r="E3133" s="21" t="s">
        <v>17477</v>
      </c>
      <c r="F3133" s="21" t="s">
        <v>2851</v>
      </c>
      <c r="G3133" s="21" t="s">
        <v>13732</v>
      </c>
    </row>
    <row r="3134" customFormat="false" ht="15" hidden="false" customHeight="false" outlineLevel="0" collapsed="false">
      <c r="B3134" s="19" t="s">
        <v>17480</v>
      </c>
      <c r="C3134" s="20" t="n">
        <f aca="false">ROUND(29.9/FX,2)</f>
        <v>4.15</v>
      </c>
      <c r="D3134" s="21" t="s">
        <v>17050</v>
      </c>
      <c r="E3134" s="21" t="s">
        <v>17477</v>
      </c>
      <c r="F3134" s="21" t="s">
        <v>1048</v>
      </c>
      <c r="G3134" s="21" t="s">
        <v>13732</v>
      </c>
    </row>
    <row r="3135" customFormat="false" ht="15" hidden="false" customHeight="false" outlineLevel="0" collapsed="false">
      <c r="B3135" s="19" t="s">
        <v>17481</v>
      </c>
      <c r="C3135" s="20" t="n">
        <f aca="false">ROUND(33.48/FX,2)</f>
        <v>4.65</v>
      </c>
      <c r="D3135" s="21" t="s">
        <v>17050</v>
      </c>
      <c r="E3135" s="21" t="s">
        <v>17477</v>
      </c>
      <c r="F3135" s="21" t="s">
        <v>1323</v>
      </c>
      <c r="G3135" s="21" t="s">
        <v>13732</v>
      </c>
    </row>
    <row r="3136" customFormat="false" ht="15" hidden="false" customHeight="false" outlineLevel="0" collapsed="false">
      <c r="B3136" s="19" t="s">
        <v>17482</v>
      </c>
      <c r="C3136" s="20" t="n">
        <f aca="false">ROUND(37.05/FX,2)</f>
        <v>5.15</v>
      </c>
      <c r="D3136" s="21" t="s">
        <v>17050</v>
      </c>
      <c r="E3136" s="21" t="s">
        <v>17477</v>
      </c>
      <c r="F3136" s="21" t="s">
        <v>1520</v>
      </c>
      <c r="G3136" s="21" t="s">
        <v>13732</v>
      </c>
    </row>
    <row r="3137" customFormat="false" ht="15" hidden="false" customHeight="false" outlineLevel="0" collapsed="false">
      <c r="B3137" s="19" t="s">
        <v>17483</v>
      </c>
      <c r="C3137" s="20" t="n">
        <f aca="false">ROUND(40.63/FX,2)</f>
        <v>5.64</v>
      </c>
      <c r="D3137" s="21" t="s">
        <v>17050</v>
      </c>
      <c r="E3137" s="21" t="s">
        <v>17477</v>
      </c>
      <c r="F3137" s="21" t="s">
        <v>1635</v>
      </c>
      <c r="G3137" s="21" t="s">
        <v>13732</v>
      </c>
    </row>
    <row r="3138" customFormat="false" ht="15" hidden="false" customHeight="false" outlineLevel="0" collapsed="false">
      <c r="B3138" s="19" t="s">
        <v>17484</v>
      </c>
      <c r="C3138" s="20" t="n">
        <f aca="false">ROUND(44.2/FX,2)</f>
        <v>6.14</v>
      </c>
      <c r="D3138" s="21" t="s">
        <v>17050</v>
      </c>
      <c r="E3138" s="21" t="s">
        <v>17477</v>
      </c>
      <c r="F3138" s="21" t="s">
        <v>2002</v>
      </c>
      <c r="G3138" s="21" t="s">
        <v>13732</v>
      </c>
    </row>
    <row r="3139" customFormat="false" ht="15" hidden="false" customHeight="false" outlineLevel="0" collapsed="false">
      <c r="B3139" s="19" t="s">
        <v>17485</v>
      </c>
      <c r="C3139" s="20" t="n">
        <f aca="false">ROUND(47.78/FX,2)</f>
        <v>6.64</v>
      </c>
      <c r="D3139" s="21" t="s">
        <v>17050</v>
      </c>
      <c r="E3139" s="21" t="s">
        <v>17477</v>
      </c>
      <c r="F3139" s="21" t="s">
        <v>2067</v>
      </c>
      <c r="G3139" s="21" t="s">
        <v>13732</v>
      </c>
    </row>
    <row r="3140" customFormat="false" ht="15" hidden="false" customHeight="false" outlineLevel="0" collapsed="false">
      <c r="B3140" s="19" t="s">
        <v>17486</v>
      </c>
      <c r="C3140" s="20" t="n">
        <f aca="false">ROUND(20.61/FX,2)</f>
        <v>2.86</v>
      </c>
      <c r="D3140" s="21" t="s">
        <v>17050</v>
      </c>
      <c r="E3140" s="21" t="s">
        <v>17477</v>
      </c>
      <c r="F3140" s="21" t="s">
        <v>3011</v>
      </c>
      <c r="G3140" s="21" t="s">
        <v>13732</v>
      </c>
    </row>
    <row r="3141" customFormat="false" ht="15" hidden="false" customHeight="false" outlineLevel="0" collapsed="false">
      <c r="B3141" s="19" t="s">
        <v>17487</v>
      </c>
      <c r="C3141" s="20" t="n">
        <f aca="false">ROUND(14.3/FX,2)</f>
        <v>1.99</v>
      </c>
      <c r="D3141" s="21" t="s">
        <v>17050</v>
      </c>
      <c r="E3141" s="21" t="s">
        <v>17488</v>
      </c>
      <c r="F3141" s="21" t="s">
        <v>17052</v>
      </c>
      <c r="G3141" s="21" t="s">
        <v>13732</v>
      </c>
    </row>
    <row r="3142" customFormat="false" ht="15" hidden="false" customHeight="false" outlineLevel="0" collapsed="false">
      <c r="B3142" s="19" t="s">
        <v>17489</v>
      </c>
      <c r="C3142" s="20" t="n">
        <f aca="false">ROUND(21.45/FX,2)</f>
        <v>2.98</v>
      </c>
      <c r="D3142" s="21" t="s">
        <v>17050</v>
      </c>
      <c r="E3142" s="21" t="s">
        <v>17488</v>
      </c>
      <c r="F3142" s="21" t="s">
        <v>2600</v>
      </c>
      <c r="G3142" s="21" t="s">
        <v>13732</v>
      </c>
    </row>
    <row r="3143" customFormat="false" ht="15" hidden="false" customHeight="false" outlineLevel="0" collapsed="false">
      <c r="B3143" s="19" t="s">
        <v>17490</v>
      </c>
      <c r="C3143" s="20" t="n">
        <f aca="false">ROUND(85.8/FX,2)</f>
        <v>11.92</v>
      </c>
      <c r="D3143" s="21" t="s">
        <v>17050</v>
      </c>
      <c r="E3143" s="21" t="s">
        <v>17488</v>
      </c>
      <c r="F3143" s="21" t="s">
        <v>1733</v>
      </c>
      <c r="G3143" s="21" t="s">
        <v>13732</v>
      </c>
    </row>
    <row r="3144" customFormat="false" ht="15" hidden="false" customHeight="false" outlineLevel="0" collapsed="false">
      <c r="B3144" s="19" t="s">
        <v>17491</v>
      </c>
      <c r="C3144" s="20" t="n">
        <f aca="false">ROUND(24.7/FX,2)</f>
        <v>3.43</v>
      </c>
      <c r="D3144" s="21" t="s">
        <v>17050</v>
      </c>
      <c r="E3144" s="21" t="s">
        <v>17488</v>
      </c>
      <c r="F3144" s="21" t="s">
        <v>1048</v>
      </c>
      <c r="G3144" s="21" t="s">
        <v>13732</v>
      </c>
    </row>
    <row r="3145" customFormat="false" ht="15" hidden="false" customHeight="false" outlineLevel="0" collapsed="false">
      <c r="B3145" s="19" t="s">
        <v>17492</v>
      </c>
      <c r="C3145" s="20" t="n">
        <f aca="false">ROUND(32.18/FX,2)</f>
        <v>4.47</v>
      </c>
      <c r="D3145" s="21" t="s">
        <v>17050</v>
      </c>
      <c r="E3145" s="21" t="s">
        <v>17488</v>
      </c>
      <c r="F3145" s="21" t="s">
        <v>1323</v>
      </c>
      <c r="G3145" s="21" t="s">
        <v>13732</v>
      </c>
    </row>
    <row r="3146" customFormat="false" ht="15" hidden="false" customHeight="false" outlineLevel="0" collapsed="false">
      <c r="B3146" s="19" t="s">
        <v>17493</v>
      </c>
      <c r="C3146" s="20" t="n">
        <f aca="false">ROUND(35.75/FX,2)</f>
        <v>4.97</v>
      </c>
      <c r="D3146" s="21" t="s">
        <v>17050</v>
      </c>
      <c r="E3146" s="21" t="s">
        <v>17488</v>
      </c>
      <c r="F3146" s="21" t="s">
        <v>1520</v>
      </c>
      <c r="G3146" s="21" t="s">
        <v>13732</v>
      </c>
    </row>
    <row r="3147" customFormat="false" ht="15" hidden="false" customHeight="false" outlineLevel="0" collapsed="false">
      <c r="B3147" s="19" t="s">
        <v>17494</v>
      </c>
      <c r="C3147" s="20" t="n">
        <f aca="false">ROUND(42.9/FX,2)</f>
        <v>5.96</v>
      </c>
      <c r="D3147" s="21" t="s">
        <v>17050</v>
      </c>
      <c r="E3147" s="21" t="s">
        <v>17488</v>
      </c>
      <c r="F3147" s="21" t="s">
        <v>2002</v>
      </c>
      <c r="G3147" s="21" t="s">
        <v>13732</v>
      </c>
    </row>
    <row r="3148" customFormat="false" ht="15" hidden="false" customHeight="false" outlineLevel="0" collapsed="false">
      <c r="B3148" s="19" t="s">
        <v>17495</v>
      </c>
      <c r="C3148" s="20" t="n">
        <f aca="false">ROUND(46.48/FX,2)</f>
        <v>6.46</v>
      </c>
      <c r="D3148" s="21" t="s">
        <v>17050</v>
      </c>
      <c r="E3148" s="21" t="s">
        <v>17488</v>
      </c>
      <c r="F3148" s="21" t="s">
        <v>2067</v>
      </c>
      <c r="G3148" s="21" t="s">
        <v>13732</v>
      </c>
    </row>
    <row r="3149" customFormat="false" ht="15" hidden="false" customHeight="false" outlineLevel="0" collapsed="false">
      <c r="B3149" s="19" t="s">
        <v>17496</v>
      </c>
      <c r="C3149" s="20" t="n">
        <f aca="false">ROUND(13.33/FX,2)</f>
        <v>1.85</v>
      </c>
      <c r="D3149" s="21" t="s">
        <v>17050</v>
      </c>
      <c r="E3149" s="21" t="s">
        <v>17488</v>
      </c>
      <c r="F3149" s="21" t="s">
        <v>2911</v>
      </c>
      <c r="G3149" s="21" t="s">
        <v>13732</v>
      </c>
    </row>
    <row r="3150" customFormat="false" ht="15" hidden="false" customHeight="false" outlineLevel="0" collapsed="false">
      <c r="B3150" s="19" t="s">
        <v>17497</v>
      </c>
      <c r="C3150" s="20" t="n">
        <f aca="false">ROUND(53.63/FX,2)</f>
        <v>7.45</v>
      </c>
      <c r="D3150" s="21" t="s">
        <v>17050</v>
      </c>
      <c r="E3150" s="21" t="s">
        <v>17488</v>
      </c>
      <c r="F3150" s="21" t="s">
        <v>2187</v>
      </c>
      <c r="G3150" s="21" t="s">
        <v>13732</v>
      </c>
    </row>
    <row r="3151" customFormat="false" ht="15" hidden="false" customHeight="false" outlineLevel="0" collapsed="false">
      <c r="B3151" s="19" t="s">
        <v>17498</v>
      </c>
      <c r="C3151" s="20" t="n">
        <f aca="false">ROUND(67.93/FX,2)</f>
        <v>9.43</v>
      </c>
      <c r="D3151" s="21" t="s">
        <v>17050</v>
      </c>
      <c r="E3151" s="21" t="s">
        <v>17488</v>
      </c>
      <c r="F3151" s="21" t="s">
        <v>2400</v>
      </c>
      <c r="G3151" s="21" t="s">
        <v>13732</v>
      </c>
    </row>
    <row r="3152" customFormat="false" ht="15" hidden="false" customHeight="false" outlineLevel="0" collapsed="false">
      <c r="B3152" s="19" t="s">
        <v>17499</v>
      </c>
      <c r="C3152" s="20" t="n">
        <f aca="false">ROUND(82.23/FX,2)</f>
        <v>11.42</v>
      </c>
      <c r="D3152" s="21" t="s">
        <v>17050</v>
      </c>
      <c r="E3152" s="21" t="s">
        <v>17488</v>
      </c>
      <c r="F3152" s="21" t="s">
        <v>2540</v>
      </c>
      <c r="G3152" s="21" t="s">
        <v>13732</v>
      </c>
    </row>
    <row r="3153" customFormat="false" ht="15" hidden="false" customHeight="false" outlineLevel="0" collapsed="false">
      <c r="B3153" s="19" t="s">
        <v>17500</v>
      </c>
      <c r="C3153" s="20" t="n">
        <f aca="false">ROUND(15.03/FX,2)</f>
        <v>2.09</v>
      </c>
      <c r="D3153" s="21" t="s">
        <v>17050</v>
      </c>
      <c r="E3153" s="21" t="s">
        <v>17501</v>
      </c>
      <c r="F3153" s="21" t="s">
        <v>17052</v>
      </c>
      <c r="G3153" s="21" t="s">
        <v>13732</v>
      </c>
    </row>
    <row r="3154" customFormat="false" ht="15" hidden="false" customHeight="false" outlineLevel="0" collapsed="false">
      <c r="B3154" s="19" t="s">
        <v>17502</v>
      </c>
      <c r="C3154" s="20" t="n">
        <f aca="false">ROUND(24.05/FX,2)</f>
        <v>3.34</v>
      </c>
      <c r="D3154" s="21" t="s">
        <v>17050</v>
      </c>
      <c r="E3154" s="21" t="s">
        <v>17501</v>
      </c>
      <c r="F3154" s="21" t="s">
        <v>2600</v>
      </c>
      <c r="G3154" s="21" t="s">
        <v>13732</v>
      </c>
    </row>
    <row r="3155" customFormat="false" ht="15" hidden="false" customHeight="false" outlineLevel="0" collapsed="false">
      <c r="B3155" s="19" t="s">
        <v>17503</v>
      </c>
      <c r="C3155" s="20" t="n">
        <f aca="false">ROUND(88.4/FX,2)</f>
        <v>12.28</v>
      </c>
      <c r="D3155" s="21" t="s">
        <v>17050</v>
      </c>
      <c r="E3155" s="21" t="s">
        <v>17501</v>
      </c>
      <c r="F3155" s="21" t="s">
        <v>1733</v>
      </c>
      <c r="G3155" s="21" t="s">
        <v>13732</v>
      </c>
    </row>
    <row r="3156" customFormat="false" ht="15" hidden="false" customHeight="false" outlineLevel="0" collapsed="false">
      <c r="B3156" s="19" t="s">
        <v>17504</v>
      </c>
      <c r="C3156" s="20" t="n">
        <f aca="false">ROUND(31.2/FX,2)</f>
        <v>4.33</v>
      </c>
      <c r="D3156" s="21" t="s">
        <v>17050</v>
      </c>
      <c r="E3156" s="21" t="s">
        <v>17501</v>
      </c>
      <c r="F3156" s="21" t="s">
        <v>1048</v>
      </c>
      <c r="G3156" s="21" t="s">
        <v>13732</v>
      </c>
    </row>
    <row r="3157" customFormat="false" ht="15" hidden="false" customHeight="false" outlineLevel="0" collapsed="false">
      <c r="B3157" s="19" t="s">
        <v>17505</v>
      </c>
      <c r="C3157" s="20" t="n">
        <f aca="false">ROUND(34.78/FX,2)</f>
        <v>4.83</v>
      </c>
      <c r="D3157" s="21" t="s">
        <v>17050</v>
      </c>
      <c r="E3157" s="21" t="s">
        <v>17501</v>
      </c>
      <c r="F3157" s="21" t="s">
        <v>1323</v>
      </c>
      <c r="G3157" s="21" t="s">
        <v>13732</v>
      </c>
    </row>
    <row r="3158" customFormat="false" ht="15" hidden="false" customHeight="false" outlineLevel="0" collapsed="false">
      <c r="B3158" s="19" t="s">
        <v>17506</v>
      </c>
      <c r="C3158" s="20" t="n">
        <f aca="false">ROUND(38.35/FX,2)</f>
        <v>5.33</v>
      </c>
      <c r="D3158" s="21" t="s">
        <v>17050</v>
      </c>
      <c r="E3158" s="21" t="s">
        <v>17501</v>
      </c>
      <c r="F3158" s="21" t="s">
        <v>1520</v>
      </c>
      <c r="G3158" s="21" t="s">
        <v>13732</v>
      </c>
    </row>
    <row r="3159" customFormat="false" ht="15" hidden="false" customHeight="false" outlineLevel="0" collapsed="false">
      <c r="B3159" s="19" t="s">
        <v>17507</v>
      </c>
      <c r="C3159" s="20" t="n">
        <f aca="false">ROUND(41.93/FX,2)</f>
        <v>5.82</v>
      </c>
      <c r="D3159" s="21" t="s">
        <v>17050</v>
      </c>
      <c r="E3159" s="21" t="s">
        <v>17501</v>
      </c>
      <c r="F3159" s="21" t="s">
        <v>1635</v>
      </c>
      <c r="G3159" s="21" t="s">
        <v>13732</v>
      </c>
    </row>
    <row r="3160" customFormat="false" ht="15" hidden="false" customHeight="false" outlineLevel="0" collapsed="false">
      <c r="B3160" s="19" t="s">
        <v>17508</v>
      </c>
      <c r="C3160" s="20" t="n">
        <f aca="false">ROUND(45.5/FX,2)</f>
        <v>6.32</v>
      </c>
      <c r="D3160" s="21" t="s">
        <v>17050</v>
      </c>
      <c r="E3160" s="21" t="s">
        <v>17501</v>
      </c>
      <c r="F3160" s="21" t="s">
        <v>2002</v>
      </c>
      <c r="G3160" s="21" t="s">
        <v>13732</v>
      </c>
    </row>
    <row r="3161" customFormat="false" ht="15" hidden="false" customHeight="false" outlineLevel="0" collapsed="false">
      <c r="B3161" s="19" t="s">
        <v>17509</v>
      </c>
      <c r="C3161" s="20" t="n">
        <f aca="false">ROUND(49.08/FX,2)</f>
        <v>6.82</v>
      </c>
      <c r="D3161" s="21" t="s">
        <v>17050</v>
      </c>
      <c r="E3161" s="21" t="s">
        <v>17501</v>
      </c>
      <c r="F3161" s="21" t="s">
        <v>2067</v>
      </c>
      <c r="G3161" s="21" t="s">
        <v>13732</v>
      </c>
    </row>
    <row r="3162" customFormat="false" ht="15" hidden="false" customHeight="false" outlineLevel="0" collapsed="false">
      <c r="B3162" s="19" t="s">
        <v>17510</v>
      </c>
      <c r="C3162" s="20" t="n">
        <f aca="false">ROUND(20.48/FX,2)</f>
        <v>2.84</v>
      </c>
      <c r="D3162" s="21" t="s">
        <v>17050</v>
      </c>
      <c r="E3162" s="21" t="s">
        <v>17501</v>
      </c>
      <c r="F3162" s="21" t="s">
        <v>2911</v>
      </c>
      <c r="G3162" s="21" t="s">
        <v>13732</v>
      </c>
    </row>
    <row r="3163" customFormat="false" ht="15" hidden="false" customHeight="false" outlineLevel="0" collapsed="false">
      <c r="B3163" s="19" t="s">
        <v>17511</v>
      </c>
      <c r="C3163" s="20" t="n">
        <f aca="false">ROUND(56.23/FX,2)</f>
        <v>7.81</v>
      </c>
      <c r="D3163" s="21" t="s">
        <v>17050</v>
      </c>
      <c r="E3163" s="21" t="s">
        <v>17501</v>
      </c>
      <c r="F3163" s="21" t="s">
        <v>2187</v>
      </c>
      <c r="G3163" s="21" t="s">
        <v>13732</v>
      </c>
    </row>
    <row r="3164" customFormat="false" ht="15" hidden="false" customHeight="false" outlineLevel="0" collapsed="false">
      <c r="B3164" s="19" t="s">
        <v>17512</v>
      </c>
      <c r="C3164" s="20" t="n">
        <f aca="false">ROUND(70.53/FX,2)</f>
        <v>9.8</v>
      </c>
      <c r="D3164" s="21" t="s">
        <v>17050</v>
      </c>
      <c r="E3164" s="21" t="s">
        <v>17501</v>
      </c>
      <c r="F3164" s="21" t="s">
        <v>2400</v>
      </c>
      <c r="G3164" s="21" t="s">
        <v>13732</v>
      </c>
    </row>
    <row r="3165" customFormat="false" ht="15" hidden="false" customHeight="false" outlineLevel="0" collapsed="false">
      <c r="B3165" s="19" t="s">
        <v>17513</v>
      </c>
      <c r="C3165" s="20" t="n">
        <f aca="false">ROUND(84.83/FX,2)</f>
        <v>11.78</v>
      </c>
      <c r="D3165" s="21" t="s">
        <v>17050</v>
      </c>
      <c r="E3165" s="21" t="s">
        <v>17501</v>
      </c>
      <c r="F3165" s="21" t="s">
        <v>2540</v>
      </c>
      <c r="G3165" s="21" t="s">
        <v>13732</v>
      </c>
    </row>
    <row r="3166" customFormat="false" ht="15" hidden="false" customHeight="false" outlineLevel="0" collapsed="false">
      <c r="B3166" s="19" t="s">
        <v>17514</v>
      </c>
      <c r="C3166" s="20" t="n">
        <f aca="false">ROUND(62.4/FX,2)</f>
        <v>8.67</v>
      </c>
      <c r="D3166" s="21" t="s">
        <v>17515</v>
      </c>
      <c r="E3166" s="21" t="s">
        <v>17414</v>
      </c>
      <c r="F3166" s="21" t="s">
        <v>17052</v>
      </c>
      <c r="G3166" s="21" t="s">
        <v>13732</v>
      </c>
    </row>
    <row r="3167" customFormat="false" ht="15" hidden="false" customHeight="false" outlineLevel="0" collapsed="false">
      <c r="B3167" s="19" t="s">
        <v>17516</v>
      </c>
      <c r="C3167" s="20" t="n">
        <f aca="false">ROUND(123.5/FX,2)</f>
        <v>17.15</v>
      </c>
      <c r="D3167" s="21" t="s">
        <v>17515</v>
      </c>
      <c r="E3167" s="21" t="s">
        <v>17414</v>
      </c>
      <c r="F3167" s="21" t="s">
        <v>2851</v>
      </c>
      <c r="G3167" s="21" t="s">
        <v>13732</v>
      </c>
    </row>
    <row r="3168" customFormat="false" ht="15" hidden="false" customHeight="false" outlineLevel="0" collapsed="false">
      <c r="B3168" s="19" t="s">
        <v>17517</v>
      </c>
      <c r="C3168" s="20" t="n">
        <f aca="false">ROUND(195/FX,2)</f>
        <v>27.08</v>
      </c>
      <c r="D3168" s="21" t="s">
        <v>17515</v>
      </c>
      <c r="E3168" s="21" t="s">
        <v>17414</v>
      </c>
      <c r="F3168" s="21" t="s">
        <v>1655</v>
      </c>
      <c r="G3168" s="21" t="s">
        <v>13732</v>
      </c>
    </row>
    <row r="3169" customFormat="false" ht="15" hidden="false" customHeight="false" outlineLevel="0" collapsed="false">
      <c r="B3169" s="19" t="s">
        <v>17518</v>
      </c>
      <c r="C3169" s="20" t="n">
        <f aca="false">ROUND(206.7/FX,2)</f>
        <v>28.71</v>
      </c>
      <c r="D3169" s="21" t="s">
        <v>17515</v>
      </c>
      <c r="E3169" s="21" t="s">
        <v>17414</v>
      </c>
      <c r="F3169" s="21" t="s">
        <v>2142</v>
      </c>
      <c r="G3169" s="21" t="s">
        <v>13732</v>
      </c>
    </row>
    <row r="3170" customFormat="false" ht="15" hidden="false" customHeight="false" outlineLevel="0" collapsed="false">
      <c r="B3170" s="19" t="s">
        <v>17519</v>
      </c>
      <c r="C3170" s="20" t="n">
        <f aca="false">ROUND(84.5/FX,2)</f>
        <v>11.74</v>
      </c>
      <c r="D3170" s="21" t="s">
        <v>17515</v>
      </c>
      <c r="E3170" s="21" t="s">
        <v>17419</v>
      </c>
      <c r="F3170" s="21" t="s">
        <v>17052</v>
      </c>
      <c r="G3170" s="21" t="s">
        <v>13732</v>
      </c>
    </row>
    <row r="3171" customFormat="false" ht="15" hidden="false" customHeight="false" outlineLevel="0" collapsed="false">
      <c r="B3171" s="19" t="s">
        <v>17520</v>
      </c>
      <c r="C3171" s="20" t="n">
        <f aca="false">ROUND(277.16/FX,2)</f>
        <v>38.49</v>
      </c>
      <c r="D3171" s="21" t="s">
        <v>17515</v>
      </c>
      <c r="E3171" s="21" t="s">
        <v>17419</v>
      </c>
      <c r="F3171" s="21" t="s">
        <v>2142</v>
      </c>
      <c r="G3171" s="21" t="s">
        <v>13732</v>
      </c>
    </row>
    <row r="3172" customFormat="false" ht="15" hidden="false" customHeight="false" outlineLevel="0" collapsed="false">
      <c r="B3172" s="19" t="s">
        <v>17521</v>
      </c>
      <c r="C3172" s="20" t="n">
        <f aca="false">ROUND(107.31/FX,2)</f>
        <v>14.9</v>
      </c>
      <c r="D3172" s="21" t="s">
        <v>17515</v>
      </c>
      <c r="E3172" s="21" t="s">
        <v>17431</v>
      </c>
      <c r="F3172" s="21" t="s">
        <v>17052</v>
      </c>
      <c r="G3172" s="21" t="s">
        <v>13732</v>
      </c>
    </row>
    <row r="3173" customFormat="false" ht="15" hidden="false" customHeight="false" outlineLevel="0" collapsed="false">
      <c r="B3173" s="19" t="s">
        <v>17522</v>
      </c>
      <c r="C3173" s="20" t="n">
        <f aca="false">ROUND(15.6/FX,2)</f>
        <v>2.17</v>
      </c>
      <c r="D3173" s="21" t="s">
        <v>17523</v>
      </c>
      <c r="E3173" s="21" t="s">
        <v>17414</v>
      </c>
      <c r="F3173" s="21" t="s">
        <v>17052</v>
      </c>
      <c r="G3173" s="21" t="s">
        <v>13732</v>
      </c>
    </row>
    <row r="3174" customFormat="false" ht="15" hidden="false" customHeight="false" outlineLevel="0" collapsed="false">
      <c r="B3174" s="19" t="s">
        <v>17524</v>
      </c>
      <c r="C3174" s="20" t="n">
        <f aca="false">ROUND(23.4/FX,2)</f>
        <v>3.25</v>
      </c>
      <c r="D3174" s="21" t="s">
        <v>17523</v>
      </c>
      <c r="E3174" s="21" t="s">
        <v>17414</v>
      </c>
      <c r="F3174" s="21" t="s">
        <v>2600</v>
      </c>
      <c r="G3174" s="21" t="s">
        <v>13732</v>
      </c>
    </row>
    <row r="3175" customFormat="false" ht="15" hidden="false" customHeight="false" outlineLevel="0" collapsed="false">
      <c r="B3175" s="19" t="s">
        <v>17525</v>
      </c>
      <c r="C3175" s="20" t="n">
        <f aca="false">ROUND(25.74/FX,2)</f>
        <v>3.58</v>
      </c>
      <c r="D3175" s="21" t="s">
        <v>17523</v>
      </c>
      <c r="E3175" s="21" t="s">
        <v>17414</v>
      </c>
      <c r="F3175" s="21" t="s">
        <v>2751</v>
      </c>
      <c r="G3175" s="21" t="s">
        <v>13732</v>
      </c>
    </row>
    <row r="3176" customFormat="false" ht="15" hidden="false" customHeight="false" outlineLevel="0" collapsed="false">
      <c r="B3176" s="19" t="s">
        <v>17526</v>
      </c>
      <c r="C3176" s="20" t="n">
        <f aca="false">ROUND(27.3/FX,2)</f>
        <v>3.79</v>
      </c>
      <c r="D3176" s="21" t="s">
        <v>17523</v>
      </c>
      <c r="E3176" s="21" t="s">
        <v>17414</v>
      </c>
      <c r="F3176" s="21" t="s">
        <v>2851</v>
      </c>
      <c r="G3176" s="21" t="s">
        <v>13732</v>
      </c>
    </row>
    <row r="3177" customFormat="false" ht="15" hidden="false" customHeight="false" outlineLevel="0" collapsed="false">
      <c r="B3177" s="19" t="s">
        <v>17527</v>
      </c>
      <c r="C3177" s="20" t="n">
        <f aca="false">ROUND(39/FX,2)</f>
        <v>5.42</v>
      </c>
      <c r="D3177" s="21" t="s">
        <v>17523</v>
      </c>
      <c r="E3177" s="21" t="s">
        <v>17414</v>
      </c>
      <c r="F3177" s="21" t="s">
        <v>1520</v>
      </c>
      <c r="G3177" s="21" t="s">
        <v>13732</v>
      </c>
    </row>
    <row r="3178" customFormat="false" ht="15" hidden="false" customHeight="false" outlineLevel="0" collapsed="false">
      <c r="B3178" s="19" t="s">
        <v>17528</v>
      </c>
      <c r="C3178" s="20" t="n">
        <f aca="false">ROUND(42.9/FX,2)</f>
        <v>5.96</v>
      </c>
      <c r="D3178" s="21" t="s">
        <v>17523</v>
      </c>
      <c r="E3178" s="21" t="s">
        <v>17414</v>
      </c>
      <c r="F3178" s="21" t="s">
        <v>1635</v>
      </c>
      <c r="G3178" s="21" t="s">
        <v>13732</v>
      </c>
    </row>
    <row r="3179" customFormat="false" ht="15" hidden="false" customHeight="false" outlineLevel="0" collapsed="false">
      <c r="B3179" s="19" t="s">
        <v>17529</v>
      </c>
      <c r="C3179" s="20" t="n">
        <f aca="false">ROUND(43.68/FX,2)</f>
        <v>6.07</v>
      </c>
      <c r="D3179" s="21" t="s">
        <v>17523</v>
      </c>
      <c r="E3179" s="21" t="s">
        <v>17414</v>
      </c>
      <c r="F3179" s="21" t="s">
        <v>1655</v>
      </c>
      <c r="G3179" s="21" t="s">
        <v>13732</v>
      </c>
    </row>
    <row r="3180" customFormat="false" ht="15" hidden="false" customHeight="false" outlineLevel="0" collapsed="false">
      <c r="B3180" s="19" t="s">
        <v>17530</v>
      </c>
      <c r="C3180" s="20" t="n">
        <f aca="false">ROUND(62.4/FX,2)</f>
        <v>8.67</v>
      </c>
      <c r="D3180" s="21" t="s">
        <v>17523</v>
      </c>
      <c r="E3180" s="21" t="s">
        <v>17414</v>
      </c>
      <c r="F3180" s="21" t="s">
        <v>2002</v>
      </c>
      <c r="G3180" s="21" t="s">
        <v>13739</v>
      </c>
    </row>
    <row r="3181" customFormat="false" ht="15" hidden="false" customHeight="false" outlineLevel="0" collapsed="false">
      <c r="B3181" s="19" t="s">
        <v>17531</v>
      </c>
      <c r="C3181" s="20" t="n">
        <f aca="false">ROUND(54.6/FX,2)</f>
        <v>7.58</v>
      </c>
      <c r="D3181" s="21" t="s">
        <v>17523</v>
      </c>
      <c r="E3181" s="21" t="s">
        <v>17414</v>
      </c>
      <c r="F3181" s="21" t="s">
        <v>2142</v>
      </c>
      <c r="G3181" s="21" t="s">
        <v>13732</v>
      </c>
    </row>
    <row r="3182" customFormat="false" ht="15" hidden="false" customHeight="false" outlineLevel="0" collapsed="false">
      <c r="B3182" s="19" t="s">
        <v>17532</v>
      </c>
      <c r="C3182" s="20" t="n">
        <f aca="false">ROUND(20.8/FX,2)</f>
        <v>2.89</v>
      </c>
      <c r="D3182" s="21" t="s">
        <v>17523</v>
      </c>
      <c r="E3182" s="21" t="s">
        <v>17419</v>
      </c>
      <c r="F3182" s="21" t="s">
        <v>17052</v>
      </c>
      <c r="G3182" s="21" t="s">
        <v>13732</v>
      </c>
    </row>
    <row r="3183" customFormat="false" ht="15" hidden="false" customHeight="false" outlineLevel="0" collapsed="false">
      <c r="B3183" s="19" t="s">
        <v>17533</v>
      </c>
      <c r="C3183" s="20" t="n">
        <f aca="false">ROUND(28.6/FX,2)</f>
        <v>3.97</v>
      </c>
      <c r="D3183" s="21" t="s">
        <v>17523</v>
      </c>
      <c r="E3183" s="21" t="s">
        <v>17419</v>
      </c>
      <c r="F3183" s="21" t="s">
        <v>2600</v>
      </c>
      <c r="G3183" s="21" t="s">
        <v>13732</v>
      </c>
    </row>
    <row r="3184" customFormat="false" ht="15" hidden="false" customHeight="false" outlineLevel="0" collapsed="false">
      <c r="B3184" s="19" t="s">
        <v>17534</v>
      </c>
      <c r="C3184" s="20" t="n">
        <f aca="false">ROUND(30.55/FX,2)</f>
        <v>4.24</v>
      </c>
      <c r="D3184" s="21" t="s">
        <v>17523</v>
      </c>
      <c r="E3184" s="21" t="s">
        <v>17419</v>
      </c>
      <c r="F3184" s="21" t="s">
        <v>11968</v>
      </c>
      <c r="G3184" s="21" t="s">
        <v>13732</v>
      </c>
    </row>
    <row r="3185" customFormat="false" ht="15" hidden="false" customHeight="false" outlineLevel="0" collapsed="false">
      <c r="B3185" s="19" t="s">
        <v>17535</v>
      </c>
      <c r="C3185" s="20" t="n">
        <f aca="false">ROUND(32.5/FX,2)</f>
        <v>4.51</v>
      </c>
      <c r="D3185" s="21" t="s">
        <v>17523</v>
      </c>
      <c r="E3185" s="21" t="s">
        <v>17419</v>
      </c>
      <c r="F3185" s="21" t="s">
        <v>2851</v>
      </c>
      <c r="G3185" s="21" t="s">
        <v>13732</v>
      </c>
    </row>
    <row r="3186" customFormat="false" ht="15" hidden="false" customHeight="false" outlineLevel="0" collapsed="false">
      <c r="B3186" s="19" t="s">
        <v>17536</v>
      </c>
      <c r="C3186" s="20" t="n">
        <f aca="false">ROUND(42.25/FX,2)</f>
        <v>5.87</v>
      </c>
      <c r="D3186" s="21" t="s">
        <v>17523</v>
      </c>
      <c r="E3186" s="21" t="s">
        <v>17419</v>
      </c>
      <c r="F3186" s="21" t="s">
        <v>4883</v>
      </c>
      <c r="G3186" s="21" t="s">
        <v>13732</v>
      </c>
    </row>
    <row r="3187" customFormat="false" ht="15" hidden="false" customHeight="false" outlineLevel="0" collapsed="false">
      <c r="B3187" s="19" t="s">
        <v>17537</v>
      </c>
      <c r="C3187" s="20" t="n">
        <f aca="false">ROUND(42.64/FX,2)</f>
        <v>5.92</v>
      </c>
      <c r="D3187" s="21" t="s">
        <v>17523</v>
      </c>
      <c r="E3187" s="21" t="s">
        <v>17419</v>
      </c>
      <c r="F3187" s="21" t="s">
        <v>1470</v>
      </c>
      <c r="G3187" s="21" t="s">
        <v>13732</v>
      </c>
    </row>
    <row r="3188" customFormat="false" ht="15" hidden="false" customHeight="false" outlineLevel="0" collapsed="false">
      <c r="B3188" s="19" t="s">
        <v>17538</v>
      </c>
      <c r="C3188" s="20" t="n">
        <f aca="false">ROUND(44.2/FX,2)</f>
        <v>6.14</v>
      </c>
      <c r="D3188" s="21" t="s">
        <v>17523</v>
      </c>
      <c r="E3188" s="21" t="s">
        <v>17419</v>
      </c>
      <c r="F3188" s="21" t="s">
        <v>1520</v>
      </c>
      <c r="G3188" s="21" t="s">
        <v>13732</v>
      </c>
    </row>
    <row r="3189" customFormat="false" ht="15" hidden="false" customHeight="false" outlineLevel="0" collapsed="false">
      <c r="B3189" s="19" t="s">
        <v>17539</v>
      </c>
      <c r="C3189" s="20" t="n">
        <f aca="false">ROUND(48.1/FX,2)</f>
        <v>6.68</v>
      </c>
      <c r="D3189" s="21" t="s">
        <v>17523</v>
      </c>
      <c r="E3189" s="21" t="s">
        <v>17419</v>
      </c>
      <c r="F3189" s="21" t="s">
        <v>1635</v>
      </c>
      <c r="G3189" s="21" t="s">
        <v>13732</v>
      </c>
    </row>
    <row r="3190" customFormat="false" ht="15" hidden="false" customHeight="false" outlineLevel="0" collapsed="false">
      <c r="B3190" s="19" t="s">
        <v>17540</v>
      </c>
      <c r="C3190" s="20" t="n">
        <f aca="false">ROUND(48.88/FX,2)</f>
        <v>6.79</v>
      </c>
      <c r="D3190" s="21" t="s">
        <v>17523</v>
      </c>
      <c r="E3190" s="21" t="s">
        <v>17419</v>
      </c>
      <c r="F3190" s="21" t="s">
        <v>1655</v>
      </c>
      <c r="G3190" s="21" t="s">
        <v>13732</v>
      </c>
    </row>
    <row r="3191" customFormat="false" ht="15" hidden="false" customHeight="false" outlineLevel="0" collapsed="false">
      <c r="B3191" s="19" t="s">
        <v>17541</v>
      </c>
      <c r="C3191" s="20" t="n">
        <f aca="false">ROUND(52/FX,2)</f>
        <v>7.22</v>
      </c>
      <c r="D3191" s="21" t="s">
        <v>17523</v>
      </c>
      <c r="E3191" s="21" t="s">
        <v>17419</v>
      </c>
      <c r="F3191" s="21" t="s">
        <v>2002</v>
      </c>
      <c r="G3191" s="21" t="s">
        <v>13732</v>
      </c>
    </row>
    <row r="3192" customFormat="false" ht="15" hidden="false" customHeight="false" outlineLevel="0" collapsed="false">
      <c r="B3192" s="19" t="s">
        <v>17542</v>
      </c>
      <c r="C3192" s="20" t="n">
        <f aca="false">ROUND(72.8/FX,2)</f>
        <v>10.11</v>
      </c>
      <c r="D3192" s="21" t="s">
        <v>17523</v>
      </c>
      <c r="E3192" s="21" t="s">
        <v>17419</v>
      </c>
      <c r="F3192" s="21" t="s">
        <v>2002</v>
      </c>
      <c r="G3192" s="21" t="s">
        <v>13739</v>
      </c>
    </row>
    <row r="3193" customFormat="false" ht="15" hidden="false" customHeight="false" outlineLevel="0" collapsed="false">
      <c r="B3193" s="19" t="s">
        <v>17543</v>
      </c>
      <c r="C3193" s="20" t="n">
        <f aca="false">ROUND(19.5/FX,2)</f>
        <v>2.71</v>
      </c>
      <c r="D3193" s="21" t="s">
        <v>17523</v>
      </c>
      <c r="E3193" s="21" t="s">
        <v>17428</v>
      </c>
      <c r="F3193" s="21" t="s">
        <v>17052</v>
      </c>
      <c r="G3193" s="21" t="s">
        <v>13732</v>
      </c>
    </row>
    <row r="3194" customFormat="false" ht="15" hidden="false" customHeight="false" outlineLevel="0" collapsed="false">
      <c r="B3194" s="19" t="s">
        <v>17544</v>
      </c>
      <c r="C3194" s="20" t="n">
        <f aca="false">ROUND(70.2/FX,2)</f>
        <v>9.75</v>
      </c>
      <c r="D3194" s="21" t="s">
        <v>17523</v>
      </c>
      <c r="E3194" s="21" t="s">
        <v>17428</v>
      </c>
      <c r="F3194" s="21" t="s">
        <v>2227</v>
      </c>
      <c r="G3194" s="21" t="s">
        <v>13732</v>
      </c>
    </row>
    <row r="3195" customFormat="false" ht="15" hidden="false" customHeight="false" outlineLevel="0" collapsed="false">
      <c r="B3195" s="19" t="s">
        <v>17545</v>
      </c>
      <c r="C3195" s="20" t="n">
        <f aca="false">ROUND(24.7/FX,2)</f>
        <v>3.43</v>
      </c>
      <c r="D3195" s="21" t="s">
        <v>17523</v>
      </c>
      <c r="E3195" s="21" t="s">
        <v>17431</v>
      </c>
      <c r="F3195" s="21" t="s">
        <v>17052</v>
      </c>
      <c r="G3195" s="21" t="s">
        <v>13732</v>
      </c>
    </row>
    <row r="3196" customFormat="false" ht="15" hidden="false" customHeight="false" outlineLevel="0" collapsed="false">
      <c r="B3196" s="19" t="s">
        <v>17546</v>
      </c>
      <c r="C3196" s="20" t="n">
        <f aca="false">ROUND(75.4/FX,2)</f>
        <v>10.47</v>
      </c>
      <c r="D3196" s="21" t="s">
        <v>17523</v>
      </c>
      <c r="E3196" s="21" t="s">
        <v>17431</v>
      </c>
      <c r="F3196" s="21" t="s">
        <v>2227</v>
      </c>
      <c r="G3196" s="21" t="s">
        <v>13732</v>
      </c>
    </row>
    <row r="3197" customFormat="false" ht="15" hidden="false" customHeight="false" outlineLevel="0" collapsed="false">
      <c r="B3197" s="19" t="s">
        <v>17547</v>
      </c>
      <c r="C3197" s="20" t="n">
        <f aca="false">ROUND(13/FX,2)</f>
        <v>1.81</v>
      </c>
      <c r="D3197" s="21" t="s">
        <v>17523</v>
      </c>
      <c r="E3197" s="21" t="s">
        <v>17465</v>
      </c>
      <c r="F3197" s="21" t="s">
        <v>17052</v>
      </c>
      <c r="G3197" s="21" t="s">
        <v>13732</v>
      </c>
    </row>
    <row r="3198" customFormat="false" ht="15" hidden="false" customHeight="false" outlineLevel="0" collapsed="false">
      <c r="B3198" s="19" t="s">
        <v>17548</v>
      </c>
      <c r="C3198" s="20" t="n">
        <f aca="false">ROUND(20.15/FX,2)</f>
        <v>2.8</v>
      </c>
      <c r="D3198" s="21" t="s">
        <v>17523</v>
      </c>
      <c r="E3198" s="21" t="s">
        <v>17465</v>
      </c>
      <c r="F3198" s="21" t="s">
        <v>2600</v>
      </c>
      <c r="G3198" s="21" t="s">
        <v>13732</v>
      </c>
    </row>
    <row r="3199" customFormat="false" ht="15" hidden="false" customHeight="false" outlineLevel="0" collapsed="false">
      <c r="B3199" s="19" t="s">
        <v>17549</v>
      </c>
      <c r="C3199" s="20" t="n">
        <f aca="false">ROUND(23.73/FX,2)</f>
        <v>3.3</v>
      </c>
      <c r="D3199" s="21" t="s">
        <v>17523</v>
      </c>
      <c r="E3199" s="21" t="s">
        <v>17465</v>
      </c>
      <c r="F3199" s="21" t="s">
        <v>2851</v>
      </c>
      <c r="G3199" s="21" t="s">
        <v>13732</v>
      </c>
    </row>
    <row r="3200" customFormat="false" ht="15" hidden="false" customHeight="false" outlineLevel="0" collapsed="false">
      <c r="B3200" s="19" t="s">
        <v>17550</v>
      </c>
      <c r="C3200" s="20" t="n">
        <f aca="false">ROUND(27.3/FX,2)</f>
        <v>3.79</v>
      </c>
      <c r="D3200" s="21" t="s">
        <v>17523</v>
      </c>
      <c r="E3200" s="21" t="s">
        <v>17465</v>
      </c>
      <c r="F3200" s="21" t="s">
        <v>1048</v>
      </c>
      <c r="G3200" s="21" t="s">
        <v>13732</v>
      </c>
    </row>
    <row r="3201" customFormat="false" ht="15" hidden="false" customHeight="false" outlineLevel="0" collapsed="false">
      <c r="B3201" s="19" t="s">
        <v>17551</v>
      </c>
      <c r="C3201" s="20" t="n">
        <f aca="false">ROUND(30.88/FX,2)</f>
        <v>4.29</v>
      </c>
      <c r="D3201" s="21" t="s">
        <v>17523</v>
      </c>
      <c r="E3201" s="21" t="s">
        <v>17465</v>
      </c>
      <c r="F3201" s="21" t="s">
        <v>1323</v>
      </c>
      <c r="G3201" s="21" t="s">
        <v>13732</v>
      </c>
    </row>
    <row r="3202" customFormat="false" ht="15" hidden="false" customHeight="false" outlineLevel="0" collapsed="false">
      <c r="B3202" s="19" t="s">
        <v>17552</v>
      </c>
      <c r="C3202" s="20" t="n">
        <f aca="false">ROUND(34.45/FX,2)</f>
        <v>4.78</v>
      </c>
      <c r="D3202" s="21" t="s">
        <v>17523</v>
      </c>
      <c r="E3202" s="21" t="s">
        <v>17465</v>
      </c>
      <c r="F3202" s="21" t="s">
        <v>1520</v>
      </c>
      <c r="G3202" s="21" t="s">
        <v>13732</v>
      </c>
    </row>
    <row r="3203" customFormat="false" ht="15" hidden="false" customHeight="false" outlineLevel="0" collapsed="false">
      <c r="B3203" s="19" t="s">
        <v>17553</v>
      </c>
      <c r="C3203" s="20" t="n">
        <f aca="false">ROUND(38.03/FX,2)</f>
        <v>5.28</v>
      </c>
      <c r="D3203" s="21" t="s">
        <v>17523</v>
      </c>
      <c r="E3203" s="21" t="s">
        <v>17465</v>
      </c>
      <c r="F3203" s="21" t="s">
        <v>1635</v>
      </c>
      <c r="G3203" s="21" t="s">
        <v>13732</v>
      </c>
    </row>
    <row r="3204" customFormat="false" ht="15" hidden="false" customHeight="false" outlineLevel="0" collapsed="false">
      <c r="B3204" s="19" t="s">
        <v>17554</v>
      </c>
      <c r="C3204" s="20" t="n">
        <f aca="false">ROUND(41.6/FX,2)</f>
        <v>5.78</v>
      </c>
      <c r="D3204" s="21" t="s">
        <v>17523</v>
      </c>
      <c r="E3204" s="21" t="s">
        <v>17465</v>
      </c>
      <c r="F3204" s="21" t="s">
        <v>2002</v>
      </c>
      <c r="G3204" s="21" t="s">
        <v>13732</v>
      </c>
    </row>
    <row r="3205" customFormat="false" ht="15" hidden="false" customHeight="false" outlineLevel="0" collapsed="false">
      <c r="B3205" s="19" t="s">
        <v>17555</v>
      </c>
      <c r="C3205" s="20" t="n">
        <f aca="false">ROUND(45.18/FX,2)</f>
        <v>6.28</v>
      </c>
      <c r="D3205" s="21" t="s">
        <v>17523</v>
      </c>
      <c r="E3205" s="21" t="s">
        <v>17465</v>
      </c>
      <c r="F3205" s="21" t="s">
        <v>2067</v>
      </c>
      <c r="G3205" s="21" t="s">
        <v>13732</v>
      </c>
    </row>
    <row r="3206" customFormat="false" ht="15" hidden="false" customHeight="false" outlineLevel="0" collapsed="false">
      <c r="B3206" s="19" t="s">
        <v>17556</v>
      </c>
      <c r="C3206" s="20" t="n">
        <f aca="false">ROUND(18.01/FX,2)</f>
        <v>2.5</v>
      </c>
      <c r="D3206" s="21" t="s">
        <v>17523</v>
      </c>
      <c r="E3206" s="21" t="s">
        <v>17465</v>
      </c>
      <c r="F3206" s="21" t="s">
        <v>3011</v>
      </c>
      <c r="G3206" s="21" t="s">
        <v>13732</v>
      </c>
    </row>
    <row r="3207" customFormat="false" ht="15" hidden="false" customHeight="false" outlineLevel="0" collapsed="false">
      <c r="B3207" s="19" t="s">
        <v>17557</v>
      </c>
      <c r="C3207" s="20" t="n">
        <f aca="false">ROUND(15.6/FX,2)</f>
        <v>2.17</v>
      </c>
      <c r="D3207" s="21" t="s">
        <v>17523</v>
      </c>
      <c r="E3207" s="21" t="s">
        <v>17477</v>
      </c>
      <c r="F3207" s="21" t="s">
        <v>17052</v>
      </c>
      <c r="G3207" s="21" t="s">
        <v>13732</v>
      </c>
    </row>
    <row r="3208" customFormat="false" ht="15" hidden="false" customHeight="false" outlineLevel="0" collapsed="false">
      <c r="B3208" s="19" t="s">
        <v>17558</v>
      </c>
      <c r="C3208" s="20" t="n">
        <f aca="false">ROUND(22.75/FX,2)</f>
        <v>3.16</v>
      </c>
      <c r="D3208" s="21" t="s">
        <v>17523</v>
      </c>
      <c r="E3208" s="21" t="s">
        <v>17477</v>
      </c>
      <c r="F3208" s="21" t="s">
        <v>2600</v>
      </c>
      <c r="G3208" s="21" t="s">
        <v>13732</v>
      </c>
    </row>
    <row r="3209" customFormat="false" ht="15" hidden="false" customHeight="false" outlineLevel="0" collapsed="false">
      <c r="B3209" s="19" t="s">
        <v>17559</v>
      </c>
      <c r="C3209" s="20" t="n">
        <f aca="false">ROUND(26.33/FX,2)</f>
        <v>3.66</v>
      </c>
      <c r="D3209" s="21" t="s">
        <v>17523</v>
      </c>
      <c r="E3209" s="21" t="s">
        <v>17477</v>
      </c>
      <c r="F3209" s="21" t="s">
        <v>2851</v>
      </c>
      <c r="G3209" s="21" t="s">
        <v>13732</v>
      </c>
    </row>
    <row r="3210" customFormat="false" ht="15" hidden="false" customHeight="false" outlineLevel="0" collapsed="false">
      <c r="B3210" s="19" t="s">
        <v>17560</v>
      </c>
      <c r="C3210" s="20" t="n">
        <f aca="false">ROUND(29.9/FX,2)</f>
        <v>4.15</v>
      </c>
      <c r="D3210" s="21" t="s">
        <v>17523</v>
      </c>
      <c r="E3210" s="21" t="s">
        <v>17477</v>
      </c>
      <c r="F3210" s="21" t="s">
        <v>1048</v>
      </c>
      <c r="G3210" s="21" t="s">
        <v>13732</v>
      </c>
    </row>
    <row r="3211" customFormat="false" ht="15" hidden="false" customHeight="false" outlineLevel="0" collapsed="false">
      <c r="B3211" s="19" t="s">
        <v>17561</v>
      </c>
      <c r="C3211" s="20" t="n">
        <f aca="false">ROUND(33.48/FX,2)</f>
        <v>4.65</v>
      </c>
      <c r="D3211" s="21" t="s">
        <v>17523</v>
      </c>
      <c r="E3211" s="21" t="s">
        <v>17477</v>
      </c>
      <c r="F3211" s="21" t="s">
        <v>1323</v>
      </c>
      <c r="G3211" s="21" t="s">
        <v>13732</v>
      </c>
    </row>
    <row r="3212" customFormat="false" ht="15" hidden="false" customHeight="false" outlineLevel="0" collapsed="false">
      <c r="B3212" s="19" t="s">
        <v>17562</v>
      </c>
      <c r="C3212" s="20" t="n">
        <f aca="false">ROUND(37.05/FX,2)</f>
        <v>5.15</v>
      </c>
      <c r="D3212" s="21" t="s">
        <v>17523</v>
      </c>
      <c r="E3212" s="21" t="s">
        <v>17477</v>
      </c>
      <c r="F3212" s="21" t="s">
        <v>1520</v>
      </c>
      <c r="G3212" s="21" t="s">
        <v>13732</v>
      </c>
    </row>
    <row r="3213" customFormat="false" ht="15" hidden="false" customHeight="false" outlineLevel="0" collapsed="false">
      <c r="B3213" s="19" t="s">
        <v>17563</v>
      </c>
      <c r="C3213" s="20" t="n">
        <f aca="false">ROUND(40.63/FX,2)</f>
        <v>5.64</v>
      </c>
      <c r="D3213" s="21" t="s">
        <v>17523</v>
      </c>
      <c r="E3213" s="21" t="s">
        <v>17477</v>
      </c>
      <c r="F3213" s="21" t="s">
        <v>1635</v>
      </c>
      <c r="G3213" s="21" t="s">
        <v>13732</v>
      </c>
    </row>
    <row r="3214" customFormat="false" ht="15" hidden="false" customHeight="false" outlineLevel="0" collapsed="false">
      <c r="B3214" s="19" t="s">
        <v>17564</v>
      </c>
      <c r="C3214" s="20" t="n">
        <f aca="false">ROUND(44.2/FX,2)</f>
        <v>6.14</v>
      </c>
      <c r="D3214" s="21" t="s">
        <v>17523</v>
      </c>
      <c r="E3214" s="21" t="s">
        <v>17477</v>
      </c>
      <c r="F3214" s="21" t="s">
        <v>2002</v>
      </c>
      <c r="G3214" s="21" t="s">
        <v>13732</v>
      </c>
    </row>
    <row r="3215" customFormat="false" ht="15" hidden="false" customHeight="false" outlineLevel="0" collapsed="false">
      <c r="B3215" s="19" t="s">
        <v>17565</v>
      </c>
      <c r="C3215" s="20" t="n">
        <f aca="false">ROUND(47.78/FX,2)</f>
        <v>6.64</v>
      </c>
      <c r="D3215" s="21" t="s">
        <v>17523</v>
      </c>
      <c r="E3215" s="21" t="s">
        <v>17477</v>
      </c>
      <c r="F3215" s="21" t="s">
        <v>2067</v>
      </c>
      <c r="G3215" s="21" t="s">
        <v>13732</v>
      </c>
    </row>
    <row r="3216" customFormat="false" ht="15" hidden="false" customHeight="false" outlineLevel="0" collapsed="false">
      <c r="B3216" s="19" t="s">
        <v>17566</v>
      </c>
      <c r="C3216" s="20" t="n">
        <f aca="false">ROUND(20.61/FX,2)</f>
        <v>2.86</v>
      </c>
      <c r="D3216" s="21" t="s">
        <v>17523</v>
      </c>
      <c r="E3216" s="21" t="s">
        <v>17477</v>
      </c>
      <c r="F3216" s="21" t="s">
        <v>3011</v>
      </c>
      <c r="G3216" s="21" t="s">
        <v>13732</v>
      </c>
    </row>
    <row r="3217" customFormat="false" ht="15" hidden="false" customHeight="false" outlineLevel="0" collapsed="false">
      <c r="B3217" s="19" t="s">
        <v>17567</v>
      </c>
      <c r="C3217" s="20" t="n">
        <f aca="false">ROUND(14.3/FX,2)</f>
        <v>1.99</v>
      </c>
      <c r="D3217" s="21" t="s">
        <v>17523</v>
      </c>
      <c r="E3217" s="21" t="s">
        <v>17488</v>
      </c>
      <c r="F3217" s="21" t="s">
        <v>17052</v>
      </c>
      <c r="G3217" s="21" t="s">
        <v>13732</v>
      </c>
    </row>
    <row r="3218" customFormat="false" ht="15" hidden="false" customHeight="false" outlineLevel="0" collapsed="false">
      <c r="B3218" s="19" t="s">
        <v>17568</v>
      </c>
      <c r="C3218" s="20" t="n">
        <f aca="false">ROUND(21.45/FX,2)</f>
        <v>2.98</v>
      </c>
      <c r="D3218" s="21" t="s">
        <v>17523</v>
      </c>
      <c r="E3218" s="21" t="s">
        <v>17488</v>
      </c>
      <c r="F3218" s="21" t="s">
        <v>2600</v>
      </c>
      <c r="G3218" s="21" t="s">
        <v>13732</v>
      </c>
    </row>
    <row r="3219" customFormat="false" ht="15" hidden="false" customHeight="false" outlineLevel="0" collapsed="false">
      <c r="B3219" s="19" t="s">
        <v>17569</v>
      </c>
      <c r="C3219" s="20" t="n">
        <f aca="false">ROUND(85.8/FX,2)</f>
        <v>11.92</v>
      </c>
      <c r="D3219" s="21" t="s">
        <v>17523</v>
      </c>
      <c r="E3219" s="21" t="s">
        <v>17488</v>
      </c>
      <c r="F3219" s="21" t="s">
        <v>1733</v>
      </c>
      <c r="G3219" s="21" t="s">
        <v>13732</v>
      </c>
    </row>
    <row r="3220" customFormat="false" ht="15" hidden="false" customHeight="false" outlineLevel="0" collapsed="false">
      <c r="B3220" s="19" t="s">
        <v>17570</v>
      </c>
      <c r="C3220" s="20" t="n">
        <f aca="false">ROUND(24.7/FX,2)</f>
        <v>3.43</v>
      </c>
      <c r="D3220" s="21" t="s">
        <v>17523</v>
      </c>
      <c r="E3220" s="21" t="s">
        <v>17488</v>
      </c>
      <c r="F3220" s="21" t="s">
        <v>1048</v>
      </c>
      <c r="G3220" s="21" t="s">
        <v>13732</v>
      </c>
    </row>
    <row r="3221" customFormat="false" ht="15" hidden="false" customHeight="false" outlineLevel="0" collapsed="false">
      <c r="B3221" s="19" t="s">
        <v>17571</v>
      </c>
      <c r="C3221" s="20" t="n">
        <f aca="false">ROUND(32.18/FX,2)</f>
        <v>4.47</v>
      </c>
      <c r="D3221" s="21" t="s">
        <v>17523</v>
      </c>
      <c r="E3221" s="21" t="s">
        <v>17488</v>
      </c>
      <c r="F3221" s="21" t="s">
        <v>1323</v>
      </c>
      <c r="G3221" s="21" t="s">
        <v>13732</v>
      </c>
    </row>
    <row r="3222" customFormat="false" ht="15" hidden="false" customHeight="false" outlineLevel="0" collapsed="false">
      <c r="B3222" s="19" t="s">
        <v>17572</v>
      </c>
      <c r="C3222" s="20" t="n">
        <f aca="false">ROUND(35.75/FX,2)</f>
        <v>4.97</v>
      </c>
      <c r="D3222" s="21" t="s">
        <v>17523</v>
      </c>
      <c r="E3222" s="21" t="s">
        <v>17488</v>
      </c>
      <c r="F3222" s="21" t="s">
        <v>1520</v>
      </c>
      <c r="G3222" s="21" t="s">
        <v>13732</v>
      </c>
    </row>
    <row r="3223" customFormat="false" ht="15" hidden="false" customHeight="false" outlineLevel="0" collapsed="false">
      <c r="B3223" s="19" t="s">
        <v>17573</v>
      </c>
      <c r="C3223" s="20" t="n">
        <f aca="false">ROUND(42.9/FX,2)</f>
        <v>5.96</v>
      </c>
      <c r="D3223" s="21" t="s">
        <v>17523</v>
      </c>
      <c r="E3223" s="21" t="s">
        <v>17488</v>
      </c>
      <c r="F3223" s="21" t="s">
        <v>2002</v>
      </c>
      <c r="G3223" s="21" t="s">
        <v>13732</v>
      </c>
    </row>
    <row r="3224" customFormat="false" ht="15" hidden="false" customHeight="false" outlineLevel="0" collapsed="false">
      <c r="B3224" s="19" t="s">
        <v>17574</v>
      </c>
      <c r="C3224" s="20" t="n">
        <f aca="false">ROUND(46.48/FX,2)</f>
        <v>6.46</v>
      </c>
      <c r="D3224" s="21" t="s">
        <v>17523</v>
      </c>
      <c r="E3224" s="21" t="s">
        <v>17488</v>
      </c>
      <c r="F3224" s="21" t="s">
        <v>2067</v>
      </c>
      <c r="G3224" s="21" t="s">
        <v>13732</v>
      </c>
    </row>
    <row r="3225" customFormat="false" ht="15" hidden="false" customHeight="false" outlineLevel="0" collapsed="false">
      <c r="B3225" s="19" t="s">
        <v>17575</v>
      </c>
      <c r="C3225" s="20" t="n">
        <f aca="false">ROUND(17.88/FX,2)</f>
        <v>2.48</v>
      </c>
      <c r="D3225" s="21" t="s">
        <v>17523</v>
      </c>
      <c r="E3225" s="21" t="s">
        <v>17488</v>
      </c>
      <c r="F3225" s="21" t="s">
        <v>2911</v>
      </c>
      <c r="G3225" s="21" t="s">
        <v>13732</v>
      </c>
    </row>
    <row r="3226" customFormat="false" ht="15" hidden="false" customHeight="false" outlineLevel="0" collapsed="false">
      <c r="B3226" s="19" t="s">
        <v>17576</v>
      </c>
      <c r="C3226" s="20" t="n">
        <f aca="false">ROUND(53.63/FX,2)</f>
        <v>7.45</v>
      </c>
      <c r="D3226" s="21" t="s">
        <v>17523</v>
      </c>
      <c r="E3226" s="21" t="s">
        <v>17488</v>
      </c>
      <c r="F3226" s="21" t="s">
        <v>2187</v>
      </c>
      <c r="G3226" s="21" t="s">
        <v>13732</v>
      </c>
    </row>
    <row r="3227" customFormat="false" ht="15" hidden="false" customHeight="false" outlineLevel="0" collapsed="false">
      <c r="B3227" s="19" t="s">
        <v>17577</v>
      </c>
      <c r="C3227" s="20" t="n">
        <f aca="false">ROUND(67.93/FX,2)</f>
        <v>9.43</v>
      </c>
      <c r="D3227" s="21" t="s">
        <v>17523</v>
      </c>
      <c r="E3227" s="21" t="s">
        <v>17488</v>
      </c>
      <c r="F3227" s="21" t="s">
        <v>2400</v>
      </c>
      <c r="G3227" s="21" t="s">
        <v>13732</v>
      </c>
    </row>
    <row r="3228" customFormat="false" ht="15" hidden="false" customHeight="false" outlineLevel="0" collapsed="false">
      <c r="B3228" s="19" t="s">
        <v>17578</v>
      </c>
      <c r="C3228" s="20" t="n">
        <f aca="false">ROUND(82.23/FX,2)</f>
        <v>11.42</v>
      </c>
      <c r="D3228" s="21" t="s">
        <v>17523</v>
      </c>
      <c r="E3228" s="21" t="s">
        <v>17488</v>
      </c>
      <c r="F3228" s="21" t="s">
        <v>2540</v>
      </c>
      <c r="G3228" s="21" t="s">
        <v>13732</v>
      </c>
    </row>
    <row r="3229" customFormat="false" ht="15" hidden="false" customHeight="false" outlineLevel="0" collapsed="false">
      <c r="B3229" s="19" t="s">
        <v>17579</v>
      </c>
      <c r="C3229" s="20" t="n">
        <f aca="false">ROUND(16.9/FX,2)</f>
        <v>2.35</v>
      </c>
      <c r="D3229" s="21" t="s">
        <v>17523</v>
      </c>
      <c r="E3229" s="21" t="s">
        <v>17501</v>
      </c>
      <c r="F3229" s="21" t="s">
        <v>17052</v>
      </c>
      <c r="G3229" s="21" t="s">
        <v>13732</v>
      </c>
    </row>
    <row r="3230" customFormat="false" ht="15" hidden="false" customHeight="false" outlineLevel="0" collapsed="false">
      <c r="B3230" s="19" t="s">
        <v>17580</v>
      </c>
      <c r="C3230" s="20" t="n">
        <f aca="false">ROUND(24.05/FX,2)</f>
        <v>3.34</v>
      </c>
      <c r="D3230" s="21" t="s">
        <v>17523</v>
      </c>
      <c r="E3230" s="21" t="s">
        <v>17501</v>
      </c>
      <c r="F3230" s="21" t="s">
        <v>2600</v>
      </c>
      <c r="G3230" s="21" t="s">
        <v>13732</v>
      </c>
    </row>
    <row r="3231" customFormat="false" ht="15" hidden="false" customHeight="false" outlineLevel="0" collapsed="false">
      <c r="B3231" s="19" t="s">
        <v>17581</v>
      </c>
      <c r="C3231" s="20" t="n">
        <f aca="false">ROUND(88.4/FX,2)</f>
        <v>12.28</v>
      </c>
      <c r="D3231" s="21" t="s">
        <v>17523</v>
      </c>
      <c r="E3231" s="21" t="s">
        <v>17501</v>
      </c>
      <c r="F3231" s="21" t="s">
        <v>1733</v>
      </c>
      <c r="G3231" s="21" t="s">
        <v>13732</v>
      </c>
    </row>
    <row r="3232" customFormat="false" ht="15" hidden="false" customHeight="false" outlineLevel="0" collapsed="false">
      <c r="B3232" s="19" t="s">
        <v>17582</v>
      </c>
      <c r="C3232" s="20" t="n">
        <f aca="false">ROUND(31.2/FX,2)</f>
        <v>4.33</v>
      </c>
      <c r="D3232" s="21" t="s">
        <v>17523</v>
      </c>
      <c r="E3232" s="21" t="s">
        <v>17501</v>
      </c>
      <c r="F3232" s="21" t="s">
        <v>1048</v>
      </c>
      <c r="G3232" s="21" t="s">
        <v>13732</v>
      </c>
    </row>
    <row r="3233" customFormat="false" ht="15" hidden="false" customHeight="false" outlineLevel="0" collapsed="false">
      <c r="B3233" s="19" t="s">
        <v>17583</v>
      </c>
      <c r="C3233" s="20" t="n">
        <f aca="false">ROUND(38.35/FX,2)</f>
        <v>5.33</v>
      </c>
      <c r="D3233" s="21" t="s">
        <v>17523</v>
      </c>
      <c r="E3233" s="21" t="s">
        <v>17501</v>
      </c>
      <c r="F3233" s="21" t="s">
        <v>1520</v>
      </c>
      <c r="G3233" s="21" t="s">
        <v>13732</v>
      </c>
    </row>
    <row r="3234" customFormat="false" ht="15" hidden="false" customHeight="false" outlineLevel="0" collapsed="false">
      <c r="B3234" s="19" t="s">
        <v>17584</v>
      </c>
      <c r="C3234" s="20" t="n">
        <f aca="false">ROUND(28.67/FX,2)</f>
        <v>3.98</v>
      </c>
      <c r="D3234" s="21" t="s">
        <v>17523</v>
      </c>
      <c r="E3234" s="21" t="s">
        <v>17501</v>
      </c>
      <c r="F3234" s="21" t="s">
        <v>2002</v>
      </c>
      <c r="G3234" s="21" t="s">
        <v>13732</v>
      </c>
    </row>
    <row r="3235" customFormat="false" ht="15" hidden="false" customHeight="false" outlineLevel="0" collapsed="false">
      <c r="B3235" s="19" t="s">
        <v>17585</v>
      </c>
      <c r="C3235" s="20" t="n">
        <f aca="false">ROUND(49.08/FX,2)</f>
        <v>6.82</v>
      </c>
      <c r="D3235" s="21" t="s">
        <v>17523</v>
      </c>
      <c r="E3235" s="21" t="s">
        <v>17501</v>
      </c>
      <c r="F3235" s="21" t="s">
        <v>2067</v>
      </c>
      <c r="G3235" s="21" t="s">
        <v>13732</v>
      </c>
    </row>
    <row r="3236" customFormat="false" ht="15" hidden="false" customHeight="false" outlineLevel="0" collapsed="false">
      <c r="B3236" s="19" t="s">
        <v>17586</v>
      </c>
      <c r="C3236" s="20" t="n">
        <f aca="false">ROUND(20.48/FX,2)</f>
        <v>2.84</v>
      </c>
      <c r="D3236" s="21" t="s">
        <v>17523</v>
      </c>
      <c r="E3236" s="21" t="s">
        <v>17501</v>
      </c>
      <c r="F3236" s="21" t="s">
        <v>2911</v>
      </c>
      <c r="G3236" s="21" t="s">
        <v>13732</v>
      </c>
    </row>
    <row r="3237" customFormat="false" ht="15" hidden="false" customHeight="false" outlineLevel="0" collapsed="false">
      <c r="B3237" s="19" t="s">
        <v>17587</v>
      </c>
      <c r="C3237" s="20" t="n">
        <f aca="false">ROUND(56.23/FX,2)</f>
        <v>7.81</v>
      </c>
      <c r="D3237" s="21" t="s">
        <v>17523</v>
      </c>
      <c r="E3237" s="21" t="s">
        <v>17501</v>
      </c>
      <c r="F3237" s="21" t="s">
        <v>2187</v>
      </c>
      <c r="G3237" s="21" t="s">
        <v>13732</v>
      </c>
    </row>
    <row r="3238" customFormat="false" ht="15" hidden="false" customHeight="false" outlineLevel="0" collapsed="false">
      <c r="B3238" s="19" t="s">
        <v>17588</v>
      </c>
      <c r="C3238" s="20" t="n">
        <f aca="false">ROUND(70.53/FX,2)</f>
        <v>9.8</v>
      </c>
      <c r="D3238" s="21" t="s">
        <v>17523</v>
      </c>
      <c r="E3238" s="21" t="s">
        <v>17501</v>
      </c>
      <c r="F3238" s="21" t="s">
        <v>2400</v>
      </c>
      <c r="G3238" s="21" t="s">
        <v>13732</v>
      </c>
    </row>
    <row r="3239" customFormat="false" ht="15" hidden="false" customHeight="false" outlineLevel="0" collapsed="false">
      <c r="B3239" s="19" t="s">
        <v>17589</v>
      </c>
      <c r="C3239" s="20" t="n">
        <f aca="false">ROUND(84.83/FX,2)</f>
        <v>11.78</v>
      </c>
      <c r="D3239" s="21" t="s">
        <v>17523</v>
      </c>
      <c r="E3239" s="21" t="s">
        <v>17501</v>
      </c>
      <c r="F3239" s="21" t="s">
        <v>2540</v>
      </c>
      <c r="G3239" s="21" t="s">
        <v>13732</v>
      </c>
    </row>
    <row r="3240" customFormat="false" ht="15" hidden="false" customHeight="false" outlineLevel="0" collapsed="false">
      <c r="B3240" s="19" t="s">
        <v>17590</v>
      </c>
      <c r="C3240" s="20" t="n">
        <f aca="false">ROUND(15.6/FX,2)</f>
        <v>2.17</v>
      </c>
      <c r="D3240" s="21" t="s">
        <v>17591</v>
      </c>
      <c r="E3240" s="21" t="s">
        <v>17414</v>
      </c>
      <c r="F3240" s="21" t="s">
        <v>17052</v>
      </c>
      <c r="G3240" s="21" t="s">
        <v>13732</v>
      </c>
    </row>
    <row r="3241" customFormat="false" ht="15" hidden="false" customHeight="false" outlineLevel="0" collapsed="false">
      <c r="B3241" s="19" t="s">
        <v>17592</v>
      </c>
      <c r="C3241" s="20" t="n">
        <f aca="false">ROUND(23.4/FX,2)</f>
        <v>3.25</v>
      </c>
      <c r="D3241" s="21" t="s">
        <v>17591</v>
      </c>
      <c r="E3241" s="21" t="s">
        <v>17414</v>
      </c>
      <c r="F3241" s="21" t="s">
        <v>2600</v>
      </c>
      <c r="G3241" s="21" t="s">
        <v>13732</v>
      </c>
    </row>
    <row r="3242" customFormat="false" ht="15" hidden="false" customHeight="false" outlineLevel="0" collapsed="false">
      <c r="B3242" s="19" t="s">
        <v>17593</v>
      </c>
      <c r="C3242" s="20" t="n">
        <f aca="false">ROUND(25.74/FX,2)</f>
        <v>3.58</v>
      </c>
      <c r="D3242" s="21" t="s">
        <v>17591</v>
      </c>
      <c r="E3242" s="21" t="s">
        <v>17414</v>
      </c>
      <c r="F3242" s="21" t="s">
        <v>2751</v>
      </c>
      <c r="G3242" s="21" t="s">
        <v>13732</v>
      </c>
    </row>
    <row r="3243" customFormat="false" ht="15" hidden="false" customHeight="false" outlineLevel="0" collapsed="false">
      <c r="B3243" s="19" t="s">
        <v>17594</v>
      </c>
      <c r="C3243" s="20" t="n">
        <f aca="false">ROUND(27.3/FX,2)</f>
        <v>3.79</v>
      </c>
      <c r="D3243" s="21" t="s">
        <v>17591</v>
      </c>
      <c r="E3243" s="21" t="s">
        <v>17414</v>
      </c>
      <c r="F3243" s="21" t="s">
        <v>2851</v>
      </c>
      <c r="G3243" s="21" t="s">
        <v>13732</v>
      </c>
    </row>
    <row r="3244" customFormat="false" ht="15" hidden="false" customHeight="false" outlineLevel="0" collapsed="false">
      <c r="B3244" s="19" t="s">
        <v>17595</v>
      </c>
      <c r="C3244" s="20" t="n">
        <f aca="false">ROUND(39/FX,2)</f>
        <v>5.42</v>
      </c>
      <c r="D3244" s="21" t="s">
        <v>17591</v>
      </c>
      <c r="E3244" s="21" t="s">
        <v>17414</v>
      </c>
      <c r="F3244" s="21" t="s">
        <v>1520</v>
      </c>
      <c r="G3244" s="21" t="s">
        <v>13732</v>
      </c>
    </row>
    <row r="3245" customFormat="false" ht="15" hidden="false" customHeight="false" outlineLevel="0" collapsed="false">
      <c r="B3245" s="19" t="s">
        <v>17596</v>
      </c>
      <c r="C3245" s="20" t="n">
        <f aca="false">ROUND(42.9/FX,2)</f>
        <v>5.96</v>
      </c>
      <c r="D3245" s="21" t="s">
        <v>17591</v>
      </c>
      <c r="E3245" s="21" t="s">
        <v>17414</v>
      </c>
      <c r="F3245" s="21" t="s">
        <v>1635</v>
      </c>
      <c r="G3245" s="21" t="s">
        <v>13732</v>
      </c>
    </row>
    <row r="3246" customFormat="false" ht="15" hidden="false" customHeight="false" outlineLevel="0" collapsed="false">
      <c r="B3246" s="19" t="s">
        <v>17597</v>
      </c>
      <c r="C3246" s="20" t="n">
        <f aca="false">ROUND(43.68/FX,2)</f>
        <v>6.07</v>
      </c>
      <c r="D3246" s="21" t="s">
        <v>17591</v>
      </c>
      <c r="E3246" s="21" t="s">
        <v>17414</v>
      </c>
      <c r="F3246" s="21" t="s">
        <v>1655</v>
      </c>
      <c r="G3246" s="21" t="s">
        <v>13732</v>
      </c>
    </row>
    <row r="3247" customFormat="false" ht="15" hidden="false" customHeight="false" outlineLevel="0" collapsed="false">
      <c r="B3247" s="19" t="s">
        <v>17598</v>
      </c>
      <c r="C3247" s="20" t="n">
        <f aca="false">ROUND(62.4/FX,2)</f>
        <v>8.67</v>
      </c>
      <c r="D3247" s="21" t="s">
        <v>17591</v>
      </c>
      <c r="E3247" s="21" t="s">
        <v>17414</v>
      </c>
      <c r="F3247" s="21" t="s">
        <v>2002</v>
      </c>
      <c r="G3247" s="21" t="s">
        <v>13739</v>
      </c>
    </row>
    <row r="3248" customFormat="false" ht="15" hidden="false" customHeight="false" outlineLevel="0" collapsed="false">
      <c r="B3248" s="19" t="s">
        <v>17599</v>
      </c>
      <c r="C3248" s="20" t="n">
        <f aca="false">ROUND(54.6/FX,2)</f>
        <v>7.58</v>
      </c>
      <c r="D3248" s="21" t="s">
        <v>17591</v>
      </c>
      <c r="E3248" s="21" t="s">
        <v>17414</v>
      </c>
      <c r="F3248" s="21" t="s">
        <v>2142</v>
      </c>
      <c r="G3248" s="21" t="s">
        <v>13732</v>
      </c>
    </row>
    <row r="3249" customFormat="false" ht="15" hidden="false" customHeight="false" outlineLevel="0" collapsed="false">
      <c r="B3249" s="19" t="s">
        <v>17600</v>
      </c>
      <c r="C3249" s="20" t="n">
        <f aca="false">ROUND(20.8/FX,2)</f>
        <v>2.89</v>
      </c>
      <c r="D3249" s="21" t="s">
        <v>17591</v>
      </c>
      <c r="E3249" s="21" t="s">
        <v>17419</v>
      </c>
      <c r="F3249" s="21" t="s">
        <v>17052</v>
      </c>
      <c r="G3249" s="21" t="s">
        <v>13732</v>
      </c>
    </row>
    <row r="3250" customFormat="false" ht="15" hidden="false" customHeight="false" outlineLevel="0" collapsed="false">
      <c r="B3250" s="19" t="s">
        <v>17601</v>
      </c>
      <c r="C3250" s="20" t="n">
        <f aca="false">ROUND(28.6/FX,2)</f>
        <v>3.97</v>
      </c>
      <c r="D3250" s="21" t="s">
        <v>17591</v>
      </c>
      <c r="E3250" s="21" t="s">
        <v>17419</v>
      </c>
      <c r="F3250" s="21" t="s">
        <v>2600</v>
      </c>
      <c r="G3250" s="21" t="s">
        <v>13732</v>
      </c>
    </row>
    <row r="3251" customFormat="false" ht="15" hidden="false" customHeight="false" outlineLevel="0" collapsed="false">
      <c r="B3251" s="19" t="s">
        <v>17602</v>
      </c>
      <c r="C3251" s="20" t="n">
        <f aca="false">ROUND(30.55/FX,2)</f>
        <v>4.24</v>
      </c>
      <c r="D3251" s="21" t="s">
        <v>17591</v>
      </c>
      <c r="E3251" s="21" t="s">
        <v>17419</v>
      </c>
      <c r="F3251" s="21" t="s">
        <v>11968</v>
      </c>
      <c r="G3251" s="21" t="s">
        <v>13732</v>
      </c>
    </row>
    <row r="3252" customFormat="false" ht="15" hidden="false" customHeight="false" outlineLevel="0" collapsed="false">
      <c r="B3252" s="19" t="s">
        <v>17603</v>
      </c>
      <c r="C3252" s="20" t="n">
        <f aca="false">ROUND(32.5/FX,2)</f>
        <v>4.51</v>
      </c>
      <c r="D3252" s="21" t="s">
        <v>17591</v>
      </c>
      <c r="E3252" s="21" t="s">
        <v>17419</v>
      </c>
      <c r="F3252" s="21" t="s">
        <v>2851</v>
      </c>
      <c r="G3252" s="21" t="s">
        <v>13732</v>
      </c>
    </row>
    <row r="3253" customFormat="false" ht="15" hidden="false" customHeight="false" outlineLevel="0" collapsed="false">
      <c r="B3253" s="19" t="s">
        <v>17604</v>
      </c>
      <c r="C3253" s="20" t="n">
        <f aca="false">ROUND(42.25/FX,2)</f>
        <v>5.87</v>
      </c>
      <c r="D3253" s="21" t="s">
        <v>17591</v>
      </c>
      <c r="E3253" s="21" t="s">
        <v>17419</v>
      </c>
      <c r="F3253" s="21" t="s">
        <v>4883</v>
      </c>
      <c r="G3253" s="21" t="s">
        <v>13732</v>
      </c>
    </row>
    <row r="3254" customFormat="false" ht="15" hidden="false" customHeight="false" outlineLevel="0" collapsed="false">
      <c r="B3254" s="19" t="s">
        <v>17605</v>
      </c>
      <c r="C3254" s="20" t="n">
        <f aca="false">ROUND(42.64/FX,2)</f>
        <v>5.92</v>
      </c>
      <c r="D3254" s="21" t="s">
        <v>17591</v>
      </c>
      <c r="E3254" s="21" t="s">
        <v>17419</v>
      </c>
      <c r="F3254" s="21" t="s">
        <v>1470</v>
      </c>
      <c r="G3254" s="21" t="s">
        <v>13732</v>
      </c>
    </row>
    <row r="3255" customFormat="false" ht="15" hidden="false" customHeight="false" outlineLevel="0" collapsed="false">
      <c r="B3255" s="19" t="s">
        <v>17606</v>
      </c>
      <c r="C3255" s="20" t="n">
        <f aca="false">ROUND(44.2/FX,2)</f>
        <v>6.14</v>
      </c>
      <c r="D3255" s="21" t="s">
        <v>17591</v>
      </c>
      <c r="E3255" s="21" t="s">
        <v>17419</v>
      </c>
      <c r="F3255" s="21" t="s">
        <v>1520</v>
      </c>
      <c r="G3255" s="21" t="s">
        <v>13732</v>
      </c>
    </row>
    <row r="3256" customFormat="false" ht="15" hidden="false" customHeight="false" outlineLevel="0" collapsed="false">
      <c r="B3256" s="19" t="s">
        <v>17607</v>
      </c>
      <c r="C3256" s="20" t="n">
        <f aca="false">ROUND(48.1/FX,2)</f>
        <v>6.68</v>
      </c>
      <c r="D3256" s="21" t="s">
        <v>17591</v>
      </c>
      <c r="E3256" s="21" t="s">
        <v>17419</v>
      </c>
      <c r="F3256" s="21" t="s">
        <v>1635</v>
      </c>
      <c r="G3256" s="21" t="s">
        <v>13732</v>
      </c>
    </row>
    <row r="3257" customFormat="false" ht="15" hidden="false" customHeight="false" outlineLevel="0" collapsed="false">
      <c r="B3257" s="19" t="s">
        <v>17608</v>
      </c>
      <c r="C3257" s="20" t="n">
        <f aca="false">ROUND(48.88/FX,2)</f>
        <v>6.79</v>
      </c>
      <c r="D3257" s="21" t="s">
        <v>17591</v>
      </c>
      <c r="E3257" s="21" t="s">
        <v>17419</v>
      </c>
      <c r="F3257" s="21" t="s">
        <v>1655</v>
      </c>
      <c r="G3257" s="21" t="s">
        <v>13732</v>
      </c>
    </row>
    <row r="3258" customFormat="false" ht="15" hidden="false" customHeight="false" outlineLevel="0" collapsed="false">
      <c r="B3258" s="19" t="s">
        <v>17609</v>
      </c>
      <c r="C3258" s="20" t="n">
        <f aca="false">ROUND(52/FX,2)</f>
        <v>7.22</v>
      </c>
      <c r="D3258" s="21" t="s">
        <v>17591</v>
      </c>
      <c r="E3258" s="21" t="s">
        <v>17419</v>
      </c>
      <c r="F3258" s="21" t="s">
        <v>2002</v>
      </c>
      <c r="G3258" s="21" t="s">
        <v>13732</v>
      </c>
    </row>
    <row r="3259" customFormat="false" ht="15" hidden="false" customHeight="false" outlineLevel="0" collapsed="false">
      <c r="B3259" s="19" t="s">
        <v>17610</v>
      </c>
      <c r="C3259" s="20" t="n">
        <f aca="false">ROUND(72.8/FX,2)</f>
        <v>10.11</v>
      </c>
      <c r="D3259" s="21" t="s">
        <v>17591</v>
      </c>
      <c r="E3259" s="21" t="s">
        <v>17419</v>
      </c>
      <c r="F3259" s="21" t="s">
        <v>2002</v>
      </c>
      <c r="G3259" s="21" t="s">
        <v>13739</v>
      </c>
    </row>
    <row r="3260" customFormat="false" ht="15" hidden="false" customHeight="false" outlineLevel="0" collapsed="false">
      <c r="B3260" s="19" t="s">
        <v>17611</v>
      </c>
      <c r="C3260" s="20" t="n">
        <f aca="false">ROUND(19.5/FX,2)</f>
        <v>2.71</v>
      </c>
      <c r="D3260" s="21" t="s">
        <v>17591</v>
      </c>
      <c r="E3260" s="21" t="s">
        <v>17428</v>
      </c>
      <c r="F3260" s="21" t="s">
        <v>17052</v>
      </c>
      <c r="G3260" s="21" t="s">
        <v>13732</v>
      </c>
    </row>
    <row r="3261" customFormat="false" ht="15" hidden="false" customHeight="false" outlineLevel="0" collapsed="false">
      <c r="B3261" s="19" t="s">
        <v>17612</v>
      </c>
      <c r="C3261" s="20" t="n">
        <f aca="false">ROUND(70.2/FX,2)</f>
        <v>9.75</v>
      </c>
      <c r="D3261" s="21" t="s">
        <v>17591</v>
      </c>
      <c r="E3261" s="21" t="s">
        <v>17428</v>
      </c>
      <c r="F3261" s="21" t="s">
        <v>2227</v>
      </c>
      <c r="G3261" s="21" t="s">
        <v>13732</v>
      </c>
    </row>
    <row r="3262" customFormat="false" ht="15" hidden="false" customHeight="false" outlineLevel="0" collapsed="false">
      <c r="B3262" s="19" t="s">
        <v>17613</v>
      </c>
      <c r="C3262" s="20" t="n">
        <f aca="false">ROUND(24.7/FX,2)</f>
        <v>3.43</v>
      </c>
      <c r="D3262" s="21" t="s">
        <v>17591</v>
      </c>
      <c r="E3262" s="21" t="s">
        <v>17431</v>
      </c>
      <c r="F3262" s="21" t="s">
        <v>17052</v>
      </c>
      <c r="G3262" s="21" t="s">
        <v>13732</v>
      </c>
    </row>
    <row r="3263" customFormat="false" ht="15" hidden="false" customHeight="false" outlineLevel="0" collapsed="false">
      <c r="B3263" s="19" t="s">
        <v>17614</v>
      </c>
      <c r="C3263" s="20" t="n">
        <f aca="false">ROUND(75.4/FX,2)</f>
        <v>10.47</v>
      </c>
      <c r="D3263" s="21" t="s">
        <v>17591</v>
      </c>
      <c r="E3263" s="21" t="s">
        <v>17431</v>
      </c>
      <c r="F3263" s="21" t="s">
        <v>2227</v>
      </c>
      <c r="G3263" s="21" t="s">
        <v>13732</v>
      </c>
    </row>
    <row r="3264" customFormat="false" ht="15" hidden="false" customHeight="false" outlineLevel="0" collapsed="false">
      <c r="B3264" s="19" t="s">
        <v>17615</v>
      </c>
      <c r="C3264" s="20" t="n">
        <f aca="false">ROUND(13/FX,2)</f>
        <v>1.81</v>
      </c>
      <c r="D3264" s="21" t="s">
        <v>17591</v>
      </c>
      <c r="E3264" s="21" t="s">
        <v>17465</v>
      </c>
      <c r="F3264" s="21" t="s">
        <v>17052</v>
      </c>
      <c r="G3264" s="21" t="s">
        <v>13732</v>
      </c>
    </row>
    <row r="3265" customFormat="false" ht="15" hidden="false" customHeight="false" outlineLevel="0" collapsed="false">
      <c r="B3265" s="19" t="s">
        <v>17616</v>
      </c>
      <c r="C3265" s="20" t="n">
        <f aca="false">ROUND(20.15/FX,2)</f>
        <v>2.8</v>
      </c>
      <c r="D3265" s="21" t="s">
        <v>17591</v>
      </c>
      <c r="E3265" s="21" t="s">
        <v>17465</v>
      </c>
      <c r="F3265" s="21" t="s">
        <v>2600</v>
      </c>
      <c r="G3265" s="21" t="s">
        <v>13732</v>
      </c>
    </row>
    <row r="3266" customFormat="false" ht="15" hidden="false" customHeight="false" outlineLevel="0" collapsed="false">
      <c r="B3266" s="19" t="s">
        <v>17617</v>
      </c>
      <c r="C3266" s="20" t="n">
        <f aca="false">ROUND(23.73/FX,2)</f>
        <v>3.3</v>
      </c>
      <c r="D3266" s="21" t="s">
        <v>17591</v>
      </c>
      <c r="E3266" s="21" t="s">
        <v>17465</v>
      </c>
      <c r="F3266" s="21" t="s">
        <v>2851</v>
      </c>
      <c r="G3266" s="21" t="s">
        <v>13732</v>
      </c>
    </row>
    <row r="3267" customFormat="false" ht="15" hidden="false" customHeight="false" outlineLevel="0" collapsed="false">
      <c r="B3267" s="19" t="s">
        <v>17618</v>
      </c>
      <c r="C3267" s="20" t="n">
        <f aca="false">ROUND(27.3/FX,2)</f>
        <v>3.79</v>
      </c>
      <c r="D3267" s="21" t="s">
        <v>17591</v>
      </c>
      <c r="E3267" s="21" t="s">
        <v>17465</v>
      </c>
      <c r="F3267" s="21" t="s">
        <v>1048</v>
      </c>
      <c r="G3267" s="21" t="s">
        <v>13732</v>
      </c>
    </row>
    <row r="3268" customFormat="false" ht="15" hidden="false" customHeight="false" outlineLevel="0" collapsed="false">
      <c r="B3268" s="19" t="s">
        <v>17619</v>
      </c>
      <c r="C3268" s="20" t="n">
        <f aca="false">ROUND(30.88/FX,2)</f>
        <v>4.29</v>
      </c>
      <c r="D3268" s="21" t="s">
        <v>17591</v>
      </c>
      <c r="E3268" s="21" t="s">
        <v>17465</v>
      </c>
      <c r="F3268" s="21" t="s">
        <v>1323</v>
      </c>
      <c r="G3268" s="21" t="s">
        <v>13732</v>
      </c>
    </row>
    <row r="3269" customFormat="false" ht="15" hidden="false" customHeight="false" outlineLevel="0" collapsed="false">
      <c r="B3269" s="19" t="s">
        <v>17620</v>
      </c>
      <c r="C3269" s="20" t="n">
        <f aca="false">ROUND(34.45/FX,2)</f>
        <v>4.78</v>
      </c>
      <c r="D3269" s="21" t="s">
        <v>17591</v>
      </c>
      <c r="E3269" s="21" t="s">
        <v>17465</v>
      </c>
      <c r="F3269" s="21" t="s">
        <v>1520</v>
      </c>
      <c r="G3269" s="21" t="s">
        <v>13732</v>
      </c>
    </row>
    <row r="3270" customFormat="false" ht="15" hidden="false" customHeight="false" outlineLevel="0" collapsed="false">
      <c r="B3270" s="19" t="s">
        <v>17621</v>
      </c>
      <c r="C3270" s="20" t="n">
        <f aca="false">ROUND(38.03/FX,2)</f>
        <v>5.28</v>
      </c>
      <c r="D3270" s="21" t="s">
        <v>17591</v>
      </c>
      <c r="E3270" s="21" t="s">
        <v>17465</v>
      </c>
      <c r="F3270" s="21" t="s">
        <v>1635</v>
      </c>
      <c r="G3270" s="21" t="s">
        <v>13732</v>
      </c>
    </row>
    <row r="3271" customFormat="false" ht="15" hidden="false" customHeight="false" outlineLevel="0" collapsed="false">
      <c r="B3271" s="19" t="s">
        <v>17622</v>
      </c>
      <c r="C3271" s="20" t="n">
        <f aca="false">ROUND(41.6/FX,2)</f>
        <v>5.78</v>
      </c>
      <c r="D3271" s="21" t="s">
        <v>17591</v>
      </c>
      <c r="E3271" s="21" t="s">
        <v>17465</v>
      </c>
      <c r="F3271" s="21" t="s">
        <v>2002</v>
      </c>
      <c r="G3271" s="21" t="s">
        <v>13732</v>
      </c>
    </row>
    <row r="3272" customFormat="false" ht="15" hidden="false" customHeight="false" outlineLevel="0" collapsed="false">
      <c r="B3272" s="19" t="s">
        <v>17623</v>
      </c>
      <c r="C3272" s="20" t="n">
        <f aca="false">ROUND(45.18/FX,2)</f>
        <v>6.28</v>
      </c>
      <c r="D3272" s="21" t="s">
        <v>17591</v>
      </c>
      <c r="E3272" s="21" t="s">
        <v>17465</v>
      </c>
      <c r="F3272" s="21" t="s">
        <v>2067</v>
      </c>
      <c r="G3272" s="21" t="s">
        <v>13732</v>
      </c>
    </row>
    <row r="3273" customFormat="false" ht="15" hidden="false" customHeight="false" outlineLevel="0" collapsed="false">
      <c r="B3273" s="19" t="s">
        <v>17624</v>
      </c>
      <c r="C3273" s="20" t="n">
        <f aca="false">ROUND(18.01/FX,2)</f>
        <v>2.5</v>
      </c>
      <c r="D3273" s="21" t="s">
        <v>17591</v>
      </c>
      <c r="E3273" s="21" t="s">
        <v>17465</v>
      </c>
      <c r="F3273" s="21" t="s">
        <v>3011</v>
      </c>
      <c r="G3273" s="21" t="s">
        <v>13732</v>
      </c>
    </row>
    <row r="3274" customFormat="false" ht="15" hidden="false" customHeight="false" outlineLevel="0" collapsed="false">
      <c r="B3274" s="19" t="s">
        <v>17625</v>
      </c>
      <c r="C3274" s="20" t="n">
        <f aca="false">ROUND(15.6/FX,2)</f>
        <v>2.17</v>
      </c>
      <c r="D3274" s="21" t="s">
        <v>17591</v>
      </c>
      <c r="E3274" s="21" t="s">
        <v>17477</v>
      </c>
      <c r="F3274" s="21" t="s">
        <v>17052</v>
      </c>
      <c r="G3274" s="21" t="s">
        <v>13732</v>
      </c>
    </row>
    <row r="3275" customFormat="false" ht="15" hidden="false" customHeight="false" outlineLevel="0" collapsed="false">
      <c r="B3275" s="19" t="s">
        <v>17626</v>
      </c>
      <c r="C3275" s="20" t="n">
        <f aca="false">ROUND(22.75/FX,2)</f>
        <v>3.16</v>
      </c>
      <c r="D3275" s="21" t="s">
        <v>17591</v>
      </c>
      <c r="E3275" s="21" t="s">
        <v>17477</v>
      </c>
      <c r="F3275" s="21" t="s">
        <v>2600</v>
      </c>
      <c r="G3275" s="21" t="s">
        <v>13732</v>
      </c>
    </row>
    <row r="3276" customFormat="false" ht="15" hidden="false" customHeight="false" outlineLevel="0" collapsed="false">
      <c r="B3276" s="19" t="s">
        <v>17627</v>
      </c>
      <c r="C3276" s="20" t="n">
        <f aca="false">ROUND(26.33/FX,2)</f>
        <v>3.66</v>
      </c>
      <c r="D3276" s="21" t="s">
        <v>17591</v>
      </c>
      <c r="E3276" s="21" t="s">
        <v>17477</v>
      </c>
      <c r="F3276" s="21" t="s">
        <v>2851</v>
      </c>
      <c r="G3276" s="21" t="s">
        <v>13732</v>
      </c>
    </row>
    <row r="3277" customFormat="false" ht="15" hidden="false" customHeight="false" outlineLevel="0" collapsed="false">
      <c r="B3277" s="19" t="s">
        <v>17628</v>
      </c>
      <c r="C3277" s="20" t="n">
        <f aca="false">ROUND(29.9/FX,2)</f>
        <v>4.15</v>
      </c>
      <c r="D3277" s="21" t="s">
        <v>17591</v>
      </c>
      <c r="E3277" s="21" t="s">
        <v>17477</v>
      </c>
      <c r="F3277" s="21" t="s">
        <v>1048</v>
      </c>
      <c r="G3277" s="21" t="s">
        <v>13732</v>
      </c>
    </row>
    <row r="3278" customFormat="false" ht="15" hidden="false" customHeight="false" outlineLevel="0" collapsed="false">
      <c r="B3278" s="19" t="s">
        <v>17629</v>
      </c>
      <c r="C3278" s="20" t="n">
        <f aca="false">ROUND(33.48/FX,2)</f>
        <v>4.65</v>
      </c>
      <c r="D3278" s="21" t="s">
        <v>17591</v>
      </c>
      <c r="E3278" s="21" t="s">
        <v>17477</v>
      </c>
      <c r="F3278" s="21" t="s">
        <v>1323</v>
      </c>
      <c r="G3278" s="21" t="s">
        <v>13732</v>
      </c>
    </row>
    <row r="3279" customFormat="false" ht="15" hidden="false" customHeight="false" outlineLevel="0" collapsed="false">
      <c r="B3279" s="19" t="s">
        <v>17630</v>
      </c>
      <c r="C3279" s="20" t="n">
        <f aca="false">ROUND(37.05/FX,2)</f>
        <v>5.15</v>
      </c>
      <c r="D3279" s="21" t="s">
        <v>17591</v>
      </c>
      <c r="E3279" s="21" t="s">
        <v>17477</v>
      </c>
      <c r="F3279" s="21" t="s">
        <v>1520</v>
      </c>
      <c r="G3279" s="21" t="s">
        <v>13732</v>
      </c>
    </row>
    <row r="3280" customFormat="false" ht="15" hidden="false" customHeight="false" outlineLevel="0" collapsed="false">
      <c r="B3280" s="19" t="s">
        <v>17631</v>
      </c>
      <c r="C3280" s="20" t="n">
        <f aca="false">ROUND(40.63/FX,2)</f>
        <v>5.64</v>
      </c>
      <c r="D3280" s="21" t="s">
        <v>17591</v>
      </c>
      <c r="E3280" s="21" t="s">
        <v>17477</v>
      </c>
      <c r="F3280" s="21" t="s">
        <v>1635</v>
      </c>
      <c r="G3280" s="21" t="s">
        <v>13732</v>
      </c>
    </row>
    <row r="3281" customFormat="false" ht="15" hidden="false" customHeight="false" outlineLevel="0" collapsed="false">
      <c r="B3281" s="19" t="s">
        <v>17632</v>
      </c>
      <c r="C3281" s="20" t="n">
        <f aca="false">ROUND(44.2/FX,2)</f>
        <v>6.14</v>
      </c>
      <c r="D3281" s="21" t="s">
        <v>17591</v>
      </c>
      <c r="E3281" s="21" t="s">
        <v>17477</v>
      </c>
      <c r="F3281" s="21" t="s">
        <v>2002</v>
      </c>
      <c r="G3281" s="21" t="s">
        <v>13732</v>
      </c>
    </row>
    <row r="3282" customFormat="false" ht="15" hidden="false" customHeight="false" outlineLevel="0" collapsed="false">
      <c r="B3282" s="19" t="s">
        <v>17633</v>
      </c>
      <c r="C3282" s="20" t="n">
        <f aca="false">ROUND(47.78/FX,2)</f>
        <v>6.64</v>
      </c>
      <c r="D3282" s="21" t="s">
        <v>17591</v>
      </c>
      <c r="E3282" s="21" t="s">
        <v>17477</v>
      </c>
      <c r="F3282" s="21" t="s">
        <v>2067</v>
      </c>
      <c r="G3282" s="21" t="s">
        <v>13732</v>
      </c>
    </row>
    <row r="3283" customFormat="false" ht="15" hidden="false" customHeight="false" outlineLevel="0" collapsed="false">
      <c r="B3283" s="19" t="s">
        <v>17634</v>
      </c>
      <c r="C3283" s="20" t="n">
        <f aca="false">ROUND(20.61/FX,2)</f>
        <v>2.86</v>
      </c>
      <c r="D3283" s="21" t="s">
        <v>17591</v>
      </c>
      <c r="E3283" s="21" t="s">
        <v>17477</v>
      </c>
      <c r="F3283" s="21" t="s">
        <v>3011</v>
      </c>
      <c r="G3283" s="21" t="s">
        <v>13732</v>
      </c>
    </row>
    <row r="3284" customFormat="false" ht="15" hidden="false" customHeight="false" outlineLevel="0" collapsed="false">
      <c r="B3284" s="19" t="s">
        <v>17635</v>
      </c>
      <c r="C3284" s="20" t="n">
        <f aca="false">ROUND(14.3/FX,2)</f>
        <v>1.99</v>
      </c>
      <c r="D3284" s="21" t="s">
        <v>17591</v>
      </c>
      <c r="E3284" s="21" t="s">
        <v>17488</v>
      </c>
      <c r="F3284" s="21" t="s">
        <v>17052</v>
      </c>
      <c r="G3284" s="21" t="s">
        <v>13732</v>
      </c>
    </row>
    <row r="3285" customFormat="false" ht="15" hidden="false" customHeight="false" outlineLevel="0" collapsed="false">
      <c r="B3285" s="19" t="s">
        <v>17636</v>
      </c>
      <c r="C3285" s="20" t="n">
        <f aca="false">ROUND(21.45/FX,2)</f>
        <v>2.98</v>
      </c>
      <c r="D3285" s="21" t="s">
        <v>17591</v>
      </c>
      <c r="E3285" s="21" t="s">
        <v>17488</v>
      </c>
      <c r="F3285" s="21" t="s">
        <v>2600</v>
      </c>
      <c r="G3285" s="21" t="s">
        <v>13732</v>
      </c>
    </row>
    <row r="3286" customFormat="false" ht="15" hidden="false" customHeight="false" outlineLevel="0" collapsed="false">
      <c r="B3286" s="19" t="s">
        <v>17637</v>
      </c>
      <c r="C3286" s="20" t="n">
        <f aca="false">ROUND(85.8/FX,2)</f>
        <v>11.92</v>
      </c>
      <c r="D3286" s="21" t="s">
        <v>17591</v>
      </c>
      <c r="E3286" s="21" t="s">
        <v>17488</v>
      </c>
      <c r="F3286" s="21" t="s">
        <v>1733</v>
      </c>
      <c r="G3286" s="21" t="s">
        <v>13732</v>
      </c>
    </row>
    <row r="3287" customFormat="false" ht="15" hidden="false" customHeight="false" outlineLevel="0" collapsed="false">
      <c r="B3287" s="19" t="s">
        <v>17638</v>
      </c>
      <c r="C3287" s="20" t="n">
        <f aca="false">ROUND(24.7/FX,2)</f>
        <v>3.43</v>
      </c>
      <c r="D3287" s="21" t="s">
        <v>17591</v>
      </c>
      <c r="E3287" s="21" t="s">
        <v>17488</v>
      </c>
      <c r="F3287" s="21" t="s">
        <v>1048</v>
      </c>
      <c r="G3287" s="21" t="s">
        <v>13732</v>
      </c>
    </row>
    <row r="3288" customFormat="false" ht="15" hidden="false" customHeight="false" outlineLevel="0" collapsed="false">
      <c r="B3288" s="19" t="s">
        <v>17639</v>
      </c>
      <c r="C3288" s="20" t="n">
        <f aca="false">ROUND(18.92/FX,2)</f>
        <v>2.63</v>
      </c>
      <c r="D3288" s="21" t="s">
        <v>17591</v>
      </c>
      <c r="E3288" s="21" t="s">
        <v>17488</v>
      </c>
      <c r="F3288" s="21" t="s">
        <v>1323</v>
      </c>
      <c r="G3288" s="21" t="s">
        <v>13732</v>
      </c>
    </row>
    <row r="3289" customFormat="false" ht="15" hidden="false" customHeight="false" outlineLevel="0" collapsed="false">
      <c r="B3289" s="19" t="s">
        <v>17640</v>
      </c>
      <c r="C3289" s="20" t="n">
        <f aca="false">ROUND(35.75/FX,2)</f>
        <v>4.97</v>
      </c>
      <c r="D3289" s="21" t="s">
        <v>17591</v>
      </c>
      <c r="E3289" s="21" t="s">
        <v>17488</v>
      </c>
      <c r="F3289" s="21" t="s">
        <v>1520</v>
      </c>
      <c r="G3289" s="21" t="s">
        <v>13732</v>
      </c>
    </row>
    <row r="3290" customFormat="false" ht="15" hidden="false" customHeight="false" outlineLevel="0" collapsed="false">
      <c r="B3290" s="19" t="s">
        <v>17641</v>
      </c>
      <c r="C3290" s="20" t="n">
        <f aca="false">ROUND(42.9/FX,2)</f>
        <v>5.96</v>
      </c>
      <c r="D3290" s="21" t="s">
        <v>17591</v>
      </c>
      <c r="E3290" s="21" t="s">
        <v>17488</v>
      </c>
      <c r="F3290" s="21" t="s">
        <v>2002</v>
      </c>
      <c r="G3290" s="21" t="s">
        <v>13732</v>
      </c>
    </row>
    <row r="3291" customFormat="false" ht="15" hidden="false" customHeight="false" outlineLevel="0" collapsed="false">
      <c r="B3291" s="19" t="s">
        <v>17642</v>
      </c>
      <c r="C3291" s="20" t="n">
        <f aca="false">ROUND(46.48/FX,2)</f>
        <v>6.46</v>
      </c>
      <c r="D3291" s="21" t="s">
        <v>17591</v>
      </c>
      <c r="E3291" s="21" t="s">
        <v>17488</v>
      </c>
      <c r="F3291" s="21" t="s">
        <v>2067</v>
      </c>
      <c r="G3291" s="21" t="s">
        <v>13732</v>
      </c>
    </row>
    <row r="3292" customFormat="false" ht="15" hidden="false" customHeight="false" outlineLevel="0" collapsed="false">
      <c r="B3292" s="19" t="s">
        <v>17643</v>
      </c>
      <c r="C3292" s="20" t="n">
        <f aca="false">ROUND(17.88/FX,2)</f>
        <v>2.48</v>
      </c>
      <c r="D3292" s="21" t="s">
        <v>17591</v>
      </c>
      <c r="E3292" s="21" t="s">
        <v>17488</v>
      </c>
      <c r="F3292" s="21" t="s">
        <v>2911</v>
      </c>
      <c r="G3292" s="21" t="s">
        <v>13732</v>
      </c>
    </row>
    <row r="3293" customFormat="false" ht="15" hidden="false" customHeight="false" outlineLevel="0" collapsed="false">
      <c r="B3293" s="19" t="s">
        <v>17644</v>
      </c>
      <c r="C3293" s="20" t="n">
        <f aca="false">ROUND(53.63/FX,2)</f>
        <v>7.45</v>
      </c>
      <c r="D3293" s="21" t="s">
        <v>17591</v>
      </c>
      <c r="E3293" s="21" t="s">
        <v>17488</v>
      </c>
      <c r="F3293" s="21" t="s">
        <v>2187</v>
      </c>
      <c r="G3293" s="21" t="s">
        <v>13732</v>
      </c>
    </row>
    <row r="3294" customFormat="false" ht="15" hidden="false" customHeight="false" outlineLevel="0" collapsed="false">
      <c r="B3294" s="19" t="s">
        <v>17645</v>
      </c>
      <c r="C3294" s="20" t="n">
        <f aca="false">ROUND(67.93/FX,2)</f>
        <v>9.43</v>
      </c>
      <c r="D3294" s="21" t="s">
        <v>17591</v>
      </c>
      <c r="E3294" s="21" t="s">
        <v>17488</v>
      </c>
      <c r="F3294" s="21" t="s">
        <v>2400</v>
      </c>
      <c r="G3294" s="21" t="s">
        <v>13732</v>
      </c>
    </row>
    <row r="3295" customFormat="false" ht="15" hidden="false" customHeight="false" outlineLevel="0" collapsed="false">
      <c r="B3295" s="19" t="s">
        <v>17646</v>
      </c>
      <c r="C3295" s="20" t="n">
        <f aca="false">ROUND(82.23/FX,2)</f>
        <v>11.42</v>
      </c>
      <c r="D3295" s="21" t="s">
        <v>17591</v>
      </c>
      <c r="E3295" s="21" t="s">
        <v>17488</v>
      </c>
      <c r="F3295" s="21" t="s">
        <v>2540</v>
      </c>
      <c r="G3295" s="21" t="s">
        <v>13732</v>
      </c>
    </row>
    <row r="3296" customFormat="false" ht="15" hidden="false" customHeight="false" outlineLevel="0" collapsed="false">
      <c r="B3296" s="19" t="s">
        <v>17647</v>
      </c>
      <c r="C3296" s="20" t="n">
        <f aca="false">ROUND(16.9/FX,2)</f>
        <v>2.35</v>
      </c>
      <c r="D3296" s="21" t="s">
        <v>17591</v>
      </c>
      <c r="E3296" s="21" t="s">
        <v>17501</v>
      </c>
      <c r="F3296" s="21" t="s">
        <v>17052</v>
      </c>
      <c r="G3296" s="21" t="s">
        <v>13732</v>
      </c>
    </row>
    <row r="3297" customFormat="false" ht="15" hidden="false" customHeight="false" outlineLevel="0" collapsed="false">
      <c r="B3297" s="19" t="s">
        <v>17648</v>
      </c>
      <c r="C3297" s="20" t="n">
        <f aca="false">ROUND(24.05/FX,2)</f>
        <v>3.34</v>
      </c>
      <c r="D3297" s="21" t="s">
        <v>17591</v>
      </c>
      <c r="E3297" s="21" t="s">
        <v>17501</v>
      </c>
      <c r="F3297" s="21" t="s">
        <v>2600</v>
      </c>
      <c r="G3297" s="21" t="s">
        <v>13732</v>
      </c>
    </row>
    <row r="3298" customFormat="false" ht="15" hidden="false" customHeight="false" outlineLevel="0" collapsed="false">
      <c r="B3298" s="19" t="s">
        <v>17649</v>
      </c>
      <c r="C3298" s="20" t="n">
        <f aca="false">ROUND(88.4/FX,2)</f>
        <v>12.28</v>
      </c>
      <c r="D3298" s="21" t="s">
        <v>17591</v>
      </c>
      <c r="E3298" s="21" t="s">
        <v>17501</v>
      </c>
      <c r="F3298" s="21" t="s">
        <v>1733</v>
      </c>
      <c r="G3298" s="21" t="s">
        <v>13732</v>
      </c>
    </row>
    <row r="3299" customFormat="false" ht="15" hidden="false" customHeight="false" outlineLevel="0" collapsed="false">
      <c r="B3299" s="19" t="s">
        <v>17650</v>
      </c>
      <c r="C3299" s="20" t="n">
        <f aca="false">ROUND(31.2/FX,2)</f>
        <v>4.33</v>
      </c>
      <c r="D3299" s="21" t="s">
        <v>17591</v>
      </c>
      <c r="E3299" s="21" t="s">
        <v>17501</v>
      </c>
      <c r="F3299" s="21" t="s">
        <v>1048</v>
      </c>
      <c r="G3299" s="21" t="s">
        <v>13732</v>
      </c>
    </row>
    <row r="3300" customFormat="false" ht="15" hidden="false" customHeight="false" outlineLevel="0" collapsed="false">
      <c r="B3300" s="19" t="s">
        <v>17651</v>
      </c>
      <c r="C3300" s="20" t="n">
        <f aca="false">ROUND(34.78/FX,2)</f>
        <v>4.83</v>
      </c>
      <c r="D3300" s="21" t="s">
        <v>17591</v>
      </c>
      <c r="E3300" s="21" t="s">
        <v>17501</v>
      </c>
      <c r="F3300" s="21" t="s">
        <v>1323</v>
      </c>
      <c r="G3300" s="21" t="s">
        <v>13732</v>
      </c>
    </row>
    <row r="3301" customFormat="false" ht="15" hidden="false" customHeight="false" outlineLevel="0" collapsed="false">
      <c r="B3301" s="19" t="s">
        <v>17652</v>
      </c>
      <c r="C3301" s="20" t="n">
        <f aca="false">ROUND(38.35/FX,2)</f>
        <v>5.33</v>
      </c>
      <c r="D3301" s="21" t="s">
        <v>17591</v>
      </c>
      <c r="E3301" s="21" t="s">
        <v>17501</v>
      </c>
      <c r="F3301" s="21" t="s">
        <v>1520</v>
      </c>
      <c r="G3301" s="21" t="s">
        <v>13732</v>
      </c>
    </row>
    <row r="3302" customFormat="false" ht="15" hidden="false" customHeight="false" outlineLevel="0" collapsed="false">
      <c r="B3302" s="19" t="s">
        <v>17653</v>
      </c>
      <c r="C3302" s="20" t="n">
        <f aca="false">ROUND(45.5/FX,2)</f>
        <v>6.32</v>
      </c>
      <c r="D3302" s="21" t="s">
        <v>17591</v>
      </c>
      <c r="E3302" s="21" t="s">
        <v>17501</v>
      </c>
      <c r="F3302" s="21" t="s">
        <v>2002</v>
      </c>
      <c r="G3302" s="21" t="s">
        <v>13732</v>
      </c>
    </row>
    <row r="3303" customFormat="false" ht="15" hidden="false" customHeight="false" outlineLevel="0" collapsed="false">
      <c r="B3303" s="19" t="s">
        <v>17654</v>
      </c>
      <c r="C3303" s="20" t="n">
        <f aca="false">ROUND(49.08/FX,2)</f>
        <v>6.82</v>
      </c>
      <c r="D3303" s="21" t="s">
        <v>17591</v>
      </c>
      <c r="E3303" s="21" t="s">
        <v>17501</v>
      </c>
      <c r="F3303" s="21" t="s">
        <v>2067</v>
      </c>
      <c r="G3303" s="21" t="s">
        <v>13732</v>
      </c>
    </row>
    <row r="3304" customFormat="false" ht="15" hidden="false" customHeight="false" outlineLevel="0" collapsed="false">
      <c r="B3304" s="19" t="s">
        <v>17655</v>
      </c>
      <c r="C3304" s="20" t="n">
        <f aca="false">ROUND(20.48/FX,2)</f>
        <v>2.84</v>
      </c>
      <c r="D3304" s="21" t="s">
        <v>17591</v>
      </c>
      <c r="E3304" s="21" t="s">
        <v>17501</v>
      </c>
      <c r="F3304" s="21" t="s">
        <v>2911</v>
      </c>
      <c r="G3304" s="21" t="s">
        <v>13732</v>
      </c>
    </row>
    <row r="3305" customFormat="false" ht="15" hidden="false" customHeight="false" outlineLevel="0" collapsed="false">
      <c r="B3305" s="19" t="s">
        <v>17656</v>
      </c>
      <c r="C3305" s="20" t="n">
        <f aca="false">ROUND(56.23/FX,2)</f>
        <v>7.81</v>
      </c>
      <c r="D3305" s="21" t="s">
        <v>17591</v>
      </c>
      <c r="E3305" s="21" t="s">
        <v>17501</v>
      </c>
      <c r="F3305" s="21" t="s">
        <v>2187</v>
      </c>
      <c r="G3305" s="21" t="s">
        <v>13732</v>
      </c>
    </row>
    <row r="3306" customFormat="false" ht="15" hidden="false" customHeight="false" outlineLevel="0" collapsed="false">
      <c r="B3306" s="19" t="s">
        <v>17657</v>
      </c>
      <c r="C3306" s="20" t="n">
        <f aca="false">ROUND(70.53/FX,2)</f>
        <v>9.8</v>
      </c>
      <c r="D3306" s="21" t="s">
        <v>17591</v>
      </c>
      <c r="E3306" s="21" t="s">
        <v>17501</v>
      </c>
      <c r="F3306" s="21" t="s">
        <v>2400</v>
      </c>
      <c r="G3306" s="21" t="s">
        <v>13732</v>
      </c>
    </row>
    <row r="3309" customFormat="false" ht="61.5" hidden="false" customHeight="true" outlineLevel="0" collapsed="false">
      <c r="A3309" s="9"/>
      <c r="B3309" s="10" t="s">
        <v>17658</v>
      </c>
      <c r="C3309" s="10"/>
      <c r="D3309" s="10"/>
      <c r="E3309" s="10"/>
      <c r="F3309" s="10"/>
    </row>
    <row r="3310" customFormat="false" ht="15" hidden="false" customHeight="false" outlineLevel="0" collapsed="false">
      <c r="A3310" s="12" t="s">
        <v>700</v>
      </c>
      <c r="B3310" s="13" t="s">
        <v>701</v>
      </c>
      <c r="C3310" s="13" t="s">
        <v>702</v>
      </c>
      <c r="D3310" s="13" t="s">
        <v>6159</v>
      </c>
      <c r="E3310" s="13" t="s">
        <v>723</v>
      </c>
      <c r="F3310" s="13" t="s">
        <v>6523</v>
      </c>
    </row>
    <row r="3311" customFormat="false" ht="30" hidden="false" customHeight="true" outlineLevel="0" collapsed="false">
      <c r="A3311" s="14" t="s">
        <v>706</v>
      </c>
      <c r="B3311" s="15" t="str">
        <f aca="false">IF(COUNTIFS($D$3314:$D$3366,IF(D3311="","*",D3311),$E$3314:$E$3366,IF(E3311="","*",E3311),$F$3314:$F$3366,IF(F3311="","*",F3311))=1,INDEX($B:$B,SUMPRODUCT(((D3311="")+($D$3314:$D$3366=D3311)&gt;0)*((E3311="")+($E$3314:$E$3366=E3311)&gt;0)*((F3311="")+($F$3314:$F$3366=F3311)&gt;0)*ROW($B$3314:$B$3366))),IF(COUNTIFS($D$3314:$D$3366,IF(D3311="","*",D3311),$E$3314:$E$3366,IF(E3311="","*",E3311),$F$3314:$F$3366,IF(F3311="","*",F3311))=0,"Not available",COUNTIFS($D$3314:$D$3366,IF(D3311="","*",D3311),$E$3314:$E$3366,IF(E3311="","*",E3311),$F$3314:$F$3366,IF(F3311="","*",F3311))&amp;" match, keep choosing"))</f>
        <v>SBR-SBR10-AP</v>
      </c>
      <c r="C3311" s="16" t="n">
        <f aca="false">IF(COUNTIFS($D$3314:$D$3366,IF(D3311="","*",D3311),$E$3314:$E$3366,IF(E3311="","*",E3311),$F$3314:$F$3366,IF(F3311="","*",F3311))=1,INDEX($C:$C,SUMPRODUCT(((D3311="")+($D$3314:$D$3366=D3311)&gt;0)*((E3311="")+($E$3314:$E$3366=E3311)&gt;0)*((F3311="")+($F$3314:$F$3366=F3311)&gt;0)*ROW($B$3314:$B$3366))),"")</f>
        <v>3.61</v>
      </c>
      <c r="D3311" s="17" t="s">
        <v>13161</v>
      </c>
      <c r="E3311" s="17" t="s">
        <v>17659</v>
      </c>
      <c r="F3311" s="17" t="s">
        <v>15458</v>
      </c>
    </row>
    <row r="3313" customFormat="false" ht="15" hidden="false" customHeight="false" outlineLevel="0" collapsed="false">
      <c r="B3313" s="18" t="s">
        <v>701</v>
      </c>
      <c r="C3313" s="18" t="s">
        <v>702</v>
      </c>
      <c r="D3313" s="18" t="s">
        <v>6159</v>
      </c>
      <c r="E3313" s="18" t="s">
        <v>723</v>
      </c>
      <c r="F3313" s="18" t="s">
        <v>6523</v>
      </c>
    </row>
    <row r="3314" customFormat="false" ht="28.35" hidden="false" customHeight="false" outlineLevel="0" collapsed="false">
      <c r="B3314" s="19" t="s">
        <v>17660</v>
      </c>
      <c r="C3314" s="20" t="n">
        <f aca="false">ROUND(26/FX,2)</f>
        <v>3.61</v>
      </c>
      <c r="D3314" s="21" t="s">
        <v>13161</v>
      </c>
      <c r="E3314" s="21" t="s">
        <v>17659</v>
      </c>
      <c r="F3314" s="21" t="s">
        <v>15458</v>
      </c>
    </row>
    <row r="3315" customFormat="false" ht="15" hidden="false" customHeight="false" outlineLevel="0" collapsed="false">
      <c r="B3315" s="19" t="s">
        <v>17661</v>
      </c>
      <c r="C3315" s="20" t="n">
        <f aca="false">ROUND(18.2/FX,2)</f>
        <v>2.53</v>
      </c>
      <c r="D3315" s="21" t="s">
        <v>17662</v>
      </c>
      <c r="E3315" s="21" t="s">
        <v>17110</v>
      </c>
      <c r="F3315" s="21" t="s">
        <v>15458</v>
      </c>
    </row>
    <row r="3316" customFormat="false" ht="15" hidden="false" customHeight="false" outlineLevel="0" collapsed="false">
      <c r="B3316" s="19" t="s">
        <v>17663</v>
      </c>
      <c r="C3316" s="20" t="n">
        <f aca="false">ROUND(8.7/FX,2)</f>
        <v>1.21</v>
      </c>
      <c r="D3316" s="21" t="s">
        <v>17664</v>
      </c>
      <c r="E3316" s="21" t="s">
        <v>734</v>
      </c>
      <c r="F3316" s="21" t="s">
        <v>15458</v>
      </c>
    </row>
    <row r="3317" customFormat="false" ht="28.35" hidden="false" customHeight="false" outlineLevel="0" collapsed="false">
      <c r="B3317" s="19" t="s">
        <v>17665</v>
      </c>
      <c r="C3317" s="20" t="n">
        <f aca="false">ROUND(13/FX,2)</f>
        <v>1.81</v>
      </c>
      <c r="D3317" s="21" t="s">
        <v>13188</v>
      </c>
      <c r="E3317" s="21" t="s">
        <v>17659</v>
      </c>
      <c r="F3317" s="21" t="s">
        <v>15458</v>
      </c>
    </row>
    <row r="3318" customFormat="false" ht="28.35" hidden="false" customHeight="false" outlineLevel="0" collapsed="false">
      <c r="B3318" s="19" t="s">
        <v>17666</v>
      </c>
      <c r="C3318" s="20" t="n">
        <f aca="false">ROUND(28.6/FX,2)</f>
        <v>3.97</v>
      </c>
      <c r="D3318" s="21" t="s">
        <v>17667</v>
      </c>
      <c r="E3318" s="21" t="s">
        <v>17668</v>
      </c>
      <c r="F3318" s="21" t="s">
        <v>15458</v>
      </c>
    </row>
    <row r="3319" customFormat="false" ht="15" hidden="false" customHeight="false" outlineLevel="0" collapsed="false">
      <c r="B3319" s="19" t="s">
        <v>17669</v>
      </c>
      <c r="C3319" s="20" t="n">
        <f aca="false">ROUND(19.5/FX,2)</f>
        <v>2.71</v>
      </c>
      <c r="D3319" s="21" t="s">
        <v>17670</v>
      </c>
      <c r="E3319" s="21" t="s">
        <v>17110</v>
      </c>
      <c r="F3319" s="21" t="s">
        <v>15458</v>
      </c>
    </row>
    <row r="3320" customFormat="false" ht="15" hidden="false" customHeight="false" outlineLevel="0" collapsed="false">
      <c r="B3320" s="19" t="s">
        <v>17671</v>
      </c>
      <c r="C3320" s="20" t="n">
        <f aca="false">ROUND(7.54/FX,2)</f>
        <v>1.05</v>
      </c>
      <c r="D3320" s="21" t="s">
        <v>17672</v>
      </c>
      <c r="E3320" s="21" t="s">
        <v>734</v>
      </c>
      <c r="F3320" s="21" t="s">
        <v>15458</v>
      </c>
    </row>
    <row r="3321" customFormat="false" ht="15" hidden="false" customHeight="false" outlineLevel="0" collapsed="false">
      <c r="B3321" s="19" t="s">
        <v>17673</v>
      </c>
      <c r="C3321" s="20" t="n">
        <f aca="false">ROUND(11.1/FX,2)</f>
        <v>1.54</v>
      </c>
      <c r="D3321" s="21" t="s">
        <v>17674</v>
      </c>
      <c r="E3321" s="21" t="s">
        <v>734</v>
      </c>
      <c r="F3321" s="21" t="s">
        <v>15458</v>
      </c>
    </row>
    <row r="3322" customFormat="false" ht="28.35" hidden="false" customHeight="false" outlineLevel="0" collapsed="false">
      <c r="B3322" s="19" t="s">
        <v>17675</v>
      </c>
      <c r="C3322" s="20" t="n">
        <f aca="false">ROUND(15.6/FX,2)</f>
        <v>2.17</v>
      </c>
      <c r="D3322" s="21" t="s">
        <v>13210</v>
      </c>
      <c r="E3322" s="21" t="s">
        <v>17659</v>
      </c>
      <c r="F3322" s="21" t="s">
        <v>15458</v>
      </c>
    </row>
    <row r="3323" customFormat="false" ht="28.35" hidden="false" customHeight="false" outlineLevel="0" collapsed="false">
      <c r="B3323" s="19" t="s">
        <v>17676</v>
      </c>
      <c r="C3323" s="20" t="n">
        <f aca="false">ROUND(31.85/FX,2)</f>
        <v>4.42</v>
      </c>
      <c r="D3323" s="21" t="s">
        <v>17677</v>
      </c>
      <c r="E3323" s="21" t="s">
        <v>17668</v>
      </c>
      <c r="F3323" s="21" t="s">
        <v>15458</v>
      </c>
    </row>
    <row r="3324" customFormat="false" ht="41.75" hidden="false" customHeight="false" outlineLevel="0" collapsed="false">
      <c r="B3324" s="19" t="s">
        <v>17678</v>
      </c>
      <c r="C3324" s="20" t="n">
        <f aca="false">ROUND(19.5/FX,2)</f>
        <v>2.71</v>
      </c>
      <c r="D3324" s="21" t="s">
        <v>17679</v>
      </c>
      <c r="E3324" s="21" t="s">
        <v>17680</v>
      </c>
      <c r="F3324" s="21" t="s">
        <v>15458</v>
      </c>
    </row>
    <row r="3325" customFormat="false" ht="15" hidden="false" customHeight="false" outlineLevel="0" collapsed="false">
      <c r="B3325" s="19" t="s">
        <v>17681</v>
      </c>
      <c r="C3325" s="20" t="n">
        <f aca="false">ROUND(7.44/FX,2)</f>
        <v>1.03</v>
      </c>
      <c r="D3325" s="21" t="s">
        <v>17682</v>
      </c>
      <c r="E3325" s="21" t="s">
        <v>17683</v>
      </c>
      <c r="F3325" s="21" t="s">
        <v>17684</v>
      </c>
    </row>
    <row r="3326" customFormat="false" ht="15" hidden="false" customHeight="false" outlineLevel="0" collapsed="false">
      <c r="B3326" s="19" t="s">
        <v>17685</v>
      </c>
      <c r="C3326" s="20" t="n">
        <f aca="false">ROUND(10.4/FX,2)</f>
        <v>1.44</v>
      </c>
      <c r="D3326" s="21" t="s">
        <v>17682</v>
      </c>
      <c r="E3326" s="21" t="s">
        <v>17683</v>
      </c>
      <c r="F3326" s="21" t="s">
        <v>17686</v>
      </c>
    </row>
    <row r="3327" customFormat="false" ht="15" hidden="false" customHeight="false" outlineLevel="0" collapsed="false">
      <c r="B3327" s="19" t="s">
        <v>17687</v>
      </c>
      <c r="C3327" s="20" t="n">
        <f aca="false">ROUND(11.57/FX,2)</f>
        <v>1.61</v>
      </c>
      <c r="D3327" s="21" t="s">
        <v>17682</v>
      </c>
      <c r="E3327" s="21" t="s">
        <v>17688</v>
      </c>
      <c r="F3327" s="21" t="s">
        <v>17686</v>
      </c>
    </row>
    <row r="3328" customFormat="false" ht="28.35" hidden="false" customHeight="false" outlineLevel="0" collapsed="false">
      <c r="B3328" s="19" t="s">
        <v>17689</v>
      </c>
      <c r="C3328" s="20" t="n">
        <f aca="false">ROUND(15.6/FX,2)</f>
        <v>2.17</v>
      </c>
      <c r="D3328" s="21" t="s">
        <v>17682</v>
      </c>
      <c r="E3328" s="21" t="s">
        <v>17690</v>
      </c>
      <c r="F3328" s="21" t="s">
        <v>15458</v>
      </c>
    </row>
    <row r="3329" customFormat="false" ht="28.35" hidden="false" customHeight="false" outlineLevel="0" collapsed="false">
      <c r="B3329" s="19" t="s">
        <v>17691</v>
      </c>
      <c r="C3329" s="20" t="n">
        <f aca="false">ROUND(16.25/FX,2)</f>
        <v>2.26</v>
      </c>
      <c r="D3329" s="21" t="s">
        <v>17682</v>
      </c>
      <c r="E3329" s="21" t="s">
        <v>17692</v>
      </c>
      <c r="F3329" s="21" t="s">
        <v>15458</v>
      </c>
    </row>
    <row r="3330" customFormat="false" ht="15" hidden="false" customHeight="false" outlineLevel="0" collapsed="false">
      <c r="B3330" s="19" t="s">
        <v>17693</v>
      </c>
      <c r="C3330" s="20" t="n">
        <f aca="false">ROUND(19.5/FX,2)</f>
        <v>2.71</v>
      </c>
      <c r="D3330" s="21" t="s">
        <v>17682</v>
      </c>
      <c r="E3330" s="21" t="s">
        <v>17694</v>
      </c>
      <c r="F3330" s="21" t="s">
        <v>15458</v>
      </c>
    </row>
    <row r="3331" customFormat="false" ht="28.35" hidden="false" customHeight="false" outlineLevel="0" collapsed="false">
      <c r="B3331" s="19" t="s">
        <v>17695</v>
      </c>
      <c r="C3331" s="20" t="n">
        <f aca="false">ROUND(19.5/FX,2)</f>
        <v>2.71</v>
      </c>
      <c r="D3331" s="21" t="s">
        <v>13230</v>
      </c>
      <c r="E3331" s="21" t="s">
        <v>17659</v>
      </c>
      <c r="F3331" s="21" t="s">
        <v>15458</v>
      </c>
    </row>
    <row r="3332" customFormat="false" ht="28.35" hidden="false" customHeight="false" outlineLevel="0" collapsed="false">
      <c r="B3332" s="19" t="s">
        <v>17696</v>
      </c>
      <c r="C3332" s="20" t="n">
        <f aca="false">ROUND(40.3/FX,2)</f>
        <v>5.6</v>
      </c>
      <c r="D3332" s="21" t="s">
        <v>17697</v>
      </c>
      <c r="E3332" s="21" t="s">
        <v>17668</v>
      </c>
      <c r="F3332" s="21" t="s">
        <v>15458</v>
      </c>
    </row>
    <row r="3333" customFormat="false" ht="41.75" hidden="false" customHeight="false" outlineLevel="0" collapsed="false">
      <c r="B3333" s="19" t="s">
        <v>17698</v>
      </c>
      <c r="C3333" s="20" t="n">
        <f aca="false">ROUND(20.8/FX,2)</f>
        <v>2.89</v>
      </c>
      <c r="D3333" s="21" t="s">
        <v>17699</v>
      </c>
      <c r="E3333" s="21" t="s">
        <v>17680</v>
      </c>
      <c r="F3333" s="21" t="s">
        <v>15458</v>
      </c>
    </row>
    <row r="3334" customFormat="false" ht="15" hidden="false" customHeight="false" outlineLevel="0" collapsed="false">
      <c r="B3334" s="19" t="s">
        <v>17700</v>
      </c>
      <c r="C3334" s="20" t="n">
        <f aca="false">ROUND(8.58/FX,2)</f>
        <v>1.19</v>
      </c>
      <c r="D3334" s="21" t="s">
        <v>17701</v>
      </c>
      <c r="E3334" s="21" t="s">
        <v>17683</v>
      </c>
      <c r="F3334" s="21" t="s">
        <v>15458</v>
      </c>
    </row>
    <row r="3335" customFormat="false" ht="15" hidden="false" customHeight="false" outlineLevel="0" collapsed="false">
      <c r="B3335" s="19" t="s">
        <v>17702</v>
      </c>
      <c r="C3335" s="20" t="n">
        <f aca="false">ROUND(12.35/FX,2)</f>
        <v>1.72</v>
      </c>
      <c r="D3335" s="21" t="s">
        <v>17701</v>
      </c>
      <c r="E3335" s="21" t="s">
        <v>17703</v>
      </c>
      <c r="F3335" s="21" t="s">
        <v>15458</v>
      </c>
    </row>
    <row r="3336" customFormat="false" ht="28.35" hidden="false" customHeight="false" outlineLevel="0" collapsed="false">
      <c r="B3336" s="19" t="s">
        <v>17704</v>
      </c>
      <c r="C3336" s="20" t="n">
        <f aca="false">ROUND(19.5/FX,2)</f>
        <v>2.71</v>
      </c>
      <c r="D3336" s="21" t="s">
        <v>17701</v>
      </c>
      <c r="E3336" s="21" t="s">
        <v>17690</v>
      </c>
      <c r="F3336" s="21" t="s">
        <v>15458</v>
      </c>
    </row>
    <row r="3337" customFormat="false" ht="28.35" hidden="false" customHeight="false" outlineLevel="0" collapsed="false">
      <c r="B3337" s="19" t="s">
        <v>17705</v>
      </c>
      <c r="C3337" s="20" t="n">
        <f aca="false">ROUND(17.55/FX,2)</f>
        <v>2.44</v>
      </c>
      <c r="D3337" s="21" t="s">
        <v>17701</v>
      </c>
      <c r="E3337" s="21" t="s">
        <v>17692</v>
      </c>
      <c r="F3337" s="21" t="s">
        <v>15458</v>
      </c>
    </row>
    <row r="3338" customFormat="false" ht="15" hidden="false" customHeight="false" outlineLevel="0" collapsed="false">
      <c r="B3338" s="19" t="s">
        <v>17706</v>
      </c>
      <c r="C3338" s="20" t="n">
        <f aca="false">ROUND(22.1/FX,2)</f>
        <v>3.07</v>
      </c>
      <c r="D3338" s="21" t="s">
        <v>17701</v>
      </c>
      <c r="E3338" s="21" t="s">
        <v>17694</v>
      </c>
      <c r="F3338" s="21" t="s">
        <v>15458</v>
      </c>
    </row>
    <row r="3339" customFormat="false" ht="15" hidden="false" customHeight="false" outlineLevel="0" collapsed="false">
      <c r="B3339" s="19" t="s">
        <v>17707</v>
      </c>
      <c r="C3339" s="20" t="n">
        <f aca="false">ROUND(13.26/FX,2)</f>
        <v>1.84</v>
      </c>
      <c r="D3339" s="21" t="s">
        <v>17701</v>
      </c>
      <c r="E3339" s="21" t="s">
        <v>17708</v>
      </c>
      <c r="F3339" s="21" t="s">
        <v>15458</v>
      </c>
    </row>
    <row r="3340" customFormat="false" ht="28.35" hidden="false" customHeight="false" outlineLevel="0" collapsed="false">
      <c r="B3340" s="19" t="s">
        <v>17709</v>
      </c>
      <c r="C3340" s="20" t="n">
        <f aca="false">ROUND(32.5/FX,2)</f>
        <v>4.51</v>
      </c>
      <c r="D3340" s="21" t="s">
        <v>13243</v>
      </c>
      <c r="E3340" s="21" t="s">
        <v>17659</v>
      </c>
      <c r="F3340" s="21" t="s">
        <v>15458</v>
      </c>
    </row>
    <row r="3341" customFormat="false" ht="28.35" hidden="false" customHeight="false" outlineLevel="0" collapsed="false">
      <c r="B3341" s="19" t="s">
        <v>17710</v>
      </c>
      <c r="C3341" s="20" t="n">
        <f aca="false">ROUND(65/FX,2)</f>
        <v>9.03</v>
      </c>
      <c r="D3341" s="21" t="s">
        <v>17711</v>
      </c>
      <c r="E3341" s="21" t="s">
        <v>17668</v>
      </c>
      <c r="F3341" s="21" t="s">
        <v>15458</v>
      </c>
    </row>
    <row r="3342" customFormat="false" ht="15" hidden="false" customHeight="false" outlineLevel="0" collapsed="false">
      <c r="B3342" s="19" t="s">
        <v>17712</v>
      </c>
      <c r="C3342" s="20" t="n">
        <f aca="false">ROUND(43/FX,2)</f>
        <v>5.97</v>
      </c>
      <c r="D3342" s="21" t="s">
        <v>17713</v>
      </c>
      <c r="E3342" s="21" t="s">
        <v>17110</v>
      </c>
      <c r="F3342" s="21" t="s">
        <v>15458</v>
      </c>
    </row>
    <row r="3343" customFormat="false" ht="15" hidden="false" customHeight="false" outlineLevel="0" collapsed="false">
      <c r="B3343" s="19" t="s">
        <v>17714</v>
      </c>
      <c r="C3343" s="20" t="n">
        <f aca="false">ROUND(18.2/FX,2)</f>
        <v>2.53</v>
      </c>
      <c r="D3343" s="21" t="s">
        <v>17715</v>
      </c>
      <c r="E3343" s="21" t="s">
        <v>734</v>
      </c>
      <c r="F3343" s="21" t="s">
        <v>15458</v>
      </c>
    </row>
    <row r="3344" customFormat="false" ht="28.35" hidden="false" customHeight="false" outlineLevel="0" collapsed="false">
      <c r="B3344" s="19" t="s">
        <v>17716</v>
      </c>
      <c r="C3344" s="20" t="n">
        <f aca="false">ROUND(28.6/FX,2)</f>
        <v>3.97</v>
      </c>
      <c r="D3344" s="21" t="s">
        <v>17715</v>
      </c>
      <c r="E3344" s="21" t="s">
        <v>17690</v>
      </c>
      <c r="F3344" s="21" t="s">
        <v>15458</v>
      </c>
    </row>
    <row r="3345" customFormat="false" ht="28.35" hidden="false" customHeight="false" outlineLevel="0" collapsed="false">
      <c r="B3345" s="19" t="s">
        <v>17717</v>
      </c>
      <c r="C3345" s="20" t="n">
        <f aca="false">ROUND(27.95/FX,2)</f>
        <v>3.88</v>
      </c>
      <c r="D3345" s="21" t="s">
        <v>17715</v>
      </c>
      <c r="E3345" s="21" t="s">
        <v>17692</v>
      </c>
      <c r="F3345" s="21" t="s">
        <v>15458</v>
      </c>
    </row>
    <row r="3346" customFormat="false" ht="15" hidden="false" customHeight="false" outlineLevel="0" collapsed="false">
      <c r="B3346" s="19" t="s">
        <v>17718</v>
      </c>
      <c r="C3346" s="20" t="n">
        <f aca="false">ROUND(29.9/FX,2)</f>
        <v>4.15</v>
      </c>
      <c r="D3346" s="21" t="s">
        <v>17715</v>
      </c>
      <c r="E3346" s="21" t="s">
        <v>17694</v>
      </c>
      <c r="F3346" s="21" t="s">
        <v>15458</v>
      </c>
    </row>
    <row r="3347" customFormat="false" ht="28.35" hidden="false" customHeight="false" outlineLevel="0" collapsed="false">
      <c r="B3347" s="19" t="s">
        <v>17719</v>
      </c>
      <c r="C3347" s="20" t="n">
        <f aca="false">ROUND(37.7/FX,2)</f>
        <v>5.24</v>
      </c>
      <c r="D3347" s="21" t="s">
        <v>13259</v>
      </c>
      <c r="E3347" s="21" t="s">
        <v>17659</v>
      </c>
      <c r="F3347" s="21" t="s">
        <v>15458</v>
      </c>
    </row>
    <row r="3348" customFormat="false" ht="28.35" hidden="false" customHeight="false" outlineLevel="0" collapsed="false">
      <c r="B3348" s="19" t="s">
        <v>17720</v>
      </c>
      <c r="C3348" s="20" t="n">
        <f aca="false">ROUND(85.8/FX,2)</f>
        <v>11.92</v>
      </c>
      <c r="D3348" s="21" t="s">
        <v>17721</v>
      </c>
      <c r="E3348" s="21" t="s">
        <v>17668</v>
      </c>
      <c r="F3348" s="21" t="s">
        <v>15458</v>
      </c>
    </row>
    <row r="3349" customFormat="false" ht="41.75" hidden="false" customHeight="false" outlineLevel="0" collapsed="false">
      <c r="B3349" s="19" t="s">
        <v>17722</v>
      </c>
      <c r="C3349" s="20" t="n">
        <f aca="false">ROUND(52/FX,2)</f>
        <v>7.22</v>
      </c>
      <c r="D3349" s="21" t="s">
        <v>17723</v>
      </c>
      <c r="E3349" s="21" t="s">
        <v>17680</v>
      </c>
      <c r="F3349" s="21" t="s">
        <v>15458</v>
      </c>
    </row>
    <row r="3350" customFormat="false" ht="15" hidden="false" customHeight="false" outlineLevel="0" collapsed="false">
      <c r="B3350" s="19" t="s">
        <v>17724</v>
      </c>
      <c r="C3350" s="20" t="n">
        <f aca="false">ROUND(22.1/FX,2)</f>
        <v>3.07</v>
      </c>
      <c r="D3350" s="21" t="s">
        <v>17725</v>
      </c>
      <c r="E3350" s="21" t="s">
        <v>734</v>
      </c>
      <c r="F3350" s="21" t="s">
        <v>15458</v>
      </c>
    </row>
    <row r="3351" customFormat="false" ht="28.35" hidden="false" customHeight="false" outlineLevel="0" collapsed="false">
      <c r="B3351" s="19" t="s">
        <v>17726</v>
      </c>
      <c r="C3351" s="20" t="n">
        <f aca="false">ROUND(29.25/FX,2)</f>
        <v>4.06</v>
      </c>
      <c r="D3351" s="21" t="s">
        <v>17725</v>
      </c>
      <c r="E3351" s="21" t="s">
        <v>17690</v>
      </c>
      <c r="F3351" s="21" t="s">
        <v>15458</v>
      </c>
    </row>
    <row r="3352" customFormat="false" ht="28.35" hidden="false" customHeight="false" outlineLevel="0" collapsed="false">
      <c r="B3352" s="19" t="s">
        <v>17727</v>
      </c>
      <c r="C3352" s="20" t="n">
        <f aca="false">ROUND(31.85/FX,2)</f>
        <v>4.42</v>
      </c>
      <c r="D3352" s="21" t="s">
        <v>17725</v>
      </c>
      <c r="E3352" s="21" t="s">
        <v>17692</v>
      </c>
      <c r="F3352" s="21" t="s">
        <v>15458</v>
      </c>
    </row>
    <row r="3353" customFormat="false" ht="15" hidden="false" customHeight="false" outlineLevel="0" collapsed="false">
      <c r="B3353" s="19" t="s">
        <v>17728</v>
      </c>
      <c r="C3353" s="20" t="n">
        <f aca="false">ROUND(41.6/FX,2)</f>
        <v>5.78</v>
      </c>
      <c r="D3353" s="21" t="s">
        <v>17725</v>
      </c>
      <c r="E3353" s="21" t="s">
        <v>17694</v>
      </c>
      <c r="F3353" s="21" t="s">
        <v>15458</v>
      </c>
    </row>
    <row r="3354" customFormat="false" ht="28.35" hidden="false" customHeight="false" outlineLevel="0" collapsed="false">
      <c r="B3354" s="19" t="s">
        <v>17729</v>
      </c>
      <c r="C3354" s="20" t="n">
        <f aca="false">ROUND(54.6/FX,2)</f>
        <v>7.58</v>
      </c>
      <c r="D3354" s="21" t="s">
        <v>13262</v>
      </c>
      <c r="E3354" s="21" t="s">
        <v>17659</v>
      </c>
      <c r="F3354" s="21" t="s">
        <v>15458</v>
      </c>
    </row>
    <row r="3355" customFormat="false" ht="28.35" hidden="false" customHeight="false" outlineLevel="0" collapsed="false">
      <c r="B3355" s="19" t="s">
        <v>17730</v>
      </c>
      <c r="C3355" s="20" t="n">
        <f aca="false">ROUND(128.7/FX,2)</f>
        <v>17.88</v>
      </c>
      <c r="D3355" s="21" t="s">
        <v>17731</v>
      </c>
      <c r="E3355" s="21" t="s">
        <v>17668</v>
      </c>
      <c r="F3355" s="21" t="s">
        <v>15458</v>
      </c>
    </row>
    <row r="3356" customFormat="false" ht="15" hidden="false" customHeight="false" outlineLevel="0" collapsed="false">
      <c r="B3356" s="19" t="s">
        <v>17732</v>
      </c>
      <c r="C3356" s="20" t="n">
        <f aca="false">ROUND(85/FX,2)</f>
        <v>11.81</v>
      </c>
      <c r="D3356" s="21" t="s">
        <v>17733</v>
      </c>
      <c r="E3356" s="21" t="s">
        <v>17110</v>
      </c>
      <c r="F3356" s="21" t="s">
        <v>15458</v>
      </c>
    </row>
    <row r="3357" customFormat="false" ht="28.35" hidden="false" customHeight="false" outlineLevel="0" collapsed="false">
      <c r="B3357" s="19" t="s">
        <v>17734</v>
      </c>
      <c r="C3357" s="20" t="n">
        <f aca="false">ROUND(48.75/FX,2)</f>
        <v>6.77</v>
      </c>
      <c r="D3357" s="21" t="s">
        <v>17735</v>
      </c>
      <c r="E3357" s="21" t="s">
        <v>17690</v>
      </c>
      <c r="F3357" s="21" t="s">
        <v>15458</v>
      </c>
    </row>
    <row r="3358" customFormat="false" ht="28.35" hidden="false" customHeight="false" outlineLevel="0" collapsed="false">
      <c r="B3358" s="19" t="s">
        <v>17736</v>
      </c>
      <c r="C3358" s="20" t="n">
        <f aca="false">ROUND(51.35/FX,2)</f>
        <v>7.13</v>
      </c>
      <c r="D3358" s="21" t="s">
        <v>17735</v>
      </c>
      <c r="E3358" s="21" t="s">
        <v>17692</v>
      </c>
      <c r="F3358" s="21" t="s">
        <v>15458</v>
      </c>
    </row>
    <row r="3359" customFormat="false" ht="28.35" hidden="false" customHeight="false" outlineLevel="0" collapsed="false">
      <c r="B3359" s="19" t="s">
        <v>17737</v>
      </c>
      <c r="C3359" s="20" t="n">
        <f aca="false">ROUND(85.8/FX,2)</f>
        <v>11.92</v>
      </c>
      <c r="D3359" s="21" t="s">
        <v>13265</v>
      </c>
      <c r="E3359" s="21" t="s">
        <v>17659</v>
      </c>
      <c r="F3359" s="21" t="s">
        <v>15458</v>
      </c>
    </row>
    <row r="3360" customFormat="false" ht="28.35" hidden="false" customHeight="false" outlineLevel="0" collapsed="false">
      <c r="B3360" s="19" t="s">
        <v>17738</v>
      </c>
      <c r="C3360" s="20" t="n">
        <f aca="false">ROUND(214.5/FX,2)</f>
        <v>29.79</v>
      </c>
      <c r="D3360" s="21" t="s">
        <v>17739</v>
      </c>
      <c r="E3360" s="21" t="s">
        <v>17668</v>
      </c>
      <c r="F3360" s="21" t="s">
        <v>15458</v>
      </c>
    </row>
    <row r="3361" customFormat="false" ht="15" hidden="false" customHeight="false" outlineLevel="0" collapsed="false">
      <c r="B3361" s="19" t="s">
        <v>17740</v>
      </c>
      <c r="C3361" s="20" t="n">
        <f aca="false">ROUND(95/FX,2)</f>
        <v>13.19</v>
      </c>
      <c r="D3361" s="21" t="s">
        <v>17741</v>
      </c>
      <c r="E3361" s="21" t="s">
        <v>17110</v>
      </c>
      <c r="F3361" s="21" t="s">
        <v>15458</v>
      </c>
    </row>
    <row r="3362" customFormat="false" ht="28.35" hidden="false" customHeight="false" outlineLevel="0" collapsed="false">
      <c r="B3362" s="19" t="s">
        <v>17742</v>
      </c>
      <c r="C3362" s="20" t="n">
        <f aca="false">ROUND(60.45/FX,2)</f>
        <v>8.4</v>
      </c>
      <c r="D3362" s="21" t="s">
        <v>17743</v>
      </c>
      <c r="E3362" s="21" t="s">
        <v>17690</v>
      </c>
      <c r="F3362" s="21" t="s">
        <v>15458</v>
      </c>
    </row>
    <row r="3363" customFormat="false" ht="28.35" hidden="false" customHeight="false" outlineLevel="0" collapsed="false">
      <c r="B3363" s="19" t="s">
        <v>17744</v>
      </c>
      <c r="C3363" s="20" t="n">
        <f aca="false">ROUND(63.05/FX,2)</f>
        <v>8.76</v>
      </c>
      <c r="D3363" s="21" t="s">
        <v>17743</v>
      </c>
      <c r="E3363" s="21" t="s">
        <v>17692</v>
      </c>
      <c r="F3363" s="21" t="s">
        <v>15458</v>
      </c>
    </row>
    <row r="3364" customFormat="false" ht="28.35" hidden="false" customHeight="false" outlineLevel="0" collapsed="false">
      <c r="B3364" s="19" t="s">
        <v>17745</v>
      </c>
      <c r="C3364" s="20" t="n">
        <f aca="false">ROUND(413.4/FX,2)</f>
        <v>57.42</v>
      </c>
      <c r="D3364" s="21" t="s">
        <v>17746</v>
      </c>
      <c r="E3364" s="21" t="s">
        <v>17659</v>
      </c>
      <c r="F3364" s="21" t="s">
        <v>15458</v>
      </c>
    </row>
    <row r="3365" customFormat="false" ht="28.35" hidden="false" customHeight="false" outlineLevel="0" collapsed="false">
      <c r="B3365" s="19" t="s">
        <v>17747</v>
      </c>
      <c r="C3365" s="20" t="n">
        <f aca="false">ROUND(809.9/FX,2)</f>
        <v>112.49</v>
      </c>
      <c r="D3365" s="21" t="s">
        <v>17748</v>
      </c>
      <c r="E3365" s="21" t="s">
        <v>17668</v>
      </c>
      <c r="F3365" s="21" t="s">
        <v>15458</v>
      </c>
    </row>
    <row r="3366" customFormat="false" ht="15" hidden="false" customHeight="false" outlineLevel="0" collapsed="false">
      <c r="B3366" s="19" t="s">
        <v>17749</v>
      </c>
      <c r="C3366" s="20" t="n">
        <f aca="false">ROUND(280/FX,2)</f>
        <v>38.89</v>
      </c>
      <c r="D3366" s="21" t="s">
        <v>17750</v>
      </c>
      <c r="E3366" s="21" t="s">
        <v>17110</v>
      </c>
      <c r="F3366" s="21" t="s">
        <v>15458</v>
      </c>
    </row>
    <row r="3369" customFormat="false" ht="61.5" hidden="false" customHeight="true" outlineLevel="0" collapsed="false">
      <c r="A3369" s="9"/>
      <c r="B3369" s="10" t="s">
        <v>17751</v>
      </c>
      <c r="C3369" s="10"/>
      <c r="D3369" s="10"/>
      <c r="E3369" s="10"/>
      <c r="F3369" s="10"/>
      <c r="G3369" s="10"/>
    </row>
    <row r="3370" customFormat="false" ht="15" hidden="false" customHeight="false" outlineLevel="0" collapsed="false">
      <c r="A3370" s="12" t="s">
        <v>700</v>
      </c>
      <c r="B3370" s="13" t="s">
        <v>701</v>
      </c>
      <c r="C3370" s="13" t="s">
        <v>702</v>
      </c>
      <c r="D3370" s="13" t="s">
        <v>722</v>
      </c>
      <c r="E3370" s="13" t="s">
        <v>6159</v>
      </c>
      <c r="F3370" s="13" t="s">
        <v>723</v>
      </c>
      <c r="G3370" s="13" t="s">
        <v>6559</v>
      </c>
    </row>
    <row r="3371" customFormat="false" ht="30" hidden="false" customHeight="true" outlineLevel="0" collapsed="false">
      <c r="A3371" s="14" t="s">
        <v>706</v>
      </c>
      <c r="B3371" s="15" t="str">
        <f aca="false">IF(COUNTIFS($D$3374:$D$3431,IF(D3371="","*",D3371),$E$3374:$E$3431,IF(E3371="","*",E3371),$F$3374:$F$3431,IF(F3371="","*",F3371),$G$3374:$G$3431,IF(G3371="","*",G3371))=1,INDEX($B:$B,SUMPRODUCT(((D3371="")+($D$3374:$D$3431=D3371)&gt;0)*((E3371="")+($E$3374:$E$3431=E3371)&gt;0)*((F3371="")+($F$3374:$F$3431=F3371)&gt;0)*((G3371="")+($G$3374:$G$3431=G3371)&gt;0)*ROW($B$3374:$B$3431))),IF(COUNTIFS($D$3374:$D$3431,IF(D3371="","*",D3371),$E$3374:$E$3431,IF(E3371="","*",E3371),$F$3374:$F$3431,IF(F3371="","*",F3371),$G$3374:$G$3431,IF(G3371="","*",G3371))=0,"Not available",COUNTIFS($D$3374:$D$3431,IF(D3371="","*",D3371),$E$3374:$E$3431,IF(E3371="","*",E3371),$F$3374:$F$3431,IF(F3371="","*",F3371),$G$3374:$G$3431,IF(G3371="","*",G3371))&amp;" match, keep choosing"))</f>
        <v>SCS-SCS10LUU-SV-L</v>
      </c>
      <c r="C3371" s="16" t="n">
        <f aca="false">IF(COUNTIFS($D$3374:$D$3431,IF(D3371="","*",D3371),$E$3374:$E$3431,IF(E3371="","*",E3371),$F$3374:$F$3431,IF(F3371="","*",F3371),$G$3374:$G$3431,IF(G3371="","*",G3371))=1,INDEX($C:$C,SUMPRODUCT(((D3371="")+($D$3374:$D$3431=D3371)&gt;0)*((E3371="")+($E$3374:$E$3431=E3371)&gt;0)*((F3371="")+($F$3374:$F$3431=F3371)&gt;0)*((G3371="")+($G$3374:$G$3431=G3371)&gt;0)*ROW($B$3374:$B$3431))),"")</f>
        <v>1.44</v>
      </c>
      <c r="D3371" s="17" t="s">
        <v>6549</v>
      </c>
      <c r="E3371" s="17" t="s">
        <v>17752</v>
      </c>
      <c r="F3371" s="17" t="s">
        <v>17110</v>
      </c>
      <c r="G3371" s="17" t="s">
        <v>15458</v>
      </c>
    </row>
    <row r="3373" customFormat="false" ht="15" hidden="false" customHeight="false" outlineLevel="0" collapsed="false">
      <c r="B3373" s="18" t="s">
        <v>701</v>
      </c>
      <c r="C3373" s="18" t="s">
        <v>702</v>
      </c>
      <c r="D3373" s="18" t="s">
        <v>722</v>
      </c>
      <c r="E3373" s="18" t="s">
        <v>6159</v>
      </c>
      <c r="F3373" s="18" t="s">
        <v>723</v>
      </c>
      <c r="G3373" s="18" t="s">
        <v>6559</v>
      </c>
    </row>
    <row r="3374" customFormat="false" ht="15" hidden="false" customHeight="false" outlineLevel="0" collapsed="false">
      <c r="B3374" s="19" t="s">
        <v>17753</v>
      </c>
      <c r="C3374" s="20" t="n">
        <f aca="false">ROUND(10.4/FX,2)</f>
        <v>1.44</v>
      </c>
      <c r="D3374" s="21" t="s">
        <v>6549</v>
      </c>
      <c r="E3374" s="21" t="s">
        <v>17752</v>
      </c>
      <c r="F3374" s="21" t="s">
        <v>17110</v>
      </c>
      <c r="G3374" s="21" t="s">
        <v>15458</v>
      </c>
    </row>
    <row r="3375" customFormat="false" ht="15" hidden="false" customHeight="false" outlineLevel="0" collapsed="false">
      <c r="B3375" s="19" t="s">
        <v>17754</v>
      </c>
      <c r="C3375" s="20" t="n">
        <f aca="false">ROUND(4.94/FX,2)</f>
        <v>0.69</v>
      </c>
      <c r="D3375" s="21" t="s">
        <v>6549</v>
      </c>
      <c r="E3375" s="21" t="s">
        <v>17755</v>
      </c>
      <c r="F3375" s="21" t="s">
        <v>734</v>
      </c>
      <c r="G3375" s="21" t="s">
        <v>15458</v>
      </c>
    </row>
    <row r="3376" customFormat="false" ht="15" hidden="false" customHeight="false" outlineLevel="0" collapsed="false">
      <c r="B3376" s="19" t="s">
        <v>17756</v>
      </c>
      <c r="C3376" s="20" t="n">
        <f aca="false">ROUND(10.01/FX,2)</f>
        <v>1.39</v>
      </c>
      <c r="D3376" s="21" t="s">
        <v>6549</v>
      </c>
      <c r="E3376" s="21" t="s">
        <v>17755</v>
      </c>
      <c r="F3376" s="21" t="s">
        <v>17694</v>
      </c>
      <c r="G3376" s="21" t="s">
        <v>15458</v>
      </c>
    </row>
    <row r="3377" customFormat="false" ht="15" hidden="false" customHeight="false" outlineLevel="0" collapsed="false">
      <c r="B3377" s="19" t="s">
        <v>17757</v>
      </c>
      <c r="C3377" s="20" t="n">
        <f aca="false">ROUND(12/FX,2)</f>
        <v>1.67</v>
      </c>
      <c r="D3377" s="21" t="s">
        <v>6549</v>
      </c>
      <c r="E3377" s="21" t="s">
        <v>17758</v>
      </c>
      <c r="F3377" s="21" t="s">
        <v>734</v>
      </c>
      <c r="G3377" s="21" t="s">
        <v>15458</v>
      </c>
    </row>
    <row r="3378" customFormat="false" ht="28.35" hidden="false" customHeight="false" outlineLevel="0" collapsed="false">
      <c r="B3378" s="19" t="s">
        <v>17759</v>
      </c>
      <c r="C3378" s="20" t="n">
        <f aca="false">ROUND(14.5/FX,2)</f>
        <v>2.01</v>
      </c>
      <c r="D3378" s="21" t="s">
        <v>6549</v>
      </c>
      <c r="E3378" s="21" t="s">
        <v>17760</v>
      </c>
      <c r="F3378" s="21" t="s">
        <v>17761</v>
      </c>
      <c r="G3378" s="21" t="s">
        <v>15458</v>
      </c>
    </row>
    <row r="3379" customFormat="false" ht="15" hidden="false" customHeight="false" outlineLevel="0" collapsed="false">
      <c r="B3379" s="19" t="s">
        <v>17762</v>
      </c>
      <c r="C3379" s="20" t="n">
        <f aca="false">ROUND(10.4/FX,2)</f>
        <v>1.44</v>
      </c>
      <c r="D3379" s="21" t="s">
        <v>6549</v>
      </c>
      <c r="E3379" s="21" t="s">
        <v>17763</v>
      </c>
      <c r="F3379" s="21" t="s">
        <v>17110</v>
      </c>
      <c r="G3379" s="21" t="s">
        <v>15458</v>
      </c>
    </row>
    <row r="3380" customFormat="false" ht="15" hidden="false" customHeight="false" outlineLevel="0" collapsed="false">
      <c r="B3380" s="19" t="s">
        <v>17764</v>
      </c>
      <c r="C3380" s="20" t="n">
        <f aca="false">ROUND(5.2/FX,2)</f>
        <v>0.72</v>
      </c>
      <c r="D3380" s="21" t="s">
        <v>6549</v>
      </c>
      <c r="E3380" s="21" t="s">
        <v>17765</v>
      </c>
      <c r="F3380" s="21" t="s">
        <v>734</v>
      </c>
      <c r="G3380" s="21" t="s">
        <v>15458</v>
      </c>
    </row>
    <row r="3381" customFormat="false" ht="15" hidden="false" customHeight="false" outlineLevel="0" collapsed="false">
      <c r="B3381" s="19" t="s">
        <v>17766</v>
      </c>
      <c r="C3381" s="20" t="n">
        <f aca="false">ROUND(10.01/FX,2)</f>
        <v>1.39</v>
      </c>
      <c r="D3381" s="21" t="s">
        <v>6549</v>
      </c>
      <c r="E3381" s="21" t="s">
        <v>17765</v>
      </c>
      <c r="F3381" s="21" t="s">
        <v>17694</v>
      </c>
      <c r="G3381" s="21" t="s">
        <v>15458</v>
      </c>
    </row>
    <row r="3382" customFormat="false" ht="15" hidden="false" customHeight="false" outlineLevel="0" collapsed="false">
      <c r="B3382" s="19" t="s">
        <v>17767</v>
      </c>
      <c r="C3382" s="20" t="n">
        <f aca="false">ROUND(12.75/FX,2)</f>
        <v>1.77</v>
      </c>
      <c r="D3382" s="21" t="s">
        <v>6549</v>
      </c>
      <c r="E3382" s="21" t="s">
        <v>17768</v>
      </c>
      <c r="F3382" s="21" t="s">
        <v>734</v>
      </c>
      <c r="G3382" s="21" t="s">
        <v>15458</v>
      </c>
    </row>
    <row r="3383" customFormat="false" ht="15" hidden="false" customHeight="false" outlineLevel="0" collapsed="false">
      <c r="B3383" s="19" t="s">
        <v>17769</v>
      </c>
      <c r="C3383" s="20" t="n">
        <f aca="false">ROUND(16/FX,2)</f>
        <v>2.22</v>
      </c>
      <c r="D3383" s="21" t="s">
        <v>6549</v>
      </c>
      <c r="E3383" s="21" t="s">
        <v>17770</v>
      </c>
      <c r="F3383" s="21" t="s">
        <v>17110</v>
      </c>
      <c r="G3383" s="21" t="s">
        <v>15458</v>
      </c>
    </row>
    <row r="3384" customFormat="false" ht="15" hidden="false" customHeight="false" outlineLevel="0" collapsed="false">
      <c r="B3384" s="19" t="s">
        <v>17771</v>
      </c>
      <c r="C3384" s="20" t="n">
        <f aca="false">ROUND(8.22/FX,2)</f>
        <v>1.14</v>
      </c>
      <c r="D3384" s="21" t="s">
        <v>6549</v>
      </c>
      <c r="E3384" s="21" t="s">
        <v>17772</v>
      </c>
      <c r="F3384" s="21" t="s">
        <v>734</v>
      </c>
      <c r="G3384" s="21" t="s">
        <v>15458</v>
      </c>
    </row>
    <row r="3385" customFormat="false" ht="15" hidden="false" customHeight="false" outlineLevel="0" collapsed="false">
      <c r="B3385" s="19" t="s">
        <v>17773</v>
      </c>
      <c r="C3385" s="20" t="n">
        <f aca="false">ROUND(19/FX,2)</f>
        <v>2.64</v>
      </c>
      <c r="D3385" s="21" t="s">
        <v>6549</v>
      </c>
      <c r="E3385" s="21" t="s">
        <v>17774</v>
      </c>
      <c r="F3385" s="21" t="s">
        <v>17110</v>
      </c>
      <c r="G3385" s="21" t="s">
        <v>15458</v>
      </c>
    </row>
    <row r="3386" customFormat="false" ht="15" hidden="false" customHeight="false" outlineLevel="0" collapsed="false">
      <c r="B3386" s="19" t="s">
        <v>17775</v>
      </c>
      <c r="C3386" s="20" t="n">
        <f aca="false">ROUND(7.15/FX,2)</f>
        <v>0.99</v>
      </c>
      <c r="D3386" s="21" t="s">
        <v>6549</v>
      </c>
      <c r="E3386" s="21" t="s">
        <v>17776</v>
      </c>
      <c r="F3386" s="21" t="s">
        <v>734</v>
      </c>
      <c r="G3386" s="21" t="s">
        <v>15458</v>
      </c>
    </row>
    <row r="3387" customFormat="false" ht="15" hidden="false" customHeight="false" outlineLevel="0" collapsed="false">
      <c r="B3387" s="19" t="s">
        <v>17777</v>
      </c>
      <c r="C3387" s="20" t="n">
        <f aca="false">ROUND(12.48/FX,2)</f>
        <v>1.73</v>
      </c>
      <c r="D3387" s="21" t="s">
        <v>6549</v>
      </c>
      <c r="E3387" s="21" t="s">
        <v>17776</v>
      </c>
      <c r="F3387" s="21" t="s">
        <v>17694</v>
      </c>
      <c r="G3387" s="21" t="s">
        <v>15458</v>
      </c>
    </row>
    <row r="3388" customFormat="false" ht="15" hidden="false" customHeight="false" outlineLevel="0" collapsed="false">
      <c r="B3388" s="19" t="s">
        <v>17778</v>
      </c>
      <c r="C3388" s="20" t="n">
        <f aca="false">ROUND(12.35/FX,2)</f>
        <v>1.72</v>
      </c>
      <c r="D3388" s="21" t="s">
        <v>6549</v>
      </c>
      <c r="E3388" s="21" t="s">
        <v>17779</v>
      </c>
      <c r="F3388" s="21" t="s">
        <v>734</v>
      </c>
      <c r="G3388" s="21" t="s">
        <v>15458</v>
      </c>
    </row>
    <row r="3389" customFormat="false" ht="28.35" hidden="false" customHeight="false" outlineLevel="0" collapsed="false">
      <c r="B3389" s="19" t="s">
        <v>17780</v>
      </c>
      <c r="C3389" s="20" t="n">
        <f aca="false">ROUND(33.8/FX,2)</f>
        <v>4.69</v>
      </c>
      <c r="D3389" s="21" t="s">
        <v>6549</v>
      </c>
      <c r="E3389" s="21" t="s">
        <v>17781</v>
      </c>
      <c r="F3389" s="21" t="s">
        <v>17782</v>
      </c>
      <c r="G3389" s="21" t="s">
        <v>15458</v>
      </c>
    </row>
    <row r="3390" customFormat="false" ht="15" hidden="false" customHeight="false" outlineLevel="0" collapsed="false">
      <c r="B3390" s="19" t="s">
        <v>17783</v>
      </c>
      <c r="C3390" s="20" t="n">
        <f aca="false">ROUND(22.5/FX,2)</f>
        <v>3.13</v>
      </c>
      <c r="D3390" s="21" t="s">
        <v>6549</v>
      </c>
      <c r="E3390" s="21" t="s">
        <v>17781</v>
      </c>
      <c r="F3390" s="21" t="s">
        <v>17110</v>
      </c>
      <c r="G3390" s="21" t="s">
        <v>15458</v>
      </c>
    </row>
    <row r="3391" customFormat="false" ht="15" hidden="false" customHeight="false" outlineLevel="0" collapsed="false">
      <c r="B3391" s="19" t="s">
        <v>17784</v>
      </c>
      <c r="C3391" s="20" t="n">
        <f aca="false">ROUND(8.84/FX,2)</f>
        <v>1.23</v>
      </c>
      <c r="D3391" s="21" t="s">
        <v>6549</v>
      </c>
      <c r="E3391" s="21" t="s">
        <v>17785</v>
      </c>
      <c r="F3391" s="21" t="s">
        <v>734</v>
      </c>
      <c r="G3391" s="21" t="s">
        <v>15458</v>
      </c>
    </row>
    <row r="3392" customFormat="false" ht="15" hidden="false" customHeight="false" outlineLevel="0" collapsed="false">
      <c r="B3392" s="19" t="s">
        <v>17786</v>
      </c>
      <c r="C3392" s="20" t="n">
        <f aca="false">ROUND(21.4/FX,2)</f>
        <v>2.97</v>
      </c>
      <c r="D3392" s="21" t="s">
        <v>6549</v>
      </c>
      <c r="E3392" s="21" t="s">
        <v>17785</v>
      </c>
      <c r="F3392" s="21" t="s">
        <v>17787</v>
      </c>
      <c r="G3392" s="21" t="s">
        <v>15458</v>
      </c>
    </row>
    <row r="3393" customFormat="false" ht="15" hidden="false" customHeight="false" outlineLevel="0" collapsed="false">
      <c r="B3393" s="19" t="s">
        <v>17788</v>
      </c>
      <c r="C3393" s="20" t="n">
        <f aca="false">ROUND(13.78/FX,2)</f>
        <v>1.91</v>
      </c>
      <c r="D3393" s="21" t="s">
        <v>6549</v>
      </c>
      <c r="E3393" s="21" t="s">
        <v>17785</v>
      </c>
      <c r="F3393" s="21" t="s">
        <v>17694</v>
      </c>
      <c r="G3393" s="21" t="s">
        <v>15458</v>
      </c>
    </row>
    <row r="3394" customFormat="false" ht="15" hidden="false" customHeight="false" outlineLevel="0" collapsed="false">
      <c r="B3394" s="19" t="s">
        <v>17789</v>
      </c>
      <c r="C3394" s="20" t="n">
        <f aca="false">ROUND(11.7/FX,2)</f>
        <v>1.63</v>
      </c>
      <c r="D3394" s="21" t="s">
        <v>6549</v>
      </c>
      <c r="E3394" s="21" t="s">
        <v>17790</v>
      </c>
      <c r="F3394" s="21" t="s">
        <v>734</v>
      </c>
      <c r="G3394" s="21" t="s">
        <v>15458</v>
      </c>
    </row>
    <row r="3395" customFormat="false" ht="28.35" hidden="false" customHeight="false" outlineLevel="0" collapsed="false">
      <c r="B3395" s="19" t="s">
        <v>17791</v>
      </c>
      <c r="C3395" s="20" t="n">
        <f aca="false">ROUND(54.6/FX,2)</f>
        <v>7.58</v>
      </c>
      <c r="D3395" s="21" t="s">
        <v>6549</v>
      </c>
      <c r="E3395" s="21" t="s">
        <v>17792</v>
      </c>
      <c r="F3395" s="21" t="s">
        <v>17782</v>
      </c>
      <c r="G3395" s="21" t="s">
        <v>15458</v>
      </c>
    </row>
    <row r="3396" customFormat="false" ht="15" hidden="false" customHeight="false" outlineLevel="0" collapsed="false">
      <c r="B3396" s="19" t="s">
        <v>17793</v>
      </c>
      <c r="C3396" s="20" t="n">
        <f aca="false">ROUND(33.54/FX,2)</f>
        <v>4.66</v>
      </c>
      <c r="D3396" s="21" t="s">
        <v>6549</v>
      </c>
      <c r="E3396" s="21" t="s">
        <v>17792</v>
      </c>
      <c r="F3396" s="21" t="s">
        <v>17110</v>
      </c>
      <c r="G3396" s="21" t="s">
        <v>15458</v>
      </c>
    </row>
    <row r="3397" customFormat="false" ht="15" hidden="false" customHeight="false" outlineLevel="0" collapsed="false">
      <c r="B3397" s="19" t="s">
        <v>17794</v>
      </c>
      <c r="C3397" s="20" t="n">
        <f aca="false">ROUND(15.89/FX,2)</f>
        <v>2.21</v>
      </c>
      <c r="D3397" s="21" t="s">
        <v>6549</v>
      </c>
      <c r="E3397" s="21" t="s">
        <v>17795</v>
      </c>
      <c r="F3397" s="21" t="s">
        <v>734</v>
      </c>
      <c r="G3397" s="21" t="s">
        <v>15458</v>
      </c>
    </row>
    <row r="3398" customFormat="false" ht="15" hidden="false" customHeight="false" outlineLevel="0" collapsed="false">
      <c r="B3398" s="19" t="s">
        <v>17796</v>
      </c>
      <c r="C3398" s="20" t="n">
        <f aca="false">ROUND(29.9/FX,2)</f>
        <v>4.15</v>
      </c>
      <c r="D3398" s="21" t="s">
        <v>6549</v>
      </c>
      <c r="E3398" s="21" t="s">
        <v>17795</v>
      </c>
      <c r="F3398" s="21" t="s">
        <v>17787</v>
      </c>
      <c r="G3398" s="21" t="s">
        <v>15458</v>
      </c>
    </row>
    <row r="3399" customFormat="false" ht="15" hidden="false" customHeight="false" outlineLevel="0" collapsed="false">
      <c r="B3399" s="19" t="s">
        <v>17797</v>
      </c>
      <c r="C3399" s="20" t="n">
        <f aca="false">ROUND(24.05/FX,2)</f>
        <v>3.34</v>
      </c>
      <c r="D3399" s="21" t="s">
        <v>6549</v>
      </c>
      <c r="E3399" s="21" t="s">
        <v>17795</v>
      </c>
      <c r="F3399" s="21" t="s">
        <v>17694</v>
      </c>
      <c r="G3399" s="21" t="s">
        <v>15458</v>
      </c>
    </row>
    <row r="3400" customFormat="false" ht="15" hidden="false" customHeight="false" outlineLevel="0" collapsed="false">
      <c r="B3400" s="19" t="s">
        <v>17798</v>
      </c>
      <c r="C3400" s="20" t="n">
        <f aca="false">ROUND(24.7/FX,2)</f>
        <v>3.43</v>
      </c>
      <c r="D3400" s="21" t="s">
        <v>6549</v>
      </c>
      <c r="E3400" s="21" t="s">
        <v>17799</v>
      </c>
      <c r="F3400" s="21" t="s">
        <v>734</v>
      </c>
      <c r="G3400" s="21" t="s">
        <v>15458</v>
      </c>
    </row>
    <row r="3401" customFormat="false" ht="28.35" hidden="false" customHeight="false" outlineLevel="0" collapsed="false">
      <c r="B3401" s="19" t="s">
        <v>17800</v>
      </c>
      <c r="C3401" s="20" t="n">
        <f aca="false">ROUND(71.5/FX,2)</f>
        <v>9.93</v>
      </c>
      <c r="D3401" s="21" t="s">
        <v>6549</v>
      </c>
      <c r="E3401" s="21" t="s">
        <v>17801</v>
      </c>
      <c r="F3401" s="21" t="s">
        <v>17782</v>
      </c>
      <c r="G3401" s="21" t="s">
        <v>15458</v>
      </c>
    </row>
    <row r="3402" customFormat="false" ht="15" hidden="false" customHeight="false" outlineLevel="0" collapsed="false">
      <c r="B3402" s="19" t="s">
        <v>17802</v>
      </c>
      <c r="C3402" s="20" t="n">
        <f aca="false">ROUND(48/FX,2)</f>
        <v>6.67</v>
      </c>
      <c r="D3402" s="21" t="s">
        <v>6549</v>
      </c>
      <c r="E3402" s="21" t="s">
        <v>17801</v>
      </c>
      <c r="F3402" s="21" t="s">
        <v>17110</v>
      </c>
      <c r="G3402" s="21" t="s">
        <v>15458</v>
      </c>
    </row>
    <row r="3403" customFormat="false" ht="15" hidden="false" customHeight="false" outlineLevel="0" collapsed="false">
      <c r="B3403" s="19" t="s">
        <v>17803</v>
      </c>
      <c r="C3403" s="20" t="n">
        <f aca="false">ROUND(34.45/FX,2)</f>
        <v>4.78</v>
      </c>
      <c r="D3403" s="21" t="s">
        <v>6549</v>
      </c>
      <c r="E3403" s="21" t="s">
        <v>17804</v>
      </c>
      <c r="F3403" s="21" t="s">
        <v>17787</v>
      </c>
      <c r="G3403" s="21" t="s">
        <v>15458</v>
      </c>
    </row>
    <row r="3404" customFormat="false" ht="15" hidden="false" customHeight="false" outlineLevel="0" collapsed="false">
      <c r="B3404" s="19" t="s">
        <v>17805</v>
      </c>
      <c r="C3404" s="20" t="n">
        <f aca="false">ROUND(20.37/FX,2)</f>
        <v>2.83</v>
      </c>
      <c r="D3404" s="21" t="s">
        <v>6549</v>
      </c>
      <c r="E3404" s="21" t="s">
        <v>17804</v>
      </c>
      <c r="F3404" s="21" t="s">
        <v>734</v>
      </c>
      <c r="G3404" s="21" t="s">
        <v>17806</v>
      </c>
    </row>
    <row r="3405" customFormat="false" ht="15" hidden="false" customHeight="false" outlineLevel="0" collapsed="false">
      <c r="B3405" s="19" t="s">
        <v>17807</v>
      </c>
      <c r="C3405" s="20" t="n">
        <f aca="false">ROUND(31.2/FX,2)</f>
        <v>4.33</v>
      </c>
      <c r="D3405" s="21" t="s">
        <v>6549</v>
      </c>
      <c r="E3405" s="21" t="s">
        <v>17804</v>
      </c>
      <c r="F3405" s="21" t="s">
        <v>734</v>
      </c>
      <c r="G3405" s="21" t="s">
        <v>17808</v>
      </c>
    </row>
    <row r="3406" customFormat="false" ht="15" hidden="false" customHeight="false" outlineLevel="0" collapsed="false">
      <c r="B3406" s="19" t="s">
        <v>17809</v>
      </c>
      <c r="C3406" s="20" t="n">
        <f aca="false">ROUND(37.05/FX,2)</f>
        <v>5.15</v>
      </c>
      <c r="D3406" s="21" t="s">
        <v>6549</v>
      </c>
      <c r="E3406" s="21" t="s">
        <v>17804</v>
      </c>
      <c r="F3406" s="21" t="s">
        <v>17694</v>
      </c>
      <c r="G3406" s="21" t="s">
        <v>15458</v>
      </c>
    </row>
    <row r="3407" customFormat="false" ht="15" hidden="false" customHeight="false" outlineLevel="0" collapsed="false">
      <c r="B3407" s="19" t="s">
        <v>17810</v>
      </c>
      <c r="C3407" s="20" t="n">
        <f aca="false">ROUND(47.25/FX,2)</f>
        <v>6.56</v>
      </c>
      <c r="D3407" s="21" t="s">
        <v>6549</v>
      </c>
      <c r="E3407" s="21" t="s">
        <v>17811</v>
      </c>
      <c r="F3407" s="21" t="s">
        <v>734</v>
      </c>
      <c r="G3407" s="21" t="s">
        <v>15458</v>
      </c>
    </row>
    <row r="3408" customFormat="false" ht="15" hidden="false" customHeight="false" outlineLevel="0" collapsed="false">
      <c r="B3408" s="19" t="s">
        <v>17812</v>
      </c>
      <c r="C3408" s="20" t="n">
        <f aca="false">ROUND(71/FX,2)</f>
        <v>9.86</v>
      </c>
      <c r="D3408" s="21" t="s">
        <v>6549</v>
      </c>
      <c r="E3408" s="21" t="s">
        <v>17813</v>
      </c>
      <c r="F3408" s="21" t="s">
        <v>17110</v>
      </c>
      <c r="G3408" s="21" t="s">
        <v>15458</v>
      </c>
    </row>
    <row r="3409" customFormat="false" ht="15" hidden="false" customHeight="false" outlineLevel="0" collapsed="false">
      <c r="B3409" s="19" t="s">
        <v>17814</v>
      </c>
      <c r="C3409" s="20" t="n">
        <f aca="false">ROUND(33.78/FX,2)</f>
        <v>4.69</v>
      </c>
      <c r="D3409" s="21" t="s">
        <v>6549</v>
      </c>
      <c r="E3409" s="21" t="s">
        <v>17815</v>
      </c>
      <c r="F3409" s="21" t="s">
        <v>734</v>
      </c>
      <c r="G3409" s="21" t="s">
        <v>15458</v>
      </c>
    </row>
    <row r="3410" customFormat="false" ht="15" hidden="false" customHeight="false" outlineLevel="0" collapsed="false">
      <c r="B3410" s="19" t="s">
        <v>17816</v>
      </c>
      <c r="C3410" s="20" t="n">
        <f aca="false">ROUND(43.94/FX,2)</f>
        <v>6.1</v>
      </c>
      <c r="D3410" s="21" t="s">
        <v>6549</v>
      </c>
      <c r="E3410" s="21" t="s">
        <v>17815</v>
      </c>
      <c r="F3410" s="21" t="s">
        <v>17694</v>
      </c>
      <c r="G3410" s="21" t="s">
        <v>15458</v>
      </c>
    </row>
    <row r="3411" customFormat="false" ht="15" hidden="false" customHeight="false" outlineLevel="0" collapsed="false">
      <c r="B3411" s="19" t="s">
        <v>17817</v>
      </c>
      <c r="C3411" s="20" t="n">
        <f aca="false">ROUND(69/FX,2)</f>
        <v>9.58</v>
      </c>
      <c r="D3411" s="21" t="s">
        <v>6549</v>
      </c>
      <c r="E3411" s="21" t="s">
        <v>17818</v>
      </c>
      <c r="F3411" s="21" t="s">
        <v>734</v>
      </c>
      <c r="G3411" s="21" t="s">
        <v>15458</v>
      </c>
    </row>
    <row r="3412" customFormat="false" ht="15" hidden="false" customHeight="false" outlineLevel="0" collapsed="false">
      <c r="B3412" s="19" t="s">
        <v>17819</v>
      </c>
      <c r="C3412" s="20" t="n">
        <f aca="false">ROUND(104/FX,2)</f>
        <v>14.44</v>
      </c>
      <c r="D3412" s="21" t="s">
        <v>6549</v>
      </c>
      <c r="E3412" s="21" t="s">
        <v>17820</v>
      </c>
      <c r="F3412" s="21" t="s">
        <v>17110</v>
      </c>
      <c r="G3412" s="21" t="s">
        <v>15458</v>
      </c>
    </row>
    <row r="3413" customFormat="false" ht="15" hidden="false" customHeight="false" outlineLevel="0" collapsed="false">
      <c r="B3413" s="19" t="s">
        <v>17821</v>
      </c>
      <c r="C3413" s="20" t="n">
        <f aca="false">ROUND(45/FX,2)</f>
        <v>6.25</v>
      </c>
      <c r="D3413" s="21" t="s">
        <v>6549</v>
      </c>
      <c r="E3413" s="21" t="s">
        <v>17822</v>
      </c>
      <c r="F3413" s="21" t="s">
        <v>734</v>
      </c>
      <c r="G3413" s="21" t="s">
        <v>15458</v>
      </c>
    </row>
    <row r="3414" customFormat="false" ht="15" hidden="false" customHeight="false" outlineLevel="0" collapsed="false">
      <c r="B3414" s="19" t="s">
        <v>17823</v>
      </c>
      <c r="C3414" s="20" t="n">
        <f aca="false">ROUND(58.11/FX,2)</f>
        <v>8.07</v>
      </c>
      <c r="D3414" s="21" t="s">
        <v>6549</v>
      </c>
      <c r="E3414" s="21" t="s">
        <v>17822</v>
      </c>
      <c r="F3414" s="21" t="s">
        <v>17694</v>
      </c>
      <c r="G3414" s="21" t="s">
        <v>15458</v>
      </c>
    </row>
    <row r="3415" customFormat="false" ht="15" hidden="false" customHeight="false" outlineLevel="0" collapsed="false">
      <c r="B3415" s="19" t="s">
        <v>17824</v>
      </c>
      <c r="C3415" s="20" t="n">
        <f aca="false">ROUND(94.5/FX,2)</f>
        <v>13.13</v>
      </c>
      <c r="D3415" s="21" t="s">
        <v>6549</v>
      </c>
      <c r="E3415" s="21" t="s">
        <v>17825</v>
      </c>
      <c r="F3415" s="21" t="s">
        <v>734</v>
      </c>
      <c r="G3415" s="21" t="s">
        <v>15458</v>
      </c>
    </row>
    <row r="3416" customFormat="false" ht="15" hidden="false" customHeight="false" outlineLevel="0" collapsed="false">
      <c r="B3416" s="19" t="s">
        <v>17826</v>
      </c>
      <c r="C3416" s="20" t="n">
        <f aca="false">ROUND(241/FX,2)</f>
        <v>33.47</v>
      </c>
      <c r="D3416" s="21" t="s">
        <v>6549</v>
      </c>
      <c r="E3416" s="21" t="s">
        <v>17827</v>
      </c>
      <c r="F3416" s="21" t="s">
        <v>17110</v>
      </c>
      <c r="G3416" s="21" t="s">
        <v>15458</v>
      </c>
    </row>
    <row r="3417" customFormat="false" ht="15" hidden="false" customHeight="false" outlineLevel="0" collapsed="false">
      <c r="B3417" s="19" t="s">
        <v>17828</v>
      </c>
      <c r="C3417" s="20" t="n">
        <f aca="false">ROUND(109.2/FX,2)</f>
        <v>15.17</v>
      </c>
      <c r="D3417" s="21" t="s">
        <v>6549</v>
      </c>
      <c r="E3417" s="21" t="s">
        <v>17829</v>
      </c>
      <c r="F3417" s="21" t="s">
        <v>734</v>
      </c>
      <c r="G3417" s="21" t="s">
        <v>15458</v>
      </c>
    </row>
    <row r="3418" customFormat="false" ht="15" hidden="false" customHeight="false" outlineLevel="0" collapsed="false">
      <c r="B3418" s="19" t="s">
        <v>17830</v>
      </c>
      <c r="C3418" s="20" t="n">
        <f aca="false">ROUND(167.7/FX,2)</f>
        <v>23.29</v>
      </c>
      <c r="D3418" s="21" t="s">
        <v>6549</v>
      </c>
      <c r="E3418" s="21" t="s">
        <v>17829</v>
      </c>
      <c r="F3418" s="21" t="s">
        <v>17694</v>
      </c>
      <c r="G3418" s="21" t="s">
        <v>15458</v>
      </c>
    </row>
    <row r="3419" customFormat="false" ht="15" hidden="false" customHeight="false" outlineLevel="0" collapsed="false">
      <c r="B3419" s="19" t="s">
        <v>17831</v>
      </c>
      <c r="C3419" s="20" t="n">
        <f aca="false">ROUND(213/FX,2)</f>
        <v>29.58</v>
      </c>
      <c r="D3419" s="21" t="s">
        <v>6549</v>
      </c>
      <c r="E3419" s="21" t="s">
        <v>17832</v>
      </c>
      <c r="F3419" s="21" t="s">
        <v>734</v>
      </c>
      <c r="G3419" s="21" t="s">
        <v>15458</v>
      </c>
    </row>
    <row r="3420" customFormat="false" ht="15" hidden="false" customHeight="false" outlineLevel="0" collapsed="false">
      <c r="B3420" s="19" t="s">
        <v>17833</v>
      </c>
      <c r="C3420" s="20" t="n">
        <f aca="false">ROUND(228/FX,2)</f>
        <v>31.67</v>
      </c>
      <c r="D3420" s="21" t="s">
        <v>6549</v>
      </c>
      <c r="E3420" s="21" t="s">
        <v>17834</v>
      </c>
      <c r="F3420" s="21" t="s">
        <v>734</v>
      </c>
      <c r="G3420" s="21" t="s">
        <v>15458</v>
      </c>
    </row>
    <row r="3421" customFormat="false" ht="15" hidden="false" customHeight="false" outlineLevel="0" collapsed="false">
      <c r="B3421" s="19" t="s">
        <v>17835</v>
      </c>
      <c r="C3421" s="20" t="n">
        <f aca="false">ROUND(5.2/FX,2)</f>
        <v>0.72</v>
      </c>
      <c r="D3421" s="21" t="s">
        <v>6549</v>
      </c>
      <c r="E3421" s="21" t="s">
        <v>17836</v>
      </c>
      <c r="F3421" s="21" t="s">
        <v>734</v>
      </c>
      <c r="G3421" s="21" t="s">
        <v>15458</v>
      </c>
    </row>
    <row r="3422" customFormat="false" ht="28.35" hidden="false" customHeight="false" outlineLevel="0" collapsed="false">
      <c r="B3422" s="19" t="s">
        <v>17837</v>
      </c>
      <c r="C3422" s="20" t="n">
        <f aca="false">ROUND(3.59/FX,2)</f>
        <v>0.5</v>
      </c>
      <c r="D3422" s="21" t="s">
        <v>6549</v>
      </c>
      <c r="E3422" s="21" t="s">
        <v>17838</v>
      </c>
      <c r="F3422" s="21" t="s">
        <v>17839</v>
      </c>
      <c r="G3422" s="21" t="s">
        <v>15458</v>
      </c>
    </row>
    <row r="3423" customFormat="false" ht="28.35" hidden="false" customHeight="false" outlineLevel="0" collapsed="false">
      <c r="B3423" s="19" t="s">
        <v>17840</v>
      </c>
      <c r="C3423" s="20" t="n">
        <f aca="false">ROUND(7.49/FX,2)</f>
        <v>1.04</v>
      </c>
      <c r="D3423" s="21" t="s">
        <v>6549</v>
      </c>
      <c r="E3423" s="21" t="s">
        <v>17838</v>
      </c>
      <c r="F3423" s="21" t="s">
        <v>17761</v>
      </c>
      <c r="G3423" s="21" t="s">
        <v>15458</v>
      </c>
    </row>
    <row r="3424" customFormat="false" ht="28.35" hidden="false" customHeight="false" outlineLevel="0" collapsed="false">
      <c r="B3424" s="19" t="s">
        <v>17841</v>
      </c>
      <c r="C3424" s="20" t="n">
        <f aca="false">ROUND(3.6/FX,2)</f>
        <v>0.5</v>
      </c>
      <c r="D3424" s="21" t="s">
        <v>6549</v>
      </c>
      <c r="E3424" s="21" t="s">
        <v>17838</v>
      </c>
      <c r="F3424" s="21" t="s">
        <v>17842</v>
      </c>
      <c r="G3424" s="21" t="s">
        <v>15458</v>
      </c>
    </row>
    <row r="3425" customFormat="false" ht="28.35" hidden="false" customHeight="false" outlineLevel="0" collapsed="false">
      <c r="B3425" s="19" t="s">
        <v>17843</v>
      </c>
      <c r="C3425" s="20" t="n">
        <f aca="false">ROUND(3.6/FX,2)</f>
        <v>0.5</v>
      </c>
      <c r="D3425" s="21" t="s">
        <v>6549</v>
      </c>
      <c r="E3425" s="21" t="s">
        <v>17838</v>
      </c>
      <c r="F3425" s="21" t="s">
        <v>17844</v>
      </c>
      <c r="G3425" s="21" t="s">
        <v>15458</v>
      </c>
    </row>
    <row r="3426" customFormat="false" ht="15" hidden="false" customHeight="false" outlineLevel="0" collapsed="false">
      <c r="B3426" s="19" t="s">
        <v>17845</v>
      </c>
      <c r="C3426" s="20" t="n">
        <f aca="false">ROUND(7.9/FX,2)</f>
        <v>1.1</v>
      </c>
      <c r="D3426" s="21" t="s">
        <v>6549</v>
      </c>
      <c r="E3426" s="21" t="s">
        <v>17846</v>
      </c>
      <c r="F3426" s="21" t="s">
        <v>17110</v>
      </c>
      <c r="G3426" s="21" t="s">
        <v>15458</v>
      </c>
    </row>
    <row r="3427" customFormat="false" ht="15" hidden="false" customHeight="false" outlineLevel="0" collapsed="false">
      <c r="B3427" s="19" t="s">
        <v>17847</v>
      </c>
      <c r="C3427" s="20" t="n">
        <f aca="false">ROUND(9.88/FX,2)</f>
        <v>1.37</v>
      </c>
      <c r="D3427" s="21" t="s">
        <v>6549</v>
      </c>
      <c r="E3427" s="21" t="s">
        <v>17846</v>
      </c>
      <c r="F3427" s="21" t="s">
        <v>17848</v>
      </c>
      <c r="G3427" s="21" t="s">
        <v>15458</v>
      </c>
    </row>
    <row r="3428" customFormat="false" ht="15" hidden="false" customHeight="false" outlineLevel="0" collapsed="false">
      <c r="B3428" s="19" t="s">
        <v>17849</v>
      </c>
      <c r="C3428" s="20" t="n">
        <f aca="false">ROUND(4.16/FX,2)</f>
        <v>0.58</v>
      </c>
      <c r="D3428" s="21" t="s">
        <v>724</v>
      </c>
      <c r="E3428" s="21" t="s">
        <v>17850</v>
      </c>
      <c r="F3428" s="21" t="s">
        <v>734</v>
      </c>
      <c r="G3428" s="21" t="s">
        <v>15458</v>
      </c>
    </row>
    <row r="3429" customFormat="false" ht="15" hidden="false" customHeight="false" outlineLevel="0" collapsed="false">
      <c r="B3429" s="19" t="s">
        <v>17851</v>
      </c>
      <c r="C3429" s="20" t="n">
        <f aca="false">ROUND(3.51/FX,2)</f>
        <v>0.49</v>
      </c>
      <c r="D3429" s="21" t="s">
        <v>6549</v>
      </c>
      <c r="E3429" s="21" t="s">
        <v>17850</v>
      </c>
      <c r="F3429" s="21" t="s">
        <v>17683</v>
      </c>
      <c r="G3429" s="21" t="s">
        <v>15458</v>
      </c>
    </row>
    <row r="3430" customFormat="false" ht="15" hidden="false" customHeight="false" outlineLevel="0" collapsed="false">
      <c r="B3430" s="19" t="s">
        <v>17852</v>
      </c>
      <c r="C3430" s="20" t="n">
        <f aca="false">ROUND(5.2/FX,2)</f>
        <v>0.72</v>
      </c>
      <c r="D3430" s="21" t="s">
        <v>6549</v>
      </c>
      <c r="E3430" s="21" t="s">
        <v>17850</v>
      </c>
      <c r="F3430" s="21" t="s">
        <v>17703</v>
      </c>
      <c r="G3430" s="21" t="s">
        <v>15458</v>
      </c>
    </row>
    <row r="3431" customFormat="false" ht="15" hidden="false" customHeight="false" outlineLevel="0" collapsed="false">
      <c r="B3431" s="19" t="s">
        <v>17853</v>
      </c>
      <c r="C3431" s="20" t="n">
        <f aca="false">ROUND(16.25/FX,2)</f>
        <v>2.26</v>
      </c>
      <c r="D3431" s="21" t="s">
        <v>6549</v>
      </c>
      <c r="E3431" s="21" t="s">
        <v>17854</v>
      </c>
      <c r="F3431" s="21" t="s">
        <v>734</v>
      </c>
      <c r="G3431" s="21" t="s">
        <v>15458</v>
      </c>
    </row>
    <row r="3434" customFormat="false" ht="61.5" hidden="false" customHeight="true" outlineLevel="0" collapsed="false">
      <c r="A3434" s="9"/>
      <c r="B3434" s="10" t="s">
        <v>17855</v>
      </c>
      <c r="C3434" s="10"/>
      <c r="D3434" s="10"/>
      <c r="E3434" s="10"/>
    </row>
    <row r="3435" customFormat="false" ht="15" hidden="false" customHeight="false" outlineLevel="0" collapsed="false">
      <c r="A3435" s="12" t="s">
        <v>700</v>
      </c>
      <c r="B3435" s="13" t="s">
        <v>701</v>
      </c>
      <c r="C3435" s="13" t="s">
        <v>702</v>
      </c>
      <c r="D3435" s="13" t="s">
        <v>722</v>
      </c>
      <c r="E3435" s="13" t="s">
        <v>723</v>
      </c>
    </row>
    <row r="3436" customFormat="false" ht="30" hidden="false" customHeight="true" outlineLevel="0" collapsed="false">
      <c r="A3436" s="14" t="s">
        <v>706</v>
      </c>
      <c r="B3436" s="15" t="str">
        <f aca="false">IF(COUNTIFS($D$3439:$D$3450,IF(D3436="","*",D3436),$E$3439:$E$3450,IF(E3436="","*",E3436))=1,INDEX($B:$B,SUMPRODUCT(((D3436="")+($D$3439:$D$3450=D3436)&gt;0)*((E3436="")+($E$3439:$E$3450=E3436)&gt;0)*ROW($B$3439:$B$3450))),IF(COUNTIFS($D$3439:$D$3450,IF(D3436="","*",D3436),$E$3439:$E$3450,IF(E3436="","*",E3436))=0,"Not available",COUNTIFS($D$3439:$D$3450,IF(D3436="","*",D3436),$E$3439:$E$3450,IF(E3436="","*",E3436))&amp;" match, keep choosing"))</f>
        <v>RL-022-BK-SCV8UU</v>
      </c>
      <c r="C3436" s="16" t="n">
        <f aca="false">IF(COUNTIFS($D$3439:$D$3450,IF(D3436="","*",D3436),$E$3439:$E$3450,IF(E3436="","*",E3436))=1,INDEX($C:$C,SUMPRODUCT(((D3436="")+($D$3439:$D$3450=D3436)&gt;0)*((E3436="")+($E$3439:$E$3450=E3436)&gt;0)*ROW($B$3439:$B$3450))),"")</f>
        <v>0.9</v>
      </c>
      <c r="D3436" s="17" t="s">
        <v>724</v>
      </c>
      <c r="E3436" s="17" t="s">
        <v>17856</v>
      </c>
    </row>
    <row r="3438" customFormat="false" ht="15" hidden="false" customHeight="false" outlineLevel="0" collapsed="false">
      <c r="B3438" s="18" t="s">
        <v>701</v>
      </c>
      <c r="C3438" s="18" t="s">
        <v>702</v>
      </c>
      <c r="D3438" s="18" t="s">
        <v>722</v>
      </c>
      <c r="E3438" s="18" t="s">
        <v>723</v>
      </c>
    </row>
    <row r="3439" customFormat="false" ht="15" hidden="false" customHeight="false" outlineLevel="0" collapsed="false">
      <c r="B3439" s="19" t="s">
        <v>17857</v>
      </c>
      <c r="C3439" s="20" t="n">
        <f aca="false">ROUND(6.5/FX,2)</f>
        <v>0.9</v>
      </c>
      <c r="D3439" s="21" t="s">
        <v>724</v>
      </c>
      <c r="E3439" s="21" t="s">
        <v>17856</v>
      </c>
    </row>
    <row r="3440" customFormat="false" ht="15" hidden="false" customHeight="false" outlineLevel="0" collapsed="false">
      <c r="B3440" s="19" t="s">
        <v>17858</v>
      </c>
      <c r="C3440" s="20" t="n">
        <f aca="false">ROUND(5.98/FX,2)</f>
        <v>0.83</v>
      </c>
      <c r="D3440" s="21" t="s">
        <v>6549</v>
      </c>
      <c r="E3440" s="21" t="s">
        <v>17859</v>
      </c>
    </row>
    <row r="3441" customFormat="false" ht="15" hidden="false" customHeight="false" outlineLevel="0" collapsed="false">
      <c r="B3441" s="19" t="s">
        <v>17860</v>
      </c>
      <c r="C3441" s="20" t="n">
        <f aca="false">ROUND(6.5/FX,2)</f>
        <v>0.9</v>
      </c>
      <c r="D3441" s="21" t="s">
        <v>6549</v>
      </c>
      <c r="E3441" s="21" t="s">
        <v>17861</v>
      </c>
    </row>
    <row r="3442" customFormat="false" ht="15" hidden="false" customHeight="false" outlineLevel="0" collapsed="false">
      <c r="B3442" s="19" t="s">
        <v>17862</v>
      </c>
      <c r="C3442" s="20" t="n">
        <f aca="false">ROUND(9.1/FX,2)</f>
        <v>1.26</v>
      </c>
      <c r="D3442" s="21" t="s">
        <v>6549</v>
      </c>
      <c r="E3442" s="21" t="s">
        <v>17863</v>
      </c>
    </row>
    <row r="3443" customFormat="false" ht="15" hidden="false" customHeight="false" outlineLevel="0" collapsed="false">
      <c r="B3443" s="19" t="s">
        <v>17864</v>
      </c>
      <c r="C3443" s="20" t="n">
        <f aca="false">ROUND(8.71/FX,2)</f>
        <v>1.21</v>
      </c>
      <c r="D3443" s="21" t="s">
        <v>6549</v>
      </c>
      <c r="E3443" s="21" t="s">
        <v>17865</v>
      </c>
    </row>
    <row r="3444" customFormat="false" ht="15" hidden="false" customHeight="false" outlineLevel="0" collapsed="false">
      <c r="B3444" s="19" t="s">
        <v>17866</v>
      </c>
      <c r="C3444" s="20" t="n">
        <f aca="false">ROUND(9.75/FX,2)</f>
        <v>1.35</v>
      </c>
      <c r="D3444" s="21" t="s">
        <v>6549</v>
      </c>
      <c r="E3444" s="21" t="s">
        <v>17867</v>
      </c>
    </row>
    <row r="3445" customFormat="false" ht="15" hidden="false" customHeight="false" outlineLevel="0" collapsed="false">
      <c r="B3445" s="19" t="s">
        <v>17868</v>
      </c>
      <c r="C3445" s="20" t="n">
        <f aca="false">ROUND(19.5/FX,2)</f>
        <v>2.71</v>
      </c>
      <c r="D3445" s="21" t="s">
        <v>6549</v>
      </c>
      <c r="E3445" s="21" t="s">
        <v>17869</v>
      </c>
    </row>
    <row r="3446" customFormat="false" ht="15" hidden="false" customHeight="false" outlineLevel="0" collapsed="false">
      <c r="B3446" s="19" t="s">
        <v>17870</v>
      </c>
      <c r="C3446" s="20" t="n">
        <f aca="false">ROUND(25.87/FX,2)</f>
        <v>3.59</v>
      </c>
      <c r="D3446" s="21" t="s">
        <v>6549</v>
      </c>
      <c r="E3446" s="21" t="s">
        <v>17871</v>
      </c>
    </row>
    <row r="3447" customFormat="false" ht="15" hidden="false" customHeight="false" outlineLevel="0" collapsed="false">
      <c r="B3447" s="19" t="s">
        <v>17872</v>
      </c>
      <c r="C3447" s="20" t="n">
        <f aca="false">ROUND(37.57/FX,2)</f>
        <v>5.22</v>
      </c>
      <c r="D3447" s="21" t="s">
        <v>6549</v>
      </c>
      <c r="E3447" s="21" t="s">
        <v>17873</v>
      </c>
    </row>
    <row r="3448" customFormat="false" ht="15" hidden="false" customHeight="false" outlineLevel="0" collapsed="false">
      <c r="B3448" s="19" t="s">
        <v>17874</v>
      </c>
      <c r="C3448" s="20" t="n">
        <f aca="false">ROUND(42.9/FX,2)</f>
        <v>5.96</v>
      </c>
      <c r="D3448" s="21" t="s">
        <v>6549</v>
      </c>
      <c r="E3448" s="21" t="s">
        <v>17875</v>
      </c>
    </row>
    <row r="3449" customFormat="false" ht="15" hidden="false" customHeight="false" outlineLevel="0" collapsed="false">
      <c r="B3449" s="19" t="s">
        <v>17876</v>
      </c>
      <c r="C3449" s="20" t="n">
        <f aca="false">ROUND(116.87/FX,2)</f>
        <v>16.23</v>
      </c>
      <c r="D3449" s="21" t="s">
        <v>6549</v>
      </c>
      <c r="E3449" s="21" t="s">
        <v>17877</v>
      </c>
    </row>
    <row r="3450" customFormat="false" ht="15" hidden="false" customHeight="false" outlineLevel="0" collapsed="false">
      <c r="B3450" s="19" t="s">
        <v>17878</v>
      </c>
      <c r="C3450" s="20" t="n">
        <f aca="false">ROUND(3.9/FX,2)</f>
        <v>0.54</v>
      </c>
      <c r="D3450" s="21" t="s">
        <v>6549</v>
      </c>
      <c r="E3450" s="21" t="s">
        <v>17856</v>
      </c>
    </row>
    <row r="3453" customFormat="false" ht="61.5" hidden="false" customHeight="true" outlineLevel="0" collapsed="false">
      <c r="A3453" s="9"/>
      <c r="B3453" s="10" t="s">
        <v>17879</v>
      </c>
      <c r="C3453" s="10"/>
      <c r="D3453" s="10"/>
      <c r="E3453" s="10"/>
      <c r="F3453" s="10"/>
    </row>
    <row r="3454" customFormat="false" ht="15" hidden="false" customHeight="false" outlineLevel="0" collapsed="false">
      <c r="A3454" s="12" t="s">
        <v>700</v>
      </c>
      <c r="B3454" s="13" t="s">
        <v>701</v>
      </c>
      <c r="C3454" s="13" t="s">
        <v>702</v>
      </c>
      <c r="D3454" s="13" t="s">
        <v>6159</v>
      </c>
      <c r="E3454" s="13" t="s">
        <v>723</v>
      </c>
      <c r="F3454" s="13" t="s">
        <v>6559</v>
      </c>
    </row>
    <row r="3455" customFormat="false" ht="30" hidden="false" customHeight="true" outlineLevel="0" collapsed="false">
      <c r="A3455" s="14" t="s">
        <v>706</v>
      </c>
      <c r="B3455" s="15" t="str">
        <f aca="false">IF(COUNTIFS($D$3458:$D$3491,IF(D3455="","*",D3455),$E$3458:$E$3491,IF(E3455="","*",E3455),$F$3458:$F$3491,IF(F3455="","*",F3455))=1,INDEX($B:$B,SUMPRODUCT(((D3455="")+($D$3458:$D$3491=D3455)&gt;0)*((E3455="")+($E$3458:$E$3491=E3455)&gt;0)*((F3455="")+($F$3458:$F$3491=F3455)&gt;0)*ROW($B$3458:$B$3491))),IF(COUNTIFS($D$3458:$D$3491,IF(D3455="","*",D3455),$E$3458:$E$3491,IF(E3455="","*",E3455),$F$3458:$F$3491,IF(F3455="","*",F3455))=0,"Not available",COUNTIFS($D$3458:$D$3491,IF(D3455="","*",D3455),$E$3458:$E$3491,IF(E3455="","*",E3455),$F$3458:$F$3491,IF(F3455="","*",F3455))&amp;" match, keep choosing"))</f>
        <v>SC-SC10-AP</v>
      </c>
      <c r="C3455" s="16" t="n">
        <f aca="false">IF(COUNTIFS($D$3458:$D$3491,IF(D3455="","*",D3455),$E$3458:$E$3491,IF(E3455="","*",E3455),$F$3458:$F$3491,IF(F3455="","*",F3455))=1,INDEX($C:$C,SUMPRODUCT(((D3455="")+($D$3458:$D$3491=D3455)&gt;0)*((E3455="")+($E$3458:$E$3491=E3455)&gt;0)*((F3455="")+($F$3458:$F$3491=F3455)&gt;0)*ROW($B$3458:$B$3491))),"")</f>
        <v>1.63</v>
      </c>
      <c r="D3455" s="17" t="s">
        <v>17880</v>
      </c>
      <c r="E3455" s="17" t="s">
        <v>17659</v>
      </c>
      <c r="F3455" s="17" t="s">
        <v>15458</v>
      </c>
    </row>
    <row r="3457" customFormat="false" ht="15" hidden="false" customHeight="false" outlineLevel="0" collapsed="false">
      <c r="B3457" s="18" t="s">
        <v>701</v>
      </c>
      <c r="C3457" s="18" t="s">
        <v>702</v>
      </c>
      <c r="D3457" s="18" t="s">
        <v>6159</v>
      </c>
      <c r="E3457" s="18" t="s">
        <v>723</v>
      </c>
      <c r="F3457" s="18" t="s">
        <v>6559</v>
      </c>
    </row>
    <row r="3458" customFormat="false" ht="28.35" hidden="false" customHeight="false" outlineLevel="0" collapsed="false">
      <c r="B3458" s="19" t="s">
        <v>17881</v>
      </c>
      <c r="C3458" s="20" t="n">
        <f aca="false">ROUND(11.7/FX,2)</f>
        <v>1.63</v>
      </c>
      <c r="D3458" s="21" t="s">
        <v>17880</v>
      </c>
      <c r="E3458" s="21" t="s">
        <v>17659</v>
      </c>
      <c r="F3458" s="21" t="s">
        <v>15458</v>
      </c>
    </row>
    <row r="3459" customFormat="false" ht="15" hidden="false" customHeight="false" outlineLevel="0" collapsed="false">
      <c r="B3459" s="19" t="s">
        <v>17882</v>
      </c>
      <c r="C3459" s="20" t="n">
        <f aca="false">ROUND(10/FX,2)</f>
        <v>1.39</v>
      </c>
      <c r="D3459" s="21" t="s">
        <v>17880</v>
      </c>
      <c r="E3459" s="21" t="s">
        <v>17883</v>
      </c>
      <c r="F3459" s="21" t="s">
        <v>15458</v>
      </c>
    </row>
    <row r="3460" customFormat="false" ht="28.35" hidden="false" customHeight="false" outlineLevel="0" collapsed="false">
      <c r="B3460" s="19" t="s">
        <v>17884</v>
      </c>
      <c r="C3460" s="20" t="n">
        <f aca="false">ROUND(20.8/FX,2)</f>
        <v>2.89</v>
      </c>
      <c r="D3460" s="21" t="s">
        <v>17885</v>
      </c>
      <c r="E3460" s="21" t="s">
        <v>17886</v>
      </c>
      <c r="F3460" s="21" t="s">
        <v>15458</v>
      </c>
    </row>
    <row r="3461" customFormat="false" ht="28.35" hidden="false" customHeight="false" outlineLevel="0" collapsed="false">
      <c r="B3461" s="19" t="s">
        <v>17887</v>
      </c>
      <c r="C3461" s="20" t="n">
        <f aca="false">ROUND(13/FX,2)</f>
        <v>1.81</v>
      </c>
      <c r="D3461" s="21" t="s">
        <v>17888</v>
      </c>
      <c r="E3461" s="21" t="s">
        <v>17659</v>
      </c>
      <c r="F3461" s="21" t="s">
        <v>15458</v>
      </c>
    </row>
    <row r="3462" customFormat="false" ht="15" hidden="false" customHeight="false" outlineLevel="0" collapsed="false">
      <c r="B3462" s="19" t="s">
        <v>17889</v>
      </c>
      <c r="C3462" s="20" t="n">
        <f aca="false">ROUND(2.7/FX,2)</f>
        <v>0.38</v>
      </c>
      <c r="D3462" s="21" t="s">
        <v>17888</v>
      </c>
      <c r="E3462" s="21" t="s">
        <v>17883</v>
      </c>
      <c r="F3462" s="21" t="s">
        <v>15458</v>
      </c>
    </row>
    <row r="3463" customFormat="false" ht="28.35" hidden="false" customHeight="false" outlineLevel="0" collapsed="false">
      <c r="B3463" s="19" t="s">
        <v>17890</v>
      </c>
      <c r="C3463" s="20" t="n">
        <f aca="false">ROUND(23.4/FX,2)</f>
        <v>3.25</v>
      </c>
      <c r="D3463" s="21" t="s">
        <v>17891</v>
      </c>
      <c r="E3463" s="21" t="s">
        <v>17886</v>
      </c>
      <c r="F3463" s="21" t="s">
        <v>15458</v>
      </c>
    </row>
    <row r="3464" customFormat="false" ht="28.35" hidden="false" customHeight="false" outlineLevel="0" collapsed="false">
      <c r="B3464" s="19" t="s">
        <v>17892</v>
      </c>
      <c r="C3464" s="20" t="n">
        <f aca="false">ROUND(7.8/FX,2)</f>
        <v>1.08</v>
      </c>
      <c r="D3464" s="21" t="s">
        <v>17891</v>
      </c>
      <c r="E3464" s="21" t="s">
        <v>17893</v>
      </c>
      <c r="F3464" s="21" t="s">
        <v>15458</v>
      </c>
    </row>
    <row r="3465" customFormat="false" ht="28.35" hidden="false" customHeight="false" outlineLevel="0" collapsed="false">
      <c r="B3465" s="19" t="s">
        <v>17894</v>
      </c>
      <c r="C3465" s="20" t="n">
        <f aca="false">ROUND(15.6/FX,2)</f>
        <v>2.17</v>
      </c>
      <c r="D3465" s="21" t="s">
        <v>17895</v>
      </c>
      <c r="E3465" s="21" t="s">
        <v>17659</v>
      </c>
      <c r="F3465" s="21" t="s">
        <v>15458</v>
      </c>
    </row>
    <row r="3466" customFormat="false" ht="15" hidden="false" customHeight="false" outlineLevel="0" collapsed="false">
      <c r="B3466" s="19" t="s">
        <v>17896</v>
      </c>
      <c r="C3466" s="20" t="n">
        <f aca="false">ROUND(5.15/FX,2)</f>
        <v>0.72</v>
      </c>
      <c r="D3466" s="21" t="s">
        <v>17895</v>
      </c>
      <c r="E3466" s="21" t="s">
        <v>17883</v>
      </c>
      <c r="F3466" s="21" t="s">
        <v>15458</v>
      </c>
    </row>
    <row r="3467" customFormat="false" ht="28.35" hidden="false" customHeight="false" outlineLevel="0" collapsed="false">
      <c r="B3467" s="19" t="s">
        <v>17897</v>
      </c>
      <c r="C3467" s="20" t="n">
        <f aca="false">ROUND(28.6/FX,2)</f>
        <v>3.97</v>
      </c>
      <c r="D3467" s="21" t="s">
        <v>17898</v>
      </c>
      <c r="E3467" s="21" t="s">
        <v>17886</v>
      </c>
      <c r="F3467" s="21" t="s">
        <v>15458</v>
      </c>
    </row>
    <row r="3468" customFormat="false" ht="28.35" hidden="false" customHeight="false" outlineLevel="0" collapsed="false">
      <c r="B3468" s="19" t="s">
        <v>17899</v>
      </c>
      <c r="C3468" s="20" t="n">
        <f aca="false">ROUND(19.5/FX,2)</f>
        <v>2.71</v>
      </c>
      <c r="D3468" s="21" t="s">
        <v>17900</v>
      </c>
      <c r="E3468" s="21" t="s">
        <v>17659</v>
      </c>
      <c r="F3468" s="21" t="s">
        <v>15458</v>
      </c>
    </row>
    <row r="3469" customFormat="false" ht="28.35" hidden="false" customHeight="false" outlineLevel="0" collapsed="false">
      <c r="B3469" s="19" t="s">
        <v>17901</v>
      </c>
      <c r="C3469" s="20" t="n">
        <f aca="false">ROUND(10.66/FX,2)</f>
        <v>1.48</v>
      </c>
      <c r="D3469" s="21" t="s">
        <v>17900</v>
      </c>
      <c r="E3469" s="21" t="s">
        <v>17902</v>
      </c>
      <c r="F3469" s="21" t="s">
        <v>15458</v>
      </c>
    </row>
    <row r="3470" customFormat="false" ht="28.35" hidden="false" customHeight="false" outlineLevel="0" collapsed="false">
      <c r="B3470" s="19" t="s">
        <v>17903</v>
      </c>
      <c r="C3470" s="20" t="n">
        <f aca="false">ROUND(6.5/FX,2)</f>
        <v>0.9</v>
      </c>
      <c r="D3470" s="21" t="s">
        <v>17900</v>
      </c>
      <c r="E3470" s="21" t="s">
        <v>17904</v>
      </c>
      <c r="F3470" s="21" t="s">
        <v>17905</v>
      </c>
    </row>
    <row r="3471" customFormat="false" ht="28.35" hidden="false" customHeight="false" outlineLevel="0" collapsed="false">
      <c r="B3471" s="19" t="s">
        <v>17906</v>
      </c>
      <c r="C3471" s="20" t="n">
        <f aca="false">ROUND(9.75/FX,2)</f>
        <v>1.35</v>
      </c>
      <c r="D3471" s="21" t="s">
        <v>17900</v>
      </c>
      <c r="E3471" s="21" t="s">
        <v>17904</v>
      </c>
      <c r="F3471" s="21" t="s">
        <v>17907</v>
      </c>
    </row>
    <row r="3472" customFormat="false" ht="28.35" hidden="false" customHeight="false" outlineLevel="0" collapsed="false">
      <c r="B3472" s="19" t="s">
        <v>17908</v>
      </c>
      <c r="C3472" s="20" t="n">
        <f aca="false">ROUND(9.75/FX,2)</f>
        <v>1.35</v>
      </c>
      <c r="D3472" s="21" t="s">
        <v>17900</v>
      </c>
      <c r="E3472" s="21" t="s">
        <v>17909</v>
      </c>
      <c r="F3472" s="21" t="s">
        <v>17907</v>
      </c>
    </row>
    <row r="3473" customFormat="false" ht="28.35" hidden="false" customHeight="false" outlineLevel="0" collapsed="false">
      <c r="B3473" s="19" t="s">
        <v>17910</v>
      </c>
      <c r="C3473" s="20" t="n">
        <f aca="false">ROUND(32.5/FX,2)</f>
        <v>4.51</v>
      </c>
      <c r="D3473" s="21" t="s">
        <v>17911</v>
      </c>
      <c r="E3473" s="21" t="s">
        <v>17886</v>
      </c>
      <c r="F3473" s="21" t="s">
        <v>15458</v>
      </c>
    </row>
    <row r="3474" customFormat="false" ht="28.35" hidden="false" customHeight="false" outlineLevel="0" collapsed="false">
      <c r="B3474" s="19" t="s">
        <v>17912</v>
      </c>
      <c r="C3474" s="20" t="n">
        <f aca="false">ROUND(31.2/FX,2)</f>
        <v>4.33</v>
      </c>
      <c r="D3474" s="21" t="s">
        <v>17913</v>
      </c>
      <c r="E3474" s="21" t="s">
        <v>17659</v>
      </c>
      <c r="F3474" s="21" t="s">
        <v>15458</v>
      </c>
    </row>
    <row r="3475" customFormat="false" ht="15" hidden="false" customHeight="false" outlineLevel="0" collapsed="false">
      <c r="B3475" s="19" t="s">
        <v>17914</v>
      </c>
      <c r="C3475" s="20" t="n">
        <f aca="false">ROUND(10/FX,2)</f>
        <v>1.39</v>
      </c>
      <c r="D3475" s="21" t="s">
        <v>17913</v>
      </c>
      <c r="E3475" s="21" t="s">
        <v>17883</v>
      </c>
      <c r="F3475" s="21" t="s">
        <v>15458</v>
      </c>
    </row>
    <row r="3476" customFormat="false" ht="28.35" hidden="false" customHeight="false" outlineLevel="0" collapsed="false">
      <c r="B3476" s="19" t="s">
        <v>17915</v>
      </c>
      <c r="C3476" s="20" t="n">
        <f aca="false">ROUND(55.9/FX,2)</f>
        <v>7.76</v>
      </c>
      <c r="D3476" s="21" t="s">
        <v>17916</v>
      </c>
      <c r="E3476" s="21" t="s">
        <v>17886</v>
      </c>
      <c r="F3476" s="21" t="s">
        <v>15458</v>
      </c>
    </row>
    <row r="3477" customFormat="false" ht="28.35" hidden="false" customHeight="false" outlineLevel="0" collapsed="false">
      <c r="B3477" s="19" t="s">
        <v>17917</v>
      </c>
      <c r="C3477" s="20" t="n">
        <f aca="false">ROUND(39/FX,2)</f>
        <v>5.42</v>
      </c>
      <c r="D3477" s="21" t="s">
        <v>17918</v>
      </c>
      <c r="E3477" s="21" t="s">
        <v>17659</v>
      </c>
      <c r="F3477" s="21" t="s">
        <v>15458</v>
      </c>
    </row>
    <row r="3478" customFormat="false" ht="15" hidden="false" customHeight="false" outlineLevel="0" collapsed="false">
      <c r="B3478" s="19" t="s">
        <v>17919</v>
      </c>
      <c r="C3478" s="20" t="n">
        <f aca="false">ROUND(10/FX,2)</f>
        <v>1.39</v>
      </c>
      <c r="D3478" s="21" t="s">
        <v>17918</v>
      </c>
      <c r="E3478" s="21" t="s">
        <v>17883</v>
      </c>
      <c r="F3478" s="21" t="s">
        <v>15458</v>
      </c>
    </row>
    <row r="3479" customFormat="false" ht="28.35" hidden="false" customHeight="false" outlineLevel="0" collapsed="false">
      <c r="B3479" s="19" t="s">
        <v>17920</v>
      </c>
      <c r="C3479" s="20" t="n">
        <f aca="false">ROUND(71.5/FX,2)</f>
        <v>9.93</v>
      </c>
      <c r="D3479" s="21" t="s">
        <v>17921</v>
      </c>
      <c r="E3479" s="21" t="s">
        <v>17886</v>
      </c>
      <c r="F3479" s="21" t="s">
        <v>15458</v>
      </c>
    </row>
    <row r="3480" customFormat="false" ht="28.35" hidden="false" customHeight="false" outlineLevel="0" collapsed="false">
      <c r="B3480" s="19" t="s">
        <v>17922</v>
      </c>
      <c r="C3480" s="20" t="n">
        <f aca="false">ROUND(52/FX,2)</f>
        <v>7.22</v>
      </c>
      <c r="D3480" s="21" t="s">
        <v>17923</v>
      </c>
      <c r="E3480" s="21" t="s">
        <v>17659</v>
      </c>
      <c r="F3480" s="21" t="s">
        <v>15458</v>
      </c>
    </row>
    <row r="3481" customFormat="false" ht="15" hidden="false" customHeight="false" outlineLevel="0" collapsed="false">
      <c r="B3481" s="19" t="s">
        <v>17924</v>
      </c>
      <c r="C3481" s="20" t="n">
        <f aca="false">ROUND(26/FX,2)</f>
        <v>3.61</v>
      </c>
      <c r="D3481" s="21" t="s">
        <v>17923</v>
      </c>
      <c r="E3481" s="21" t="s">
        <v>17883</v>
      </c>
      <c r="F3481" s="21" t="s">
        <v>15458</v>
      </c>
    </row>
    <row r="3482" customFormat="false" ht="28.35" hidden="false" customHeight="false" outlineLevel="0" collapsed="false">
      <c r="B3482" s="19" t="s">
        <v>17925</v>
      </c>
      <c r="C3482" s="20" t="n">
        <f aca="false">ROUND(104/FX,2)</f>
        <v>14.44</v>
      </c>
      <c r="D3482" s="21" t="s">
        <v>17926</v>
      </c>
      <c r="E3482" s="21" t="s">
        <v>17886</v>
      </c>
      <c r="F3482" s="21" t="s">
        <v>15458</v>
      </c>
    </row>
    <row r="3483" customFormat="false" ht="28.35" hidden="false" customHeight="false" outlineLevel="0" collapsed="false">
      <c r="B3483" s="19" t="s">
        <v>17927</v>
      </c>
      <c r="C3483" s="20" t="n">
        <f aca="false">ROUND(84.5/FX,2)</f>
        <v>11.74</v>
      </c>
      <c r="D3483" s="21" t="s">
        <v>17928</v>
      </c>
      <c r="E3483" s="21" t="s">
        <v>17659</v>
      </c>
      <c r="F3483" s="21" t="s">
        <v>15458</v>
      </c>
    </row>
    <row r="3484" customFormat="false" ht="15" hidden="false" customHeight="false" outlineLevel="0" collapsed="false">
      <c r="B3484" s="19" t="s">
        <v>17929</v>
      </c>
      <c r="C3484" s="20" t="n">
        <f aca="false">ROUND(10/FX,2)</f>
        <v>1.39</v>
      </c>
      <c r="D3484" s="21" t="s">
        <v>17928</v>
      </c>
      <c r="E3484" s="21" t="s">
        <v>17883</v>
      </c>
      <c r="F3484" s="21" t="s">
        <v>15458</v>
      </c>
    </row>
    <row r="3485" customFormat="false" ht="28.35" hidden="false" customHeight="false" outlineLevel="0" collapsed="false">
      <c r="B3485" s="19" t="s">
        <v>17930</v>
      </c>
      <c r="C3485" s="20" t="n">
        <f aca="false">ROUND(182/FX,2)</f>
        <v>25.28</v>
      </c>
      <c r="D3485" s="21" t="s">
        <v>17931</v>
      </c>
      <c r="E3485" s="21" t="s">
        <v>17886</v>
      </c>
      <c r="F3485" s="21" t="s">
        <v>15458</v>
      </c>
    </row>
    <row r="3486" customFormat="false" ht="28.35" hidden="false" customHeight="false" outlineLevel="0" collapsed="false">
      <c r="B3486" s="19" t="s">
        <v>17932</v>
      </c>
      <c r="C3486" s="20" t="n">
        <f aca="false">ROUND(335.4/FX,2)</f>
        <v>46.58</v>
      </c>
      <c r="D3486" s="21" t="s">
        <v>17933</v>
      </c>
      <c r="E3486" s="21" t="s">
        <v>17659</v>
      </c>
      <c r="F3486" s="21" t="s">
        <v>15458</v>
      </c>
    </row>
    <row r="3487" customFormat="false" ht="15" hidden="false" customHeight="false" outlineLevel="0" collapsed="false">
      <c r="B3487" s="19" t="s">
        <v>17934</v>
      </c>
      <c r="C3487" s="20" t="n">
        <f aca="false">ROUND(10/FX,2)</f>
        <v>1.39</v>
      </c>
      <c r="D3487" s="21" t="s">
        <v>17933</v>
      </c>
      <c r="E3487" s="21" t="s">
        <v>17883</v>
      </c>
      <c r="F3487" s="21" t="s">
        <v>15458</v>
      </c>
    </row>
    <row r="3488" customFormat="false" ht="28.35" hidden="false" customHeight="false" outlineLevel="0" collapsed="false">
      <c r="B3488" s="19" t="s">
        <v>17935</v>
      </c>
      <c r="C3488" s="20" t="n">
        <f aca="false">ROUND(711.1/FX,2)</f>
        <v>98.76</v>
      </c>
      <c r="D3488" s="21" t="s">
        <v>17936</v>
      </c>
      <c r="E3488" s="21" t="s">
        <v>17886</v>
      </c>
      <c r="F3488" s="21" t="s">
        <v>15458</v>
      </c>
    </row>
    <row r="3489" customFormat="false" ht="15" hidden="false" customHeight="false" outlineLevel="0" collapsed="false">
      <c r="B3489" s="19" t="s">
        <v>17937</v>
      </c>
      <c r="C3489" s="20" t="n">
        <f aca="false">ROUND(10/FX,2)</f>
        <v>1.39</v>
      </c>
      <c r="D3489" s="21" t="s">
        <v>17938</v>
      </c>
      <c r="E3489" s="21" t="s">
        <v>17883</v>
      </c>
      <c r="F3489" s="21" t="s">
        <v>15458</v>
      </c>
    </row>
    <row r="3490" customFormat="false" ht="15" hidden="false" customHeight="false" outlineLevel="0" collapsed="false">
      <c r="B3490" s="19" t="s">
        <v>17939</v>
      </c>
      <c r="C3490" s="20" t="n">
        <f aca="false">ROUND(10/FX,2)</f>
        <v>1.39</v>
      </c>
      <c r="D3490" s="21" t="s">
        <v>17940</v>
      </c>
      <c r="E3490" s="21" t="s">
        <v>17883</v>
      </c>
      <c r="F3490" s="21" t="s">
        <v>15458</v>
      </c>
    </row>
    <row r="3491" customFormat="false" ht="15" hidden="false" customHeight="false" outlineLevel="0" collapsed="false">
      <c r="B3491" s="19" t="s">
        <v>17941</v>
      </c>
      <c r="C3491" s="20" t="n">
        <f aca="false">ROUND(2.29/FX,2)</f>
        <v>0.32</v>
      </c>
      <c r="D3491" s="21" t="s">
        <v>17942</v>
      </c>
      <c r="E3491" s="21" t="s">
        <v>17883</v>
      </c>
      <c r="F3491" s="21" t="s">
        <v>15458</v>
      </c>
    </row>
    <row r="3494" customFormat="false" ht="61.5" hidden="false" customHeight="true" outlineLevel="0" collapsed="false">
      <c r="A3494" s="9"/>
      <c r="B3494" s="10" t="s">
        <v>17943</v>
      </c>
      <c r="C3494" s="10"/>
      <c r="D3494" s="10"/>
    </row>
    <row r="3495" customFormat="false" ht="15" hidden="false" customHeight="false" outlineLevel="0" collapsed="false">
      <c r="B3495" s="18" t="s">
        <v>701</v>
      </c>
      <c r="C3495" s="18" t="s">
        <v>702</v>
      </c>
      <c r="D3495" s="18" t="s">
        <v>5610</v>
      </c>
    </row>
    <row r="3496" customFormat="false" ht="15" hidden="false" customHeight="false" outlineLevel="0" collapsed="false">
      <c r="B3496" s="19" t="s">
        <v>17944</v>
      </c>
      <c r="C3496" s="20" t="n">
        <f aca="false">ROUND(54.83/FX,2)</f>
        <v>7.62</v>
      </c>
      <c r="D3496" s="22" t="s">
        <v>5612</v>
      </c>
    </row>
    <row r="3499" customFormat="false" ht="61.5" hidden="false" customHeight="true" outlineLevel="0" collapsed="false">
      <c r="A3499" s="9"/>
      <c r="B3499" s="10" t="s">
        <v>17945</v>
      </c>
      <c r="C3499" s="10"/>
      <c r="D3499" s="10"/>
    </row>
    <row r="3500" customFormat="false" ht="15" hidden="false" customHeight="false" outlineLevel="0" collapsed="false">
      <c r="A3500" s="12" t="s">
        <v>700</v>
      </c>
      <c r="B3500" s="13" t="s">
        <v>701</v>
      </c>
      <c r="C3500" s="13" t="s">
        <v>702</v>
      </c>
      <c r="D3500" s="13" t="s">
        <v>723</v>
      </c>
    </row>
    <row r="3501" customFormat="false" ht="30" hidden="false" customHeight="true" outlineLevel="0" collapsed="false">
      <c r="A3501" s="14" t="s">
        <v>706</v>
      </c>
      <c r="B3501" s="15" t="str">
        <f aca="false">IF(COUNTIFS($D$3504:$D$3522,IF(D3501="","*",D3501))=1,INDEX($B:$B,SUMPRODUCT(((D3501="")+($D$3504:$D$3522=D3501)&gt;0)*ROW($B$3504:$B$3522))),IF(COUNTIFS($D$3504:$D$3522,IF(D3501="","*",D3501))=0,"Not available",COUNTIFS($D$3504:$D$3522,IF(D3501="","*",D3501))&amp;" match, keep choosing"))</f>
        <v>RL-010-ZJ8CD1000SET</v>
      </c>
      <c r="C3501" s="16" t="n">
        <f aca="false">IF(COUNTIFS($D$3504:$D$3522,IF(D3501="","*",D3501))=1,INDEX($C:$C,SUMPRODUCT(((D3501="")+($D$3504:$D$3522=D3501)&gt;0)*ROW($B$3504:$B$3522))),"")</f>
        <v>6.37</v>
      </c>
      <c r="D3501" s="17" t="s">
        <v>17946</v>
      </c>
    </row>
    <row r="3503" customFormat="false" ht="15" hidden="false" customHeight="false" outlineLevel="0" collapsed="false">
      <c r="B3503" s="18" t="s">
        <v>701</v>
      </c>
      <c r="C3503" s="18" t="s">
        <v>702</v>
      </c>
      <c r="D3503" s="18" t="s">
        <v>723</v>
      </c>
    </row>
    <row r="3504" customFormat="false" ht="15" hidden="false" customHeight="false" outlineLevel="0" collapsed="false">
      <c r="B3504" s="19" t="s">
        <v>17947</v>
      </c>
      <c r="C3504" s="20" t="n">
        <f aca="false">ROUND(45.86/FX,2)</f>
        <v>6.37</v>
      </c>
      <c r="D3504" s="21" t="s">
        <v>17946</v>
      </c>
    </row>
    <row r="3505" customFormat="false" ht="15" hidden="false" customHeight="false" outlineLevel="0" collapsed="false">
      <c r="B3505" s="19" t="s">
        <v>17948</v>
      </c>
      <c r="C3505" s="20" t="n">
        <f aca="false">ROUND(24.57/FX,2)</f>
        <v>3.41</v>
      </c>
      <c r="D3505" s="21" t="s">
        <v>17949</v>
      </c>
    </row>
    <row r="3506" customFormat="false" ht="15" hidden="false" customHeight="false" outlineLevel="0" collapsed="false">
      <c r="B3506" s="19" t="s">
        <v>17950</v>
      </c>
      <c r="C3506" s="20" t="n">
        <f aca="false">ROUND(29.36/FX,2)</f>
        <v>4.08</v>
      </c>
      <c r="D3506" s="21" t="s">
        <v>17951</v>
      </c>
    </row>
    <row r="3507" customFormat="false" ht="15" hidden="false" customHeight="false" outlineLevel="0" collapsed="false">
      <c r="B3507" s="19" t="s">
        <v>17952</v>
      </c>
      <c r="C3507" s="20" t="n">
        <f aca="false">ROUND(30.07/FX,2)</f>
        <v>4.18</v>
      </c>
      <c r="D3507" s="21" t="s">
        <v>17953</v>
      </c>
    </row>
    <row r="3508" customFormat="false" ht="15" hidden="false" customHeight="false" outlineLevel="0" collapsed="false">
      <c r="B3508" s="19" t="s">
        <v>17954</v>
      </c>
      <c r="C3508" s="20" t="n">
        <f aca="false">ROUND(30.66/FX,2)</f>
        <v>4.26</v>
      </c>
      <c r="D3508" s="21" t="s">
        <v>17955</v>
      </c>
    </row>
    <row r="3509" customFormat="false" ht="15" hidden="false" customHeight="false" outlineLevel="0" collapsed="false">
      <c r="B3509" s="19" t="s">
        <v>17956</v>
      </c>
      <c r="C3509" s="20" t="n">
        <f aca="false">ROUND(31.96/FX,2)</f>
        <v>4.44</v>
      </c>
      <c r="D3509" s="21" t="s">
        <v>17957</v>
      </c>
    </row>
    <row r="3510" customFormat="false" ht="15" hidden="false" customHeight="false" outlineLevel="0" collapsed="false">
      <c r="B3510" s="19" t="s">
        <v>17958</v>
      </c>
      <c r="C3510" s="20" t="n">
        <f aca="false">ROUND(31.56/FX,2)</f>
        <v>4.38</v>
      </c>
      <c r="D3510" s="21" t="s">
        <v>17959</v>
      </c>
    </row>
    <row r="3511" customFormat="false" ht="15" hidden="false" customHeight="false" outlineLevel="0" collapsed="false">
      <c r="B3511" s="19" t="s">
        <v>17960</v>
      </c>
      <c r="C3511" s="20" t="n">
        <f aca="false">ROUND(34.56/FX,2)</f>
        <v>4.8</v>
      </c>
      <c r="D3511" s="21" t="s">
        <v>17961</v>
      </c>
    </row>
    <row r="3512" customFormat="false" ht="15" hidden="false" customHeight="false" outlineLevel="0" collapsed="false">
      <c r="B3512" s="19" t="s">
        <v>17962</v>
      </c>
      <c r="C3512" s="20" t="n">
        <f aca="false">ROUND(35.86/FX,2)</f>
        <v>4.98</v>
      </c>
      <c r="D3512" s="21" t="s">
        <v>17963</v>
      </c>
    </row>
    <row r="3513" customFormat="false" ht="15" hidden="false" customHeight="false" outlineLevel="0" collapsed="false">
      <c r="B3513" s="19" t="s">
        <v>17964</v>
      </c>
      <c r="C3513" s="20" t="n">
        <f aca="false">ROUND(37.5/FX,2)</f>
        <v>5.21</v>
      </c>
      <c r="D3513" s="21" t="s">
        <v>17965</v>
      </c>
    </row>
    <row r="3514" customFormat="false" ht="15" hidden="false" customHeight="false" outlineLevel="0" collapsed="false">
      <c r="B3514" s="19" t="s">
        <v>17966</v>
      </c>
      <c r="C3514" s="20" t="n">
        <f aca="false">ROUND(38.9/FX,2)</f>
        <v>5.4</v>
      </c>
      <c r="D3514" s="21" t="s">
        <v>17967</v>
      </c>
    </row>
    <row r="3515" customFormat="false" ht="15" hidden="false" customHeight="false" outlineLevel="0" collapsed="false">
      <c r="B3515" s="19" t="s">
        <v>17968</v>
      </c>
      <c r="C3515" s="20" t="n">
        <f aca="false">ROUND(40.36/FX,2)</f>
        <v>5.61</v>
      </c>
      <c r="D3515" s="21" t="s">
        <v>17969</v>
      </c>
    </row>
    <row r="3516" customFormat="false" ht="15" hidden="false" customHeight="false" outlineLevel="0" collapsed="false">
      <c r="B3516" s="19" t="s">
        <v>17970</v>
      </c>
      <c r="C3516" s="20" t="n">
        <f aca="false">ROUND(41.8/FX,2)</f>
        <v>5.81</v>
      </c>
      <c r="D3516" s="21" t="s">
        <v>17971</v>
      </c>
    </row>
    <row r="3517" customFormat="false" ht="15" hidden="false" customHeight="false" outlineLevel="0" collapsed="false">
      <c r="B3517" s="19" t="s">
        <v>17972</v>
      </c>
      <c r="C3517" s="20" t="n">
        <f aca="false">ROUND(42.29/FX,2)</f>
        <v>5.87</v>
      </c>
      <c r="D3517" s="21" t="s">
        <v>17973</v>
      </c>
    </row>
    <row r="3518" customFormat="false" ht="15" hidden="false" customHeight="false" outlineLevel="0" collapsed="false">
      <c r="B3518" s="19" t="s">
        <v>17974</v>
      </c>
      <c r="C3518" s="20" t="n">
        <f aca="false">ROUND(42.7/FX,2)</f>
        <v>5.93</v>
      </c>
      <c r="D3518" s="21" t="s">
        <v>17975</v>
      </c>
    </row>
    <row r="3519" customFormat="false" ht="15" hidden="false" customHeight="false" outlineLevel="0" collapsed="false">
      <c r="B3519" s="19" t="s">
        <v>17976</v>
      </c>
      <c r="C3519" s="20" t="n">
        <f aca="false">ROUND(44/FX,2)</f>
        <v>6.11</v>
      </c>
      <c r="D3519" s="21" t="s">
        <v>17977</v>
      </c>
    </row>
    <row r="3520" customFormat="false" ht="15" hidden="false" customHeight="false" outlineLevel="0" collapsed="false">
      <c r="B3520" s="19" t="s">
        <v>17978</v>
      </c>
      <c r="C3520" s="20" t="n">
        <f aca="false">ROUND(42.1/FX,2)</f>
        <v>5.85</v>
      </c>
      <c r="D3520" s="21" t="s">
        <v>17979</v>
      </c>
    </row>
    <row r="3521" customFormat="false" ht="15" hidden="false" customHeight="false" outlineLevel="0" collapsed="false">
      <c r="B3521" s="19" t="s">
        <v>17980</v>
      </c>
      <c r="C3521" s="20" t="n">
        <f aca="false">ROUND(45.6/FX,2)</f>
        <v>6.33</v>
      </c>
      <c r="D3521" s="21" t="s">
        <v>17981</v>
      </c>
    </row>
    <row r="3522" customFormat="false" ht="15" hidden="false" customHeight="false" outlineLevel="0" collapsed="false">
      <c r="B3522" s="19" t="s">
        <v>17982</v>
      </c>
      <c r="C3522" s="20" t="n">
        <f aca="false">ROUND(47.8/FX,2)</f>
        <v>6.64</v>
      </c>
      <c r="D3522" s="21" t="s">
        <v>17983</v>
      </c>
    </row>
    <row r="3525" customFormat="false" ht="61.5" hidden="false" customHeight="true" outlineLevel="0" collapsed="false">
      <c r="A3525" s="9"/>
      <c r="B3525" s="10" t="s">
        <v>17984</v>
      </c>
      <c r="C3525" s="10"/>
      <c r="D3525" s="10"/>
    </row>
    <row r="3526" customFormat="false" ht="15" hidden="false" customHeight="false" outlineLevel="0" collapsed="false">
      <c r="A3526" s="12" t="s">
        <v>700</v>
      </c>
      <c r="B3526" s="13" t="s">
        <v>701</v>
      </c>
      <c r="C3526" s="13" t="s">
        <v>702</v>
      </c>
      <c r="D3526" s="13" t="s">
        <v>723</v>
      </c>
    </row>
    <row r="3527" customFormat="false" ht="30" hidden="false" customHeight="true" outlineLevel="0" collapsed="false">
      <c r="A3527" s="14" t="s">
        <v>706</v>
      </c>
      <c r="B3527" s="15" t="str">
        <f aca="false">IF(COUNTIFS($D$3530:$D$3538,IF(D3527="","*",D3527))=1,INDEX($B:$B,SUMPRODUCT(((D3527="")+($D$3530:$D$3538=D3527)&gt;0)*ROW($B$3530:$B$3538))),IF(COUNTIFS($D$3530:$D$3538,IF(D3527="","*",D3527))=0,"Not available",COUNTIFS($D$3530:$D$3538,IF(D3527="","*",D3527))&amp;" match, keep choosing"))</f>
        <v>RL-028-ZJ8CD150SET</v>
      </c>
      <c r="C3527" s="16" t="n">
        <f aca="false">IF(COUNTIFS($D$3530:$D$3538,IF(D3527="","*",D3527))=1,INDEX($C:$C,SUMPRODUCT(((D3527="")+($D$3530:$D$3538=D3527)&gt;0)*ROW($B$3530:$B$3538))),"")</f>
        <v>4.32</v>
      </c>
      <c r="D3527" s="17" t="s">
        <v>17949</v>
      </c>
    </row>
    <row r="3529" customFormat="false" ht="15" hidden="false" customHeight="false" outlineLevel="0" collapsed="false">
      <c r="B3529" s="18" t="s">
        <v>701</v>
      </c>
      <c r="C3529" s="18" t="s">
        <v>702</v>
      </c>
      <c r="D3529" s="18" t="s">
        <v>723</v>
      </c>
    </row>
    <row r="3530" customFormat="false" ht="15" hidden="false" customHeight="false" outlineLevel="0" collapsed="false">
      <c r="B3530" s="19" t="s">
        <v>17985</v>
      </c>
      <c r="C3530" s="20" t="n">
        <f aca="false">ROUND(31.07/FX,2)</f>
        <v>4.32</v>
      </c>
      <c r="D3530" s="21" t="s">
        <v>17949</v>
      </c>
    </row>
    <row r="3531" customFormat="false" ht="15" hidden="false" customHeight="false" outlineLevel="0" collapsed="false">
      <c r="B3531" s="19" t="s">
        <v>17986</v>
      </c>
      <c r="C3531" s="20" t="n">
        <f aca="false">ROUND(32.37/FX,2)</f>
        <v>4.5</v>
      </c>
      <c r="D3531" s="21" t="s">
        <v>17951</v>
      </c>
    </row>
    <row r="3532" customFormat="false" ht="15" hidden="false" customHeight="false" outlineLevel="0" collapsed="false">
      <c r="B3532" s="19" t="s">
        <v>17987</v>
      </c>
      <c r="C3532" s="20" t="n">
        <f aca="false">ROUND(33.08/FX,2)</f>
        <v>4.59</v>
      </c>
      <c r="D3532" s="21" t="s">
        <v>17953</v>
      </c>
    </row>
    <row r="3533" customFormat="false" ht="15" hidden="false" customHeight="false" outlineLevel="0" collapsed="false">
      <c r="B3533" s="19" t="s">
        <v>17988</v>
      </c>
      <c r="C3533" s="20" t="n">
        <f aca="false">ROUND(33.67/FX,2)</f>
        <v>4.68</v>
      </c>
      <c r="D3533" s="21" t="s">
        <v>17955</v>
      </c>
    </row>
    <row r="3534" customFormat="false" ht="15" hidden="false" customHeight="false" outlineLevel="0" collapsed="false">
      <c r="B3534" s="19" t="s">
        <v>17989</v>
      </c>
      <c r="C3534" s="20" t="n">
        <f aca="false">ROUND(34.97/FX,2)</f>
        <v>4.86</v>
      </c>
      <c r="D3534" s="21" t="s">
        <v>17957</v>
      </c>
    </row>
    <row r="3535" customFormat="false" ht="15" hidden="false" customHeight="false" outlineLevel="0" collapsed="false">
      <c r="B3535" s="19" t="s">
        <v>17990</v>
      </c>
      <c r="C3535" s="20" t="n">
        <f aca="false">ROUND(35.48/FX,2)</f>
        <v>4.93</v>
      </c>
      <c r="D3535" s="21" t="s">
        <v>17959</v>
      </c>
    </row>
    <row r="3536" customFormat="false" ht="15" hidden="false" customHeight="false" outlineLevel="0" collapsed="false">
      <c r="B3536" s="19" t="s">
        <v>17991</v>
      </c>
      <c r="C3536" s="20" t="n">
        <f aca="false">ROUND(37.57/FX,2)</f>
        <v>5.22</v>
      </c>
      <c r="D3536" s="21" t="s">
        <v>17961</v>
      </c>
    </row>
    <row r="3537" customFormat="false" ht="15" hidden="false" customHeight="false" outlineLevel="0" collapsed="false">
      <c r="B3537" s="19" t="s">
        <v>17992</v>
      </c>
      <c r="C3537" s="20" t="n">
        <f aca="false">ROUND(38.87/FX,2)</f>
        <v>5.4</v>
      </c>
      <c r="D3537" s="21" t="s">
        <v>17963</v>
      </c>
    </row>
    <row r="3538" customFormat="false" ht="15" hidden="false" customHeight="false" outlineLevel="0" collapsed="false">
      <c r="B3538" s="19" t="s">
        <v>17993</v>
      </c>
      <c r="C3538" s="20" t="n">
        <f aca="false">ROUND(45.3/FX,2)</f>
        <v>6.29</v>
      </c>
      <c r="D3538" s="21" t="s">
        <v>17973</v>
      </c>
    </row>
    <row r="3541" customFormat="false" ht="61.5" hidden="false" customHeight="true" outlineLevel="0" collapsed="false">
      <c r="A3541" s="9"/>
      <c r="B3541" s="10" t="s">
        <v>17994</v>
      </c>
      <c r="C3541" s="10"/>
      <c r="D3541" s="10"/>
    </row>
    <row r="3542" customFormat="false" ht="15" hidden="false" customHeight="false" outlineLevel="0" collapsed="false">
      <c r="B3542" s="18" t="s">
        <v>701</v>
      </c>
      <c r="C3542" s="18" t="s">
        <v>702</v>
      </c>
      <c r="D3542" s="18" t="s">
        <v>5610</v>
      </c>
    </row>
    <row r="3543" customFormat="false" ht="15" hidden="false" customHeight="false" outlineLevel="0" collapsed="false">
      <c r="B3543" s="19" t="s">
        <v>17995</v>
      </c>
      <c r="C3543" s="20" t="n">
        <f aca="false">ROUND(26.52/FX,2)</f>
        <v>3.68</v>
      </c>
      <c r="D3543" s="22" t="s">
        <v>5612</v>
      </c>
    </row>
    <row r="3546" customFormat="false" ht="61.5" hidden="false" customHeight="true" outlineLevel="0" collapsed="false">
      <c r="A3546" s="9"/>
      <c r="B3546" s="10" t="s">
        <v>17996</v>
      </c>
      <c r="C3546" s="10"/>
      <c r="D3546" s="10"/>
      <c r="E3546" s="10"/>
      <c r="F3546" s="10"/>
    </row>
    <row r="3547" customFormat="false" ht="15" hidden="false" customHeight="false" outlineLevel="0" collapsed="false">
      <c r="A3547" s="12" t="s">
        <v>700</v>
      </c>
      <c r="B3547" s="13" t="s">
        <v>701</v>
      </c>
      <c r="C3547" s="13" t="s">
        <v>702</v>
      </c>
      <c r="D3547" s="13" t="s">
        <v>6159</v>
      </c>
      <c r="E3547" s="13" t="s">
        <v>6328</v>
      </c>
      <c r="F3547" s="13" t="s">
        <v>6523</v>
      </c>
    </row>
    <row r="3548" customFormat="false" ht="30" hidden="false" customHeight="true" outlineLevel="0" collapsed="false">
      <c r="A3548" s="14" t="s">
        <v>706</v>
      </c>
      <c r="B3548" s="15" t="str">
        <f aca="false">IF(COUNTIFS($D$3551:$D$3614,IF(D3548="","*",D3548),$E$3551:$E$3614,IF(E3548="","*",E3548),$F$3551:$F$3614,IF(F3548="","*",F3548))=1,INDEX($B:$B,SUMPRODUCT(((D3548="")+($D$3551:$D$3614=D3548)&gt;0)*((E3548="")+($E$3551:$E$3614=E3548)&gt;0)*((F3548="")+($F$3551:$F$3614=F3548)&gt;0)*ROW($B$3551:$B$3614))),IF(COUNTIFS($D$3551:$D$3614,IF(D3548="","*",D3548),$E$3551:$E$3614,IF(E3548="","*",E3548),$F$3551:$F$3614,IF(F3548="","*",F3548))=0,"Not available",COUNTIFS($D$3551:$D$3614,IF(D3548="","*",D3548),$E$3551:$E$3614,IF(E3548="","*",E3548),$F$3551:$F$3614,IF(F3548="","*",F3548))&amp;" match, keep choosing"))</f>
        <v>AP-LM10LUU-10x19x55</v>
      </c>
      <c r="C3548" s="16" t="n">
        <f aca="false">IF(COUNTIFS($D$3551:$D$3614,IF(D3548="","*",D3548),$E$3551:$E$3614,IF(E3548="","*",E3548),$F$3551:$F$3614,IF(F3548="","*",F3548))=1,INDEX($C:$C,SUMPRODUCT(((D3548="")+($D$3551:$D$3614=D3548)&gt;0)*((E3548="")+($E$3551:$E$3614=E3548)&gt;0)*((F3548="")+($F$3551:$F$3614=F3548)&gt;0)*ROW($B$3551:$B$3614))),"")</f>
        <v>1.63</v>
      </c>
      <c r="D3548" s="17" t="s">
        <v>17109</v>
      </c>
      <c r="E3548" s="17" t="s">
        <v>17110</v>
      </c>
      <c r="F3548" s="17" t="s">
        <v>17111</v>
      </c>
    </row>
    <row r="3550" customFormat="false" ht="15" hidden="false" customHeight="false" outlineLevel="0" collapsed="false">
      <c r="B3550" s="18" t="s">
        <v>701</v>
      </c>
      <c r="C3550" s="18" t="s">
        <v>702</v>
      </c>
      <c r="D3550" s="18" t="s">
        <v>6159</v>
      </c>
      <c r="E3550" s="18" t="s">
        <v>6328</v>
      </c>
      <c r="F3550" s="18" t="s">
        <v>6523</v>
      </c>
    </row>
    <row r="3551" customFormat="false" ht="15" hidden="false" customHeight="false" outlineLevel="0" collapsed="false">
      <c r="B3551" s="19" t="s">
        <v>17997</v>
      </c>
      <c r="C3551" s="20" t="n">
        <f aca="false">ROUND(11.7/FX,2)</f>
        <v>1.63</v>
      </c>
      <c r="D3551" s="21" t="s">
        <v>17109</v>
      </c>
      <c r="E3551" s="21" t="s">
        <v>17110</v>
      </c>
      <c r="F3551" s="21" t="s">
        <v>17111</v>
      </c>
    </row>
    <row r="3552" customFormat="false" ht="15" hidden="false" customHeight="false" outlineLevel="0" collapsed="false">
      <c r="B3552" s="19" t="s">
        <v>17998</v>
      </c>
      <c r="C3552" s="20" t="n">
        <f aca="false">ROUND(5.2/FX,2)</f>
        <v>0.72</v>
      </c>
      <c r="D3552" s="21" t="s">
        <v>17119</v>
      </c>
      <c r="E3552" s="21" t="s">
        <v>17105</v>
      </c>
      <c r="F3552" s="21" t="s">
        <v>17120</v>
      </c>
    </row>
    <row r="3553" customFormat="false" ht="15" hidden="false" customHeight="false" outlineLevel="0" collapsed="false">
      <c r="B3553" s="19" t="s">
        <v>17999</v>
      </c>
      <c r="C3553" s="20" t="n">
        <f aca="false">ROUND(6.5/FX,2)</f>
        <v>0.9</v>
      </c>
      <c r="D3553" s="21" t="s">
        <v>18000</v>
      </c>
      <c r="E3553" s="21" t="s">
        <v>15516</v>
      </c>
      <c r="F3553" s="21" t="s">
        <v>17137</v>
      </c>
    </row>
    <row r="3554" customFormat="false" ht="15" hidden="false" customHeight="false" outlineLevel="0" collapsed="false">
      <c r="B3554" s="19" t="s">
        <v>18001</v>
      </c>
      <c r="C3554" s="20" t="n">
        <f aca="false">ROUND(11.7/FX,2)</f>
        <v>1.63</v>
      </c>
      <c r="D3554" s="21" t="s">
        <v>17130</v>
      </c>
      <c r="E3554" s="21" t="s">
        <v>17110</v>
      </c>
      <c r="F3554" s="21" t="s">
        <v>17131</v>
      </c>
    </row>
    <row r="3555" customFormat="false" ht="15" hidden="false" customHeight="false" outlineLevel="0" collapsed="false">
      <c r="B3555" s="19" t="s">
        <v>18002</v>
      </c>
      <c r="C3555" s="20" t="n">
        <f aca="false">ROUND(5.2/FX,2)</f>
        <v>0.72</v>
      </c>
      <c r="D3555" s="21" t="s">
        <v>17136</v>
      </c>
      <c r="E3555" s="21" t="s">
        <v>17105</v>
      </c>
      <c r="F3555" s="21" t="s">
        <v>17137</v>
      </c>
    </row>
    <row r="3556" customFormat="false" ht="15" hidden="false" customHeight="false" outlineLevel="0" collapsed="false">
      <c r="B3556" s="19" t="s">
        <v>18003</v>
      </c>
      <c r="C3556" s="20" t="n">
        <f aca="false">ROUND(7.8/FX,2)</f>
        <v>1.08</v>
      </c>
      <c r="D3556" s="21" t="s">
        <v>18004</v>
      </c>
      <c r="E3556" s="21" t="s">
        <v>15516</v>
      </c>
      <c r="F3556" s="21" t="s">
        <v>17155</v>
      </c>
    </row>
    <row r="3557" customFormat="false" ht="15" hidden="false" customHeight="false" outlineLevel="0" collapsed="false">
      <c r="B3557" s="19" t="s">
        <v>18005</v>
      </c>
      <c r="C3557" s="20" t="n">
        <f aca="false">ROUND(13/FX,2)</f>
        <v>1.81</v>
      </c>
      <c r="D3557" s="21" t="s">
        <v>17157</v>
      </c>
      <c r="E3557" s="21" t="s">
        <v>17110</v>
      </c>
      <c r="F3557" s="21" t="s">
        <v>17158</v>
      </c>
    </row>
    <row r="3558" customFormat="false" ht="15" hidden="false" customHeight="false" outlineLevel="0" collapsed="false">
      <c r="B3558" s="19" t="s">
        <v>18006</v>
      </c>
      <c r="C3558" s="20" t="n">
        <f aca="false">ROUND(6.5/FX,2)</f>
        <v>0.9</v>
      </c>
      <c r="D3558" s="21" t="s">
        <v>17163</v>
      </c>
      <c r="E3558" s="21" t="s">
        <v>17105</v>
      </c>
      <c r="F3558" s="21" t="s">
        <v>17155</v>
      </c>
    </row>
    <row r="3559" customFormat="false" ht="15" hidden="false" customHeight="false" outlineLevel="0" collapsed="false">
      <c r="B3559" s="19" t="s">
        <v>18007</v>
      </c>
      <c r="C3559" s="20" t="n">
        <f aca="false">ROUND(9.1/FX,2)</f>
        <v>1.26</v>
      </c>
      <c r="D3559" s="21" t="s">
        <v>18008</v>
      </c>
      <c r="E3559" s="21" t="s">
        <v>15516</v>
      </c>
      <c r="F3559" s="21" t="s">
        <v>17175</v>
      </c>
    </row>
    <row r="3560" customFormat="false" ht="15" hidden="false" customHeight="false" outlineLevel="0" collapsed="false">
      <c r="B3560" s="19" t="s">
        <v>18009</v>
      </c>
      <c r="C3560" s="20" t="n">
        <f aca="false">ROUND(15.6/FX,2)</f>
        <v>2.17</v>
      </c>
      <c r="D3560" s="21" t="s">
        <v>17179</v>
      </c>
      <c r="E3560" s="21" t="s">
        <v>17110</v>
      </c>
      <c r="F3560" s="21" t="s">
        <v>17180</v>
      </c>
    </row>
    <row r="3561" customFormat="false" ht="15" hidden="false" customHeight="false" outlineLevel="0" collapsed="false">
      <c r="B3561" s="19" t="s">
        <v>18010</v>
      </c>
      <c r="C3561" s="20" t="n">
        <f aca="false">ROUND(7.8/FX,2)</f>
        <v>1.08</v>
      </c>
      <c r="D3561" s="21" t="s">
        <v>17185</v>
      </c>
      <c r="E3561" s="21" t="s">
        <v>17105</v>
      </c>
      <c r="F3561" s="21" t="s">
        <v>17175</v>
      </c>
    </row>
    <row r="3562" customFormat="false" ht="15" hidden="false" customHeight="false" outlineLevel="0" collapsed="false">
      <c r="B3562" s="19" t="s">
        <v>18011</v>
      </c>
      <c r="C3562" s="20" t="n">
        <f aca="false">ROUND(13/FX,2)</f>
        <v>1.81</v>
      </c>
      <c r="D3562" s="21" t="s">
        <v>18012</v>
      </c>
      <c r="E3562" s="21" t="s">
        <v>15516</v>
      </c>
      <c r="F3562" s="21" t="s">
        <v>17195</v>
      </c>
    </row>
    <row r="3563" customFormat="false" ht="15" hidden="false" customHeight="false" outlineLevel="0" collapsed="false">
      <c r="B3563" s="19" t="s">
        <v>18013</v>
      </c>
      <c r="C3563" s="20" t="n">
        <f aca="false">ROUND(26/FX,2)</f>
        <v>3.61</v>
      </c>
      <c r="D3563" s="21" t="s">
        <v>17199</v>
      </c>
      <c r="E3563" s="21" t="s">
        <v>17110</v>
      </c>
      <c r="F3563" s="21" t="s">
        <v>17200</v>
      </c>
    </row>
    <row r="3564" customFormat="false" ht="15" hidden="false" customHeight="false" outlineLevel="0" collapsed="false">
      <c r="B3564" s="19" t="s">
        <v>18014</v>
      </c>
      <c r="C3564" s="20" t="n">
        <f aca="false">ROUND(10.59/FX,2)</f>
        <v>1.47</v>
      </c>
      <c r="D3564" s="21" t="s">
        <v>17205</v>
      </c>
      <c r="E3564" s="21" t="s">
        <v>17105</v>
      </c>
      <c r="F3564" s="21" t="s">
        <v>17195</v>
      </c>
    </row>
    <row r="3565" customFormat="false" ht="15" hidden="false" customHeight="false" outlineLevel="0" collapsed="false">
      <c r="B3565" s="19" t="s">
        <v>18015</v>
      </c>
      <c r="C3565" s="20" t="n">
        <f aca="false">ROUND(16.9/FX,2)</f>
        <v>2.35</v>
      </c>
      <c r="D3565" s="21" t="s">
        <v>18016</v>
      </c>
      <c r="E3565" s="21" t="s">
        <v>15516</v>
      </c>
      <c r="F3565" s="21" t="s">
        <v>17215</v>
      </c>
    </row>
    <row r="3566" customFormat="false" ht="15" hidden="false" customHeight="false" outlineLevel="0" collapsed="false">
      <c r="B3566" s="19" t="s">
        <v>18017</v>
      </c>
      <c r="C3566" s="20" t="n">
        <f aca="false">ROUND(32.5/FX,2)</f>
        <v>4.51</v>
      </c>
      <c r="D3566" s="21" t="s">
        <v>17217</v>
      </c>
      <c r="E3566" s="21" t="s">
        <v>17110</v>
      </c>
      <c r="F3566" s="21" t="s">
        <v>17218</v>
      </c>
    </row>
    <row r="3567" customFormat="false" ht="15" hidden="false" customHeight="false" outlineLevel="0" collapsed="false">
      <c r="B3567" s="19" t="s">
        <v>18018</v>
      </c>
      <c r="C3567" s="20" t="n">
        <f aca="false">ROUND(16.9/FX,2)</f>
        <v>2.35</v>
      </c>
      <c r="D3567" s="21" t="s">
        <v>17223</v>
      </c>
      <c r="E3567" s="21" t="s">
        <v>17105</v>
      </c>
      <c r="F3567" s="21" t="s">
        <v>17215</v>
      </c>
    </row>
    <row r="3568" customFormat="false" ht="15" hidden="false" customHeight="false" outlineLevel="0" collapsed="false">
      <c r="B3568" s="19" t="s">
        <v>18019</v>
      </c>
      <c r="C3568" s="20" t="n">
        <f aca="false">ROUND(26/FX,2)</f>
        <v>3.61</v>
      </c>
      <c r="D3568" s="21" t="s">
        <v>18020</v>
      </c>
      <c r="E3568" s="21" t="s">
        <v>15516</v>
      </c>
      <c r="F3568" s="21" t="s">
        <v>17239</v>
      </c>
    </row>
    <row r="3569" customFormat="false" ht="15" hidden="false" customHeight="false" outlineLevel="0" collapsed="false">
      <c r="B3569" s="19" t="s">
        <v>18021</v>
      </c>
      <c r="C3569" s="20" t="n">
        <f aca="false">ROUND(23.4/FX,2)</f>
        <v>3.25</v>
      </c>
      <c r="D3569" s="21" t="s">
        <v>17238</v>
      </c>
      <c r="E3569" s="21" t="s">
        <v>17105</v>
      </c>
      <c r="F3569" s="21" t="s">
        <v>17239</v>
      </c>
    </row>
    <row r="3570" customFormat="false" ht="15" hidden="false" customHeight="false" outlineLevel="0" collapsed="false">
      <c r="B3570" s="19" t="s">
        <v>18022</v>
      </c>
      <c r="C3570" s="20" t="n">
        <f aca="false">ROUND(39/FX,2)</f>
        <v>5.42</v>
      </c>
      <c r="D3570" s="21" t="s">
        <v>18023</v>
      </c>
      <c r="E3570" s="21" t="s">
        <v>15516</v>
      </c>
      <c r="F3570" s="21" t="s">
        <v>17255</v>
      </c>
    </row>
    <row r="3571" customFormat="false" ht="15" hidden="false" customHeight="false" outlineLevel="0" collapsed="false">
      <c r="B3571" s="19" t="s">
        <v>18024</v>
      </c>
      <c r="C3571" s="20" t="n">
        <f aca="false">ROUND(54.6/FX,2)</f>
        <v>7.58</v>
      </c>
      <c r="D3571" s="21" t="s">
        <v>17249</v>
      </c>
      <c r="E3571" s="21" t="s">
        <v>17110</v>
      </c>
      <c r="F3571" s="21" t="s">
        <v>17250</v>
      </c>
    </row>
    <row r="3572" customFormat="false" ht="15" hidden="false" customHeight="false" outlineLevel="0" collapsed="false">
      <c r="B3572" s="19" t="s">
        <v>18025</v>
      </c>
      <c r="C3572" s="20" t="n">
        <f aca="false">ROUND(39/FX,2)</f>
        <v>5.42</v>
      </c>
      <c r="D3572" s="21" t="s">
        <v>17254</v>
      </c>
      <c r="E3572" s="21" t="s">
        <v>17105</v>
      </c>
      <c r="F3572" s="21" t="s">
        <v>17255</v>
      </c>
    </row>
    <row r="3573" customFormat="false" ht="15" hidden="false" customHeight="false" outlineLevel="0" collapsed="false">
      <c r="B3573" s="19" t="s">
        <v>18026</v>
      </c>
      <c r="C3573" s="20" t="n">
        <f aca="false">ROUND(11.7/FX,2)</f>
        <v>1.63</v>
      </c>
      <c r="D3573" s="21" t="s">
        <v>18027</v>
      </c>
      <c r="E3573" s="21" t="s">
        <v>13025</v>
      </c>
      <c r="F3573" s="21" t="s">
        <v>18028</v>
      </c>
    </row>
    <row r="3574" customFormat="false" ht="15" hidden="false" customHeight="false" outlineLevel="0" collapsed="false">
      <c r="B3574" s="19" t="s">
        <v>18029</v>
      </c>
      <c r="C3574" s="20" t="n">
        <f aca="false">ROUND(11.7/FX,2)</f>
        <v>1.63</v>
      </c>
      <c r="D3574" s="21" t="s">
        <v>18030</v>
      </c>
      <c r="E3574" s="21" t="s">
        <v>13025</v>
      </c>
      <c r="F3574" s="21" t="s">
        <v>17137</v>
      </c>
    </row>
    <row r="3575" customFormat="false" ht="15" hidden="false" customHeight="false" outlineLevel="0" collapsed="false">
      <c r="B3575" s="19" t="s">
        <v>18031</v>
      </c>
      <c r="C3575" s="20" t="n">
        <f aca="false">ROUND(19.5/FX,2)</f>
        <v>2.71</v>
      </c>
      <c r="D3575" s="21" t="s">
        <v>18032</v>
      </c>
      <c r="E3575" s="21" t="s">
        <v>13025</v>
      </c>
      <c r="F3575" s="21" t="s">
        <v>17365</v>
      </c>
    </row>
    <row r="3576" customFormat="false" ht="15" hidden="false" customHeight="false" outlineLevel="0" collapsed="false">
      <c r="B3576" s="19" t="s">
        <v>18033</v>
      </c>
      <c r="C3576" s="20" t="n">
        <f aca="false">ROUND(11.7/FX,2)</f>
        <v>1.63</v>
      </c>
      <c r="D3576" s="21" t="s">
        <v>18034</v>
      </c>
      <c r="E3576" s="21" t="s">
        <v>13025</v>
      </c>
      <c r="F3576" s="21" t="s">
        <v>17155</v>
      </c>
    </row>
    <row r="3577" customFormat="false" ht="15" hidden="false" customHeight="false" outlineLevel="0" collapsed="false">
      <c r="B3577" s="19" t="s">
        <v>18035</v>
      </c>
      <c r="C3577" s="20" t="n">
        <f aca="false">ROUND(22.1/FX,2)</f>
        <v>3.07</v>
      </c>
      <c r="D3577" s="21" t="s">
        <v>18036</v>
      </c>
      <c r="E3577" s="21" t="s">
        <v>13025</v>
      </c>
      <c r="F3577" s="21" t="s">
        <v>17158</v>
      </c>
    </row>
    <row r="3578" customFormat="false" ht="15" hidden="false" customHeight="false" outlineLevel="0" collapsed="false">
      <c r="B3578" s="19" t="s">
        <v>18037</v>
      </c>
      <c r="C3578" s="20" t="n">
        <f aca="false">ROUND(13.65/FX,2)</f>
        <v>1.9</v>
      </c>
      <c r="D3578" s="21" t="s">
        <v>18038</v>
      </c>
      <c r="E3578" s="21" t="s">
        <v>13025</v>
      </c>
      <c r="F3578" s="21" t="s">
        <v>17175</v>
      </c>
    </row>
    <row r="3579" customFormat="false" ht="15" hidden="false" customHeight="false" outlineLevel="0" collapsed="false">
      <c r="B3579" s="19" t="s">
        <v>18039</v>
      </c>
      <c r="C3579" s="20" t="n">
        <f aca="false">ROUND(26/FX,2)</f>
        <v>3.61</v>
      </c>
      <c r="D3579" s="21" t="s">
        <v>18040</v>
      </c>
      <c r="E3579" s="21" t="s">
        <v>13025</v>
      </c>
      <c r="F3579" s="21" t="s">
        <v>17180</v>
      </c>
    </row>
    <row r="3580" customFormat="false" ht="15" hidden="false" customHeight="false" outlineLevel="0" collapsed="false">
      <c r="B3580" s="19" t="s">
        <v>18041</v>
      </c>
      <c r="C3580" s="20" t="n">
        <f aca="false">ROUND(16.9/FX,2)</f>
        <v>2.35</v>
      </c>
      <c r="D3580" s="21" t="s">
        <v>18042</v>
      </c>
      <c r="E3580" s="21" t="s">
        <v>13025</v>
      </c>
      <c r="F3580" s="21" t="s">
        <v>17195</v>
      </c>
    </row>
    <row r="3581" customFormat="false" ht="15" hidden="false" customHeight="false" outlineLevel="0" collapsed="false">
      <c r="B3581" s="19" t="s">
        <v>18043</v>
      </c>
      <c r="C3581" s="20" t="n">
        <f aca="false">ROUND(36.4/FX,2)</f>
        <v>5.06</v>
      </c>
      <c r="D3581" s="21" t="s">
        <v>18044</v>
      </c>
      <c r="E3581" s="21" t="s">
        <v>13025</v>
      </c>
      <c r="F3581" s="21" t="s">
        <v>17200</v>
      </c>
    </row>
    <row r="3582" customFormat="false" ht="15" hidden="false" customHeight="false" outlineLevel="0" collapsed="false">
      <c r="B3582" s="19" t="s">
        <v>18045</v>
      </c>
      <c r="C3582" s="20" t="n">
        <f aca="false">ROUND(26/FX,2)</f>
        <v>3.61</v>
      </c>
      <c r="D3582" s="21" t="s">
        <v>18046</v>
      </c>
      <c r="E3582" s="21" t="s">
        <v>13025</v>
      </c>
      <c r="F3582" s="21" t="s">
        <v>17215</v>
      </c>
    </row>
    <row r="3583" customFormat="false" ht="15" hidden="false" customHeight="false" outlineLevel="0" collapsed="false">
      <c r="B3583" s="19" t="s">
        <v>18047</v>
      </c>
      <c r="C3583" s="20" t="n">
        <f aca="false">ROUND(52/FX,2)</f>
        <v>7.22</v>
      </c>
      <c r="D3583" s="21" t="s">
        <v>18048</v>
      </c>
      <c r="E3583" s="21" t="s">
        <v>13025</v>
      </c>
      <c r="F3583" s="21" t="s">
        <v>17218</v>
      </c>
    </row>
    <row r="3584" customFormat="false" ht="15" hidden="false" customHeight="false" outlineLevel="0" collapsed="false">
      <c r="B3584" s="19" t="s">
        <v>18049</v>
      </c>
      <c r="C3584" s="20" t="n">
        <f aca="false">ROUND(36.4/FX,2)</f>
        <v>5.06</v>
      </c>
      <c r="D3584" s="21" t="s">
        <v>18050</v>
      </c>
      <c r="E3584" s="21" t="s">
        <v>13025</v>
      </c>
      <c r="F3584" s="21" t="s">
        <v>17239</v>
      </c>
    </row>
    <row r="3585" customFormat="false" ht="15" hidden="false" customHeight="false" outlineLevel="0" collapsed="false">
      <c r="B3585" s="19" t="s">
        <v>18051</v>
      </c>
      <c r="C3585" s="20" t="n">
        <f aca="false">ROUND(54.6/FX,2)</f>
        <v>7.58</v>
      </c>
      <c r="D3585" s="21" t="s">
        <v>18052</v>
      </c>
      <c r="E3585" s="21" t="s">
        <v>13025</v>
      </c>
      <c r="F3585" s="21" t="s">
        <v>17255</v>
      </c>
    </row>
    <row r="3586" customFormat="false" ht="15" hidden="false" customHeight="false" outlineLevel="0" collapsed="false">
      <c r="B3586" s="19" t="s">
        <v>18053</v>
      </c>
      <c r="C3586" s="20" t="n">
        <f aca="false">ROUND(80.6/FX,2)</f>
        <v>11.19</v>
      </c>
      <c r="D3586" s="21" t="s">
        <v>18054</v>
      </c>
      <c r="E3586" s="21" t="s">
        <v>13025</v>
      </c>
      <c r="F3586" s="21" t="s">
        <v>17250</v>
      </c>
    </row>
    <row r="3587" customFormat="false" ht="15" hidden="false" customHeight="false" outlineLevel="0" collapsed="false">
      <c r="B3587" s="19" t="s">
        <v>18055</v>
      </c>
      <c r="C3587" s="20" t="n">
        <f aca="false">ROUND(11.7/FX,2)</f>
        <v>1.63</v>
      </c>
      <c r="D3587" s="21" t="s">
        <v>18056</v>
      </c>
      <c r="E3587" s="21" t="s">
        <v>18057</v>
      </c>
      <c r="F3587" s="21" t="s">
        <v>18028</v>
      </c>
    </row>
    <row r="3588" customFormat="false" ht="15" hidden="false" customHeight="false" outlineLevel="0" collapsed="false">
      <c r="B3588" s="19" t="s">
        <v>18058</v>
      </c>
      <c r="C3588" s="20" t="n">
        <f aca="false">ROUND(11.7/FX,2)</f>
        <v>1.63</v>
      </c>
      <c r="D3588" s="21" t="s">
        <v>18059</v>
      </c>
      <c r="E3588" s="21" t="s">
        <v>18057</v>
      </c>
      <c r="F3588" s="21" t="s">
        <v>17137</v>
      </c>
    </row>
    <row r="3589" customFormat="false" ht="15" hidden="false" customHeight="false" outlineLevel="0" collapsed="false">
      <c r="B3589" s="19" t="s">
        <v>18060</v>
      </c>
      <c r="C3589" s="20" t="n">
        <f aca="false">ROUND(19.5/FX,2)</f>
        <v>2.71</v>
      </c>
      <c r="D3589" s="21" t="s">
        <v>18061</v>
      </c>
      <c r="E3589" s="21" t="s">
        <v>18057</v>
      </c>
      <c r="F3589" s="21" t="s">
        <v>17365</v>
      </c>
    </row>
    <row r="3590" customFormat="false" ht="15" hidden="false" customHeight="false" outlineLevel="0" collapsed="false">
      <c r="B3590" s="19" t="s">
        <v>18062</v>
      </c>
      <c r="C3590" s="20" t="n">
        <f aca="false">ROUND(13/FX,2)</f>
        <v>1.81</v>
      </c>
      <c r="D3590" s="21" t="s">
        <v>18063</v>
      </c>
      <c r="E3590" s="21" t="s">
        <v>18057</v>
      </c>
      <c r="F3590" s="21" t="s">
        <v>17155</v>
      </c>
    </row>
    <row r="3591" customFormat="false" ht="15" hidden="false" customHeight="false" outlineLevel="0" collapsed="false">
      <c r="B3591" s="19" t="s">
        <v>18064</v>
      </c>
      <c r="C3591" s="20" t="n">
        <f aca="false">ROUND(22.1/FX,2)</f>
        <v>3.07</v>
      </c>
      <c r="D3591" s="21" t="s">
        <v>18065</v>
      </c>
      <c r="E3591" s="21" t="s">
        <v>18057</v>
      </c>
      <c r="F3591" s="21" t="s">
        <v>17158</v>
      </c>
    </row>
    <row r="3592" customFormat="false" ht="15" hidden="false" customHeight="false" outlineLevel="0" collapsed="false">
      <c r="B3592" s="19" t="s">
        <v>18066</v>
      </c>
      <c r="C3592" s="20" t="n">
        <f aca="false">ROUND(15.6/FX,2)</f>
        <v>2.17</v>
      </c>
      <c r="D3592" s="21" t="s">
        <v>18067</v>
      </c>
      <c r="E3592" s="21" t="s">
        <v>18057</v>
      </c>
      <c r="F3592" s="21" t="s">
        <v>17175</v>
      </c>
    </row>
    <row r="3593" customFormat="false" ht="15" hidden="false" customHeight="false" outlineLevel="0" collapsed="false">
      <c r="B3593" s="19" t="s">
        <v>18068</v>
      </c>
      <c r="C3593" s="20" t="n">
        <f aca="false">ROUND(26/FX,2)</f>
        <v>3.61</v>
      </c>
      <c r="D3593" s="21" t="s">
        <v>18069</v>
      </c>
      <c r="E3593" s="21" t="s">
        <v>18057</v>
      </c>
      <c r="F3593" s="21" t="s">
        <v>17180</v>
      </c>
    </row>
    <row r="3594" customFormat="false" ht="15" hidden="false" customHeight="false" outlineLevel="0" collapsed="false">
      <c r="B3594" s="19" t="s">
        <v>18070</v>
      </c>
      <c r="C3594" s="20" t="n">
        <f aca="false">ROUND(16.9/FX,2)</f>
        <v>2.35</v>
      </c>
      <c r="D3594" s="21" t="s">
        <v>18071</v>
      </c>
      <c r="E3594" s="21" t="s">
        <v>18057</v>
      </c>
      <c r="F3594" s="21" t="s">
        <v>17195</v>
      </c>
    </row>
    <row r="3595" customFormat="false" ht="15" hidden="false" customHeight="false" outlineLevel="0" collapsed="false">
      <c r="B3595" s="19" t="s">
        <v>18072</v>
      </c>
      <c r="C3595" s="20" t="n">
        <f aca="false">ROUND(39/FX,2)</f>
        <v>5.42</v>
      </c>
      <c r="D3595" s="21" t="s">
        <v>18073</v>
      </c>
      <c r="E3595" s="21" t="s">
        <v>18057</v>
      </c>
      <c r="F3595" s="21" t="s">
        <v>17200</v>
      </c>
    </row>
    <row r="3596" customFormat="false" ht="15" hidden="false" customHeight="false" outlineLevel="0" collapsed="false">
      <c r="B3596" s="19" t="s">
        <v>18074</v>
      </c>
      <c r="C3596" s="20" t="n">
        <f aca="false">ROUND(28.6/FX,2)</f>
        <v>3.97</v>
      </c>
      <c r="D3596" s="21" t="s">
        <v>18075</v>
      </c>
      <c r="E3596" s="21" t="s">
        <v>18057</v>
      </c>
      <c r="F3596" s="21" t="s">
        <v>17215</v>
      </c>
    </row>
    <row r="3597" customFormat="false" ht="15" hidden="false" customHeight="false" outlineLevel="0" collapsed="false">
      <c r="B3597" s="19" t="s">
        <v>18076</v>
      </c>
      <c r="C3597" s="20" t="n">
        <f aca="false">ROUND(52/FX,2)</f>
        <v>7.22</v>
      </c>
      <c r="D3597" s="21" t="s">
        <v>18077</v>
      </c>
      <c r="E3597" s="21" t="s">
        <v>18057</v>
      </c>
      <c r="F3597" s="21" t="s">
        <v>17218</v>
      </c>
    </row>
    <row r="3598" customFormat="false" ht="15" hidden="false" customHeight="false" outlineLevel="0" collapsed="false">
      <c r="B3598" s="19" t="s">
        <v>18078</v>
      </c>
      <c r="C3598" s="20" t="n">
        <f aca="false">ROUND(36.4/FX,2)</f>
        <v>5.06</v>
      </c>
      <c r="D3598" s="21" t="s">
        <v>18079</v>
      </c>
      <c r="E3598" s="21" t="s">
        <v>18057</v>
      </c>
      <c r="F3598" s="21" t="s">
        <v>17239</v>
      </c>
    </row>
    <row r="3599" customFormat="false" ht="15" hidden="false" customHeight="false" outlineLevel="0" collapsed="false">
      <c r="B3599" s="19" t="s">
        <v>18080</v>
      </c>
      <c r="C3599" s="20" t="n">
        <f aca="false">ROUND(54.6/FX,2)</f>
        <v>7.58</v>
      </c>
      <c r="D3599" s="21" t="s">
        <v>18081</v>
      </c>
      <c r="E3599" s="21" t="s">
        <v>18057</v>
      </c>
      <c r="F3599" s="21" t="s">
        <v>17255</v>
      </c>
    </row>
    <row r="3600" customFormat="false" ht="15" hidden="false" customHeight="false" outlineLevel="0" collapsed="false">
      <c r="B3600" s="19" t="s">
        <v>18082</v>
      </c>
      <c r="C3600" s="20" t="n">
        <f aca="false">ROUND(80.6/FX,2)</f>
        <v>11.19</v>
      </c>
      <c r="D3600" s="21" t="s">
        <v>18083</v>
      </c>
      <c r="E3600" s="21" t="s">
        <v>18057</v>
      </c>
      <c r="F3600" s="21" t="s">
        <v>17250</v>
      </c>
    </row>
    <row r="3601" customFormat="false" ht="15" hidden="false" customHeight="false" outlineLevel="0" collapsed="false">
      <c r="B3601" s="19" t="s">
        <v>18084</v>
      </c>
      <c r="C3601" s="20" t="n">
        <f aca="false">ROUND(11.7/FX,2)</f>
        <v>1.63</v>
      </c>
      <c r="D3601" s="21" t="s">
        <v>18085</v>
      </c>
      <c r="E3601" s="21" t="s">
        <v>14667</v>
      </c>
      <c r="F3601" s="21" t="s">
        <v>18028</v>
      </c>
    </row>
    <row r="3602" customFormat="false" ht="15" hidden="false" customHeight="false" outlineLevel="0" collapsed="false">
      <c r="B3602" s="19" t="s">
        <v>18086</v>
      </c>
      <c r="C3602" s="20" t="n">
        <f aca="false">ROUND(11.7/FX,2)</f>
        <v>1.63</v>
      </c>
      <c r="D3602" s="21" t="s">
        <v>18087</v>
      </c>
      <c r="E3602" s="21" t="s">
        <v>14667</v>
      </c>
      <c r="F3602" s="21" t="s">
        <v>17137</v>
      </c>
    </row>
    <row r="3603" customFormat="false" ht="15" hidden="false" customHeight="false" outlineLevel="0" collapsed="false">
      <c r="B3603" s="19" t="s">
        <v>18088</v>
      </c>
      <c r="C3603" s="20" t="n">
        <f aca="false">ROUND(19.5/FX,2)</f>
        <v>2.71</v>
      </c>
      <c r="D3603" s="21" t="s">
        <v>18089</v>
      </c>
      <c r="E3603" s="21" t="s">
        <v>14667</v>
      </c>
      <c r="F3603" s="21" t="s">
        <v>17365</v>
      </c>
    </row>
    <row r="3604" customFormat="false" ht="15" hidden="false" customHeight="false" outlineLevel="0" collapsed="false">
      <c r="B3604" s="19" t="s">
        <v>18090</v>
      </c>
      <c r="C3604" s="20" t="n">
        <f aca="false">ROUND(13/FX,2)</f>
        <v>1.81</v>
      </c>
      <c r="D3604" s="21" t="s">
        <v>18091</v>
      </c>
      <c r="E3604" s="21" t="s">
        <v>14667</v>
      </c>
      <c r="F3604" s="21" t="s">
        <v>17155</v>
      </c>
    </row>
    <row r="3605" customFormat="false" ht="15" hidden="false" customHeight="false" outlineLevel="0" collapsed="false">
      <c r="B3605" s="19" t="s">
        <v>18092</v>
      </c>
      <c r="C3605" s="20" t="n">
        <f aca="false">ROUND(22.1/FX,2)</f>
        <v>3.07</v>
      </c>
      <c r="D3605" s="21" t="s">
        <v>18093</v>
      </c>
      <c r="E3605" s="21" t="s">
        <v>14667</v>
      </c>
      <c r="F3605" s="21" t="s">
        <v>17158</v>
      </c>
    </row>
    <row r="3606" customFormat="false" ht="15" hidden="false" customHeight="false" outlineLevel="0" collapsed="false">
      <c r="B3606" s="19" t="s">
        <v>18094</v>
      </c>
      <c r="C3606" s="20" t="n">
        <f aca="false">ROUND(13.65/FX,2)</f>
        <v>1.9</v>
      </c>
      <c r="D3606" s="21" t="s">
        <v>18095</v>
      </c>
      <c r="E3606" s="21" t="s">
        <v>14667</v>
      </c>
      <c r="F3606" s="21" t="s">
        <v>17175</v>
      </c>
    </row>
    <row r="3607" customFormat="false" ht="15" hidden="false" customHeight="false" outlineLevel="0" collapsed="false">
      <c r="B3607" s="19" t="s">
        <v>18096</v>
      </c>
      <c r="C3607" s="20" t="n">
        <f aca="false">ROUND(26/FX,2)</f>
        <v>3.61</v>
      </c>
      <c r="D3607" s="21" t="s">
        <v>18097</v>
      </c>
      <c r="E3607" s="21" t="s">
        <v>14667</v>
      </c>
      <c r="F3607" s="21" t="s">
        <v>17180</v>
      </c>
    </row>
    <row r="3608" customFormat="false" ht="15" hidden="false" customHeight="false" outlineLevel="0" collapsed="false">
      <c r="B3608" s="19" t="s">
        <v>18098</v>
      </c>
      <c r="C3608" s="20" t="n">
        <f aca="false">ROUND(16.9/FX,2)</f>
        <v>2.35</v>
      </c>
      <c r="D3608" s="21" t="s">
        <v>18099</v>
      </c>
      <c r="E3608" s="21" t="s">
        <v>14667</v>
      </c>
      <c r="F3608" s="21" t="s">
        <v>17195</v>
      </c>
    </row>
    <row r="3609" customFormat="false" ht="15" hidden="false" customHeight="false" outlineLevel="0" collapsed="false">
      <c r="B3609" s="19" t="s">
        <v>18100</v>
      </c>
      <c r="C3609" s="20" t="n">
        <f aca="false">ROUND(36.4/FX,2)</f>
        <v>5.06</v>
      </c>
      <c r="D3609" s="21" t="s">
        <v>18101</v>
      </c>
      <c r="E3609" s="21" t="s">
        <v>14667</v>
      </c>
      <c r="F3609" s="21" t="s">
        <v>17200</v>
      </c>
    </row>
    <row r="3610" customFormat="false" ht="15" hidden="false" customHeight="false" outlineLevel="0" collapsed="false">
      <c r="B3610" s="19" t="s">
        <v>18102</v>
      </c>
      <c r="C3610" s="20" t="n">
        <f aca="false">ROUND(28.6/FX,2)</f>
        <v>3.97</v>
      </c>
      <c r="D3610" s="21" t="s">
        <v>18103</v>
      </c>
      <c r="E3610" s="21" t="s">
        <v>14667</v>
      </c>
      <c r="F3610" s="21" t="s">
        <v>17215</v>
      </c>
    </row>
    <row r="3611" customFormat="false" ht="15" hidden="false" customHeight="false" outlineLevel="0" collapsed="false">
      <c r="B3611" s="19" t="s">
        <v>18104</v>
      </c>
      <c r="C3611" s="20" t="n">
        <f aca="false">ROUND(52/FX,2)</f>
        <v>7.22</v>
      </c>
      <c r="D3611" s="21" t="s">
        <v>18105</v>
      </c>
      <c r="E3611" s="21" t="s">
        <v>14667</v>
      </c>
      <c r="F3611" s="21" t="s">
        <v>17218</v>
      </c>
    </row>
    <row r="3612" customFormat="false" ht="15" hidden="false" customHeight="false" outlineLevel="0" collapsed="false">
      <c r="B3612" s="19" t="s">
        <v>18106</v>
      </c>
      <c r="C3612" s="20" t="n">
        <f aca="false">ROUND(36.4/FX,2)</f>
        <v>5.06</v>
      </c>
      <c r="D3612" s="21" t="s">
        <v>18107</v>
      </c>
      <c r="E3612" s="21" t="s">
        <v>14667</v>
      </c>
      <c r="F3612" s="21" t="s">
        <v>17239</v>
      </c>
    </row>
    <row r="3613" customFormat="false" ht="15" hidden="false" customHeight="false" outlineLevel="0" collapsed="false">
      <c r="B3613" s="19" t="s">
        <v>18108</v>
      </c>
      <c r="C3613" s="20" t="n">
        <f aca="false">ROUND(54.6/FX,2)</f>
        <v>7.58</v>
      </c>
      <c r="D3613" s="21" t="s">
        <v>18109</v>
      </c>
      <c r="E3613" s="21" t="s">
        <v>14667</v>
      </c>
      <c r="F3613" s="21" t="s">
        <v>17255</v>
      </c>
    </row>
    <row r="3614" customFormat="false" ht="15" hidden="false" customHeight="false" outlineLevel="0" collapsed="false">
      <c r="B3614" s="19" t="s">
        <v>18110</v>
      </c>
      <c r="C3614" s="20" t="n">
        <f aca="false">ROUND(80.6/FX,2)</f>
        <v>11.19</v>
      </c>
      <c r="D3614" s="21" t="s">
        <v>18111</v>
      </c>
      <c r="E3614" s="21" t="s">
        <v>14667</v>
      </c>
      <c r="F3614" s="21" t="s">
        <v>17250</v>
      </c>
    </row>
    <row r="3617" customFormat="false" ht="61.5" hidden="false" customHeight="true" outlineLevel="0" collapsed="false">
      <c r="A3617" s="9"/>
      <c r="B3617" s="10" t="s">
        <v>18112</v>
      </c>
      <c r="C3617" s="10"/>
      <c r="D3617" s="10"/>
      <c r="E3617" s="10"/>
    </row>
    <row r="3618" customFormat="false" ht="15" hidden="false" customHeight="false" outlineLevel="0" collapsed="false">
      <c r="A3618" s="12" t="s">
        <v>700</v>
      </c>
      <c r="B3618" s="13" t="s">
        <v>701</v>
      </c>
      <c r="C3618" s="13" t="s">
        <v>702</v>
      </c>
      <c r="D3618" s="13" t="s">
        <v>723</v>
      </c>
      <c r="E3618" s="13" t="s">
        <v>6523</v>
      </c>
    </row>
    <row r="3619" customFormat="false" ht="30" hidden="false" customHeight="true" outlineLevel="0" collapsed="false">
      <c r="A3619" s="14" t="s">
        <v>706</v>
      </c>
      <c r="B3619" s="15" t="str">
        <f aca="false">IF(COUNTIFS($D$3622:$D$3632,IF(D3619="","*",D3619),$E$3622:$E$3632,IF(E3619="","*",E3619))=1,INDEX($B:$B,SUMPRODUCT(((D3619="")+($D$3622:$D$3632=D3619)&gt;0)*((E3619="")+($E$3622:$E$3632=E3619)&gt;0)*ROW($B$3622:$B$3632))),IF(COUNTIFS($D$3622:$D$3632,IF(D3619="","*",D3619),$E$3622:$E$3632,IF(E3619="","*",E3619))=0,"Not available",COUNTIFS($D$3622:$D$3632,IF(D3619="","*",D3619),$E$3622:$E$3632,IF(E3619="","*",E3619))&amp;" match, keep choosing"))</f>
        <v>RL-032-10x17x26-KH1026PP</v>
      </c>
      <c r="C3619" s="16" t="n">
        <f aca="false">IF(COUNTIFS($D$3622:$D$3632,IF(D3619="","*",D3619),$E$3622:$E$3632,IF(E3619="","*",E3619))=1,INDEX($C:$C,SUMPRODUCT(((D3619="")+($D$3622:$D$3632=D3619)&gt;0)*((E3619="")+($E$3622:$E$3632=E3619)&gt;0)*ROW($B$3622:$B$3632))),"")</f>
        <v>0.76</v>
      </c>
      <c r="D3619" s="17" t="s">
        <v>18113</v>
      </c>
      <c r="E3619" s="17" t="s">
        <v>18114</v>
      </c>
    </row>
    <row r="3621" customFormat="false" ht="15" hidden="false" customHeight="false" outlineLevel="0" collapsed="false">
      <c r="B3621" s="18" t="s">
        <v>701</v>
      </c>
      <c r="C3621" s="18" t="s">
        <v>702</v>
      </c>
      <c r="D3621" s="18" t="s">
        <v>723</v>
      </c>
      <c r="E3621" s="18" t="s">
        <v>6523</v>
      </c>
    </row>
    <row r="3622" customFormat="false" ht="15" hidden="false" customHeight="false" outlineLevel="0" collapsed="false">
      <c r="B3622" s="19" t="s">
        <v>18115</v>
      </c>
      <c r="C3622" s="20" t="n">
        <f aca="false">ROUND(5.46/FX,2)</f>
        <v>0.76</v>
      </c>
      <c r="D3622" s="21" t="s">
        <v>18113</v>
      </c>
      <c r="E3622" s="21" t="s">
        <v>18114</v>
      </c>
    </row>
    <row r="3623" customFormat="false" ht="15" hidden="false" customHeight="false" outlineLevel="0" collapsed="false">
      <c r="B3623" s="19" t="s">
        <v>18116</v>
      </c>
      <c r="C3623" s="20" t="n">
        <f aca="false">ROUND(5.46/FX,2)</f>
        <v>0.76</v>
      </c>
      <c r="D3623" s="21" t="s">
        <v>18117</v>
      </c>
      <c r="E3623" s="21" t="s">
        <v>18118</v>
      </c>
    </row>
    <row r="3624" customFormat="false" ht="15" hidden="false" customHeight="false" outlineLevel="0" collapsed="false">
      <c r="B3624" s="19" t="s">
        <v>18119</v>
      </c>
      <c r="C3624" s="20" t="n">
        <f aca="false">ROUND(5.2/FX,2)</f>
        <v>0.72</v>
      </c>
      <c r="D3624" s="21" t="s">
        <v>18120</v>
      </c>
      <c r="E3624" s="21" t="s">
        <v>18121</v>
      </c>
    </row>
    <row r="3625" customFormat="false" ht="15" hidden="false" customHeight="false" outlineLevel="0" collapsed="false">
      <c r="B3625" s="19" t="s">
        <v>18122</v>
      </c>
      <c r="C3625" s="20" t="n">
        <f aca="false">ROUND(4.94/FX,2)</f>
        <v>0.69</v>
      </c>
      <c r="D3625" s="21" t="s">
        <v>18123</v>
      </c>
      <c r="E3625" s="21" t="s">
        <v>18124</v>
      </c>
    </row>
    <row r="3626" customFormat="false" ht="15" hidden="false" customHeight="false" outlineLevel="0" collapsed="false">
      <c r="B3626" s="19" t="s">
        <v>18125</v>
      </c>
      <c r="C3626" s="20" t="n">
        <f aca="false">ROUND(5.85/FX,2)</f>
        <v>0.81</v>
      </c>
      <c r="D3626" s="21" t="s">
        <v>18126</v>
      </c>
      <c r="E3626" s="21" t="s">
        <v>18127</v>
      </c>
    </row>
    <row r="3627" customFormat="false" ht="15" hidden="false" customHeight="false" outlineLevel="0" collapsed="false">
      <c r="B3627" s="19" t="s">
        <v>18128</v>
      </c>
      <c r="C3627" s="20" t="n">
        <f aca="false">ROUND(8.45/FX,2)</f>
        <v>1.17</v>
      </c>
      <c r="D3627" s="21" t="s">
        <v>18129</v>
      </c>
      <c r="E3627" s="21" t="s">
        <v>18130</v>
      </c>
    </row>
    <row r="3628" customFormat="false" ht="15" hidden="false" customHeight="false" outlineLevel="0" collapsed="false">
      <c r="B3628" s="19" t="s">
        <v>18131</v>
      </c>
      <c r="C3628" s="20" t="n">
        <f aca="false">ROUND(11.05/FX,2)</f>
        <v>1.53</v>
      </c>
      <c r="D3628" s="21" t="s">
        <v>18132</v>
      </c>
      <c r="E3628" s="21" t="s">
        <v>18133</v>
      </c>
    </row>
    <row r="3629" customFormat="false" ht="15" hidden="false" customHeight="false" outlineLevel="0" collapsed="false">
      <c r="B3629" s="19" t="s">
        <v>18134</v>
      </c>
      <c r="C3629" s="20" t="n">
        <f aca="false">ROUND(22.1/FX,2)</f>
        <v>3.07</v>
      </c>
      <c r="D3629" s="21" t="s">
        <v>18135</v>
      </c>
      <c r="E3629" s="21" t="s">
        <v>18136</v>
      </c>
    </row>
    <row r="3630" customFormat="false" ht="15" hidden="false" customHeight="false" outlineLevel="0" collapsed="false">
      <c r="B3630" s="19" t="s">
        <v>18137</v>
      </c>
      <c r="C3630" s="20" t="n">
        <f aca="false">ROUND(32.5/FX,2)</f>
        <v>4.51</v>
      </c>
      <c r="D3630" s="21" t="s">
        <v>18138</v>
      </c>
      <c r="E3630" s="21" t="s">
        <v>18139</v>
      </c>
    </row>
    <row r="3631" customFormat="false" ht="15" hidden="false" customHeight="false" outlineLevel="0" collapsed="false">
      <c r="B3631" s="19" t="s">
        <v>18140</v>
      </c>
      <c r="C3631" s="20" t="n">
        <f aca="false">ROUND(5.46/FX,2)</f>
        <v>0.76</v>
      </c>
      <c r="D3631" s="21" t="s">
        <v>18141</v>
      </c>
      <c r="E3631" s="21" t="s">
        <v>18142</v>
      </c>
    </row>
    <row r="3632" customFormat="false" ht="15" hidden="false" customHeight="false" outlineLevel="0" collapsed="false">
      <c r="B3632" s="19" t="s">
        <v>18143</v>
      </c>
      <c r="C3632" s="20" t="n">
        <f aca="false">ROUND(5.46/FX,2)</f>
        <v>0.76</v>
      </c>
      <c r="D3632" s="21" t="s">
        <v>18144</v>
      </c>
      <c r="E3632" s="21" t="s">
        <v>17303</v>
      </c>
    </row>
    <row r="3635" customFormat="false" ht="61.5" hidden="false" customHeight="true" outlineLevel="0" collapsed="false">
      <c r="A3635" s="9"/>
      <c r="B3635" s="10" t="s">
        <v>18145</v>
      </c>
      <c r="C3635" s="10"/>
      <c r="D3635" s="10"/>
    </row>
    <row r="3636" customFormat="false" ht="15" hidden="false" customHeight="false" outlineLevel="0" collapsed="false">
      <c r="A3636" s="12" t="s">
        <v>700</v>
      </c>
      <c r="B3636" s="13" t="s">
        <v>701</v>
      </c>
      <c r="C3636" s="13" t="s">
        <v>702</v>
      </c>
      <c r="D3636" s="13" t="s">
        <v>723</v>
      </c>
    </row>
    <row r="3637" customFormat="false" ht="30" hidden="false" customHeight="true" outlineLevel="0" collapsed="false">
      <c r="A3637" s="14" t="s">
        <v>706</v>
      </c>
      <c r="B3637" s="15" t="str">
        <f aca="false">IF(COUNTIFS($D$3640:$D$3641,IF(D3637="","*",D3637))=1,INDEX($B:$B,SUMPRODUCT(((D3637="")+($D$3640:$D$3641=D3637)&gt;0)*ROW($B$3640:$B$3641))),IF(COUNTIFS($D$3640:$D$3641,IF(D3637="","*",D3637))=0,"Not available",COUNTIFS($D$3640:$D$3641,IF(D3637="","*",D3637))&amp;" match, keep choosing"))</f>
        <v>RL-052-LMH8LUU</v>
      </c>
      <c r="C3637" s="16" t="n">
        <f aca="false">IF(COUNTIFS($D$3640:$D$3641,IF(D3637="","*",D3637))=1,INDEX($C:$C,SUMPRODUCT(((D3637="")+($D$3640:$D$3641=D3637)&gt;0)*ROW($B$3640:$B$3641))),"")</f>
        <v>1.28</v>
      </c>
      <c r="D3637" s="17" t="s">
        <v>18146</v>
      </c>
    </row>
    <row r="3639" customFormat="false" ht="15" hidden="false" customHeight="false" outlineLevel="0" collapsed="false">
      <c r="B3639" s="18" t="s">
        <v>701</v>
      </c>
      <c r="C3639" s="18" t="s">
        <v>702</v>
      </c>
      <c r="D3639" s="18" t="s">
        <v>723</v>
      </c>
    </row>
    <row r="3640" customFormat="false" ht="15" hidden="false" customHeight="false" outlineLevel="0" collapsed="false">
      <c r="B3640" s="19" t="s">
        <v>18147</v>
      </c>
      <c r="C3640" s="20" t="n">
        <f aca="false">ROUND(9.23/FX,2)</f>
        <v>1.28</v>
      </c>
      <c r="D3640" s="21" t="s">
        <v>18146</v>
      </c>
    </row>
    <row r="3641" customFormat="false" ht="15" hidden="false" customHeight="false" outlineLevel="0" collapsed="false">
      <c r="B3641" s="19" t="s">
        <v>18148</v>
      </c>
      <c r="C3641" s="20" t="n">
        <f aca="false">ROUND(15.6/FX,2)</f>
        <v>2.17</v>
      </c>
      <c r="D3641" s="21" t="s">
        <v>18149</v>
      </c>
    </row>
    <row r="3644" customFormat="false" ht="61.5" hidden="false" customHeight="true" outlineLevel="0" collapsed="false">
      <c r="A3644" s="9"/>
      <c r="B3644" s="10" t="s">
        <v>18150</v>
      </c>
      <c r="C3644" s="10"/>
      <c r="D3644" s="10"/>
      <c r="E3644" s="10"/>
      <c r="F3644" s="10"/>
    </row>
    <row r="3645" customFormat="false" ht="15" hidden="false" customHeight="false" outlineLevel="0" collapsed="false">
      <c r="A3645" s="12" t="s">
        <v>700</v>
      </c>
      <c r="B3645" s="13" t="s">
        <v>701</v>
      </c>
      <c r="C3645" s="13" t="s">
        <v>702</v>
      </c>
      <c r="D3645" s="13" t="s">
        <v>722</v>
      </c>
      <c r="E3645" s="13" t="s">
        <v>723</v>
      </c>
      <c r="F3645" s="13" t="s">
        <v>6523</v>
      </c>
    </row>
    <row r="3646" customFormat="false" ht="30" hidden="false" customHeight="true" outlineLevel="0" collapsed="false">
      <c r="A3646" s="14" t="s">
        <v>706</v>
      </c>
      <c r="B3646" s="15" t="str">
        <f aca="false">IF(COUNTIFS($D$3649:$D$3678,IF(D3646="","*",D3646),$E$3649:$E$3678,IF(E3646="","*",E3646),$F$3649:$F$3678,IF(F3646="","*",F3646))=1,INDEX($B:$B,SUMPRODUCT(((D3646="")+($D$3649:$D$3678=D3646)&gt;0)*((E3646="")+($E$3649:$E$3678=E3646)&gt;0)*((F3646="")+($F$3649:$F$3678=F3646)&gt;0)*ROW($B$3649:$B$3678))),IF(COUNTIFS($D$3649:$D$3678,IF(D3646="","*",D3646),$E$3649:$E$3678,IF(E3646="","*",E3646),$F$3649:$F$3678,IF(F3646="","*",F3646))=0,"Not available",COUNTIFS($D$3649:$D$3678,IF(D3646="","*",D3646),$E$3649:$E$3678,IF(E3646="","*",E3646),$F$3649:$F$3678,IF(F3646="","*",F3646))&amp;" match, keep choosing"))</f>
        <v>RL-021-10x19x29-BK-H-RJMP-01-10</v>
      </c>
      <c r="C3646" s="16" t="n">
        <f aca="false">IF(COUNTIFS($D$3649:$D$3678,IF(D3646="","*",D3646),$E$3649:$E$3678,IF(E3646="","*",E3646),$F$3649:$F$3678,IF(F3646="","*",F3646))=1,INDEX($C:$C,SUMPRODUCT(((D3646="")+($D$3649:$D$3678=D3646)&gt;0)*((E3646="")+($E$3649:$E$3678=E3646)&gt;0)*((F3646="")+($F$3649:$F$3678=F3646)&gt;0)*ROW($B$3649:$B$3678))),"")</f>
        <v>0.33</v>
      </c>
      <c r="D3646" s="17" t="s">
        <v>724</v>
      </c>
      <c r="E3646" s="17" t="s">
        <v>18151</v>
      </c>
      <c r="F3646" s="17" t="s">
        <v>17120</v>
      </c>
    </row>
    <row r="3648" customFormat="false" ht="15" hidden="false" customHeight="false" outlineLevel="0" collapsed="false">
      <c r="B3648" s="18" t="s">
        <v>701</v>
      </c>
      <c r="C3648" s="18" t="s">
        <v>702</v>
      </c>
      <c r="D3648" s="18" t="s">
        <v>722</v>
      </c>
      <c r="E3648" s="18" t="s">
        <v>723</v>
      </c>
      <c r="F3648" s="18" t="s">
        <v>6523</v>
      </c>
    </row>
    <row r="3649" customFormat="false" ht="15" hidden="false" customHeight="false" outlineLevel="0" collapsed="false">
      <c r="B3649" s="19" t="s">
        <v>18152</v>
      </c>
      <c r="C3649" s="20" t="n">
        <f aca="false">ROUND(2.41/FX,2)</f>
        <v>0.33</v>
      </c>
      <c r="D3649" s="21" t="s">
        <v>724</v>
      </c>
      <c r="E3649" s="21" t="s">
        <v>18151</v>
      </c>
      <c r="F3649" s="21" t="s">
        <v>17120</v>
      </c>
    </row>
    <row r="3650" customFormat="false" ht="15" hidden="false" customHeight="false" outlineLevel="0" collapsed="false">
      <c r="B3650" s="19" t="s">
        <v>18153</v>
      </c>
      <c r="C3650" s="20" t="n">
        <f aca="false">ROUND(1.69/FX,2)</f>
        <v>0.23</v>
      </c>
      <c r="D3650" s="21" t="s">
        <v>18154</v>
      </c>
      <c r="E3650" s="21" t="s">
        <v>18155</v>
      </c>
      <c r="F3650" s="21" t="s">
        <v>17120</v>
      </c>
    </row>
    <row r="3651" customFormat="false" ht="15" hidden="false" customHeight="false" outlineLevel="0" collapsed="false">
      <c r="B3651" s="19" t="s">
        <v>18156</v>
      </c>
      <c r="C3651" s="20" t="n">
        <f aca="false">ROUND(1.69/FX,2)</f>
        <v>0.23</v>
      </c>
      <c r="D3651" s="21" t="s">
        <v>18157</v>
      </c>
      <c r="E3651" s="21" t="s">
        <v>18155</v>
      </c>
      <c r="F3651" s="21" t="s">
        <v>17120</v>
      </c>
    </row>
    <row r="3652" customFormat="false" ht="15" hidden="false" customHeight="false" outlineLevel="0" collapsed="false">
      <c r="B3652" s="19" t="s">
        <v>18158</v>
      </c>
      <c r="C3652" s="20" t="n">
        <f aca="false">ROUND(3.64/FX,2)</f>
        <v>0.51</v>
      </c>
      <c r="D3652" s="21" t="s">
        <v>18157</v>
      </c>
      <c r="E3652" s="21" t="s">
        <v>17109</v>
      </c>
      <c r="F3652" s="21" t="s">
        <v>17111</v>
      </c>
    </row>
    <row r="3653" customFormat="false" ht="15" hidden="false" customHeight="false" outlineLevel="0" collapsed="false">
      <c r="B3653" s="19" t="s">
        <v>18159</v>
      </c>
      <c r="C3653" s="20" t="n">
        <f aca="false">ROUND(3.25/FX,2)</f>
        <v>0.45</v>
      </c>
      <c r="D3653" s="21" t="s">
        <v>18154</v>
      </c>
      <c r="E3653" s="21" t="s">
        <v>18160</v>
      </c>
      <c r="F3653" s="21" t="s">
        <v>17137</v>
      </c>
    </row>
    <row r="3654" customFormat="false" ht="15" hidden="false" customHeight="false" outlineLevel="0" collapsed="false">
      <c r="B3654" s="19" t="s">
        <v>18161</v>
      </c>
      <c r="C3654" s="20" t="n">
        <f aca="false">ROUND(1.95/FX,2)</f>
        <v>0.27</v>
      </c>
      <c r="D3654" s="21" t="s">
        <v>18157</v>
      </c>
      <c r="E3654" s="21" t="s">
        <v>18160</v>
      </c>
      <c r="F3654" s="21" t="s">
        <v>17137</v>
      </c>
    </row>
    <row r="3655" customFormat="false" ht="15" hidden="false" customHeight="false" outlineLevel="0" collapsed="false">
      <c r="B3655" s="19" t="s">
        <v>18162</v>
      </c>
      <c r="C3655" s="20" t="n">
        <f aca="false">ROUND(4.16/FX,2)</f>
        <v>0.58</v>
      </c>
      <c r="D3655" s="21" t="s">
        <v>18157</v>
      </c>
      <c r="E3655" s="21" t="s">
        <v>17130</v>
      </c>
      <c r="F3655" s="21" t="s">
        <v>17131</v>
      </c>
    </row>
    <row r="3656" customFormat="false" ht="15" hidden="false" customHeight="false" outlineLevel="0" collapsed="false">
      <c r="B3656" s="19" t="s">
        <v>18163</v>
      </c>
      <c r="C3656" s="20" t="n">
        <f aca="false">ROUND(1.95/FX,2)</f>
        <v>0.27</v>
      </c>
      <c r="D3656" s="21" t="s">
        <v>18157</v>
      </c>
      <c r="E3656" s="21" t="s">
        <v>18164</v>
      </c>
      <c r="F3656" s="21" t="s">
        <v>17368</v>
      </c>
    </row>
    <row r="3657" customFormat="false" ht="15" hidden="false" customHeight="false" outlineLevel="0" collapsed="false">
      <c r="B3657" s="19" t="s">
        <v>18165</v>
      </c>
      <c r="C3657" s="20" t="n">
        <f aca="false">ROUND(3.64/FX,2)</f>
        <v>0.51</v>
      </c>
      <c r="D3657" s="21" t="s">
        <v>18157</v>
      </c>
      <c r="E3657" s="21" t="s">
        <v>18166</v>
      </c>
      <c r="F3657" s="21" t="s">
        <v>17376</v>
      </c>
    </row>
    <row r="3658" customFormat="false" ht="15" hidden="false" customHeight="false" outlineLevel="0" collapsed="false">
      <c r="B3658" s="19" t="s">
        <v>18167</v>
      </c>
      <c r="C3658" s="20" t="n">
        <f aca="false">ROUND(3.64/FX,2)</f>
        <v>0.51</v>
      </c>
      <c r="D3658" s="21" t="s">
        <v>18154</v>
      </c>
      <c r="E3658" s="21" t="s">
        <v>18168</v>
      </c>
      <c r="F3658" s="21" t="s">
        <v>17155</v>
      </c>
    </row>
    <row r="3659" customFormat="false" ht="15" hidden="false" customHeight="false" outlineLevel="0" collapsed="false">
      <c r="B3659" s="19" t="s">
        <v>18169</v>
      </c>
      <c r="C3659" s="20" t="n">
        <f aca="false">ROUND(10.4/FX,2)</f>
        <v>1.44</v>
      </c>
      <c r="D3659" s="21" t="s">
        <v>18157</v>
      </c>
      <c r="E3659" s="21" t="s">
        <v>18168</v>
      </c>
      <c r="F3659" s="21" t="s">
        <v>17155</v>
      </c>
    </row>
    <row r="3660" customFormat="false" ht="15" hidden="false" customHeight="false" outlineLevel="0" collapsed="false">
      <c r="B3660" s="19" t="s">
        <v>18170</v>
      </c>
      <c r="C3660" s="20" t="n">
        <f aca="false">ROUND(6.5/FX,2)</f>
        <v>0.9</v>
      </c>
      <c r="D3660" s="21" t="s">
        <v>18154</v>
      </c>
      <c r="E3660" s="21" t="s">
        <v>18171</v>
      </c>
      <c r="F3660" s="21" t="s">
        <v>17175</v>
      </c>
    </row>
    <row r="3661" customFormat="false" ht="15" hidden="false" customHeight="false" outlineLevel="0" collapsed="false">
      <c r="B3661" s="19" t="s">
        <v>18172</v>
      </c>
      <c r="C3661" s="20" t="n">
        <f aca="false">ROUND(15.6/FX,2)</f>
        <v>2.17</v>
      </c>
      <c r="D3661" s="21" t="s">
        <v>18157</v>
      </c>
      <c r="E3661" s="21" t="s">
        <v>18171</v>
      </c>
      <c r="F3661" s="21" t="s">
        <v>17175</v>
      </c>
    </row>
    <row r="3662" customFormat="false" ht="15" hidden="false" customHeight="false" outlineLevel="0" collapsed="false">
      <c r="B3662" s="19" t="s">
        <v>18173</v>
      </c>
      <c r="C3662" s="20" t="n">
        <f aca="false">ROUND(3.9/FX,2)</f>
        <v>0.54</v>
      </c>
      <c r="D3662" s="21" t="s">
        <v>18157</v>
      </c>
      <c r="E3662" s="21" t="s">
        <v>18174</v>
      </c>
      <c r="F3662" s="21" t="s">
        <v>17381</v>
      </c>
    </row>
    <row r="3663" customFormat="false" ht="15" hidden="false" customHeight="false" outlineLevel="0" collapsed="false">
      <c r="B3663" s="19" t="s">
        <v>18175</v>
      </c>
      <c r="C3663" s="20" t="n">
        <f aca="false">ROUND(6.5/FX,2)</f>
        <v>0.9</v>
      </c>
      <c r="D3663" s="21" t="s">
        <v>18157</v>
      </c>
      <c r="E3663" s="21" t="s">
        <v>18176</v>
      </c>
      <c r="F3663" s="21" t="s">
        <v>17386</v>
      </c>
    </row>
    <row r="3664" customFormat="false" ht="15" hidden="false" customHeight="false" outlineLevel="0" collapsed="false">
      <c r="B3664" s="19" t="s">
        <v>18177</v>
      </c>
      <c r="C3664" s="20" t="n">
        <f aca="false">ROUND(7.8/FX,2)</f>
        <v>1.08</v>
      </c>
      <c r="D3664" s="21" t="s">
        <v>18157</v>
      </c>
      <c r="E3664" s="21" t="s">
        <v>17223</v>
      </c>
      <c r="F3664" s="21" t="s">
        <v>17215</v>
      </c>
    </row>
    <row r="3665" customFormat="false" ht="15" hidden="false" customHeight="false" outlineLevel="0" collapsed="false">
      <c r="B3665" s="19" t="s">
        <v>18178</v>
      </c>
      <c r="C3665" s="20" t="n">
        <f aca="false">ROUND(1.3/FX,2)</f>
        <v>0.18</v>
      </c>
      <c r="D3665" s="21" t="s">
        <v>18154</v>
      </c>
      <c r="E3665" s="21" t="s">
        <v>18179</v>
      </c>
      <c r="F3665" s="21" t="s">
        <v>17293</v>
      </c>
    </row>
    <row r="3666" customFormat="false" ht="15" hidden="false" customHeight="false" outlineLevel="0" collapsed="false">
      <c r="B3666" s="19" t="s">
        <v>18180</v>
      </c>
      <c r="C3666" s="20" t="n">
        <f aca="false">ROUND(1.3/FX,2)</f>
        <v>0.18</v>
      </c>
      <c r="D3666" s="21" t="s">
        <v>18157</v>
      </c>
      <c r="E3666" s="21" t="s">
        <v>18179</v>
      </c>
      <c r="F3666" s="21" t="s">
        <v>17293</v>
      </c>
    </row>
    <row r="3667" customFormat="false" ht="15" hidden="false" customHeight="false" outlineLevel="0" collapsed="false">
      <c r="B3667" s="19" t="s">
        <v>18181</v>
      </c>
      <c r="C3667" s="20" t="n">
        <f aca="false">ROUND(4.55/FX,2)</f>
        <v>0.63</v>
      </c>
      <c r="D3667" s="21" t="s">
        <v>724</v>
      </c>
      <c r="E3667" s="21" t="s">
        <v>17288</v>
      </c>
      <c r="F3667" s="21" t="s">
        <v>17289</v>
      </c>
    </row>
    <row r="3668" customFormat="false" ht="15" hidden="false" customHeight="false" outlineLevel="0" collapsed="false">
      <c r="B3668" s="19" t="s">
        <v>18182</v>
      </c>
      <c r="C3668" s="20" t="n">
        <f aca="false">ROUND(4.55/FX,2)</f>
        <v>0.63</v>
      </c>
      <c r="D3668" s="21" t="s">
        <v>18157</v>
      </c>
      <c r="E3668" s="21" t="s">
        <v>18183</v>
      </c>
      <c r="F3668" s="21" t="s">
        <v>17289</v>
      </c>
    </row>
    <row r="3669" customFormat="false" ht="15" hidden="false" customHeight="false" outlineLevel="0" collapsed="false">
      <c r="B3669" s="19" t="s">
        <v>18184</v>
      </c>
      <c r="C3669" s="20" t="n">
        <f aca="false">ROUND(1.04/FX,2)</f>
        <v>0.14</v>
      </c>
      <c r="D3669" s="21" t="s">
        <v>724</v>
      </c>
      <c r="E3669" s="21" t="s">
        <v>17310</v>
      </c>
      <c r="F3669" s="21" t="s">
        <v>17311</v>
      </c>
    </row>
    <row r="3670" customFormat="false" ht="15" hidden="false" customHeight="false" outlineLevel="0" collapsed="false">
      <c r="B3670" s="19" t="s">
        <v>18185</v>
      </c>
      <c r="C3670" s="20" t="n">
        <f aca="false">ROUND(1.3/FX,2)</f>
        <v>0.18</v>
      </c>
      <c r="D3670" s="21" t="s">
        <v>751</v>
      </c>
      <c r="E3670" s="21" t="s">
        <v>17310</v>
      </c>
      <c r="F3670" s="21" t="s">
        <v>17311</v>
      </c>
    </row>
    <row r="3671" customFormat="false" ht="15" hidden="false" customHeight="false" outlineLevel="0" collapsed="false">
      <c r="B3671" s="19" t="s">
        <v>18186</v>
      </c>
      <c r="C3671" s="20" t="n">
        <f aca="false">ROUND(1.3/FX,2)</f>
        <v>0.18</v>
      </c>
      <c r="D3671" s="21" t="s">
        <v>18157</v>
      </c>
      <c r="E3671" s="21" t="s">
        <v>17310</v>
      </c>
      <c r="F3671" s="21" t="s">
        <v>17311</v>
      </c>
    </row>
    <row r="3672" customFormat="false" ht="15" hidden="false" customHeight="false" outlineLevel="0" collapsed="false">
      <c r="B3672" s="19" t="s">
        <v>18187</v>
      </c>
      <c r="C3672" s="20" t="n">
        <f aca="false">ROUND(1.3/FX,2)</f>
        <v>0.18</v>
      </c>
      <c r="D3672" s="21" t="s">
        <v>724</v>
      </c>
      <c r="E3672" s="21" t="s">
        <v>18188</v>
      </c>
      <c r="F3672" s="21" t="s">
        <v>17303</v>
      </c>
    </row>
    <row r="3673" customFormat="false" ht="15" hidden="false" customHeight="false" outlineLevel="0" collapsed="false">
      <c r="B3673" s="19" t="s">
        <v>18189</v>
      </c>
      <c r="C3673" s="20" t="n">
        <f aca="false">ROUND(1.3/FX,2)</f>
        <v>0.18</v>
      </c>
      <c r="D3673" s="21" t="s">
        <v>18154</v>
      </c>
      <c r="E3673" s="21" t="s">
        <v>18188</v>
      </c>
      <c r="F3673" s="21" t="s">
        <v>17303</v>
      </c>
    </row>
    <row r="3674" customFormat="false" ht="15" hidden="false" customHeight="false" outlineLevel="0" collapsed="false">
      <c r="B3674" s="19" t="s">
        <v>18190</v>
      </c>
      <c r="C3674" s="20" t="n">
        <f aca="false">ROUND(1.3/FX,2)</f>
        <v>0.18</v>
      </c>
      <c r="D3674" s="21" t="s">
        <v>18157</v>
      </c>
      <c r="E3674" s="21" t="s">
        <v>18188</v>
      </c>
      <c r="F3674" s="21" t="s">
        <v>17303</v>
      </c>
    </row>
    <row r="3675" customFormat="false" ht="15" hidden="false" customHeight="false" outlineLevel="0" collapsed="false">
      <c r="B3675" s="19" t="s">
        <v>18191</v>
      </c>
      <c r="C3675" s="20" t="n">
        <f aca="false">ROUND(4.42/FX,2)</f>
        <v>0.61</v>
      </c>
      <c r="D3675" s="21" t="s">
        <v>18154</v>
      </c>
      <c r="E3675" s="21" t="s">
        <v>17305</v>
      </c>
      <c r="F3675" s="21" t="s">
        <v>17306</v>
      </c>
    </row>
    <row r="3676" customFormat="false" ht="15" hidden="false" customHeight="false" outlineLevel="0" collapsed="false">
      <c r="B3676" s="19" t="s">
        <v>18192</v>
      </c>
      <c r="C3676" s="20" t="n">
        <f aca="false">ROUND(4.42/FX,2)</f>
        <v>0.61</v>
      </c>
      <c r="D3676" s="21" t="s">
        <v>18157</v>
      </c>
      <c r="E3676" s="21" t="s">
        <v>17305</v>
      </c>
      <c r="F3676" s="21" t="s">
        <v>17306</v>
      </c>
    </row>
    <row r="3677" customFormat="false" ht="15" hidden="false" customHeight="false" outlineLevel="0" collapsed="false">
      <c r="B3677" s="19" t="s">
        <v>18193</v>
      </c>
      <c r="C3677" s="20" t="n">
        <f aca="false">ROUND(1.3/FX,2)</f>
        <v>0.18</v>
      </c>
      <c r="D3677" s="21" t="s">
        <v>724</v>
      </c>
      <c r="E3677" s="21" t="s">
        <v>18194</v>
      </c>
      <c r="F3677" s="21" t="s">
        <v>17410</v>
      </c>
    </row>
    <row r="3678" customFormat="false" ht="15" hidden="false" customHeight="false" outlineLevel="0" collapsed="false">
      <c r="B3678" s="19" t="s">
        <v>18195</v>
      </c>
      <c r="C3678" s="20" t="n">
        <f aca="false">ROUND(1.3/FX,2)</f>
        <v>0.18</v>
      </c>
      <c r="D3678" s="21" t="s">
        <v>18157</v>
      </c>
      <c r="E3678" s="21" t="s">
        <v>18194</v>
      </c>
      <c r="F3678" s="21" t="s">
        <v>17410</v>
      </c>
    </row>
    <row r="3681" customFormat="false" ht="61.5" hidden="false" customHeight="true" outlineLevel="0" collapsed="false">
      <c r="A3681" s="9"/>
      <c r="B3681" s="10" t="s">
        <v>18196</v>
      </c>
      <c r="C3681" s="10"/>
      <c r="D3681" s="10"/>
      <c r="E3681" s="10"/>
    </row>
    <row r="3682" customFormat="false" ht="15" hidden="false" customHeight="false" outlineLevel="0" collapsed="false">
      <c r="A3682" s="12" t="s">
        <v>700</v>
      </c>
      <c r="B3682" s="13" t="s">
        <v>701</v>
      </c>
      <c r="C3682" s="13" t="s">
        <v>702</v>
      </c>
      <c r="D3682" s="13" t="s">
        <v>722</v>
      </c>
      <c r="E3682" s="13" t="s">
        <v>723</v>
      </c>
    </row>
    <row r="3683" customFormat="false" ht="30" hidden="false" customHeight="true" outlineLevel="0" collapsed="false">
      <c r="A3683" s="14" t="s">
        <v>706</v>
      </c>
      <c r="B3683" s="15" t="str">
        <f aca="false">IF(COUNTIFS($D$3686:$D$3699,IF(D3683="","*",D3683),$E$3686:$E$3699,IF(E3683="","*",E3683))=1,INDEX($B:$B,SUMPRODUCT(((D3683="")+($D$3686:$D$3699=D3683)&gt;0)*((E3683="")+($E$3686:$E$3699=E3683)&gt;0)*ROW($B$3686:$B$3699))),IF(COUNTIFS($D$3686:$D$3699,IF(D3683="","*",D3683),$E$3686:$E$3699,IF(E3683="","*",E3683))=0,"Not available",COUNTIFS($D$3686:$D$3699,IF(D3683="","*",D3683),$E$3686:$E$3699,IF(E3683="","*",E3683))&amp;" match, keep choosing"))</f>
        <v>RL-042-SV-HV-TBR20LUU</v>
      </c>
      <c r="C3683" s="16" t="n">
        <f aca="false">IF(COUNTIFS($D$3686:$D$3699,IF(D3683="","*",D3683),$E$3686:$E$3699,IF(E3683="","*",E3683))=1,INDEX($C:$C,SUMPRODUCT(((D3683="")+($D$3686:$D$3699=D3683)&gt;0)*((E3683="")+($E$3686:$E$3699=E3683)&gt;0)*ROW($B$3686:$B$3699))),"")</f>
        <v>6.86</v>
      </c>
      <c r="D3683" s="17" t="s">
        <v>6549</v>
      </c>
      <c r="E3683" s="17" t="s">
        <v>18197</v>
      </c>
    </row>
    <row r="3685" customFormat="false" ht="15" hidden="false" customHeight="false" outlineLevel="0" collapsed="false">
      <c r="B3685" s="18" t="s">
        <v>701</v>
      </c>
      <c r="C3685" s="18" t="s">
        <v>702</v>
      </c>
      <c r="D3685" s="18" t="s">
        <v>722</v>
      </c>
      <c r="E3685" s="18" t="s">
        <v>723</v>
      </c>
    </row>
    <row r="3686" customFormat="false" ht="28.35" hidden="false" customHeight="false" outlineLevel="0" collapsed="false">
      <c r="B3686" s="19" t="s">
        <v>18198</v>
      </c>
      <c r="C3686" s="20" t="n">
        <f aca="false">ROUND(49.4/FX,2)</f>
        <v>6.86</v>
      </c>
      <c r="D3686" s="21" t="s">
        <v>6549</v>
      </c>
      <c r="E3686" s="21" t="s">
        <v>18197</v>
      </c>
    </row>
    <row r="3687" customFormat="false" ht="28.35" hidden="false" customHeight="false" outlineLevel="0" collapsed="false">
      <c r="B3687" s="19" t="s">
        <v>18199</v>
      </c>
      <c r="C3687" s="20" t="n">
        <f aca="false">ROUND(59.8/FX,2)</f>
        <v>8.31</v>
      </c>
      <c r="D3687" s="21" t="s">
        <v>6549</v>
      </c>
      <c r="E3687" s="21" t="s">
        <v>18200</v>
      </c>
    </row>
    <row r="3688" customFormat="false" ht="28.35" hidden="false" customHeight="false" outlineLevel="0" collapsed="false">
      <c r="B3688" s="19" t="s">
        <v>18201</v>
      </c>
      <c r="C3688" s="20" t="n">
        <f aca="false">ROUND(68.9/FX,2)</f>
        <v>9.57</v>
      </c>
      <c r="D3688" s="21" t="s">
        <v>6549</v>
      </c>
      <c r="E3688" s="21" t="s">
        <v>18202</v>
      </c>
    </row>
    <row r="3689" customFormat="false" ht="28.35" hidden="false" customHeight="false" outlineLevel="0" collapsed="false">
      <c r="B3689" s="19" t="s">
        <v>18203</v>
      </c>
      <c r="C3689" s="20" t="n">
        <f aca="false">ROUND(107.9/FX,2)</f>
        <v>14.99</v>
      </c>
      <c r="D3689" s="21" t="s">
        <v>6549</v>
      </c>
      <c r="E3689" s="21" t="s">
        <v>18204</v>
      </c>
    </row>
    <row r="3690" customFormat="false" ht="28.35" hidden="false" customHeight="false" outlineLevel="0" collapsed="false">
      <c r="B3690" s="19" t="s">
        <v>18205</v>
      </c>
      <c r="C3690" s="20" t="n">
        <f aca="false">ROUND(157.3/FX,2)</f>
        <v>21.85</v>
      </c>
      <c r="D3690" s="21" t="s">
        <v>6549</v>
      </c>
      <c r="E3690" s="21" t="s">
        <v>18206</v>
      </c>
    </row>
    <row r="3691" customFormat="false" ht="28.35" hidden="false" customHeight="false" outlineLevel="0" collapsed="false">
      <c r="B3691" s="19" t="s">
        <v>18207</v>
      </c>
      <c r="C3691" s="20" t="n">
        <f aca="false">ROUND(34.45/FX,2)</f>
        <v>4.78</v>
      </c>
      <c r="D3691" s="21" t="s">
        <v>6549</v>
      </c>
      <c r="E3691" s="21" t="s">
        <v>18208</v>
      </c>
    </row>
    <row r="3692" customFormat="false" ht="28.35" hidden="false" customHeight="false" outlineLevel="0" collapsed="false">
      <c r="B3692" s="19" t="s">
        <v>18209</v>
      </c>
      <c r="C3692" s="20" t="n">
        <f aca="false">ROUND(22.1/FX,2)</f>
        <v>3.07</v>
      </c>
      <c r="D3692" s="21" t="s">
        <v>6549</v>
      </c>
      <c r="E3692" s="21" t="s">
        <v>18210</v>
      </c>
    </row>
    <row r="3693" customFormat="false" ht="28.35" hidden="false" customHeight="false" outlineLevel="0" collapsed="false">
      <c r="B3693" s="19" t="s">
        <v>18211</v>
      </c>
      <c r="C3693" s="20" t="n">
        <f aca="false">ROUND(26/FX,2)</f>
        <v>3.61</v>
      </c>
      <c r="D3693" s="21" t="s">
        <v>6549</v>
      </c>
      <c r="E3693" s="21" t="s">
        <v>18212</v>
      </c>
    </row>
    <row r="3694" customFormat="false" ht="28.35" hidden="false" customHeight="false" outlineLevel="0" collapsed="false">
      <c r="B3694" s="19" t="s">
        <v>18213</v>
      </c>
      <c r="C3694" s="20" t="n">
        <f aca="false">ROUND(39/FX,2)</f>
        <v>5.42</v>
      </c>
      <c r="D3694" s="21" t="s">
        <v>6549</v>
      </c>
      <c r="E3694" s="21" t="s">
        <v>18214</v>
      </c>
    </row>
    <row r="3695" customFormat="false" ht="28.35" hidden="false" customHeight="false" outlineLevel="0" collapsed="false">
      <c r="B3695" s="19" t="s">
        <v>18215</v>
      </c>
      <c r="C3695" s="20" t="n">
        <f aca="false">ROUND(58.5/FX,2)</f>
        <v>8.13</v>
      </c>
      <c r="D3695" s="21" t="s">
        <v>6549</v>
      </c>
      <c r="E3695" s="21" t="s">
        <v>18216</v>
      </c>
    </row>
    <row r="3696" customFormat="false" ht="15" hidden="false" customHeight="false" outlineLevel="0" collapsed="false">
      <c r="B3696" s="19" t="s">
        <v>18217</v>
      </c>
      <c r="C3696" s="20" t="n">
        <f aca="false">ROUND(33.8/FX,2)</f>
        <v>4.69</v>
      </c>
      <c r="D3696" s="21" t="s">
        <v>6336</v>
      </c>
      <c r="E3696" s="21" t="s">
        <v>18218</v>
      </c>
    </row>
    <row r="3697" customFormat="false" ht="15" hidden="false" customHeight="false" outlineLevel="0" collapsed="false">
      <c r="B3697" s="19" t="s">
        <v>18219</v>
      </c>
      <c r="C3697" s="20" t="n">
        <f aca="false">ROUND(10.4/FX,2)</f>
        <v>1.44</v>
      </c>
      <c r="D3697" s="21" t="s">
        <v>6336</v>
      </c>
      <c r="E3697" s="21" t="s">
        <v>18220</v>
      </c>
    </row>
    <row r="3698" customFormat="false" ht="15" hidden="false" customHeight="false" outlineLevel="0" collapsed="false">
      <c r="B3698" s="19" t="s">
        <v>18221</v>
      </c>
      <c r="C3698" s="20" t="n">
        <f aca="false">ROUND(11.7/FX,2)</f>
        <v>1.63</v>
      </c>
      <c r="D3698" s="21" t="s">
        <v>6336</v>
      </c>
      <c r="E3698" s="21" t="s">
        <v>18222</v>
      </c>
    </row>
    <row r="3699" customFormat="false" ht="15" hidden="false" customHeight="false" outlineLevel="0" collapsed="false">
      <c r="B3699" s="19" t="s">
        <v>18223</v>
      </c>
      <c r="C3699" s="20" t="n">
        <f aca="false">ROUND(20.67/FX,2)</f>
        <v>2.87</v>
      </c>
      <c r="D3699" s="21" t="s">
        <v>6336</v>
      </c>
      <c r="E3699" s="21" t="s">
        <v>18224</v>
      </c>
    </row>
    <row r="3702" customFormat="false" ht="61.5" hidden="false" customHeight="true" outlineLevel="0" collapsed="false">
      <c r="A3702" s="9"/>
      <c r="B3702" s="10" t="s">
        <v>18225</v>
      </c>
      <c r="C3702" s="10"/>
      <c r="D3702" s="10"/>
      <c r="E3702" s="10"/>
      <c r="F3702" s="10"/>
      <c r="G3702" s="10"/>
    </row>
    <row r="3703" customFormat="false" ht="15" hidden="false" customHeight="false" outlineLevel="0" collapsed="false">
      <c r="A3703" s="12" t="s">
        <v>700</v>
      </c>
      <c r="B3703" s="13" t="s">
        <v>701</v>
      </c>
      <c r="C3703" s="13" t="s">
        <v>702</v>
      </c>
      <c r="D3703" s="13" t="s">
        <v>6159</v>
      </c>
      <c r="E3703" s="13" t="s">
        <v>723</v>
      </c>
      <c r="F3703" s="13" t="s">
        <v>6523</v>
      </c>
      <c r="G3703" s="13" t="s">
        <v>122</v>
      </c>
    </row>
    <row r="3704" customFormat="false" ht="30" hidden="false" customHeight="true" outlineLevel="0" collapsed="false">
      <c r="A3704" s="14" t="s">
        <v>706</v>
      </c>
      <c r="B3704" s="15" t="str">
        <f aca="false">IF(COUNTIFS($D$3707:$D$3898,IF(D3704="","*",D3704),$E$3707:$E$3898,IF(E3704="","*",E3704),$F$3707:$F$3898,IF(F3704="","*",F3704),$G$3707:$G$3898,IF(G3704="","*",G3704))=1,INDEX($B:$B,SUMPRODUCT(((D3704="")+($D$3707:$D$3898=D3704)&gt;0)*((E3704="")+($E$3707:$E$3898=E3704)&gt;0)*((F3704="")+($F$3707:$F$3898=F3704)&gt;0)*((G3704="")+($G$3707:$G$3898=G3704)&gt;0)*ROW($B$3707:$B$3898))),IF(COUNTIFS($D$3707:$D$3898,IF(D3704="","*",D3704),$E$3707:$E$3898,IF(E3704="","*",E3704),$F$3707:$F$3898,IF(F3704="","*",F3704),$G$3707:$G$3898,IF(G3704="","*",G3704))=0,"Not available",COUNTIFS($D$3707:$D$3898,IF(D3704="","*",D3704),$E$3707:$E$3898,IF(E3704="","*",E3704),$F$3707:$F$3898,IF(F3704="","*",F3704),$G$3707:$G$3898,IF(G3704="","*",G3704))&amp;" match, keep choosing"))</f>
        <v>LBF-LMF10GA-10x19x29-SS-MC</v>
      </c>
      <c r="C3704" s="16" t="n">
        <f aca="false">IF(COUNTIFS($D$3707:$D$3898,IF(D3704="","*",D3704),$E$3707:$E$3898,IF(E3704="","*",E3704),$F$3707:$F$3898,IF(F3704="","*",F3704),$G$3707:$G$3898,IF(G3704="","*",G3704))=1,INDEX($C:$C,SUMPRODUCT(((D3704="")+($D$3707:$D$3898=D3704)&gt;0)*((E3704="")+($E$3707:$E$3898=E3704)&gt;0)*((F3704="")+($F$3707:$F$3898=F3704)&gt;0)*((G3704="")+($G$3707:$G$3898=G3704)&gt;0)*ROW($B$3707:$B$3898))),"")</f>
        <v>4.88</v>
      </c>
      <c r="D3704" s="17" t="s">
        <v>18226</v>
      </c>
      <c r="E3704" s="17" t="s">
        <v>17115</v>
      </c>
      <c r="F3704" s="17" t="s">
        <v>17120</v>
      </c>
      <c r="G3704" s="17" t="s">
        <v>13025</v>
      </c>
    </row>
    <row r="3706" customFormat="false" ht="15" hidden="false" customHeight="false" outlineLevel="0" collapsed="false">
      <c r="B3706" s="18" t="s">
        <v>701</v>
      </c>
      <c r="C3706" s="18" t="s">
        <v>702</v>
      </c>
      <c r="D3706" s="18" t="s">
        <v>6159</v>
      </c>
      <c r="E3706" s="18" t="s">
        <v>723</v>
      </c>
      <c r="F3706" s="18" t="s">
        <v>6523</v>
      </c>
      <c r="G3706" s="18" t="s">
        <v>122</v>
      </c>
    </row>
    <row r="3707" customFormat="false" ht="28.35" hidden="false" customHeight="false" outlineLevel="0" collapsed="false">
      <c r="B3707" s="19" t="s">
        <v>18227</v>
      </c>
      <c r="C3707" s="20" t="n">
        <f aca="false">ROUND(35.1/FX,2)</f>
        <v>4.88</v>
      </c>
      <c r="D3707" s="21" t="s">
        <v>18226</v>
      </c>
      <c r="E3707" s="21" t="s">
        <v>17115</v>
      </c>
      <c r="F3707" s="21" t="s">
        <v>17120</v>
      </c>
      <c r="G3707" s="21" t="s">
        <v>13025</v>
      </c>
    </row>
    <row r="3708" customFormat="false" ht="28.35" hidden="false" customHeight="false" outlineLevel="0" collapsed="false">
      <c r="B3708" s="19" t="s">
        <v>18228</v>
      </c>
      <c r="C3708" s="20" t="n">
        <f aca="false">ROUND(53.3/FX,2)</f>
        <v>7.4</v>
      </c>
      <c r="D3708" s="21" t="s">
        <v>18229</v>
      </c>
      <c r="E3708" s="21" t="s">
        <v>17115</v>
      </c>
      <c r="F3708" s="21" t="s">
        <v>17111</v>
      </c>
      <c r="G3708" s="21" t="s">
        <v>13025</v>
      </c>
    </row>
    <row r="3709" customFormat="false" ht="15" hidden="false" customHeight="false" outlineLevel="0" collapsed="false">
      <c r="B3709" s="19" t="s">
        <v>18230</v>
      </c>
      <c r="C3709" s="20" t="n">
        <f aca="false">ROUND(8.71/FX,2)</f>
        <v>1.21</v>
      </c>
      <c r="D3709" s="21" t="s">
        <v>18231</v>
      </c>
      <c r="E3709" s="21" t="s">
        <v>734</v>
      </c>
      <c r="F3709" s="21" t="s">
        <v>17111</v>
      </c>
      <c r="G3709" s="21" t="s">
        <v>13025</v>
      </c>
    </row>
    <row r="3710" customFormat="false" ht="15" hidden="false" customHeight="false" outlineLevel="0" collapsed="false">
      <c r="B3710" s="19" t="s">
        <v>18232</v>
      </c>
      <c r="C3710" s="20" t="n">
        <f aca="false">ROUND(10/FX,2)</f>
        <v>1.39</v>
      </c>
      <c r="D3710" s="21" t="s">
        <v>18231</v>
      </c>
      <c r="E3710" s="21" t="s">
        <v>17113</v>
      </c>
      <c r="F3710" s="21" t="s">
        <v>17111</v>
      </c>
      <c r="G3710" s="21" t="s">
        <v>13025</v>
      </c>
    </row>
    <row r="3711" customFormat="false" ht="28.35" hidden="false" customHeight="false" outlineLevel="0" collapsed="false">
      <c r="B3711" s="19" t="s">
        <v>18233</v>
      </c>
      <c r="C3711" s="20" t="n">
        <f aca="false">ROUND(52/FX,2)</f>
        <v>7.22</v>
      </c>
      <c r="D3711" s="21" t="s">
        <v>18231</v>
      </c>
      <c r="E3711" s="21" t="s">
        <v>17117</v>
      </c>
      <c r="F3711" s="21" t="s">
        <v>17111</v>
      </c>
      <c r="G3711" s="21" t="s">
        <v>13025</v>
      </c>
    </row>
    <row r="3712" customFormat="false" ht="15" hidden="false" customHeight="false" outlineLevel="0" collapsed="false">
      <c r="B3712" s="19" t="s">
        <v>18234</v>
      </c>
      <c r="C3712" s="20" t="n">
        <f aca="false">ROUND(3.64/FX,2)</f>
        <v>0.51</v>
      </c>
      <c r="D3712" s="21" t="s">
        <v>18235</v>
      </c>
      <c r="E3712" s="21" t="s">
        <v>734</v>
      </c>
      <c r="F3712" s="21" t="s">
        <v>17120</v>
      </c>
      <c r="G3712" s="21" t="s">
        <v>13025</v>
      </c>
    </row>
    <row r="3713" customFormat="false" ht="15" hidden="false" customHeight="false" outlineLevel="0" collapsed="false">
      <c r="B3713" s="19" t="s">
        <v>18236</v>
      </c>
      <c r="C3713" s="20" t="n">
        <f aca="false">ROUND(6.24/FX,2)</f>
        <v>0.87</v>
      </c>
      <c r="D3713" s="21" t="s">
        <v>18235</v>
      </c>
      <c r="E3713" s="21" t="s">
        <v>17113</v>
      </c>
      <c r="F3713" s="21" t="s">
        <v>17120</v>
      </c>
      <c r="G3713" s="21" t="s">
        <v>13025</v>
      </c>
    </row>
    <row r="3714" customFormat="false" ht="28.35" hidden="false" customHeight="false" outlineLevel="0" collapsed="false">
      <c r="B3714" s="19" t="s">
        <v>18237</v>
      </c>
      <c r="C3714" s="20" t="n">
        <f aca="false">ROUND(29.64/FX,2)</f>
        <v>4.12</v>
      </c>
      <c r="D3714" s="21" t="s">
        <v>18235</v>
      </c>
      <c r="E3714" s="21" t="s">
        <v>17117</v>
      </c>
      <c r="F3714" s="21" t="s">
        <v>17120</v>
      </c>
      <c r="G3714" s="21" t="s">
        <v>13025</v>
      </c>
    </row>
    <row r="3715" customFormat="false" ht="28.35" hidden="false" customHeight="false" outlineLevel="0" collapsed="false">
      <c r="B3715" s="19" t="s">
        <v>18238</v>
      </c>
      <c r="C3715" s="20" t="n">
        <f aca="false">ROUND(36.4/FX,2)</f>
        <v>5.06</v>
      </c>
      <c r="D3715" s="21" t="s">
        <v>18239</v>
      </c>
      <c r="E3715" s="21" t="s">
        <v>17115</v>
      </c>
      <c r="F3715" s="21" t="s">
        <v>17137</v>
      </c>
      <c r="G3715" s="21" t="s">
        <v>13025</v>
      </c>
    </row>
    <row r="3716" customFormat="false" ht="28.35" hidden="false" customHeight="false" outlineLevel="0" collapsed="false">
      <c r="B3716" s="19" t="s">
        <v>18240</v>
      </c>
      <c r="C3716" s="20" t="n">
        <f aca="false">ROUND(58.2/FX,2)</f>
        <v>8.08</v>
      </c>
      <c r="D3716" s="21" t="s">
        <v>18241</v>
      </c>
      <c r="E3716" s="21" t="s">
        <v>17115</v>
      </c>
      <c r="F3716" s="21" t="s">
        <v>17131</v>
      </c>
      <c r="G3716" s="21" t="s">
        <v>13025</v>
      </c>
    </row>
    <row r="3717" customFormat="false" ht="15" hidden="false" customHeight="false" outlineLevel="0" collapsed="false">
      <c r="B3717" s="19" t="s">
        <v>18242</v>
      </c>
      <c r="C3717" s="20" t="n">
        <f aca="false">ROUND(9.1/FX,2)</f>
        <v>1.26</v>
      </c>
      <c r="D3717" s="21" t="s">
        <v>18243</v>
      </c>
      <c r="E3717" s="21" t="s">
        <v>734</v>
      </c>
      <c r="F3717" s="21" t="s">
        <v>17131</v>
      </c>
      <c r="G3717" s="21" t="s">
        <v>13025</v>
      </c>
    </row>
    <row r="3718" customFormat="false" ht="15" hidden="false" customHeight="false" outlineLevel="0" collapsed="false">
      <c r="B3718" s="19" t="s">
        <v>18244</v>
      </c>
      <c r="C3718" s="20" t="n">
        <f aca="false">ROUND(11/FX,2)</f>
        <v>1.53</v>
      </c>
      <c r="D3718" s="21" t="s">
        <v>18243</v>
      </c>
      <c r="E3718" s="21" t="s">
        <v>17113</v>
      </c>
      <c r="F3718" s="21" t="s">
        <v>17131</v>
      </c>
      <c r="G3718" s="21" t="s">
        <v>13025</v>
      </c>
    </row>
    <row r="3719" customFormat="false" ht="28.35" hidden="false" customHeight="false" outlineLevel="0" collapsed="false">
      <c r="B3719" s="19" t="s">
        <v>18245</v>
      </c>
      <c r="C3719" s="20" t="n">
        <f aca="false">ROUND(59.8/FX,2)</f>
        <v>8.31</v>
      </c>
      <c r="D3719" s="21" t="s">
        <v>18243</v>
      </c>
      <c r="E3719" s="21" t="s">
        <v>17117</v>
      </c>
      <c r="F3719" s="21" t="s">
        <v>17131</v>
      </c>
      <c r="G3719" s="21" t="s">
        <v>13025</v>
      </c>
    </row>
    <row r="3720" customFormat="false" ht="15" hidden="false" customHeight="false" outlineLevel="0" collapsed="false">
      <c r="B3720" s="19" t="s">
        <v>18246</v>
      </c>
      <c r="C3720" s="20" t="n">
        <f aca="false">ROUND(5.2/FX,2)</f>
        <v>0.72</v>
      </c>
      <c r="D3720" s="21" t="s">
        <v>18247</v>
      </c>
      <c r="E3720" s="21" t="s">
        <v>734</v>
      </c>
      <c r="F3720" s="21" t="s">
        <v>17137</v>
      </c>
      <c r="G3720" s="21" t="s">
        <v>13025</v>
      </c>
    </row>
    <row r="3721" customFormat="false" ht="15" hidden="false" customHeight="false" outlineLevel="0" collapsed="false">
      <c r="B3721" s="19" t="s">
        <v>18248</v>
      </c>
      <c r="C3721" s="20" t="n">
        <f aca="false">ROUND(7/FX,2)</f>
        <v>0.97</v>
      </c>
      <c r="D3721" s="21" t="s">
        <v>18247</v>
      </c>
      <c r="E3721" s="21" t="s">
        <v>17113</v>
      </c>
      <c r="F3721" s="21" t="s">
        <v>17137</v>
      </c>
      <c r="G3721" s="21" t="s">
        <v>13025</v>
      </c>
    </row>
    <row r="3722" customFormat="false" ht="28.35" hidden="false" customHeight="false" outlineLevel="0" collapsed="false">
      <c r="B3722" s="19" t="s">
        <v>18249</v>
      </c>
      <c r="C3722" s="20" t="n">
        <f aca="false">ROUND(35.75/FX,2)</f>
        <v>4.97</v>
      </c>
      <c r="D3722" s="21" t="s">
        <v>18247</v>
      </c>
      <c r="E3722" s="21" t="s">
        <v>17117</v>
      </c>
      <c r="F3722" s="21" t="s">
        <v>17137</v>
      </c>
      <c r="G3722" s="21" t="s">
        <v>13025</v>
      </c>
    </row>
    <row r="3723" customFormat="false" ht="15" hidden="false" customHeight="false" outlineLevel="0" collapsed="false">
      <c r="B3723" s="19" t="s">
        <v>18250</v>
      </c>
      <c r="C3723" s="20" t="n">
        <f aca="false">ROUND(12.35/FX,2)</f>
        <v>1.72</v>
      </c>
      <c r="D3723" s="21" t="s">
        <v>18251</v>
      </c>
      <c r="E3723" s="21" t="s">
        <v>734</v>
      </c>
      <c r="F3723" s="21" t="s">
        <v>17147</v>
      </c>
      <c r="G3723" s="21" t="s">
        <v>13025</v>
      </c>
    </row>
    <row r="3724" customFormat="false" ht="15" hidden="false" customHeight="false" outlineLevel="0" collapsed="false">
      <c r="B3724" s="19" t="s">
        <v>18252</v>
      </c>
      <c r="C3724" s="20" t="n">
        <f aca="false">ROUND(6.5/FX,2)</f>
        <v>0.9</v>
      </c>
      <c r="D3724" s="21" t="s">
        <v>18253</v>
      </c>
      <c r="E3724" s="21" t="s">
        <v>734</v>
      </c>
      <c r="F3724" s="21" t="s">
        <v>17150</v>
      </c>
      <c r="G3724" s="21" t="s">
        <v>13025</v>
      </c>
    </row>
    <row r="3725" customFormat="false" ht="28.35" hidden="false" customHeight="false" outlineLevel="0" collapsed="false">
      <c r="B3725" s="19" t="s">
        <v>18254</v>
      </c>
      <c r="C3725" s="20" t="n">
        <f aca="false">ROUND(48.1/FX,2)</f>
        <v>6.68</v>
      </c>
      <c r="D3725" s="21" t="s">
        <v>18255</v>
      </c>
      <c r="E3725" s="21" t="s">
        <v>17115</v>
      </c>
      <c r="F3725" s="21" t="s">
        <v>17155</v>
      </c>
      <c r="G3725" s="21" t="s">
        <v>13025</v>
      </c>
    </row>
    <row r="3726" customFormat="false" ht="28.35" hidden="false" customHeight="false" outlineLevel="0" collapsed="false">
      <c r="B3726" s="19" t="s">
        <v>18256</v>
      </c>
      <c r="C3726" s="20" t="n">
        <f aca="false">ROUND(80.6/FX,2)</f>
        <v>11.19</v>
      </c>
      <c r="D3726" s="21" t="s">
        <v>18257</v>
      </c>
      <c r="E3726" s="21" t="s">
        <v>17115</v>
      </c>
      <c r="F3726" s="21" t="s">
        <v>17158</v>
      </c>
      <c r="G3726" s="21" t="s">
        <v>13025</v>
      </c>
    </row>
    <row r="3727" customFormat="false" ht="15" hidden="false" customHeight="false" outlineLevel="0" collapsed="false">
      <c r="B3727" s="19" t="s">
        <v>18258</v>
      </c>
      <c r="C3727" s="20" t="n">
        <f aca="false">ROUND(12/FX,2)</f>
        <v>1.67</v>
      </c>
      <c r="D3727" s="21" t="s">
        <v>18259</v>
      </c>
      <c r="E3727" s="21" t="s">
        <v>734</v>
      </c>
      <c r="F3727" s="21" t="s">
        <v>18260</v>
      </c>
      <c r="G3727" s="21" t="s">
        <v>13025</v>
      </c>
    </row>
    <row r="3728" customFormat="false" ht="15" hidden="false" customHeight="false" outlineLevel="0" collapsed="false">
      <c r="B3728" s="19" t="s">
        <v>18261</v>
      </c>
      <c r="C3728" s="20" t="n">
        <f aca="false">ROUND(14/FX,2)</f>
        <v>1.94</v>
      </c>
      <c r="D3728" s="21" t="s">
        <v>18259</v>
      </c>
      <c r="E3728" s="21" t="s">
        <v>17113</v>
      </c>
      <c r="F3728" s="21" t="s">
        <v>18260</v>
      </c>
      <c r="G3728" s="21" t="s">
        <v>13025</v>
      </c>
    </row>
    <row r="3729" customFormat="false" ht="28.35" hidden="false" customHeight="false" outlineLevel="0" collapsed="false">
      <c r="B3729" s="19" t="s">
        <v>18262</v>
      </c>
      <c r="C3729" s="20" t="n">
        <f aca="false">ROUND(80.4/FX,2)</f>
        <v>11.17</v>
      </c>
      <c r="D3729" s="21" t="s">
        <v>18259</v>
      </c>
      <c r="E3729" s="21" t="s">
        <v>17117</v>
      </c>
      <c r="F3729" s="21" t="s">
        <v>17158</v>
      </c>
      <c r="G3729" s="21" t="s">
        <v>13025</v>
      </c>
    </row>
    <row r="3730" customFormat="false" ht="15" hidden="false" customHeight="false" outlineLevel="0" collapsed="false">
      <c r="B3730" s="19" t="s">
        <v>18263</v>
      </c>
      <c r="C3730" s="20" t="n">
        <f aca="false">ROUND(4.41/FX,2)</f>
        <v>0.61</v>
      </c>
      <c r="D3730" s="21" t="s">
        <v>18264</v>
      </c>
      <c r="E3730" s="21" t="s">
        <v>734</v>
      </c>
      <c r="F3730" s="21" t="s">
        <v>17155</v>
      </c>
      <c r="G3730" s="21" t="s">
        <v>13025</v>
      </c>
    </row>
    <row r="3731" customFormat="false" ht="15" hidden="false" customHeight="false" outlineLevel="0" collapsed="false">
      <c r="B3731" s="19" t="s">
        <v>18265</v>
      </c>
      <c r="C3731" s="20" t="n">
        <f aca="false">ROUND(9.88/FX,2)</f>
        <v>1.37</v>
      </c>
      <c r="D3731" s="21" t="s">
        <v>18264</v>
      </c>
      <c r="E3731" s="21" t="s">
        <v>17113</v>
      </c>
      <c r="F3731" s="21" t="s">
        <v>17155</v>
      </c>
      <c r="G3731" s="21" t="s">
        <v>13025</v>
      </c>
    </row>
    <row r="3732" customFormat="false" ht="28.35" hidden="false" customHeight="false" outlineLevel="0" collapsed="false">
      <c r="B3732" s="19" t="s">
        <v>18266</v>
      </c>
      <c r="C3732" s="20" t="n">
        <f aca="false">ROUND(48.1/FX,2)</f>
        <v>6.68</v>
      </c>
      <c r="D3732" s="21" t="s">
        <v>18264</v>
      </c>
      <c r="E3732" s="21" t="s">
        <v>17117</v>
      </c>
      <c r="F3732" s="21" t="s">
        <v>17155</v>
      </c>
      <c r="G3732" s="21" t="s">
        <v>13025</v>
      </c>
    </row>
    <row r="3733" customFormat="false" ht="28.35" hidden="false" customHeight="false" outlineLevel="0" collapsed="false">
      <c r="B3733" s="19" t="s">
        <v>18267</v>
      </c>
      <c r="C3733" s="20" t="n">
        <f aca="false">ROUND(62.4/FX,2)</f>
        <v>8.67</v>
      </c>
      <c r="D3733" s="21" t="s">
        <v>18268</v>
      </c>
      <c r="E3733" s="21" t="s">
        <v>17115</v>
      </c>
      <c r="F3733" s="21" t="s">
        <v>17175</v>
      </c>
      <c r="G3733" s="21" t="s">
        <v>13025</v>
      </c>
    </row>
    <row r="3734" customFormat="false" ht="28.35" hidden="false" customHeight="false" outlineLevel="0" collapsed="false">
      <c r="B3734" s="19" t="s">
        <v>18269</v>
      </c>
      <c r="C3734" s="20" t="n">
        <f aca="false">ROUND(97.5/FX,2)</f>
        <v>13.54</v>
      </c>
      <c r="D3734" s="21" t="s">
        <v>18270</v>
      </c>
      <c r="E3734" s="21" t="s">
        <v>17115</v>
      </c>
      <c r="F3734" s="21" t="s">
        <v>17180</v>
      </c>
      <c r="G3734" s="21" t="s">
        <v>13025</v>
      </c>
    </row>
    <row r="3735" customFormat="false" ht="15" hidden="false" customHeight="false" outlineLevel="0" collapsed="false">
      <c r="B3735" s="19" t="s">
        <v>18271</v>
      </c>
      <c r="C3735" s="20" t="n">
        <f aca="false">ROUND(14/FX,2)</f>
        <v>1.94</v>
      </c>
      <c r="D3735" s="21" t="s">
        <v>18272</v>
      </c>
      <c r="E3735" s="21" t="s">
        <v>734</v>
      </c>
      <c r="F3735" s="21" t="s">
        <v>17180</v>
      </c>
      <c r="G3735" s="21" t="s">
        <v>13025</v>
      </c>
    </row>
    <row r="3736" customFormat="false" ht="15" hidden="false" customHeight="false" outlineLevel="0" collapsed="false">
      <c r="B3736" s="19" t="s">
        <v>18273</v>
      </c>
      <c r="C3736" s="20" t="n">
        <f aca="false">ROUND(16/FX,2)</f>
        <v>2.22</v>
      </c>
      <c r="D3736" s="21" t="s">
        <v>18272</v>
      </c>
      <c r="E3736" s="21" t="s">
        <v>17113</v>
      </c>
      <c r="F3736" s="21" t="s">
        <v>17180</v>
      </c>
      <c r="G3736" s="21" t="s">
        <v>13025</v>
      </c>
    </row>
    <row r="3737" customFormat="false" ht="28.35" hidden="false" customHeight="false" outlineLevel="0" collapsed="false">
      <c r="B3737" s="19" t="s">
        <v>18274</v>
      </c>
      <c r="C3737" s="20" t="n">
        <f aca="false">ROUND(97.5/FX,2)</f>
        <v>13.54</v>
      </c>
      <c r="D3737" s="21" t="s">
        <v>18272</v>
      </c>
      <c r="E3737" s="21" t="s">
        <v>17117</v>
      </c>
      <c r="F3737" s="21" t="s">
        <v>17180</v>
      </c>
      <c r="G3737" s="21" t="s">
        <v>13025</v>
      </c>
    </row>
    <row r="3738" customFormat="false" ht="15" hidden="false" customHeight="false" outlineLevel="0" collapsed="false">
      <c r="B3738" s="19" t="s">
        <v>18275</v>
      </c>
      <c r="C3738" s="20" t="n">
        <f aca="false">ROUND(8.32/FX,2)</f>
        <v>1.16</v>
      </c>
      <c r="D3738" s="21" t="s">
        <v>18276</v>
      </c>
      <c r="E3738" s="21" t="s">
        <v>734</v>
      </c>
      <c r="F3738" s="21" t="s">
        <v>17175</v>
      </c>
      <c r="G3738" s="21" t="s">
        <v>13025</v>
      </c>
    </row>
    <row r="3739" customFormat="false" ht="15" hidden="false" customHeight="false" outlineLevel="0" collapsed="false">
      <c r="B3739" s="19" t="s">
        <v>18277</v>
      </c>
      <c r="C3739" s="20" t="n">
        <f aca="false">ROUND(9.88/FX,2)</f>
        <v>1.37</v>
      </c>
      <c r="D3739" s="21" t="s">
        <v>18276</v>
      </c>
      <c r="E3739" s="21" t="s">
        <v>17113</v>
      </c>
      <c r="F3739" s="21" t="s">
        <v>17175</v>
      </c>
      <c r="G3739" s="21" t="s">
        <v>13025</v>
      </c>
    </row>
    <row r="3740" customFormat="false" ht="28.35" hidden="false" customHeight="false" outlineLevel="0" collapsed="false">
      <c r="B3740" s="19" t="s">
        <v>18278</v>
      </c>
      <c r="C3740" s="20" t="n">
        <f aca="false">ROUND(62.4/FX,2)</f>
        <v>8.67</v>
      </c>
      <c r="D3740" s="21" t="s">
        <v>18276</v>
      </c>
      <c r="E3740" s="21" t="s">
        <v>17117</v>
      </c>
      <c r="F3740" s="21" t="s">
        <v>17175</v>
      </c>
      <c r="G3740" s="21" t="s">
        <v>13025</v>
      </c>
    </row>
    <row r="3741" customFormat="false" ht="28.35" hidden="false" customHeight="false" outlineLevel="0" collapsed="false">
      <c r="B3741" s="19" t="s">
        <v>18279</v>
      </c>
      <c r="C3741" s="20" t="n">
        <f aca="false">ROUND(84.5/FX,2)</f>
        <v>11.74</v>
      </c>
      <c r="D3741" s="21" t="s">
        <v>18280</v>
      </c>
      <c r="E3741" s="21" t="s">
        <v>17115</v>
      </c>
      <c r="F3741" s="21" t="s">
        <v>17195</v>
      </c>
      <c r="G3741" s="21" t="s">
        <v>13025</v>
      </c>
    </row>
    <row r="3742" customFormat="false" ht="28.35" hidden="false" customHeight="false" outlineLevel="0" collapsed="false">
      <c r="B3742" s="19" t="s">
        <v>18281</v>
      </c>
      <c r="C3742" s="20" t="n">
        <f aca="false">ROUND(136.5/FX,2)</f>
        <v>18.96</v>
      </c>
      <c r="D3742" s="21" t="s">
        <v>18282</v>
      </c>
      <c r="E3742" s="21" t="s">
        <v>17115</v>
      </c>
      <c r="F3742" s="21" t="s">
        <v>18283</v>
      </c>
      <c r="G3742" s="21" t="s">
        <v>13025</v>
      </c>
    </row>
    <row r="3743" customFormat="false" ht="15" hidden="false" customHeight="false" outlineLevel="0" collapsed="false">
      <c r="B3743" s="19" t="s">
        <v>18284</v>
      </c>
      <c r="C3743" s="20" t="n">
        <f aca="false">ROUND(20/FX,2)</f>
        <v>2.78</v>
      </c>
      <c r="D3743" s="21" t="s">
        <v>18285</v>
      </c>
      <c r="E3743" s="21" t="s">
        <v>734</v>
      </c>
      <c r="F3743" s="21" t="s">
        <v>17200</v>
      </c>
      <c r="G3743" s="21" t="s">
        <v>13025</v>
      </c>
    </row>
    <row r="3744" customFormat="false" ht="15" hidden="false" customHeight="false" outlineLevel="0" collapsed="false">
      <c r="B3744" s="19" t="s">
        <v>18286</v>
      </c>
      <c r="C3744" s="20" t="n">
        <f aca="false">ROUND(22/FX,2)</f>
        <v>3.06</v>
      </c>
      <c r="D3744" s="21" t="s">
        <v>18285</v>
      </c>
      <c r="E3744" s="21" t="s">
        <v>17113</v>
      </c>
      <c r="F3744" s="21" t="s">
        <v>17200</v>
      </c>
      <c r="G3744" s="21" t="s">
        <v>13025</v>
      </c>
    </row>
    <row r="3745" customFormat="false" ht="28.35" hidden="false" customHeight="false" outlineLevel="0" collapsed="false">
      <c r="B3745" s="19" t="s">
        <v>18287</v>
      </c>
      <c r="C3745" s="20" t="n">
        <f aca="false">ROUND(136.5/FX,2)</f>
        <v>18.96</v>
      </c>
      <c r="D3745" s="21" t="s">
        <v>18285</v>
      </c>
      <c r="E3745" s="21" t="s">
        <v>17117</v>
      </c>
      <c r="F3745" s="21" t="s">
        <v>17200</v>
      </c>
      <c r="G3745" s="21" t="s">
        <v>13025</v>
      </c>
    </row>
    <row r="3746" customFormat="false" ht="15" hidden="false" customHeight="false" outlineLevel="0" collapsed="false">
      <c r="B3746" s="19" t="s">
        <v>18288</v>
      </c>
      <c r="C3746" s="20" t="n">
        <f aca="false">ROUND(6.61/FX,2)</f>
        <v>0.92</v>
      </c>
      <c r="D3746" s="21" t="s">
        <v>18289</v>
      </c>
      <c r="E3746" s="21" t="s">
        <v>734</v>
      </c>
      <c r="F3746" s="21" t="s">
        <v>17386</v>
      </c>
      <c r="G3746" s="21" t="s">
        <v>13025</v>
      </c>
    </row>
    <row r="3747" customFormat="false" ht="15" hidden="false" customHeight="false" outlineLevel="0" collapsed="false">
      <c r="B3747" s="19" t="s">
        <v>18290</v>
      </c>
      <c r="C3747" s="20" t="n">
        <f aca="false">ROUND(14.3/FX,2)</f>
        <v>1.99</v>
      </c>
      <c r="D3747" s="21" t="s">
        <v>18289</v>
      </c>
      <c r="E3747" s="21" t="s">
        <v>17113</v>
      </c>
      <c r="F3747" s="21" t="s">
        <v>17386</v>
      </c>
      <c r="G3747" s="21" t="s">
        <v>13025</v>
      </c>
    </row>
    <row r="3748" customFormat="false" ht="28.35" hidden="false" customHeight="false" outlineLevel="0" collapsed="false">
      <c r="B3748" s="19" t="s">
        <v>18291</v>
      </c>
      <c r="C3748" s="20" t="n">
        <f aca="false">ROUND(84.5/FX,2)</f>
        <v>11.74</v>
      </c>
      <c r="D3748" s="21" t="s">
        <v>18289</v>
      </c>
      <c r="E3748" s="21" t="s">
        <v>17117</v>
      </c>
      <c r="F3748" s="21" t="s">
        <v>17195</v>
      </c>
      <c r="G3748" s="21" t="s">
        <v>13025</v>
      </c>
    </row>
    <row r="3749" customFormat="false" ht="28.35" hidden="false" customHeight="false" outlineLevel="0" collapsed="false">
      <c r="B3749" s="19" t="s">
        <v>18292</v>
      </c>
      <c r="C3749" s="20" t="n">
        <f aca="false">ROUND(100.1/FX,2)</f>
        <v>13.9</v>
      </c>
      <c r="D3749" s="21" t="s">
        <v>18293</v>
      </c>
      <c r="E3749" s="21" t="s">
        <v>17115</v>
      </c>
      <c r="F3749" s="21" t="s">
        <v>17215</v>
      </c>
      <c r="G3749" s="21" t="s">
        <v>13025</v>
      </c>
    </row>
    <row r="3750" customFormat="false" ht="28.35" hidden="false" customHeight="false" outlineLevel="0" collapsed="false">
      <c r="B3750" s="19" t="s">
        <v>18294</v>
      </c>
      <c r="C3750" s="20" t="n">
        <f aca="false">ROUND(169/FX,2)</f>
        <v>23.47</v>
      </c>
      <c r="D3750" s="21" t="s">
        <v>18295</v>
      </c>
      <c r="E3750" s="21" t="s">
        <v>17115</v>
      </c>
      <c r="F3750" s="21" t="s">
        <v>17218</v>
      </c>
      <c r="G3750" s="21" t="s">
        <v>13025</v>
      </c>
    </row>
    <row r="3751" customFormat="false" ht="15" hidden="false" customHeight="false" outlineLevel="0" collapsed="false">
      <c r="B3751" s="19" t="s">
        <v>18296</v>
      </c>
      <c r="C3751" s="20" t="n">
        <f aca="false">ROUND(25/FX,2)</f>
        <v>3.47</v>
      </c>
      <c r="D3751" s="21" t="s">
        <v>18297</v>
      </c>
      <c r="E3751" s="21" t="s">
        <v>734</v>
      </c>
      <c r="F3751" s="21" t="s">
        <v>17218</v>
      </c>
      <c r="G3751" s="21" t="s">
        <v>13025</v>
      </c>
    </row>
    <row r="3752" customFormat="false" ht="15" hidden="false" customHeight="false" outlineLevel="0" collapsed="false">
      <c r="B3752" s="19" t="s">
        <v>18298</v>
      </c>
      <c r="C3752" s="20" t="n">
        <f aca="false">ROUND(28.6/FX,2)</f>
        <v>3.97</v>
      </c>
      <c r="D3752" s="21" t="s">
        <v>18297</v>
      </c>
      <c r="E3752" s="21" t="s">
        <v>17113</v>
      </c>
      <c r="F3752" s="21" t="s">
        <v>17218</v>
      </c>
      <c r="G3752" s="21" t="s">
        <v>13025</v>
      </c>
    </row>
    <row r="3753" customFormat="false" ht="28.35" hidden="false" customHeight="false" outlineLevel="0" collapsed="false">
      <c r="B3753" s="19" t="s">
        <v>18299</v>
      </c>
      <c r="C3753" s="20" t="n">
        <f aca="false">ROUND(169/FX,2)</f>
        <v>23.47</v>
      </c>
      <c r="D3753" s="21" t="s">
        <v>18297</v>
      </c>
      <c r="E3753" s="21" t="s">
        <v>17117</v>
      </c>
      <c r="F3753" s="21" t="s">
        <v>17218</v>
      </c>
      <c r="G3753" s="21" t="s">
        <v>13025</v>
      </c>
    </row>
    <row r="3754" customFormat="false" ht="15" hidden="false" customHeight="false" outlineLevel="0" collapsed="false">
      <c r="B3754" s="19" t="s">
        <v>18300</v>
      </c>
      <c r="C3754" s="20" t="n">
        <f aca="false">ROUND(9.75/FX,2)</f>
        <v>1.35</v>
      </c>
      <c r="D3754" s="21" t="s">
        <v>18301</v>
      </c>
      <c r="E3754" s="21" t="s">
        <v>734</v>
      </c>
      <c r="F3754" s="21" t="s">
        <v>17215</v>
      </c>
      <c r="G3754" s="21" t="s">
        <v>13025</v>
      </c>
    </row>
    <row r="3755" customFormat="false" ht="15" hidden="false" customHeight="false" outlineLevel="0" collapsed="false">
      <c r="B3755" s="19" t="s">
        <v>18302</v>
      </c>
      <c r="C3755" s="20" t="n">
        <f aca="false">ROUND(9.84/FX,2)</f>
        <v>1.37</v>
      </c>
      <c r="D3755" s="21" t="s">
        <v>18301</v>
      </c>
      <c r="E3755" s="21" t="s">
        <v>17113</v>
      </c>
      <c r="F3755" s="21" t="s">
        <v>17215</v>
      </c>
      <c r="G3755" s="21" t="s">
        <v>13025</v>
      </c>
    </row>
    <row r="3756" customFormat="false" ht="15" hidden="false" customHeight="false" outlineLevel="0" collapsed="false">
      <c r="B3756" s="19" t="s">
        <v>18303</v>
      </c>
      <c r="C3756" s="20" t="n">
        <f aca="false">ROUND(14.3/FX,2)</f>
        <v>1.99</v>
      </c>
      <c r="D3756" s="21" t="s">
        <v>18301</v>
      </c>
      <c r="E3756" s="21" t="s">
        <v>17172</v>
      </c>
      <c r="F3756" s="21" t="s">
        <v>17215</v>
      </c>
      <c r="G3756" s="21" t="s">
        <v>13025</v>
      </c>
    </row>
    <row r="3757" customFormat="false" ht="28.35" hidden="false" customHeight="false" outlineLevel="0" collapsed="false">
      <c r="B3757" s="19" t="s">
        <v>18304</v>
      </c>
      <c r="C3757" s="20" t="n">
        <f aca="false">ROUND(100.1/FX,2)</f>
        <v>13.9</v>
      </c>
      <c r="D3757" s="21" t="s">
        <v>18301</v>
      </c>
      <c r="E3757" s="21" t="s">
        <v>17117</v>
      </c>
      <c r="F3757" s="21" t="s">
        <v>17215</v>
      </c>
      <c r="G3757" s="21" t="s">
        <v>13025</v>
      </c>
    </row>
    <row r="3758" customFormat="false" ht="28.35" hidden="false" customHeight="false" outlineLevel="0" collapsed="false">
      <c r="B3758" s="19" t="s">
        <v>18305</v>
      </c>
      <c r="C3758" s="20" t="n">
        <f aca="false">ROUND(162.5/FX,2)</f>
        <v>22.57</v>
      </c>
      <c r="D3758" s="21" t="s">
        <v>18306</v>
      </c>
      <c r="E3758" s="21" t="s">
        <v>17115</v>
      </c>
      <c r="F3758" s="21" t="s">
        <v>17239</v>
      </c>
      <c r="G3758" s="21" t="s">
        <v>13025</v>
      </c>
    </row>
    <row r="3759" customFormat="false" ht="28.35" hidden="false" customHeight="false" outlineLevel="0" collapsed="false">
      <c r="B3759" s="19" t="s">
        <v>18307</v>
      </c>
      <c r="C3759" s="20" t="n">
        <f aca="false">ROUND(253.5/FX,2)</f>
        <v>35.21</v>
      </c>
      <c r="D3759" s="21" t="s">
        <v>18308</v>
      </c>
      <c r="E3759" s="21" t="s">
        <v>17115</v>
      </c>
      <c r="F3759" s="21" t="s">
        <v>17234</v>
      </c>
      <c r="G3759" s="21" t="s">
        <v>13025</v>
      </c>
    </row>
    <row r="3760" customFormat="false" ht="15" hidden="false" customHeight="false" outlineLevel="0" collapsed="false">
      <c r="B3760" s="19" t="s">
        <v>18309</v>
      </c>
      <c r="C3760" s="20" t="n">
        <f aca="false">ROUND(39/FX,2)</f>
        <v>5.42</v>
      </c>
      <c r="D3760" s="21" t="s">
        <v>18310</v>
      </c>
      <c r="E3760" s="21" t="s">
        <v>734</v>
      </c>
      <c r="F3760" s="21" t="s">
        <v>17234</v>
      </c>
      <c r="G3760" s="21" t="s">
        <v>13025</v>
      </c>
    </row>
    <row r="3761" customFormat="false" ht="15" hidden="false" customHeight="false" outlineLevel="0" collapsed="false">
      <c r="B3761" s="19" t="s">
        <v>18311</v>
      </c>
      <c r="C3761" s="20" t="n">
        <f aca="false">ROUND(40/FX,2)</f>
        <v>5.56</v>
      </c>
      <c r="D3761" s="21" t="s">
        <v>18310</v>
      </c>
      <c r="E3761" s="21" t="s">
        <v>17113</v>
      </c>
      <c r="F3761" s="21" t="s">
        <v>17234</v>
      </c>
      <c r="G3761" s="21" t="s">
        <v>13025</v>
      </c>
    </row>
    <row r="3762" customFormat="false" ht="28.35" hidden="false" customHeight="false" outlineLevel="0" collapsed="false">
      <c r="B3762" s="19" t="s">
        <v>18312</v>
      </c>
      <c r="C3762" s="20" t="n">
        <f aca="false">ROUND(253.5/FX,2)</f>
        <v>35.21</v>
      </c>
      <c r="D3762" s="21" t="s">
        <v>18310</v>
      </c>
      <c r="E3762" s="21" t="s">
        <v>17117</v>
      </c>
      <c r="F3762" s="21" t="s">
        <v>17234</v>
      </c>
      <c r="G3762" s="21" t="s">
        <v>13025</v>
      </c>
    </row>
    <row r="3763" customFormat="false" ht="15" hidden="false" customHeight="false" outlineLevel="0" collapsed="false">
      <c r="B3763" s="19" t="s">
        <v>18313</v>
      </c>
      <c r="C3763" s="20" t="n">
        <f aca="false">ROUND(22.1/FX,2)</f>
        <v>3.07</v>
      </c>
      <c r="D3763" s="21" t="s">
        <v>18314</v>
      </c>
      <c r="E3763" s="21" t="s">
        <v>734</v>
      </c>
      <c r="F3763" s="21" t="s">
        <v>17239</v>
      </c>
      <c r="G3763" s="21" t="s">
        <v>13025</v>
      </c>
    </row>
    <row r="3764" customFormat="false" ht="15" hidden="false" customHeight="false" outlineLevel="0" collapsed="false">
      <c r="B3764" s="19" t="s">
        <v>18315</v>
      </c>
      <c r="C3764" s="20" t="n">
        <f aca="false">ROUND(26/FX,2)</f>
        <v>3.61</v>
      </c>
      <c r="D3764" s="21" t="s">
        <v>18314</v>
      </c>
      <c r="E3764" s="21" t="s">
        <v>17113</v>
      </c>
      <c r="F3764" s="21" t="s">
        <v>17239</v>
      </c>
      <c r="G3764" s="21" t="s">
        <v>13025</v>
      </c>
    </row>
    <row r="3765" customFormat="false" ht="28.35" hidden="false" customHeight="false" outlineLevel="0" collapsed="false">
      <c r="B3765" s="19" t="s">
        <v>18316</v>
      </c>
      <c r="C3765" s="20" t="n">
        <f aca="false">ROUND(156/FX,2)</f>
        <v>21.67</v>
      </c>
      <c r="D3765" s="21" t="s">
        <v>18314</v>
      </c>
      <c r="E3765" s="21" t="s">
        <v>17117</v>
      </c>
      <c r="F3765" s="21" t="s">
        <v>17239</v>
      </c>
      <c r="G3765" s="21" t="s">
        <v>13025</v>
      </c>
    </row>
    <row r="3766" customFormat="false" ht="28.35" hidden="false" customHeight="false" outlineLevel="0" collapsed="false">
      <c r="B3766" s="19" t="s">
        <v>18317</v>
      </c>
      <c r="C3766" s="20" t="n">
        <f aca="false">ROUND(221/FX,2)</f>
        <v>30.69</v>
      </c>
      <c r="D3766" s="21" t="s">
        <v>18318</v>
      </c>
      <c r="E3766" s="21" t="s">
        <v>17115</v>
      </c>
      <c r="F3766" s="21" t="s">
        <v>17255</v>
      </c>
      <c r="G3766" s="21" t="s">
        <v>13025</v>
      </c>
    </row>
    <row r="3767" customFormat="false" ht="28.35" hidden="false" customHeight="false" outlineLevel="0" collapsed="false">
      <c r="B3767" s="19" t="s">
        <v>18319</v>
      </c>
      <c r="C3767" s="20" t="n">
        <f aca="false">ROUND(331.5/FX,2)</f>
        <v>46.04</v>
      </c>
      <c r="D3767" s="21" t="s">
        <v>18320</v>
      </c>
      <c r="E3767" s="21" t="s">
        <v>17115</v>
      </c>
      <c r="F3767" s="21" t="s">
        <v>17250</v>
      </c>
      <c r="G3767" s="21" t="s">
        <v>13025</v>
      </c>
    </row>
    <row r="3768" customFormat="false" ht="15" hidden="false" customHeight="false" outlineLevel="0" collapsed="false">
      <c r="B3768" s="19" t="s">
        <v>18321</v>
      </c>
      <c r="C3768" s="20" t="n">
        <f aca="false">ROUND(54/FX,2)</f>
        <v>7.5</v>
      </c>
      <c r="D3768" s="21" t="s">
        <v>18322</v>
      </c>
      <c r="E3768" s="21" t="s">
        <v>734</v>
      </c>
      <c r="F3768" s="21" t="s">
        <v>17250</v>
      </c>
      <c r="G3768" s="21" t="s">
        <v>13025</v>
      </c>
    </row>
    <row r="3769" customFormat="false" ht="15" hidden="false" customHeight="false" outlineLevel="0" collapsed="false">
      <c r="B3769" s="19" t="s">
        <v>18323</v>
      </c>
      <c r="C3769" s="20" t="n">
        <f aca="false">ROUND(60/FX,2)</f>
        <v>8.33</v>
      </c>
      <c r="D3769" s="21" t="s">
        <v>18322</v>
      </c>
      <c r="E3769" s="21" t="s">
        <v>17113</v>
      </c>
      <c r="F3769" s="21" t="s">
        <v>17250</v>
      </c>
      <c r="G3769" s="21" t="s">
        <v>13025</v>
      </c>
    </row>
    <row r="3770" customFormat="false" ht="28.35" hidden="false" customHeight="false" outlineLevel="0" collapsed="false">
      <c r="B3770" s="19" t="s">
        <v>18324</v>
      </c>
      <c r="C3770" s="20" t="n">
        <f aca="false">ROUND(331.5/FX,2)</f>
        <v>46.04</v>
      </c>
      <c r="D3770" s="21" t="s">
        <v>18322</v>
      </c>
      <c r="E3770" s="21" t="s">
        <v>17117</v>
      </c>
      <c r="F3770" s="21" t="s">
        <v>17250</v>
      </c>
      <c r="G3770" s="21" t="s">
        <v>13025</v>
      </c>
    </row>
    <row r="3771" customFormat="false" ht="15" hidden="false" customHeight="false" outlineLevel="0" collapsed="false">
      <c r="B3771" s="19" t="s">
        <v>18325</v>
      </c>
      <c r="C3771" s="20" t="n">
        <f aca="false">ROUND(36.4/FX,2)</f>
        <v>5.06</v>
      </c>
      <c r="D3771" s="21" t="s">
        <v>18326</v>
      </c>
      <c r="E3771" s="21" t="s">
        <v>734</v>
      </c>
      <c r="F3771" s="21" t="s">
        <v>17255</v>
      </c>
      <c r="G3771" s="21" t="s">
        <v>13025</v>
      </c>
    </row>
    <row r="3772" customFormat="false" ht="15" hidden="false" customHeight="false" outlineLevel="0" collapsed="false">
      <c r="B3772" s="19" t="s">
        <v>18327</v>
      </c>
      <c r="C3772" s="20" t="n">
        <f aca="false">ROUND(37.7/FX,2)</f>
        <v>5.24</v>
      </c>
      <c r="D3772" s="21" t="s">
        <v>18326</v>
      </c>
      <c r="E3772" s="21" t="s">
        <v>17113</v>
      </c>
      <c r="F3772" s="21" t="s">
        <v>17255</v>
      </c>
      <c r="G3772" s="21" t="s">
        <v>13025</v>
      </c>
    </row>
    <row r="3773" customFormat="false" ht="28.35" hidden="false" customHeight="false" outlineLevel="0" collapsed="false">
      <c r="B3773" s="19" t="s">
        <v>18328</v>
      </c>
      <c r="C3773" s="20" t="n">
        <f aca="false">ROUND(208/FX,2)</f>
        <v>28.89</v>
      </c>
      <c r="D3773" s="21" t="s">
        <v>18326</v>
      </c>
      <c r="E3773" s="21" t="s">
        <v>17117</v>
      </c>
      <c r="F3773" s="21" t="s">
        <v>17255</v>
      </c>
      <c r="G3773" s="21" t="s">
        <v>13025</v>
      </c>
    </row>
    <row r="3774" customFormat="false" ht="15" hidden="false" customHeight="false" outlineLevel="0" collapsed="false">
      <c r="B3774" s="19" t="s">
        <v>18329</v>
      </c>
      <c r="C3774" s="20" t="n">
        <f aca="false">ROUND(186/FX,2)</f>
        <v>25.83</v>
      </c>
      <c r="D3774" s="21" t="s">
        <v>18330</v>
      </c>
      <c r="E3774" s="21" t="s">
        <v>734</v>
      </c>
      <c r="F3774" s="21" t="s">
        <v>17268</v>
      </c>
      <c r="G3774" s="21" t="s">
        <v>13025</v>
      </c>
    </row>
    <row r="3775" customFormat="false" ht="15" hidden="false" customHeight="false" outlineLevel="0" collapsed="false">
      <c r="B3775" s="19" t="s">
        <v>18331</v>
      </c>
      <c r="C3775" s="20" t="n">
        <f aca="false">ROUND(200/FX,2)</f>
        <v>27.78</v>
      </c>
      <c r="D3775" s="21" t="s">
        <v>18330</v>
      </c>
      <c r="E3775" s="21" t="s">
        <v>17113</v>
      </c>
      <c r="F3775" s="21" t="s">
        <v>17268</v>
      </c>
      <c r="G3775" s="21" t="s">
        <v>13025</v>
      </c>
    </row>
    <row r="3776" customFormat="false" ht="15" hidden="false" customHeight="false" outlineLevel="0" collapsed="false">
      <c r="B3776" s="19" t="s">
        <v>18332</v>
      </c>
      <c r="C3776" s="20" t="n">
        <f aca="false">ROUND(78/FX,2)</f>
        <v>10.83</v>
      </c>
      <c r="D3776" s="21" t="s">
        <v>18333</v>
      </c>
      <c r="E3776" s="21" t="s">
        <v>734</v>
      </c>
      <c r="F3776" s="21" t="s">
        <v>17272</v>
      </c>
      <c r="G3776" s="21" t="s">
        <v>13025</v>
      </c>
    </row>
    <row r="3777" customFormat="false" ht="15" hidden="false" customHeight="false" outlineLevel="0" collapsed="false">
      <c r="B3777" s="19" t="s">
        <v>18334</v>
      </c>
      <c r="C3777" s="20" t="n">
        <f aca="false">ROUND(95/FX,2)</f>
        <v>13.19</v>
      </c>
      <c r="D3777" s="21" t="s">
        <v>18333</v>
      </c>
      <c r="E3777" s="21" t="s">
        <v>17113</v>
      </c>
      <c r="F3777" s="21" t="s">
        <v>17272</v>
      </c>
      <c r="G3777" s="21" t="s">
        <v>13025</v>
      </c>
    </row>
    <row r="3778" customFormat="false" ht="15" hidden="false" customHeight="false" outlineLevel="0" collapsed="false">
      <c r="B3778" s="19" t="s">
        <v>18335</v>
      </c>
      <c r="C3778" s="20" t="n">
        <f aca="false">ROUND(210/FX,2)</f>
        <v>29.17</v>
      </c>
      <c r="D3778" s="21" t="s">
        <v>18336</v>
      </c>
      <c r="E3778" s="21" t="s">
        <v>734</v>
      </c>
      <c r="F3778" s="21" t="s">
        <v>17282</v>
      </c>
      <c r="G3778" s="21" t="s">
        <v>13025</v>
      </c>
    </row>
    <row r="3779" customFormat="false" ht="15" hidden="false" customHeight="false" outlineLevel="0" collapsed="false">
      <c r="B3779" s="19" t="s">
        <v>18337</v>
      </c>
      <c r="C3779" s="20" t="n">
        <f aca="false">ROUND(99/FX,2)</f>
        <v>13.75</v>
      </c>
      <c r="D3779" s="21" t="s">
        <v>18338</v>
      </c>
      <c r="E3779" s="21" t="s">
        <v>734</v>
      </c>
      <c r="F3779" s="21" t="s">
        <v>17285</v>
      </c>
      <c r="G3779" s="21" t="s">
        <v>13025</v>
      </c>
    </row>
    <row r="3780" customFormat="false" ht="15" hidden="false" customHeight="false" outlineLevel="0" collapsed="false">
      <c r="B3780" s="19" t="s">
        <v>18339</v>
      </c>
      <c r="C3780" s="20" t="n">
        <f aca="false">ROUND(7.8/FX,2)</f>
        <v>1.08</v>
      </c>
      <c r="D3780" s="21" t="s">
        <v>18340</v>
      </c>
      <c r="E3780" s="21" t="s">
        <v>734</v>
      </c>
      <c r="F3780" s="21" t="s">
        <v>17289</v>
      </c>
      <c r="G3780" s="21" t="s">
        <v>13025</v>
      </c>
    </row>
    <row r="3781" customFormat="false" ht="15" hidden="false" customHeight="false" outlineLevel="0" collapsed="false">
      <c r="B3781" s="19" t="s">
        <v>18341</v>
      </c>
      <c r="C3781" s="20" t="n">
        <f aca="false">ROUND(7.5/FX,2)</f>
        <v>1.04</v>
      </c>
      <c r="D3781" s="21" t="s">
        <v>18340</v>
      </c>
      <c r="E3781" s="21" t="s">
        <v>17113</v>
      </c>
      <c r="F3781" s="21" t="s">
        <v>17289</v>
      </c>
      <c r="G3781" s="21" t="s">
        <v>13025</v>
      </c>
    </row>
    <row r="3782" customFormat="false" ht="15" hidden="false" customHeight="false" outlineLevel="0" collapsed="false">
      <c r="B3782" s="19" t="s">
        <v>18342</v>
      </c>
      <c r="C3782" s="20" t="n">
        <f aca="false">ROUND(3.9/FX,2)</f>
        <v>0.54</v>
      </c>
      <c r="D3782" s="21" t="s">
        <v>18343</v>
      </c>
      <c r="E3782" s="21" t="s">
        <v>734</v>
      </c>
      <c r="F3782" s="21" t="s">
        <v>17293</v>
      </c>
      <c r="G3782" s="21" t="s">
        <v>13025</v>
      </c>
    </row>
    <row r="3783" customFormat="false" ht="15" hidden="false" customHeight="false" outlineLevel="0" collapsed="false">
      <c r="B3783" s="19" t="s">
        <v>18344</v>
      </c>
      <c r="C3783" s="20" t="n">
        <f aca="false">ROUND(4.68/FX,2)</f>
        <v>0.65</v>
      </c>
      <c r="D3783" s="21" t="s">
        <v>18343</v>
      </c>
      <c r="E3783" s="21" t="s">
        <v>17113</v>
      </c>
      <c r="F3783" s="21" t="s">
        <v>17293</v>
      </c>
      <c r="G3783" s="21" t="s">
        <v>13025</v>
      </c>
    </row>
    <row r="3784" customFormat="false" ht="28.35" hidden="false" customHeight="false" outlineLevel="0" collapsed="false">
      <c r="B3784" s="19" t="s">
        <v>18345</v>
      </c>
      <c r="C3784" s="20" t="n">
        <f aca="false">ROUND(31.2/FX,2)</f>
        <v>4.33</v>
      </c>
      <c r="D3784" s="21" t="s">
        <v>18346</v>
      </c>
      <c r="E3784" s="21" t="s">
        <v>17115</v>
      </c>
      <c r="F3784" s="21" t="s">
        <v>17303</v>
      </c>
      <c r="G3784" s="21" t="s">
        <v>13025</v>
      </c>
    </row>
    <row r="3785" customFormat="false" ht="28.35" hidden="false" customHeight="false" outlineLevel="0" collapsed="false">
      <c r="B3785" s="19" t="s">
        <v>18347</v>
      </c>
      <c r="C3785" s="20" t="n">
        <f aca="false">ROUND(50.7/FX,2)</f>
        <v>7.04</v>
      </c>
      <c r="D3785" s="21" t="s">
        <v>18348</v>
      </c>
      <c r="E3785" s="21" t="s">
        <v>17115</v>
      </c>
      <c r="F3785" s="21" t="s">
        <v>17306</v>
      </c>
      <c r="G3785" s="21" t="s">
        <v>13025</v>
      </c>
    </row>
    <row r="3786" customFormat="false" ht="15" hidden="false" customHeight="false" outlineLevel="0" collapsed="false">
      <c r="B3786" s="19" t="s">
        <v>18349</v>
      </c>
      <c r="C3786" s="20" t="n">
        <f aca="false">ROUND(7.28/FX,2)</f>
        <v>1.01</v>
      </c>
      <c r="D3786" s="21" t="s">
        <v>18350</v>
      </c>
      <c r="E3786" s="21" t="s">
        <v>734</v>
      </c>
      <c r="F3786" s="21" t="s">
        <v>17306</v>
      </c>
      <c r="G3786" s="21" t="s">
        <v>13025</v>
      </c>
    </row>
    <row r="3787" customFormat="false" ht="15" hidden="false" customHeight="false" outlineLevel="0" collapsed="false">
      <c r="B3787" s="19" t="s">
        <v>18351</v>
      </c>
      <c r="C3787" s="20" t="n">
        <f aca="false">ROUND(7.67/FX,2)</f>
        <v>1.07</v>
      </c>
      <c r="D3787" s="21" t="s">
        <v>18350</v>
      </c>
      <c r="E3787" s="21" t="s">
        <v>17113</v>
      </c>
      <c r="F3787" s="21" t="s">
        <v>17306</v>
      </c>
      <c r="G3787" s="21" t="s">
        <v>13025</v>
      </c>
    </row>
    <row r="3788" customFormat="false" ht="28.35" hidden="false" customHeight="false" outlineLevel="0" collapsed="false">
      <c r="B3788" s="19" t="s">
        <v>18352</v>
      </c>
      <c r="C3788" s="20" t="n">
        <f aca="false">ROUND(48.1/FX,2)</f>
        <v>6.68</v>
      </c>
      <c r="D3788" s="21" t="s">
        <v>18350</v>
      </c>
      <c r="E3788" s="21" t="s">
        <v>17117</v>
      </c>
      <c r="F3788" s="21" t="s">
        <v>17306</v>
      </c>
      <c r="G3788" s="21" t="s">
        <v>13025</v>
      </c>
    </row>
    <row r="3789" customFormat="false" ht="15" hidden="false" customHeight="false" outlineLevel="0" collapsed="false">
      <c r="B3789" s="19" t="s">
        <v>18353</v>
      </c>
      <c r="C3789" s="20" t="n">
        <f aca="false">ROUND(4.62/FX,2)</f>
        <v>0.64</v>
      </c>
      <c r="D3789" s="21" t="s">
        <v>18354</v>
      </c>
      <c r="E3789" s="21" t="s">
        <v>734</v>
      </c>
      <c r="F3789" s="21" t="s">
        <v>17311</v>
      </c>
      <c r="G3789" s="21" t="s">
        <v>13025</v>
      </c>
    </row>
    <row r="3790" customFormat="false" ht="15" hidden="false" customHeight="false" outlineLevel="0" collapsed="false">
      <c r="B3790" s="19" t="s">
        <v>18355</v>
      </c>
      <c r="C3790" s="20" t="n">
        <f aca="false">ROUND(8.71/FX,2)</f>
        <v>1.21</v>
      </c>
      <c r="D3790" s="21" t="s">
        <v>18354</v>
      </c>
      <c r="E3790" s="21" t="s">
        <v>17113</v>
      </c>
      <c r="F3790" s="21" t="s">
        <v>17311</v>
      </c>
      <c r="G3790" s="21" t="s">
        <v>13025</v>
      </c>
    </row>
    <row r="3791" customFormat="false" ht="15" hidden="false" customHeight="false" outlineLevel="0" collapsed="false">
      <c r="B3791" s="19" t="s">
        <v>18356</v>
      </c>
      <c r="C3791" s="20" t="n">
        <f aca="false">ROUND(4.16/FX,2)</f>
        <v>0.58</v>
      </c>
      <c r="D3791" s="21" t="s">
        <v>18357</v>
      </c>
      <c r="E3791" s="21" t="s">
        <v>734</v>
      </c>
      <c r="F3791" s="21" t="s">
        <v>17303</v>
      </c>
      <c r="G3791" s="21" t="s">
        <v>13025</v>
      </c>
    </row>
    <row r="3792" customFormat="false" ht="15" hidden="false" customHeight="false" outlineLevel="0" collapsed="false">
      <c r="B3792" s="19" t="s">
        <v>18358</v>
      </c>
      <c r="C3792" s="20" t="n">
        <f aca="false">ROUND(4.94/FX,2)</f>
        <v>0.69</v>
      </c>
      <c r="D3792" s="21" t="s">
        <v>18357</v>
      </c>
      <c r="E3792" s="21" t="s">
        <v>17113</v>
      </c>
      <c r="F3792" s="21" t="s">
        <v>17303</v>
      </c>
      <c r="G3792" s="21" t="s">
        <v>13025</v>
      </c>
    </row>
    <row r="3793" customFormat="false" ht="28.35" hidden="false" customHeight="false" outlineLevel="0" collapsed="false">
      <c r="B3793" s="19" t="s">
        <v>18359</v>
      </c>
      <c r="C3793" s="20" t="n">
        <f aca="false">ROUND(26.65/FX,2)</f>
        <v>3.7</v>
      </c>
      <c r="D3793" s="21" t="s">
        <v>18357</v>
      </c>
      <c r="E3793" s="21" t="s">
        <v>17117</v>
      </c>
      <c r="F3793" s="21" t="s">
        <v>17303</v>
      </c>
      <c r="G3793" s="21" t="s">
        <v>13025</v>
      </c>
    </row>
    <row r="3794" customFormat="false" ht="15" hidden="false" customHeight="false" outlineLevel="0" collapsed="false">
      <c r="B3794" s="19" t="s">
        <v>18360</v>
      </c>
      <c r="C3794" s="20" t="n">
        <f aca="false">ROUND(6.5/FX,2)</f>
        <v>0.9</v>
      </c>
      <c r="D3794" s="21" t="s">
        <v>18361</v>
      </c>
      <c r="E3794" s="21" t="s">
        <v>18362</v>
      </c>
      <c r="F3794" s="21" t="s">
        <v>17111</v>
      </c>
      <c r="G3794" s="21" t="s">
        <v>18057</v>
      </c>
    </row>
    <row r="3795" customFormat="false" ht="15" hidden="false" customHeight="false" outlineLevel="0" collapsed="false">
      <c r="B3795" s="19" t="s">
        <v>18363</v>
      </c>
      <c r="C3795" s="20" t="n">
        <f aca="false">ROUND(10.14/FX,2)</f>
        <v>1.41</v>
      </c>
      <c r="D3795" s="21" t="s">
        <v>18361</v>
      </c>
      <c r="E3795" s="21" t="s">
        <v>18364</v>
      </c>
      <c r="F3795" s="21" t="s">
        <v>17111</v>
      </c>
      <c r="G3795" s="21" t="s">
        <v>18057</v>
      </c>
    </row>
    <row r="3796" customFormat="false" ht="15" hidden="false" customHeight="false" outlineLevel="0" collapsed="false">
      <c r="B3796" s="19" t="s">
        <v>18365</v>
      </c>
      <c r="C3796" s="20" t="n">
        <f aca="false">ROUND(4.42/FX,2)</f>
        <v>0.61</v>
      </c>
      <c r="D3796" s="21" t="s">
        <v>18366</v>
      </c>
      <c r="E3796" s="21" t="s">
        <v>18362</v>
      </c>
      <c r="F3796" s="21" t="s">
        <v>17120</v>
      </c>
      <c r="G3796" s="21" t="s">
        <v>18057</v>
      </c>
    </row>
    <row r="3797" customFormat="false" ht="15" hidden="false" customHeight="false" outlineLevel="0" collapsed="false">
      <c r="B3797" s="19" t="s">
        <v>18367</v>
      </c>
      <c r="C3797" s="20" t="n">
        <f aca="false">ROUND(4.81/FX,2)</f>
        <v>0.67</v>
      </c>
      <c r="D3797" s="21" t="s">
        <v>18366</v>
      </c>
      <c r="E3797" s="21" t="s">
        <v>18364</v>
      </c>
      <c r="F3797" s="21" t="s">
        <v>17120</v>
      </c>
      <c r="G3797" s="21" t="s">
        <v>18057</v>
      </c>
    </row>
    <row r="3798" customFormat="false" ht="15" hidden="false" customHeight="false" outlineLevel="0" collapsed="false">
      <c r="B3798" s="19" t="s">
        <v>18368</v>
      </c>
      <c r="C3798" s="20" t="n">
        <f aca="false">ROUND(5.46/FX,2)</f>
        <v>0.76</v>
      </c>
      <c r="D3798" s="21" t="s">
        <v>18366</v>
      </c>
      <c r="E3798" s="21" t="s">
        <v>18369</v>
      </c>
      <c r="F3798" s="21" t="s">
        <v>17120</v>
      </c>
      <c r="G3798" s="21" t="s">
        <v>18057</v>
      </c>
    </row>
    <row r="3799" customFormat="false" ht="15" hidden="false" customHeight="false" outlineLevel="0" collapsed="false">
      <c r="B3799" s="19" t="s">
        <v>18370</v>
      </c>
      <c r="C3799" s="20" t="n">
        <f aca="false">ROUND(6.5/FX,2)</f>
        <v>0.9</v>
      </c>
      <c r="D3799" s="21" t="s">
        <v>18371</v>
      </c>
      <c r="E3799" s="21" t="s">
        <v>18362</v>
      </c>
      <c r="F3799" s="21" t="s">
        <v>17131</v>
      </c>
      <c r="G3799" s="21" t="s">
        <v>18057</v>
      </c>
    </row>
    <row r="3800" customFormat="false" ht="15" hidden="false" customHeight="false" outlineLevel="0" collapsed="false">
      <c r="B3800" s="19" t="s">
        <v>18372</v>
      </c>
      <c r="C3800" s="20" t="n">
        <f aca="false">ROUND(10.4/FX,2)</f>
        <v>1.44</v>
      </c>
      <c r="D3800" s="21" t="s">
        <v>18371</v>
      </c>
      <c r="E3800" s="21" t="s">
        <v>18364</v>
      </c>
      <c r="F3800" s="21" t="s">
        <v>17131</v>
      </c>
      <c r="G3800" s="21" t="s">
        <v>18057</v>
      </c>
    </row>
    <row r="3801" customFormat="false" ht="15" hidden="false" customHeight="false" outlineLevel="0" collapsed="false">
      <c r="B3801" s="19" t="s">
        <v>18373</v>
      </c>
      <c r="C3801" s="20" t="n">
        <f aca="false">ROUND(6.5/FX,2)</f>
        <v>0.9</v>
      </c>
      <c r="D3801" s="21" t="s">
        <v>18374</v>
      </c>
      <c r="E3801" s="21" t="s">
        <v>18362</v>
      </c>
      <c r="F3801" s="21" t="s">
        <v>17137</v>
      </c>
      <c r="G3801" s="21" t="s">
        <v>18057</v>
      </c>
    </row>
    <row r="3802" customFormat="false" ht="15" hidden="false" customHeight="false" outlineLevel="0" collapsed="false">
      <c r="B3802" s="19" t="s">
        <v>18375</v>
      </c>
      <c r="C3802" s="20" t="n">
        <f aca="false">ROUND(4.81/FX,2)</f>
        <v>0.67</v>
      </c>
      <c r="D3802" s="21" t="s">
        <v>18374</v>
      </c>
      <c r="E3802" s="21" t="s">
        <v>18364</v>
      </c>
      <c r="F3802" s="21" t="s">
        <v>17137</v>
      </c>
      <c r="G3802" s="21" t="s">
        <v>18057</v>
      </c>
    </row>
    <row r="3803" customFormat="false" ht="15" hidden="false" customHeight="false" outlineLevel="0" collapsed="false">
      <c r="B3803" s="19" t="s">
        <v>18376</v>
      </c>
      <c r="C3803" s="20" t="n">
        <f aca="false">ROUND(13/FX,2)</f>
        <v>1.81</v>
      </c>
      <c r="D3803" s="21" t="s">
        <v>18377</v>
      </c>
      <c r="E3803" s="21" t="s">
        <v>18362</v>
      </c>
      <c r="F3803" s="21" t="s">
        <v>17147</v>
      </c>
      <c r="G3803" s="21" t="s">
        <v>18057</v>
      </c>
    </row>
    <row r="3804" customFormat="false" ht="15" hidden="false" customHeight="false" outlineLevel="0" collapsed="false">
      <c r="B3804" s="19" t="s">
        <v>18378</v>
      </c>
      <c r="C3804" s="20" t="n">
        <f aca="false">ROUND(7.5/FX,2)</f>
        <v>1.04</v>
      </c>
      <c r="D3804" s="21" t="s">
        <v>18379</v>
      </c>
      <c r="E3804" s="21" t="s">
        <v>18362</v>
      </c>
      <c r="F3804" s="21" t="s">
        <v>17150</v>
      </c>
      <c r="G3804" s="21" t="s">
        <v>18057</v>
      </c>
    </row>
    <row r="3805" customFormat="false" ht="15" hidden="false" customHeight="false" outlineLevel="0" collapsed="false">
      <c r="B3805" s="19" t="s">
        <v>18380</v>
      </c>
      <c r="C3805" s="20" t="n">
        <f aca="false">ROUND(6.5/FX,2)</f>
        <v>0.9</v>
      </c>
      <c r="D3805" s="21" t="s">
        <v>18379</v>
      </c>
      <c r="E3805" s="21" t="s">
        <v>18364</v>
      </c>
      <c r="F3805" s="21" t="s">
        <v>17150</v>
      </c>
      <c r="G3805" s="21" t="s">
        <v>18057</v>
      </c>
    </row>
    <row r="3806" customFormat="false" ht="15" hidden="false" customHeight="false" outlineLevel="0" collapsed="false">
      <c r="B3806" s="19" t="s">
        <v>18381</v>
      </c>
      <c r="C3806" s="20" t="n">
        <f aca="false">ROUND(14.95/FX,2)</f>
        <v>2.08</v>
      </c>
      <c r="D3806" s="21" t="s">
        <v>18382</v>
      </c>
      <c r="E3806" s="21" t="s">
        <v>18383</v>
      </c>
      <c r="F3806" s="21" t="s">
        <v>17158</v>
      </c>
      <c r="G3806" s="21" t="s">
        <v>18057</v>
      </c>
    </row>
    <row r="3807" customFormat="false" ht="15" hidden="false" customHeight="false" outlineLevel="0" collapsed="false">
      <c r="B3807" s="19" t="s">
        <v>18384</v>
      </c>
      <c r="C3807" s="20" t="n">
        <f aca="false">ROUND(20.15/FX,2)</f>
        <v>2.8</v>
      </c>
      <c r="D3807" s="21" t="s">
        <v>18382</v>
      </c>
      <c r="E3807" s="21" t="s">
        <v>18385</v>
      </c>
      <c r="F3807" s="21" t="s">
        <v>17158</v>
      </c>
      <c r="G3807" s="21" t="s">
        <v>18057</v>
      </c>
    </row>
    <row r="3808" customFormat="false" ht="15" hidden="false" customHeight="false" outlineLevel="0" collapsed="false">
      <c r="B3808" s="19" t="s">
        <v>18386</v>
      </c>
      <c r="C3808" s="20" t="n">
        <f aca="false">ROUND(7.15/FX,2)</f>
        <v>0.99</v>
      </c>
      <c r="D3808" s="21" t="s">
        <v>18387</v>
      </c>
      <c r="E3808" s="21" t="s">
        <v>18383</v>
      </c>
      <c r="F3808" s="21" t="s">
        <v>17155</v>
      </c>
      <c r="G3808" s="21" t="s">
        <v>18057</v>
      </c>
    </row>
    <row r="3809" customFormat="false" ht="15" hidden="false" customHeight="false" outlineLevel="0" collapsed="false">
      <c r="B3809" s="19" t="s">
        <v>18388</v>
      </c>
      <c r="C3809" s="20" t="n">
        <f aca="false">ROUND(9.88/FX,2)</f>
        <v>1.37</v>
      </c>
      <c r="D3809" s="21" t="s">
        <v>18387</v>
      </c>
      <c r="E3809" s="21" t="s">
        <v>18385</v>
      </c>
      <c r="F3809" s="21" t="s">
        <v>17155</v>
      </c>
      <c r="G3809" s="21" t="s">
        <v>18057</v>
      </c>
    </row>
    <row r="3810" customFormat="false" ht="15" hidden="false" customHeight="false" outlineLevel="0" collapsed="false">
      <c r="B3810" s="19" t="s">
        <v>18389</v>
      </c>
      <c r="C3810" s="20" t="n">
        <f aca="false">ROUND(9.1/FX,2)</f>
        <v>1.26</v>
      </c>
      <c r="D3810" s="21" t="s">
        <v>18390</v>
      </c>
      <c r="E3810" s="21" t="s">
        <v>18383</v>
      </c>
      <c r="F3810" s="21" t="s">
        <v>17180</v>
      </c>
      <c r="G3810" s="21" t="s">
        <v>18057</v>
      </c>
    </row>
    <row r="3811" customFormat="false" ht="15" hidden="false" customHeight="false" outlineLevel="0" collapsed="false">
      <c r="B3811" s="19" t="s">
        <v>18391</v>
      </c>
      <c r="C3811" s="20" t="n">
        <f aca="false">ROUND(15.6/FX,2)</f>
        <v>2.17</v>
      </c>
      <c r="D3811" s="21" t="s">
        <v>18390</v>
      </c>
      <c r="E3811" s="21" t="s">
        <v>18385</v>
      </c>
      <c r="F3811" s="21" t="s">
        <v>17180</v>
      </c>
      <c r="G3811" s="21" t="s">
        <v>18057</v>
      </c>
    </row>
    <row r="3812" customFormat="false" ht="15" hidden="false" customHeight="false" outlineLevel="0" collapsed="false">
      <c r="B3812" s="19" t="s">
        <v>18392</v>
      </c>
      <c r="C3812" s="20" t="n">
        <f aca="false">ROUND(7.8/FX,2)</f>
        <v>1.08</v>
      </c>
      <c r="D3812" s="21" t="s">
        <v>18393</v>
      </c>
      <c r="E3812" s="21" t="s">
        <v>18383</v>
      </c>
      <c r="F3812" s="21" t="s">
        <v>17175</v>
      </c>
      <c r="G3812" s="21" t="s">
        <v>18057</v>
      </c>
    </row>
    <row r="3813" customFormat="false" ht="15" hidden="false" customHeight="false" outlineLevel="0" collapsed="false">
      <c r="B3813" s="19" t="s">
        <v>18394</v>
      </c>
      <c r="C3813" s="20" t="n">
        <f aca="false">ROUND(9.88/FX,2)</f>
        <v>1.37</v>
      </c>
      <c r="D3813" s="21" t="s">
        <v>18393</v>
      </c>
      <c r="E3813" s="21" t="s">
        <v>18385</v>
      </c>
      <c r="F3813" s="21" t="s">
        <v>17175</v>
      </c>
      <c r="G3813" s="21" t="s">
        <v>18057</v>
      </c>
    </row>
    <row r="3814" customFormat="false" ht="15" hidden="false" customHeight="false" outlineLevel="0" collapsed="false">
      <c r="B3814" s="19" t="s">
        <v>18395</v>
      </c>
      <c r="C3814" s="20" t="n">
        <f aca="false">ROUND(22.88/FX,2)</f>
        <v>3.18</v>
      </c>
      <c r="D3814" s="21" t="s">
        <v>18396</v>
      </c>
      <c r="E3814" s="21" t="s">
        <v>18383</v>
      </c>
      <c r="F3814" s="21" t="s">
        <v>17200</v>
      </c>
      <c r="G3814" s="21" t="s">
        <v>18057</v>
      </c>
    </row>
    <row r="3815" customFormat="false" ht="15" hidden="false" customHeight="false" outlineLevel="0" collapsed="false">
      <c r="B3815" s="19" t="s">
        <v>18397</v>
      </c>
      <c r="C3815" s="20" t="n">
        <f aca="false">ROUND(28.6/FX,2)</f>
        <v>3.97</v>
      </c>
      <c r="D3815" s="21" t="s">
        <v>18396</v>
      </c>
      <c r="E3815" s="21" t="s">
        <v>18385</v>
      </c>
      <c r="F3815" s="21" t="s">
        <v>17200</v>
      </c>
      <c r="G3815" s="21" t="s">
        <v>18057</v>
      </c>
    </row>
    <row r="3816" customFormat="false" ht="15" hidden="false" customHeight="false" outlineLevel="0" collapsed="false">
      <c r="B3816" s="19" t="s">
        <v>18398</v>
      </c>
      <c r="C3816" s="20" t="n">
        <f aca="false">ROUND(12.35/FX,2)</f>
        <v>1.72</v>
      </c>
      <c r="D3816" s="21" t="s">
        <v>18399</v>
      </c>
      <c r="E3816" s="21" t="s">
        <v>18383</v>
      </c>
      <c r="F3816" s="21" t="s">
        <v>17386</v>
      </c>
      <c r="G3816" s="21" t="s">
        <v>18057</v>
      </c>
    </row>
    <row r="3817" customFormat="false" ht="15" hidden="false" customHeight="false" outlineLevel="0" collapsed="false">
      <c r="B3817" s="19" t="s">
        <v>18400</v>
      </c>
      <c r="C3817" s="20" t="n">
        <f aca="false">ROUND(14.3/FX,2)</f>
        <v>1.99</v>
      </c>
      <c r="D3817" s="21" t="s">
        <v>18399</v>
      </c>
      <c r="E3817" s="21" t="s">
        <v>18385</v>
      </c>
      <c r="F3817" s="21" t="s">
        <v>17386</v>
      </c>
      <c r="G3817" s="21" t="s">
        <v>18057</v>
      </c>
    </row>
    <row r="3818" customFormat="false" ht="15" hidden="false" customHeight="false" outlineLevel="0" collapsed="false">
      <c r="B3818" s="19" t="s">
        <v>18401</v>
      </c>
      <c r="C3818" s="20" t="n">
        <f aca="false">ROUND(29.9/FX,2)</f>
        <v>4.15</v>
      </c>
      <c r="D3818" s="21" t="s">
        <v>18402</v>
      </c>
      <c r="E3818" s="21" t="s">
        <v>18383</v>
      </c>
      <c r="F3818" s="21" t="s">
        <v>17218</v>
      </c>
      <c r="G3818" s="21" t="s">
        <v>18057</v>
      </c>
    </row>
    <row r="3819" customFormat="false" ht="15" hidden="false" customHeight="false" outlineLevel="0" collapsed="false">
      <c r="B3819" s="19" t="s">
        <v>18403</v>
      </c>
      <c r="C3819" s="20" t="n">
        <f aca="false">ROUND(40.3/FX,2)</f>
        <v>5.6</v>
      </c>
      <c r="D3819" s="21" t="s">
        <v>18402</v>
      </c>
      <c r="E3819" s="21" t="s">
        <v>18385</v>
      </c>
      <c r="F3819" s="21" t="s">
        <v>17218</v>
      </c>
      <c r="G3819" s="21" t="s">
        <v>18057</v>
      </c>
    </row>
    <row r="3820" customFormat="false" ht="15" hidden="false" customHeight="false" outlineLevel="0" collapsed="false">
      <c r="B3820" s="19" t="s">
        <v>18404</v>
      </c>
      <c r="C3820" s="20" t="n">
        <f aca="false">ROUND(16/FX,2)</f>
        <v>2.22</v>
      </c>
      <c r="D3820" s="21" t="s">
        <v>18405</v>
      </c>
      <c r="E3820" s="21" t="s">
        <v>18383</v>
      </c>
      <c r="F3820" s="21" t="s">
        <v>17215</v>
      </c>
      <c r="G3820" s="21" t="s">
        <v>18057</v>
      </c>
    </row>
    <row r="3821" customFormat="false" ht="15" hidden="false" customHeight="false" outlineLevel="0" collapsed="false">
      <c r="B3821" s="19" t="s">
        <v>18406</v>
      </c>
      <c r="C3821" s="20" t="n">
        <f aca="false">ROUND(13.65/FX,2)</f>
        <v>1.9</v>
      </c>
      <c r="D3821" s="21" t="s">
        <v>18405</v>
      </c>
      <c r="E3821" s="21" t="s">
        <v>18385</v>
      </c>
      <c r="F3821" s="21" t="s">
        <v>17215</v>
      </c>
      <c r="G3821" s="21" t="s">
        <v>18057</v>
      </c>
    </row>
    <row r="3822" customFormat="false" ht="15" hidden="false" customHeight="false" outlineLevel="0" collapsed="false">
      <c r="B3822" s="19" t="s">
        <v>18407</v>
      </c>
      <c r="C3822" s="20" t="n">
        <f aca="false">ROUND(44.2/FX,2)</f>
        <v>6.14</v>
      </c>
      <c r="D3822" s="21" t="s">
        <v>18408</v>
      </c>
      <c r="E3822" s="21" t="s">
        <v>18383</v>
      </c>
      <c r="F3822" s="21" t="s">
        <v>17234</v>
      </c>
      <c r="G3822" s="21" t="s">
        <v>18057</v>
      </c>
    </row>
    <row r="3823" customFormat="false" ht="15" hidden="false" customHeight="false" outlineLevel="0" collapsed="false">
      <c r="B3823" s="19" t="s">
        <v>18409</v>
      </c>
      <c r="C3823" s="20" t="n">
        <f aca="false">ROUND(52/FX,2)</f>
        <v>7.22</v>
      </c>
      <c r="D3823" s="21" t="s">
        <v>18408</v>
      </c>
      <c r="E3823" s="21" t="s">
        <v>18385</v>
      </c>
      <c r="F3823" s="21" t="s">
        <v>17234</v>
      </c>
      <c r="G3823" s="21" t="s">
        <v>18057</v>
      </c>
    </row>
    <row r="3824" customFormat="false" ht="15" hidden="false" customHeight="false" outlineLevel="0" collapsed="false">
      <c r="B3824" s="19" t="s">
        <v>18410</v>
      </c>
      <c r="C3824" s="20" t="n">
        <f aca="false">ROUND(23/FX,2)</f>
        <v>3.19</v>
      </c>
      <c r="D3824" s="21" t="s">
        <v>18411</v>
      </c>
      <c r="E3824" s="21" t="s">
        <v>18383</v>
      </c>
      <c r="F3824" s="21" t="s">
        <v>17239</v>
      </c>
      <c r="G3824" s="21" t="s">
        <v>18057</v>
      </c>
    </row>
    <row r="3825" customFormat="false" ht="15" hidden="false" customHeight="false" outlineLevel="0" collapsed="false">
      <c r="B3825" s="19" t="s">
        <v>18412</v>
      </c>
      <c r="C3825" s="20" t="n">
        <f aca="false">ROUND(21.45/FX,2)</f>
        <v>2.98</v>
      </c>
      <c r="D3825" s="21" t="s">
        <v>18411</v>
      </c>
      <c r="E3825" s="21" t="s">
        <v>18385</v>
      </c>
      <c r="F3825" s="21" t="s">
        <v>17239</v>
      </c>
      <c r="G3825" s="21" t="s">
        <v>18057</v>
      </c>
    </row>
    <row r="3826" customFormat="false" ht="15" hidden="false" customHeight="false" outlineLevel="0" collapsed="false">
      <c r="B3826" s="19" t="s">
        <v>18413</v>
      </c>
      <c r="C3826" s="20" t="n">
        <f aca="false">ROUND(59.8/FX,2)</f>
        <v>8.31</v>
      </c>
      <c r="D3826" s="21" t="s">
        <v>18414</v>
      </c>
      <c r="E3826" s="21" t="s">
        <v>18383</v>
      </c>
      <c r="F3826" s="21" t="s">
        <v>17250</v>
      </c>
      <c r="G3826" s="21" t="s">
        <v>18057</v>
      </c>
    </row>
    <row r="3827" customFormat="false" ht="15" hidden="false" customHeight="false" outlineLevel="0" collapsed="false">
      <c r="B3827" s="19" t="s">
        <v>18415</v>
      </c>
      <c r="C3827" s="20" t="n">
        <f aca="false">ROUND(71.5/FX,2)</f>
        <v>9.93</v>
      </c>
      <c r="D3827" s="21" t="s">
        <v>18414</v>
      </c>
      <c r="E3827" s="21" t="s">
        <v>18385</v>
      </c>
      <c r="F3827" s="21" t="s">
        <v>17250</v>
      </c>
      <c r="G3827" s="21" t="s">
        <v>18057</v>
      </c>
    </row>
    <row r="3828" customFormat="false" ht="15" hidden="false" customHeight="false" outlineLevel="0" collapsed="false">
      <c r="B3828" s="19" t="s">
        <v>18416</v>
      </c>
      <c r="C3828" s="20" t="n">
        <f aca="false">ROUND(31/FX,2)</f>
        <v>4.31</v>
      </c>
      <c r="D3828" s="21" t="s">
        <v>18417</v>
      </c>
      <c r="E3828" s="21" t="s">
        <v>18383</v>
      </c>
      <c r="F3828" s="21" t="s">
        <v>17255</v>
      </c>
      <c r="G3828" s="21" t="s">
        <v>18057</v>
      </c>
    </row>
    <row r="3829" customFormat="false" ht="15" hidden="false" customHeight="false" outlineLevel="0" collapsed="false">
      <c r="B3829" s="19" t="s">
        <v>18418</v>
      </c>
      <c r="C3829" s="20" t="n">
        <f aca="false">ROUND(30.94/FX,2)</f>
        <v>4.3</v>
      </c>
      <c r="D3829" s="21" t="s">
        <v>18417</v>
      </c>
      <c r="E3829" s="21" t="s">
        <v>18385</v>
      </c>
      <c r="F3829" s="21" t="s">
        <v>17255</v>
      </c>
      <c r="G3829" s="21" t="s">
        <v>18057</v>
      </c>
    </row>
    <row r="3830" customFormat="false" ht="15" hidden="false" customHeight="false" outlineLevel="0" collapsed="false">
      <c r="B3830" s="19" t="s">
        <v>18419</v>
      </c>
      <c r="C3830" s="20" t="n">
        <f aca="false">ROUND(130/FX,2)</f>
        <v>18.06</v>
      </c>
      <c r="D3830" s="21" t="s">
        <v>18420</v>
      </c>
      <c r="E3830" s="21" t="s">
        <v>18383</v>
      </c>
      <c r="F3830" s="21" t="s">
        <v>17268</v>
      </c>
      <c r="G3830" s="21" t="s">
        <v>18057</v>
      </c>
    </row>
    <row r="3831" customFormat="false" ht="15" hidden="false" customHeight="false" outlineLevel="0" collapsed="false">
      <c r="B3831" s="19" t="s">
        <v>18421</v>
      </c>
      <c r="C3831" s="20" t="n">
        <f aca="false">ROUND(156/FX,2)</f>
        <v>21.67</v>
      </c>
      <c r="D3831" s="21" t="s">
        <v>18420</v>
      </c>
      <c r="E3831" s="21" t="s">
        <v>18385</v>
      </c>
      <c r="F3831" s="21" t="s">
        <v>17268</v>
      </c>
      <c r="G3831" s="21" t="s">
        <v>18057</v>
      </c>
    </row>
    <row r="3832" customFormat="false" ht="15" hidden="false" customHeight="false" outlineLevel="0" collapsed="false">
      <c r="B3832" s="19" t="s">
        <v>18422</v>
      </c>
      <c r="C3832" s="20" t="n">
        <f aca="false">ROUND(66.3/FX,2)</f>
        <v>9.21</v>
      </c>
      <c r="D3832" s="21" t="s">
        <v>18423</v>
      </c>
      <c r="E3832" s="21" t="s">
        <v>18383</v>
      </c>
      <c r="F3832" s="21" t="s">
        <v>17272</v>
      </c>
      <c r="G3832" s="21" t="s">
        <v>18057</v>
      </c>
    </row>
    <row r="3833" customFormat="false" ht="15" hidden="false" customHeight="false" outlineLevel="0" collapsed="false">
      <c r="B3833" s="19" t="s">
        <v>18424</v>
      </c>
      <c r="C3833" s="20" t="n">
        <f aca="false">ROUND(79.3/FX,2)</f>
        <v>11.01</v>
      </c>
      <c r="D3833" s="21" t="s">
        <v>18423</v>
      </c>
      <c r="E3833" s="21" t="s">
        <v>18385</v>
      </c>
      <c r="F3833" s="21" t="s">
        <v>17272</v>
      </c>
      <c r="G3833" s="21" t="s">
        <v>18057</v>
      </c>
    </row>
    <row r="3834" customFormat="false" ht="15" hidden="false" customHeight="false" outlineLevel="0" collapsed="false">
      <c r="B3834" s="19" t="s">
        <v>18425</v>
      </c>
      <c r="C3834" s="20" t="n">
        <f aca="false">ROUND(92.56/FX,2)</f>
        <v>12.86</v>
      </c>
      <c r="D3834" s="21" t="s">
        <v>18426</v>
      </c>
      <c r="E3834" s="21" t="s">
        <v>18383</v>
      </c>
      <c r="F3834" s="21" t="s">
        <v>17285</v>
      </c>
      <c r="G3834" s="21" t="s">
        <v>18057</v>
      </c>
    </row>
    <row r="3835" customFormat="false" ht="15" hidden="false" customHeight="false" outlineLevel="0" collapsed="false">
      <c r="B3835" s="19" t="s">
        <v>18427</v>
      </c>
      <c r="C3835" s="20" t="n">
        <f aca="false">ROUND(13/FX,2)</f>
        <v>1.81</v>
      </c>
      <c r="D3835" s="21" t="s">
        <v>18428</v>
      </c>
      <c r="E3835" s="21" t="s">
        <v>18362</v>
      </c>
      <c r="F3835" s="21" t="s">
        <v>18429</v>
      </c>
      <c r="G3835" s="21" t="s">
        <v>18057</v>
      </c>
    </row>
    <row r="3836" customFormat="false" ht="15" hidden="false" customHeight="false" outlineLevel="0" collapsed="false">
      <c r="B3836" s="19" t="s">
        <v>18430</v>
      </c>
      <c r="C3836" s="20" t="n">
        <f aca="false">ROUND(6.5/FX,2)</f>
        <v>0.9</v>
      </c>
      <c r="D3836" s="21" t="s">
        <v>18428</v>
      </c>
      <c r="E3836" s="21" t="s">
        <v>18362</v>
      </c>
      <c r="F3836" s="21" t="s">
        <v>17289</v>
      </c>
      <c r="G3836" s="21" t="s">
        <v>18057</v>
      </c>
    </row>
    <row r="3837" customFormat="false" ht="15" hidden="false" customHeight="false" outlineLevel="0" collapsed="false">
      <c r="B3837" s="19" t="s">
        <v>18431</v>
      </c>
      <c r="C3837" s="20" t="n">
        <f aca="false">ROUND(12.35/FX,2)</f>
        <v>1.72</v>
      </c>
      <c r="D3837" s="21" t="s">
        <v>18428</v>
      </c>
      <c r="E3837" s="21" t="s">
        <v>18364</v>
      </c>
      <c r="F3837" s="21" t="s">
        <v>17289</v>
      </c>
      <c r="G3837" s="21" t="s">
        <v>18057</v>
      </c>
    </row>
    <row r="3838" customFormat="false" ht="15" hidden="false" customHeight="false" outlineLevel="0" collapsed="false">
      <c r="B3838" s="19" t="s">
        <v>18432</v>
      </c>
      <c r="C3838" s="20" t="n">
        <f aca="false">ROUND(3.53/FX,2)</f>
        <v>0.49</v>
      </c>
      <c r="D3838" s="21" t="s">
        <v>18433</v>
      </c>
      <c r="E3838" s="21" t="s">
        <v>18362</v>
      </c>
      <c r="F3838" s="21" t="s">
        <v>17293</v>
      </c>
      <c r="G3838" s="21" t="s">
        <v>18057</v>
      </c>
    </row>
    <row r="3839" customFormat="false" ht="15" hidden="false" customHeight="false" outlineLevel="0" collapsed="false">
      <c r="B3839" s="19" t="s">
        <v>18434</v>
      </c>
      <c r="C3839" s="20" t="n">
        <f aca="false">ROUND(4.55/FX,2)</f>
        <v>0.63</v>
      </c>
      <c r="D3839" s="21" t="s">
        <v>18433</v>
      </c>
      <c r="E3839" s="21" t="s">
        <v>18364</v>
      </c>
      <c r="F3839" s="21" t="s">
        <v>17293</v>
      </c>
      <c r="G3839" s="21" t="s">
        <v>18057</v>
      </c>
    </row>
    <row r="3840" customFormat="false" ht="15" hidden="false" customHeight="false" outlineLevel="0" collapsed="false">
      <c r="B3840" s="19" t="s">
        <v>18435</v>
      </c>
      <c r="C3840" s="20" t="n">
        <f aca="false">ROUND(5.85/FX,2)</f>
        <v>0.81</v>
      </c>
      <c r="D3840" s="21" t="s">
        <v>18146</v>
      </c>
      <c r="E3840" s="21" t="s">
        <v>18362</v>
      </c>
      <c r="F3840" s="21" t="s">
        <v>17306</v>
      </c>
      <c r="G3840" s="21" t="s">
        <v>18057</v>
      </c>
    </row>
    <row r="3841" customFormat="false" ht="15" hidden="false" customHeight="false" outlineLevel="0" collapsed="false">
      <c r="B3841" s="19" t="s">
        <v>18436</v>
      </c>
      <c r="C3841" s="20" t="n">
        <f aca="false">ROUND(7.93/FX,2)</f>
        <v>1.1</v>
      </c>
      <c r="D3841" s="21" t="s">
        <v>18146</v>
      </c>
      <c r="E3841" s="21" t="s">
        <v>18364</v>
      </c>
      <c r="F3841" s="21" t="s">
        <v>17306</v>
      </c>
      <c r="G3841" s="21" t="s">
        <v>18057</v>
      </c>
    </row>
    <row r="3842" customFormat="false" ht="15" hidden="false" customHeight="false" outlineLevel="0" collapsed="false">
      <c r="B3842" s="19" t="s">
        <v>18437</v>
      </c>
      <c r="C3842" s="20" t="n">
        <f aca="false">ROUND(4.29/FX,2)</f>
        <v>0.6</v>
      </c>
      <c r="D3842" s="21" t="s">
        <v>18438</v>
      </c>
      <c r="E3842" s="21" t="s">
        <v>18362</v>
      </c>
      <c r="F3842" s="21" t="s">
        <v>17311</v>
      </c>
      <c r="G3842" s="21" t="s">
        <v>18057</v>
      </c>
    </row>
    <row r="3843" customFormat="false" ht="15" hidden="false" customHeight="false" outlineLevel="0" collapsed="false">
      <c r="B3843" s="19" t="s">
        <v>18439</v>
      </c>
      <c r="C3843" s="20" t="n">
        <f aca="false">ROUND(4.29/FX,2)</f>
        <v>0.6</v>
      </c>
      <c r="D3843" s="21" t="s">
        <v>18440</v>
      </c>
      <c r="E3843" s="21" t="s">
        <v>18362</v>
      </c>
      <c r="F3843" s="21" t="s">
        <v>17303</v>
      </c>
      <c r="G3843" s="21" t="s">
        <v>18057</v>
      </c>
    </row>
    <row r="3844" customFormat="false" ht="15" hidden="false" customHeight="false" outlineLevel="0" collapsed="false">
      <c r="B3844" s="19" t="s">
        <v>18441</v>
      </c>
      <c r="C3844" s="20" t="n">
        <f aca="false">ROUND(4.94/FX,2)</f>
        <v>0.69</v>
      </c>
      <c r="D3844" s="21" t="s">
        <v>18440</v>
      </c>
      <c r="E3844" s="21" t="s">
        <v>18364</v>
      </c>
      <c r="F3844" s="21" t="s">
        <v>17303</v>
      </c>
      <c r="G3844" s="21" t="s">
        <v>18057</v>
      </c>
    </row>
    <row r="3845" customFormat="false" ht="15" hidden="false" customHeight="false" outlineLevel="0" collapsed="false">
      <c r="B3845" s="19" t="s">
        <v>18442</v>
      </c>
      <c r="C3845" s="20" t="n">
        <f aca="false">ROUND(871/FX,2)</f>
        <v>120.97</v>
      </c>
      <c r="D3845" s="21" t="s">
        <v>18443</v>
      </c>
      <c r="E3845" s="21" t="s">
        <v>734</v>
      </c>
      <c r="F3845" s="21" t="s">
        <v>17106</v>
      </c>
      <c r="G3845" s="21" t="s">
        <v>14667</v>
      </c>
    </row>
    <row r="3846" customFormat="false" ht="15" hidden="false" customHeight="false" outlineLevel="0" collapsed="false">
      <c r="B3846" s="19" t="s">
        <v>18444</v>
      </c>
      <c r="C3846" s="20" t="n">
        <f aca="false">ROUND(6.96/FX,2)</f>
        <v>0.97</v>
      </c>
      <c r="D3846" s="21" t="s">
        <v>18445</v>
      </c>
      <c r="E3846" s="21" t="s">
        <v>734</v>
      </c>
      <c r="F3846" s="21" t="s">
        <v>17111</v>
      </c>
      <c r="G3846" s="21" t="s">
        <v>14667</v>
      </c>
    </row>
    <row r="3847" customFormat="false" ht="15" hidden="false" customHeight="false" outlineLevel="0" collapsed="false">
      <c r="B3847" s="19" t="s">
        <v>18446</v>
      </c>
      <c r="C3847" s="20" t="n">
        <f aca="false">ROUND(8.45/FX,2)</f>
        <v>1.17</v>
      </c>
      <c r="D3847" s="21" t="s">
        <v>18445</v>
      </c>
      <c r="E3847" s="21" t="s">
        <v>17113</v>
      </c>
      <c r="F3847" s="21" t="s">
        <v>17111</v>
      </c>
      <c r="G3847" s="21" t="s">
        <v>14667</v>
      </c>
    </row>
    <row r="3848" customFormat="false" ht="15" hidden="false" customHeight="false" outlineLevel="0" collapsed="false">
      <c r="B3848" s="19" t="s">
        <v>18447</v>
      </c>
      <c r="C3848" s="20" t="n">
        <f aca="false">ROUND(6.5/FX,2)</f>
        <v>0.9</v>
      </c>
      <c r="D3848" s="21" t="s">
        <v>18448</v>
      </c>
      <c r="E3848" s="21" t="s">
        <v>734</v>
      </c>
      <c r="F3848" s="21" t="s">
        <v>17120</v>
      </c>
      <c r="G3848" s="21" t="s">
        <v>14667</v>
      </c>
    </row>
    <row r="3849" customFormat="false" ht="15" hidden="false" customHeight="false" outlineLevel="0" collapsed="false">
      <c r="B3849" s="19" t="s">
        <v>18449</v>
      </c>
      <c r="C3849" s="20" t="n">
        <f aca="false">ROUND(6.76/FX,2)</f>
        <v>0.94</v>
      </c>
      <c r="D3849" s="21" t="s">
        <v>18448</v>
      </c>
      <c r="E3849" s="21" t="s">
        <v>17113</v>
      </c>
      <c r="F3849" s="21" t="s">
        <v>17120</v>
      </c>
      <c r="G3849" s="21" t="s">
        <v>14667</v>
      </c>
    </row>
    <row r="3850" customFormat="false" ht="15" hidden="false" customHeight="false" outlineLevel="0" collapsed="false">
      <c r="B3850" s="19" t="s">
        <v>18450</v>
      </c>
      <c r="C3850" s="20" t="n">
        <f aca="false">ROUND(8.32/FX,2)</f>
        <v>1.16</v>
      </c>
      <c r="D3850" s="21" t="s">
        <v>18451</v>
      </c>
      <c r="E3850" s="21" t="s">
        <v>734</v>
      </c>
      <c r="F3850" s="21" t="s">
        <v>17131</v>
      </c>
      <c r="G3850" s="21" t="s">
        <v>14667</v>
      </c>
    </row>
    <row r="3851" customFormat="false" ht="15" hidden="false" customHeight="false" outlineLevel="0" collapsed="false">
      <c r="B3851" s="19" t="s">
        <v>18452</v>
      </c>
      <c r="C3851" s="20" t="n">
        <f aca="false">ROUND(9.1/FX,2)</f>
        <v>1.26</v>
      </c>
      <c r="D3851" s="21" t="s">
        <v>18451</v>
      </c>
      <c r="E3851" s="21" t="s">
        <v>17113</v>
      </c>
      <c r="F3851" s="21" t="s">
        <v>17131</v>
      </c>
      <c r="G3851" s="21" t="s">
        <v>14667</v>
      </c>
    </row>
    <row r="3852" customFormat="false" ht="15" hidden="false" customHeight="false" outlineLevel="0" collapsed="false">
      <c r="B3852" s="19" t="s">
        <v>18453</v>
      </c>
      <c r="C3852" s="20" t="n">
        <f aca="false">ROUND(5.85/FX,2)</f>
        <v>0.81</v>
      </c>
      <c r="D3852" s="21" t="s">
        <v>18454</v>
      </c>
      <c r="E3852" s="21" t="s">
        <v>734</v>
      </c>
      <c r="F3852" s="21" t="s">
        <v>17137</v>
      </c>
      <c r="G3852" s="21" t="s">
        <v>14667</v>
      </c>
    </row>
    <row r="3853" customFormat="false" ht="15" hidden="false" customHeight="false" outlineLevel="0" collapsed="false">
      <c r="B3853" s="19" t="s">
        <v>18455</v>
      </c>
      <c r="C3853" s="20" t="n">
        <f aca="false">ROUND(5.85/FX,2)</f>
        <v>0.81</v>
      </c>
      <c r="D3853" s="21" t="s">
        <v>18454</v>
      </c>
      <c r="E3853" s="21" t="s">
        <v>17113</v>
      </c>
      <c r="F3853" s="21" t="s">
        <v>17137</v>
      </c>
      <c r="G3853" s="21" t="s">
        <v>14667</v>
      </c>
    </row>
    <row r="3854" customFormat="false" ht="15" hidden="false" customHeight="false" outlineLevel="0" collapsed="false">
      <c r="B3854" s="19" t="s">
        <v>18456</v>
      </c>
      <c r="C3854" s="20" t="n">
        <f aca="false">ROUND(4.55/FX,2)</f>
        <v>0.63</v>
      </c>
      <c r="D3854" s="21" t="s">
        <v>18457</v>
      </c>
      <c r="E3854" s="21" t="s">
        <v>734</v>
      </c>
      <c r="F3854" s="21" t="s">
        <v>17147</v>
      </c>
      <c r="G3854" s="21" t="s">
        <v>14667</v>
      </c>
    </row>
    <row r="3855" customFormat="false" ht="15" hidden="false" customHeight="false" outlineLevel="0" collapsed="false">
      <c r="B3855" s="19" t="s">
        <v>18458</v>
      </c>
      <c r="C3855" s="20" t="n">
        <f aca="false">ROUND(16.9/FX,2)</f>
        <v>2.35</v>
      </c>
      <c r="D3855" s="21" t="s">
        <v>18457</v>
      </c>
      <c r="E3855" s="21" t="s">
        <v>17113</v>
      </c>
      <c r="F3855" s="21" t="s">
        <v>17147</v>
      </c>
      <c r="G3855" s="21" t="s">
        <v>14667</v>
      </c>
    </row>
    <row r="3856" customFormat="false" ht="15" hidden="false" customHeight="false" outlineLevel="0" collapsed="false">
      <c r="B3856" s="19" t="s">
        <v>18459</v>
      </c>
      <c r="C3856" s="20" t="n">
        <f aca="false">ROUND(7.8/FX,2)</f>
        <v>1.08</v>
      </c>
      <c r="D3856" s="21" t="s">
        <v>18460</v>
      </c>
      <c r="E3856" s="21" t="s">
        <v>734</v>
      </c>
      <c r="F3856" s="21" t="s">
        <v>17150</v>
      </c>
      <c r="G3856" s="21" t="s">
        <v>14667</v>
      </c>
    </row>
    <row r="3857" customFormat="false" ht="15" hidden="false" customHeight="false" outlineLevel="0" collapsed="false">
      <c r="B3857" s="19" t="s">
        <v>18461</v>
      </c>
      <c r="C3857" s="20" t="n">
        <f aca="false">ROUND(10.14/FX,2)</f>
        <v>1.41</v>
      </c>
      <c r="D3857" s="21" t="s">
        <v>18460</v>
      </c>
      <c r="E3857" s="21" t="s">
        <v>17113</v>
      </c>
      <c r="F3857" s="21" t="s">
        <v>17150</v>
      </c>
      <c r="G3857" s="21" t="s">
        <v>14667</v>
      </c>
    </row>
    <row r="3858" customFormat="false" ht="15" hidden="false" customHeight="false" outlineLevel="0" collapsed="false">
      <c r="B3858" s="19" t="s">
        <v>18462</v>
      </c>
      <c r="C3858" s="20" t="n">
        <f aca="false">ROUND(8.45/FX,2)</f>
        <v>1.17</v>
      </c>
      <c r="D3858" s="21" t="s">
        <v>18463</v>
      </c>
      <c r="E3858" s="21" t="s">
        <v>734</v>
      </c>
      <c r="F3858" s="21" t="s">
        <v>17158</v>
      </c>
      <c r="G3858" s="21" t="s">
        <v>14667</v>
      </c>
    </row>
    <row r="3859" customFormat="false" ht="15" hidden="false" customHeight="false" outlineLevel="0" collapsed="false">
      <c r="B3859" s="19" t="s">
        <v>18464</v>
      </c>
      <c r="C3859" s="20" t="n">
        <f aca="false">ROUND(20.15/FX,2)</f>
        <v>2.8</v>
      </c>
      <c r="D3859" s="21" t="s">
        <v>18463</v>
      </c>
      <c r="E3859" s="21" t="s">
        <v>17113</v>
      </c>
      <c r="F3859" s="21" t="s">
        <v>17158</v>
      </c>
      <c r="G3859" s="21" t="s">
        <v>14667</v>
      </c>
    </row>
    <row r="3860" customFormat="false" ht="15" hidden="false" customHeight="false" outlineLevel="0" collapsed="false">
      <c r="B3860" s="19" t="s">
        <v>18465</v>
      </c>
      <c r="C3860" s="20" t="n">
        <f aca="false">ROUND(4.67/FX,2)</f>
        <v>0.65</v>
      </c>
      <c r="D3860" s="21" t="s">
        <v>18466</v>
      </c>
      <c r="E3860" s="21" t="s">
        <v>734</v>
      </c>
      <c r="F3860" s="21" t="s">
        <v>17155</v>
      </c>
      <c r="G3860" s="21" t="s">
        <v>14667</v>
      </c>
    </row>
    <row r="3861" customFormat="false" ht="15" hidden="false" customHeight="false" outlineLevel="0" collapsed="false">
      <c r="B3861" s="19" t="s">
        <v>18467</v>
      </c>
      <c r="C3861" s="20" t="n">
        <f aca="false">ROUND(10/FX,2)</f>
        <v>1.39</v>
      </c>
      <c r="D3861" s="21" t="s">
        <v>18466</v>
      </c>
      <c r="E3861" s="21" t="s">
        <v>17113</v>
      </c>
      <c r="F3861" s="21" t="s">
        <v>17155</v>
      </c>
      <c r="G3861" s="21" t="s">
        <v>14667</v>
      </c>
    </row>
    <row r="3862" customFormat="false" ht="15" hidden="false" customHeight="false" outlineLevel="0" collapsed="false">
      <c r="B3862" s="19" t="s">
        <v>18468</v>
      </c>
      <c r="C3862" s="20" t="n">
        <f aca="false">ROUND(8.45/FX,2)</f>
        <v>1.17</v>
      </c>
      <c r="D3862" s="21" t="s">
        <v>18469</v>
      </c>
      <c r="E3862" s="21" t="s">
        <v>734</v>
      </c>
      <c r="F3862" s="21" t="s">
        <v>17180</v>
      </c>
      <c r="G3862" s="21" t="s">
        <v>14667</v>
      </c>
    </row>
    <row r="3863" customFormat="false" ht="15" hidden="false" customHeight="false" outlineLevel="0" collapsed="false">
      <c r="B3863" s="19" t="s">
        <v>18470</v>
      </c>
      <c r="C3863" s="20" t="n">
        <f aca="false">ROUND(10.4/FX,2)</f>
        <v>1.44</v>
      </c>
      <c r="D3863" s="21" t="s">
        <v>18469</v>
      </c>
      <c r="E3863" s="21" t="s">
        <v>17113</v>
      </c>
      <c r="F3863" s="21" t="s">
        <v>17180</v>
      </c>
      <c r="G3863" s="21" t="s">
        <v>14667</v>
      </c>
    </row>
    <row r="3864" customFormat="false" ht="15" hidden="false" customHeight="false" outlineLevel="0" collapsed="false">
      <c r="B3864" s="19" t="s">
        <v>18471</v>
      </c>
      <c r="C3864" s="20" t="n">
        <f aca="false">ROUND(6.11/FX,2)</f>
        <v>0.85</v>
      </c>
      <c r="D3864" s="21" t="s">
        <v>18472</v>
      </c>
      <c r="E3864" s="21" t="s">
        <v>734</v>
      </c>
      <c r="F3864" s="21" t="s">
        <v>17175</v>
      </c>
      <c r="G3864" s="21" t="s">
        <v>14667</v>
      </c>
    </row>
    <row r="3865" customFormat="false" ht="15" hidden="false" customHeight="false" outlineLevel="0" collapsed="false">
      <c r="B3865" s="19" t="s">
        <v>18473</v>
      </c>
      <c r="C3865" s="20" t="n">
        <f aca="false">ROUND(10.01/FX,2)</f>
        <v>1.39</v>
      </c>
      <c r="D3865" s="21" t="s">
        <v>18472</v>
      </c>
      <c r="E3865" s="21" t="s">
        <v>17113</v>
      </c>
      <c r="F3865" s="21" t="s">
        <v>17175</v>
      </c>
      <c r="G3865" s="21" t="s">
        <v>14667</v>
      </c>
    </row>
    <row r="3866" customFormat="false" ht="15" hidden="false" customHeight="false" outlineLevel="0" collapsed="false">
      <c r="B3866" s="19" t="s">
        <v>18474</v>
      </c>
      <c r="C3866" s="20" t="n">
        <f aca="false">ROUND(21.19/FX,2)</f>
        <v>2.94</v>
      </c>
      <c r="D3866" s="21" t="s">
        <v>18475</v>
      </c>
      <c r="E3866" s="21" t="s">
        <v>734</v>
      </c>
      <c r="F3866" s="21" t="s">
        <v>17200</v>
      </c>
      <c r="G3866" s="21" t="s">
        <v>14667</v>
      </c>
    </row>
    <row r="3867" customFormat="false" ht="15" hidden="false" customHeight="false" outlineLevel="0" collapsed="false">
      <c r="B3867" s="19" t="s">
        <v>18476</v>
      </c>
      <c r="C3867" s="20" t="n">
        <f aca="false">ROUND(26.65/FX,2)</f>
        <v>3.7</v>
      </c>
      <c r="D3867" s="21" t="s">
        <v>18475</v>
      </c>
      <c r="E3867" s="21" t="s">
        <v>17113</v>
      </c>
      <c r="F3867" s="21" t="s">
        <v>17200</v>
      </c>
      <c r="G3867" s="21" t="s">
        <v>14667</v>
      </c>
    </row>
    <row r="3868" customFormat="false" ht="15" hidden="false" customHeight="false" outlineLevel="0" collapsed="false">
      <c r="B3868" s="19" t="s">
        <v>18477</v>
      </c>
      <c r="C3868" s="20" t="n">
        <f aca="false">ROUND(8.32/FX,2)</f>
        <v>1.16</v>
      </c>
      <c r="D3868" s="21" t="s">
        <v>18478</v>
      </c>
      <c r="E3868" s="21" t="s">
        <v>734</v>
      </c>
      <c r="F3868" s="21" t="s">
        <v>17195</v>
      </c>
      <c r="G3868" s="21" t="s">
        <v>14667</v>
      </c>
    </row>
    <row r="3869" customFormat="false" ht="15" hidden="false" customHeight="false" outlineLevel="0" collapsed="false">
      <c r="B3869" s="19" t="s">
        <v>18479</v>
      </c>
      <c r="C3869" s="20" t="n">
        <f aca="false">ROUND(14.3/FX,2)</f>
        <v>1.99</v>
      </c>
      <c r="D3869" s="21" t="s">
        <v>18478</v>
      </c>
      <c r="E3869" s="21" t="s">
        <v>17113</v>
      </c>
      <c r="F3869" s="21" t="s">
        <v>17195</v>
      </c>
      <c r="G3869" s="21" t="s">
        <v>14667</v>
      </c>
    </row>
    <row r="3870" customFormat="false" ht="15" hidden="false" customHeight="false" outlineLevel="0" collapsed="false">
      <c r="B3870" s="19" t="s">
        <v>18480</v>
      </c>
      <c r="C3870" s="20" t="n">
        <f aca="false">ROUND(17.03/FX,2)</f>
        <v>2.37</v>
      </c>
      <c r="D3870" s="21" t="s">
        <v>18481</v>
      </c>
      <c r="E3870" s="21" t="s">
        <v>734</v>
      </c>
      <c r="F3870" s="21" t="s">
        <v>17218</v>
      </c>
      <c r="G3870" s="21" t="s">
        <v>14667</v>
      </c>
    </row>
    <row r="3871" customFormat="false" ht="15" hidden="false" customHeight="false" outlineLevel="0" collapsed="false">
      <c r="B3871" s="19" t="s">
        <v>18482</v>
      </c>
      <c r="C3871" s="20" t="n">
        <f aca="false">ROUND(30/FX,2)</f>
        <v>4.17</v>
      </c>
      <c r="D3871" s="21" t="s">
        <v>18481</v>
      </c>
      <c r="E3871" s="21" t="s">
        <v>17113</v>
      </c>
      <c r="F3871" s="21" t="s">
        <v>17218</v>
      </c>
      <c r="G3871" s="21" t="s">
        <v>14667</v>
      </c>
    </row>
    <row r="3872" customFormat="false" ht="15" hidden="false" customHeight="false" outlineLevel="0" collapsed="false">
      <c r="B3872" s="19" t="s">
        <v>18483</v>
      </c>
      <c r="C3872" s="20" t="n">
        <f aca="false">ROUND(11.7/FX,2)</f>
        <v>1.63</v>
      </c>
      <c r="D3872" s="21" t="s">
        <v>18484</v>
      </c>
      <c r="E3872" s="21" t="s">
        <v>734</v>
      </c>
      <c r="F3872" s="21" t="s">
        <v>17215</v>
      </c>
      <c r="G3872" s="21" t="s">
        <v>14667</v>
      </c>
    </row>
    <row r="3873" customFormat="false" ht="15" hidden="false" customHeight="false" outlineLevel="0" collapsed="false">
      <c r="B3873" s="19" t="s">
        <v>18485</v>
      </c>
      <c r="C3873" s="20" t="n">
        <f aca="false">ROUND(16.25/FX,2)</f>
        <v>2.26</v>
      </c>
      <c r="D3873" s="21" t="s">
        <v>18484</v>
      </c>
      <c r="E3873" s="21" t="s">
        <v>17113</v>
      </c>
      <c r="F3873" s="21" t="s">
        <v>17215</v>
      </c>
      <c r="G3873" s="21" t="s">
        <v>14667</v>
      </c>
    </row>
    <row r="3874" customFormat="false" ht="15" hidden="false" customHeight="false" outlineLevel="0" collapsed="false">
      <c r="B3874" s="19" t="s">
        <v>18486</v>
      </c>
      <c r="C3874" s="20" t="n">
        <f aca="false">ROUND(35.1/FX,2)</f>
        <v>4.88</v>
      </c>
      <c r="D3874" s="21" t="s">
        <v>18487</v>
      </c>
      <c r="E3874" s="21" t="s">
        <v>734</v>
      </c>
      <c r="F3874" s="21" t="s">
        <v>17234</v>
      </c>
      <c r="G3874" s="21" t="s">
        <v>14667</v>
      </c>
    </row>
    <row r="3875" customFormat="false" ht="15" hidden="false" customHeight="false" outlineLevel="0" collapsed="false">
      <c r="B3875" s="19" t="s">
        <v>18488</v>
      </c>
      <c r="C3875" s="20" t="n">
        <f aca="false">ROUND(42.25/FX,2)</f>
        <v>5.87</v>
      </c>
      <c r="D3875" s="21" t="s">
        <v>18487</v>
      </c>
      <c r="E3875" s="21" t="s">
        <v>17113</v>
      </c>
      <c r="F3875" s="21" t="s">
        <v>17234</v>
      </c>
      <c r="G3875" s="21" t="s">
        <v>14667</v>
      </c>
    </row>
    <row r="3876" customFormat="false" ht="15" hidden="false" customHeight="false" outlineLevel="0" collapsed="false">
      <c r="B3876" s="19" t="s">
        <v>18489</v>
      </c>
      <c r="C3876" s="20" t="n">
        <f aca="false">ROUND(21.45/FX,2)</f>
        <v>2.98</v>
      </c>
      <c r="D3876" s="21" t="s">
        <v>18490</v>
      </c>
      <c r="E3876" s="21" t="s">
        <v>734</v>
      </c>
      <c r="F3876" s="21" t="s">
        <v>17239</v>
      </c>
      <c r="G3876" s="21" t="s">
        <v>14667</v>
      </c>
    </row>
    <row r="3877" customFormat="false" ht="15" hidden="false" customHeight="false" outlineLevel="0" collapsed="false">
      <c r="B3877" s="19" t="s">
        <v>18491</v>
      </c>
      <c r="C3877" s="20" t="n">
        <f aca="false">ROUND(25.74/FX,2)</f>
        <v>3.58</v>
      </c>
      <c r="D3877" s="21" t="s">
        <v>18490</v>
      </c>
      <c r="E3877" s="21" t="s">
        <v>17113</v>
      </c>
      <c r="F3877" s="21" t="s">
        <v>17239</v>
      </c>
      <c r="G3877" s="21" t="s">
        <v>14667</v>
      </c>
    </row>
    <row r="3878" customFormat="false" ht="15" hidden="false" customHeight="false" outlineLevel="0" collapsed="false">
      <c r="B3878" s="19" t="s">
        <v>18492</v>
      </c>
      <c r="C3878" s="20" t="n">
        <f aca="false">ROUND(61.1/FX,2)</f>
        <v>8.49</v>
      </c>
      <c r="D3878" s="21" t="s">
        <v>18493</v>
      </c>
      <c r="E3878" s="21" t="s">
        <v>734</v>
      </c>
      <c r="F3878" s="21" t="s">
        <v>17250</v>
      </c>
      <c r="G3878" s="21" t="s">
        <v>14667</v>
      </c>
    </row>
    <row r="3879" customFormat="false" ht="15" hidden="false" customHeight="false" outlineLevel="0" collapsed="false">
      <c r="B3879" s="19" t="s">
        <v>18494</v>
      </c>
      <c r="C3879" s="20" t="n">
        <f aca="false">ROUND(70.2/FX,2)</f>
        <v>9.75</v>
      </c>
      <c r="D3879" s="21" t="s">
        <v>18493</v>
      </c>
      <c r="E3879" s="21" t="s">
        <v>17113</v>
      </c>
      <c r="F3879" s="21" t="s">
        <v>17250</v>
      </c>
      <c r="G3879" s="21" t="s">
        <v>14667</v>
      </c>
    </row>
    <row r="3880" customFormat="false" ht="15" hidden="false" customHeight="false" outlineLevel="0" collapsed="false">
      <c r="B3880" s="19" t="s">
        <v>18495</v>
      </c>
      <c r="C3880" s="20" t="n">
        <f aca="false">ROUND(28.6/FX,2)</f>
        <v>3.97</v>
      </c>
      <c r="D3880" s="21" t="s">
        <v>18496</v>
      </c>
      <c r="E3880" s="21" t="s">
        <v>734</v>
      </c>
      <c r="F3880" s="21" t="s">
        <v>17255</v>
      </c>
      <c r="G3880" s="21" t="s">
        <v>14667</v>
      </c>
    </row>
    <row r="3881" customFormat="false" ht="15" hidden="false" customHeight="false" outlineLevel="0" collapsed="false">
      <c r="B3881" s="19" t="s">
        <v>18497</v>
      </c>
      <c r="C3881" s="20" t="n">
        <f aca="false">ROUND(37.05/FX,2)</f>
        <v>5.15</v>
      </c>
      <c r="D3881" s="21" t="s">
        <v>18496</v>
      </c>
      <c r="E3881" s="21" t="s">
        <v>17113</v>
      </c>
      <c r="F3881" s="21" t="s">
        <v>17255</v>
      </c>
      <c r="G3881" s="21" t="s">
        <v>14667</v>
      </c>
    </row>
    <row r="3882" customFormat="false" ht="15" hidden="false" customHeight="false" outlineLevel="0" collapsed="false">
      <c r="B3882" s="19" t="s">
        <v>18498</v>
      </c>
      <c r="C3882" s="20" t="n">
        <f aca="false">ROUND(132.6/FX,2)</f>
        <v>18.42</v>
      </c>
      <c r="D3882" s="21" t="s">
        <v>18499</v>
      </c>
      <c r="E3882" s="21" t="s">
        <v>734</v>
      </c>
      <c r="F3882" s="21" t="s">
        <v>17268</v>
      </c>
      <c r="G3882" s="21" t="s">
        <v>14667</v>
      </c>
    </row>
    <row r="3883" customFormat="false" ht="15" hidden="false" customHeight="false" outlineLevel="0" collapsed="false">
      <c r="B3883" s="19" t="s">
        <v>18500</v>
      </c>
      <c r="C3883" s="20" t="n">
        <f aca="false">ROUND(195/FX,2)</f>
        <v>27.08</v>
      </c>
      <c r="D3883" s="21" t="s">
        <v>18499</v>
      </c>
      <c r="E3883" s="21" t="s">
        <v>17113</v>
      </c>
      <c r="F3883" s="21" t="s">
        <v>17268</v>
      </c>
      <c r="G3883" s="21" t="s">
        <v>14667</v>
      </c>
    </row>
    <row r="3884" customFormat="false" ht="15" hidden="false" customHeight="false" outlineLevel="0" collapsed="false">
      <c r="B3884" s="19" t="s">
        <v>18501</v>
      </c>
      <c r="C3884" s="20" t="n">
        <f aca="false">ROUND(88.4/FX,2)</f>
        <v>12.28</v>
      </c>
      <c r="D3884" s="21" t="s">
        <v>18502</v>
      </c>
      <c r="E3884" s="21" t="s">
        <v>734</v>
      </c>
      <c r="F3884" s="21" t="s">
        <v>17272</v>
      </c>
      <c r="G3884" s="21" t="s">
        <v>14667</v>
      </c>
    </row>
    <row r="3885" customFormat="false" ht="15" hidden="false" customHeight="false" outlineLevel="0" collapsed="false">
      <c r="B3885" s="19" t="s">
        <v>18503</v>
      </c>
      <c r="C3885" s="20" t="n">
        <f aca="false">ROUND(100.1/FX,2)</f>
        <v>13.9</v>
      </c>
      <c r="D3885" s="21" t="s">
        <v>18502</v>
      </c>
      <c r="E3885" s="21" t="s">
        <v>17113</v>
      </c>
      <c r="F3885" s="21" t="s">
        <v>17272</v>
      </c>
      <c r="G3885" s="21" t="s">
        <v>14667</v>
      </c>
    </row>
    <row r="3886" customFormat="false" ht="15" hidden="false" customHeight="false" outlineLevel="0" collapsed="false">
      <c r="B3886" s="19" t="s">
        <v>18504</v>
      </c>
      <c r="C3886" s="20" t="n">
        <f aca="false">ROUND(218.79/FX,2)</f>
        <v>30.39</v>
      </c>
      <c r="D3886" s="21" t="s">
        <v>18505</v>
      </c>
      <c r="E3886" s="21" t="s">
        <v>734</v>
      </c>
      <c r="F3886" s="21" t="s">
        <v>17282</v>
      </c>
      <c r="G3886" s="21" t="s">
        <v>14667</v>
      </c>
    </row>
    <row r="3887" customFormat="false" ht="15" hidden="false" customHeight="false" outlineLevel="0" collapsed="false">
      <c r="B3887" s="19" t="s">
        <v>18506</v>
      </c>
      <c r="C3887" s="20" t="n">
        <f aca="false">ROUND(119.6/FX,2)</f>
        <v>16.61</v>
      </c>
      <c r="D3887" s="21" t="s">
        <v>18507</v>
      </c>
      <c r="E3887" s="21" t="s">
        <v>734</v>
      </c>
      <c r="F3887" s="21" t="s">
        <v>17285</v>
      </c>
      <c r="G3887" s="21" t="s">
        <v>14667</v>
      </c>
    </row>
    <row r="3888" customFormat="false" ht="15" hidden="false" customHeight="false" outlineLevel="0" collapsed="false">
      <c r="B3888" s="19" t="s">
        <v>18508</v>
      </c>
      <c r="C3888" s="20" t="n">
        <f aca="false">ROUND(6.7/FX,2)</f>
        <v>0.93</v>
      </c>
      <c r="D3888" s="21" t="s">
        <v>18509</v>
      </c>
      <c r="E3888" s="21" t="s">
        <v>734</v>
      </c>
      <c r="F3888" s="21" t="s">
        <v>17289</v>
      </c>
      <c r="G3888" s="21" t="s">
        <v>14667</v>
      </c>
    </row>
    <row r="3889" customFormat="false" ht="15" hidden="false" customHeight="false" outlineLevel="0" collapsed="false">
      <c r="B3889" s="19" t="s">
        <v>18510</v>
      </c>
      <c r="C3889" s="20" t="n">
        <f aca="false">ROUND(9.75/FX,2)</f>
        <v>1.35</v>
      </c>
      <c r="D3889" s="21" t="s">
        <v>18509</v>
      </c>
      <c r="E3889" s="21" t="s">
        <v>17113</v>
      </c>
      <c r="F3889" s="21" t="s">
        <v>17289</v>
      </c>
      <c r="G3889" s="21" t="s">
        <v>14667</v>
      </c>
    </row>
    <row r="3890" customFormat="false" ht="15" hidden="false" customHeight="false" outlineLevel="0" collapsed="false">
      <c r="B3890" s="19" t="s">
        <v>18511</v>
      </c>
      <c r="C3890" s="20" t="n">
        <f aca="false">ROUND(4.55/FX,2)</f>
        <v>0.63</v>
      </c>
      <c r="D3890" s="21" t="s">
        <v>18512</v>
      </c>
      <c r="E3890" s="21" t="s">
        <v>734</v>
      </c>
      <c r="F3890" s="21" t="s">
        <v>17293</v>
      </c>
      <c r="G3890" s="21" t="s">
        <v>14667</v>
      </c>
    </row>
    <row r="3891" customFormat="false" ht="15" hidden="false" customHeight="false" outlineLevel="0" collapsed="false">
      <c r="B3891" s="19" t="s">
        <v>18513</v>
      </c>
      <c r="C3891" s="20" t="n">
        <f aca="false">ROUND(4.68/FX,2)</f>
        <v>0.65</v>
      </c>
      <c r="D3891" s="21" t="s">
        <v>18512</v>
      </c>
      <c r="E3891" s="21" t="s">
        <v>17113</v>
      </c>
      <c r="F3891" s="21" t="s">
        <v>17293</v>
      </c>
      <c r="G3891" s="21" t="s">
        <v>14667</v>
      </c>
    </row>
    <row r="3892" customFormat="false" ht="15" hidden="false" customHeight="false" outlineLevel="0" collapsed="false">
      <c r="B3892" s="19" t="s">
        <v>18514</v>
      </c>
      <c r="C3892" s="20" t="n">
        <f aca="false">ROUND(390/FX,2)</f>
        <v>54.17</v>
      </c>
      <c r="D3892" s="21" t="s">
        <v>18515</v>
      </c>
      <c r="E3892" s="21" t="s">
        <v>734</v>
      </c>
      <c r="F3892" s="21" t="s">
        <v>17300</v>
      </c>
      <c r="G3892" s="21" t="s">
        <v>14667</v>
      </c>
    </row>
    <row r="3893" customFormat="false" ht="15" hidden="false" customHeight="false" outlineLevel="0" collapsed="false">
      <c r="B3893" s="19" t="s">
        <v>18516</v>
      </c>
      <c r="C3893" s="20" t="n">
        <f aca="false">ROUND(5.5/FX,2)</f>
        <v>0.76</v>
      </c>
      <c r="D3893" s="21" t="s">
        <v>18149</v>
      </c>
      <c r="E3893" s="21" t="s">
        <v>734</v>
      </c>
      <c r="F3893" s="21" t="s">
        <v>17306</v>
      </c>
      <c r="G3893" s="21" t="s">
        <v>14667</v>
      </c>
    </row>
    <row r="3894" customFormat="false" ht="15" hidden="false" customHeight="false" outlineLevel="0" collapsed="false">
      <c r="B3894" s="19" t="s">
        <v>18517</v>
      </c>
      <c r="C3894" s="20" t="n">
        <f aca="false">ROUND(7.54/FX,2)</f>
        <v>1.05</v>
      </c>
      <c r="D3894" s="21" t="s">
        <v>18149</v>
      </c>
      <c r="E3894" s="21" t="s">
        <v>17113</v>
      </c>
      <c r="F3894" s="21" t="s">
        <v>17306</v>
      </c>
      <c r="G3894" s="21" t="s">
        <v>14667</v>
      </c>
    </row>
    <row r="3895" customFormat="false" ht="15" hidden="false" customHeight="false" outlineLevel="0" collapsed="false">
      <c r="B3895" s="19" t="s">
        <v>18518</v>
      </c>
      <c r="C3895" s="20" t="n">
        <f aca="false">ROUND(3.9/FX,2)</f>
        <v>0.54</v>
      </c>
      <c r="D3895" s="21" t="s">
        <v>18519</v>
      </c>
      <c r="E3895" s="21" t="s">
        <v>734</v>
      </c>
      <c r="F3895" s="21" t="s">
        <v>17311</v>
      </c>
      <c r="G3895" s="21" t="s">
        <v>14667</v>
      </c>
    </row>
    <row r="3896" customFormat="false" ht="15" hidden="false" customHeight="false" outlineLevel="0" collapsed="false">
      <c r="B3896" s="19" t="s">
        <v>18520</v>
      </c>
      <c r="C3896" s="20" t="n">
        <f aca="false">ROUND(4.16/FX,2)</f>
        <v>0.58</v>
      </c>
      <c r="D3896" s="21" t="s">
        <v>18519</v>
      </c>
      <c r="E3896" s="21" t="s">
        <v>17113</v>
      </c>
      <c r="F3896" s="21" t="s">
        <v>17311</v>
      </c>
      <c r="G3896" s="21" t="s">
        <v>14667</v>
      </c>
    </row>
    <row r="3897" customFormat="false" ht="15" hidden="false" customHeight="false" outlineLevel="0" collapsed="false">
      <c r="B3897" s="19" t="s">
        <v>18521</v>
      </c>
      <c r="C3897" s="20" t="n">
        <f aca="false">ROUND(4.55/FX,2)</f>
        <v>0.63</v>
      </c>
      <c r="D3897" s="21" t="s">
        <v>18522</v>
      </c>
      <c r="E3897" s="21" t="s">
        <v>734</v>
      </c>
      <c r="F3897" s="21" t="s">
        <v>17303</v>
      </c>
      <c r="G3897" s="21" t="s">
        <v>14667</v>
      </c>
    </row>
    <row r="3898" customFormat="false" ht="15" hidden="false" customHeight="false" outlineLevel="0" collapsed="false">
      <c r="B3898" s="19" t="s">
        <v>18523</v>
      </c>
      <c r="C3898" s="20" t="n">
        <f aca="false">ROUND(4.94/FX,2)</f>
        <v>0.69</v>
      </c>
      <c r="D3898" s="21" t="s">
        <v>18522</v>
      </c>
      <c r="E3898" s="21" t="s">
        <v>17113</v>
      </c>
      <c r="F3898" s="21" t="s">
        <v>17303</v>
      </c>
      <c r="G3898" s="21" t="s">
        <v>14667</v>
      </c>
    </row>
    <row r="3901" customFormat="false" ht="61.5" hidden="false" customHeight="true" outlineLevel="0" collapsed="false">
      <c r="A3901" s="9"/>
      <c r="B3901" s="10" t="s">
        <v>18524</v>
      </c>
      <c r="C3901" s="10"/>
      <c r="D3901" s="10"/>
      <c r="E3901" s="10"/>
      <c r="F3901" s="10"/>
    </row>
    <row r="3902" customFormat="false" ht="15" hidden="false" customHeight="false" outlineLevel="0" collapsed="false">
      <c r="A3902" s="12" t="s">
        <v>700</v>
      </c>
      <c r="B3902" s="13" t="s">
        <v>701</v>
      </c>
      <c r="C3902" s="13" t="s">
        <v>702</v>
      </c>
      <c r="D3902" s="13" t="s">
        <v>722</v>
      </c>
      <c r="E3902" s="13" t="s">
        <v>704</v>
      </c>
      <c r="F3902" s="13" t="s">
        <v>723</v>
      </c>
    </row>
    <row r="3903" customFormat="false" ht="30" hidden="false" customHeight="true" outlineLevel="0" collapsed="false">
      <c r="A3903" s="14" t="s">
        <v>706</v>
      </c>
      <c r="B3903" s="15" t="str">
        <f aca="false">IF(COUNTIFS($D$3906:$D$3915,IF(D3903="","*",D3903),$E$3906:$E$3915,IF(E3903="","*",E3903),$F$3906:$F$3915,IF(F3903="","*",F3903))=1,INDEX($B:$B,SUMPRODUCT(((D3903="")+($D$3906:$D$3915=D3903)&gt;0)*((E3903="")+($E$3906:$E$3915=E3903)&gt;0)*((F3903="")+($F$3906:$F$3915=F3903)&gt;0)*ROW($B$3906:$B$3915))),IF(COUNTIFS($D$3906:$D$3915,IF(D3903="","*",D3903),$E$3906:$E$3915,IF(E3903="","*",E3903),$F$3906:$F$3915,IF(F3903="","*",F3903))=0,"Not available",COUNTIFS($D$3906:$D$3915,IF(D3903="","*",D3903),$E$3906:$E$3915,IF(E3903="","*",E3903),$F$3906:$F$3915,IF(F3903="","*",F3903))&amp;" match, keep choosing"))</f>
        <v>RL-041-BK-AL-HG15</v>
      </c>
      <c r="C3903" s="16" t="n">
        <f aca="false">IF(COUNTIFS($D$3906:$D$3915,IF(D3903="","*",D3903),$E$3906:$E$3915,IF(E3903="","*",E3903),$F$3906:$F$3915,IF(F3903="","*",F3903))=1,INDEX($C:$C,SUMPRODUCT(((D3903="")+($D$3906:$D$3915=D3903)&gt;0)*((E3903="")+($E$3906:$E$3915=E3903)&gt;0)*((F3903="")+($F$3906:$F$3915=F3903)&gt;0)*ROW($B$3906:$B$3915))),"")</f>
        <v>1.44</v>
      </c>
      <c r="D3903" s="17" t="s">
        <v>724</v>
      </c>
      <c r="E3903" s="17" t="s">
        <v>6550</v>
      </c>
      <c r="F3903" s="17" t="s">
        <v>18525</v>
      </c>
    </row>
    <row r="3905" customFormat="false" ht="15" hidden="false" customHeight="false" outlineLevel="0" collapsed="false">
      <c r="B3905" s="18" t="s">
        <v>701</v>
      </c>
      <c r="C3905" s="18" t="s">
        <v>702</v>
      </c>
      <c r="D3905" s="18" t="s">
        <v>722</v>
      </c>
      <c r="E3905" s="18" t="s">
        <v>704</v>
      </c>
      <c r="F3905" s="18" t="s">
        <v>723</v>
      </c>
    </row>
    <row r="3906" customFormat="false" ht="15" hidden="false" customHeight="false" outlineLevel="0" collapsed="false">
      <c r="B3906" s="19" t="s">
        <v>18526</v>
      </c>
      <c r="C3906" s="20" t="n">
        <f aca="false">ROUND(10.4/FX,2)</f>
        <v>1.44</v>
      </c>
      <c r="D3906" s="21" t="s">
        <v>724</v>
      </c>
      <c r="E3906" s="21" t="s">
        <v>6550</v>
      </c>
      <c r="F3906" s="21" t="s">
        <v>18525</v>
      </c>
    </row>
    <row r="3907" customFormat="false" ht="15" hidden="false" customHeight="false" outlineLevel="0" collapsed="false">
      <c r="B3907" s="19" t="s">
        <v>18527</v>
      </c>
      <c r="C3907" s="20" t="n">
        <f aca="false">ROUND(14.3/FX,2)</f>
        <v>1.99</v>
      </c>
      <c r="D3907" s="21" t="s">
        <v>724</v>
      </c>
      <c r="E3907" s="21" t="s">
        <v>6550</v>
      </c>
      <c r="F3907" s="21" t="s">
        <v>18528</v>
      </c>
    </row>
    <row r="3908" customFormat="false" ht="15" hidden="false" customHeight="false" outlineLevel="0" collapsed="false">
      <c r="B3908" s="19" t="s">
        <v>18529</v>
      </c>
      <c r="C3908" s="20" t="n">
        <f aca="false">ROUND(18.2/FX,2)</f>
        <v>2.53</v>
      </c>
      <c r="D3908" s="21" t="s">
        <v>724</v>
      </c>
      <c r="E3908" s="21" t="s">
        <v>6550</v>
      </c>
      <c r="F3908" s="21" t="s">
        <v>18530</v>
      </c>
    </row>
    <row r="3909" customFormat="false" ht="15" hidden="false" customHeight="false" outlineLevel="0" collapsed="false">
      <c r="B3909" s="19" t="s">
        <v>18531</v>
      </c>
      <c r="C3909" s="20" t="n">
        <f aca="false">ROUND(16.9/FX,2)</f>
        <v>2.35</v>
      </c>
      <c r="D3909" s="21" t="s">
        <v>724</v>
      </c>
      <c r="E3909" s="21" t="s">
        <v>14260</v>
      </c>
      <c r="F3909" s="21" t="s">
        <v>18528</v>
      </c>
    </row>
    <row r="3910" customFormat="false" ht="15" hidden="false" customHeight="false" outlineLevel="0" collapsed="false">
      <c r="B3910" s="19" t="s">
        <v>18532</v>
      </c>
      <c r="C3910" s="20" t="n">
        <f aca="false">ROUND(23.4/FX,2)</f>
        <v>3.25</v>
      </c>
      <c r="D3910" s="21" t="s">
        <v>724</v>
      </c>
      <c r="E3910" s="21" t="s">
        <v>14260</v>
      </c>
      <c r="F3910" s="21" t="s">
        <v>18530</v>
      </c>
    </row>
    <row r="3911" customFormat="false" ht="15" hidden="false" customHeight="false" outlineLevel="0" collapsed="false">
      <c r="B3911" s="19" t="s">
        <v>18533</v>
      </c>
      <c r="C3911" s="20" t="n">
        <f aca="false">ROUND(39/FX,2)</f>
        <v>5.42</v>
      </c>
      <c r="D3911" s="21" t="s">
        <v>724</v>
      </c>
      <c r="E3911" s="21" t="s">
        <v>14260</v>
      </c>
      <c r="F3911" s="21" t="s">
        <v>18534</v>
      </c>
    </row>
    <row r="3912" customFormat="false" ht="15" hidden="false" customHeight="false" outlineLevel="0" collapsed="false">
      <c r="B3912" s="19" t="s">
        <v>18535</v>
      </c>
      <c r="C3912" s="20" t="n">
        <f aca="false">ROUND(14.3/FX,2)</f>
        <v>1.99</v>
      </c>
      <c r="D3912" s="21" t="s">
        <v>6549</v>
      </c>
      <c r="E3912" s="21" t="s">
        <v>6550</v>
      </c>
      <c r="F3912" s="21" t="s">
        <v>18528</v>
      </c>
    </row>
    <row r="3913" customFormat="false" ht="15" hidden="false" customHeight="false" outlineLevel="0" collapsed="false">
      <c r="B3913" s="19" t="s">
        <v>18536</v>
      </c>
      <c r="C3913" s="20" t="n">
        <f aca="false">ROUND(23.4/FX,2)</f>
        <v>3.25</v>
      </c>
      <c r="D3913" s="21" t="s">
        <v>6549</v>
      </c>
      <c r="E3913" s="21" t="s">
        <v>14260</v>
      </c>
      <c r="F3913" s="21" t="s">
        <v>18528</v>
      </c>
    </row>
    <row r="3914" customFormat="false" ht="15" hidden="false" customHeight="false" outlineLevel="0" collapsed="false">
      <c r="B3914" s="19" t="s">
        <v>18537</v>
      </c>
      <c r="C3914" s="20" t="n">
        <f aca="false">ROUND(29.9/FX,2)</f>
        <v>4.15</v>
      </c>
      <c r="D3914" s="21" t="s">
        <v>6549</v>
      </c>
      <c r="E3914" s="21" t="s">
        <v>14260</v>
      </c>
      <c r="F3914" s="21" t="s">
        <v>18530</v>
      </c>
    </row>
    <row r="3915" customFormat="false" ht="15" hidden="false" customHeight="false" outlineLevel="0" collapsed="false">
      <c r="B3915" s="19" t="s">
        <v>18538</v>
      </c>
      <c r="C3915" s="20" t="n">
        <f aca="false">ROUND(49.4/FX,2)</f>
        <v>6.86</v>
      </c>
      <c r="D3915" s="21" t="s">
        <v>6549</v>
      </c>
      <c r="E3915" s="21" t="s">
        <v>14260</v>
      </c>
      <c r="F3915" s="21" t="s">
        <v>18534</v>
      </c>
    </row>
    <row r="3918" customFormat="false" ht="61.5" hidden="false" customHeight="true" outlineLevel="0" collapsed="false">
      <c r="A3918" s="9"/>
      <c r="B3918" s="10" t="s">
        <v>18539</v>
      </c>
      <c r="C3918" s="10"/>
      <c r="D3918" s="10"/>
    </row>
    <row r="3919" customFormat="false" ht="15" hidden="false" customHeight="false" outlineLevel="0" collapsed="false">
      <c r="A3919" s="12" t="s">
        <v>700</v>
      </c>
      <c r="B3919" s="13" t="s">
        <v>701</v>
      </c>
      <c r="C3919" s="13" t="s">
        <v>702</v>
      </c>
      <c r="D3919" s="13" t="s">
        <v>723</v>
      </c>
    </row>
    <row r="3920" customFormat="false" ht="30" hidden="false" customHeight="true" outlineLevel="0" collapsed="false">
      <c r="A3920" s="14" t="s">
        <v>706</v>
      </c>
      <c r="B3920" s="15" t="str">
        <f aca="false">IF(COUNTIFS($D$3923:$D$3995,IF(D3920="","*",D3920))=1,INDEX($B:$B,SUMPRODUCT(((D3920="")+($D$3923:$D$3995=D3920)&gt;0)*ROW($B$3923:$B$3995))),IF(COUNTIFS($D$3923:$D$3995,IF(D3920="","*",D3920))=0,"Not available",COUNTIFS($D$3923:$D$3995,IF(D3920="","*",D3920))&amp;" match, keep choosing"))</f>
        <v>RL-049-EG15-BDFZK-BDCK</v>
      </c>
      <c r="C3920" s="16" t="n">
        <f aca="false">IF(COUNTIFS($D$3923:$D$3995,IF(D3920="","*",D3920))=1,INDEX($C:$C,SUMPRODUCT(((D3920="")+($D$3923:$D$3995=D3920)&gt;0)*ROW($B$3923:$B$3995))),"")</f>
        <v>0.14</v>
      </c>
      <c r="D3920" s="17" t="s">
        <v>18540</v>
      </c>
    </row>
    <row r="3922" customFormat="false" ht="15" hidden="false" customHeight="false" outlineLevel="0" collapsed="false">
      <c r="B3922" s="18" t="s">
        <v>701</v>
      </c>
      <c r="C3922" s="18" t="s">
        <v>702</v>
      </c>
      <c r="D3922" s="18" t="s">
        <v>723</v>
      </c>
    </row>
    <row r="3923" customFormat="false" ht="28.35" hidden="false" customHeight="false" outlineLevel="0" collapsed="false">
      <c r="B3923" s="19" t="s">
        <v>18541</v>
      </c>
      <c r="C3923" s="20" t="n">
        <f aca="false">ROUND(1.04/FX,2)</f>
        <v>0.14</v>
      </c>
      <c r="D3923" s="21" t="s">
        <v>18540</v>
      </c>
    </row>
    <row r="3924" customFormat="false" ht="28.35" hidden="false" customHeight="false" outlineLevel="0" collapsed="false">
      <c r="B3924" s="19" t="s">
        <v>18542</v>
      </c>
      <c r="C3924" s="20" t="n">
        <f aca="false">ROUND(2.47/FX,2)</f>
        <v>0.34</v>
      </c>
      <c r="D3924" s="21" t="s">
        <v>18543</v>
      </c>
    </row>
    <row r="3925" customFormat="false" ht="28.35" hidden="false" customHeight="false" outlineLevel="0" collapsed="false">
      <c r="B3925" s="19" t="s">
        <v>18544</v>
      </c>
      <c r="C3925" s="20" t="n">
        <f aca="false">ROUND(1.69/FX,2)</f>
        <v>0.23</v>
      </c>
      <c r="D3925" s="21" t="s">
        <v>18545</v>
      </c>
    </row>
    <row r="3926" customFormat="false" ht="28.35" hidden="false" customHeight="false" outlineLevel="0" collapsed="false">
      <c r="B3926" s="19" t="s">
        <v>18546</v>
      </c>
      <c r="C3926" s="20" t="n">
        <f aca="false">ROUND(3.12/FX,2)</f>
        <v>0.43</v>
      </c>
      <c r="D3926" s="21" t="s">
        <v>18547</v>
      </c>
    </row>
    <row r="3927" customFormat="false" ht="28.35" hidden="false" customHeight="false" outlineLevel="0" collapsed="false">
      <c r="B3927" s="19" t="s">
        <v>18548</v>
      </c>
      <c r="C3927" s="20" t="n">
        <f aca="false">ROUND(2.13/FX,2)</f>
        <v>0.3</v>
      </c>
      <c r="D3927" s="21" t="s">
        <v>18549</v>
      </c>
    </row>
    <row r="3928" customFormat="false" ht="28.35" hidden="false" customHeight="false" outlineLevel="0" collapsed="false">
      <c r="B3928" s="19" t="s">
        <v>18550</v>
      </c>
      <c r="C3928" s="20" t="n">
        <f aca="false">ROUND(2.86/FX,2)</f>
        <v>0.4</v>
      </c>
      <c r="D3928" s="21" t="s">
        <v>18551</v>
      </c>
    </row>
    <row r="3929" customFormat="false" ht="28.35" hidden="false" customHeight="false" outlineLevel="0" collapsed="false">
      <c r="B3929" s="19" t="s">
        <v>18552</v>
      </c>
      <c r="C3929" s="20" t="n">
        <f aca="false">ROUND(2.34/FX,2)</f>
        <v>0.33</v>
      </c>
      <c r="D3929" s="21" t="s">
        <v>18553</v>
      </c>
    </row>
    <row r="3930" customFormat="false" ht="28.35" hidden="false" customHeight="false" outlineLevel="0" collapsed="false">
      <c r="B3930" s="19" t="s">
        <v>18554</v>
      </c>
      <c r="C3930" s="20" t="n">
        <f aca="false">ROUND(3.77/FX,2)</f>
        <v>0.52</v>
      </c>
      <c r="D3930" s="21" t="s">
        <v>18555</v>
      </c>
    </row>
    <row r="3931" customFormat="false" ht="28.35" hidden="false" customHeight="false" outlineLevel="0" collapsed="false">
      <c r="B3931" s="19" t="s">
        <v>18556</v>
      </c>
      <c r="C3931" s="20" t="n">
        <f aca="false">ROUND(2.34/FX,2)</f>
        <v>0.33</v>
      </c>
      <c r="D3931" s="21" t="s">
        <v>18557</v>
      </c>
    </row>
    <row r="3932" customFormat="false" ht="28.35" hidden="false" customHeight="false" outlineLevel="0" collapsed="false">
      <c r="B3932" s="19" t="s">
        <v>18558</v>
      </c>
      <c r="C3932" s="20" t="n">
        <f aca="false">ROUND(3.77/FX,2)</f>
        <v>0.52</v>
      </c>
      <c r="D3932" s="21" t="s">
        <v>18559</v>
      </c>
    </row>
    <row r="3933" customFormat="false" ht="28.35" hidden="false" customHeight="false" outlineLevel="0" collapsed="false">
      <c r="B3933" s="19" t="s">
        <v>18560</v>
      </c>
      <c r="C3933" s="20" t="n">
        <f aca="false">ROUND(3.25/FX,2)</f>
        <v>0.45</v>
      </c>
      <c r="D3933" s="21" t="s">
        <v>18561</v>
      </c>
    </row>
    <row r="3934" customFormat="false" ht="28.35" hidden="false" customHeight="false" outlineLevel="0" collapsed="false">
      <c r="B3934" s="19" t="s">
        <v>18562</v>
      </c>
      <c r="C3934" s="20" t="n">
        <f aca="false">ROUND(4.68/FX,2)</f>
        <v>0.65</v>
      </c>
      <c r="D3934" s="21" t="s">
        <v>18563</v>
      </c>
    </row>
    <row r="3935" customFormat="false" ht="28.35" hidden="false" customHeight="false" outlineLevel="0" collapsed="false">
      <c r="B3935" s="19" t="s">
        <v>18564</v>
      </c>
      <c r="C3935" s="20" t="n">
        <f aca="false">ROUND(2.86/FX,2)</f>
        <v>0.4</v>
      </c>
      <c r="D3935" s="21" t="s">
        <v>18565</v>
      </c>
    </row>
    <row r="3936" customFormat="false" ht="28.35" hidden="false" customHeight="false" outlineLevel="0" collapsed="false">
      <c r="B3936" s="19" t="s">
        <v>18566</v>
      </c>
      <c r="C3936" s="20" t="n">
        <f aca="false">ROUND(2.99/FX,2)</f>
        <v>0.42</v>
      </c>
      <c r="D3936" s="21" t="s">
        <v>18567</v>
      </c>
    </row>
    <row r="3937" customFormat="false" ht="28.35" hidden="false" customHeight="false" outlineLevel="0" collapsed="false">
      <c r="B3937" s="19" t="s">
        <v>18568</v>
      </c>
      <c r="C3937" s="20" t="n">
        <f aca="false">ROUND(4.29/FX,2)</f>
        <v>0.6</v>
      </c>
      <c r="D3937" s="21" t="s">
        <v>18569</v>
      </c>
    </row>
    <row r="3938" customFormat="false" ht="28.35" hidden="false" customHeight="false" outlineLevel="0" collapsed="false">
      <c r="B3938" s="19" t="s">
        <v>18570</v>
      </c>
      <c r="C3938" s="20" t="n">
        <f aca="false">ROUND(3.64/FX,2)</f>
        <v>0.51</v>
      </c>
      <c r="D3938" s="21" t="s">
        <v>18571</v>
      </c>
    </row>
    <row r="3939" customFormat="false" ht="28.35" hidden="false" customHeight="false" outlineLevel="0" collapsed="false">
      <c r="B3939" s="19" t="s">
        <v>18572</v>
      </c>
      <c r="C3939" s="20" t="n">
        <f aca="false">ROUND(3.77/FX,2)</f>
        <v>0.52</v>
      </c>
      <c r="D3939" s="21" t="s">
        <v>18573</v>
      </c>
    </row>
    <row r="3940" customFormat="false" ht="28.35" hidden="false" customHeight="false" outlineLevel="0" collapsed="false">
      <c r="B3940" s="19" t="s">
        <v>18574</v>
      </c>
      <c r="C3940" s="20" t="n">
        <f aca="false">ROUND(5.07/FX,2)</f>
        <v>0.7</v>
      </c>
      <c r="D3940" s="21" t="s">
        <v>18575</v>
      </c>
    </row>
    <row r="3941" customFormat="false" ht="28.35" hidden="false" customHeight="false" outlineLevel="0" collapsed="false">
      <c r="B3941" s="19" t="s">
        <v>18576</v>
      </c>
      <c r="C3941" s="20" t="n">
        <f aca="false">ROUND(1.04/FX,2)</f>
        <v>0.14</v>
      </c>
      <c r="D3941" s="21" t="s">
        <v>18577</v>
      </c>
    </row>
    <row r="3942" customFormat="false" ht="28.35" hidden="false" customHeight="false" outlineLevel="0" collapsed="false">
      <c r="B3942" s="19" t="s">
        <v>18578</v>
      </c>
      <c r="C3942" s="20" t="n">
        <f aca="false">ROUND(1.26/FX,2)</f>
        <v>0.18</v>
      </c>
      <c r="D3942" s="21" t="s">
        <v>18579</v>
      </c>
    </row>
    <row r="3943" customFormat="false" ht="28.35" hidden="false" customHeight="false" outlineLevel="0" collapsed="false">
      <c r="B3943" s="19" t="s">
        <v>18580</v>
      </c>
      <c r="C3943" s="20" t="n">
        <f aca="false">ROUND(2.47/FX,2)</f>
        <v>0.34</v>
      </c>
      <c r="D3943" s="21" t="s">
        <v>18581</v>
      </c>
    </row>
    <row r="3944" customFormat="false" ht="28.35" hidden="false" customHeight="false" outlineLevel="0" collapsed="false">
      <c r="B3944" s="19" t="s">
        <v>18582</v>
      </c>
      <c r="C3944" s="20" t="n">
        <f aca="false">ROUND(1.43/FX,2)</f>
        <v>0.2</v>
      </c>
      <c r="D3944" s="21" t="s">
        <v>18583</v>
      </c>
    </row>
    <row r="3945" customFormat="false" ht="28.35" hidden="false" customHeight="false" outlineLevel="0" collapsed="false">
      <c r="B3945" s="19" t="s">
        <v>18584</v>
      </c>
      <c r="C3945" s="20" t="n">
        <f aca="false">ROUND(1.65/FX,2)</f>
        <v>0.23</v>
      </c>
      <c r="D3945" s="21" t="s">
        <v>18585</v>
      </c>
    </row>
    <row r="3946" customFormat="false" ht="28.35" hidden="false" customHeight="false" outlineLevel="0" collapsed="false">
      <c r="B3946" s="19" t="s">
        <v>18586</v>
      </c>
      <c r="C3946" s="20" t="n">
        <f aca="false">ROUND(2.86/FX,2)</f>
        <v>0.4</v>
      </c>
      <c r="D3946" s="21" t="s">
        <v>18587</v>
      </c>
    </row>
    <row r="3947" customFormat="false" ht="28.35" hidden="false" customHeight="false" outlineLevel="0" collapsed="false">
      <c r="B3947" s="19" t="s">
        <v>18588</v>
      </c>
      <c r="C3947" s="20" t="n">
        <f aca="false">ROUND(1.69/FX,2)</f>
        <v>0.23</v>
      </c>
      <c r="D3947" s="21" t="s">
        <v>18589</v>
      </c>
    </row>
    <row r="3948" customFormat="false" ht="28.35" hidden="false" customHeight="false" outlineLevel="0" collapsed="false">
      <c r="B3948" s="19" t="s">
        <v>18590</v>
      </c>
      <c r="C3948" s="20" t="n">
        <f aca="false">ROUND(2/FX,2)</f>
        <v>0.28</v>
      </c>
      <c r="D3948" s="21" t="s">
        <v>18591</v>
      </c>
    </row>
    <row r="3949" customFormat="false" ht="28.35" hidden="false" customHeight="false" outlineLevel="0" collapsed="false">
      <c r="B3949" s="19" t="s">
        <v>18592</v>
      </c>
      <c r="C3949" s="20" t="n">
        <f aca="false">ROUND(3.12/FX,2)</f>
        <v>0.43</v>
      </c>
      <c r="D3949" s="21" t="s">
        <v>18593</v>
      </c>
    </row>
    <row r="3950" customFormat="false" ht="28.35" hidden="false" customHeight="false" outlineLevel="0" collapsed="false">
      <c r="B3950" s="19" t="s">
        <v>18594</v>
      </c>
      <c r="C3950" s="20" t="n">
        <f aca="false">ROUND(1.95/FX,2)</f>
        <v>0.27</v>
      </c>
      <c r="D3950" s="21" t="s">
        <v>18595</v>
      </c>
    </row>
    <row r="3951" customFormat="false" ht="28.35" hidden="false" customHeight="false" outlineLevel="0" collapsed="false">
      <c r="B3951" s="19" t="s">
        <v>18596</v>
      </c>
      <c r="C3951" s="20" t="n">
        <f aca="false">ROUND(2.36/FX,2)</f>
        <v>0.33</v>
      </c>
      <c r="D3951" s="21" t="s">
        <v>18597</v>
      </c>
    </row>
    <row r="3952" customFormat="false" ht="28.35" hidden="false" customHeight="false" outlineLevel="0" collapsed="false">
      <c r="B3952" s="19" t="s">
        <v>18598</v>
      </c>
      <c r="C3952" s="20" t="n">
        <f aca="false">ROUND(3.24/FX,2)</f>
        <v>0.45</v>
      </c>
      <c r="D3952" s="21" t="s">
        <v>18599</v>
      </c>
    </row>
    <row r="3953" customFormat="false" ht="28.35" hidden="false" customHeight="false" outlineLevel="0" collapsed="false">
      <c r="B3953" s="19" t="s">
        <v>18600</v>
      </c>
      <c r="C3953" s="20" t="n">
        <f aca="false">ROUND(2.08/FX,2)</f>
        <v>0.29</v>
      </c>
      <c r="D3953" s="21" t="s">
        <v>18601</v>
      </c>
    </row>
    <row r="3954" customFormat="false" ht="28.35" hidden="false" customHeight="false" outlineLevel="0" collapsed="false">
      <c r="B3954" s="19" t="s">
        <v>18602</v>
      </c>
      <c r="C3954" s="20" t="n">
        <f aca="false">ROUND(2.21/FX,2)</f>
        <v>0.31</v>
      </c>
      <c r="D3954" s="21" t="s">
        <v>18603</v>
      </c>
    </row>
    <row r="3955" customFormat="false" ht="28.35" hidden="false" customHeight="false" outlineLevel="0" collapsed="false">
      <c r="B3955" s="19" t="s">
        <v>18604</v>
      </c>
      <c r="C3955" s="20" t="n">
        <f aca="false">ROUND(3.51/FX,2)</f>
        <v>0.49</v>
      </c>
      <c r="D3955" s="21" t="s">
        <v>18605</v>
      </c>
    </row>
    <row r="3956" customFormat="false" ht="28.35" hidden="false" customHeight="false" outlineLevel="0" collapsed="false">
      <c r="B3956" s="19" t="s">
        <v>18606</v>
      </c>
      <c r="C3956" s="20" t="n">
        <f aca="false">ROUND(2.34/FX,2)</f>
        <v>0.33</v>
      </c>
      <c r="D3956" s="21" t="s">
        <v>18607</v>
      </c>
    </row>
    <row r="3957" customFormat="false" ht="28.35" hidden="false" customHeight="false" outlineLevel="0" collapsed="false">
      <c r="B3957" s="19" t="s">
        <v>18608</v>
      </c>
      <c r="C3957" s="20" t="n">
        <f aca="false">ROUND(2.47/FX,2)</f>
        <v>0.34</v>
      </c>
      <c r="D3957" s="21" t="s">
        <v>18609</v>
      </c>
    </row>
    <row r="3958" customFormat="false" ht="28.35" hidden="false" customHeight="false" outlineLevel="0" collapsed="false">
      <c r="B3958" s="19" t="s">
        <v>18610</v>
      </c>
      <c r="C3958" s="20" t="n">
        <f aca="false">ROUND(3.77/FX,2)</f>
        <v>0.52</v>
      </c>
      <c r="D3958" s="21" t="s">
        <v>18611</v>
      </c>
    </row>
    <row r="3959" customFormat="false" ht="28.35" hidden="false" customHeight="false" outlineLevel="0" collapsed="false">
      <c r="B3959" s="19" t="s">
        <v>18612</v>
      </c>
      <c r="C3959" s="20" t="n">
        <f aca="false">ROUND(2.08/FX,2)</f>
        <v>0.29</v>
      </c>
      <c r="D3959" s="21" t="s">
        <v>18613</v>
      </c>
    </row>
    <row r="3960" customFormat="false" ht="28.35" hidden="false" customHeight="false" outlineLevel="0" collapsed="false">
      <c r="B3960" s="19" t="s">
        <v>18614</v>
      </c>
      <c r="C3960" s="20" t="n">
        <f aca="false">ROUND(3.51/FX,2)</f>
        <v>0.49</v>
      </c>
      <c r="D3960" s="21" t="s">
        <v>18615</v>
      </c>
    </row>
    <row r="3961" customFormat="false" ht="28.35" hidden="false" customHeight="false" outlineLevel="0" collapsed="false">
      <c r="B3961" s="19" t="s">
        <v>18616</v>
      </c>
      <c r="C3961" s="20" t="n">
        <f aca="false">ROUND(2.34/FX,2)</f>
        <v>0.33</v>
      </c>
      <c r="D3961" s="21" t="s">
        <v>18617</v>
      </c>
    </row>
    <row r="3962" customFormat="false" ht="28.35" hidden="false" customHeight="false" outlineLevel="0" collapsed="false">
      <c r="B3962" s="19" t="s">
        <v>18618</v>
      </c>
      <c r="C3962" s="20" t="n">
        <f aca="false">ROUND(2.47/FX,2)</f>
        <v>0.34</v>
      </c>
      <c r="D3962" s="21" t="s">
        <v>18619</v>
      </c>
    </row>
    <row r="3963" customFormat="false" ht="28.35" hidden="false" customHeight="false" outlineLevel="0" collapsed="false">
      <c r="B3963" s="19" t="s">
        <v>18620</v>
      </c>
      <c r="C3963" s="20" t="n">
        <f aca="false">ROUND(3.77/FX,2)</f>
        <v>0.52</v>
      </c>
      <c r="D3963" s="21" t="s">
        <v>18621</v>
      </c>
    </row>
    <row r="3964" customFormat="false" ht="28.35" hidden="false" customHeight="false" outlineLevel="0" collapsed="false">
      <c r="B3964" s="19" t="s">
        <v>18622</v>
      </c>
      <c r="C3964" s="20" t="n">
        <f aca="false">ROUND(3.25/FX,2)</f>
        <v>0.45</v>
      </c>
      <c r="D3964" s="21" t="s">
        <v>18623</v>
      </c>
    </row>
    <row r="3965" customFormat="false" ht="28.35" hidden="false" customHeight="false" outlineLevel="0" collapsed="false">
      <c r="B3965" s="19" t="s">
        <v>18624</v>
      </c>
      <c r="C3965" s="20" t="n">
        <f aca="false">ROUND(4.68/FX,2)</f>
        <v>0.65</v>
      </c>
      <c r="D3965" s="21" t="s">
        <v>18625</v>
      </c>
    </row>
    <row r="3966" customFormat="false" ht="28.35" hidden="false" customHeight="false" outlineLevel="0" collapsed="false">
      <c r="B3966" s="19" t="s">
        <v>18626</v>
      </c>
      <c r="C3966" s="20" t="n">
        <f aca="false">ROUND(3.64/FX,2)</f>
        <v>0.51</v>
      </c>
      <c r="D3966" s="21" t="s">
        <v>18627</v>
      </c>
    </row>
    <row r="3967" customFormat="false" ht="28.35" hidden="false" customHeight="false" outlineLevel="0" collapsed="false">
      <c r="B3967" s="19" t="s">
        <v>18628</v>
      </c>
      <c r="C3967" s="20" t="n">
        <f aca="false">ROUND(5.07/FX,2)</f>
        <v>0.7</v>
      </c>
      <c r="D3967" s="21" t="s">
        <v>18629</v>
      </c>
    </row>
    <row r="3968" customFormat="false" ht="28.35" hidden="false" customHeight="false" outlineLevel="0" collapsed="false">
      <c r="B3968" s="19" t="s">
        <v>18630</v>
      </c>
      <c r="C3968" s="20" t="n">
        <f aca="false">ROUND(5.59/FX,2)</f>
        <v>0.78</v>
      </c>
      <c r="D3968" s="21" t="s">
        <v>18631</v>
      </c>
    </row>
    <row r="3969" customFormat="false" ht="28.35" hidden="false" customHeight="false" outlineLevel="0" collapsed="false">
      <c r="B3969" s="19" t="s">
        <v>18632</v>
      </c>
      <c r="C3969" s="20" t="n">
        <f aca="false">ROUND(7.02/FX,2)</f>
        <v>0.98</v>
      </c>
      <c r="D3969" s="21" t="s">
        <v>18633</v>
      </c>
    </row>
    <row r="3970" customFormat="false" ht="28.35" hidden="false" customHeight="false" outlineLevel="0" collapsed="false">
      <c r="B3970" s="19" t="s">
        <v>18634</v>
      </c>
      <c r="C3970" s="20" t="n">
        <f aca="false">ROUND(6.24/FX,2)</f>
        <v>0.87</v>
      </c>
      <c r="D3970" s="21" t="s">
        <v>18635</v>
      </c>
    </row>
    <row r="3971" customFormat="false" ht="28.35" hidden="false" customHeight="false" outlineLevel="0" collapsed="false">
      <c r="B3971" s="19" t="s">
        <v>18636</v>
      </c>
      <c r="C3971" s="20" t="n">
        <f aca="false">ROUND(7.67/FX,2)</f>
        <v>1.07</v>
      </c>
      <c r="D3971" s="21" t="s">
        <v>18637</v>
      </c>
    </row>
    <row r="3972" customFormat="false" ht="28.35" hidden="false" customHeight="false" outlineLevel="0" collapsed="false">
      <c r="B3972" s="19" t="s">
        <v>18638</v>
      </c>
      <c r="C3972" s="20" t="n">
        <f aca="false">ROUND(13/FX,2)</f>
        <v>1.81</v>
      </c>
      <c r="D3972" s="21" t="s">
        <v>18639</v>
      </c>
    </row>
    <row r="3973" customFormat="false" ht="28.35" hidden="false" customHeight="false" outlineLevel="0" collapsed="false">
      <c r="B3973" s="19" t="s">
        <v>18640</v>
      </c>
      <c r="C3973" s="20" t="n">
        <f aca="false">ROUND(14.43/FX,2)</f>
        <v>2</v>
      </c>
      <c r="D3973" s="21" t="s">
        <v>18641</v>
      </c>
    </row>
    <row r="3974" customFormat="false" ht="28.35" hidden="false" customHeight="false" outlineLevel="0" collapsed="false">
      <c r="B3974" s="19" t="s">
        <v>18642</v>
      </c>
      <c r="C3974" s="20" t="n">
        <f aca="false">ROUND(19.5/FX,2)</f>
        <v>2.71</v>
      </c>
      <c r="D3974" s="21" t="s">
        <v>18643</v>
      </c>
    </row>
    <row r="3975" customFormat="false" ht="28.35" hidden="false" customHeight="false" outlineLevel="0" collapsed="false">
      <c r="B3975" s="19" t="s">
        <v>18644</v>
      </c>
      <c r="C3975" s="20" t="n">
        <f aca="false">ROUND(20.93/FX,2)</f>
        <v>2.91</v>
      </c>
      <c r="D3975" s="21" t="s">
        <v>18645</v>
      </c>
    </row>
    <row r="3976" customFormat="false" ht="15" hidden="false" customHeight="false" outlineLevel="0" collapsed="false">
      <c r="B3976" s="19" t="s">
        <v>18646</v>
      </c>
      <c r="C3976" s="20" t="n">
        <f aca="false">ROUND(1.95/FX,2)</f>
        <v>0.27</v>
      </c>
      <c r="D3976" s="21" t="s">
        <v>18647</v>
      </c>
    </row>
    <row r="3977" customFormat="false" ht="15" hidden="false" customHeight="false" outlineLevel="0" collapsed="false">
      <c r="B3977" s="19" t="s">
        <v>18648</v>
      </c>
      <c r="C3977" s="20" t="n">
        <f aca="false">ROUND(1.95/FX,2)</f>
        <v>0.27</v>
      </c>
      <c r="D3977" s="21" t="s">
        <v>18649</v>
      </c>
    </row>
    <row r="3978" customFormat="false" ht="15" hidden="false" customHeight="false" outlineLevel="0" collapsed="false">
      <c r="B3978" s="19" t="s">
        <v>18650</v>
      </c>
      <c r="C3978" s="20" t="n">
        <f aca="false">ROUND(1.69/FX,2)</f>
        <v>0.23</v>
      </c>
      <c r="D3978" s="21" t="s">
        <v>18651</v>
      </c>
    </row>
    <row r="3979" customFormat="false" ht="15" hidden="false" customHeight="false" outlineLevel="0" collapsed="false">
      <c r="B3979" s="19" t="s">
        <v>18652</v>
      </c>
      <c r="C3979" s="20" t="n">
        <f aca="false">ROUND(1.74/FX,2)</f>
        <v>0.24</v>
      </c>
      <c r="D3979" s="21" t="s">
        <v>18653</v>
      </c>
    </row>
    <row r="3980" customFormat="false" ht="15" hidden="false" customHeight="false" outlineLevel="0" collapsed="false">
      <c r="B3980" s="19" t="s">
        <v>18654</v>
      </c>
      <c r="C3980" s="20" t="n">
        <f aca="false">ROUND(3.25/FX,2)</f>
        <v>0.45</v>
      </c>
      <c r="D3980" s="21" t="s">
        <v>18655</v>
      </c>
    </row>
    <row r="3981" customFormat="false" ht="15" hidden="false" customHeight="false" outlineLevel="0" collapsed="false">
      <c r="B3981" s="19" t="s">
        <v>18656</v>
      </c>
      <c r="C3981" s="20" t="n">
        <f aca="false">ROUND(3.25/FX,2)</f>
        <v>0.45</v>
      </c>
      <c r="D3981" s="21" t="s">
        <v>18657</v>
      </c>
    </row>
    <row r="3982" customFormat="false" ht="15" hidden="false" customHeight="false" outlineLevel="0" collapsed="false">
      <c r="B3982" s="19" t="s">
        <v>18658</v>
      </c>
      <c r="C3982" s="20" t="n">
        <f aca="false">ROUND(2.6/FX,2)</f>
        <v>0.36</v>
      </c>
      <c r="D3982" s="21" t="s">
        <v>18659</v>
      </c>
    </row>
    <row r="3983" customFormat="false" ht="15" hidden="false" customHeight="false" outlineLevel="0" collapsed="false">
      <c r="B3983" s="19" t="s">
        <v>18660</v>
      </c>
      <c r="C3983" s="20" t="n">
        <f aca="false">ROUND(2.6/FX,2)</f>
        <v>0.36</v>
      </c>
      <c r="D3983" s="21" t="s">
        <v>18661</v>
      </c>
    </row>
    <row r="3984" customFormat="false" ht="28.35" hidden="false" customHeight="false" outlineLevel="0" collapsed="false">
      <c r="B3984" s="19" t="s">
        <v>18662</v>
      </c>
      <c r="C3984" s="20" t="n">
        <f aca="false">ROUND(0.46/FX,2)</f>
        <v>0.06</v>
      </c>
      <c r="D3984" s="21" t="s">
        <v>18663</v>
      </c>
    </row>
    <row r="3985" customFormat="false" ht="28.35" hidden="false" customHeight="false" outlineLevel="0" collapsed="false">
      <c r="B3985" s="19" t="s">
        <v>18664</v>
      </c>
      <c r="C3985" s="20" t="n">
        <f aca="false">ROUND(1.95/FX,2)</f>
        <v>0.27</v>
      </c>
      <c r="D3985" s="21" t="s">
        <v>18665</v>
      </c>
    </row>
    <row r="3986" customFormat="false" ht="28.35" hidden="false" customHeight="false" outlineLevel="0" collapsed="false">
      <c r="B3986" s="19" t="s">
        <v>18666</v>
      </c>
      <c r="C3986" s="20" t="n">
        <f aca="false">ROUND(0.52/FX,2)</f>
        <v>0.07</v>
      </c>
      <c r="D3986" s="21" t="s">
        <v>18667</v>
      </c>
    </row>
    <row r="3987" customFormat="false" ht="28.35" hidden="false" customHeight="false" outlineLevel="0" collapsed="false">
      <c r="B3987" s="19" t="s">
        <v>18668</v>
      </c>
      <c r="C3987" s="20" t="n">
        <f aca="false">ROUND(2.08/FX,2)</f>
        <v>0.29</v>
      </c>
      <c r="D3987" s="21" t="s">
        <v>18669</v>
      </c>
    </row>
    <row r="3988" customFormat="false" ht="28.35" hidden="false" customHeight="false" outlineLevel="0" collapsed="false">
      <c r="B3988" s="19" t="s">
        <v>18670</v>
      </c>
      <c r="C3988" s="20" t="n">
        <f aca="false">ROUND(0.26/FX,2)</f>
        <v>0.04</v>
      </c>
      <c r="D3988" s="21" t="s">
        <v>18671</v>
      </c>
    </row>
    <row r="3989" customFormat="false" ht="28.35" hidden="false" customHeight="false" outlineLevel="0" collapsed="false">
      <c r="B3989" s="19" t="s">
        <v>18672</v>
      </c>
      <c r="C3989" s="20" t="n">
        <f aca="false">ROUND(1.95/FX,2)</f>
        <v>0.27</v>
      </c>
      <c r="D3989" s="21" t="s">
        <v>18673</v>
      </c>
    </row>
    <row r="3990" customFormat="false" ht="28.35" hidden="false" customHeight="false" outlineLevel="0" collapsed="false">
      <c r="B3990" s="19" t="s">
        <v>18674</v>
      </c>
      <c r="C3990" s="20" t="n">
        <f aca="false">ROUND(0.39/FX,2)</f>
        <v>0.05</v>
      </c>
      <c r="D3990" s="21" t="s">
        <v>18675</v>
      </c>
    </row>
    <row r="3991" customFormat="false" ht="28.35" hidden="false" customHeight="false" outlineLevel="0" collapsed="false">
      <c r="B3991" s="19" t="s">
        <v>18676</v>
      </c>
      <c r="C3991" s="20" t="n">
        <f aca="false">ROUND(1.95/FX,2)</f>
        <v>0.27</v>
      </c>
      <c r="D3991" s="21" t="s">
        <v>18677</v>
      </c>
    </row>
    <row r="3992" customFormat="false" ht="28.35" hidden="false" customHeight="false" outlineLevel="0" collapsed="false">
      <c r="B3992" s="19" t="s">
        <v>18678</v>
      </c>
      <c r="C3992" s="20" t="n">
        <f aca="false">ROUND(3.25/FX,2)</f>
        <v>0.45</v>
      </c>
      <c r="D3992" s="21" t="s">
        <v>18679</v>
      </c>
    </row>
    <row r="3993" customFormat="false" ht="28.35" hidden="false" customHeight="false" outlineLevel="0" collapsed="false">
      <c r="B3993" s="19" t="s">
        <v>18680</v>
      </c>
      <c r="C3993" s="20" t="n">
        <f aca="false">ROUND(3.9/FX,2)</f>
        <v>0.54</v>
      </c>
      <c r="D3993" s="21" t="s">
        <v>18681</v>
      </c>
    </row>
    <row r="3994" customFormat="false" ht="28.35" hidden="false" customHeight="false" outlineLevel="0" collapsed="false">
      <c r="B3994" s="19" t="s">
        <v>18682</v>
      </c>
      <c r="C3994" s="20" t="n">
        <f aca="false">ROUND(3.25/FX,2)</f>
        <v>0.45</v>
      </c>
      <c r="D3994" s="21" t="s">
        <v>18683</v>
      </c>
    </row>
    <row r="3995" customFormat="false" ht="28.35" hidden="false" customHeight="false" outlineLevel="0" collapsed="false">
      <c r="B3995" s="19" t="s">
        <v>18684</v>
      </c>
      <c r="C3995" s="20" t="n">
        <f aca="false">ROUND(3.25/FX,2)</f>
        <v>0.45</v>
      </c>
      <c r="D3995" s="21" t="s">
        <v>18685</v>
      </c>
    </row>
    <row r="3998" customFormat="false" ht="61.5" hidden="false" customHeight="true" outlineLevel="0" collapsed="false">
      <c r="A3998" s="9"/>
      <c r="B3998" s="10" t="s">
        <v>18686</v>
      </c>
      <c r="C3998" s="10"/>
      <c r="D3998" s="10"/>
      <c r="E3998" s="10"/>
    </row>
    <row r="3999" customFormat="false" ht="15" hidden="false" customHeight="false" outlineLevel="0" collapsed="false">
      <c r="A3999" s="12" t="s">
        <v>700</v>
      </c>
      <c r="B3999" s="13" t="s">
        <v>701</v>
      </c>
      <c r="C3999" s="13" t="s">
        <v>702</v>
      </c>
      <c r="D3999" s="13" t="s">
        <v>705</v>
      </c>
      <c r="E3999" s="13" t="s">
        <v>6523</v>
      </c>
    </row>
    <row r="4000" customFormat="false" ht="30" hidden="false" customHeight="true" outlineLevel="0" collapsed="false">
      <c r="A4000" s="14" t="s">
        <v>706</v>
      </c>
      <c r="B4000" s="15" t="str">
        <f aca="false">IF(COUNTIFS($D$4003:$D$4008,IF(D4000="","*",D4000),$E$4003:$E$4008,IF(E4000="","*",E4000))=1,INDEX($B:$B,SUMPRODUCT(((D4000="")+($D$4003:$D$4008=D4000)&gt;0)*((E4000="")+($E$4003:$E$4008=E4000)&gt;0)*ROW($B$4003:$B$4008))),IF(COUNTIFS($D$4003:$D$4008,IF(D4000="","*",D4000),$E$4003:$E$4008,IF(E4000="","*",E4000))=0,"Not available",COUNTIFS($D$4003:$D$4008,IF(D4000="","*",D4000),$E$4003:$E$4008,IF(E4000="","*",E4000))&amp;" match, keep choosing"))</f>
        <v>RL-018-5x8x5-P5</v>
      </c>
      <c r="C4000" s="16" t="n">
        <f aca="false">IF(COUNTIFS($D$4003:$D$4008,IF(D4000="","*",D4000),$E$4003:$E$4008,IF(E4000="","*",E4000))=1,INDEX($C:$C,SUMPRODUCT(((D4000="")+($D$4003:$D$4008=D4000)&gt;0)*((E4000="")+($E$4003:$E$4008=E4000)&gt;0)*ROW($B$4003:$B$4008))),"")</f>
        <v>0.14</v>
      </c>
      <c r="D4000" s="17" t="s">
        <v>13743</v>
      </c>
      <c r="E4000" s="17" t="s">
        <v>18687</v>
      </c>
    </row>
    <row r="4002" customFormat="false" ht="15" hidden="false" customHeight="false" outlineLevel="0" collapsed="false">
      <c r="B4002" s="18" t="s">
        <v>701</v>
      </c>
      <c r="C4002" s="18" t="s">
        <v>702</v>
      </c>
      <c r="D4002" s="18" t="s">
        <v>705</v>
      </c>
      <c r="E4002" s="18" t="s">
        <v>6523</v>
      </c>
    </row>
    <row r="4003" customFormat="false" ht="15" hidden="false" customHeight="false" outlineLevel="0" collapsed="false">
      <c r="B4003" s="19" t="s">
        <v>18688</v>
      </c>
      <c r="C4003" s="20" t="n">
        <f aca="false">ROUND(1.04/FX,2)</f>
        <v>0.14</v>
      </c>
      <c r="D4003" s="21" t="s">
        <v>13743</v>
      </c>
      <c r="E4003" s="21" t="s">
        <v>18687</v>
      </c>
    </row>
    <row r="4004" customFormat="false" ht="15" hidden="false" customHeight="false" outlineLevel="0" collapsed="false">
      <c r="B4004" s="19" t="s">
        <v>18689</v>
      </c>
      <c r="C4004" s="20" t="n">
        <f aca="false">ROUND(1.56/FX,2)</f>
        <v>0.22</v>
      </c>
      <c r="D4004" s="21" t="s">
        <v>13732</v>
      </c>
      <c r="E4004" s="21" t="s">
        <v>18690</v>
      </c>
    </row>
    <row r="4005" customFormat="false" ht="15" hidden="false" customHeight="false" outlineLevel="0" collapsed="false">
      <c r="B4005" s="19" t="s">
        <v>18691</v>
      </c>
      <c r="C4005" s="20" t="n">
        <f aca="false">ROUND(1.47/FX,2)</f>
        <v>0.2</v>
      </c>
      <c r="D4005" s="21" t="s">
        <v>13732</v>
      </c>
      <c r="E4005" s="21" t="s">
        <v>18692</v>
      </c>
    </row>
    <row r="4006" customFormat="false" ht="15" hidden="false" customHeight="false" outlineLevel="0" collapsed="false">
      <c r="B4006" s="19" t="s">
        <v>18693</v>
      </c>
      <c r="C4006" s="20" t="n">
        <f aca="false">ROUND(1.04/FX,2)</f>
        <v>0.14</v>
      </c>
      <c r="D4006" s="21" t="s">
        <v>13732</v>
      </c>
      <c r="E4006" s="21" t="s">
        <v>18694</v>
      </c>
    </row>
    <row r="4007" customFormat="false" ht="15" hidden="false" customHeight="false" outlineLevel="0" collapsed="false">
      <c r="B4007" s="19" t="s">
        <v>18695</v>
      </c>
      <c r="C4007" s="20" t="n">
        <f aca="false">ROUND(1.28/FX,2)</f>
        <v>0.18</v>
      </c>
      <c r="D4007" s="21" t="s">
        <v>13732</v>
      </c>
      <c r="E4007" s="21" t="s">
        <v>18696</v>
      </c>
    </row>
    <row r="4008" customFormat="false" ht="15" hidden="false" customHeight="false" outlineLevel="0" collapsed="false">
      <c r="B4008" s="19" t="s">
        <v>18697</v>
      </c>
      <c r="C4008" s="20" t="n">
        <f aca="false">ROUND(1.63/FX,2)</f>
        <v>0.23</v>
      </c>
      <c r="D4008" s="21" t="s">
        <v>13732</v>
      </c>
      <c r="E4008" s="21" t="s">
        <v>18698</v>
      </c>
    </row>
    <row r="4011" customFormat="false" ht="61.5" hidden="false" customHeight="true" outlineLevel="0" collapsed="false">
      <c r="A4011" s="9"/>
      <c r="B4011" s="10" t="s">
        <v>18699</v>
      </c>
      <c r="C4011" s="10"/>
      <c r="D4011" s="10"/>
    </row>
    <row r="4012" customFormat="false" ht="15" hidden="false" customHeight="false" outlineLevel="0" collapsed="false">
      <c r="A4012" s="12" t="s">
        <v>700</v>
      </c>
      <c r="B4012" s="13" t="s">
        <v>701</v>
      </c>
      <c r="C4012" s="13" t="s">
        <v>702</v>
      </c>
      <c r="D4012" s="13" t="s">
        <v>6523</v>
      </c>
    </row>
    <row r="4013" customFormat="false" ht="30" hidden="false" customHeight="true" outlineLevel="0" collapsed="false">
      <c r="A4013" s="14" t="s">
        <v>706</v>
      </c>
      <c r="B4013" s="15" t="str">
        <f aca="false">IF(COUNTIFS($D$4016:$D$4042,IF(D4013="","*",D4013))=1,INDEX($B:$B,SUMPRODUCT(((D4013="")+($D$4016:$D$4042=D4013)&gt;0)*ROW($B$4016:$B$4042))),IF(COUNTIFS($D$4016:$D$4042,IF(D4013="","*",D4013))=0,"Not available",COUNTIFS($D$4016:$D$4042,IF(D4013="","*",D4013))&amp;" match, keep choosing"))</f>
        <v>RL-013-10x12x10</v>
      </c>
      <c r="C4013" s="16" t="n">
        <f aca="false">IF(COUNTIFS($D$4016:$D$4042,IF(D4013="","*",D4013))=1,INDEX($C:$C,SUMPRODUCT(((D4013="")+($D$4016:$D$4042=D4013)&gt;0)*ROW($B$4016:$B$4042))),"")</f>
        <v>0.81</v>
      </c>
      <c r="D4013" s="17" t="s">
        <v>18700</v>
      </c>
    </row>
    <row r="4015" customFormat="false" ht="15" hidden="false" customHeight="false" outlineLevel="0" collapsed="false">
      <c r="B4015" s="18" t="s">
        <v>701</v>
      </c>
      <c r="C4015" s="18" t="s">
        <v>702</v>
      </c>
      <c r="D4015" s="18" t="s">
        <v>6523</v>
      </c>
    </row>
    <row r="4016" customFormat="false" ht="15" hidden="false" customHeight="false" outlineLevel="0" collapsed="false">
      <c r="B4016" s="19" t="s">
        <v>18701</v>
      </c>
      <c r="C4016" s="20" t="n">
        <f aca="false">ROUND(5.85/FX,2)</f>
        <v>0.81</v>
      </c>
      <c r="D4016" s="21" t="s">
        <v>18700</v>
      </c>
    </row>
    <row r="4017" customFormat="false" ht="15" hidden="false" customHeight="false" outlineLevel="0" collapsed="false">
      <c r="B4017" s="19" t="s">
        <v>18702</v>
      </c>
      <c r="C4017" s="20" t="n">
        <f aca="false">ROUND(5.2/FX,2)</f>
        <v>0.72</v>
      </c>
      <c r="D4017" s="21" t="s">
        <v>18703</v>
      </c>
    </row>
    <row r="4018" customFormat="false" ht="15" hidden="false" customHeight="false" outlineLevel="0" collapsed="false">
      <c r="B4018" s="19" t="s">
        <v>18704</v>
      </c>
      <c r="C4018" s="20" t="n">
        <f aca="false">ROUND(7.8/FX,2)</f>
        <v>1.08</v>
      </c>
      <c r="D4018" s="21" t="s">
        <v>18705</v>
      </c>
    </row>
    <row r="4019" customFormat="false" ht="15" hidden="false" customHeight="false" outlineLevel="0" collapsed="false">
      <c r="B4019" s="19" t="s">
        <v>18706</v>
      </c>
      <c r="C4019" s="20" t="n">
        <f aca="false">ROUND(8.45/FX,2)</f>
        <v>1.17</v>
      </c>
      <c r="D4019" s="21" t="s">
        <v>17120</v>
      </c>
    </row>
    <row r="4020" customFormat="false" ht="15" hidden="false" customHeight="false" outlineLevel="0" collapsed="false">
      <c r="B4020" s="19" t="s">
        <v>18707</v>
      </c>
      <c r="C4020" s="20" t="n">
        <f aca="false">ROUND(13/FX,2)</f>
        <v>1.81</v>
      </c>
      <c r="D4020" s="21" t="s">
        <v>17111</v>
      </c>
    </row>
    <row r="4021" customFormat="false" ht="15" hidden="false" customHeight="false" outlineLevel="0" collapsed="false">
      <c r="B4021" s="19" t="s">
        <v>18708</v>
      </c>
      <c r="C4021" s="20" t="n">
        <f aca="false">ROUND(4.55/FX,2)</f>
        <v>0.63</v>
      </c>
      <c r="D4021" s="21" t="s">
        <v>18709</v>
      </c>
    </row>
    <row r="4022" customFormat="false" ht="15" hidden="false" customHeight="false" outlineLevel="0" collapsed="false">
      <c r="B4022" s="19" t="s">
        <v>18710</v>
      </c>
      <c r="C4022" s="20" t="n">
        <f aca="false">ROUND(5.85/FX,2)</f>
        <v>0.81</v>
      </c>
      <c r="D4022" s="21" t="s">
        <v>18711</v>
      </c>
    </row>
    <row r="4023" customFormat="false" ht="15" hidden="false" customHeight="false" outlineLevel="0" collapsed="false">
      <c r="B4023" s="19" t="s">
        <v>18712</v>
      </c>
      <c r="C4023" s="20" t="n">
        <f aca="false">ROUND(5.46/FX,2)</f>
        <v>0.76</v>
      </c>
      <c r="D4023" s="21" t="s">
        <v>18713</v>
      </c>
    </row>
    <row r="4024" customFormat="false" ht="15" hidden="false" customHeight="false" outlineLevel="0" collapsed="false">
      <c r="B4024" s="19" t="s">
        <v>18714</v>
      </c>
      <c r="C4024" s="20" t="n">
        <f aca="false">ROUND(5.2/FX,2)</f>
        <v>0.72</v>
      </c>
      <c r="D4024" s="21" t="s">
        <v>18715</v>
      </c>
    </row>
    <row r="4025" customFormat="false" ht="15" hidden="false" customHeight="false" outlineLevel="0" collapsed="false">
      <c r="B4025" s="19" t="s">
        <v>18716</v>
      </c>
      <c r="C4025" s="20" t="n">
        <f aca="false">ROUND(9.1/FX,2)</f>
        <v>1.26</v>
      </c>
      <c r="D4025" s="21" t="s">
        <v>17137</v>
      </c>
    </row>
    <row r="4026" customFormat="false" ht="15" hidden="false" customHeight="false" outlineLevel="0" collapsed="false">
      <c r="B4026" s="19" t="s">
        <v>18717</v>
      </c>
      <c r="C4026" s="20" t="n">
        <f aca="false">ROUND(15.6/FX,2)</f>
        <v>2.17</v>
      </c>
      <c r="D4026" s="21" t="s">
        <v>17131</v>
      </c>
    </row>
    <row r="4027" customFormat="false" ht="15" hidden="false" customHeight="false" outlineLevel="0" collapsed="false">
      <c r="B4027" s="19" t="s">
        <v>18718</v>
      </c>
      <c r="C4027" s="20" t="n">
        <f aca="false">ROUND(7.8/FX,2)</f>
        <v>1.08</v>
      </c>
      <c r="D4027" s="21" t="s">
        <v>18719</v>
      </c>
    </row>
    <row r="4028" customFormat="false" ht="15" hidden="false" customHeight="false" outlineLevel="0" collapsed="false">
      <c r="B4028" s="19" t="s">
        <v>18720</v>
      </c>
      <c r="C4028" s="20" t="n">
        <f aca="false">ROUND(13/FX,2)</f>
        <v>1.81</v>
      </c>
      <c r="D4028" s="21" t="s">
        <v>18721</v>
      </c>
    </row>
    <row r="4029" customFormat="false" ht="15" hidden="false" customHeight="false" outlineLevel="0" collapsed="false">
      <c r="B4029" s="19" t="s">
        <v>18722</v>
      </c>
      <c r="C4029" s="20" t="n">
        <f aca="false">ROUND(4.29/FX,2)</f>
        <v>0.6</v>
      </c>
      <c r="D4029" s="21" t="s">
        <v>18723</v>
      </c>
    </row>
    <row r="4030" customFormat="false" ht="15" hidden="false" customHeight="false" outlineLevel="0" collapsed="false">
      <c r="B4030" s="19" t="s">
        <v>18724</v>
      </c>
      <c r="C4030" s="20" t="n">
        <f aca="false">ROUND(5.2/FX,2)</f>
        <v>0.72</v>
      </c>
      <c r="D4030" s="21" t="s">
        <v>18725</v>
      </c>
    </row>
    <row r="4031" customFormat="false" ht="15" hidden="false" customHeight="false" outlineLevel="0" collapsed="false">
      <c r="B4031" s="19" t="s">
        <v>18726</v>
      </c>
      <c r="C4031" s="20" t="n">
        <f aca="false">ROUND(4.55/FX,2)</f>
        <v>0.63</v>
      </c>
      <c r="D4031" s="21" t="s">
        <v>18727</v>
      </c>
    </row>
    <row r="4032" customFormat="false" ht="15" hidden="false" customHeight="false" outlineLevel="0" collapsed="false">
      <c r="B4032" s="19" t="s">
        <v>18728</v>
      </c>
      <c r="C4032" s="20" t="n">
        <f aca="false">ROUND(4.55/FX,2)</f>
        <v>0.63</v>
      </c>
      <c r="D4032" s="21" t="s">
        <v>17293</v>
      </c>
    </row>
    <row r="4033" customFormat="false" ht="15" hidden="false" customHeight="false" outlineLevel="0" collapsed="false">
      <c r="B4033" s="19" t="s">
        <v>18729</v>
      </c>
      <c r="C4033" s="20" t="n">
        <f aca="false">ROUND(6.5/FX,2)</f>
        <v>0.9</v>
      </c>
      <c r="D4033" s="21" t="s">
        <v>18730</v>
      </c>
    </row>
    <row r="4034" customFormat="false" ht="15" hidden="false" customHeight="false" outlineLevel="0" collapsed="false">
      <c r="B4034" s="19" t="s">
        <v>18731</v>
      </c>
      <c r="C4034" s="20" t="n">
        <f aca="false">ROUND(6.5/FX,2)</f>
        <v>0.9</v>
      </c>
      <c r="D4034" s="21" t="s">
        <v>17289</v>
      </c>
    </row>
    <row r="4035" customFormat="false" ht="15" hidden="false" customHeight="false" outlineLevel="0" collapsed="false">
      <c r="B4035" s="19" t="s">
        <v>18732</v>
      </c>
      <c r="C4035" s="20" t="n">
        <f aca="false">ROUND(4.81/FX,2)</f>
        <v>0.67</v>
      </c>
      <c r="D4035" s="21" t="s">
        <v>18733</v>
      </c>
    </row>
    <row r="4036" customFormat="false" ht="15" hidden="false" customHeight="false" outlineLevel="0" collapsed="false">
      <c r="B4036" s="19" t="s">
        <v>18734</v>
      </c>
      <c r="C4036" s="20" t="n">
        <f aca="false">ROUND(4.55/FX,2)</f>
        <v>0.63</v>
      </c>
      <c r="D4036" s="21" t="s">
        <v>18735</v>
      </c>
    </row>
    <row r="4037" customFormat="false" ht="15" hidden="false" customHeight="false" outlineLevel="0" collapsed="false">
      <c r="B4037" s="19" t="s">
        <v>18736</v>
      </c>
      <c r="C4037" s="20" t="n">
        <f aca="false">ROUND(3.9/FX,2)</f>
        <v>0.54</v>
      </c>
      <c r="D4037" s="21" t="s">
        <v>18737</v>
      </c>
    </row>
    <row r="4038" customFormat="false" ht="15" hidden="false" customHeight="false" outlineLevel="0" collapsed="false">
      <c r="B4038" s="19" t="s">
        <v>18738</v>
      </c>
      <c r="C4038" s="20" t="n">
        <f aca="false">ROUND(4.3/FX,2)</f>
        <v>0.6</v>
      </c>
      <c r="D4038" s="21" t="s">
        <v>18692</v>
      </c>
    </row>
    <row r="4039" customFormat="false" ht="15" hidden="false" customHeight="false" outlineLevel="0" collapsed="false">
      <c r="B4039" s="19" t="s">
        <v>18739</v>
      </c>
      <c r="C4039" s="20" t="n">
        <f aca="false">ROUND(4.55/FX,2)</f>
        <v>0.63</v>
      </c>
      <c r="D4039" s="21" t="s">
        <v>18698</v>
      </c>
    </row>
    <row r="4040" customFormat="false" ht="15" hidden="false" customHeight="false" outlineLevel="0" collapsed="false">
      <c r="B4040" s="19" t="s">
        <v>18740</v>
      </c>
      <c r="C4040" s="20" t="n">
        <f aca="false">ROUND(5.85/FX,2)</f>
        <v>0.81</v>
      </c>
      <c r="D4040" s="21" t="s">
        <v>17311</v>
      </c>
    </row>
    <row r="4041" customFormat="false" ht="15" hidden="false" customHeight="false" outlineLevel="0" collapsed="false">
      <c r="B4041" s="19" t="s">
        <v>18741</v>
      </c>
      <c r="C4041" s="20" t="n">
        <f aca="false">ROUND(5.59/FX,2)</f>
        <v>0.78</v>
      </c>
      <c r="D4041" s="21" t="s">
        <v>17303</v>
      </c>
    </row>
    <row r="4042" customFormat="false" ht="15" hidden="false" customHeight="false" outlineLevel="0" collapsed="false">
      <c r="B4042" s="19" t="s">
        <v>18742</v>
      </c>
      <c r="C4042" s="20" t="n">
        <f aca="false">ROUND(7.8/FX,2)</f>
        <v>1.08</v>
      </c>
      <c r="D4042" s="21" t="s">
        <v>17306</v>
      </c>
    </row>
    <row r="4045" customFormat="false" ht="61.5" hidden="false" customHeight="true" outlineLevel="0" collapsed="false">
      <c r="A4045" s="9"/>
      <c r="B4045" s="10" t="s">
        <v>18743</v>
      </c>
      <c r="C4045" s="10"/>
      <c r="D4045" s="10"/>
      <c r="E4045" s="10"/>
      <c r="F4045" s="10"/>
    </row>
    <row r="4046" customFormat="false" ht="15" hidden="false" customHeight="false" outlineLevel="0" collapsed="false">
      <c r="A4046" s="12" t="s">
        <v>700</v>
      </c>
      <c r="B4046" s="13" t="s">
        <v>701</v>
      </c>
      <c r="C4046" s="13" t="s">
        <v>702</v>
      </c>
      <c r="D4046" s="13" t="s">
        <v>6523</v>
      </c>
      <c r="E4046" s="13" t="s">
        <v>122</v>
      </c>
      <c r="F4046" s="13" t="s">
        <v>18744</v>
      </c>
    </row>
    <row r="4047" customFormat="false" ht="30" hidden="false" customHeight="true" outlineLevel="0" collapsed="false">
      <c r="A4047" s="14" t="s">
        <v>706</v>
      </c>
      <c r="B4047" s="15" t="str">
        <f aca="false">IF(COUNTIFS($D$4050:$D$4064,IF(D4047="","*",D4047),$E$4050:$E$4064,IF(E4047="","*",E4047),$F$4050:$F$4064,IF(F4047="","*",F4047))=1,INDEX($B:$B,SUMPRODUCT(((D4047="")+($D$4050:$D$4064=D4047)&gt;0)*((E4047="")+($E$4050:$E$4064=E4047)&gt;0)*((F4047="")+($F$4050:$F$4064=F4047)&gt;0)*ROW($B$4050:$B$4064))),IF(COUNTIFS($D$4050:$D$4064,IF(D4047="","*",D4047),$E$4050:$E$4064,IF(E4047="","*",E4047),$F$4050:$F$4064,IF(F4047="","*",F4047))=0,"Not available",COUNTIFS($D$4050:$D$4064,IF(D4047="","*",D4047),$E$4050:$E$4064,IF(E4047="","*",E4047),$F$4050:$F$4064,IF(F4047="","*",F4047))&amp;" match, keep choosing"))</f>
        <v>JDB-F-12x21x30-LMF12UU</v>
      </c>
      <c r="C4047" s="16" t="n">
        <f aca="false">IF(COUNTIFS($D$4050:$D$4064,IF(D4047="","*",D4047),$E$4050:$E$4064,IF(E4047="","*",E4047),$F$4050:$F$4064,IF(F4047="","*",F4047))=1,INDEX($C:$C,SUMPRODUCT(((D4047="")+($D$4050:$D$4064=D4047)&gt;0)*((E4047="")+($E$4050:$E$4064=E4047)&gt;0)*((F4047="")+($F$4050:$F$4064=F4047)&gt;0)*ROW($B$4050:$B$4064))),"")</f>
        <v>2.95</v>
      </c>
      <c r="D4047" s="17" t="s">
        <v>17137</v>
      </c>
      <c r="E4047" s="17" t="s">
        <v>13025</v>
      </c>
      <c r="F4047" s="17" t="s">
        <v>18247</v>
      </c>
    </row>
    <row r="4049" customFormat="false" ht="15" hidden="false" customHeight="false" outlineLevel="0" collapsed="false">
      <c r="B4049" s="18" t="s">
        <v>701</v>
      </c>
      <c r="C4049" s="18" t="s">
        <v>702</v>
      </c>
      <c r="D4049" s="18" t="s">
        <v>6523</v>
      </c>
      <c r="E4049" s="18" t="s">
        <v>122</v>
      </c>
      <c r="F4049" s="18" t="s">
        <v>18744</v>
      </c>
    </row>
    <row r="4050" customFormat="false" ht="15" hidden="false" customHeight="false" outlineLevel="0" collapsed="false">
      <c r="B4050" s="19" t="s">
        <v>18745</v>
      </c>
      <c r="C4050" s="20" t="n">
        <f aca="false">ROUND(21.24/FX,2)</f>
        <v>2.95</v>
      </c>
      <c r="D4050" s="21" t="s">
        <v>17137</v>
      </c>
      <c r="E4050" s="21" t="s">
        <v>13025</v>
      </c>
      <c r="F4050" s="21" t="s">
        <v>18247</v>
      </c>
    </row>
    <row r="4051" customFormat="false" ht="15" hidden="false" customHeight="false" outlineLevel="0" collapsed="false">
      <c r="B4051" s="19" t="s">
        <v>18746</v>
      </c>
      <c r="C4051" s="20" t="n">
        <f aca="false">ROUND(15/FX,2)</f>
        <v>2.08</v>
      </c>
      <c r="D4051" s="21" t="s">
        <v>18747</v>
      </c>
      <c r="E4051" s="21" t="s">
        <v>13025</v>
      </c>
      <c r="F4051" s="21" t="s">
        <v>18357</v>
      </c>
    </row>
    <row r="4052" customFormat="false" ht="15" hidden="false" customHeight="false" outlineLevel="0" collapsed="false">
      <c r="B4052" s="19" t="s">
        <v>18748</v>
      </c>
      <c r="C4052" s="20" t="n">
        <f aca="false">ROUND(23.4/FX,2)</f>
        <v>3.25</v>
      </c>
      <c r="D4052" s="21" t="s">
        <v>18749</v>
      </c>
      <c r="E4052" s="21" t="s">
        <v>13025</v>
      </c>
      <c r="F4052" s="21" t="s">
        <v>18350</v>
      </c>
    </row>
    <row r="4053" customFormat="false" ht="15" hidden="false" customHeight="false" outlineLevel="0" collapsed="false">
      <c r="B4053" s="19" t="s">
        <v>18750</v>
      </c>
      <c r="C4053" s="20" t="n">
        <f aca="false">ROUND(14.17/FX,2)</f>
        <v>1.97</v>
      </c>
      <c r="D4053" s="21" t="s">
        <v>18751</v>
      </c>
      <c r="E4053" s="21" t="s">
        <v>13025</v>
      </c>
      <c r="F4053" s="21" t="s">
        <v>6336</v>
      </c>
    </row>
    <row r="4054" customFormat="false" ht="28.35" hidden="false" customHeight="false" outlineLevel="0" collapsed="false">
      <c r="B4054" s="19" t="s">
        <v>18752</v>
      </c>
      <c r="C4054" s="20" t="n">
        <f aca="false">ROUND(14.3/FX,2)</f>
        <v>1.99</v>
      </c>
      <c r="D4054" s="21" t="s">
        <v>18753</v>
      </c>
      <c r="E4054" s="21" t="s">
        <v>18754</v>
      </c>
      <c r="F4054" s="21" t="s">
        <v>6336</v>
      </c>
    </row>
    <row r="4055" customFormat="false" ht="28.35" hidden="false" customHeight="false" outlineLevel="0" collapsed="false">
      <c r="B4055" s="19" t="s">
        <v>18755</v>
      </c>
      <c r="C4055" s="20" t="n">
        <f aca="false">ROUND(15.6/FX,2)</f>
        <v>2.17</v>
      </c>
      <c r="D4055" s="21" t="s">
        <v>18756</v>
      </c>
      <c r="E4055" s="21" t="s">
        <v>18754</v>
      </c>
      <c r="F4055" s="21" t="s">
        <v>18440</v>
      </c>
    </row>
    <row r="4056" customFormat="false" ht="28.35" hidden="false" customHeight="false" outlineLevel="0" collapsed="false">
      <c r="B4056" s="19" t="s">
        <v>18757</v>
      </c>
      <c r="C4056" s="20" t="n">
        <f aca="false">ROUND(23.4/FX,2)</f>
        <v>3.25</v>
      </c>
      <c r="D4056" s="21" t="s">
        <v>18758</v>
      </c>
      <c r="E4056" s="21" t="s">
        <v>18754</v>
      </c>
      <c r="F4056" s="21" t="s">
        <v>18146</v>
      </c>
    </row>
    <row r="4057" customFormat="false" ht="28.35" hidden="false" customHeight="false" outlineLevel="0" collapsed="false">
      <c r="B4057" s="19" t="s">
        <v>18759</v>
      </c>
      <c r="C4057" s="20" t="n">
        <f aca="false">ROUND(19.5/FX,2)</f>
        <v>2.71</v>
      </c>
      <c r="D4057" s="21" t="s">
        <v>18760</v>
      </c>
      <c r="E4057" s="21" t="s">
        <v>18754</v>
      </c>
      <c r="F4057" s="21" t="s">
        <v>18366</v>
      </c>
    </row>
    <row r="4058" customFormat="false" ht="28.35" hidden="false" customHeight="false" outlineLevel="0" collapsed="false">
      <c r="B4058" s="19" t="s">
        <v>18761</v>
      </c>
      <c r="C4058" s="20" t="n">
        <f aca="false">ROUND(22.1/FX,2)</f>
        <v>3.07</v>
      </c>
      <c r="D4058" s="21" t="s">
        <v>18762</v>
      </c>
      <c r="E4058" s="21" t="s">
        <v>18754</v>
      </c>
      <c r="F4058" s="21" t="s">
        <v>18374</v>
      </c>
    </row>
    <row r="4059" customFormat="false" ht="28.35" hidden="false" customHeight="false" outlineLevel="0" collapsed="false">
      <c r="B4059" s="19" t="s">
        <v>18763</v>
      </c>
      <c r="C4059" s="20" t="n">
        <f aca="false">ROUND(16.9/FX,2)</f>
        <v>2.35</v>
      </c>
      <c r="D4059" s="21" t="s">
        <v>17137</v>
      </c>
      <c r="E4059" s="21" t="s">
        <v>18764</v>
      </c>
      <c r="F4059" s="21" t="s">
        <v>6336</v>
      </c>
    </row>
    <row r="4060" customFormat="false" ht="28.35" hidden="false" customHeight="false" outlineLevel="0" collapsed="false">
      <c r="B4060" s="19" t="s">
        <v>18765</v>
      </c>
      <c r="C4060" s="20" t="n">
        <f aca="false">ROUND(14.95/FX,2)</f>
        <v>2.08</v>
      </c>
      <c r="D4060" s="21" t="s">
        <v>18766</v>
      </c>
      <c r="E4060" s="21" t="s">
        <v>18764</v>
      </c>
      <c r="F4060" s="21" t="s">
        <v>6336</v>
      </c>
    </row>
    <row r="4061" customFormat="false" ht="28.35" hidden="false" customHeight="false" outlineLevel="0" collapsed="false">
      <c r="B4061" s="19" t="s">
        <v>18767</v>
      </c>
      <c r="C4061" s="20" t="n">
        <f aca="false">ROUND(26/FX,2)</f>
        <v>3.61</v>
      </c>
      <c r="D4061" s="21" t="s">
        <v>18768</v>
      </c>
      <c r="E4061" s="21" t="s">
        <v>18764</v>
      </c>
      <c r="F4061" s="21" t="s">
        <v>6336</v>
      </c>
    </row>
    <row r="4062" customFormat="false" ht="28.35" hidden="false" customHeight="false" outlineLevel="0" collapsed="false">
      <c r="B4062" s="19" t="s">
        <v>18769</v>
      </c>
      <c r="C4062" s="20" t="n">
        <f aca="false">ROUND(20.8/FX,2)</f>
        <v>2.89</v>
      </c>
      <c r="D4062" s="21" t="s">
        <v>18770</v>
      </c>
      <c r="E4062" s="21" t="s">
        <v>18764</v>
      </c>
      <c r="F4062" s="21" t="s">
        <v>6336</v>
      </c>
    </row>
    <row r="4063" customFormat="false" ht="28.35" hidden="false" customHeight="false" outlineLevel="0" collapsed="false">
      <c r="B4063" s="19" t="s">
        <v>18771</v>
      </c>
      <c r="C4063" s="20" t="n">
        <f aca="false">ROUND(13/FX,2)</f>
        <v>1.81</v>
      </c>
      <c r="D4063" s="21" t="s">
        <v>18772</v>
      </c>
      <c r="E4063" s="21" t="s">
        <v>18764</v>
      </c>
      <c r="F4063" s="21" t="s">
        <v>6336</v>
      </c>
    </row>
    <row r="4064" customFormat="false" ht="28.35" hidden="false" customHeight="false" outlineLevel="0" collapsed="false">
      <c r="B4064" s="19" t="s">
        <v>18773</v>
      </c>
      <c r="C4064" s="20" t="n">
        <f aca="false">ROUND(26/FX,2)</f>
        <v>3.61</v>
      </c>
      <c r="D4064" s="21" t="s">
        <v>18774</v>
      </c>
      <c r="E4064" s="21" t="s">
        <v>18764</v>
      </c>
      <c r="F4064" s="21" t="s">
        <v>6336</v>
      </c>
    </row>
    <row r="4067" customFormat="false" ht="61.5" hidden="false" customHeight="true" outlineLevel="0" collapsed="false">
      <c r="A4067" s="9"/>
      <c r="B4067" s="10" t="s">
        <v>18775</v>
      </c>
      <c r="C4067" s="10"/>
      <c r="D4067" s="10"/>
      <c r="E4067" s="10"/>
      <c r="F4067" s="10"/>
      <c r="G4067" s="10"/>
    </row>
    <row r="4068" customFormat="false" ht="15" hidden="false" customHeight="false" outlineLevel="0" collapsed="false">
      <c r="A4068" s="12" t="s">
        <v>700</v>
      </c>
      <c r="B4068" s="13" t="s">
        <v>701</v>
      </c>
      <c r="C4068" s="13" t="s">
        <v>702</v>
      </c>
      <c r="D4068" s="13" t="s">
        <v>722</v>
      </c>
      <c r="E4068" s="13" t="s">
        <v>705</v>
      </c>
      <c r="F4068" s="13" t="s">
        <v>723</v>
      </c>
      <c r="G4068" s="13" t="s">
        <v>6523</v>
      </c>
    </row>
    <row r="4069" customFormat="false" ht="30" hidden="false" customHeight="true" outlineLevel="0" collapsed="false">
      <c r="A4069" s="14" t="s">
        <v>706</v>
      </c>
      <c r="B4069" s="15" t="str">
        <f aca="false">IF(COUNTIFS($D$4072:$D$4114,IF(D4069="","*",D4069),$E$4072:$E$4114,IF(E4069="","*",E4069),$F$4072:$F$4114,IF(F4069="","*",F4069),$G$4072:$G$4114,IF(G4069="","*",G4069))=1,INDEX($B:$B,SUMPRODUCT(((D4069="")+($D$4072:$D$4114=D4069)&gt;0)*((E4069="")+($E$4072:$E$4114=E4069)&gt;0)*((F4069="")+($F$4072:$F$4114=F4069)&gt;0)*((G4069="")+($G$4072:$G$4114=G4069)&gt;0)*ROW($B$4072:$B$4114))),IF(COUNTIFS($D$4072:$D$4114,IF(D4069="","*",D4069),$E$4072:$E$4114,IF(E4069="","*",E4069),$F$4072:$F$4114,IF(F4069="","*",F4069),$G$4072:$G$4114,IF(G4069="","*",G4069))=0,"Not available",COUNTIFS($D$4072:$D$4114,IF(D4069="","*",D4069),$E$4072:$E$4114,IF(E4069="","*",E4069),$F$4072:$F$4114,IF(F4069="","*",F4069),$G$4072:$G$4114,IF(G4069="","*",G4069))&amp;" match, keep choosing"))</f>
        <v>RL-011-3x5x2-SV-BR-P20</v>
      </c>
      <c r="C4069" s="16" t="n">
        <f aca="false">IF(COUNTIFS($D$4072:$D$4114,IF(D4069="","*",D4069),$E$4072:$E$4114,IF(E4069="","*",E4069),$F$4072:$F$4114,IF(F4069="","*",F4069),$G$4072:$G$4114,IF(G4069="","*",G4069))=1,INDEX($C:$C,SUMPRODUCT(((D4069="")+($D$4072:$D$4114=D4069)&gt;0)*((E4069="")+($E$4072:$E$4114=E4069)&gt;0)*((F4069="")+($F$4072:$F$4114=F4069)&gt;0)*((G4069="")+($G$4072:$G$4114=G4069)&gt;0)*ROW($B$4072:$B$4114))),"")</f>
        <v>0.14</v>
      </c>
      <c r="D4069" s="17" t="s">
        <v>6549</v>
      </c>
      <c r="E4069" s="17" t="s">
        <v>13974</v>
      </c>
      <c r="F4069" s="17" t="s">
        <v>17683</v>
      </c>
      <c r="G4069" s="17" t="s">
        <v>18776</v>
      </c>
    </row>
    <row r="4071" customFormat="false" ht="15" hidden="false" customHeight="false" outlineLevel="0" collapsed="false">
      <c r="B4071" s="18" t="s">
        <v>701</v>
      </c>
      <c r="C4071" s="18" t="s">
        <v>702</v>
      </c>
      <c r="D4071" s="18" t="s">
        <v>722</v>
      </c>
      <c r="E4071" s="18" t="s">
        <v>705</v>
      </c>
      <c r="F4071" s="18" t="s">
        <v>723</v>
      </c>
      <c r="G4071" s="18" t="s">
        <v>6523</v>
      </c>
    </row>
    <row r="4072" customFormat="false" ht="15" hidden="false" customHeight="false" outlineLevel="0" collapsed="false">
      <c r="B4072" s="19" t="s">
        <v>18777</v>
      </c>
      <c r="C4072" s="20" t="n">
        <f aca="false">ROUND(1/FX,2)</f>
        <v>0.14</v>
      </c>
      <c r="D4072" s="21" t="s">
        <v>6549</v>
      </c>
      <c r="E4072" s="21" t="s">
        <v>13974</v>
      </c>
      <c r="F4072" s="21" t="s">
        <v>17683</v>
      </c>
      <c r="G4072" s="21" t="s">
        <v>18776</v>
      </c>
    </row>
    <row r="4073" customFormat="false" ht="15" hidden="false" customHeight="false" outlineLevel="0" collapsed="false">
      <c r="B4073" s="19" t="s">
        <v>18778</v>
      </c>
      <c r="C4073" s="20" t="n">
        <f aca="false">ROUND(1.17/FX,2)</f>
        <v>0.16</v>
      </c>
      <c r="D4073" s="21" t="s">
        <v>6549</v>
      </c>
      <c r="E4073" s="21" t="s">
        <v>13994</v>
      </c>
      <c r="F4073" s="21" t="s">
        <v>17683</v>
      </c>
      <c r="G4073" s="21" t="s">
        <v>18779</v>
      </c>
    </row>
    <row r="4074" customFormat="false" ht="15" hidden="false" customHeight="false" outlineLevel="0" collapsed="false">
      <c r="B4074" s="19" t="s">
        <v>18780</v>
      </c>
      <c r="C4074" s="20" t="n">
        <f aca="false">ROUND(1.59/FX,2)</f>
        <v>0.22</v>
      </c>
      <c r="D4074" s="21" t="s">
        <v>6549</v>
      </c>
      <c r="E4074" s="21" t="s">
        <v>13997</v>
      </c>
      <c r="F4074" s="21" t="s">
        <v>17683</v>
      </c>
      <c r="G4074" s="21" t="s">
        <v>18781</v>
      </c>
    </row>
    <row r="4075" customFormat="false" ht="15" hidden="false" customHeight="false" outlineLevel="0" collapsed="false">
      <c r="B4075" s="19" t="s">
        <v>18782</v>
      </c>
      <c r="C4075" s="20" t="n">
        <f aca="false">ROUND(0.18/FX,2)</f>
        <v>0.03</v>
      </c>
      <c r="D4075" s="21" t="s">
        <v>6549</v>
      </c>
      <c r="E4075" s="21" t="s">
        <v>13732</v>
      </c>
      <c r="F4075" s="21" t="s">
        <v>17688</v>
      </c>
      <c r="G4075" s="21" t="s">
        <v>18783</v>
      </c>
    </row>
    <row r="4076" customFormat="false" ht="15" hidden="false" customHeight="false" outlineLevel="0" collapsed="false">
      <c r="B4076" s="19" t="s">
        <v>18784</v>
      </c>
      <c r="C4076" s="20" t="n">
        <f aca="false">ROUND(1.69/FX,2)</f>
        <v>0.23</v>
      </c>
      <c r="D4076" s="21" t="s">
        <v>6549</v>
      </c>
      <c r="E4076" s="21" t="s">
        <v>13997</v>
      </c>
      <c r="F4076" s="21" t="s">
        <v>17683</v>
      </c>
      <c r="G4076" s="21" t="s">
        <v>18785</v>
      </c>
    </row>
    <row r="4077" customFormat="false" ht="15" hidden="false" customHeight="false" outlineLevel="0" collapsed="false">
      <c r="B4077" s="19" t="s">
        <v>18786</v>
      </c>
      <c r="C4077" s="20" t="n">
        <f aca="false">ROUND(1.56/FX,2)</f>
        <v>0.22</v>
      </c>
      <c r="D4077" s="21" t="s">
        <v>6549</v>
      </c>
      <c r="E4077" s="21" t="s">
        <v>13743</v>
      </c>
      <c r="F4077" s="21" t="s">
        <v>17683</v>
      </c>
      <c r="G4077" s="21" t="s">
        <v>18787</v>
      </c>
    </row>
    <row r="4078" customFormat="false" ht="15" hidden="false" customHeight="false" outlineLevel="0" collapsed="false">
      <c r="B4078" s="19" t="s">
        <v>18788</v>
      </c>
      <c r="C4078" s="20" t="n">
        <f aca="false">ROUND(1.43/FX,2)</f>
        <v>0.2</v>
      </c>
      <c r="D4078" s="21" t="s">
        <v>6549</v>
      </c>
      <c r="E4078" s="21" t="s">
        <v>13743</v>
      </c>
      <c r="F4078" s="21" t="s">
        <v>17683</v>
      </c>
      <c r="G4078" s="21" t="s">
        <v>18789</v>
      </c>
    </row>
    <row r="4079" customFormat="false" ht="15" hidden="false" customHeight="false" outlineLevel="0" collapsed="false">
      <c r="B4079" s="19" t="s">
        <v>18790</v>
      </c>
      <c r="C4079" s="20" t="n">
        <f aca="false">ROUND(1.82/FX,2)</f>
        <v>0.25</v>
      </c>
      <c r="D4079" s="21" t="s">
        <v>6549</v>
      </c>
      <c r="E4079" s="21" t="s">
        <v>13743</v>
      </c>
      <c r="F4079" s="21" t="s">
        <v>17683</v>
      </c>
      <c r="G4079" s="21" t="s">
        <v>18791</v>
      </c>
    </row>
    <row r="4080" customFormat="false" ht="15" hidden="false" customHeight="false" outlineLevel="0" collapsed="false">
      <c r="B4080" s="19" t="s">
        <v>18792</v>
      </c>
      <c r="C4080" s="20" t="n">
        <f aca="false">ROUND(1.13/FX,2)</f>
        <v>0.16</v>
      </c>
      <c r="D4080" s="21" t="s">
        <v>6549</v>
      </c>
      <c r="E4080" s="21" t="s">
        <v>13751</v>
      </c>
      <c r="F4080" s="21" t="s">
        <v>17688</v>
      </c>
      <c r="G4080" s="21" t="s">
        <v>18793</v>
      </c>
    </row>
    <row r="4081" customFormat="false" ht="15" hidden="false" customHeight="false" outlineLevel="0" collapsed="false">
      <c r="B4081" s="19" t="s">
        <v>18794</v>
      </c>
      <c r="C4081" s="20" t="n">
        <f aca="false">ROUND(1.17/FX,2)</f>
        <v>0.16</v>
      </c>
      <c r="D4081" s="21" t="s">
        <v>724</v>
      </c>
      <c r="E4081" s="21" t="s">
        <v>13743</v>
      </c>
      <c r="F4081" s="21" t="s">
        <v>17683</v>
      </c>
      <c r="G4081" s="21" t="s">
        <v>18795</v>
      </c>
    </row>
    <row r="4082" customFormat="false" ht="15" hidden="false" customHeight="false" outlineLevel="0" collapsed="false">
      <c r="B4082" s="19" t="s">
        <v>18796</v>
      </c>
      <c r="C4082" s="20" t="n">
        <f aca="false">ROUND(0.91/FX,2)</f>
        <v>0.13</v>
      </c>
      <c r="D4082" s="21" t="s">
        <v>6549</v>
      </c>
      <c r="E4082" s="21" t="s">
        <v>13997</v>
      </c>
      <c r="F4082" s="21" t="s">
        <v>17683</v>
      </c>
      <c r="G4082" s="21" t="s">
        <v>18795</v>
      </c>
    </row>
    <row r="4083" customFormat="false" ht="15" hidden="false" customHeight="false" outlineLevel="0" collapsed="false">
      <c r="B4083" s="19" t="s">
        <v>18797</v>
      </c>
      <c r="C4083" s="20" t="n">
        <f aca="false">ROUND(0.91/FX,2)</f>
        <v>0.13</v>
      </c>
      <c r="D4083" s="21" t="s">
        <v>6549</v>
      </c>
      <c r="E4083" s="21" t="s">
        <v>13997</v>
      </c>
      <c r="F4083" s="21" t="s">
        <v>17683</v>
      </c>
      <c r="G4083" s="21" t="s">
        <v>18798</v>
      </c>
    </row>
    <row r="4084" customFormat="false" ht="15" hidden="false" customHeight="false" outlineLevel="0" collapsed="false">
      <c r="B4084" s="19" t="s">
        <v>18799</v>
      </c>
      <c r="C4084" s="20" t="n">
        <f aca="false">ROUND(0.4/FX,2)</f>
        <v>0.06</v>
      </c>
      <c r="D4084" s="21" t="s">
        <v>6549</v>
      </c>
      <c r="E4084" s="21" t="s">
        <v>13732</v>
      </c>
      <c r="F4084" s="21" t="s">
        <v>17683</v>
      </c>
      <c r="G4084" s="21" t="s">
        <v>18800</v>
      </c>
    </row>
    <row r="4085" customFormat="false" ht="15" hidden="false" customHeight="false" outlineLevel="0" collapsed="false">
      <c r="B4085" s="19" t="s">
        <v>18801</v>
      </c>
      <c r="C4085" s="20" t="n">
        <f aca="false">ROUND(0.56/FX,2)</f>
        <v>0.08</v>
      </c>
      <c r="D4085" s="21" t="s">
        <v>6549</v>
      </c>
      <c r="E4085" s="21" t="s">
        <v>13732</v>
      </c>
      <c r="F4085" s="21" t="s">
        <v>17688</v>
      </c>
      <c r="G4085" s="21" t="s">
        <v>18802</v>
      </c>
    </row>
    <row r="4086" customFormat="false" ht="15" hidden="false" customHeight="false" outlineLevel="0" collapsed="false">
      <c r="B4086" s="19" t="s">
        <v>18803</v>
      </c>
      <c r="C4086" s="20" t="n">
        <f aca="false">ROUND(1.37/FX,2)</f>
        <v>0.19</v>
      </c>
      <c r="D4086" s="21" t="s">
        <v>6549</v>
      </c>
      <c r="E4086" s="21" t="s">
        <v>13751</v>
      </c>
      <c r="F4086" s="21" t="s">
        <v>17683</v>
      </c>
      <c r="G4086" s="21" t="s">
        <v>18804</v>
      </c>
    </row>
    <row r="4087" customFormat="false" ht="15" hidden="false" customHeight="false" outlineLevel="0" collapsed="false">
      <c r="B4087" s="19" t="s">
        <v>18805</v>
      </c>
      <c r="C4087" s="20" t="n">
        <f aca="false">ROUND(1.03/FX,2)</f>
        <v>0.14</v>
      </c>
      <c r="D4087" s="21" t="s">
        <v>6549</v>
      </c>
      <c r="E4087" s="21" t="s">
        <v>13988</v>
      </c>
      <c r="F4087" s="21" t="s">
        <v>734</v>
      </c>
      <c r="G4087" s="21" t="s">
        <v>15806</v>
      </c>
    </row>
    <row r="4088" customFormat="false" ht="15" hidden="false" customHeight="false" outlineLevel="0" collapsed="false">
      <c r="B4088" s="19" t="s">
        <v>18806</v>
      </c>
      <c r="C4088" s="20" t="n">
        <f aca="false">ROUND(0.6/FX,2)</f>
        <v>0.08</v>
      </c>
      <c r="D4088" s="21" t="s">
        <v>6549</v>
      </c>
      <c r="E4088" s="21" t="s">
        <v>13732</v>
      </c>
      <c r="F4088" s="21" t="s">
        <v>17683</v>
      </c>
      <c r="G4088" s="21" t="s">
        <v>18807</v>
      </c>
    </row>
    <row r="4089" customFormat="false" ht="15" hidden="false" customHeight="false" outlineLevel="0" collapsed="false">
      <c r="B4089" s="19" t="s">
        <v>18808</v>
      </c>
      <c r="C4089" s="20" t="n">
        <f aca="false">ROUND(0.52/FX,2)</f>
        <v>0.07</v>
      </c>
      <c r="D4089" s="21" t="s">
        <v>6549</v>
      </c>
      <c r="E4089" s="21" t="s">
        <v>13743</v>
      </c>
      <c r="F4089" s="21" t="s">
        <v>17683</v>
      </c>
      <c r="G4089" s="21" t="s">
        <v>18809</v>
      </c>
    </row>
    <row r="4090" customFormat="false" ht="15" hidden="false" customHeight="false" outlineLevel="0" collapsed="false">
      <c r="B4090" s="19" t="s">
        <v>18810</v>
      </c>
      <c r="C4090" s="20" t="n">
        <f aca="false">ROUND(1.04/FX,2)</f>
        <v>0.14</v>
      </c>
      <c r="D4090" s="21" t="s">
        <v>6549</v>
      </c>
      <c r="E4090" s="21" t="s">
        <v>13997</v>
      </c>
      <c r="F4090" s="21" t="s">
        <v>17683</v>
      </c>
      <c r="G4090" s="21" t="s">
        <v>18811</v>
      </c>
    </row>
    <row r="4091" customFormat="false" ht="15" hidden="false" customHeight="false" outlineLevel="0" collapsed="false">
      <c r="B4091" s="19" t="s">
        <v>18812</v>
      </c>
      <c r="C4091" s="20" t="n">
        <f aca="false">ROUND(1.25/FX,2)</f>
        <v>0.17</v>
      </c>
      <c r="D4091" s="21" t="s">
        <v>724</v>
      </c>
      <c r="E4091" s="21" t="s">
        <v>14013</v>
      </c>
      <c r="F4091" s="21" t="s">
        <v>17683</v>
      </c>
      <c r="G4091" s="21" t="s">
        <v>18813</v>
      </c>
    </row>
    <row r="4092" customFormat="false" ht="15" hidden="false" customHeight="false" outlineLevel="0" collapsed="false">
      <c r="B4092" s="19" t="s">
        <v>18814</v>
      </c>
      <c r="C4092" s="20" t="n">
        <f aca="false">ROUND(0.52/FX,2)</f>
        <v>0.07</v>
      </c>
      <c r="D4092" s="21" t="s">
        <v>6549</v>
      </c>
      <c r="E4092" s="21" t="s">
        <v>13743</v>
      </c>
      <c r="F4092" s="21" t="s">
        <v>17683</v>
      </c>
      <c r="G4092" s="21" t="s">
        <v>18813</v>
      </c>
    </row>
    <row r="4093" customFormat="false" ht="15" hidden="false" customHeight="false" outlineLevel="0" collapsed="false">
      <c r="B4093" s="19" t="s">
        <v>18815</v>
      </c>
      <c r="C4093" s="20" t="n">
        <f aca="false">ROUND(1.04/FX,2)</f>
        <v>0.14</v>
      </c>
      <c r="D4093" s="21" t="s">
        <v>6549</v>
      </c>
      <c r="E4093" s="21" t="s">
        <v>13997</v>
      </c>
      <c r="F4093" s="21" t="s">
        <v>17683</v>
      </c>
      <c r="G4093" s="21" t="s">
        <v>18816</v>
      </c>
    </row>
    <row r="4094" customFormat="false" ht="15" hidden="false" customHeight="false" outlineLevel="0" collapsed="false">
      <c r="B4094" s="19" t="s">
        <v>18817</v>
      </c>
      <c r="C4094" s="20" t="n">
        <f aca="false">ROUND(1.04/FX,2)</f>
        <v>0.14</v>
      </c>
      <c r="D4094" s="21" t="s">
        <v>6549</v>
      </c>
      <c r="E4094" s="21" t="s">
        <v>13997</v>
      </c>
      <c r="F4094" s="21" t="s">
        <v>17683</v>
      </c>
      <c r="G4094" s="21" t="s">
        <v>18818</v>
      </c>
    </row>
    <row r="4095" customFormat="false" ht="15" hidden="false" customHeight="false" outlineLevel="0" collapsed="false">
      <c r="B4095" s="19" t="s">
        <v>18819</v>
      </c>
      <c r="C4095" s="20" t="n">
        <f aca="false">ROUND(0.13/FX,2)</f>
        <v>0.02</v>
      </c>
      <c r="D4095" s="21" t="s">
        <v>6549</v>
      </c>
      <c r="E4095" s="21" t="s">
        <v>13732</v>
      </c>
      <c r="F4095" s="21" t="s">
        <v>17683</v>
      </c>
      <c r="G4095" s="21" t="s">
        <v>18820</v>
      </c>
    </row>
    <row r="4096" customFormat="false" ht="15" hidden="false" customHeight="false" outlineLevel="0" collapsed="false">
      <c r="B4096" s="19" t="s">
        <v>18821</v>
      </c>
      <c r="C4096" s="20" t="n">
        <f aca="false">ROUND(1.17/FX,2)</f>
        <v>0.16</v>
      </c>
      <c r="D4096" s="21" t="s">
        <v>6549</v>
      </c>
      <c r="E4096" s="21" t="s">
        <v>13997</v>
      </c>
      <c r="F4096" s="21" t="s">
        <v>17683</v>
      </c>
      <c r="G4096" s="21" t="s">
        <v>18822</v>
      </c>
    </row>
    <row r="4097" customFormat="false" ht="15" hidden="false" customHeight="false" outlineLevel="0" collapsed="false">
      <c r="B4097" s="19" t="s">
        <v>18823</v>
      </c>
      <c r="C4097" s="20" t="n">
        <f aca="false">ROUND(0.15/FX,2)</f>
        <v>0.02</v>
      </c>
      <c r="D4097" s="21" t="s">
        <v>6549</v>
      </c>
      <c r="E4097" s="21" t="s">
        <v>13732</v>
      </c>
      <c r="F4097" s="21" t="s">
        <v>17683</v>
      </c>
      <c r="G4097" s="21" t="s">
        <v>18824</v>
      </c>
    </row>
    <row r="4098" customFormat="false" ht="15" hidden="false" customHeight="false" outlineLevel="0" collapsed="false">
      <c r="B4098" s="19" t="s">
        <v>18825</v>
      </c>
      <c r="C4098" s="20" t="n">
        <f aca="false">ROUND(1.17/FX,2)</f>
        <v>0.16</v>
      </c>
      <c r="D4098" s="21" t="s">
        <v>6549</v>
      </c>
      <c r="E4098" s="21" t="s">
        <v>13997</v>
      </c>
      <c r="F4098" s="21" t="s">
        <v>17683</v>
      </c>
      <c r="G4098" s="21" t="s">
        <v>18826</v>
      </c>
    </row>
    <row r="4099" customFormat="false" ht="15" hidden="false" customHeight="false" outlineLevel="0" collapsed="false">
      <c r="B4099" s="19" t="s">
        <v>18827</v>
      </c>
      <c r="C4099" s="20" t="n">
        <f aca="false">ROUND(0.78/FX,2)</f>
        <v>0.11</v>
      </c>
      <c r="D4099" s="21" t="s">
        <v>6549</v>
      </c>
      <c r="E4099" s="21" t="s">
        <v>13743</v>
      </c>
      <c r="F4099" s="21" t="s">
        <v>17683</v>
      </c>
      <c r="G4099" s="21" t="s">
        <v>18828</v>
      </c>
    </row>
    <row r="4100" customFormat="false" ht="15" hidden="false" customHeight="false" outlineLevel="0" collapsed="false">
      <c r="B4100" s="19" t="s">
        <v>18829</v>
      </c>
      <c r="C4100" s="20" t="n">
        <f aca="false">ROUND(0.78/FX,2)</f>
        <v>0.11</v>
      </c>
      <c r="D4100" s="21" t="s">
        <v>6549</v>
      </c>
      <c r="E4100" s="21" t="s">
        <v>13743</v>
      </c>
      <c r="F4100" s="21" t="s">
        <v>17683</v>
      </c>
      <c r="G4100" s="21" t="s">
        <v>18830</v>
      </c>
    </row>
    <row r="4101" customFormat="false" ht="15" hidden="false" customHeight="false" outlineLevel="0" collapsed="false">
      <c r="B4101" s="19" t="s">
        <v>18831</v>
      </c>
      <c r="C4101" s="20" t="n">
        <f aca="false">ROUND(1.23/FX,2)</f>
        <v>0.17</v>
      </c>
      <c r="D4101" s="21" t="s">
        <v>6549</v>
      </c>
      <c r="E4101" s="21" t="s">
        <v>13743</v>
      </c>
      <c r="F4101" s="21" t="s">
        <v>17683</v>
      </c>
      <c r="G4101" s="21" t="s">
        <v>18832</v>
      </c>
    </row>
    <row r="4102" customFormat="false" ht="15" hidden="false" customHeight="false" outlineLevel="0" collapsed="false">
      <c r="B4102" s="19" t="s">
        <v>18833</v>
      </c>
      <c r="C4102" s="20" t="n">
        <f aca="false">ROUND(2.99/FX,2)</f>
        <v>0.42</v>
      </c>
      <c r="D4102" s="21" t="s">
        <v>6549</v>
      </c>
      <c r="E4102" s="21" t="s">
        <v>13997</v>
      </c>
      <c r="F4102" s="21" t="s">
        <v>17688</v>
      </c>
      <c r="G4102" s="21" t="s">
        <v>18834</v>
      </c>
    </row>
    <row r="4103" customFormat="false" ht="15" hidden="false" customHeight="false" outlineLevel="0" collapsed="false">
      <c r="B4103" s="19" t="s">
        <v>18835</v>
      </c>
      <c r="C4103" s="20" t="n">
        <f aca="false">ROUND(1.01/FX,2)</f>
        <v>0.14</v>
      </c>
      <c r="D4103" s="21" t="s">
        <v>6549</v>
      </c>
      <c r="E4103" s="21" t="s">
        <v>13997</v>
      </c>
      <c r="F4103" s="21" t="s">
        <v>17683</v>
      </c>
      <c r="G4103" s="21" t="s">
        <v>18836</v>
      </c>
    </row>
    <row r="4104" customFormat="false" ht="15" hidden="false" customHeight="false" outlineLevel="0" collapsed="false">
      <c r="B4104" s="19" t="s">
        <v>18837</v>
      </c>
      <c r="C4104" s="20" t="n">
        <f aca="false">ROUND(0.91/FX,2)</f>
        <v>0.13</v>
      </c>
      <c r="D4104" s="21" t="s">
        <v>6549</v>
      </c>
      <c r="E4104" s="21" t="s">
        <v>13997</v>
      </c>
      <c r="F4104" s="21" t="s">
        <v>17683</v>
      </c>
      <c r="G4104" s="21" t="s">
        <v>18838</v>
      </c>
    </row>
    <row r="4105" customFormat="false" ht="15" hidden="false" customHeight="false" outlineLevel="0" collapsed="false">
      <c r="B4105" s="19" t="s">
        <v>18839</v>
      </c>
      <c r="C4105" s="20" t="n">
        <f aca="false">ROUND(1.04/FX,2)</f>
        <v>0.14</v>
      </c>
      <c r="D4105" s="21" t="s">
        <v>6549</v>
      </c>
      <c r="E4105" s="21" t="s">
        <v>13997</v>
      </c>
      <c r="F4105" s="21" t="s">
        <v>17683</v>
      </c>
      <c r="G4105" s="21" t="s">
        <v>18687</v>
      </c>
    </row>
    <row r="4106" customFormat="false" ht="15" hidden="false" customHeight="false" outlineLevel="0" collapsed="false">
      <c r="B4106" s="19" t="s">
        <v>18840</v>
      </c>
      <c r="C4106" s="20" t="n">
        <f aca="false">ROUND(1.17/FX,2)</f>
        <v>0.16</v>
      </c>
      <c r="D4106" s="21" t="s">
        <v>724</v>
      </c>
      <c r="E4106" s="21" t="s">
        <v>13743</v>
      </c>
      <c r="F4106" s="21" t="s">
        <v>17683</v>
      </c>
      <c r="G4106" s="21" t="s">
        <v>18841</v>
      </c>
    </row>
    <row r="4107" customFormat="false" ht="15" hidden="false" customHeight="false" outlineLevel="0" collapsed="false">
      <c r="B4107" s="19" t="s">
        <v>18842</v>
      </c>
      <c r="C4107" s="20" t="n">
        <f aca="false">ROUND(0.91/FX,2)</f>
        <v>0.13</v>
      </c>
      <c r="D4107" s="21" t="s">
        <v>6549</v>
      </c>
      <c r="E4107" s="21" t="s">
        <v>13997</v>
      </c>
      <c r="F4107" s="21" t="s">
        <v>17683</v>
      </c>
      <c r="G4107" s="21" t="s">
        <v>18841</v>
      </c>
    </row>
    <row r="4108" customFormat="false" ht="15" hidden="false" customHeight="false" outlineLevel="0" collapsed="false">
      <c r="B4108" s="19" t="s">
        <v>18843</v>
      </c>
      <c r="C4108" s="20" t="n">
        <f aca="false">ROUND(1.04/FX,2)</f>
        <v>0.14</v>
      </c>
      <c r="D4108" s="21" t="s">
        <v>6549</v>
      </c>
      <c r="E4108" s="21" t="s">
        <v>13997</v>
      </c>
      <c r="F4108" s="21" t="s">
        <v>17683</v>
      </c>
      <c r="G4108" s="21" t="s">
        <v>18844</v>
      </c>
    </row>
    <row r="4109" customFormat="false" ht="15" hidden="false" customHeight="false" outlineLevel="0" collapsed="false">
      <c r="B4109" s="19" t="s">
        <v>18845</v>
      </c>
      <c r="C4109" s="20" t="n">
        <f aca="false">ROUND(1.04/FX,2)</f>
        <v>0.14</v>
      </c>
      <c r="D4109" s="21" t="s">
        <v>6549</v>
      </c>
      <c r="E4109" s="21" t="s">
        <v>13997</v>
      </c>
      <c r="F4109" s="21" t="s">
        <v>17683</v>
      </c>
      <c r="G4109" s="21" t="s">
        <v>18846</v>
      </c>
    </row>
    <row r="4110" customFormat="false" ht="15" hidden="false" customHeight="false" outlineLevel="0" collapsed="false">
      <c r="B4110" s="19" t="s">
        <v>18847</v>
      </c>
      <c r="C4110" s="20" t="n">
        <f aca="false">ROUND(1.04/FX,2)</f>
        <v>0.14</v>
      </c>
      <c r="D4110" s="21" t="s">
        <v>6549</v>
      </c>
      <c r="E4110" s="21" t="s">
        <v>13997</v>
      </c>
      <c r="F4110" s="21" t="s">
        <v>17683</v>
      </c>
      <c r="G4110" s="21" t="s">
        <v>18848</v>
      </c>
    </row>
    <row r="4111" customFormat="false" ht="15" hidden="false" customHeight="false" outlineLevel="0" collapsed="false">
      <c r="B4111" s="19" t="s">
        <v>18849</v>
      </c>
      <c r="C4111" s="20" t="n">
        <f aca="false">ROUND(0.91/FX,2)</f>
        <v>0.13</v>
      </c>
      <c r="D4111" s="21" t="s">
        <v>6549</v>
      </c>
      <c r="E4111" s="21" t="s">
        <v>13997</v>
      </c>
      <c r="F4111" s="21" t="s">
        <v>17683</v>
      </c>
      <c r="G4111" s="21" t="s">
        <v>18850</v>
      </c>
    </row>
    <row r="4112" customFormat="false" ht="15" hidden="false" customHeight="false" outlineLevel="0" collapsed="false">
      <c r="B4112" s="19" t="s">
        <v>18851</v>
      </c>
      <c r="C4112" s="20" t="n">
        <f aca="false">ROUND(1.04/FX,2)</f>
        <v>0.14</v>
      </c>
      <c r="D4112" s="21" t="s">
        <v>6549</v>
      </c>
      <c r="E4112" s="21" t="s">
        <v>14013</v>
      </c>
      <c r="F4112" s="21" t="s">
        <v>17683</v>
      </c>
      <c r="G4112" s="21" t="s">
        <v>18852</v>
      </c>
    </row>
    <row r="4113" customFormat="false" ht="15" hidden="false" customHeight="false" outlineLevel="0" collapsed="false">
      <c r="B4113" s="19" t="s">
        <v>18853</v>
      </c>
      <c r="C4113" s="20" t="n">
        <f aca="false">ROUND(1.04/FX,2)</f>
        <v>0.14</v>
      </c>
      <c r="D4113" s="21" t="s">
        <v>6549</v>
      </c>
      <c r="E4113" s="21" t="s">
        <v>13997</v>
      </c>
      <c r="F4113" s="21" t="s">
        <v>17683</v>
      </c>
      <c r="G4113" s="21" t="s">
        <v>18854</v>
      </c>
    </row>
    <row r="4114" customFormat="false" ht="15" hidden="false" customHeight="false" outlineLevel="0" collapsed="false">
      <c r="B4114" s="19" t="s">
        <v>18855</v>
      </c>
      <c r="C4114" s="20" t="n">
        <f aca="false">ROUND(1.04/FX,2)</f>
        <v>0.14</v>
      </c>
      <c r="D4114" s="21" t="s">
        <v>6549</v>
      </c>
      <c r="E4114" s="21" t="s">
        <v>14056</v>
      </c>
      <c r="F4114" s="21" t="s">
        <v>17683</v>
      </c>
      <c r="G4114" s="21" t="s">
        <v>18856</v>
      </c>
    </row>
    <row r="4117" customFormat="false" ht="61.5" hidden="false" customHeight="true" outlineLevel="0" collapsed="false">
      <c r="A4117" s="9"/>
      <c r="B4117" s="10" t="s">
        <v>18857</v>
      </c>
      <c r="C4117" s="10"/>
      <c r="D4117" s="10"/>
    </row>
    <row r="4118" customFormat="false" ht="15" hidden="false" customHeight="false" outlineLevel="0" collapsed="false">
      <c r="A4118" s="12" t="s">
        <v>700</v>
      </c>
      <c r="B4118" s="13" t="s">
        <v>701</v>
      </c>
      <c r="C4118" s="13" t="s">
        <v>702</v>
      </c>
      <c r="D4118" s="13" t="s">
        <v>6523</v>
      </c>
    </row>
    <row r="4119" customFormat="false" ht="30" hidden="false" customHeight="true" outlineLevel="0" collapsed="false">
      <c r="A4119" s="14" t="s">
        <v>706</v>
      </c>
      <c r="B4119" s="15" t="str">
        <f aca="false">IF(COUNTIFS($D$4122:$D$4132,IF(D4119="","*",D4119))=1,INDEX($B:$B,SUMPRODUCT(((D4119="")+($D$4122:$D$4132=D4119)&gt;0)*ROW($B$4122:$B$4132))),IF(COUNTIFS($D$4122:$D$4132,IF(D4119="","*",D4119))=0,"Not available",COUNTIFS($D$4122:$D$4132,IF(D4119="","*",D4119))&amp;" match, keep choosing"))</f>
        <v>RL-024-10x12x20</v>
      </c>
      <c r="C4119" s="16" t="n">
        <f aca="false">IF(COUNTIFS($D$4122:$D$4132,IF(D4119="","*",D4119))=1,INDEX($C:$C,SUMPRODUCT(((D4119="")+($D$4122:$D$4132=D4119)&gt;0)*ROW($B$4122:$B$4132))),"")</f>
        <v>0.58</v>
      </c>
      <c r="D4119" s="17" t="s">
        <v>18858</v>
      </c>
    </row>
    <row r="4121" customFormat="false" ht="15" hidden="false" customHeight="false" outlineLevel="0" collapsed="false">
      <c r="B4121" s="18" t="s">
        <v>701</v>
      </c>
      <c r="C4121" s="18" t="s">
        <v>702</v>
      </c>
      <c r="D4121" s="18" t="s">
        <v>6523</v>
      </c>
    </row>
    <row r="4122" customFormat="false" ht="15" hidden="false" customHeight="false" outlineLevel="0" collapsed="false">
      <c r="B4122" s="19" t="s">
        <v>18859</v>
      </c>
      <c r="C4122" s="20" t="n">
        <f aca="false">ROUND(4.16/FX,2)</f>
        <v>0.58</v>
      </c>
      <c r="D4122" s="21" t="s">
        <v>18858</v>
      </c>
    </row>
    <row r="4123" customFormat="false" ht="15" hidden="false" customHeight="false" outlineLevel="0" collapsed="false">
      <c r="B4123" s="19" t="s">
        <v>18860</v>
      </c>
      <c r="C4123" s="20" t="n">
        <f aca="false">ROUND(3.12/FX,2)</f>
        <v>0.43</v>
      </c>
      <c r="D4123" s="21" t="s">
        <v>18861</v>
      </c>
    </row>
    <row r="4124" customFormat="false" ht="15" hidden="false" customHeight="false" outlineLevel="0" collapsed="false">
      <c r="B4124" s="19" t="s">
        <v>18862</v>
      </c>
      <c r="C4124" s="20" t="n">
        <f aca="false">ROUND(3.9/FX,2)</f>
        <v>0.54</v>
      </c>
      <c r="D4124" s="21" t="s">
        <v>18863</v>
      </c>
    </row>
    <row r="4125" customFormat="false" ht="15" hidden="false" customHeight="false" outlineLevel="0" collapsed="false">
      <c r="B4125" s="19" t="s">
        <v>18864</v>
      </c>
      <c r="C4125" s="20" t="n">
        <f aca="false">ROUND(2.21/FX,2)</f>
        <v>0.31</v>
      </c>
      <c r="D4125" s="21" t="s">
        <v>18865</v>
      </c>
    </row>
    <row r="4126" customFormat="false" ht="15" hidden="false" customHeight="false" outlineLevel="0" collapsed="false">
      <c r="B4126" s="19" t="s">
        <v>18866</v>
      </c>
      <c r="C4126" s="20" t="n">
        <f aca="false">ROUND(2.6/FX,2)</f>
        <v>0.36</v>
      </c>
      <c r="D4126" s="21" t="s">
        <v>18867</v>
      </c>
    </row>
    <row r="4127" customFormat="false" ht="15" hidden="false" customHeight="false" outlineLevel="0" collapsed="false">
      <c r="B4127" s="19" t="s">
        <v>18868</v>
      </c>
      <c r="C4127" s="20" t="n">
        <f aca="false">ROUND(2.6/FX,2)</f>
        <v>0.36</v>
      </c>
      <c r="D4127" s="21" t="s">
        <v>18869</v>
      </c>
    </row>
    <row r="4128" customFormat="false" ht="15" hidden="false" customHeight="false" outlineLevel="0" collapsed="false">
      <c r="B4128" s="19" t="s">
        <v>18870</v>
      </c>
      <c r="C4128" s="20" t="n">
        <f aca="false">ROUND(2.34/FX,2)</f>
        <v>0.33</v>
      </c>
      <c r="D4128" s="21" t="s">
        <v>18871</v>
      </c>
    </row>
    <row r="4129" customFormat="false" ht="15" hidden="false" customHeight="false" outlineLevel="0" collapsed="false">
      <c r="B4129" s="19" t="s">
        <v>18872</v>
      </c>
      <c r="C4129" s="20" t="n">
        <f aca="false">ROUND(3.3/FX,2)</f>
        <v>0.46</v>
      </c>
      <c r="D4129" s="21" t="s">
        <v>18873</v>
      </c>
    </row>
    <row r="4130" customFormat="false" ht="15" hidden="false" customHeight="false" outlineLevel="0" collapsed="false">
      <c r="B4130" s="19" t="s">
        <v>18874</v>
      </c>
      <c r="C4130" s="20" t="n">
        <f aca="false">ROUND(2.6/FX,2)</f>
        <v>0.36</v>
      </c>
      <c r="D4130" s="21" t="s">
        <v>18875</v>
      </c>
    </row>
    <row r="4131" customFormat="false" ht="15" hidden="false" customHeight="false" outlineLevel="0" collapsed="false">
      <c r="B4131" s="19" t="s">
        <v>18876</v>
      </c>
      <c r="C4131" s="20" t="n">
        <f aca="false">ROUND(2.6/FX,2)</f>
        <v>0.36</v>
      </c>
      <c r="D4131" s="21" t="s">
        <v>18877</v>
      </c>
    </row>
    <row r="4132" customFormat="false" ht="15" hidden="false" customHeight="false" outlineLevel="0" collapsed="false">
      <c r="B4132" s="19" t="s">
        <v>18878</v>
      </c>
      <c r="C4132" s="20" t="n">
        <f aca="false">ROUND(2.6/FX,2)</f>
        <v>0.36</v>
      </c>
      <c r="D4132" s="21" t="s">
        <v>18879</v>
      </c>
    </row>
    <row r="4135" customFormat="false" ht="61.5" hidden="false" customHeight="true" outlineLevel="0" collapsed="false">
      <c r="A4135" s="9"/>
      <c r="B4135" s="10" t="s">
        <v>18880</v>
      </c>
      <c r="C4135" s="10"/>
      <c r="D4135" s="10"/>
      <c r="E4135" s="10"/>
      <c r="F4135" s="10"/>
      <c r="G4135" s="10"/>
    </row>
    <row r="4136" customFormat="false" ht="15" hidden="false" customHeight="false" outlineLevel="0" collapsed="false">
      <c r="A4136" s="12" t="s">
        <v>700</v>
      </c>
      <c r="B4136" s="13" t="s">
        <v>701</v>
      </c>
      <c r="C4136" s="13" t="s">
        <v>702</v>
      </c>
      <c r="D4136" s="13" t="s">
        <v>704</v>
      </c>
      <c r="E4136" s="13" t="s">
        <v>723</v>
      </c>
      <c r="F4136" s="13" t="s">
        <v>6328</v>
      </c>
      <c r="G4136" s="13" t="s">
        <v>18881</v>
      </c>
    </row>
    <row r="4137" customFormat="false" ht="30" hidden="false" customHeight="true" outlineLevel="0" collapsed="false">
      <c r="A4137" s="14" t="s">
        <v>706</v>
      </c>
      <c r="B4137" s="15" t="str">
        <f aca="false">IF(COUNTIFS($D$4140:$D$4330,IF(D4137="","*",D4137),$E$4140:$E$4330,IF(E4137="","*",E4137),$F$4140:$F$4330,IF(F4137="","*",F4137),$G$4140:$G$4330,IF(G4137="","*",G4137))=1,INDEX($B:$B,SUMPRODUCT(((D4137="")+($D$4140:$D$4330=D4137)&gt;0)*((E4137="")+($E$4140:$E$4330=E4137)&gt;0)*((F4137="")+($F$4140:$F$4330=F4137)&gt;0)*((G4137="")+($G$4140:$G$4330=G4137)&gt;0)*ROW($B$4140:$B$4330))),IF(COUNTIFS($D$4140:$D$4330,IF(D4137="","*",D4137),$E$4140:$E$4330,IF(E4137="","*",E4137),$F$4140:$F$4330,IF(F4137="","*",F4137),$G$4140:$G$4330,IF(G4137="","*",G4137))=0,"Not available",COUNTIFS($D$4140:$D$4330,IF(D4137="","*",D4137),$E$4140:$E$4330,IF(E4137="","*",E4137),$F$4140:$F$4330,IF(F4137="","*",F4137),$G$4140:$G$4330,IF(G4137="","*",G4137))&amp;" match, keep choosing"))</f>
        <v>CLR-CL-AL-100x150x36</v>
      </c>
      <c r="C4137" s="16" t="n">
        <f aca="false">IF(COUNTIFS($D$4140:$D$4330,IF(D4137="","*",D4137),$E$4140:$E$4330,IF(E4137="","*",E4137),$F$4140:$F$4330,IF(F4137="","*",F4137),$G$4140:$G$4330,IF(G4137="","*",G4137))=1,INDEX($C:$C,SUMPRODUCT(((D4137="")+($D$4140:$D$4330=D4137)&gt;0)*((E4137="")+($E$4140:$E$4330=E4137)&gt;0)*((F4137="")+($F$4140:$F$4330=F4137)&gt;0)*((G4137="")+($G$4140:$G$4330=G4137)&gt;0)*ROW($B$4140:$B$4330))),"")</f>
        <v>27.08</v>
      </c>
      <c r="D4137" s="17" t="s">
        <v>8168</v>
      </c>
      <c r="E4137" s="17" t="s">
        <v>734</v>
      </c>
      <c r="F4137" s="17" t="s">
        <v>7406</v>
      </c>
      <c r="G4137" s="17" t="s">
        <v>18882</v>
      </c>
    </row>
    <row r="4139" customFormat="false" ht="15" hidden="false" customHeight="false" outlineLevel="0" collapsed="false">
      <c r="B4139" s="18" t="s">
        <v>701</v>
      </c>
      <c r="C4139" s="18" t="s">
        <v>702</v>
      </c>
      <c r="D4139" s="18" t="s">
        <v>704</v>
      </c>
      <c r="E4139" s="18" t="s">
        <v>723</v>
      </c>
      <c r="F4139" s="18" t="s">
        <v>6328</v>
      </c>
      <c r="G4139" s="18" t="s">
        <v>18881</v>
      </c>
    </row>
    <row r="4140" customFormat="false" ht="15" hidden="false" customHeight="false" outlineLevel="0" collapsed="false">
      <c r="B4140" s="19" t="s">
        <v>18883</v>
      </c>
      <c r="C4140" s="20" t="n">
        <f aca="false">ROUND(195/FX,2)</f>
        <v>27.08</v>
      </c>
      <c r="D4140" s="21" t="s">
        <v>8168</v>
      </c>
      <c r="E4140" s="21" t="s">
        <v>734</v>
      </c>
      <c r="F4140" s="21" t="s">
        <v>7406</v>
      </c>
      <c r="G4140" s="21" t="s">
        <v>18882</v>
      </c>
    </row>
    <row r="4141" customFormat="false" ht="15" hidden="false" customHeight="false" outlineLevel="0" collapsed="false">
      <c r="B4141" s="19" t="s">
        <v>18884</v>
      </c>
      <c r="C4141" s="20" t="n">
        <f aca="false">ROUND(3.64/FX,2)</f>
        <v>0.51</v>
      </c>
      <c r="D4141" s="21" t="s">
        <v>8168</v>
      </c>
      <c r="E4141" s="21" t="s">
        <v>734</v>
      </c>
      <c r="F4141" s="21" t="s">
        <v>7406</v>
      </c>
      <c r="G4141" s="21" t="s">
        <v>18885</v>
      </c>
    </row>
    <row r="4142" customFormat="false" ht="15" hidden="false" customHeight="false" outlineLevel="0" collapsed="false">
      <c r="B4142" s="19" t="s">
        <v>18886</v>
      </c>
      <c r="C4142" s="20" t="n">
        <f aca="false">ROUND(4.94/FX,2)</f>
        <v>0.69</v>
      </c>
      <c r="D4142" s="21" t="s">
        <v>8168</v>
      </c>
      <c r="E4142" s="21" t="s">
        <v>734</v>
      </c>
      <c r="F4142" s="21" t="s">
        <v>7406</v>
      </c>
      <c r="G4142" s="21" t="s">
        <v>18887</v>
      </c>
    </row>
    <row r="4143" customFormat="false" ht="15" hidden="false" customHeight="false" outlineLevel="0" collapsed="false">
      <c r="B4143" s="19" t="s">
        <v>18888</v>
      </c>
      <c r="C4143" s="20" t="n">
        <f aca="false">ROUND(2.6/FX,2)</f>
        <v>0.36</v>
      </c>
      <c r="D4143" s="21" t="s">
        <v>8168</v>
      </c>
      <c r="E4143" s="21" t="s">
        <v>734</v>
      </c>
      <c r="F4143" s="21" t="s">
        <v>7406</v>
      </c>
      <c r="G4143" s="21" t="s">
        <v>18889</v>
      </c>
    </row>
    <row r="4144" customFormat="false" ht="15" hidden="false" customHeight="false" outlineLevel="0" collapsed="false">
      <c r="B4144" s="19" t="s">
        <v>18890</v>
      </c>
      <c r="C4144" s="20" t="n">
        <f aca="false">ROUND(4.94/FX,2)</f>
        <v>0.69</v>
      </c>
      <c r="D4144" s="21" t="s">
        <v>8168</v>
      </c>
      <c r="E4144" s="21" t="s">
        <v>734</v>
      </c>
      <c r="F4144" s="21" t="s">
        <v>7406</v>
      </c>
      <c r="G4144" s="21" t="s">
        <v>18891</v>
      </c>
    </row>
    <row r="4145" customFormat="false" ht="15" hidden="false" customHeight="false" outlineLevel="0" collapsed="false">
      <c r="B4145" s="19" t="s">
        <v>18892</v>
      </c>
      <c r="C4145" s="20" t="n">
        <f aca="false">ROUND(4.94/FX,2)</f>
        <v>0.69</v>
      </c>
      <c r="D4145" s="21" t="s">
        <v>8168</v>
      </c>
      <c r="E4145" s="21" t="s">
        <v>734</v>
      </c>
      <c r="F4145" s="21" t="s">
        <v>7406</v>
      </c>
      <c r="G4145" s="21" t="s">
        <v>13248</v>
      </c>
    </row>
    <row r="4146" customFormat="false" ht="15" hidden="false" customHeight="false" outlineLevel="0" collapsed="false">
      <c r="B4146" s="19" t="s">
        <v>18893</v>
      </c>
      <c r="C4146" s="20" t="n">
        <f aca="false">ROUND(7.93/FX,2)</f>
        <v>1.1</v>
      </c>
      <c r="D4146" s="21" t="s">
        <v>8168</v>
      </c>
      <c r="E4146" s="21" t="s">
        <v>734</v>
      </c>
      <c r="F4146" s="21" t="s">
        <v>7406</v>
      </c>
      <c r="G4146" s="21" t="s">
        <v>18894</v>
      </c>
    </row>
    <row r="4147" customFormat="false" ht="15" hidden="false" customHeight="false" outlineLevel="0" collapsed="false">
      <c r="B4147" s="19" t="s">
        <v>18895</v>
      </c>
      <c r="C4147" s="20" t="n">
        <f aca="false">ROUND(1.95/FX,2)</f>
        <v>0.27</v>
      </c>
      <c r="D4147" s="21" t="s">
        <v>8168</v>
      </c>
      <c r="E4147" s="21" t="s">
        <v>734</v>
      </c>
      <c r="F4147" s="21" t="s">
        <v>7406</v>
      </c>
      <c r="G4147" s="21" t="s">
        <v>18896</v>
      </c>
    </row>
    <row r="4148" customFormat="false" ht="15" hidden="false" customHeight="false" outlineLevel="0" collapsed="false">
      <c r="B4148" s="19" t="s">
        <v>18897</v>
      </c>
      <c r="C4148" s="20" t="n">
        <f aca="false">ROUND(1.95/FX,2)</f>
        <v>0.27</v>
      </c>
      <c r="D4148" s="21" t="s">
        <v>8168</v>
      </c>
      <c r="E4148" s="21" t="s">
        <v>734</v>
      </c>
      <c r="F4148" s="21" t="s">
        <v>7406</v>
      </c>
      <c r="G4148" s="21" t="s">
        <v>18898</v>
      </c>
    </row>
    <row r="4149" customFormat="false" ht="15" hidden="false" customHeight="false" outlineLevel="0" collapsed="false">
      <c r="B4149" s="19" t="s">
        <v>18899</v>
      </c>
      <c r="C4149" s="20" t="n">
        <f aca="false">ROUND(4.94/FX,2)</f>
        <v>0.69</v>
      </c>
      <c r="D4149" s="21" t="s">
        <v>8168</v>
      </c>
      <c r="E4149" s="21" t="s">
        <v>734</v>
      </c>
      <c r="F4149" s="21" t="s">
        <v>7406</v>
      </c>
      <c r="G4149" s="21" t="s">
        <v>18900</v>
      </c>
    </row>
    <row r="4150" customFormat="false" ht="15" hidden="false" customHeight="false" outlineLevel="0" collapsed="false">
      <c r="B4150" s="19" t="s">
        <v>18901</v>
      </c>
      <c r="C4150" s="20" t="n">
        <f aca="false">ROUND(6.5/FX,2)</f>
        <v>0.9</v>
      </c>
      <c r="D4150" s="21" t="s">
        <v>8168</v>
      </c>
      <c r="E4150" s="21" t="s">
        <v>734</v>
      </c>
      <c r="F4150" s="21" t="s">
        <v>7406</v>
      </c>
      <c r="G4150" s="21" t="s">
        <v>18902</v>
      </c>
    </row>
    <row r="4151" customFormat="false" ht="15" hidden="false" customHeight="false" outlineLevel="0" collapsed="false">
      <c r="B4151" s="19" t="s">
        <v>18903</v>
      </c>
      <c r="C4151" s="20" t="n">
        <f aca="false">ROUND(1.95/FX,2)</f>
        <v>0.27</v>
      </c>
      <c r="D4151" s="21" t="s">
        <v>8168</v>
      </c>
      <c r="E4151" s="21" t="s">
        <v>734</v>
      </c>
      <c r="F4151" s="21" t="s">
        <v>7406</v>
      </c>
      <c r="G4151" s="21" t="s">
        <v>18904</v>
      </c>
    </row>
    <row r="4152" customFormat="false" ht="15" hidden="false" customHeight="false" outlineLevel="0" collapsed="false">
      <c r="B4152" s="19" t="s">
        <v>18905</v>
      </c>
      <c r="C4152" s="20" t="n">
        <f aca="false">ROUND(5.2/FX,2)</f>
        <v>0.72</v>
      </c>
      <c r="D4152" s="21" t="s">
        <v>8168</v>
      </c>
      <c r="E4152" s="21" t="s">
        <v>734</v>
      </c>
      <c r="F4152" s="21" t="s">
        <v>7406</v>
      </c>
      <c r="G4152" s="21" t="s">
        <v>18906</v>
      </c>
    </row>
    <row r="4153" customFormat="false" ht="15" hidden="false" customHeight="false" outlineLevel="0" collapsed="false">
      <c r="B4153" s="19" t="s">
        <v>18907</v>
      </c>
      <c r="C4153" s="20" t="n">
        <f aca="false">ROUND(5.2/FX,2)</f>
        <v>0.72</v>
      </c>
      <c r="D4153" s="21" t="s">
        <v>8168</v>
      </c>
      <c r="E4153" s="21" t="s">
        <v>734</v>
      </c>
      <c r="F4153" s="21" t="s">
        <v>7406</v>
      </c>
      <c r="G4153" s="21" t="s">
        <v>18908</v>
      </c>
    </row>
    <row r="4154" customFormat="false" ht="15" hidden="false" customHeight="false" outlineLevel="0" collapsed="false">
      <c r="B4154" s="19" t="s">
        <v>18909</v>
      </c>
      <c r="C4154" s="20" t="n">
        <f aca="false">ROUND(5.2/FX,2)</f>
        <v>0.72</v>
      </c>
      <c r="D4154" s="21" t="s">
        <v>8168</v>
      </c>
      <c r="E4154" s="21" t="s">
        <v>734</v>
      </c>
      <c r="F4154" s="21" t="s">
        <v>7406</v>
      </c>
      <c r="G4154" s="21" t="s">
        <v>13251</v>
      </c>
    </row>
    <row r="4155" customFormat="false" ht="15" hidden="false" customHeight="false" outlineLevel="0" collapsed="false">
      <c r="B4155" s="19" t="s">
        <v>18910</v>
      </c>
      <c r="C4155" s="20" t="n">
        <f aca="false">ROUND(2.34/FX,2)</f>
        <v>0.33</v>
      </c>
      <c r="D4155" s="21" t="s">
        <v>8168</v>
      </c>
      <c r="E4155" s="21" t="s">
        <v>734</v>
      </c>
      <c r="F4155" s="21" t="s">
        <v>7406</v>
      </c>
      <c r="G4155" s="21" t="s">
        <v>18911</v>
      </c>
    </row>
    <row r="4156" customFormat="false" ht="15" hidden="false" customHeight="false" outlineLevel="0" collapsed="false">
      <c r="B4156" s="19" t="s">
        <v>18912</v>
      </c>
      <c r="C4156" s="20" t="n">
        <f aca="false">ROUND(2.86/FX,2)</f>
        <v>0.4</v>
      </c>
      <c r="D4156" s="21" t="s">
        <v>8168</v>
      </c>
      <c r="E4156" s="21" t="s">
        <v>734</v>
      </c>
      <c r="F4156" s="21" t="s">
        <v>7406</v>
      </c>
      <c r="G4156" s="21" t="s">
        <v>18913</v>
      </c>
    </row>
    <row r="4157" customFormat="false" ht="15" hidden="false" customHeight="false" outlineLevel="0" collapsed="false">
      <c r="B4157" s="19" t="s">
        <v>18914</v>
      </c>
      <c r="C4157" s="20" t="n">
        <f aca="false">ROUND(10.4/FX,2)</f>
        <v>1.44</v>
      </c>
      <c r="D4157" s="21" t="s">
        <v>8168</v>
      </c>
      <c r="E4157" s="21" t="s">
        <v>734</v>
      </c>
      <c r="F4157" s="21" t="s">
        <v>7406</v>
      </c>
      <c r="G4157" s="21" t="s">
        <v>18915</v>
      </c>
    </row>
    <row r="4158" customFormat="false" ht="15" hidden="false" customHeight="false" outlineLevel="0" collapsed="false">
      <c r="B4158" s="19" t="s">
        <v>18916</v>
      </c>
      <c r="C4158" s="20" t="n">
        <f aca="false">ROUND(6.5/FX,2)</f>
        <v>0.9</v>
      </c>
      <c r="D4158" s="21" t="s">
        <v>8168</v>
      </c>
      <c r="E4158" s="21" t="s">
        <v>734</v>
      </c>
      <c r="F4158" s="21" t="s">
        <v>7406</v>
      </c>
      <c r="G4158" s="21" t="s">
        <v>18917</v>
      </c>
    </row>
    <row r="4159" customFormat="false" ht="15" hidden="false" customHeight="false" outlineLevel="0" collapsed="false">
      <c r="B4159" s="19" t="s">
        <v>18918</v>
      </c>
      <c r="C4159" s="20" t="n">
        <f aca="false">ROUND(5.85/FX,2)</f>
        <v>0.81</v>
      </c>
      <c r="D4159" s="21" t="s">
        <v>8168</v>
      </c>
      <c r="E4159" s="21" t="s">
        <v>734</v>
      </c>
      <c r="F4159" s="21" t="s">
        <v>7406</v>
      </c>
      <c r="G4159" s="21" t="s">
        <v>18919</v>
      </c>
    </row>
    <row r="4160" customFormat="false" ht="15" hidden="false" customHeight="false" outlineLevel="0" collapsed="false">
      <c r="B4160" s="19" t="s">
        <v>18920</v>
      </c>
      <c r="C4160" s="20" t="n">
        <f aca="false">ROUND(11.7/FX,2)</f>
        <v>1.63</v>
      </c>
      <c r="D4160" s="21" t="s">
        <v>8168</v>
      </c>
      <c r="E4160" s="21" t="s">
        <v>734</v>
      </c>
      <c r="F4160" s="21" t="s">
        <v>7406</v>
      </c>
      <c r="G4160" s="21" t="s">
        <v>13253</v>
      </c>
    </row>
    <row r="4161" customFormat="false" ht="15" hidden="false" customHeight="false" outlineLevel="0" collapsed="false">
      <c r="B4161" s="19" t="s">
        <v>18921</v>
      </c>
      <c r="C4161" s="20" t="n">
        <f aca="false">ROUND(5.85/FX,2)</f>
        <v>0.81</v>
      </c>
      <c r="D4161" s="21" t="s">
        <v>8168</v>
      </c>
      <c r="E4161" s="21" t="s">
        <v>734</v>
      </c>
      <c r="F4161" s="21" t="s">
        <v>7406</v>
      </c>
      <c r="G4161" s="21" t="s">
        <v>18922</v>
      </c>
    </row>
    <row r="4162" customFormat="false" ht="15" hidden="false" customHeight="false" outlineLevel="0" collapsed="false">
      <c r="B4162" s="19" t="s">
        <v>18923</v>
      </c>
      <c r="C4162" s="20" t="n">
        <f aca="false">ROUND(6.3/FX,2)</f>
        <v>0.88</v>
      </c>
      <c r="D4162" s="21" t="s">
        <v>8168</v>
      </c>
      <c r="E4162" s="21" t="s">
        <v>734</v>
      </c>
      <c r="F4162" s="21" t="s">
        <v>7406</v>
      </c>
      <c r="G4162" s="21" t="s">
        <v>18924</v>
      </c>
    </row>
    <row r="4163" customFormat="false" ht="15" hidden="false" customHeight="false" outlineLevel="0" collapsed="false">
      <c r="B4163" s="19" t="s">
        <v>18925</v>
      </c>
      <c r="C4163" s="20" t="n">
        <f aca="false">ROUND(3.9/FX,2)</f>
        <v>0.54</v>
      </c>
      <c r="D4163" s="21" t="s">
        <v>8168</v>
      </c>
      <c r="E4163" s="21" t="s">
        <v>734</v>
      </c>
      <c r="F4163" s="21" t="s">
        <v>7406</v>
      </c>
      <c r="G4163" s="21" t="s">
        <v>18926</v>
      </c>
    </row>
    <row r="4164" customFormat="false" ht="15" hidden="false" customHeight="false" outlineLevel="0" collapsed="false">
      <c r="B4164" s="19" t="s">
        <v>18927</v>
      </c>
      <c r="C4164" s="20" t="n">
        <f aca="false">ROUND(3.9/FX,2)</f>
        <v>0.54</v>
      </c>
      <c r="D4164" s="21" t="s">
        <v>8168</v>
      </c>
      <c r="E4164" s="21" t="s">
        <v>734</v>
      </c>
      <c r="F4164" s="21" t="s">
        <v>7406</v>
      </c>
      <c r="G4164" s="21" t="s">
        <v>18928</v>
      </c>
    </row>
    <row r="4165" customFormat="false" ht="15" hidden="false" customHeight="false" outlineLevel="0" collapsed="false">
      <c r="B4165" s="19" t="s">
        <v>18929</v>
      </c>
      <c r="C4165" s="20" t="n">
        <f aca="false">ROUND(3.25/FX,2)</f>
        <v>0.45</v>
      </c>
      <c r="D4165" s="21" t="s">
        <v>8168</v>
      </c>
      <c r="E4165" s="21" t="s">
        <v>734</v>
      </c>
      <c r="F4165" s="21" t="s">
        <v>7406</v>
      </c>
      <c r="G4165" s="21" t="s">
        <v>18930</v>
      </c>
    </row>
    <row r="4166" customFormat="false" ht="15" hidden="false" customHeight="false" outlineLevel="0" collapsed="false">
      <c r="B4166" s="19" t="s">
        <v>18931</v>
      </c>
      <c r="C4166" s="20" t="n">
        <f aca="false">ROUND(10.4/FX,2)</f>
        <v>1.44</v>
      </c>
      <c r="D4166" s="21" t="s">
        <v>8168</v>
      </c>
      <c r="E4166" s="21" t="s">
        <v>734</v>
      </c>
      <c r="F4166" s="21" t="s">
        <v>7406</v>
      </c>
      <c r="G4166" s="21" t="s">
        <v>18932</v>
      </c>
    </row>
    <row r="4167" customFormat="false" ht="15" hidden="false" customHeight="false" outlineLevel="0" collapsed="false">
      <c r="B4167" s="19" t="s">
        <v>18933</v>
      </c>
      <c r="C4167" s="20" t="n">
        <f aca="false">ROUND(5.2/FX,2)</f>
        <v>0.72</v>
      </c>
      <c r="D4167" s="21" t="s">
        <v>8168</v>
      </c>
      <c r="E4167" s="21" t="s">
        <v>734</v>
      </c>
      <c r="F4167" s="21" t="s">
        <v>7406</v>
      </c>
      <c r="G4167" s="21" t="s">
        <v>18934</v>
      </c>
    </row>
    <row r="4168" customFormat="false" ht="15" hidden="false" customHeight="false" outlineLevel="0" collapsed="false">
      <c r="B4168" s="19" t="s">
        <v>18935</v>
      </c>
      <c r="C4168" s="20" t="n">
        <f aca="false">ROUND(12.35/FX,2)</f>
        <v>1.72</v>
      </c>
      <c r="D4168" s="21" t="s">
        <v>8168</v>
      </c>
      <c r="E4168" s="21" t="s">
        <v>734</v>
      </c>
      <c r="F4168" s="21" t="s">
        <v>7406</v>
      </c>
      <c r="G4168" s="21" t="s">
        <v>13257</v>
      </c>
    </row>
    <row r="4169" customFormat="false" ht="15" hidden="false" customHeight="false" outlineLevel="0" collapsed="false">
      <c r="B4169" s="19" t="s">
        <v>18936</v>
      </c>
      <c r="C4169" s="20" t="n">
        <f aca="false">ROUND(3.25/FX,2)</f>
        <v>0.45</v>
      </c>
      <c r="D4169" s="21" t="s">
        <v>8168</v>
      </c>
      <c r="E4169" s="21" t="s">
        <v>734</v>
      </c>
      <c r="F4169" s="21" t="s">
        <v>7406</v>
      </c>
      <c r="G4169" s="21" t="s">
        <v>18937</v>
      </c>
    </row>
    <row r="4170" customFormat="false" ht="15" hidden="false" customHeight="false" outlineLevel="0" collapsed="false">
      <c r="B4170" s="19" t="s">
        <v>18938</v>
      </c>
      <c r="C4170" s="20" t="n">
        <f aca="false">ROUND(8.58/FX,2)</f>
        <v>1.19</v>
      </c>
      <c r="D4170" s="21" t="s">
        <v>8168</v>
      </c>
      <c r="E4170" s="21" t="s">
        <v>734</v>
      </c>
      <c r="F4170" s="21" t="s">
        <v>7406</v>
      </c>
      <c r="G4170" s="21" t="s">
        <v>18939</v>
      </c>
    </row>
    <row r="4171" customFormat="false" ht="15" hidden="false" customHeight="false" outlineLevel="0" collapsed="false">
      <c r="B4171" s="19" t="s">
        <v>18940</v>
      </c>
      <c r="C4171" s="20" t="n">
        <f aca="false">ROUND(11.7/FX,2)</f>
        <v>1.63</v>
      </c>
      <c r="D4171" s="21" t="s">
        <v>8168</v>
      </c>
      <c r="E4171" s="21" t="s">
        <v>734</v>
      </c>
      <c r="F4171" s="21" t="s">
        <v>7406</v>
      </c>
      <c r="G4171" s="21" t="s">
        <v>18941</v>
      </c>
    </row>
    <row r="4172" customFormat="false" ht="15" hidden="false" customHeight="false" outlineLevel="0" collapsed="false">
      <c r="B4172" s="19" t="s">
        <v>18942</v>
      </c>
      <c r="C4172" s="20" t="n">
        <f aca="false">ROUND(11.7/FX,2)</f>
        <v>1.63</v>
      </c>
      <c r="D4172" s="21" t="s">
        <v>8168</v>
      </c>
      <c r="E4172" s="21" t="s">
        <v>734</v>
      </c>
      <c r="F4172" s="21" t="s">
        <v>7406</v>
      </c>
      <c r="G4172" s="21" t="s">
        <v>18943</v>
      </c>
    </row>
    <row r="4173" customFormat="false" ht="15" hidden="false" customHeight="false" outlineLevel="0" collapsed="false">
      <c r="B4173" s="19" t="s">
        <v>18944</v>
      </c>
      <c r="C4173" s="20" t="n">
        <f aca="false">ROUND(5.85/FX,2)</f>
        <v>0.81</v>
      </c>
      <c r="D4173" s="21" t="s">
        <v>8168</v>
      </c>
      <c r="E4173" s="21" t="s">
        <v>734</v>
      </c>
      <c r="F4173" s="21" t="s">
        <v>7406</v>
      </c>
      <c r="G4173" s="21" t="s">
        <v>18945</v>
      </c>
    </row>
    <row r="4174" customFormat="false" ht="15" hidden="false" customHeight="false" outlineLevel="0" collapsed="false">
      <c r="B4174" s="19" t="s">
        <v>18946</v>
      </c>
      <c r="C4174" s="20" t="n">
        <f aca="false">ROUND(6.57/FX,2)</f>
        <v>0.91</v>
      </c>
      <c r="D4174" s="21" t="s">
        <v>8168</v>
      </c>
      <c r="E4174" s="21" t="s">
        <v>734</v>
      </c>
      <c r="F4174" s="21" t="s">
        <v>7406</v>
      </c>
      <c r="G4174" s="21" t="s">
        <v>18947</v>
      </c>
    </row>
    <row r="4175" customFormat="false" ht="15" hidden="false" customHeight="false" outlineLevel="0" collapsed="false">
      <c r="B4175" s="19" t="s">
        <v>18948</v>
      </c>
      <c r="C4175" s="20" t="n">
        <f aca="false">ROUND(4.94/FX,2)</f>
        <v>0.69</v>
      </c>
      <c r="D4175" s="21" t="s">
        <v>8168</v>
      </c>
      <c r="E4175" s="21" t="s">
        <v>734</v>
      </c>
      <c r="F4175" s="21" t="s">
        <v>7406</v>
      </c>
      <c r="G4175" s="21" t="s">
        <v>18949</v>
      </c>
    </row>
    <row r="4176" customFormat="false" ht="15" hidden="false" customHeight="false" outlineLevel="0" collapsed="false">
      <c r="B4176" s="19" t="s">
        <v>18950</v>
      </c>
      <c r="C4176" s="20" t="n">
        <f aca="false">ROUND(10.09/FX,2)</f>
        <v>1.4</v>
      </c>
      <c r="D4176" s="21" t="s">
        <v>8168</v>
      </c>
      <c r="E4176" s="21" t="s">
        <v>734</v>
      </c>
      <c r="F4176" s="21" t="s">
        <v>7406</v>
      </c>
      <c r="G4176" s="21" t="s">
        <v>18951</v>
      </c>
    </row>
    <row r="4177" customFormat="false" ht="15" hidden="false" customHeight="false" outlineLevel="0" collapsed="false">
      <c r="B4177" s="19" t="s">
        <v>18952</v>
      </c>
      <c r="C4177" s="20" t="n">
        <f aca="false">ROUND(4.29/FX,2)</f>
        <v>0.6</v>
      </c>
      <c r="D4177" s="21" t="s">
        <v>8168</v>
      </c>
      <c r="E4177" s="21" t="s">
        <v>734</v>
      </c>
      <c r="F4177" s="21" t="s">
        <v>7406</v>
      </c>
      <c r="G4177" s="21" t="s">
        <v>18953</v>
      </c>
    </row>
    <row r="4178" customFormat="false" ht="15" hidden="false" customHeight="false" outlineLevel="0" collapsed="false">
      <c r="B4178" s="19" t="s">
        <v>18954</v>
      </c>
      <c r="C4178" s="20" t="n">
        <f aca="false">ROUND(5.98/FX,2)</f>
        <v>0.83</v>
      </c>
      <c r="D4178" s="21" t="s">
        <v>8168</v>
      </c>
      <c r="E4178" s="21" t="s">
        <v>734</v>
      </c>
      <c r="F4178" s="21" t="s">
        <v>7406</v>
      </c>
      <c r="G4178" s="21" t="s">
        <v>18955</v>
      </c>
    </row>
    <row r="4179" customFormat="false" ht="15" hidden="false" customHeight="false" outlineLevel="0" collapsed="false">
      <c r="B4179" s="19" t="s">
        <v>18956</v>
      </c>
      <c r="C4179" s="20" t="n">
        <f aca="false">ROUND(5.98/FX,2)</f>
        <v>0.83</v>
      </c>
      <c r="D4179" s="21" t="s">
        <v>8168</v>
      </c>
      <c r="E4179" s="21" t="s">
        <v>734</v>
      </c>
      <c r="F4179" s="21" t="s">
        <v>7406</v>
      </c>
      <c r="G4179" s="21" t="s">
        <v>13263</v>
      </c>
    </row>
    <row r="4180" customFormat="false" ht="15" hidden="false" customHeight="false" outlineLevel="0" collapsed="false">
      <c r="B4180" s="19" t="s">
        <v>18957</v>
      </c>
      <c r="C4180" s="20" t="n">
        <f aca="false">ROUND(15.6/FX,2)</f>
        <v>2.17</v>
      </c>
      <c r="D4180" s="21" t="s">
        <v>8168</v>
      </c>
      <c r="E4180" s="21" t="s">
        <v>734</v>
      </c>
      <c r="F4180" s="21" t="s">
        <v>7406</v>
      </c>
      <c r="G4180" s="21" t="s">
        <v>18958</v>
      </c>
    </row>
    <row r="4181" customFormat="false" ht="15" hidden="false" customHeight="false" outlineLevel="0" collapsed="false">
      <c r="B4181" s="19" t="s">
        <v>18959</v>
      </c>
      <c r="C4181" s="20" t="n">
        <f aca="false">ROUND(9.36/FX,2)</f>
        <v>1.3</v>
      </c>
      <c r="D4181" s="21" t="s">
        <v>8168</v>
      </c>
      <c r="E4181" s="21" t="s">
        <v>734</v>
      </c>
      <c r="F4181" s="21" t="s">
        <v>7406</v>
      </c>
      <c r="G4181" s="21" t="s">
        <v>18960</v>
      </c>
    </row>
    <row r="4182" customFormat="false" ht="15" hidden="false" customHeight="false" outlineLevel="0" collapsed="false">
      <c r="B4182" s="19" t="s">
        <v>18961</v>
      </c>
      <c r="C4182" s="20" t="n">
        <f aca="false">ROUND(2.6/FX,2)</f>
        <v>0.36</v>
      </c>
      <c r="D4182" s="21" t="s">
        <v>8168</v>
      </c>
      <c r="E4182" s="21" t="s">
        <v>734</v>
      </c>
      <c r="F4182" s="21" t="s">
        <v>7406</v>
      </c>
      <c r="G4182" s="21" t="s">
        <v>18962</v>
      </c>
    </row>
    <row r="4183" customFormat="false" ht="15" hidden="false" customHeight="false" outlineLevel="0" collapsed="false">
      <c r="B4183" s="19" t="s">
        <v>18963</v>
      </c>
      <c r="C4183" s="20" t="n">
        <f aca="false">ROUND(9.71/FX,2)</f>
        <v>1.35</v>
      </c>
      <c r="D4183" s="21" t="s">
        <v>8168</v>
      </c>
      <c r="E4183" s="21" t="s">
        <v>734</v>
      </c>
      <c r="F4183" s="21" t="s">
        <v>7406</v>
      </c>
      <c r="G4183" s="21" t="s">
        <v>18964</v>
      </c>
    </row>
    <row r="4184" customFormat="false" ht="15" hidden="false" customHeight="false" outlineLevel="0" collapsed="false">
      <c r="B4184" s="19" t="s">
        <v>18965</v>
      </c>
      <c r="C4184" s="20" t="n">
        <f aca="false">ROUND(8.06/FX,2)</f>
        <v>1.12</v>
      </c>
      <c r="D4184" s="21" t="s">
        <v>8168</v>
      </c>
      <c r="E4184" s="21" t="s">
        <v>734</v>
      </c>
      <c r="F4184" s="21" t="s">
        <v>7406</v>
      </c>
      <c r="G4184" s="21" t="s">
        <v>13266</v>
      </c>
    </row>
    <row r="4185" customFormat="false" ht="15" hidden="false" customHeight="false" outlineLevel="0" collapsed="false">
      <c r="B4185" s="19" t="s">
        <v>18966</v>
      </c>
      <c r="C4185" s="20" t="n">
        <f aca="false">ROUND(11.7/FX,2)</f>
        <v>1.63</v>
      </c>
      <c r="D4185" s="21" t="s">
        <v>8168</v>
      </c>
      <c r="E4185" s="21" t="s">
        <v>734</v>
      </c>
      <c r="F4185" s="21" t="s">
        <v>7406</v>
      </c>
      <c r="G4185" s="21" t="s">
        <v>18967</v>
      </c>
    </row>
    <row r="4186" customFormat="false" ht="15" hidden="false" customHeight="false" outlineLevel="0" collapsed="false">
      <c r="B4186" s="19" t="s">
        <v>18968</v>
      </c>
      <c r="C4186" s="20" t="n">
        <f aca="false">ROUND(2.6/FX,2)</f>
        <v>0.36</v>
      </c>
      <c r="D4186" s="21" t="s">
        <v>8168</v>
      </c>
      <c r="E4186" s="21" t="s">
        <v>734</v>
      </c>
      <c r="F4186" s="21" t="s">
        <v>7406</v>
      </c>
      <c r="G4186" s="21" t="s">
        <v>18969</v>
      </c>
    </row>
    <row r="4187" customFormat="false" ht="15" hidden="false" customHeight="false" outlineLevel="0" collapsed="false">
      <c r="B4187" s="19" t="s">
        <v>18970</v>
      </c>
      <c r="C4187" s="20" t="n">
        <f aca="false">ROUND(13/FX,2)</f>
        <v>1.81</v>
      </c>
      <c r="D4187" s="21" t="s">
        <v>8168</v>
      </c>
      <c r="E4187" s="21" t="s">
        <v>734</v>
      </c>
      <c r="F4187" s="21" t="s">
        <v>7406</v>
      </c>
      <c r="G4187" s="21" t="s">
        <v>18971</v>
      </c>
    </row>
    <row r="4188" customFormat="false" ht="15" hidden="false" customHeight="false" outlineLevel="0" collapsed="false">
      <c r="B4188" s="19" t="s">
        <v>18972</v>
      </c>
      <c r="C4188" s="20" t="n">
        <f aca="false">ROUND(24.9/FX,2)</f>
        <v>3.46</v>
      </c>
      <c r="D4188" s="21" t="s">
        <v>8168</v>
      </c>
      <c r="E4188" s="21" t="s">
        <v>734</v>
      </c>
      <c r="F4188" s="21" t="s">
        <v>7406</v>
      </c>
      <c r="G4188" s="21" t="s">
        <v>18973</v>
      </c>
    </row>
    <row r="4189" customFormat="false" ht="15" hidden="false" customHeight="false" outlineLevel="0" collapsed="false">
      <c r="B4189" s="19" t="s">
        <v>18974</v>
      </c>
      <c r="C4189" s="20" t="n">
        <f aca="false">ROUND(16.9/FX,2)</f>
        <v>2.35</v>
      </c>
      <c r="D4189" s="21" t="s">
        <v>8168</v>
      </c>
      <c r="E4189" s="21" t="s">
        <v>734</v>
      </c>
      <c r="F4189" s="21" t="s">
        <v>7406</v>
      </c>
      <c r="G4189" s="21" t="s">
        <v>18975</v>
      </c>
    </row>
    <row r="4190" customFormat="false" ht="15" hidden="false" customHeight="false" outlineLevel="0" collapsed="false">
      <c r="B4190" s="19" t="s">
        <v>18976</v>
      </c>
      <c r="C4190" s="20" t="n">
        <f aca="false">ROUND(2.6/FX,2)</f>
        <v>0.36</v>
      </c>
      <c r="D4190" s="21" t="s">
        <v>8168</v>
      </c>
      <c r="E4190" s="21" t="s">
        <v>734</v>
      </c>
      <c r="F4190" s="21" t="s">
        <v>7406</v>
      </c>
      <c r="G4190" s="21" t="s">
        <v>18977</v>
      </c>
    </row>
    <row r="4191" customFormat="false" ht="15" hidden="false" customHeight="false" outlineLevel="0" collapsed="false">
      <c r="B4191" s="19" t="s">
        <v>18978</v>
      </c>
      <c r="C4191" s="20" t="n">
        <f aca="false">ROUND(16.25/FX,2)</f>
        <v>2.26</v>
      </c>
      <c r="D4191" s="21" t="s">
        <v>8168</v>
      </c>
      <c r="E4191" s="21" t="s">
        <v>734</v>
      </c>
      <c r="F4191" s="21" t="s">
        <v>7406</v>
      </c>
      <c r="G4191" s="21" t="s">
        <v>18979</v>
      </c>
    </row>
    <row r="4192" customFormat="false" ht="15" hidden="false" customHeight="false" outlineLevel="0" collapsed="false">
      <c r="B4192" s="19" t="s">
        <v>18980</v>
      </c>
      <c r="C4192" s="20" t="n">
        <f aca="false">ROUND(1.69/FX,2)</f>
        <v>0.23</v>
      </c>
      <c r="D4192" s="21" t="s">
        <v>8168</v>
      </c>
      <c r="E4192" s="21" t="s">
        <v>734</v>
      </c>
      <c r="F4192" s="21" t="s">
        <v>7406</v>
      </c>
      <c r="G4192" s="21" t="s">
        <v>18981</v>
      </c>
    </row>
    <row r="4193" customFormat="false" ht="15" hidden="false" customHeight="false" outlineLevel="0" collapsed="false">
      <c r="B4193" s="19" t="s">
        <v>18982</v>
      </c>
      <c r="C4193" s="20" t="n">
        <f aca="false">ROUND(45.5/FX,2)</f>
        <v>6.32</v>
      </c>
      <c r="D4193" s="21" t="s">
        <v>8168</v>
      </c>
      <c r="E4193" s="21" t="s">
        <v>734</v>
      </c>
      <c r="F4193" s="21" t="s">
        <v>7406</v>
      </c>
      <c r="G4193" s="21" t="s">
        <v>18983</v>
      </c>
    </row>
    <row r="4194" customFormat="false" ht="15" hidden="false" customHeight="false" outlineLevel="0" collapsed="false">
      <c r="B4194" s="19" t="s">
        <v>18984</v>
      </c>
      <c r="C4194" s="20" t="n">
        <f aca="false">ROUND(71.5/FX,2)</f>
        <v>9.93</v>
      </c>
      <c r="D4194" s="21" t="s">
        <v>8168</v>
      </c>
      <c r="E4194" s="21" t="s">
        <v>734</v>
      </c>
      <c r="F4194" s="21" t="s">
        <v>7406</v>
      </c>
      <c r="G4194" s="21" t="s">
        <v>18985</v>
      </c>
    </row>
    <row r="4195" customFormat="false" ht="15" hidden="false" customHeight="false" outlineLevel="0" collapsed="false">
      <c r="B4195" s="19" t="s">
        <v>18986</v>
      </c>
      <c r="C4195" s="20" t="n">
        <f aca="false">ROUND(3/FX,2)</f>
        <v>0.42</v>
      </c>
      <c r="D4195" s="21" t="s">
        <v>8168</v>
      </c>
      <c r="E4195" s="21" t="s">
        <v>734</v>
      </c>
      <c r="F4195" s="21" t="s">
        <v>7406</v>
      </c>
      <c r="G4195" s="21" t="s">
        <v>18987</v>
      </c>
    </row>
    <row r="4196" customFormat="false" ht="15" hidden="false" customHeight="false" outlineLevel="0" collapsed="false">
      <c r="B4196" s="19" t="s">
        <v>18988</v>
      </c>
      <c r="C4196" s="20" t="n">
        <f aca="false">ROUND(3.9/FX,2)</f>
        <v>0.54</v>
      </c>
      <c r="D4196" s="21" t="s">
        <v>8168</v>
      </c>
      <c r="E4196" s="21" t="s">
        <v>734</v>
      </c>
      <c r="F4196" s="21" t="s">
        <v>7406</v>
      </c>
      <c r="G4196" s="21" t="s">
        <v>18989</v>
      </c>
    </row>
    <row r="4197" customFormat="false" ht="15" hidden="false" customHeight="false" outlineLevel="0" collapsed="false">
      <c r="B4197" s="19" t="s">
        <v>18990</v>
      </c>
      <c r="C4197" s="20" t="n">
        <f aca="false">ROUND(1.69/FX,2)</f>
        <v>0.23</v>
      </c>
      <c r="D4197" s="21" t="s">
        <v>8168</v>
      </c>
      <c r="E4197" s="21" t="s">
        <v>734</v>
      </c>
      <c r="F4197" s="21" t="s">
        <v>7406</v>
      </c>
      <c r="G4197" s="21" t="s">
        <v>18991</v>
      </c>
    </row>
    <row r="4198" customFormat="false" ht="15" hidden="false" customHeight="false" outlineLevel="0" collapsed="false">
      <c r="B4198" s="19" t="s">
        <v>18992</v>
      </c>
      <c r="C4198" s="20" t="n">
        <f aca="false">ROUND(4.55/FX,2)</f>
        <v>0.63</v>
      </c>
      <c r="D4198" s="21" t="s">
        <v>8168</v>
      </c>
      <c r="E4198" s="21" t="s">
        <v>734</v>
      </c>
      <c r="F4198" s="21" t="s">
        <v>7406</v>
      </c>
      <c r="G4198" s="21" t="s">
        <v>15449</v>
      </c>
    </row>
    <row r="4199" customFormat="false" ht="15" hidden="false" customHeight="false" outlineLevel="0" collapsed="false">
      <c r="B4199" s="19" t="s">
        <v>18993</v>
      </c>
      <c r="C4199" s="20" t="n">
        <f aca="false">ROUND(4.55/FX,2)</f>
        <v>0.63</v>
      </c>
      <c r="D4199" s="21" t="s">
        <v>8168</v>
      </c>
      <c r="E4199" s="21" t="s">
        <v>734</v>
      </c>
      <c r="F4199" s="21" t="s">
        <v>7406</v>
      </c>
      <c r="G4199" s="21" t="s">
        <v>18994</v>
      </c>
    </row>
    <row r="4200" customFormat="false" ht="15" hidden="false" customHeight="false" outlineLevel="0" collapsed="false">
      <c r="B4200" s="19" t="s">
        <v>18995</v>
      </c>
      <c r="C4200" s="20" t="n">
        <f aca="false">ROUND(6.24/FX,2)</f>
        <v>0.87</v>
      </c>
      <c r="D4200" s="21" t="s">
        <v>8669</v>
      </c>
      <c r="E4200" s="21" t="s">
        <v>734</v>
      </c>
      <c r="F4200" s="21" t="s">
        <v>7406</v>
      </c>
      <c r="G4200" s="21" t="s">
        <v>18996</v>
      </c>
    </row>
    <row r="4201" customFormat="false" ht="15" hidden="false" customHeight="false" outlineLevel="0" collapsed="false">
      <c r="B4201" s="19" t="s">
        <v>18997</v>
      </c>
      <c r="C4201" s="20" t="n">
        <f aca="false">ROUND(78/FX,2)</f>
        <v>10.83</v>
      </c>
      <c r="D4201" s="21" t="s">
        <v>18998</v>
      </c>
      <c r="E4201" s="21" t="s">
        <v>734</v>
      </c>
      <c r="F4201" s="21" t="s">
        <v>18999</v>
      </c>
      <c r="G4201" s="21" t="s">
        <v>19000</v>
      </c>
    </row>
    <row r="4202" customFormat="false" ht="15" hidden="false" customHeight="false" outlineLevel="0" collapsed="false">
      <c r="B4202" s="19" t="s">
        <v>19001</v>
      </c>
      <c r="C4202" s="20" t="n">
        <f aca="false">ROUND(2.99/FX,2)</f>
        <v>0.42</v>
      </c>
      <c r="D4202" s="21" t="s">
        <v>18998</v>
      </c>
      <c r="E4202" s="21" t="s">
        <v>734</v>
      </c>
      <c r="F4202" s="21" t="s">
        <v>18999</v>
      </c>
      <c r="G4202" s="21" t="s">
        <v>18996</v>
      </c>
    </row>
    <row r="4203" customFormat="false" ht="15" hidden="false" customHeight="false" outlineLevel="0" collapsed="false">
      <c r="B4203" s="19" t="s">
        <v>19002</v>
      </c>
      <c r="C4203" s="20" t="n">
        <f aca="false">ROUND(3.12/FX,2)</f>
        <v>0.43</v>
      </c>
      <c r="D4203" s="21" t="s">
        <v>18998</v>
      </c>
      <c r="E4203" s="21" t="s">
        <v>734</v>
      </c>
      <c r="F4203" s="21" t="s">
        <v>18999</v>
      </c>
      <c r="G4203" s="21" t="s">
        <v>19003</v>
      </c>
    </row>
    <row r="4204" customFormat="false" ht="15" hidden="false" customHeight="false" outlineLevel="0" collapsed="false">
      <c r="B4204" s="19" t="s">
        <v>19004</v>
      </c>
      <c r="C4204" s="20" t="n">
        <f aca="false">ROUND(3.9/FX,2)</f>
        <v>0.54</v>
      </c>
      <c r="D4204" s="21" t="s">
        <v>18998</v>
      </c>
      <c r="E4204" s="21" t="s">
        <v>734</v>
      </c>
      <c r="F4204" s="21" t="s">
        <v>18999</v>
      </c>
      <c r="G4204" s="21" t="s">
        <v>19005</v>
      </c>
    </row>
    <row r="4205" customFormat="false" ht="15" hidden="false" customHeight="false" outlineLevel="0" collapsed="false">
      <c r="B4205" s="19" t="s">
        <v>19006</v>
      </c>
      <c r="C4205" s="20" t="n">
        <f aca="false">ROUND(3.64/FX,2)</f>
        <v>0.51</v>
      </c>
      <c r="D4205" s="21" t="s">
        <v>18998</v>
      </c>
      <c r="E4205" s="21" t="s">
        <v>734</v>
      </c>
      <c r="F4205" s="21" t="s">
        <v>18999</v>
      </c>
      <c r="G4205" s="21" t="s">
        <v>19007</v>
      </c>
    </row>
    <row r="4206" customFormat="false" ht="15" hidden="false" customHeight="false" outlineLevel="0" collapsed="false">
      <c r="B4206" s="19" t="s">
        <v>19008</v>
      </c>
      <c r="C4206" s="20" t="n">
        <f aca="false">ROUND(3.9/FX,2)</f>
        <v>0.54</v>
      </c>
      <c r="D4206" s="21" t="s">
        <v>18998</v>
      </c>
      <c r="E4206" s="21" t="s">
        <v>734</v>
      </c>
      <c r="F4206" s="21" t="s">
        <v>18999</v>
      </c>
      <c r="G4206" s="21" t="s">
        <v>19009</v>
      </c>
    </row>
    <row r="4207" customFormat="false" ht="15" hidden="false" customHeight="false" outlineLevel="0" collapsed="false">
      <c r="B4207" s="19" t="s">
        <v>19010</v>
      </c>
      <c r="C4207" s="20" t="n">
        <f aca="false">ROUND(4.55/FX,2)</f>
        <v>0.63</v>
      </c>
      <c r="D4207" s="21" t="s">
        <v>18998</v>
      </c>
      <c r="E4207" s="21" t="s">
        <v>734</v>
      </c>
      <c r="F4207" s="21" t="s">
        <v>18999</v>
      </c>
      <c r="G4207" s="21" t="s">
        <v>19011</v>
      </c>
    </row>
    <row r="4208" customFormat="false" ht="15" hidden="false" customHeight="false" outlineLevel="0" collapsed="false">
      <c r="B4208" s="19" t="s">
        <v>19012</v>
      </c>
      <c r="C4208" s="20" t="n">
        <f aca="false">ROUND(4.55/FX,2)</f>
        <v>0.63</v>
      </c>
      <c r="D4208" s="21" t="s">
        <v>18998</v>
      </c>
      <c r="E4208" s="21" t="s">
        <v>734</v>
      </c>
      <c r="F4208" s="21" t="s">
        <v>18999</v>
      </c>
      <c r="G4208" s="21" t="s">
        <v>19013</v>
      </c>
    </row>
    <row r="4209" customFormat="false" ht="15" hidden="false" customHeight="false" outlineLevel="0" collapsed="false">
      <c r="B4209" s="19" t="s">
        <v>19014</v>
      </c>
      <c r="C4209" s="20" t="n">
        <f aca="false">ROUND(4.94/FX,2)</f>
        <v>0.69</v>
      </c>
      <c r="D4209" s="21" t="s">
        <v>18998</v>
      </c>
      <c r="E4209" s="21" t="s">
        <v>734</v>
      </c>
      <c r="F4209" s="21" t="s">
        <v>18999</v>
      </c>
      <c r="G4209" s="21" t="s">
        <v>18922</v>
      </c>
    </row>
    <row r="4210" customFormat="false" ht="15" hidden="false" customHeight="false" outlineLevel="0" collapsed="false">
      <c r="B4210" s="19" t="s">
        <v>19015</v>
      </c>
      <c r="C4210" s="20" t="n">
        <f aca="false">ROUND(5.2/FX,2)</f>
        <v>0.72</v>
      </c>
      <c r="D4210" s="21" t="s">
        <v>18998</v>
      </c>
      <c r="E4210" s="21" t="s">
        <v>734</v>
      </c>
      <c r="F4210" s="21" t="s">
        <v>18999</v>
      </c>
      <c r="G4210" s="21" t="s">
        <v>19016</v>
      </c>
    </row>
    <row r="4211" customFormat="false" ht="15" hidden="false" customHeight="false" outlineLevel="0" collapsed="false">
      <c r="B4211" s="19" t="s">
        <v>19017</v>
      </c>
      <c r="C4211" s="20" t="n">
        <f aca="false">ROUND(5.2/FX,2)</f>
        <v>0.72</v>
      </c>
      <c r="D4211" s="21" t="s">
        <v>18998</v>
      </c>
      <c r="E4211" s="21" t="s">
        <v>734</v>
      </c>
      <c r="F4211" s="21" t="s">
        <v>18999</v>
      </c>
      <c r="G4211" s="21" t="s">
        <v>18937</v>
      </c>
    </row>
    <row r="4212" customFormat="false" ht="15" hidden="false" customHeight="false" outlineLevel="0" collapsed="false">
      <c r="B4212" s="19" t="s">
        <v>19018</v>
      </c>
      <c r="C4212" s="20" t="n">
        <f aca="false">ROUND(6.24/FX,2)</f>
        <v>0.87</v>
      </c>
      <c r="D4212" s="21" t="s">
        <v>18998</v>
      </c>
      <c r="E4212" s="21" t="s">
        <v>734</v>
      </c>
      <c r="F4212" s="21" t="s">
        <v>18999</v>
      </c>
      <c r="G4212" s="21" t="s">
        <v>18945</v>
      </c>
    </row>
    <row r="4213" customFormat="false" ht="15" hidden="false" customHeight="false" outlineLevel="0" collapsed="false">
      <c r="B4213" s="19" t="s">
        <v>19019</v>
      </c>
      <c r="C4213" s="20" t="n">
        <f aca="false">ROUND(6.5/FX,2)</f>
        <v>0.9</v>
      </c>
      <c r="D4213" s="21" t="s">
        <v>18998</v>
      </c>
      <c r="E4213" s="21" t="s">
        <v>734</v>
      </c>
      <c r="F4213" s="21" t="s">
        <v>18999</v>
      </c>
      <c r="G4213" s="21" t="s">
        <v>19020</v>
      </c>
    </row>
    <row r="4214" customFormat="false" ht="15" hidden="false" customHeight="false" outlineLevel="0" collapsed="false">
      <c r="B4214" s="19" t="s">
        <v>19021</v>
      </c>
      <c r="C4214" s="20" t="n">
        <f aca="false">ROUND(6.5/FX,2)</f>
        <v>0.9</v>
      </c>
      <c r="D4214" s="21" t="s">
        <v>18998</v>
      </c>
      <c r="E4214" s="21" t="s">
        <v>734</v>
      </c>
      <c r="F4214" s="21" t="s">
        <v>18999</v>
      </c>
      <c r="G4214" s="21" t="s">
        <v>19022</v>
      </c>
    </row>
    <row r="4215" customFormat="false" ht="15" hidden="false" customHeight="false" outlineLevel="0" collapsed="false">
      <c r="B4215" s="19" t="s">
        <v>19023</v>
      </c>
      <c r="C4215" s="20" t="n">
        <f aca="false">ROUND(7.54/FX,2)</f>
        <v>1.05</v>
      </c>
      <c r="D4215" s="21" t="s">
        <v>18998</v>
      </c>
      <c r="E4215" s="21" t="s">
        <v>734</v>
      </c>
      <c r="F4215" s="21" t="s">
        <v>18999</v>
      </c>
      <c r="G4215" s="21" t="s">
        <v>19024</v>
      </c>
    </row>
    <row r="4216" customFormat="false" ht="15" hidden="false" customHeight="false" outlineLevel="0" collapsed="false">
      <c r="B4216" s="19" t="s">
        <v>19025</v>
      </c>
      <c r="C4216" s="20" t="n">
        <f aca="false">ROUND(7.8/FX,2)</f>
        <v>1.08</v>
      </c>
      <c r="D4216" s="21" t="s">
        <v>18998</v>
      </c>
      <c r="E4216" s="21" t="s">
        <v>734</v>
      </c>
      <c r="F4216" s="21" t="s">
        <v>18999</v>
      </c>
      <c r="G4216" s="21" t="s">
        <v>19026</v>
      </c>
    </row>
    <row r="4217" customFormat="false" ht="15" hidden="false" customHeight="false" outlineLevel="0" collapsed="false">
      <c r="B4217" s="19" t="s">
        <v>19027</v>
      </c>
      <c r="C4217" s="20" t="n">
        <f aca="false">ROUND(7.8/FX,2)</f>
        <v>1.08</v>
      </c>
      <c r="D4217" s="21" t="s">
        <v>18998</v>
      </c>
      <c r="E4217" s="21" t="s">
        <v>734</v>
      </c>
      <c r="F4217" s="21" t="s">
        <v>18999</v>
      </c>
      <c r="G4217" s="21" t="s">
        <v>18964</v>
      </c>
    </row>
    <row r="4218" customFormat="false" ht="15" hidden="false" customHeight="false" outlineLevel="0" collapsed="false">
      <c r="B4218" s="19" t="s">
        <v>19028</v>
      </c>
      <c r="C4218" s="20" t="n">
        <f aca="false">ROUND(10.4/FX,2)</f>
        <v>1.44</v>
      </c>
      <c r="D4218" s="21" t="s">
        <v>18998</v>
      </c>
      <c r="E4218" s="21" t="s">
        <v>734</v>
      </c>
      <c r="F4218" s="21" t="s">
        <v>18999</v>
      </c>
      <c r="G4218" s="21" t="s">
        <v>19029</v>
      </c>
    </row>
    <row r="4219" customFormat="false" ht="15" hidden="false" customHeight="false" outlineLevel="0" collapsed="false">
      <c r="B4219" s="19" t="s">
        <v>19030</v>
      </c>
      <c r="C4219" s="20" t="n">
        <f aca="false">ROUND(13/FX,2)</f>
        <v>1.81</v>
      </c>
      <c r="D4219" s="21" t="s">
        <v>18998</v>
      </c>
      <c r="E4219" s="21" t="s">
        <v>734</v>
      </c>
      <c r="F4219" s="21" t="s">
        <v>18999</v>
      </c>
      <c r="G4219" s="21" t="s">
        <v>19031</v>
      </c>
    </row>
    <row r="4220" customFormat="false" ht="15" hidden="false" customHeight="false" outlineLevel="0" collapsed="false">
      <c r="B4220" s="19" t="s">
        <v>19032</v>
      </c>
      <c r="C4220" s="20" t="n">
        <f aca="false">ROUND(14.3/FX,2)</f>
        <v>1.99</v>
      </c>
      <c r="D4220" s="21" t="s">
        <v>18998</v>
      </c>
      <c r="E4220" s="21" t="s">
        <v>734</v>
      </c>
      <c r="F4220" s="21" t="s">
        <v>18999</v>
      </c>
      <c r="G4220" s="21" t="s">
        <v>19033</v>
      </c>
    </row>
    <row r="4221" customFormat="false" ht="15" hidden="false" customHeight="false" outlineLevel="0" collapsed="false">
      <c r="B4221" s="19" t="s">
        <v>19034</v>
      </c>
      <c r="C4221" s="20" t="n">
        <f aca="false">ROUND(16.25/FX,2)</f>
        <v>2.26</v>
      </c>
      <c r="D4221" s="21" t="s">
        <v>18998</v>
      </c>
      <c r="E4221" s="21" t="s">
        <v>734</v>
      </c>
      <c r="F4221" s="21" t="s">
        <v>18999</v>
      </c>
      <c r="G4221" s="21" t="s">
        <v>19035</v>
      </c>
    </row>
    <row r="4222" customFormat="false" ht="15" hidden="false" customHeight="false" outlineLevel="0" collapsed="false">
      <c r="B4222" s="19" t="s">
        <v>19036</v>
      </c>
      <c r="C4222" s="20" t="n">
        <f aca="false">ROUND(26/FX,2)</f>
        <v>3.61</v>
      </c>
      <c r="D4222" s="21" t="s">
        <v>18998</v>
      </c>
      <c r="E4222" s="21" t="s">
        <v>734</v>
      </c>
      <c r="F4222" s="21" t="s">
        <v>18999</v>
      </c>
      <c r="G4222" s="21" t="s">
        <v>19037</v>
      </c>
    </row>
    <row r="4223" customFormat="false" ht="15" hidden="false" customHeight="false" outlineLevel="0" collapsed="false">
      <c r="B4223" s="19" t="s">
        <v>19038</v>
      </c>
      <c r="C4223" s="20" t="n">
        <f aca="false">ROUND(2.47/FX,2)</f>
        <v>0.34</v>
      </c>
      <c r="D4223" s="21" t="s">
        <v>18998</v>
      </c>
      <c r="E4223" s="21" t="s">
        <v>734</v>
      </c>
      <c r="F4223" s="21" t="s">
        <v>18999</v>
      </c>
      <c r="G4223" s="21" t="s">
        <v>19039</v>
      </c>
    </row>
    <row r="4224" customFormat="false" ht="15" hidden="false" customHeight="false" outlineLevel="0" collapsed="false">
      <c r="B4224" s="19" t="s">
        <v>19040</v>
      </c>
      <c r="C4224" s="20" t="n">
        <f aca="false">ROUND(28.6/FX,2)</f>
        <v>3.97</v>
      </c>
      <c r="D4224" s="21" t="s">
        <v>18998</v>
      </c>
      <c r="E4224" s="21" t="s">
        <v>734</v>
      </c>
      <c r="F4224" s="21" t="s">
        <v>18999</v>
      </c>
      <c r="G4224" s="21" t="s">
        <v>19041</v>
      </c>
    </row>
    <row r="4225" customFormat="false" ht="15" hidden="false" customHeight="false" outlineLevel="0" collapsed="false">
      <c r="B4225" s="19" t="s">
        <v>19042</v>
      </c>
      <c r="C4225" s="20" t="n">
        <f aca="false">ROUND(41.6/FX,2)</f>
        <v>5.78</v>
      </c>
      <c r="D4225" s="21" t="s">
        <v>18998</v>
      </c>
      <c r="E4225" s="21" t="s">
        <v>734</v>
      </c>
      <c r="F4225" s="21" t="s">
        <v>18999</v>
      </c>
      <c r="G4225" s="21" t="s">
        <v>19043</v>
      </c>
    </row>
    <row r="4226" customFormat="false" ht="15" hidden="false" customHeight="false" outlineLevel="0" collapsed="false">
      <c r="B4226" s="19" t="s">
        <v>19044</v>
      </c>
      <c r="C4226" s="20" t="n">
        <f aca="false">ROUND(49.4/FX,2)</f>
        <v>6.86</v>
      </c>
      <c r="D4226" s="21" t="s">
        <v>18998</v>
      </c>
      <c r="E4226" s="21" t="s">
        <v>734</v>
      </c>
      <c r="F4226" s="21" t="s">
        <v>18999</v>
      </c>
      <c r="G4226" s="21" t="s">
        <v>19045</v>
      </c>
    </row>
    <row r="4227" customFormat="false" ht="15" hidden="false" customHeight="false" outlineLevel="0" collapsed="false">
      <c r="B4227" s="19" t="s">
        <v>19046</v>
      </c>
      <c r="C4227" s="20" t="n">
        <f aca="false">ROUND(2.47/FX,2)</f>
        <v>0.34</v>
      </c>
      <c r="D4227" s="21" t="s">
        <v>18998</v>
      </c>
      <c r="E4227" s="21" t="s">
        <v>734</v>
      </c>
      <c r="F4227" s="21" t="s">
        <v>18999</v>
      </c>
      <c r="G4227" s="21" t="s">
        <v>19047</v>
      </c>
    </row>
    <row r="4228" customFormat="false" ht="15" hidden="false" customHeight="false" outlineLevel="0" collapsed="false">
      <c r="B4228" s="19" t="s">
        <v>19048</v>
      </c>
      <c r="C4228" s="20" t="n">
        <f aca="false">ROUND(67.6/FX,2)</f>
        <v>9.39</v>
      </c>
      <c r="D4228" s="21" t="s">
        <v>18998</v>
      </c>
      <c r="E4228" s="21" t="s">
        <v>734</v>
      </c>
      <c r="F4228" s="21" t="s">
        <v>18999</v>
      </c>
      <c r="G4228" s="21" t="s">
        <v>19049</v>
      </c>
    </row>
    <row r="4229" customFormat="false" ht="15" hidden="false" customHeight="false" outlineLevel="0" collapsed="false">
      <c r="B4229" s="19" t="s">
        <v>19050</v>
      </c>
      <c r="C4229" s="20" t="n">
        <f aca="false">ROUND(167.83/FX,2)</f>
        <v>23.31</v>
      </c>
      <c r="D4229" s="21" t="s">
        <v>8168</v>
      </c>
      <c r="E4229" s="21" t="s">
        <v>734</v>
      </c>
      <c r="F4229" s="21" t="s">
        <v>19051</v>
      </c>
      <c r="G4229" s="21" t="s">
        <v>18882</v>
      </c>
    </row>
    <row r="4230" customFormat="false" ht="15" hidden="false" customHeight="false" outlineLevel="0" collapsed="false">
      <c r="B4230" s="19" t="s">
        <v>19052</v>
      </c>
      <c r="C4230" s="20" t="n">
        <f aca="false">ROUND(2.21/FX,2)</f>
        <v>0.31</v>
      </c>
      <c r="D4230" s="21" t="s">
        <v>8168</v>
      </c>
      <c r="E4230" s="21" t="s">
        <v>734</v>
      </c>
      <c r="F4230" s="21" t="s">
        <v>19051</v>
      </c>
      <c r="G4230" s="21" t="s">
        <v>18887</v>
      </c>
    </row>
    <row r="4231" customFormat="false" ht="15" hidden="false" customHeight="false" outlineLevel="0" collapsed="false">
      <c r="B4231" s="19" t="s">
        <v>19053</v>
      </c>
      <c r="C4231" s="20" t="n">
        <f aca="false">ROUND(2.33/FX,2)</f>
        <v>0.32</v>
      </c>
      <c r="D4231" s="21" t="s">
        <v>8168</v>
      </c>
      <c r="E4231" s="21" t="s">
        <v>734</v>
      </c>
      <c r="F4231" s="21" t="s">
        <v>19051</v>
      </c>
      <c r="G4231" s="21" t="s">
        <v>13248</v>
      </c>
    </row>
    <row r="4232" customFormat="false" ht="15" hidden="false" customHeight="false" outlineLevel="0" collapsed="false">
      <c r="B4232" s="19" t="s">
        <v>19054</v>
      </c>
      <c r="C4232" s="20" t="n">
        <f aca="false">ROUND(2.46/FX,2)</f>
        <v>0.34</v>
      </c>
      <c r="D4232" s="21" t="s">
        <v>8168</v>
      </c>
      <c r="E4232" s="21" t="s">
        <v>734</v>
      </c>
      <c r="F4232" s="21" t="s">
        <v>19051</v>
      </c>
      <c r="G4232" s="21" t="s">
        <v>18896</v>
      </c>
    </row>
    <row r="4233" customFormat="false" ht="15" hidden="false" customHeight="false" outlineLevel="0" collapsed="false">
      <c r="B4233" s="19" t="s">
        <v>19055</v>
      </c>
      <c r="C4233" s="20" t="n">
        <f aca="false">ROUND(2.46/FX,2)</f>
        <v>0.34</v>
      </c>
      <c r="D4233" s="21" t="s">
        <v>8168</v>
      </c>
      <c r="E4233" s="21" t="s">
        <v>734</v>
      </c>
      <c r="F4233" s="21" t="s">
        <v>19051</v>
      </c>
      <c r="G4233" s="21" t="s">
        <v>18898</v>
      </c>
    </row>
    <row r="4234" customFormat="false" ht="15" hidden="false" customHeight="false" outlineLevel="0" collapsed="false">
      <c r="B4234" s="19" t="s">
        <v>19056</v>
      </c>
      <c r="C4234" s="20" t="n">
        <f aca="false">ROUND(2.72/FX,2)</f>
        <v>0.38</v>
      </c>
      <c r="D4234" s="21" t="s">
        <v>8168</v>
      </c>
      <c r="E4234" s="21" t="s">
        <v>734</v>
      </c>
      <c r="F4234" s="21" t="s">
        <v>19051</v>
      </c>
      <c r="G4234" s="21" t="s">
        <v>18900</v>
      </c>
    </row>
    <row r="4235" customFormat="false" ht="15" hidden="false" customHeight="false" outlineLevel="0" collapsed="false">
      <c r="B4235" s="19" t="s">
        <v>19057</v>
      </c>
      <c r="C4235" s="20" t="n">
        <f aca="false">ROUND(2.97/FX,2)</f>
        <v>0.41</v>
      </c>
      <c r="D4235" s="21" t="s">
        <v>8168</v>
      </c>
      <c r="E4235" s="21" t="s">
        <v>734</v>
      </c>
      <c r="F4235" s="21" t="s">
        <v>19051</v>
      </c>
      <c r="G4235" s="21" t="s">
        <v>18902</v>
      </c>
    </row>
    <row r="4236" customFormat="false" ht="15" hidden="false" customHeight="false" outlineLevel="0" collapsed="false">
      <c r="B4236" s="19" t="s">
        <v>19058</v>
      </c>
      <c r="C4236" s="20" t="n">
        <f aca="false">ROUND(2.47/FX,2)</f>
        <v>0.34</v>
      </c>
      <c r="D4236" s="21" t="s">
        <v>8168</v>
      </c>
      <c r="E4236" s="21" t="s">
        <v>734</v>
      </c>
      <c r="F4236" s="21" t="s">
        <v>19051</v>
      </c>
      <c r="G4236" s="21" t="s">
        <v>18904</v>
      </c>
    </row>
    <row r="4237" customFormat="false" ht="15" hidden="false" customHeight="false" outlineLevel="0" collapsed="false">
      <c r="B4237" s="19" t="s">
        <v>19059</v>
      </c>
      <c r="C4237" s="20" t="n">
        <f aca="false">ROUND(2.97/FX,2)</f>
        <v>0.41</v>
      </c>
      <c r="D4237" s="21" t="s">
        <v>8168</v>
      </c>
      <c r="E4237" s="21" t="s">
        <v>734</v>
      </c>
      <c r="F4237" s="21" t="s">
        <v>19051</v>
      </c>
      <c r="G4237" s="21" t="s">
        <v>18908</v>
      </c>
    </row>
    <row r="4238" customFormat="false" ht="15" hidden="false" customHeight="false" outlineLevel="0" collapsed="false">
      <c r="B4238" s="19" t="s">
        <v>19060</v>
      </c>
      <c r="C4238" s="20" t="n">
        <f aca="false">ROUND(2.47/FX,2)</f>
        <v>0.34</v>
      </c>
      <c r="D4238" s="21" t="s">
        <v>8168</v>
      </c>
      <c r="E4238" s="21" t="s">
        <v>734</v>
      </c>
      <c r="F4238" s="21" t="s">
        <v>19051</v>
      </c>
      <c r="G4238" s="21" t="s">
        <v>13251</v>
      </c>
    </row>
    <row r="4239" customFormat="false" ht="15" hidden="false" customHeight="false" outlineLevel="0" collapsed="false">
      <c r="B4239" s="19" t="s">
        <v>19061</v>
      </c>
      <c r="C4239" s="20" t="n">
        <f aca="false">ROUND(3.46/FX,2)</f>
        <v>0.48</v>
      </c>
      <c r="D4239" s="21" t="s">
        <v>8168</v>
      </c>
      <c r="E4239" s="21" t="s">
        <v>734</v>
      </c>
      <c r="F4239" s="21" t="s">
        <v>19051</v>
      </c>
      <c r="G4239" s="21" t="s">
        <v>18911</v>
      </c>
    </row>
    <row r="4240" customFormat="false" ht="15" hidden="false" customHeight="false" outlineLevel="0" collapsed="false">
      <c r="B4240" s="19" t="s">
        <v>19062</v>
      </c>
      <c r="C4240" s="20" t="n">
        <f aca="false">ROUND(3.9/FX,2)</f>
        <v>0.54</v>
      </c>
      <c r="D4240" s="21" t="s">
        <v>8168</v>
      </c>
      <c r="E4240" s="21" t="s">
        <v>734</v>
      </c>
      <c r="F4240" s="21" t="s">
        <v>19051</v>
      </c>
      <c r="G4240" s="21" t="s">
        <v>18913</v>
      </c>
    </row>
    <row r="4241" customFormat="false" ht="15" hidden="false" customHeight="false" outlineLevel="0" collapsed="false">
      <c r="B4241" s="19" t="s">
        <v>19063</v>
      </c>
      <c r="C4241" s="20" t="n">
        <f aca="false">ROUND(4.08/FX,2)</f>
        <v>0.57</v>
      </c>
      <c r="D4241" s="21" t="s">
        <v>8168</v>
      </c>
      <c r="E4241" s="21" t="s">
        <v>734</v>
      </c>
      <c r="F4241" s="21" t="s">
        <v>19051</v>
      </c>
      <c r="G4241" s="21" t="s">
        <v>19064</v>
      </c>
    </row>
    <row r="4242" customFormat="false" ht="15" hidden="false" customHeight="false" outlineLevel="0" collapsed="false">
      <c r="B4242" s="19" t="s">
        <v>19065</v>
      </c>
      <c r="C4242" s="20" t="n">
        <f aca="false">ROUND(5.06/FX,2)</f>
        <v>0.7</v>
      </c>
      <c r="D4242" s="21" t="s">
        <v>8168</v>
      </c>
      <c r="E4242" s="21" t="s">
        <v>734</v>
      </c>
      <c r="F4242" s="21" t="s">
        <v>19051</v>
      </c>
      <c r="G4242" s="21" t="s">
        <v>18919</v>
      </c>
    </row>
    <row r="4243" customFormat="false" ht="15" hidden="false" customHeight="false" outlineLevel="0" collapsed="false">
      <c r="B4243" s="19" t="s">
        <v>19066</v>
      </c>
      <c r="C4243" s="20" t="n">
        <f aca="false">ROUND(2.78/FX,2)</f>
        <v>0.39</v>
      </c>
      <c r="D4243" s="21" t="s">
        <v>8168</v>
      </c>
      <c r="E4243" s="21" t="s">
        <v>734</v>
      </c>
      <c r="F4243" s="21" t="s">
        <v>19051</v>
      </c>
      <c r="G4243" s="21" t="s">
        <v>13253</v>
      </c>
    </row>
    <row r="4244" customFormat="false" ht="15" hidden="false" customHeight="false" outlineLevel="0" collapsed="false">
      <c r="B4244" s="19" t="s">
        <v>19067</v>
      </c>
      <c r="C4244" s="20" t="n">
        <f aca="false">ROUND(5.34/FX,2)</f>
        <v>0.74</v>
      </c>
      <c r="D4244" s="21" t="s">
        <v>8168</v>
      </c>
      <c r="E4244" s="21" t="s">
        <v>734</v>
      </c>
      <c r="F4244" s="21" t="s">
        <v>19051</v>
      </c>
      <c r="G4244" s="21" t="s">
        <v>18922</v>
      </c>
    </row>
    <row r="4245" customFormat="false" ht="15" hidden="false" customHeight="false" outlineLevel="0" collapsed="false">
      <c r="B4245" s="19" t="s">
        <v>19068</v>
      </c>
      <c r="C4245" s="20" t="n">
        <f aca="false">ROUND(7.79/FX,2)</f>
        <v>1.08</v>
      </c>
      <c r="D4245" s="21" t="s">
        <v>8168</v>
      </c>
      <c r="E4245" s="21" t="s">
        <v>734</v>
      </c>
      <c r="F4245" s="21" t="s">
        <v>19051</v>
      </c>
      <c r="G4245" s="21" t="s">
        <v>18924</v>
      </c>
    </row>
    <row r="4246" customFormat="false" ht="15" hidden="false" customHeight="false" outlineLevel="0" collapsed="false">
      <c r="B4246" s="19" t="s">
        <v>19069</v>
      </c>
      <c r="C4246" s="20" t="n">
        <f aca="false">ROUND(4.94/FX,2)</f>
        <v>0.69</v>
      </c>
      <c r="D4246" s="21" t="s">
        <v>8168</v>
      </c>
      <c r="E4246" s="21" t="s">
        <v>734</v>
      </c>
      <c r="F4246" s="21" t="s">
        <v>19051</v>
      </c>
      <c r="G4246" s="21" t="s">
        <v>18926</v>
      </c>
    </row>
    <row r="4247" customFormat="false" ht="15" hidden="false" customHeight="false" outlineLevel="0" collapsed="false">
      <c r="B4247" s="19" t="s">
        <v>19070</v>
      </c>
      <c r="C4247" s="20" t="n">
        <f aca="false">ROUND(3.1/FX,2)</f>
        <v>0.43</v>
      </c>
      <c r="D4247" s="21" t="s">
        <v>8168</v>
      </c>
      <c r="E4247" s="21" t="s">
        <v>734</v>
      </c>
      <c r="F4247" s="21" t="s">
        <v>19051</v>
      </c>
      <c r="G4247" s="21" t="s">
        <v>13257</v>
      </c>
    </row>
    <row r="4248" customFormat="false" ht="15" hidden="false" customHeight="false" outlineLevel="0" collapsed="false">
      <c r="B4248" s="19" t="s">
        <v>19071</v>
      </c>
      <c r="C4248" s="20" t="n">
        <f aca="false">ROUND(6.13/FX,2)</f>
        <v>0.85</v>
      </c>
      <c r="D4248" s="21" t="s">
        <v>8168</v>
      </c>
      <c r="E4248" s="21" t="s">
        <v>734</v>
      </c>
      <c r="F4248" s="21" t="s">
        <v>19051</v>
      </c>
      <c r="G4248" s="21" t="s">
        <v>18937</v>
      </c>
    </row>
    <row r="4249" customFormat="false" ht="15" hidden="false" customHeight="false" outlineLevel="0" collapsed="false">
      <c r="B4249" s="19" t="s">
        <v>19072</v>
      </c>
      <c r="C4249" s="20" t="n">
        <f aca="false">ROUND(10.01/FX,2)</f>
        <v>1.39</v>
      </c>
      <c r="D4249" s="21" t="s">
        <v>8168</v>
      </c>
      <c r="E4249" s="21" t="s">
        <v>734</v>
      </c>
      <c r="F4249" s="21" t="s">
        <v>19051</v>
      </c>
      <c r="G4249" s="21" t="s">
        <v>18939</v>
      </c>
    </row>
    <row r="4250" customFormat="false" ht="15" hidden="false" customHeight="false" outlineLevel="0" collapsed="false">
      <c r="B4250" s="19" t="s">
        <v>19073</v>
      </c>
      <c r="C4250" s="20" t="n">
        <f aca="false">ROUND(8.45/FX,2)</f>
        <v>1.17</v>
      </c>
      <c r="D4250" s="21" t="s">
        <v>8168</v>
      </c>
      <c r="E4250" s="21" t="s">
        <v>734</v>
      </c>
      <c r="F4250" s="21" t="s">
        <v>19051</v>
      </c>
      <c r="G4250" s="21" t="s">
        <v>19074</v>
      </c>
    </row>
    <row r="4251" customFormat="false" ht="15" hidden="false" customHeight="false" outlineLevel="0" collapsed="false">
      <c r="B4251" s="19" t="s">
        <v>19075</v>
      </c>
      <c r="C4251" s="20" t="n">
        <f aca="false">ROUND(5.93/FX,2)</f>
        <v>0.82</v>
      </c>
      <c r="D4251" s="21" t="s">
        <v>8168</v>
      </c>
      <c r="E4251" s="21" t="s">
        <v>734</v>
      </c>
      <c r="F4251" s="21" t="s">
        <v>19051</v>
      </c>
      <c r="G4251" s="21" t="s">
        <v>18947</v>
      </c>
    </row>
    <row r="4252" customFormat="false" ht="15" hidden="false" customHeight="false" outlineLevel="0" collapsed="false">
      <c r="B4252" s="19" t="s">
        <v>19076</v>
      </c>
      <c r="C4252" s="20" t="n">
        <f aca="false">ROUND(6.31/FX,2)</f>
        <v>0.88</v>
      </c>
      <c r="D4252" s="21" t="s">
        <v>8168</v>
      </c>
      <c r="E4252" s="21" t="s">
        <v>734</v>
      </c>
      <c r="F4252" s="21" t="s">
        <v>19051</v>
      </c>
      <c r="G4252" s="21" t="s">
        <v>18951</v>
      </c>
    </row>
    <row r="4253" customFormat="false" ht="15" hidden="false" customHeight="false" outlineLevel="0" collapsed="false">
      <c r="B4253" s="19" t="s">
        <v>19077</v>
      </c>
      <c r="C4253" s="20" t="n">
        <f aca="false">ROUND(4.7/FX,2)</f>
        <v>0.65</v>
      </c>
      <c r="D4253" s="21" t="s">
        <v>8168</v>
      </c>
      <c r="E4253" s="21" t="s">
        <v>734</v>
      </c>
      <c r="F4253" s="21" t="s">
        <v>19051</v>
      </c>
      <c r="G4253" s="21" t="s">
        <v>18953</v>
      </c>
    </row>
    <row r="4254" customFormat="false" ht="15" hidden="false" customHeight="false" outlineLevel="0" collapsed="false">
      <c r="B4254" s="19" t="s">
        <v>19078</v>
      </c>
      <c r="C4254" s="20" t="n">
        <f aca="false">ROUND(12.05/FX,2)</f>
        <v>1.67</v>
      </c>
      <c r="D4254" s="21" t="s">
        <v>8168</v>
      </c>
      <c r="E4254" s="21" t="s">
        <v>734</v>
      </c>
      <c r="F4254" s="21" t="s">
        <v>19051</v>
      </c>
      <c r="G4254" s="21" t="s">
        <v>19079</v>
      </c>
    </row>
    <row r="4255" customFormat="false" ht="15" hidden="false" customHeight="false" outlineLevel="0" collapsed="false">
      <c r="B4255" s="19" t="s">
        <v>19080</v>
      </c>
      <c r="C4255" s="20" t="n">
        <f aca="false">ROUND(6.42/FX,2)</f>
        <v>0.89</v>
      </c>
      <c r="D4255" s="21" t="s">
        <v>8168</v>
      </c>
      <c r="E4255" s="21" t="s">
        <v>734</v>
      </c>
      <c r="F4255" s="21" t="s">
        <v>19051</v>
      </c>
      <c r="G4255" s="21" t="s">
        <v>18955</v>
      </c>
    </row>
    <row r="4256" customFormat="false" ht="15" hidden="false" customHeight="false" outlineLevel="0" collapsed="false">
      <c r="B4256" s="19" t="s">
        <v>19081</v>
      </c>
      <c r="C4256" s="20" t="n">
        <f aca="false">ROUND(6.53/FX,2)</f>
        <v>0.91</v>
      </c>
      <c r="D4256" s="21" t="s">
        <v>8168</v>
      </c>
      <c r="E4256" s="21" t="s">
        <v>734</v>
      </c>
      <c r="F4256" s="21" t="s">
        <v>19051</v>
      </c>
      <c r="G4256" s="21" t="s">
        <v>13263</v>
      </c>
    </row>
    <row r="4257" customFormat="false" ht="15" hidden="false" customHeight="false" outlineLevel="0" collapsed="false">
      <c r="B4257" s="19" t="s">
        <v>19082</v>
      </c>
      <c r="C4257" s="20" t="n">
        <f aca="false">ROUND(8.53/FX,2)</f>
        <v>1.18</v>
      </c>
      <c r="D4257" s="21" t="s">
        <v>8168</v>
      </c>
      <c r="E4257" s="21" t="s">
        <v>734</v>
      </c>
      <c r="F4257" s="21" t="s">
        <v>19051</v>
      </c>
      <c r="G4257" s="21" t="s">
        <v>18960</v>
      </c>
    </row>
    <row r="4258" customFormat="false" ht="15" hidden="false" customHeight="false" outlineLevel="0" collapsed="false">
      <c r="B4258" s="19" t="s">
        <v>19083</v>
      </c>
      <c r="C4258" s="20" t="n">
        <f aca="false">ROUND(2.47/FX,2)</f>
        <v>0.34</v>
      </c>
      <c r="D4258" s="21" t="s">
        <v>8168</v>
      </c>
      <c r="E4258" s="21" t="s">
        <v>734</v>
      </c>
      <c r="F4258" s="21" t="s">
        <v>19051</v>
      </c>
      <c r="G4258" s="21" t="s">
        <v>18962</v>
      </c>
    </row>
    <row r="4259" customFormat="false" ht="15" hidden="false" customHeight="false" outlineLevel="0" collapsed="false">
      <c r="B4259" s="19" t="s">
        <v>19084</v>
      </c>
      <c r="C4259" s="20" t="n">
        <f aca="false">ROUND(8.45/FX,2)</f>
        <v>1.17</v>
      </c>
      <c r="D4259" s="21" t="s">
        <v>8168</v>
      </c>
      <c r="E4259" s="21" t="s">
        <v>734</v>
      </c>
      <c r="F4259" s="21" t="s">
        <v>19051</v>
      </c>
      <c r="G4259" s="21" t="s">
        <v>13266</v>
      </c>
    </row>
    <row r="4260" customFormat="false" ht="15" hidden="false" customHeight="false" outlineLevel="0" collapsed="false">
      <c r="B4260" s="19" t="s">
        <v>19085</v>
      </c>
      <c r="C4260" s="20" t="n">
        <f aca="false">ROUND(12.94/FX,2)</f>
        <v>1.8</v>
      </c>
      <c r="D4260" s="21" t="s">
        <v>8168</v>
      </c>
      <c r="E4260" s="21" t="s">
        <v>734</v>
      </c>
      <c r="F4260" s="21" t="s">
        <v>19051</v>
      </c>
      <c r="G4260" s="21" t="s">
        <v>18967</v>
      </c>
    </row>
    <row r="4261" customFormat="false" ht="15" hidden="false" customHeight="false" outlineLevel="0" collapsed="false">
      <c r="B4261" s="19" t="s">
        <v>19086</v>
      </c>
      <c r="C4261" s="20" t="n">
        <f aca="false">ROUND(2.58/FX,2)</f>
        <v>0.36</v>
      </c>
      <c r="D4261" s="21" t="s">
        <v>8168</v>
      </c>
      <c r="E4261" s="21" t="s">
        <v>734</v>
      </c>
      <c r="F4261" s="21" t="s">
        <v>19051</v>
      </c>
      <c r="G4261" s="21" t="s">
        <v>18969</v>
      </c>
    </row>
    <row r="4262" customFormat="false" ht="15" hidden="false" customHeight="false" outlineLevel="0" collapsed="false">
      <c r="B4262" s="19" t="s">
        <v>19087</v>
      </c>
      <c r="C4262" s="20" t="n">
        <f aca="false">ROUND(13/FX,2)</f>
        <v>1.81</v>
      </c>
      <c r="D4262" s="21" t="s">
        <v>8168</v>
      </c>
      <c r="E4262" s="21" t="s">
        <v>734</v>
      </c>
      <c r="F4262" s="21" t="s">
        <v>19051</v>
      </c>
      <c r="G4262" s="21" t="s">
        <v>18971</v>
      </c>
    </row>
    <row r="4263" customFormat="false" ht="15" hidden="false" customHeight="false" outlineLevel="0" collapsed="false">
      <c r="B4263" s="19" t="s">
        <v>19088</v>
      </c>
      <c r="C4263" s="20" t="n">
        <f aca="false">ROUND(18.34/FX,2)</f>
        <v>2.55</v>
      </c>
      <c r="D4263" s="21" t="s">
        <v>8168</v>
      </c>
      <c r="E4263" s="21" t="s">
        <v>734</v>
      </c>
      <c r="F4263" s="21" t="s">
        <v>19051</v>
      </c>
      <c r="G4263" s="21" t="s">
        <v>18975</v>
      </c>
    </row>
    <row r="4264" customFormat="false" ht="15" hidden="false" customHeight="false" outlineLevel="0" collapsed="false">
      <c r="B4264" s="19" t="s">
        <v>19089</v>
      </c>
      <c r="C4264" s="20" t="n">
        <f aca="false">ROUND(2.58/FX,2)</f>
        <v>0.36</v>
      </c>
      <c r="D4264" s="21" t="s">
        <v>8168</v>
      </c>
      <c r="E4264" s="21" t="s">
        <v>734</v>
      </c>
      <c r="F4264" s="21" t="s">
        <v>19051</v>
      </c>
      <c r="G4264" s="21" t="s">
        <v>18977</v>
      </c>
    </row>
    <row r="4265" customFormat="false" ht="15" hidden="false" customHeight="false" outlineLevel="0" collapsed="false">
      <c r="B4265" s="19" t="s">
        <v>19090</v>
      </c>
      <c r="C4265" s="20" t="n">
        <f aca="false">ROUND(19.37/FX,2)</f>
        <v>2.69</v>
      </c>
      <c r="D4265" s="21" t="s">
        <v>8168</v>
      </c>
      <c r="E4265" s="21" t="s">
        <v>734</v>
      </c>
      <c r="F4265" s="21" t="s">
        <v>19051</v>
      </c>
      <c r="G4265" s="21" t="s">
        <v>18979</v>
      </c>
    </row>
    <row r="4266" customFormat="false" ht="15" hidden="false" customHeight="false" outlineLevel="0" collapsed="false">
      <c r="B4266" s="19" t="s">
        <v>19091</v>
      </c>
      <c r="C4266" s="20" t="n">
        <f aca="false">ROUND(1.98/FX,2)</f>
        <v>0.28</v>
      </c>
      <c r="D4266" s="21" t="s">
        <v>8168</v>
      </c>
      <c r="E4266" s="21" t="s">
        <v>734</v>
      </c>
      <c r="F4266" s="21" t="s">
        <v>19051</v>
      </c>
      <c r="G4266" s="21" t="s">
        <v>18981</v>
      </c>
    </row>
    <row r="4267" customFormat="false" ht="15" hidden="false" customHeight="false" outlineLevel="0" collapsed="false">
      <c r="B4267" s="19" t="s">
        <v>19092</v>
      </c>
      <c r="C4267" s="20" t="n">
        <f aca="false">ROUND(2.59/FX,2)</f>
        <v>0.36</v>
      </c>
      <c r="D4267" s="21" t="s">
        <v>8168</v>
      </c>
      <c r="E4267" s="21" t="s">
        <v>734</v>
      </c>
      <c r="F4267" s="21" t="s">
        <v>19051</v>
      </c>
      <c r="G4267" s="21" t="s">
        <v>18983</v>
      </c>
    </row>
    <row r="4268" customFormat="false" ht="15" hidden="false" customHeight="false" outlineLevel="0" collapsed="false">
      <c r="B4268" s="19" t="s">
        <v>19093</v>
      </c>
      <c r="C4268" s="20" t="n">
        <f aca="false">ROUND(88.73/FX,2)</f>
        <v>12.32</v>
      </c>
      <c r="D4268" s="21" t="s">
        <v>8168</v>
      </c>
      <c r="E4268" s="21" t="s">
        <v>734</v>
      </c>
      <c r="F4268" s="21" t="s">
        <v>19051</v>
      </c>
      <c r="G4268" s="21" t="s">
        <v>18985</v>
      </c>
    </row>
    <row r="4269" customFormat="false" ht="15" hidden="false" customHeight="false" outlineLevel="0" collapsed="false">
      <c r="B4269" s="19" t="s">
        <v>19094</v>
      </c>
      <c r="C4269" s="20" t="n">
        <f aca="false">ROUND(1.89/FX,2)</f>
        <v>0.26</v>
      </c>
      <c r="D4269" s="21" t="s">
        <v>8168</v>
      </c>
      <c r="E4269" s="21" t="s">
        <v>734</v>
      </c>
      <c r="F4269" s="21" t="s">
        <v>19051</v>
      </c>
      <c r="G4269" s="21" t="s">
        <v>18991</v>
      </c>
    </row>
    <row r="4270" customFormat="false" ht="15" hidden="false" customHeight="false" outlineLevel="0" collapsed="false">
      <c r="B4270" s="19" t="s">
        <v>19095</v>
      </c>
      <c r="C4270" s="20" t="n">
        <f aca="false">ROUND(0.94/FX,2)</f>
        <v>0.13</v>
      </c>
      <c r="D4270" s="21" t="s">
        <v>8168</v>
      </c>
      <c r="E4270" s="21" t="s">
        <v>16482</v>
      </c>
      <c r="F4270" s="21" t="s">
        <v>19096</v>
      </c>
      <c r="G4270" s="21" t="s">
        <v>19097</v>
      </c>
    </row>
    <row r="4271" customFormat="false" ht="15" hidden="false" customHeight="false" outlineLevel="0" collapsed="false">
      <c r="B4271" s="19" t="s">
        <v>19098</v>
      </c>
      <c r="C4271" s="20" t="n">
        <f aca="false">ROUND(0.94/FX,2)</f>
        <v>0.13</v>
      </c>
      <c r="D4271" s="21" t="s">
        <v>8168</v>
      </c>
      <c r="E4271" s="21" t="s">
        <v>16482</v>
      </c>
      <c r="F4271" s="21" t="s">
        <v>19096</v>
      </c>
      <c r="G4271" s="21" t="s">
        <v>19099</v>
      </c>
    </row>
    <row r="4272" customFormat="false" ht="15" hidden="false" customHeight="false" outlineLevel="0" collapsed="false">
      <c r="B4272" s="19" t="s">
        <v>19100</v>
      </c>
      <c r="C4272" s="20" t="n">
        <f aca="false">ROUND(1.43/FX,2)</f>
        <v>0.2</v>
      </c>
      <c r="D4272" s="21" t="s">
        <v>8168</v>
      </c>
      <c r="E4272" s="21" t="s">
        <v>16482</v>
      </c>
      <c r="F4272" s="21" t="s">
        <v>19096</v>
      </c>
      <c r="G4272" s="21" t="s">
        <v>19101</v>
      </c>
    </row>
    <row r="4273" customFormat="false" ht="15" hidden="false" customHeight="false" outlineLevel="0" collapsed="false">
      <c r="B4273" s="19" t="s">
        <v>19102</v>
      </c>
      <c r="C4273" s="20" t="n">
        <f aca="false">ROUND(1.17/FX,2)</f>
        <v>0.16</v>
      </c>
      <c r="D4273" s="21" t="s">
        <v>8168</v>
      </c>
      <c r="E4273" s="21" t="s">
        <v>16482</v>
      </c>
      <c r="F4273" s="21" t="s">
        <v>19096</v>
      </c>
      <c r="G4273" s="21" t="s">
        <v>19103</v>
      </c>
    </row>
    <row r="4274" customFormat="false" ht="15" hidden="false" customHeight="false" outlineLevel="0" collapsed="false">
      <c r="B4274" s="19" t="s">
        <v>19104</v>
      </c>
      <c r="C4274" s="20" t="n">
        <f aca="false">ROUND(1.69/FX,2)</f>
        <v>0.23</v>
      </c>
      <c r="D4274" s="21" t="s">
        <v>8168</v>
      </c>
      <c r="E4274" s="21" t="s">
        <v>16482</v>
      </c>
      <c r="F4274" s="21" t="s">
        <v>19096</v>
      </c>
      <c r="G4274" s="21" t="s">
        <v>19105</v>
      </c>
    </row>
    <row r="4275" customFormat="false" ht="15" hidden="false" customHeight="false" outlineLevel="0" collapsed="false">
      <c r="B4275" s="19" t="s">
        <v>19106</v>
      </c>
      <c r="C4275" s="20" t="n">
        <f aca="false">ROUND(2.08/FX,2)</f>
        <v>0.29</v>
      </c>
      <c r="D4275" s="21" t="s">
        <v>8168</v>
      </c>
      <c r="E4275" s="21" t="s">
        <v>16482</v>
      </c>
      <c r="F4275" s="21" t="s">
        <v>19096</v>
      </c>
      <c r="G4275" s="21" t="s">
        <v>19107</v>
      </c>
    </row>
    <row r="4276" customFormat="false" ht="15" hidden="false" customHeight="false" outlineLevel="0" collapsed="false">
      <c r="B4276" s="19" t="s">
        <v>19108</v>
      </c>
      <c r="C4276" s="20" t="n">
        <f aca="false">ROUND(1.43/FX,2)</f>
        <v>0.2</v>
      </c>
      <c r="D4276" s="21" t="s">
        <v>8168</v>
      </c>
      <c r="E4276" s="21" t="s">
        <v>16482</v>
      </c>
      <c r="F4276" s="21" t="s">
        <v>19096</v>
      </c>
      <c r="G4276" s="21" t="s">
        <v>19109</v>
      </c>
    </row>
    <row r="4277" customFormat="false" ht="15" hidden="false" customHeight="false" outlineLevel="0" collapsed="false">
      <c r="B4277" s="19" t="s">
        <v>19110</v>
      </c>
      <c r="C4277" s="20" t="n">
        <f aca="false">ROUND(1.43/FX,2)</f>
        <v>0.2</v>
      </c>
      <c r="D4277" s="21" t="s">
        <v>8168</v>
      </c>
      <c r="E4277" s="21" t="s">
        <v>16482</v>
      </c>
      <c r="F4277" s="21" t="s">
        <v>19096</v>
      </c>
      <c r="G4277" s="21" t="s">
        <v>19111</v>
      </c>
    </row>
    <row r="4278" customFormat="false" ht="15" hidden="false" customHeight="false" outlineLevel="0" collapsed="false">
      <c r="B4278" s="19" t="s">
        <v>19112</v>
      </c>
      <c r="C4278" s="20" t="n">
        <f aca="false">ROUND(2.42/FX,2)</f>
        <v>0.34</v>
      </c>
      <c r="D4278" s="21" t="s">
        <v>8168</v>
      </c>
      <c r="E4278" s="21" t="s">
        <v>16482</v>
      </c>
      <c r="F4278" s="21" t="s">
        <v>19096</v>
      </c>
      <c r="G4278" s="21" t="s">
        <v>19113</v>
      </c>
    </row>
    <row r="4279" customFormat="false" ht="15" hidden="false" customHeight="false" outlineLevel="0" collapsed="false">
      <c r="B4279" s="19" t="s">
        <v>19114</v>
      </c>
      <c r="C4279" s="20" t="n">
        <f aca="false">ROUND(2.42/FX,2)</f>
        <v>0.34</v>
      </c>
      <c r="D4279" s="21" t="s">
        <v>8168</v>
      </c>
      <c r="E4279" s="21" t="s">
        <v>16482</v>
      </c>
      <c r="F4279" s="21" t="s">
        <v>19096</v>
      </c>
      <c r="G4279" s="21" t="s">
        <v>19115</v>
      </c>
    </row>
    <row r="4280" customFormat="false" ht="15" hidden="false" customHeight="false" outlineLevel="0" collapsed="false">
      <c r="B4280" s="19" t="s">
        <v>19116</v>
      </c>
      <c r="C4280" s="20" t="n">
        <f aca="false">ROUND(2.47/FX,2)</f>
        <v>0.34</v>
      </c>
      <c r="D4280" s="21" t="s">
        <v>8168</v>
      </c>
      <c r="E4280" s="21" t="s">
        <v>16482</v>
      </c>
      <c r="F4280" s="21" t="s">
        <v>19096</v>
      </c>
      <c r="G4280" s="21" t="s">
        <v>19117</v>
      </c>
    </row>
    <row r="4281" customFormat="false" ht="15" hidden="false" customHeight="false" outlineLevel="0" collapsed="false">
      <c r="B4281" s="19" t="s">
        <v>19118</v>
      </c>
      <c r="C4281" s="20" t="n">
        <f aca="false">ROUND(1.76/FX,2)</f>
        <v>0.24</v>
      </c>
      <c r="D4281" s="21" t="s">
        <v>8168</v>
      </c>
      <c r="E4281" s="21" t="s">
        <v>16482</v>
      </c>
      <c r="F4281" s="21" t="s">
        <v>19096</v>
      </c>
      <c r="G4281" s="21" t="s">
        <v>19119</v>
      </c>
    </row>
    <row r="4282" customFormat="false" ht="15" hidden="false" customHeight="false" outlineLevel="0" collapsed="false">
      <c r="B4282" s="19" t="s">
        <v>19120</v>
      </c>
      <c r="C4282" s="20" t="n">
        <f aca="false">ROUND(2.57/FX,2)</f>
        <v>0.36</v>
      </c>
      <c r="D4282" s="21" t="s">
        <v>8168</v>
      </c>
      <c r="E4282" s="21" t="s">
        <v>16482</v>
      </c>
      <c r="F4282" s="21" t="s">
        <v>19096</v>
      </c>
      <c r="G4282" s="21" t="s">
        <v>19121</v>
      </c>
    </row>
    <row r="4283" customFormat="false" ht="15" hidden="false" customHeight="false" outlineLevel="0" collapsed="false">
      <c r="B4283" s="19" t="s">
        <v>19122</v>
      </c>
      <c r="C4283" s="20" t="n">
        <f aca="false">ROUND(3.25/FX,2)</f>
        <v>0.45</v>
      </c>
      <c r="D4283" s="21" t="s">
        <v>8168</v>
      </c>
      <c r="E4283" s="21" t="s">
        <v>16482</v>
      </c>
      <c r="F4283" s="21" t="s">
        <v>19096</v>
      </c>
      <c r="G4283" s="21" t="s">
        <v>19123</v>
      </c>
    </row>
    <row r="4284" customFormat="false" ht="15" hidden="false" customHeight="false" outlineLevel="0" collapsed="false">
      <c r="B4284" s="19" t="s">
        <v>19124</v>
      </c>
      <c r="C4284" s="20" t="n">
        <f aca="false">ROUND(2.02/FX,2)</f>
        <v>0.28</v>
      </c>
      <c r="D4284" s="21" t="s">
        <v>8168</v>
      </c>
      <c r="E4284" s="21" t="s">
        <v>16482</v>
      </c>
      <c r="F4284" s="21" t="s">
        <v>19096</v>
      </c>
      <c r="G4284" s="21" t="s">
        <v>19125</v>
      </c>
    </row>
    <row r="4285" customFormat="false" ht="15" hidden="false" customHeight="false" outlineLevel="0" collapsed="false">
      <c r="B4285" s="19" t="s">
        <v>19126</v>
      </c>
      <c r="C4285" s="20" t="n">
        <f aca="false">ROUND(3.64/FX,2)</f>
        <v>0.51</v>
      </c>
      <c r="D4285" s="21" t="s">
        <v>8168</v>
      </c>
      <c r="E4285" s="21" t="s">
        <v>16482</v>
      </c>
      <c r="F4285" s="21" t="s">
        <v>19096</v>
      </c>
      <c r="G4285" s="21" t="s">
        <v>19127</v>
      </c>
    </row>
    <row r="4286" customFormat="false" ht="15" hidden="false" customHeight="false" outlineLevel="0" collapsed="false">
      <c r="B4286" s="19" t="s">
        <v>19128</v>
      </c>
      <c r="C4286" s="20" t="n">
        <f aca="false">ROUND(3.77/FX,2)</f>
        <v>0.52</v>
      </c>
      <c r="D4286" s="21" t="s">
        <v>8168</v>
      </c>
      <c r="E4286" s="21" t="s">
        <v>16482</v>
      </c>
      <c r="F4286" s="21" t="s">
        <v>19096</v>
      </c>
      <c r="G4286" s="21" t="s">
        <v>19129</v>
      </c>
    </row>
    <row r="4287" customFormat="false" ht="15" hidden="false" customHeight="false" outlineLevel="0" collapsed="false">
      <c r="B4287" s="19" t="s">
        <v>19130</v>
      </c>
      <c r="C4287" s="20" t="n">
        <f aca="false">ROUND(4.68/FX,2)</f>
        <v>0.65</v>
      </c>
      <c r="D4287" s="21" t="s">
        <v>8168</v>
      </c>
      <c r="E4287" s="21" t="s">
        <v>16482</v>
      </c>
      <c r="F4287" s="21" t="s">
        <v>19096</v>
      </c>
      <c r="G4287" s="21" t="s">
        <v>19131</v>
      </c>
    </row>
    <row r="4288" customFormat="false" ht="15" hidden="false" customHeight="false" outlineLevel="0" collapsed="false">
      <c r="B4288" s="19" t="s">
        <v>19132</v>
      </c>
      <c r="C4288" s="20" t="n">
        <f aca="false">ROUND(4.55/FX,2)</f>
        <v>0.63</v>
      </c>
      <c r="D4288" s="21" t="s">
        <v>8168</v>
      </c>
      <c r="E4288" s="21" t="s">
        <v>16482</v>
      </c>
      <c r="F4288" s="21" t="s">
        <v>19096</v>
      </c>
      <c r="G4288" s="21" t="s">
        <v>19133</v>
      </c>
    </row>
    <row r="4289" customFormat="false" ht="15" hidden="false" customHeight="false" outlineLevel="0" collapsed="false">
      <c r="B4289" s="19" t="s">
        <v>19134</v>
      </c>
      <c r="C4289" s="20" t="n">
        <f aca="false">ROUND(0.7/FX,2)</f>
        <v>0.1</v>
      </c>
      <c r="D4289" s="21" t="s">
        <v>8168</v>
      </c>
      <c r="E4289" s="21" t="s">
        <v>16482</v>
      </c>
      <c r="F4289" s="21" t="s">
        <v>19096</v>
      </c>
      <c r="G4289" s="21" t="s">
        <v>19135</v>
      </c>
    </row>
    <row r="4290" customFormat="false" ht="15" hidden="false" customHeight="false" outlineLevel="0" collapsed="false">
      <c r="B4290" s="19" t="s">
        <v>19136</v>
      </c>
      <c r="C4290" s="20" t="n">
        <f aca="false">ROUND(0.7/FX,2)</f>
        <v>0.1</v>
      </c>
      <c r="D4290" s="21" t="s">
        <v>8168</v>
      </c>
      <c r="E4290" s="21" t="s">
        <v>16482</v>
      </c>
      <c r="F4290" s="21" t="s">
        <v>19096</v>
      </c>
      <c r="G4290" s="21" t="s">
        <v>19137</v>
      </c>
    </row>
    <row r="4291" customFormat="false" ht="15" hidden="false" customHeight="false" outlineLevel="0" collapsed="false">
      <c r="B4291" s="19" t="s">
        <v>19138</v>
      </c>
      <c r="C4291" s="20" t="n">
        <f aca="false">ROUND(6.24/FX,2)</f>
        <v>0.87</v>
      </c>
      <c r="D4291" s="21" t="s">
        <v>8168</v>
      </c>
      <c r="E4291" s="21" t="s">
        <v>16482</v>
      </c>
      <c r="F4291" s="21" t="s">
        <v>19096</v>
      </c>
      <c r="G4291" s="21" t="s">
        <v>19139</v>
      </c>
    </row>
    <row r="4292" customFormat="false" ht="15" hidden="false" customHeight="false" outlineLevel="0" collapsed="false">
      <c r="B4292" s="19" t="s">
        <v>19140</v>
      </c>
      <c r="C4292" s="20" t="n">
        <f aca="false">ROUND(8.45/FX,2)</f>
        <v>1.17</v>
      </c>
      <c r="D4292" s="21" t="s">
        <v>8168</v>
      </c>
      <c r="E4292" s="21" t="s">
        <v>16482</v>
      </c>
      <c r="F4292" s="21" t="s">
        <v>19096</v>
      </c>
      <c r="G4292" s="21" t="s">
        <v>19141</v>
      </c>
    </row>
    <row r="4293" customFormat="false" ht="15" hidden="false" customHeight="false" outlineLevel="0" collapsed="false">
      <c r="B4293" s="19" t="s">
        <v>19142</v>
      </c>
      <c r="C4293" s="20" t="n">
        <f aca="false">ROUND(1.17/FX,2)</f>
        <v>0.16</v>
      </c>
      <c r="D4293" s="21" t="s">
        <v>8168</v>
      </c>
      <c r="E4293" s="21" t="s">
        <v>16482</v>
      </c>
      <c r="F4293" s="21" t="s">
        <v>19096</v>
      </c>
      <c r="G4293" s="21" t="s">
        <v>19143</v>
      </c>
    </row>
    <row r="4294" customFormat="false" ht="15" hidden="false" customHeight="false" outlineLevel="0" collapsed="false">
      <c r="B4294" s="19" t="s">
        <v>19144</v>
      </c>
      <c r="C4294" s="20" t="n">
        <f aca="false">ROUND(0.66/FX,2)</f>
        <v>0.09</v>
      </c>
      <c r="D4294" s="21" t="s">
        <v>8168</v>
      </c>
      <c r="E4294" s="21" t="s">
        <v>16482</v>
      </c>
      <c r="F4294" s="21" t="s">
        <v>19096</v>
      </c>
      <c r="G4294" s="21" t="s">
        <v>19145</v>
      </c>
    </row>
    <row r="4295" customFormat="false" ht="15" hidden="false" customHeight="false" outlineLevel="0" collapsed="false">
      <c r="B4295" s="19" t="s">
        <v>19146</v>
      </c>
      <c r="C4295" s="20" t="n">
        <f aca="false">ROUND(10.66/FX,2)</f>
        <v>1.48</v>
      </c>
      <c r="D4295" s="21" t="s">
        <v>8168</v>
      </c>
      <c r="E4295" s="21" t="s">
        <v>16482</v>
      </c>
      <c r="F4295" s="21" t="s">
        <v>19096</v>
      </c>
      <c r="G4295" s="21" t="s">
        <v>19147</v>
      </c>
    </row>
    <row r="4296" customFormat="false" ht="15" hidden="false" customHeight="false" outlineLevel="0" collapsed="false">
      <c r="B4296" s="19" t="s">
        <v>19148</v>
      </c>
      <c r="C4296" s="20" t="n">
        <f aca="false">ROUND(10.14/FX,2)</f>
        <v>1.41</v>
      </c>
      <c r="D4296" s="21" t="s">
        <v>8168</v>
      </c>
      <c r="E4296" s="21" t="s">
        <v>16482</v>
      </c>
      <c r="F4296" s="21" t="s">
        <v>19096</v>
      </c>
      <c r="G4296" s="21" t="s">
        <v>19149</v>
      </c>
    </row>
    <row r="4297" customFormat="false" ht="15" hidden="false" customHeight="false" outlineLevel="0" collapsed="false">
      <c r="B4297" s="19" t="s">
        <v>19150</v>
      </c>
      <c r="C4297" s="20" t="n">
        <f aca="false">ROUND(1.17/FX,2)</f>
        <v>0.16</v>
      </c>
      <c r="D4297" s="21" t="s">
        <v>8168</v>
      </c>
      <c r="E4297" s="21" t="s">
        <v>16482</v>
      </c>
      <c r="F4297" s="21" t="s">
        <v>19096</v>
      </c>
      <c r="G4297" s="21" t="s">
        <v>19151</v>
      </c>
    </row>
    <row r="4298" customFormat="false" ht="15" hidden="false" customHeight="false" outlineLevel="0" collapsed="false">
      <c r="B4298" s="19" t="s">
        <v>19152</v>
      </c>
      <c r="C4298" s="20" t="n">
        <f aca="false">ROUND(0.72/FX,2)</f>
        <v>0.1</v>
      </c>
      <c r="D4298" s="21" t="s">
        <v>8168</v>
      </c>
      <c r="E4298" s="21" t="s">
        <v>16482</v>
      </c>
      <c r="F4298" s="21" t="s">
        <v>19096</v>
      </c>
      <c r="G4298" s="21" t="s">
        <v>19153</v>
      </c>
    </row>
    <row r="4299" customFormat="false" ht="15" hidden="false" customHeight="false" outlineLevel="0" collapsed="false">
      <c r="B4299" s="19" t="s">
        <v>19154</v>
      </c>
      <c r="C4299" s="20" t="n">
        <f aca="false">ROUND(0.65/FX,2)</f>
        <v>0.09</v>
      </c>
      <c r="D4299" s="21" t="s">
        <v>8168</v>
      </c>
      <c r="E4299" s="21" t="s">
        <v>16482</v>
      </c>
      <c r="F4299" s="21" t="s">
        <v>19096</v>
      </c>
      <c r="G4299" s="21" t="s">
        <v>19155</v>
      </c>
    </row>
    <row r="4300" customFormat="false" ht="15" hidden="false" customHeight="false" outlineLevel="0" collapsed="false">
      <c r="B4300" s="19" t="s">
        <v>19156</v>
      </c>
      <c r="C4300" s="20" t="n">
        <f aca="false">ROUND(0.78/FX,2)</f>
        <v>0.11</v>
      </c>
      <c r="D4300" s="21" t="s">
        <v>8168</v>
      </c>
      <c r="E4300" s="21" t="s">
        <v>16482</v>
      </c>
      <c r="F4300" s="21" t="s">
        <v>19096</v>
      </c>
      <c r="G4300" s="21" t="s">
        <v>19157</v>
      </c>
    </row>
    <row r="4301" customFormat="false" ht="15" hidden="false" customHeight="false" outlineLevel="0" collapsed="false">
      <c r="B4301" s="19" t="s">
        <v>19158</v>
      </c>
      <c r="C4301" s="20" t="n">
        <f aca="false">ROUND(0.6/FX,2)</f>
        <v>0.08</v>
      </c>
      <c r="D4301" s="21" t="s">
        <v>8168</v>
      </c>
      <c r="E4301" s="21" t="s">
        <v>16443</v>
      </c>
      <c r="F4301" s="21" t="s">
        <v>19096</v>
      </c>
      <c r="G4301" s="21" t="s">
        <v>19159</v>
      </c>
    </row>
    <row r="4302" customFormat="false" ht="15" hidden="false" customHeight="false" outlineLevel="0" collapsed="false">
      <c r="B4302" s="19" t="s">
        <v>19160</v>
      </c>
      <c r="C4302" s="20" t="n">
        <f aca="false">ROUND(1.43/FX,2)</f>
        <v>0.2</v>
      </c>
      <c r="D4302" s="21" t="s">
        <v>8168</v>
      </c>
      <c r="E4302" s="21" t="s">
        <v>16482</v>
      </c>
      <c r="F4302" s="21" t="s">
        <v>19096</v>
      </c>
      <c r="G4302" s="21" t="s">
        <v>19161</v>
      </c>
    </row>
    <row r="4303" customFormat="false" ht="28.35" hidden="false" customHeight="false" outlineLevel="0" collapsed="false">
      <c r="B4303" s="19" t="s">
        <v>19162</v>
      </c>
      <c r="C4303" s="20" t="n">
        <f aca="false">ROUND(0.72/FX,2)</f>
        <v>0.1</v>
      </c>
      <c r="D4303" s="21" t="s">
        <v>8168</v>
      </c>
      <c r="E4303" s="21" t="s">
        <v>19163</v>
      </c>
      <c r="F4303" s="21" t="s">
        <v>19096</v>
      </c>
      <c r="G4303" s="21" t="s">
        <v>19164</v>
      </c>
    </row>
    <row r="4304" customFormat="false" ht="28.35" hidden="false" customHeight="false" outlineLevel="0" collapsed="false">
      <c r="B4304" s="19" t="s">
        <v>19165</v>
      </c>
      <c r="C4304" s="20" t="n">
        <f aca="false">ROUND(0.72/FX,2)</f>
        <v>0.1</v>
      </c>
      <c r="D4304" s="21" t="s">
        <v>8168</v>
      </c>
      <c r="E4304" s="21" t="s">
        <v>19166</v>
      </c>
      <c r="F4304" s="21" t="s">
        <v>19096</v>
      </c>
      <c r="G4304" s="21" t="s">
        <v>19164</v>
      </c>
    </row>
    <row r="4305" customFormat="false" ht="15" hidden="false" customHeight="false" outlineLevel="0" collapsed="false">
      <c r="B4305" s="19" t="s">
        <v>19167</v>
      </c>
      <c r="C4305" s="20" t="n">
        <f aca="false">ROUND(5.55/FX,2)</f>
        <v>0.77</v>
      </c>
      <c r="D4305" s="21" t="s">
        <v>8168</v>
      </c>
      <c r="E4305" s="21" t="s">
        <v>19168</v>
      </c>
      <c r="F4305" s="21" t="s">
        <v>19169</v>
      </c>
      <c r="G4305" s="21" t="s">
        <v>19170</v>
      </c>
    </row>
    <row r="4306" customFormat="false" ht="15" hidden="false" customHeight="false" outlineLevel="0" collapsed="false">
      <c r="B4306" s="19" t="s">
        <v>19171</v>
      </c>
      <c r="C4306" s="20" t="n">
        <f aca="false">ROUND(6.63/FX,2)</f>
        <v>0.92</v>
      </c>
      <c r="D4306" s="21" t="s">
        <v>8168</v>
      </c>
      <c r="E4306" s="21" t="s">
        <v>19172</v>
      </c>
      <c r="F4306" s="21" t="s">
        <v>19169</v>
      </c>
      <c r="G4306" s="21" t="s">
        <v>19170</v>
      </c>
    </row>
    <row r="4307" customFormat="false" ht="15" hidden="false" customHeight="false" outlineLevel="0" collapsed="false">
      <c r="B4307" s="19" t="s">
        <v>19173</v>
      </c>
      <c r="C4307" s="20" t="n">
        <f aca="false">ROUND(7.54/FX,2)</f>
        <v>1.05</v>
      </c>
      <c r="D4307" s="21" t="s">
        <v>8168</v>
      </c>
      <c r="E4307" s="21" t="s">
        <v>19168</v>
      </c>
      <c r="F4307" s="21" t="s">
        <v>19169</v>
      </c>
      <c r="G4307" s="21" t="s">
        <v>19174</v>
      </c>
    </row>
    <row r="4308" customFormat="false" ht="15" hidden="false" customHeight="false" outlineLevel="0" collapsed="false">
      <c r="B4308" s="19" t="s">
        <v>19175</v>
      </c>
      <c r="C4308" s="20" t="n">
        <f aca="false">ROUND(8.84/FX,2)</f>
        <v>1.23</v>
      </c>
      <c r="D4308" s="21" t="s">
        <v>8168</v>
      </c>
      <c r="E4308" s="21" t="s">
        <v>19172</v>
      </c>
      <c r="F4308" s="21" t="s">
        <v>19169</v>
      </c>
      <c r="G4308" s="21" t="s">
        <v>19174</v>
      </c>
    </row>
    <row r="4309" customFormat="false" ht="15" hidden="false" customHeight="false" outlineLevel="0" collapsed="false">
      <c r="B4309" s="19" t="s">
        <v>19176</v>
      </c>
      <c r="C4309" s="20" t="n">
        <f aca="false">ROUND(7.67/FX,2)</f>
        <v>1.07</v>
      </c>
      <c r="D4309" s="21" t="s">
        <v>8168</v>
      </c>
      <c r="E4309" s="21" t="s">
        <v>19168</v>
      </c>
      <c r="F4309" s="21" t="s">
        <v>19169</v>
      </c>
      <c r="G4309" s="21" t="s">
        <v>18904</v>
      </c>
    </row>
    <row r="4310" customFormat="false" ht="15" hidden="false" customHeight="false" outlineLevel="0" collapsed="false">
      <c r="B4310" s="19" t="s">
        <v>19177</v>
      </c>
      <c r="C4310" s="20" t="n">
        <f aca="false">ROUND(11.35/FX,2)</f>
        <v>1.58</v>
      </c>
      <c r="D4310" s="21" t="s">
        <v>8168</v>
      </c>
      <c r="E4310" s="21" t="s">
        <v>19172</v>
      </c>
      <c r="F4310" s="21" t="s">
        <v>19169</v>
      </c>
      <c r="G4310" s="21" t="s">
        <v>18904</v>
      </c>
    </row>
    <row r="4311" customFormat="false" ht="15" hidden="false" customHeight="false" outlineLevel="0" collapsed="false">
      <c r="B4311" s="19" t="s">
        <v>19178</v>
      </c>
      <c r="C4311" s="20" t="n">
        <f aca="false">ROUND(8.32/FX,2)</f>
        <v>1.16</v>
      </c>
      <c r="D4311" s="21" t="s">
        <v>8168</v>
      </c>
      <c r="E4311" s="21" t="s">
        <v>19168</v>
      </c>
      <c r="F4311" s="21" t="s">
        <v>19169</v>
      </c>
      <c r="G4311" s="21" t="s">
        <v>19179</v>
      </c>
    </row>
    <row r="4312" customFormat="false" ht="28.35" hidden="false" customHeight="false" outlineLevel="0" collapsed="false">
      <c r="B4312" s="19" t="s">
        <v>19180</v>
      </c>
      <c r="C4312" s="20" t="n">
        <f aca="false">ROUND(8.2/FX,2)</f>
        <v>1.14</v>
      </c>
      <c r="D4312" s="21" t="s">
        <v>8168</v>
      </c>
      <c r="E4312" s="21" t="s">
        <v>19181</v>
      </c>
      <c r="F4312" s="21" t="s">
        <v>19169</v>
      </c>
      <c r="G4312" s="21" t="s">
        <v>19179</v>
      </c>
    </row>
    <row r="4313" customFormat="false" ht="15" hidden="false" customHeight="false" outlineLevel="0" collapsed="false">
      <c r="B4313" s="19" t="s">
        <v>19182</v>
      </c>
      <c r="C4313" s="20" t="n">
        <f aca="false">ROUND(9.95/FX,2)</f>
        <v>1.38</v>
      </c>
      <c r="D4313" s="21" t="s">
        <v>8168</v>
      </c>
      <c r="E4313" s="21" t="s">
        <v>19172</v>
      </c>
      <c r="F4313" s="21" t="s">
        <v>19169</v>
      </c>
      <c r="G4313" s="21" t="s">
        <v>19179</v>
      </c>
    </row>
    <row r="4314" customFormat="false" ht="15" hidden="false" customHeight="false" outlineLevel="0" collapsed="false">
      <c r="B4314" s="19" t="s">
        <v>19183</v>
      </c>
      <c r="C4314" s="20" t="n">
        <f aca="false">ROUND(9.09/FX,2)</f>
        <v>1.26</v>
      </c>
      <c r="D4314" s="21" t="s">
        <v>8168</v>
      </c>
      <c r="E4314" s="21" t="s">
        <v>19168</v>
      </c>
      <c r="F4314" s="21" t="s">
        <v>19169</v>
      </c>
      <c r="G4314" s="21" t="s">
        <v>19184</v>
      </c>
    </row>
    <row r="4315" customFormat="false" ht="28.35" hidden="false" customHeight="false" outlineLevel="0" collapsed="false">
      <c r="B4315" s="19" t="s">
        <v>19185</v>
      </c>
      <c r="C4315" s="20" t="n">
        <f aca="false">ROUND(9.47/FX,2)</f>
        <v>1.32</v>
      </c>
      <c r="D4315" s="21" t="s">
        <v>8168</v>
      </c>
      <c r="E4315" s="21" t="s">
        <v>19181</v>
      </c>
      <c r="F4315" s="21" t="s">
        <v>19169</v>
      </c>
      <c r="G4315" s="21" t="s">
        <v>19184</v>
      </c>
    </row>
    <row r="4316" customFormat="false" ht="15" hidden="false" customHeight="false" outlineLevel="0" collapsed="false">
      <c r="B4316" s="19" t="s">
        <v>19186</v>
      </c>
      <c r="C4316" s="20" t="n">
        <f aca="false">ROUND(10.51/FX,2)</f>
        <v>1.46</v>
      </c>
      <c r="D4316" s="21" t="s">
        <v>8168</v>
      </c>
      <c r="E4316" s="21" t="s">
        <v>19172</v>
      </c>
      <c r="F4316" s="21" t="s">
        <v>19169</v>
      </c>
      <c r="G4316" s="21" t="s">
        <v>19184</v>
      </c>
    </row>
    <row r="4317" customFormat="false" ht="15" hidden="false" customHeight="false" outlineLevel="0" collapsed="false">
      <c r="B4317" s="19" t="s">
        <v>19187</v>
      </c>
      <c r="C4317" s="20" t="n">
        <f aca="false">ROUND(11.35/FX,2)</f>
        <v>1.58</v>
      </c>
      <c r="D4317" s="21" t="s">
        <v>8168</v>
      </c>
      <c r="E4317" s="21" t="s">
        <v>19168</v>
      </c>
      <c r="F4317" s="21" t="s">
        <v>19169</v>
      </c>
      <c r="G4317" s="21" t="s">
        <v>19188</v>
      </c>
    </row>
    <row r="4318" customFormat="false" ht="15" hidden="false" customHeight="false" outlineLevel="0" collapsed="false">
      <c r="B4318" s="19" t="s">
        <v>19189</v>
      </c>
      <c r="C4318" s="20" t="n">
        <f aca="false">ROUND(12.05/FX,2)</f>
        <v>1.67</v>
      </c>
      <c r="D4318" s="21" t="s">
        <v>8168</v>
      </c>
      <c r="E4318" s="21" t="s">
        <v>19172</v>
      </c>
      <c r="F4318" s="21" t="s">
        <v>19169</v>
      </c>
      <c r="G4318" s="21" t="s">
        <v>19188</v>
      </c>
    </row>
    <row r="4319" customFormat="false" ht="15" hidden="false" customHeight="false" outlineLevel="0" collapsed="false">
      <c r="B4319" s="19" t="s">
        <v>19190</v>
      </c>
      <c r="C4319" s="20" t="n">
        <f aca="false">ROUND(15.13/FX,2)</f>
        <v>2.1</v>
      </c>
      <c r="D4319" s="21" t="s">
        <v>8168</v>
      </c>
      <c r="E4319" s="21" t="s">
        <v>19168</v>
      </c>
      <c r="F4319" s="21" t="s">
        <v>19169</v>
      </c>
      <c r="G4319" s="21" t="s">
        <v>19020</v>
      </c>
    </row>
    <row r="4320" customFormat="false" ht="15" hidden="false" customHeight="false" outlineLevel="0" collapsed="false">
      <c r="B4320" s="19" t="s">
        <v>19191</v>
      </c>
      <c r="C4320" s="20" t="n">
        <f aca="false">ROUND(16.58/FX,2)</f>
        <v>2.3</v>
      </c>
      <c r="D4320" s="21" t="s">
        <v>8168</v>
      </c>
      <c r="E4320" s="21" t="s">
        <v>19172</v>
      </c>
      <c r="F4320" s="21" t="s">
        <v>19169</v>
      </c>
      <c r="G4320" s="21" t="s">
        <v>19020</v>
      </c>
    </row>
    <row r="4321" customFormat="false" ht="15" hidden="false" customHeight="false" outlineLevel="0" collapsed="false">
      <c r="B4321" s="19" t="s">
        <v>19192</v>
      </c>
      <c r="C4321" s="20" t="n">
        <f aca="false">ROUND(18.92/FX,2)</f>
        <v>2.63</v>
      </c>
      <c r="D4321" s="21" t="s">
        <v>8168</v>
      </c>
      <c r="E4321" s="21" t="s">
        <v>19168</v>
      </c>
      <c r="F4321" s="21" t="s">
        <v>19169</v>
      </c>
      <c r="G4321" s="21" t="s">
        <v>19193</v>
      </c>
    </row>
    <row r="4322" customFormat="false" ht="15" hidden="false" customHeight="false" outlineLevel="0" collapsed="false">
      <c r="B4322" s="19" t="s">
        <v>19194</v>
      </c>
      <c r="C4322" s="20" t="n">
        <f aca="false">ROUND(22.7/FX,2)</f>
        <v>3.15</v>
      </c>
      <c r="D4322" s="21" t="s">
        <v>8168</v>
      </c>
      <c r="E4322" s="21" t="s">
        <v>19172</v>
      </c>
      <c r="F4322" s="21" t="s">
        <v>19169</v>
      </c>
      <c r="G4322" s="21" t="s">
        <v>19193</v>
      </c>
    </row>
    <row r="4323" customFormat="false" ht="15" hidden="false" customHeight="false" outlineLevel="0" collapsed="false">
      <c r="B4323" s="19" t="s">
        <v>19195</v>
      </c>
      <c r="C4323" s="20" t="n">
        <f aca="false">ROUND(27.74/FX,2)</f>
        <v>3.85</v>
      </c>
      <c r="D4323" s="21" t="s">
        <v>8168</v>
      </c>
      <c r="E4323" s="21" t="s">
        <v>19168</v>
      </c>
      <c r="F4323" s="21" t="s">
        <v>19169</v>
      </c>
      <c r="G4323" s="21" t="s">
        <v>19196</v>
      </c>
    </row>
    <row r="4324" customFormat="false" ht="15" hidden="false" customHeight="false" outlineLevel="0" collapsed="false">
      <c r="B4324" s="19" t="s">
        <v>19197</v>
      </c>
      <c r="C4324" s="20" t="n">
        <f aca="false">ROUND(28.63/FX,2)</f>
        <v>3.98</v>
      </c>
      <c r="D4324" s="21" t="s">
        <v>8168</v>
      </c>
      <c r="E4324" s="21" t="s">
        <v>19172</v>
      </c>
      <c r="F4324" s="21" t="s">
        <v>19169</v>
      </c>
      <c r="G4324" s="21" t="s">
        <v>19196</v>
      </c>
    </row>
    <row r="4325" customFormat="false" ht="15" hidden="false" customHeight="false" outlineLevel="0" collapsed="false">
      <c r="B4325" s="19" t="s">
        <v>19198</v>
      </c>
      <c r="C4325" s="20" t="n">
        <f aca="false">ROUND(41.62/FX,2)</f>
        <v>5.78</v>
      </c>
      <c r="D4325" s="21" t="s">
        <v>8168</v>
      </c>
      <c r="E4325" s="21" t="s">
        <v>19168</v>
      </c>
      <c r="F4325" s="21" t="s">
        <v>19169</v>
      </c>
      <c r="G4325" s="21" t="s">
        <v>19199</v>
      </c>
    </row>
    <row r="4326" customFormat="false" ht="15" hidden="false" customHeight="false" outlineLevel="0" collapsed="false">
      <c r="B4326" s="19" t="s">
        <v>19200</v>
      </c>
      <c r="C4326" s="20" t="n">
        <f aca="false">ROUND(39.68/FX,2)</f>
        <v>5.51</v>
      </c>
      <c r="D4326" s="21" t="s">
        <v>8168</v>
      </c>
      <c r="E4326" s="21" t="s">
        <v>19172</v>
      </c>
      <c r="F4326" s="21" t="s">
        <v>19169</v>
      </c>
      <c r="G4326" s="21" t="s">
        <v>19199</v>
      </c>
    </row>
    <row r="4327" customFormat="false" ht="15" hidden="false" customHeight="false" outlineLevel="0" collapsed="false">
      <c r="B4327" s="19" t="s">
        <v>19201</v>
      </c>
      <c r="C4327" s="20" t="n">
        <f aca="false">ROUND(4.93/FX,2)</f>
        <v>0.68</v>
      </c>
      <c r="D4327" s="21" t="s">
        <v>8168</v>
      </c>
      <c r="E4327" s="21" t="s">
        <v>19168</v>
      </c>
      <c r="F4327" s="21" t="s">
        <v>19169</v>
      </c>
      <c r="G4327" s="21" t="s">
        <v>19202</v>
      </c>
    </row>
    <row r="4328" customFormat="false" ht="15" hidden="false" customHeight="false" outlineLevel="0" collapsed="false">
      <c r="B4328" s="19" t="s">
        <v>19203</v>
      </c>
      <c r="C4328" s="20" t="n">
        <f aca="false">ROUND(6.63/FX,2)</f>
        <v>0.92</v>
      </c>
      <c r="D4328" s="21" t="s">
        <v>8168</v>
      </c>
      <c r="E4328" s="21" t="s">
        <v>19172</v>
      </c>
      <c r="F4328" s="21" t="s">
        <v>19169</v>
      </c>
      <c r="G4328" s="21" t="s">
        <v>19202</v>
      </c>
    </row>
    <row r="4329" customFormat="false" ht="15" hidden="false" customHeight="false" outlineLevel="0" collapsed="false">
      <c r="B4329" s="19" t="s">
        <v>19204</v>
      </c>
      <c r="C4329" s="20" t="n">
        <f aca="false">ROUND(5.55/FX,2)</f>
        <v>0.77</v>
      </c>
      <c r="D4329" s="21" t="s">
        <v>8168</v>
      </c>
      <c r="E4329" s="21" t="s">
        <v>19168</v>
      </c>
      <c r="F4329" s="21" t="s">
        <v>19169</v>
      </c>
      <c r="G4329" s="21" t="s">
        <v>19205</v>
      </c>
    </row>
    <row r="4330" customFormat="false" ht="15" hidden="false" customHeight="false" outlineLevel="0" collapsed="false">
      <c r="B4330" s="19" t="s">
        <v>19206</v>
      </c>
      <c r="C4330" s="20" t="n">
        <f aca="false">ROUND(6.63/FX,2)</f>
        <v>0.92</v>
      </c>
      <c r="D4330" s="21" t="s">
        <v>8168</v>
      </c>
      <c r="E4330" s="21" t="s">
        <v>19172</v>
      </c>
      <c r="F4330" s="21" t="s">
        <v>19169</v>
      </c>
      <c r="G4330" s="21" t="s">
        <v>19205</v>
      </c>
    </row>
    <row r="4333" customFormat="false" ht="61.5" hidden="false" customHeight="true" outlineLevel="0" collapsed="false">
      <c r="A4333" s="9"/>
      <c r="B4333" s="10" t="s">
        <v>19207</v>
      </c>
      <c r="C4333" s="10"/>
      <c r="D4333" s="10"/>
    </row>
    <row r="4334" customFormat="false" ht="15" hidden="false" customHeight="false" outlineLevel="0" collapsed="false">
      <c r="B4334" s="18" t="s">
        <v>701</v>
      </c>
      <c r="C4334" s="18" t="s">
        <v>702</v>
      </c>
      <c r="D4334" s="18" t="s">
        <v>5610</v>
      </c>
    </row>
    <row r="4335" customFormat="false" ht="15" hidden="false" customHeight="false" outlineLevel="0" collapsed="false">
      <c r="B4335" s="19" t="s">
        <v>19208</v>
      </c>
      <c r="C4335" s="20" t="n">
        <f aca="false">ROUND(2/FX,2)</f>
        <v>0.28</v>
      </c>
      <c r="D4335" s="22" t="s">
        <v>5612</v>
      </c>
    </row>
    <row r="4338" customFormat="false" ht="61.5" hidden="false" customHeight="true" outlineLevel="0" collapsed="false">
      <c r="A4338" s="9"/>
      <c r="B4338" s="10" t="s">
        <v>19209</v>
      </c>
      <c r="C4338" s="10"/>
      <c r="D4338" s="10"/>
      <c r="E4338" s="10"/>
      <c r="F4338" s="10"/>
      <c r="G4338" s="10"/>
    </row>
    <row r="4339" customFormat="false" ht="15" hidden="false" customHeight="false" outlineLevel="0" collapsed="false">
      <c r="A4339" s="12" t="s">
        <v>700</v>
      </c>
      <c r="B4339" s="13" t="s">
        <v>701</v>
      </c>
      <c r="C4339" s="13" t="s">
        <v>702</v>
      </c>
      <c r="D4339" s="13" t="s">
        <v>6159</v>
      </c>
      <c r="E4339" s="13" t="s">
        <v>723</v>
      </c>
      <c r="F4339" s="13" t="s">
        <v>6328</v>
      </c>
      <c r="G4339" s="13" t="s">
        <v>6523</v>
      </c>
    </row>
    <row r="4340" customFormat="false" ht="30" hidden="false" customHeight="true" outlineLevel="0" collapsed="false">
      <c r="A4340" s="14" t="s">
        <v>706</v>
      </c>
      <c r="B4340" s="15" t="str">
        <f aca="false">IF(COUNTIFS($D$4343:$D$4433,IF(D4340="","*",D4340),$E$4343:$E$4433,IF(E4340="","*",E4340),$F$4343:$F$4433,IF(F4340="","*",F4340),$G$4343:$G$4433,IF(G4340="","*",G4340))=1,INDEX($B:$B,SUMPRODUCT(((D4340="")+($D$4343:$D$4433=D4340)&gt;0)*((E4340="")+($E$4343:$E$4433=E4340)&gt;0)*((F4340="")+($F$4343:$F$4433=F4340)&gt;0)*((G4340="")+($G$4343:$G$4433=G4340)&gt;0)*ROW($B$4343:$B$4433))),IF(COUNTIFS($D$4343:$D$4433,IF(D4340="","*",D4340),$E$4343:$E$4433,IF(E4340="","*",E4340),$F$4343:$F$4433,IF(F4340="","*",F4340),$G$4343:$G$4433,IF(G4340="","*",G4340))=0,"Not available",COUNTIFS($D$4343:$D$4433,IF(D4340="","*",D4340),$E$4343:$E$4433,IF(E4340="","*",E4340),$F$4343:$F$4433,IF(F4340="","*",F4340),$G$4343:$G$4433,IF(G4340="","*",G4340))&amp;" match, keep choosing"))</f>
        <v>CUS-LM10LUU-10x19x55</v>
      </c>
      <c r="C4340" s="16" t="n">
        <f aca="false">IF(COUNTIFS($D$4343:$D$4433,IF(D4340="","*",D4340),$E$4343:$E$4433,IF(E4340="","*",E4340),$F$4343:$F$4433,IF(F4340="","*",F4340),$G$4343:$G$4433,IF(G4340="","*",G4340))=1,INDEX($C:$C,SUMPRODUCT(((D4340="")+($D$4343:$D$4433=D4340)&gt;0)*((E4340="")+($E$4343:$E$4433=E4340)&gt;0)*((F4340="")+($F$4343:$F$4433=F4340)&gt;0)*((G4340="")+($G$4343:$G$4433=G4340)&gt;0)*ROW($B$4343:$B$4433))),"")</f>
        <v>2.24</v>
      </c>
      <c r="D4340" s="17" t="s">
        <v>17109</v>
      </c>
      <c r="E4340" s="17" t="s">
        <v>734</v>
      </c>
      <c r="F4340" s="17" t="s">
        <v>17110</v>
      </c>
      <c r="G4340" s="17" t="s">
        <v>17111</v>
      </c>
    </row>
    <row r="4342" customFormat="false" ht="15" hidden="false" customHeight="false" outlineLevel="0" collapsed="false">
      <c r="B4342" s="18" t="s">
        <v>701</v>
      </c>
      <c r="C4342" s="18" t="s">
        <v>702</v>
      </c>
      <c r="D4342" s="18" t="s">
        <v>6159</v>
      </c>
      <c r="E4342" s="18" t="s">
        <v>723</v>
      </c>
      <c r="F4342" s="18" t="s">
        <v>6328</v>
      </c>
      <c r="G4342" s="18" t="s">
        <v>6523</v>
      </c>
    </row>
    <row r="4343" customFormat="false" ht="15" hidden="false" customHeight="false" outlineLevel="0" collapsed="false">
      <c r="B4343" s="19" t="s">
        <v>19210</v>
      </c>
      <c r="C4343" s="20" t="n">
        <f aca="false">ROUND(16.11/FX,2)</f>
        <v>2.24</v>
      </c>
      <c r="D4343" s="21" t="s">
        <v>17109</v>
      </c>
      <c r="E4343" s="21" t="s">
        <v>734</v>
      </c>
      <c r="F4343" s="21" t="s">
        <v>17110</v>
      </c>
      <c r="G4343" s="21" t="s">
        <v>17111</v>
      </c>
    </row>
    <row r="4344" customFormat="false" ht="15" hidden="false" customHeight="false" outlineLevel="0" collapsed="false">
      <c r="B4344" s="19" t="s">
        <v>19211</v>
      </c>
      <c r="C4344" s="20" t="n">
        <f aca="false">ROUND(19.14/FX,2)</f>
        <v>2.66</v>
      </c>
      <c r="D4344" s="21" t="s">
        <v>17109</v>
      </c>
      <c r="E4344" s="21" t="s">
        <v>17113</v>
      </c>
      <c r="F4344" s="21" t="s">
        <v>17110</v>
      </c>
      <c r="G4344" s="21" t="s">
        <v>17111</v>
      </c>
    </row>
    <row r="4345" customFormat="false" ht="15" hidden="false" customHeight="false" outlineLevel="0" collapsed="false">
      <c r="B4345" s="19" t="s">
        <v>19212</v>
      </c>
      <c r="C4345" s="20" t="n">
        <f aca="false">ROUND(8.97/FX,2)</f>
        <v>1.25</v>
      </c>
      <c r="D4345" s="21" t="s">
        <v>17119</v>
      </c>
      <c r="E4345" s="21" t="s">
        <v>734</v>
      </c>
      <c r="F4345" s="21" t="s">
        <v>17105</v>
      </c>
      <c r="G4345" s="21" t="s">
        <v>17120</v>
      </c>
    </row>
    <row r="4346" customFormat="false" ht="15" hidden="false" customHeight="false" outlineLevel="0" collapsed="false">
      <c r="B4346" s="19" t="s">
        <v>19213</v>
      </c>
      <c r="C4346" s="20" t="n">
        <f aca="false">ROUND(11.1/FX,2)</f>
        <v>1.54</v>
      </c>
      <c r="D4346" s="21" t="s">
        <v>17119</v>
      </c>
      <c r="E4346" s="21" t="s">
        <v>17113</v>
      </c>
      <c r="F4346" s="21" t="s">
        <v>17105</v>
      </c>
      <c r="G4346" s="21" t="s">
        <v>17120</v>
      </c>
    </row>
    <row r="4347" customFormat="false" ht="15" hidden="false" customHeight="false" outlineLevel="0" collapsed="false">
      <c r="B4347" s="19" t="s">
        <v>19214</v>
      </c>
      <c r="C4347" s="20" t="n">
        <f aca="false">ROUND(16.11/FX,2)</f>
        <v>2.24</v>
      </c>
      <c r="D4347" s="21" t="s">
        <v>17130</v>
      </c>
      <c r="E4347" s="21" t="s">
        <v>734</v>
      </c>
      <c r="F4347" s="21" t="s">
        <v>17110</v>
      </c>
      <c r="G4347" s="21" t="s">
        <v>17131</v>
      </c>
    </row>
    <row r="4348" customFormat="false" ht="15" hidden="false" customHeight="false" outlineLevel="0" collapsed="false">
      <c r="B4348" s="19" t="s">
        <v>19215</v>
      </c>
      <c r="C4348" s="20" t="n">
        <f aca="false">ROUND(19.89/FX,2)</f>
        <v>2.76</v>
      </c>
      <c r="D4348" s="21" t="s">
        <v>17130</v>
      </c>
      <c r="E4348" s="21" t="s">
        <v>17113</v>
      </c>
      <c r="F4348" s="21" t="s">
        <v>17110</v>
      </c>
      <c r="G4348" s="21" t="s">
        <v>17131</v>
      </c>
    </row>
    <row r="4349" customFormat="false" ht="15" hidden="false" customHeight="false" outlineLevel="0" collapsed="false">
      <c r="B4349" s="19" t="s">
        <v>19216</v>
      </c>
      <c r="C4349" s="20" t="n">
        <f aca="false">ROUND(8.97/FX,2)</f>
        <v>1.25</v>
      </c>
      <c r="D4349" s="21" t="s">
        <v>17136</v>
      </c>
      <c r="E4349" s="21" t="s">
        <v>734</v>
      </c>
      <c r="F4349" s="21" t="s">
        <v>17105</v>
      </c>
      <c r="G4349" s="21" t="s">
        <v>17137</v>
      </c>
    </row>
    <row r="4350" customFormat="false" ht="15" hidden="false" customHeight="false" outlineLevel="0" collapsed="false">
      <c r="B4350" s="19" t="s">
        <v>19217</v>
      </c>
      <c r="C4350" s="20" t="n">
        <f aca="false">ROUND(11.1/FX,2)</f>
        <v>1.54</v>
      </c>
      <c r="D4350" s="21" t="s">
        <v>17136</v>
      </c>
      <c r="E4350" s="21" t="s">
        <v>17113</v>
      </c>
      <c r="F4350" s="21" t="s">
        <v>17105</v>
      </c>
      <c r="G4350" s="21" t="s">
        <v>17137</v>
      </c>
    </row>
    <row r="4351" customFormat="false" ht="15" hidden="false" customHeight="false" outlineLevel="0" collapsed="false">
      <c r="B4351" s="19" t="s">
        <v>19218</v>
      </c>
      <c r="C4351" s="20" t="n">
        <f aca="false">ROUND(22.28/FX,2)</f>
        <v>3.09</v>
      </c>
      <c r="D4351" s="21" t="s">
        <v>17157</v>
      </c>
      <c r="E4351" s="21" t="s">
        <v>734</v>
      </c>
      <c r="F4351" s="21" t="s">
        <v>17110</v>
      </c>
      <c r="G4351" s="21" t="s">
        <v>17158</v>
      </c>
    </row>
    <row r="4352" customFormat="false" ht="15" hidden="false" customHeight="false" outlineLevel="0" collapsed="false">
      <c r="B4352" s="19" t="s">
        <v>19219</v>
      </c>
      <c r="C4352" s="20" t="n">
        <f aca="false">ROUND(25.44/FX,2)</f>
        <v>3.53</v>
      </c>
      <c r="D4352" s="21" t="s">
        <v>17157</v>
      </c>
      <c r="E4352" s="21" t="s">
        <v>17113</v>
      </c>
      <c r="F4352" s="21" t="s">
        <v>17110</v>
      </c>
      <c r="G4352" s="21" t="s">
        <v>17158</v>
      </c>
    </row>
    <row r="4353" customFormat="false" ht="15" hidden="false" customHeight="false" outlineLevel="0" collapsed="false">
      <c r="B4353" s="19" t="s">
        <v>19220</v>
      </c>
      <c r="C4353" s="20" t="n">
        <f aca="false">ROUND(11.44/FX,2)</f>
        <v>1.59</v>
      </c>
      <c r="D4353" s="21" t="s">
        <v>17163</v>
      </c>
      <c r="E4353" s="21" t="s">
        <v>734</v>
      </c>
      <c r="F4353" s="21" t="s">
        <v>17105</v>
      </c>
      <c r="G4353" s="21" t="s">
        <v>17155</v>
      </c>
    </row>
    <row r="4354" customFormat="false" ht="15" hidden="false" customHeight="false" outlineLevel="0" collapsed="false">
      <c r="B4354" s="19" t="s">
        <v>19221</v>
      </c>
      <c r="C4354" s="20" t="n">
        <f aca="false">ROUND(11.31/FX,2)</f>
        <v>1.57</v>
      </c>
      <c r="D4354" s="21" t="s">
        <v>17163</v>
      </c>
      <c r="E4354" s="21" t="s">
        <v>17113</v>
      </c>
      <c r="F4354" s="21" t="s">
        <v>17105</v>
      </c>
      <c r="G4354" s="21" t="s">
        <v>17155</v>
      </c>
    </row>
    <row r="4355" customFormat="false" ht="15" hidden="false" customHeight="false" outlineLevel="0" collapsed="false">
      <c r="B4355" s="19" t="s">
        <v>19222</v>
      </c>
      <c r="C4355" s="20" t="n">
        <f aca="false">ROUND(25.44/FX,2)</f>
        <v>3.53</v>
      </c>
      <c r="D4355" s="21" t="s">
        <v>17179</v>
      </c>
      <c r="E4355" s="21" t="s">
        <v>734</v>
      </c>
      <c r="F4355" s="21" t="s">
        <v>17110</v>
      </c>
      <c r="G4355" s="21" t="s">
        <v>17180</v>
      </c>
    </row>
    <row r="4356" customFormat="false" ht="15" hidden="false" customHeight="false" outlineLevel="0" collapsed="false">
      <c r="B4356" s="19" t="s">
        <v>19223</v>
      </c>
      <c r="C4356" s="20" t="n">
        <f aca="false">ROUND(30.23/FX,2)</f>
        <v>4.2</v>
      </c>
      <c r="D4356" s="21" t="s">
        <v>17179</v>
      </c>
      <c r="E4356" s="21" t="s">
        <v>17113</v>
      </c>
      <c r="F4356" s="21" t="s">
        <v>17110</v>
      </c>
      <c r="G4356" s="21" t="s">
        <v>17180</v>
      </c>
    </row>
    <row r="4357" customFormat="false" ht="15" hidden="false" customHeight="false" outlineLevel="0" collapsed="false">
      <c r="B4357" s="19" t="s">
        <v>19224</v>
      </c>
      <c r="C4357" s="20" t="n">
        <f aca="false">ROUND(12.08/FX,2)</f>
        <v>1.68</v>
      </c>
      <c r="D4357" s="21" t="s">
        <v>17185</v>
      </c>
      <c r="E4357" s="21" t="s">
        <v>734</v>
      </c>
      <c r="F4357" s="21" t="s">
        <v>17105</v>
      </c>
      <c r="G4357" s="21" t="s">
        <v>17175</v>
      </c>
    </row>
    <row r="4358" customFormat="false" ht="15" hidden="false" customHeight="false" outlineLevel="0" collapsed="false">
      <c r="B4358" s="19" t="s">
        <v>19225</v>
      </c>
      <c r="C4358" s="20" t="n">
        <f aca="false">ROUND(13.72/FX,2)</f>
        <v>1.91</v>
      </c>
      <c r="D4358" s="21" t="s">
        <v>17185</v>
      </c>
      <c r="E4358" s="21" t="s">
        <v>17113</v>
      </c>
      <c r="F4358" s="21" t="s">
        <v>17105</v>
      </c>
      <c r="G4358" s="21" t="s">
        <v>17175</v>
      </c>
    </row>
    <row r="4359" customFormat="false" ht="15" hidden="false" customHeight="false" outlineLevel="0" collapsed="false">
      <c r="B4359" s="19" t="s">
        <v>19226</v>
      </c>
      <c r="C4359" s="20" t="n">
        <f aca="false">ROUND(41.2/FX,2)</f>
        <v>5.72</v>
      </c>
      <c r="D4359" s="21" t="s">
        <v>17199</v>
      </c>
      <c r="E4359" s="21" t="s">
        <v>734</v>
      </c>
      <c r="F4359" s="21" t="s">
        <v>17110</v>
      </c>
      <c r="G4359" s="21" t="s">
        <v>17200</v>
      </c>
    </row>
    <row r="4360" customFormat="false" ht="15" hidden="false" customHeight="false" outlineLevel="0" collapsed="false">
      <c r="B4360" s="19" t="s">
        <v>19227</v>
      </c>
      <c r="C4360" s="20" t="n">
        <f aca="false">ROUND(47.5/FX,2)</f>
        <v>6.6</v>
      </c>
      <c r="D4360" s="21" t="s">
        <v>17199</v>
      </c>
      <c r="E4360" s="21" t="s">
        <v>17113</v>
      </c>
      <c r="F4360" s="21" t="s">
        <v>17110</v>
      </c>
      <c r="G4360" s="21" t="s">
        <v>17200</v>
      </c>
    </row>
    <row r="4361" customFormat="false" ht="15" hidden="false" customHeight="false" outlineLevel="0" collapsed="false">
      <c r="B4361" s="19" t="s">
        <v>19228</v>
      </c>
      <c r="C4361" s="20" t="n">
        <f aca="false">ROUND(20.02/FX,2)</f>
        <v>2.78</v>
      </c>
      <c r="D4361" s="21" t="s">
        <v>17205</v>
      </c>
      <c r="E4361" s="21" t="s">
        <v>734</v>
      </c>
      <c r="F4361" s="21" t="s">
        <v>17105</v>
      </c>
      <c r="G4361" s="21" t="s">
        <v>17195</v>
      </c>
    </row>
    <row r="4362" customFormat="false" ht="15" hidden="false" customHeight="false" outlineLevel="0" collapsed="false">
      <c r="B4362" s="19" t="s">
        <v>19229</v>
      </c>
      <c r="C4362" s="20" t="n">
        <f aca="false">ROUND(23.92/FX,2)</f>
        <v>3.32</v>
      </c>
      <c r="D4362" s="21" t="s">
        <v>17205</v>
      </c>
      <c r="E4362" s="21" t="s">
        <v>17113</v>
      </c>
      <c r="F4362" s="21" t="s">
        <v>17105</v>
      </c>
      <c r="G4362" s="21" t="s">
        <v>17195</v>
      </c>
    </row>
    <row r="4363" customFormat="false" ht="15" hidden="false" customHeight="false" outlineLevel="0" collapsed="false">
      <c r="B4363" s="19" t="s">
        <v>19230</v>
      </c>
      <c r="C4363" s="20" t="n">
        <f aca="false">ROUND(55.45/FX,2)</f>
        <v>7.7</v>
      </c>
      <c r="D4363" s="21" t="s">
        <v>17217</v>
      </c>
      <c r="E4363" s="21" t="s">
        <v>734</v>
      </c>
      <c r="F4363" s="21" t="s">
        <v>17110</v>
      </c>
      <c r="G4363" s="21" t="s">
        <v>17218</v>
      </c>
    </row>
    <row r="4364" customFormat="false" ht="15" hidden="false" customHeight="false" outlineLevel="0" collapsed="false">
      <c r="B4364" s="19" t="s">
        <v>19231</v>
      </c>
      <c r="C4364" s="20" t="n">
        <f aca="false">ROUND(61.75/FX,2)</f>
        <v>8.58</v>
      </c>
      <c r="D4364" s="21" t="s">
        <v>17217</v>
      </c>
      <c r="E4364" s="21" t="s">
        <v>17113</v>
      </c>
      <c r="F4364" s="21" t="s">
        <v>17110</v>
      </c>
      <c r="G4364" s="21" t="s">
        <v>17218</v>
      </c>
    </row>
    <row r="4365" customFormat="false" ht="15" hidden="false" customHeight="false" outlineLevel="0" collapsed="false">
      <c r="B4365" s="19" t="s">
        <v>19232</v>
      </c>
      <c r="C4365" s="20" t="n">
        <f aca="false">ROUND(27.3/FX,2)</f>
        <v>3.79</v>
      </c>
      <c r="D4365" s="21" t="s">
        <v>17223</v>
      </c>
      <c r="E4365" s="21" t="s">
        <v>734</v>
      </c>
      <c r="F4365" s="21" t="s">
        <v>17105</v>
      </c>
      <c r="G4365" s="21" t="s">
        <v>17215</v>
      </c>
    </row>
    <row r="4366" customFormat="false" ht="15" hidden="false" customHeight="false" outlineLevel="0" collapsed="false">
      <c r="B4366" s="19" t="s">
        <v>19233</v>
      </c>
      <c r="C4366" s="20" t="n">
        <f aca="false">ROUND(31.75/FX,2)</f>
        <v>4.41</v>
      </c>
      <c r="D4366" s="21" t="s">
        <v>17223</v>
      </c>
      <c r="E4366" s="21" t="s">
        <v>17113</v>
      </c>
      <c r="F4366" s="21" t="s">
        <v>17105</v>
      </c>
      <c r="G4366" s="21" t="s">
        <v>17215</v>
      </c>
    </row>
    <row r="4367" customFormat="false" ht="15" hidden="false" customHeight="false" outlineLevel="0" collapsed="false">
      <c r="B4367" s="19" t="s">
        <v>19234</v>
      </c>
      <c r="C4367" s="20" t="n">
        <f aca="false">ROUND(74.36/FX,2)</f>
        <v>10.33</v>
      </c>
      <c r="D4367" s="21" t="s">
        <v>17233</v>
      </c>
      <c r="E4367" s="21" t="s">
        <v>734</v>
      </c>
      <c r="F4367" s="21" t="s">
        <v>17110</v>
      </c>
      <c r="G4367" s="21" t="s">
        <v>17234</v>
      </c>
    </row>
    <row r="4368" customFormat="false" ht="15" hidden="false" customHeight="false" outlineLevel="0" collapsed="false">
      <c r="B4368" s="19" t="s">
        <v>19235</v>
      </c>
      <c r="C4368" s="20" t="n">
        <f aca="false">ROUND(93.28/FX,2)</f>
        <v>12.96</v>
      </c>
      <c r="D4368" s="21" t="s">
        <v>17233</v>
      </c>
      <c r="E4368" s="21" t="s">
        <v>17113</v>
      </c>
      <c r="F4368" s="21" t="s">
        <v>17110</v>
      </c>
      <c r="G4368" s="21" t="s">
        <v>17234</v>
      </c>
    </row>
    <row r="4369" customFormat="false" ht="15" hidden="false" customHeight="false" outlineLevel="0" collapsed="false">
      <c r="B4369" s="19" t="s">
        <v>19236</v>
      </c>
      <c r="C4369" s="20" t="n">
        <f aca="false">ROUND(37.05/FX,2)</f>
        <v>5.15</v>
      </c>
      <c r="D4369" s="21" t="s">
        <v>17238</v>
      </c>
      <c r="E4369" s="21" t="s">
        <v>734</v>
      </c>
      <c r="F4369" s="21" t="s">
        <v>17105</v>
      </c>
      <c r="G4369" s="21" t="s">
        <v>17239</v>
      </c>
    </row>
    <row r="4370" customFormat="false" ht="15" hidden="false" customHeight="false" outlineLevel="0" collapsed="false">
      <c r="B4370" s="19" t="s">
        <v>19237</v>
      </c>
      <c r="C4370" s="20" t="n">
        <f aca="false">ROUND(42.84/FX,2)</f>
        <v>5.95</v>
      </c>
      <c r="D4370" s="21" t="s">
        <v>17238</v>
      </c>
      <c r="E4370" s="21" t="s">
        <v>17113</v>
      </c>
      <c r="F4370" s="21" t="s">
        <v>17105</v>
      </c>
      <c r="G4370" s="21" t="s">
        <v>17239</v>
      </c>
    </row>
    <row r="4371" customFormat="false" ht="15" hidden="false" customHeight="false" outlineLevel="0" collapsed="false">
      <c r="B4371" s="19" t="s">
        <v>19238</v>
      </c>
      <c r="C4371" s="20" t="n">
        <f aca="false">ROUND(105.89/FX,2)</f>
        <v>14.71</v>
      </c>
      <c r="D4371" s="21" t="s">
        <v>17249</v>
      </c>
      <c r="E4371" s="21" t="s">
        <v>734</v>
      </c>
      <c r="F4371" s="21" t="s">
        <v>17110</v>
      </c>
      <c r="G4371" s="21" t="s">
        <v>17250</v>
      </c>
    </row>
    <row r="4372" customFormat="false" ht="15" hidden="false" customHeight="false" outlineLevel="0" collapsed="false">
      <c r="B4372" s="19" t="s">
        <v>19239</v>
      </c>
      <c r="C4372" s="20" t="n">
        <f aca="false">ROUND(121.66/FX,2)</f>
        <v>16.9</v>
      </c>
      <c r="D4372" s="21" t="s">
        <v>17249</v>
      </c>
      <c r="E4372" s="21" t="s">
        <v>17113</v>
      </c>
      <c r="F4372" s="21" t="s">
        <v>17110</v>
      </c>
      <c r="G4372" s="21" t="s">
        <v>17250</v>
      </c>
    </row>
    <row r="4373" customFormat="false" ht="15" hidden="false" customHeight="false" outlineLevel="0" collapsed="false">
      <c r="B4373" s="19" t="s">
        <v>19240</v>
      </c>
      <c r="C4373" s="20" t="n">
        <f aca="false">ROUND(53.3/FX,2)</f>
        <v>7.4</v>
      </c>
      <c r="D4373" s="21" t="s">
        <v>17254</v>
      </c>
      <c r="E4373" s="21" t="s">
        <v>734</v>
      </c>
      <c r="F4373" s="21" t="s">
        <v>17105</v>
      </c>
      <c r="G4373" s="21" t="s">
        <v>17255</v>
      </c>
    </row>
    <row r="4374" customFormat="false" ht="15" hidden="false" customHeight="false" outlineLevel="0" collapsed="false">
      <c r="B4374" s="19" t="s">
        <v>19241</v>
      </c>
      <c r="C4374" s="20" t="n">
        <f aca="false">ROUND(61.75/FX,2)</f>
        <v>8.58</v>
      </c>
      <c r="D4374" s="21" t="s">
        <v>17254</v>
      </c>
      <c r="E4374" s="21" t="s">
        <v>17113</v>
      </c>
      <c r="F4374" s="21" t="s">
        <v>17105</v>
      </c>
      <c r="G4374" s="21" t="s">
        <v>17255</v>
      </c>
    </row>
    <row r="4375" customFormat="false" ht="15" hidden="false" customHeight="false" outlineLevel="0" collapsed="false">
      <c r="B4375" s="19" t="s">
        <v>19242</v>
      </c>
      <c r="C4375" s="20" t="n">
        <f aca="false">ROUND(250.9/FX,2)</f>
        <v>34.85</v>
      </c>
      <c r="D4375" s="21" t="s">
        <v>17267</v>
      </c>
      <c r="E4375" s="21" t="s">
        <v>734</v>
      </c>
      <c r="F4375" s="21" t="s">
        <v>17110</v>
      </c>
      <c r="G4375" s="21" t="s">
        <v>17268</v>
      </c>
    </row>
    <row r="4376" customFormat="false" ht="15" hidden="false" customHeight="false" outlineLevel="0" collapsed="false">
      <c r="B4376" s="19" t="s">
        <v>19243</v>
      </c>
      <c r="C4376" s="20" t="n">
        <f aca="false">ROUND(297.56/FX,2)</f>
        <v>41.33</v>
      </c>
      <c r="D4376" s="21" t="s">
        <v>17267</v>
      </c>
      <c r="E4376" s="21" t="s">
        <v>17113</v>
      </c>
      <c r="F4376" s="21" t="s">
        <v>17110</v>
      </c>
      <c r="G4376" s="21" t="s">
        <v>17268</v>
      </c>
    </row>
    <row r="4377" customFormat="false" ht="15" hidden="false" customHeight="false" outlineLevel="0" collapsed="false">
      <c r="B4377" s="19" t="s">
        <v>19244</v>
      </c>
      <c r="C4377" s="20" t="n">
        <f aca="false">ROUND(120/FX,2)</f>
        <v>16.67</v>
      </c>
      <c r="D4377" s="21" t="s">
        <v>17271</v>
      </c>
      <c r="E4377" s="21" t="s">
        <v>734</v>
      </c>
      <c r="F4377" s="21" t="s">
        <v>17105</v>
      </c>
      <c r="G4377" s="21" t="s">
        <v>17272</v>
      </c>
    </row>
    <row r="4378" customFormat="false" ht="15" hidden="false" customHeight="false" outlineLevel="0" collapsed="false">
      <c r="B4378" s="19" t="s">
        <v>19245</v>
      </c>
      <c r="C4378" s="20" t="n">
        <f aca="false">ROUND(140/FX,2)</f>
        <v>19.44</v>
      </c>
      <c r="D4378" s="21" t="s">
        <v>17271</v>
      </c>
      <c r="E4378" s="21" t="s">
        <v>17113</v>
      </c>
      <c r="F4378" s="21" t="s">
        <v>17105</v>
      </c>
      <c r="G4378" s="21" t="s">
        <v>17272</v>
      </c>
    </row>
    <row r="4379" customFormat="false" ht="15" hidden="false" customHeight="false" outlineLevel="0" collapsed="false">
      <c r="B4379" s="19" t="s">
        <v>19246</v>
      </c>
      <c r="C4379" s="20" t="n">
        <f aca="false">ROUND(440/FX,2)</f>
        <v>61.11</v>
      </c>
      <c r="D4379" s="21" t="s">
        <v>17281</v>
      </c>
      <c r="E4379" s="21" t="s">
        <v>734</v>
      </c>
      <c r="F4379" s="21" t="s">
        <v>17110</v>
      </c>
      <c r="G4379" s="21" t="s">
        <v>17282</v>
      </c>
    </row>
    <row r="4380" customFormat="false" ht="15" hidden="false" customHeight="false" outlineLevel="0" collapsed="false">
      <c r="B4380" s="19" t="s">
        <v>19247</v>
      </c>
      <c r="C4380" s="20" t="n">
        <f aca="false">ROUND(503.1/FX,2)</f>
        <v>69.88</v>
      </c>
      <c r="D4380" s="21" t="s">
        <v>17281</v>
      </c>
      <c r="E4380" s="21" t="s">
        <v>17113</v>
      </c>
      <c r="F4380" s="21" t="s">
        <v>17110</v>
      </c>
      <c r="G4380" s="21" t="s">
        <v>17282</v>
      </c>
    </row>
    <row r="4381" customFormat="false" ht="15" hidden="false" customHeight="false" outlineLevel="0" collapsed="false">
      <c r="B4381" s="19" t="s">
        <v>19248</v>
      </c>
      <c r="C4381" s="20" t="n">
        <f aca="false">ROUND(199.55/FX,2)</f>
        <v>27.72</v>
      </c>
      <c r="D4381" s="21" t="s">
        <v>17284</v>
      </c>
      <c r="E4381" s="21" t="s">
        <v>734</v>
      </c>
      <c r="F4381" s="21" t="s">
        <v>17105</v>
      </c>
      <c r="G4381" s="21" t="s">
        <v>17285</v>
      </c>
    </row>
    <row r="4382" customFormat="false" ht="15" hidden="false" customHeight="false" outlineLevel="0" collapsed="false">
      <c r="B4382" s="19" t="s">
        <v>19249</v>
      </c>
      <c r="C4382" s="20" t="n">
        <f aca="false">ROUND(234.51/FX,2)</f>
        <v>32.57</v>
      </c>
      <c r="D4382" s="21" t="s">
        <v>17284</v>
      </c>
      <c r="E4382" s="21" t="s">
        <v>17113</v>
      </c>
      <c r="F4382" s="21" t="s">
        <v>17105</v>
      </c>
      <c r="G4382" s="21" t="s">
        <v>17285</v>
      </c>
    </row>
    <row r="4383" customFormat="false" ht="15" hidden="false" customHeight="false" outlineLevel="0" collapsed="false">
      <c r="B4383" s="19" t="s">
        <v>19250</v>
      </c>
      <c r="C4383" s="20" t="n">
        <f aca="false">ROUND(466.05/FX,2)</f>
        <v>64.73</v>
      </c>
      <c r="D4383" s="21" t="s">
        <v>17299</v>
      </c>
      <c r="E4383" s="21" t="s">
        <v>734</v>
      </c>
      <c r="F4383" s="21" t="s">
        <v>17105</v>
      </c>
      <c r="G4383" s="21" t="s">
        <v>17300</v>
      </c>
    </row>
    <row r="4384" customFormat="false" ht="15" hidden="false" customHeight="false" outlineLevel="0" collapsed="false">
      <c r="B4384" s="19" t="s">
        <v>19251</v>
      </c>
      <c r="C4384" s="20" t="n">
        <f aca="false">ROUND(534.63/FX,2)</f>
        <v>74.25</v>
      </c>
      <c r="D4384" s="21" t="s">
        <v>17299</v>
      </c>
      <c r="E4384" s="21" t="s">
        <v>17113</v>
      </c>
      <c r="F4384" s="21" t="s">
        <v>17105</v>
      </c>
      <c r="G4384" s="21" t="s">
        <v>17300</v>
      </c>
    </row>
    <row r="4385" customFormat="false" ht="15" hidden="false" customHeight="false" outlineLevel="0" collapsed="false">
      <c r="B4385" s="19" t="s">
        <v>19252</v>
      </c>
      <c r="C4385" s="20" t="n">
        <f aca="false">ROUND(14.47/FX,2)</f>
        <v>2.01</v>
      </c>
      <c r="D4385" s="21" t="s">
        <v>17305</v>
      </c>
      <c r="E4385" s="21" t="s">
        <v>734</v>
      </c>
      <c r="F4385" s="21" t="s">
        <v>17110</v>
      </c>
      <c r="G4385" s="21" t="s">
        <v>17306</v>
      </c>
    </row>
    <row r="4386" customFormat="false" ht="15" hidden="false" customHeight="false" outlineLevel="0" collapsed="false">
      <c r="B4386" s="19" t="s">
        <v>19253</v>
      </c>
      <c r="C4386" s="20" t="n">
        <f aca="false">ROUND(17.62/FX,2)</f>
        <v>2.45</v>
      </c>
      <c r="D4386" s="21" t="s">
        <v>17305</v>
      </c>
      <c r="E4386" s="21" t="s">
        <v>17113</v>
      </c>
      <c r="F4386" s="21" t="s">
        <v>17110</v>
      </c>
      <c r="G4386" s="21" t="s">
        <v>17306</v>
      </c>
    </row>
    <row r="4387" customFormat="false" ht="15" hidden="false" customHeight="false" outlineLevel="0" collapsed="false">
      <c r="B4387" s="19" t="s">
        <v>19254</v>
      </c>
      <c r="C4387" s="20" t="n">
        <f aca="false">ROUND(8.06/FX,2)</f>
        <v>1.12</v>
      </c>
      <c r="D4387" s="21" t="s">
        <v>17314</v>
      </c>
      <c r="E4387" s="21" t="s">
        <v>734</v>
      </c>
      <c r="F4387" s="21" t="s">
        <v>17105</v>
      </c>
      <c r="G4387" s="21" t="s">
        <v>17303</v>
      </c>
    </row>
    <row r="4388" customFormat="false" ht="15" hidden="false" customHeight="false" outlineLevel="0" collapsed="false">
      <c r="B4388" s="19" t="s">
        <v>19255</v>
      </c>
      <c r="C4388" s="20" t="n">
        <f aca="false">ROUND(9.75/FX,2)</f>
        <v>1.35</v>
      </c>
      <c r="D4388" s="21" t="s">
        <v>17314</v>
      </c>
      <c r="E4388" s="21" t="s">
        <v>17113</v>
      </c>
      <c r="F4388" s="21" t="s">
        <v>17105</v>
      </c>
      <c r="G4388" s="21" t="s">
        <v>17303</v>
      </c>
    </row>
    <row r="4389" customFormat="false" ht="15" hidden="false" customHeight="false" outlineLevel="0" collapsed="false">
      <c r="B4389" s="19" t="s">
        <v>19256</v>
      </c>
      <c r="C4389" s="20" t="n">
        <f aca="false">ROUND(20.28/FX,2)</f>
        <v>2.82</v>
      </c>
      <c r="D4389" s="21" t="s">
        <v>18231</v>
      </c>
      <c r="E4389" s="21" t="s">
        <v>734</v>
      </c>
      <c r="F4389" s="21" t="s">
        <v>13025</v>
      </c>
      <c r="G4389" s="21" t="s">
        <v>17111</v>
      </c>
    </row>
    <row r="4390" customFormat="false" ht="15" hidden="false" customHeight="false" outlineLevel="0" collapsed="false">
      <c r="B4390" s="19" t="s">
        <v>19257</v>
      </c>
      <c r="C4390" s="20" t="n">
        <f aca="false">ROUND(22.62/FX,2)</f>
        <v>3.14</v>
      </c>
      <c r="D4390" s="21" t="s">
        <v>18231</v>
      </c>
      <c r="E4390" s="21" t="s">
        <v>17113</v>
      </c>
      <c r="F4390" s="21" t="s">
        <v>13025</v>
      </c>
      <c r="G4390" s="21" t="s">
        <v>17111</v>
      </c>
    </row>
    <row r="4391" customFormat="false" ht="15" hidden="false" customHeight="false" outlineLevel="0" collapsed="false">
      <c r="B4391" s="19" t="s">
        <v>19258</v>
      </c>
      <c r="C4391" s="20" t="n">
        <f aca="false">ROUND(11.7/FX,2)</f>
        <v>1.63</v>
      </c>
      <c r="D4391" s="21" t="s">
        <v>18235</v>
      </c>
      <c r="E4391" s="21" t="s">
        <v>734</v>
      </c>
      <c r="F4391" s="21" t="s">
        <v>13025</v>
      </c>
      <c r="G4391" s="21" t="s">
        <v>17120</v>
      </c>
    </row>
    <row r="4392" customFormat="false" ht="15" hidden="false" customHeight="false" outlineLevel="0" collapsed="false">
      <c r="B4392" s="19" t="s">
        <v>19259</v>
      </c>
      <c r="C4392" s="20" t="n">
        <f aca="false">ROUND(13.26/FX,2)</f>
        <v>1.84</v>
      </c>
      <c r="D4392" s="21" t="s">
        <v>18235</v>
      </c>
      <c r="E4392" s="21" t="s">
        <v>17113</v>
      </c>
      <c r="F4392" s="21" t="s">
        <v>13025</v>
      </c>
      <c r="G4392" s="21" t="s">
        <v>17120</v>
      </c>
    </row>
    <row r="4393" customFormat="false" ht="15" hidden="false" customHeight="false" outlineLevel="0" collapsed="false">
      <c r="B4393" s="19" t="s">
        <v>19260</v>
      </c>
      <c r="C4393" s="20" t="n">
        <f aca="false">ROUND(20.28/FX,2)</f>
        <v>2.82</v>
      </c>
      <c r="D4393" s="21" t="s">
        <v>18243</v>
      </c>
      <c r="E4393" s="21" t="s">
        <v>734</v>
      </c>
      <c r="F4393" s="21" t="s">
        <v>13025</v>
      </c>
      <c r="G4393" s="21" t="s">
        <v>17131</v>
      </c>
    </row>
    <row r="4394" customFormat="false" ht="15" hidden="false" customHeight="false" outlineLevel="0" collapsed="false">
      <c r="B4394" s="19" t="s">
        <v>19261</v>
      </c>
      <c r="C4394" s="20" t="n">
        <f aca="false">ROUND(22.62/FX,2)</f>
        <v>3.14</v>
      </c>
      <c r="D4394" s="21" t="s">
        <v>18243</v>
      </c>
      <c r="E4394" s="21" t="s">
        <v>17113</v>
      </c>
      <c r="F4394" s="21" t="s">
        <v>13025</v>
      </c>
      <c r="G4394" s="21" t="s">
        <v>17131</v>
      </c>
    </row>
    <row r="4395" customFormat="false" ht="15" hidden="false" customHeight="false" outlineLevel="0" collapsed="false">
      <c r="B4395" s="19" t="s">
        <v>19262</v>
      </c>
      <c r="C4395" s="20" t="n">
        <f aca="false">ROUND(11.7/FX,2)</f>
        <v>1.63</v>
      </c>
      <c r="D4395" s="21" t="s">
        <v>18247</v>
      </c>
      <c r="E4395" s="21" t="s">
        <v>734</v>
      </c>
      <c r="F4395" s="21" t="s">
        <v>13025</v>
      </c>
      <c r="G4395" s="21" t="s">
        <v>17137</v>
      </c>
    </row>
    <row r="4396" customFormat="false" ht="15" hidden="false" customHeight="false" outlineLevel="0" collapsed="false">
      <c r="B4396" s="19" t="s">
        <v>19263</v>
      </c>
      <c r="C4396" s="20" t="n">
        <f aca="false">ROUND(13.26/FX,2)</f>
        <v>1.84</v>
      </c>
      <c r="D4396" s="21" t="s">
        <v>18247</v>
      </c>
      <c r="E4396" s="21" t="s">
        <v>17113</v>
      </c>
      <c r="F4396" s="21" t="s">
        <v>13025</v>
      </c>
      <c r="G4396" s="21" t="s">
        <v>17137</v>
      </c>
    </row>
    <row r="4397" customFormat="false" ht="15" hidden="false" customHeight="false" outlineLevel="0" collapsed="false">
      <c r="B4397" s="19" t="s">
        <v>19264</v>
      </c>
      <c r="C4397" s="20" t="n">
        <f aca="false">ROUND(25.74/FX,2)</f>
        <v>3.58</v>
      </c>
      <c r="D4397" s="21" t="s">
        <v>18259</v>
      </c>
      <c r="E4397" s="21" t="s">
        <v>734</v>
      </c>
      <c r="F4397" s="21" t="s">
        <v>13025</v>
      </c>
      <c r="G4397" s="21" t="s">
        <v>17158</v>
      </c>
    </row>
    <row r="4398" customFormat="false" ht="15" hidden="false" customHeight="false" outlineLevel="0" collapsed="false">
      <c r="B4398" s="19" t="s">
        <v>19265</v>
      </c>
      <c r="C4398" s="20" t="n">
        <f aca="false">ROUND(29.64/FX,2)</f>
        <v>4.12</v>
      </c>
      <c r="D4398" s="21" t="s">
        <v>18259</v>
      </c>
      <c r="E4398" s="21" t="s">
        <v>17113</v>
      </c>
      <c r="F4398" s="21" t="s">
        <v>13025</v>
      </c>
      <c r="G4398" s="21" t="s">
        <v>17158</v>
      </c>
    </row>
    <row r="4399" customFormat="false" ht="15" hidden="false" customHeight="false" outlineLevel="0" collapsed="false">
      <c r="B4399" s="19" t="s">
        <v>19266</v>
      </c>
      <c r="C4399" s="20" t="n">
        <f aca="false">ROUND(13.26/FX,2)</f>
        <v>1.84</v>
      </c>
      <c r="D4399" s="21" t="s">
        <v>18264</v>
      </c>
      <c r="E4399" s="21" t="s">
        <v>734</v>
      </c>
      <c r="F4399" s="21" t="s">
        <v>13025</v>
      </c>
      <c r="G4399" s="21" t="s">
        <v>17155</v>
      </c>
    </row>
    <row r="4400" customFormat="false" ht="15" hidden="false" customHeight="false" outlineLevel="0" collapsed="false">
      <c r="B4400" s="19" t="s">
        <v>19267</v>
      </c>
      <c r="C4400" s="20" t="n">
        <f aca="false">ROUND(15.6/FX,2)</f>
        <v>2.17</v>
      </c>
      <c r="D4400" s="21" t="s">
        <v>18264</v>
      </c>
      <c r="E4400" s="21" t="s">
        <v>17113</v>
      </c>
      <c r="F4400" s="21" t="s">
        <v>13025</v>
      </c>
      <c r="G4400" s="21" t="s">
        <v>17155</v>
      </c>
    </row>
    <row r="4401" customFormat="false" ht="15" hidden="false" customHeight="false" outlineLevel="0" collapsed="false">
      <c r="B4401" s="19" t="s">
        <v>19268</v>
      </c>
      <c r="C4401" s="20" t="n">
        <f aca="false">ROUND(29.25/FX,2)</f>
        <v>4.06</v>
      </c>
      <c r="D4401" s="21" t="s">
        <v>18272</v>
      </c>
      <c r="E4401" s="21" t="s">
        <v>734</v>
      </c>
      <c r="F4401" s="21" t="s">
        <v>13025</v>
      </c>
      <c r="G4401" s="21" t="s">
        <v>17180</v>
      </c>
    </row>
    <row r="4402" customFormat="false" ht="15" hidden="false" customHeight="false" outlineLevel="0" collapsed="false">
      <c r="B4402" s="19" t="s">
        <v>19269</v>
      </c>
      <c r="C4402" s="20" t="n">
        <f aca="false">ROUND(34.32/FX,2)</f>
        <v>4.77</v>
      </c>
      <c r="D4402" s="21" t="s">
        <v>18272</v>
      </c>
      <c r="E4402" s="21" t="s">
        <v>17113</v>
      </c>
      <c r="F4402" s="21" t="s">
        <v>13025</v>
      </c>
      <c r="G4402" s="21" t="s">
        <v>17180</v>
      </c>
    </row>
    <row r="4403" customFormat="false" ht="15" hidden="false" customHeight="false" outlineLevel="0" collapsed="false">
      <c r="B4403" s="19" t="s">
        <v>19270</v>
      </c>
      <c r="C4403" s="20" t="n">
        <f aca="false">ROUND(16.38/FX,2)</f>
        <v>2.28</v>
      </c>
      <c r="D4403" s="21" t="s">
        <v>18276</v>
      </c>
      <c r="E4403" s="21" t="s">
        <v>734</v>
      </c>
      <c r="F4403" s="21" t="s">
        <v>13025</v>
      </c>
      <c r="G4403" s="21" t="s">
        <v>17175</v>
      </c>
    </row>
    <row r="4404" customFormat="false" ht="15" hidden="false" customHeight="false" outlineLevel="0" collapsed="false">
      <c r="B4404" s="19" t="s">
        <v>19271</v>
      </c>
      <c r="C4404" s="20" t="n">
        <f aca="false">ROUND(18.72/FX,2)</f>
        <v>2.6</v>
      </c>
      <c r="D4404" s="21" t="s">
        <v>18276</v>
      </c>
      <c r="E4404" s="21" t="s">
        <v>17113</v>
      </c>
      <c r="F4404" s="21" t="s">
        <v>13025</v>
      </c>
      <c r="G4404" s="21" t="s">
        <v>17175</v>
      </c>
    </row>
    <row r="4405" customFormat="false" ht="15" hidden="false" customHeight="false" outlineLevel="0" collapsed="false">
      <c r="B4405" s="19" t="s">
        <v>19272</v>
      </c>
      <c r="C4405" s="20" t="n">
        <f aca="false">ROUND(48.36/FX,2)</f>
        <v>6.72</v>
      </c>
      <c r="D4405" s="21" t="s">
        <v>18285</v>
      </c>
      <c r="E4405" s="21" t="s">
        <v>734</v>
      </c>
      <c r="F4405" s="21" t="s">
        <v>13025</v>
      </c>
      <c r="G4405" s="21" t="s">
        <v>17200</v>
      </c>
    </row>
    <row r="4406" customFormat="false" ht="15" hidden="false" customHeight="false" outlineLevel="0" collapsed="false">
      <c r="B4406" s="19" t="s">
        <v>19273</v>
      </c>
      <c r="C4406" s="20" t="n">
        <f aca="false">ROUND(57.72/FX,2)</f>
        <v>8.02</v>
      </c>
      <c r="D4406" s="21" t="s">
        <v>18285</v>
      </c>
      <c r="E4406" s="21" t="s">
        <v>17113</v>
      </c>
      <c r="F4406" s="21" t="s">
        <v>13025</v>
      </c>
      <c r="G4406" s="21" t="s">
        <v>17200</v>
      </c>
    </row>
    <row r="4407" customFormat="false" ht="15" hidden="false" customHeight="false" outlineLevel="0" collapsed="false">
      <c r="B4407" s="19" t="s">
        <v>19274</v>
      </c>
      <c r="C4407" s="20" t="n">
        <f aca="false">ROUND(25.74/FX,2)</f>
        <v>3.58</v>
      </c>
      <c r="D4407" s="21" t="s">
        <v>18289</v>
      </c>
      <c r="E4407" s="21" t="s">
        <v>734</v>
      </c>
      <c r="F4407" s="21" t="s">
        <v>13025</v>
      </c>
      <c r="G4407" s="21" t="s">
        <v>17195</v>
      </c>
    </row>
    <row r="4408" customFormat="false" ht="15" hidden="false" customHeight="false" outlineLevel="0" collapsed="false">
      <c r="B4408" s="19" t="s">
        <v>19275</v>
      </c>
      <c r="C4408" s="20" t="n">
        <f aca="false">ROUND(29.64/FX,2)</f>
        <v>4.12</v>
      </c>
      <c r="D4408" s="21" t="s">
        <v>18289</v>
      </c>
      <c r="E4408" s="21" t="s">
        <v>17113</v>
      </c>
      <c r="F4408" s="21" t="s">
        <v>13025</v>
      </c>
      <c r="G4408" s="21" t="s">
        <v>17195</v>
      </c>
    </row>
    <row r="4409" customFormat="false" ht="15" hidden="false" customHeight="false" outlineLevel="0" collapsed="false">
      <c r="B4409" s="19" t="s">
        <v>19276</v>
      </c>
      <c r="C4409" s="20" t="n">
        <f aca="false">ROUND(62.4/FX,2)</f>
        <v>8.67</v>
      </c>
      <c r="D4409" s="21" t="s">
        <v>18297</v>
      </c>
      <c r="E4409" s="21" t="s">
        <v>734</v>
      </c>
      <c r="F4409" s="21" t="s">
        <v>13025</v>
      </c>
      <c r="G4409" s="21" t="s">
        <v>17218</v>
      </c>
    </row>
    <row r="4410" customFormat="false" ht="15" hidden="false" customHeight="false" outlineLevel="0" collapsed="false">
      <c r="B4410" s="19" t="s">
        <v>19277</v>
      </c>
      <c r="C4410" s="20" t="n">
        <f aca="false">ROUND(71.76/FX,2)</f>
        <v>9.97</v>
      </c>
      <c r="D4410" s="21" t="s">
        <v>18297</v>
      </c>
      <c r="E4410" s="21" t="s">
        <v>17113</v>
      </c>
      <c r="F4410" s="21" t="s">
        <v>13025</v>
      </c>
      <c r="G4410" s="21" t="s">
        <v>17218</v>
      </c>
    </row>
    <row r="4411" customFormat="false" ht="15" hidden="false" customHeight="false" outlineLevel="0" collapsed="false">
      <c r="B4411" s="19" t="s">
        <v>19278</v>
      </c>
      <c r="C4411" s="20" t="n">
        <f aca="false">ROUND(32.76/FX,2)</f>
        <v>4.55</v>
      </c>
      <c r="D4411" s="21" t="s">
        <v>18301</v>
      </c>
      <c r="E4411" s="21" t="s">
        <v>734</v>
      </c>
      <c r="F4411" s="21" t="s">
        <v>13025</v>
      </c>
      <c r="G4411" s="21" t="s">
        <v>17215</v>
      </c>
    </row>
    <row r="4412" customFormat="false" ht="15" hidden="false" customHeight="false" outlineLevel="0" collapsed="false">
      <c r="B4412" s="19" t="s">
        <v>19279</v>
      </c>
      <c r="C4412" s="20" t="n">
        <f aca="false">ROUND(35.88/FX,2)</f>
        <v>4.98</v>
      </c>
      <c r="D4412" s="21" t="s">
        <v>18301</v>
      </c>
      <c r="E4412" s="21" t="s">
        <v>17113</v>
      </c>
      <c r="F4412" s="21" t="s">
        <v>13025</v>
      </c>
      <c r="G4412" s="21" t="s">
        <v>17215</v>
      </c>
    </row>
    <row r="4413" customFormat="false" ht="15" hidden="false" customHeight="false" outlineLevel="0" collapsed="false">
      <c r="B4413" s="19" t="s">
        <v>19280</v>
      </c>
      <c r="C4413" s="20" t="n">
        <f aca="false">ROUND(82.68/FX,2)</f>
        <v>11.48</v>
      </c>
      <c r="D4413" s="21" t="s">
        <v>18310</v>
      </c>
      <c r="E4413" s="21" t="s">
        <v>734</v>
      </c>
      <c r="F4413" s="21" t="s">
        <v>13025</v>
      </c>
      <c r="G4413" s="21" t="s">
        <v>17234</v>
      </c>
    </row>
    <row r="4414" customFormat="false" ht="15" hidden="false" customHeight="false" outlineLevel="0" collapsed="false">
      <c r="B4414" s="19" t="s">
        <v>19281</v>
      </c>
      <c r="C4414" s="20" t="n">
        <f aca="false">ROUND(98.28/FX,2)</f>
        <v>13.65</v>
      </c>
      <c r="D4414" s="21" t="s">
        <v>18310</v>
      </c>
      <c r="E4414" s="21" t="s">
        <v>17113</v>
      </c>
      <c r="F4414" s="21" t="s">
        <v>13025</v>
      </c>
      <c r="G4414" s="21" t="s">
        <v>17234</v>
      </c>
    </row>
    <row r="4415" customFormat="false" ht="15" hidden="false" customHeight="false" outlineLevel="0" collapsed="false">
      <c r="B4415" s="19" t="s">
        <v>19282</v>
      </c>
      <c r="C4415" s="20" t="n">
        <f aca="false">ROUND(42.12/FX,2)</f>
        <v>5.85</v>
      </c>
      <c r="D4415" s="21" t="s">
        <v>18314</v>
      </c>
      <c r="E4415" s="21" t="s">
        <v>734</v>
      </c>
      <c r="F4415" s="21" t="s">
        <v>13025</v>
      </c>
      <c r="G4415" s="21" t="s">
        <v>17239</v>
      </c>
    </row>
    <row r="4416" customFormat="false" ht="15" hidden="false" customHeight="false" outlineLevel="0" collapsed="false">
      <c r="B4416" s="19" t="s">
        <v>19283</v>
      </c>
      <c r="C4416" s="20" t="n">
        <f aca="false">ROUND(54.6/FX,2)</f>
        <v>7.58</v>
      </c>
      <c r="D4416" s="21" t="s">
        <v>18314</v>
      </c>
      <c r="E4416" s="21" t="s">
        <v>17113</v>
      </c>
      <c r="F4416" s="21" t="s">
        <v>13025</v>
      </c>
      <c r="G4416" s="21" t="s">
        <v>17239</v>
      </c>
    </row>
    <row r="4417" customFormat="false" ht="15" hidden="false" customHeight="false" outlineLevel="0" collapsed="false">
      <c r="B4417" s="19" t="s">
        <v>19284</v>
      </c>
      <c r="C4417" s="20" t="n">
        <f aca="false">ROUND(112.32/FX,2)</f>
        <v>15.6</v>
      </c>
      <c r="D4417" s="21" t="s">
        <v>18322</v>
      </c>
      <c r="E4417" s="21" t="s">
        <v>734</v>
      </c>
      <c r="F4417" s="21" t="s">
        <v>13025</v>
      </c>
      <c r="G4417" s="21" t="s">
        <v>17250</v>
      </c>
    </row>
    <row r="4418" customFormat="false" ht="15" hidden="false" customHeight="false" outlineLevel="0" collapsed="false">
      <c r="B4418" s="19" t="s">
        <v>19285</v>
      </c>
      <c r="C4418" s="20" t="n">
        <f aca="false">ROUND(131.04/FX,2)</f>
        <v>18.2</v>
      </c>
      <c r="D4418" s="21" t="s">
        <v>18322</v>
      </c>
      <c r="E4418" s="21" t="s">
        <v>17113</v>
      </c>
      <c r="F4418" s="21" t="s">
        <v>13025</v>
      </c>
      <c r="G4418" s="21" t="s">
        <v>17250</v>
      </c>
    </row>
    <row r="4419" customFormat="false" ht="15" hidden="false" customHeight="false" outlineLevel="0" collapsed="false">
      <c r="B4419" s="19" t="s">
        <v>19286</v>
      </c>
      <c r="C4419" s="20" t="n">
        <f aca="false">ROUND(62.4/FX,2)</f>
        <v>8.67</v>
      </c>
      <c r="D4419" s="21" t="s">
        <v>18326</v>
      </c>
      <c r="E4419" s="21" t="s">
        <v>734</v>
      </c>
      <c r="F4419" s="21" t="s">
        <v>13025</v>
      </c>
      <c r="G4419" s="21" t="s">
        <v>17255</v>
      </c>
    </row>
    <row r="4420" customFormat="false" ht="15" hidden="false" customHeight="false" outlineLevel="0" collapsed="false">
      <c r="B4420" s="19" t="s">
        <v>19287</v>
      </c>
      <c r="C4420" s="20" t="n">
        <f aca="false">ROUND(73.32/FX,2)</f>
        <v>10.18</v>
      </c>
      <c r="D4420" s="21" t="s">
        <v>18326</v>
      </c>
      <c r="E4420" s="21" t="s">
        <v>17113</v>
      </c>
      <c r="F4420" s="21" t="s">
        <v>13025</v>
      </c>
      <c r="G4420" s="21" t="s">
        <v>17255</v>
      </c>
    </row>
    <row r="4421" customFormat="false" ht="15" hidden="false" customHeight="false" outlineLevel="0" collapsed="false">
      <c r="B4421" s="19" t="s">
        <v>19288</v>
      </c>
      <c r="C4421" s="20" t="n">
        <f aca="false">ROUND(296.4/FX,2)</f>
        <v>41.17</v>
      </c>
      <c r="D4421" s="21" t="s">
        <v>18330</v>
      </c>
      <c r="E4421" s="21" t="s">
        <v>734</v>
      </c>
      <c r="F4421" s="21" t="s">
        <v>13025</v>
      </c>
      <c r="G4421" s="21" t="s">
        <v>17268</v>
      </c>
    </row>
    <row r="4422" customFormat="false" ht="15" hidden="false" customHeight="false" outlineLevel="0" collapsed="false">
      <c r="B4422" s="19" t="s">
        <v>19289</v>
      </c>
      <c r="C4422" s="20" t="n">
        <f aca="false">ROUND(335.4/FX,2)</f>
        <v>46.58</v>
      </c>
      <c r="D4422" s="21" t="s">
        <v>18330</v>
      </c>
      <c r="E4422" s="21" t="s">
        <v>17113</v>
      </c>
      <c r="F4422" s="21" t="s">
        <v>13025</v>
      </c>
      <c r="G4422" s="21" t="s">
        <v>17268</v>
      </c>
    </row>
    <row r="4423" customFormat="false" ht="15" hidden="false" customHeight="false" outlineLevel="0" collapsed="false">
      <c r="B4423" s="19" t="s">
        <v>19290</v>
      </c>
      <c r="C4423" s="20" t="n">
        <f aca="false">ROUND(148.2/FX,2)</f>
        <v>20.58</v>
      </c>
      <c r="D4423" s="21" t="s">
        <v>18333</v>
      </c>
      <c r="E4423" s="21" t="s">
        <v>734</v>
      </c>
      <c r="F4423" s="21" t="s">
        <v>13025</v>
      </c>
      <c r="G4423" s="21" t="s">
        <v>17272</v>
      </c>
    </row>
    <row r="4424" customFormat="false" ht="15" hidden="false" customHeight="false" outlineLevel="0" collapsed="false">
      <c r="B4424" s="19" t="s">
        <v>19291</v>
      </c>
      <c r="C4424" s="20" t="n">
        <f aca="false">ROUND(171.6/FX,2)</f>
        <v>23.83</v>
      </c>
      <c r="D4424" s="21" t="s">
        <v>18333</v>
      </c>
      <c r="E4424" s="21" t="s">
        <v>17113</v>
      </c>
      <c r="F4424" s="21" t="s">
        <v>13025</v>
      </c>
      <c r="G4424" s="21" t="s">
        <v>17272</v>
      </c>
    </row>
    <row r="4425" customFormat="false" ht="15" hidden="false" customHeight="false" outlineLevel="0" collapsed="false">
      <c r="B4425" s="19" t="s">
        <v>19292</v>
      </c>
      <c r="C4425" s="20" t="n">
        <f aca="false">ROUND(460.2/FX,2)</f>
        <v>63.92</v>
      </c>
      <c r="D4425" s="21" t="s">
        <v>18336</v>
      </c>
      <c r="E4425" s="21" t="s">
        <v>734</v>
      </c>
      <c r="F4425" s="21" t="s">
        <v>13025</v>
      </c>
      <c r="G4425" s="21" t="s">
        <v>17282</v>
      </c>
    </row>
    <row r="4426" customFormat="false" ht="15" hidden="false" customHeight="false" outlineLevel="0" collapsed="false">
      <c r="B4426" s="19" t="s">
        <v>19293</v>
      </c>
      <c r="C4426" s="20" t="n">
        <f aca="false">ROUND(530.4/FX,2)</f>
        <v>73.67</v>
      </c>
      <c r="D4426" s="21" t="s">
        <v>18336</v>
      </c>
      <c r="E4426" s="21" t="s">
        <v>17113</v>
      </c>
      <c r="F4426" s="21" t="s">
        <v>13025</v>
      </c>
      <c r="G4426" s="21" t="s">
        <v>17282</v>
      </c>
    </row>
    <row r="4427" customFormat="false" ht="15" hidden="false" customHeight="false" outlineLevel="0" collapsed="false">
      <c r="B4427" s="19" t="s">
        <v>19294</v>
      </c>
      <c r="C4427" s="20" t="n">
        <f aca="false">ROUND(240.5/FX,2)</f>
        <v>33.4</v>
      </c>
      <c r="D4427" s="21" t="s">
        <v>18338</v>
      </c>
      <c r="E4427" s="21" t="s">
        <v>734</v>
      </c>
      <c r="F4427" s="21" t="s">
        <v>13025</v>
      </c>
      <c r="G4427" s="21" t="s">
        <v>17285</v>
      </c>
    </row>
    <row r="4428" customFormat="false" ht="15" hidden="false" customHeight="false" outlineLevel="0" collapsed="false">
      <c r="B4428" s="19" t="s">
        <v>19295</v>
      </c>
      <c r="C4428" s="20" t="n">
        <f aca="false">ROUND(273/FX,2)</f>
        <v>37.92</v>
      </c>
      <c r="D4428" s="21" t="s">
        <v>18338</v>
      </c>
      <c r="E4428" s="21" t="s">
        <v>17113</v>
      </c>
      <c r="F4428" s="21" t="s">
        <v>13025</v>
      </c>
      <c r="G4428" s="21" t="s">
        <v>17285</v>
      </c>
    </row>
    <row r="4429" customFormat="false" ht="15" hidden="false" customHeight="false" outlineLevel="0" collapsed="false">
      <c r="B4429" s="19" t="s">
        <v>19296</v>
      </c>
      <c r="C4429" s="20" t="n">
        <f aca="false">ROUND(530.4/FX,2)</f>
        <v>73.67</v>
      </c>
      <c r="D4429" s="21" t="s">
        <v>19297</v>
      </c>
      <c r="E4429" s="21" t="s">
        <v>734</v>
      </c>
      <c r="F4429" s="21" t="s">
        <v>13025</v>
      </c>
      <c r="G4429" s="21" t="s">
        <v>17300</v>
      </c>
    </row>
    <row r="4430" customFormat="false" ht="15" hidden="false" customHeight="false" outlineLevel="0" collapsed="false">
      <c r="B4430" s="19" t="s">
        <v>19298</v>
      </c>
      <c r="C4430" s="20" t="n">
        <f aca="false">ROUND(897/FX,2)</f>
        <v>124.58</v>
      </c>
      <c r="D4430" s="21" t="s">
        <v>19297</v>
      </c>
      <c r="E4430" s="21" t="s">
        <v>17113</v>
      </c>
      <c r="F4430" s="21" t="s">
        <v>13025</v>
      </c>
      <c r="G4430" s="21" t="s">
        <v>17300</v>
      </c>
    </row>
    <row r="4431" customFormat="false" ht="15" hidden="false" customHeight="false" outlineLevel="0" collapsed="false">
      <c r="B4431" s="19" t="s">
        <v>19299</v>
      </c>
      <c r="C4431" s="20" t="n">
        <f aca="false">ROUND(22.62/FX,2)</f>
        <v>3.14</v>
      </c>
      <c r="D4431" s="21" t="s">
        <v>18350</v>
      </c>
      <c r="E4431" s="21" t="s">
        <v>17113</v>
      </c>
      <c r="F4431" s="21" t="s">
        <v>13025</v>
      </c>
      <c r="G4431" s="21" t="s">
        <v>17306</v>
      </c>
    </row>
    <row r="4432" customFormat="false" ht="15" hidden="false" customHeight="false" outlineLevel="0" collapsed="false">
      <c r="B4432" s="19" t="s">
        <v>19300</v>
      </c>
      <c r="C4432" s="20" t="n">
        <f aca="false">ROUND(11.7/FX,2)</f>
        <v>1.63</v>
      </c>
      <c r="D4432" s="21" t="s">
        <v>18357</v>
      </c>
      <c r="E4432" s="21" t="s">
        <v>734</v>
      </c>
      <c r="F4432" s="21" t="s">
        <v>13025</v>
      </c>
      <c r="G4432" s="21" t="s">
        <v>17303</v>
      </c>
    </row>
    <row r="4433" customFormat="false" ht="15" hidden="false" customHeight="false" outlineLevel="0" collapsed="false">
      <c r="B4433" s="19" t="s">
        <v>19301</v>
      </c>
      <c r="C4433" s="20" t="n">
        <f aca="false">ROUND(13.26/FX,2)</f>
        <v>1.84</v>
      </c>
      <c r="D4433" s="21" t="s">
        <v>18357</v>
      </c>
      <c r="E4433" s="21" t="s">
        <v>17113</v>
      </c>
      <c r="F4433" s="21" t="s">
        <v>13025</v>
      </c>
      <c r="G4433" s="21" t="s">
        <v>17303</v>
      </c>
    </row>
    <row r="4436" customFormat="false" ht="61.5" hidden="false" customHeight="true" outlineLevel="0" collapsed="false">
      <c r="A4436" s="9"/>
      <c r="B4436" s="10" t="s">
        <v>19302</v>
      </c>
      <c r="C4436" s="10"/>
      <c r="D4436" s="10"/>
    </row>
    <row r="4437" customFormat="false" ht="15" hidden="false" customHeight="false" outlineLevel="0" collapsed="false">
      <c r="A4437" s="12" t="s">
        <v>700</v>
      </c>
      <c r="B4437" s="13" t="s">
        <v>701</v>
      </c>
      <c r="C4437" s="13" t="s">
        <v>702</v>
      </c>
      <c r="D4437" s="13" t="s">
        <v>7763</v>
      </c>
    </row>
    <row r="4438" customFormat="false" ht="30" hidden="false" customHeight="true" outlineLevel="0" collapsed="false">
      <c r="A4438" s="14" t="s">
        <v>706</v>
      </c>
      <c r="B4438" s="15" t="str">
        <f aca="false">IF(COUNTIFS($D$4441:$D$4442,IF(D4438="","*",D4438))=1,INDEX($B:$B,SUMPRODUCT(((D4438="")+($D$4441:$D$4442=D4438)&gt;0)*ROW($B$4441:$B$4442))),IF(COUNTIFS($D$4441:$D$4442,IF(D4438="","*",D4438))=0,"Not available",COUNTIFS($D$4441:$D$4442,IF(D4438="","*",D4438))&amp;" match, keep choosing"))</f>
        <v>RL-051-GD5.5</v>
      </c>
      <c r="C4438" s="16" t="n">
        <f aca="false">IF(COUNTIFS($D$4441:$D$4442,IF(D4438="","*",D4438))=1,INDEX($C:$C,SUMPRODUCT(((D4438="")+($D$4441:$D$4442=D4438)&gt;0)*ROW($B$4441:$B$4442))),"")</f>
        <v>0.18</v>
      </c>
      <c r="D4438" s="17" t="s">
        <v>6418</v>
      </c>
    </row>
    <row r="4440" customFormat="false" ht="15" hidden="false" customHeight="false" outlineLevel="0" collapsed="false">
      <c r="B4440" s="18" t="s">
        <v>701</v>
      </c>
      <c r="C4440" s="18" t="s">
        <v>702</v>
      </c>
      <c r="D4440" s="18" t="s">
        <v>7763</v>
      </c>
    </row>
    <row r="4441" customFormat="false" ht="15" hidden="false" customHeight="false" outlineLevel="0" collapsed="false">
      <c r="B4441" s="19" t="s">
        <v>19303</v>
      </c>
      <c r="C4441" s="20" t="n">
        <f aca="false">ROUND(1.3/FX,2)</f>
        <v>0.18</v>
      </c>
      <c r="D4441" s="21" t="s">
        <v>6418</v>
      </c>
    </row>
    <row r="4442" customFormat="false" ht="15" hidden="false" customHeight="false" outlineLevel="0" collapsed="false">
      <c r="B4442" s="19" t="s">
        <v>19304</v>
      </c>
      <c r="C4442" s="20" t="n">
        <f aca="false">ROUND(1.3/FX,2)</f>
        <v>0.18</v>
      </c>
      <c r="D4442" s="21" t="s">
        <v>19305</v>
      </c>
    </row>
    <row r="4445" customFormat="false" ht="61.5" hidden="false" customHeight="true" outlineLevel="0" collapsed="false">
      <c r="A4445" s="9"/>
      <c r="B4445" s="10" t="s">
        <v>19306</v>
      </c>
      <c r="C4445" s="10"/>
      <c r="D4445" s="10"/>
    </row>
    <row r="4446" customFormat="false" ht="15" hidden="false" customHeight="false" outlineLevel="0" collapsed="false">
      <c r="A4446" s="12" t="s">
        <v>700</v>
      </c>
      <c r="B4446" s="13" t="s">
        <v>701</v>
      </c>
      <c r="C4446" s="13" t="s">
        <v>702</v>
      </c>
      <c r="D4446" s="13" t="s">
        <v>6523</v>
      </c>
    </row>
    <row r="4447" customFormat="false" ht="30" hidden="false" customHeight="true" outlineLevel="0" collapsed="false">
      <c r="A4447" s="14" t="s">
        <v>706</v>
      </c>
      <c r="B4447" s="15" t="str">
        <f aca="false">IF(COUNTIFS($D$4450:$D$4451,IF(D4447="","*",D4447))=1,INDEX($B:$B,SUMPRODUCT(((D4447="")+($D$4450:$D$4451=D4447)&gt;0)*ROW($B$4450:$B$4451))),IF(COUNTIFS($D$4450:$D$4451,IF(D4447="","*",D4447))=0,"Not available",COUNTIFS($D$4450:$D$4451,IF(D4447="","*",D4447))&amp;" match, keep choosing"))</f>
        <v>TB-017-6x16x15</v>
      </c>
      <c r="C4447" s="16" t="n">
        <f aca="false">IF(COUNTIFS($D$4450:$D$4451,IF(D4447="","*",D4447))=1,INDEX($C:$C,SUMPRODUCT(((D4447="")+($D$4450:$D$4451=D4447)&gt;0)*ROW($B$4450:$B$4451))),"")</f>
        <v>0.27</v>
      </c>
      <c r="D4447" s="17" t="s">
        <v>19307</v>
      </c>
    </row>
    <row r="4449" customFormat="false" ht="15" hidden="false" customHeight="false" outlineLevel="0" collapsed="false">
      <c r="B4449" s="18" t="s">
        <v>701</v>
      </c>
      <c r="C4449" s="18" t="s">
        <v>702</v>
      </c>
      <c r="D4449" s="18" t="s">
        <v>6523</v>
      </c>
    </row>
    <row r="4450" customFormat="false" ht="15" hidden="false" customHeight="false" outlineLevel="0" collapsed="false">
      <c r="B4450" s="19" t="s">
        <v>19308</v>
      </c>
      <c r="C4450" s="20" t="n">
        <f aca="false">ROUND(1.95/FX,2)</f>
        <v>0.27</v>
      </c>
      <c r="D4450" s="21" t="s">
        <v>19307</v>
      </c>
    </row>
    <row r="4451" customFormat="false" ht="15" hidden="false" customHeight="false" outlineLevel="0" collapsed="false">
      <c r="B4451" s="19" t="s">
        <v>19309</v>
      </c>
      <c r="C4451" s="20" t="n">
        <f aca="false">ROUND(0.78/FX,2)</f>
        <v>0.11</v>
      </c>
      <c r="D4451" s="21" t="s">
        <v>19310</v>
      </c>
    </row>
    <row r="4454" customFormat="false" ht="61.5" hidden="false" customHeight="true" outlineLevel="0" collapsed="false">
      <c r="A4454" s="9"/>
      <c r="B4454" s="10" t="s">
        <v>19311</v>
      </c>
      <c r="C4454" s="10"/>
      <c r="D4454" s="10"/>
      <c r="E4454" s="10"/>
      <c r="F4454" s="10"/>
      <c r="G4454" s="10"/>
      <c r="H4454" s="10"/>
    </row>
    <row r="4455" customFormat="false" ht="15" hidden="false" customHeight="false" outlineLevel="0" collapsed="false">
      <c r="A4455" s="12" t="s">
        <v>700</v>
      </c>
      <c r="B4455" s="13" t="s">
        <v>701</v>
      </c>
      <c r="C4455" s="13" t="s">
        <v>702</v>
      </c>
      <c r="D4455" s="13" t="s">
        <v>704</v>
      </c>
      <c r="E4455" s="13" t="s">
        <v>705</v>
      </c>
      <c r="F4455" s="13" t="s">
        <v>723</v>
      </c>
      <c r="G4455" s="13" t="s">
        <v>6523</v>
      </c>
      <c r="H4455" s="13" t="s">
        <v>19312</v>
      </c>
    </row>
    <row r="4456" customFormat="false" ht="30" hidden="false" customHeight="true" outlineLevel="0" collapsed="false">
      <c r="A4456" s="14" t="s">
        <v>706</v>
      </c>
      <c r="B4456" s="15" t="str">
        <f aca="false">IF(COUNTIFS($D$4459:$D$4547,IF(D4456="","*",D4456),$E$4459:$E$4547,IF(E4456="","*",E4456),$F$4459:$F$4547,IF(F4456="","*",F4456),$G$4459:$G$4547,IF(G4456="","*",G4456),$H$4459:$H$4547,IF(H4456="","*",H4456))=1,INDEX($B:$B,SUMPRODUCT(((D4456="")+($D$4459:$D$4547=D4456)&gt;0)*((E4456="")+($E$4459:$E$4547=E4456)&gt;0)*((F4456="")+($F$4459:$F$4547=F4456)&gt;0)*((G4456="")+($G$4459:$G$4547=G4456)&gt;0)*((H4456="")+($H$4459:$H$4547=H4456)&gt;0)*ROW($B$4459:$B$4547))),IF(COUNTIFS($D$4459:$D$4547,IF(D4456="","*",D4456),$E$4459:$E$4547,IF(E4456="","*",E4456),$F$4459:$F$4547,IF(F4456="","*",F4456),$G$4459:$G$4547,IF(G4456="","*",G4456),$H$4459:$H$4547,IF(H4456="","*",H4456))=0,"Not available",COUNTIFS($D$4459:$D$4547,IF(D4456="","*",D4456),$E$4459:$E$4547,IF(E4456="","*",E4456),$F$4459:$F$4547,IF(F4456="","*",F4456),$G$4459:$G$4547,IF(G4456="","*",G4456),$H$4459:$H$4547,IF(H4456="","*",H4456))&amp;" match, keep choosing"))</f>
        <v>SLV-BO-10x20x10-M5-SI</v>
      </c>
      <c r="C4456" s="16" t="n">
        <f aca="false">IF(COUNTIFS($D$4459:$D$4547,IF(D4456="","*",D4456),$E$4459:$E$4547,IF(E4456="","*",E4456),$F$4459:$F$4547,IF(F4456="","*",F4456),$G$4459:$G$4547,IF(G4456="","*",G4456),$H$4459:$H$4547,IF(H4456="","*",H4456))=1,INDEX($C:$C,SUMPRODUCT(((D4456="")+($D$4459:$D$4547=D4456)&gt;0)*((E4456="")+($E$4459:$E$4547=E4456)&gt;0)*((F4456="")+($F$4459:$F$4547=F4456)&gt;0)*((G4456="")+($G$4459:$G$4547=G4456)&gt;0)*((H4456="")+($H$4459:$H$4547=H4456)&gt;0)*ROW($B$4459:$B$4547))),"")</f>
        <v>0.19</v>
      </c>
      <c r="D4456" s="17" t="s">
        <v>19313</v>
      </c>
      <c r="E4456" s="17" t="s">
        <v>13732</v>
      </c>
      <c r="F4456" s="17" t="s">
        <v>10272</v>
      </c>
      <c r="G4456" s="17" t="s">
        <v>19314</v>
      </c>
      <c r="H4456" s="17" t="s">
        <v>11411</v>
      </c>
    </row>
    <row r="4458" customFormat="false" ht="15" hidden="false" customHeight="false" outlineLevel="0" collapsed="false">
      <c r="B4458" s="18" t="s">
        <v>701</v>
      </c>
      <c r="C4458" s="18" t="s">
        <v>702</v>
      </c>
      <c r="D4458" s="18" t="s">
        <v>704</v>
      </c>
      <c r="E4458" s="18" t="s">
        <v>705</v>
      </c>
      <c r="F4458" s="18" t="s">
        <v>723</v>
      </c>
      <c r="G4458" s="18" t="s">
        <v>6523</v>
      </c>
      <c r="H4458" s="18" t="s">
        <v>19312</v>
      </c>
    </row>
    <row r="4459" customFormat="false" ht="15" hidden="false" customHeight="false" outlineLevel="0" collapsed="false">
      <c r="B4459" s="19" t="s">
        <v>19315</v>
      </c>
      <c r="C4459" s="20" t="n">
        <f aca="false">ROUND(1.4/FX,2)</f>
        <v>0.19</v>
      </c>
      <c r="D4459" s="21" t="s">
        <v>19313</v>
      </c>
      <c r="E4459" s="21" t="s">
        <v>13732</v>
      </c>
      <c r="F4459" s="21" t="s">
        <v>10272</v>
      </c>
      <c r="G4459" s="21" t="s">
        <v>19314</v>
      </c>
      <c r="H4459" s="21" t="s">
        <v>11411</v>
      </c>
    </row>
    <row r="4460" customFormat="false" ht="15" hidden="false" customHeight="false" outlineLevel="0" collapsed="false">
      <c r="B4460" s="19" t="s">
        <v>19316</v>
      </c>
      <c r="C4460" s="20" t="n">
        <f aca="false">ROUND(1.3/FX,2)</f>
        <v>0.18</v>
      </c>
      <c r="D4460" s="21" t="s">
        <v>19313</v>
      </c>
      <c r="E4460" s="21" t="s">
        <v>13732</v>
      </c>
      <c r="F4460" s="21" t="s">
        <v>10274</v>
      </c>
      <c r="G4460" s="21" t="s">
        <v>19314</v>
      </c>
      <c r="H4460" s="21" t="s">
        <v>11411</v>
      </c>
    </row>
    <row r="4461" customFormat="false" ht="15" hidden="false" customHeight="false" outlineLevel="0" collapsed="false">
      <c r="B4461" s="19" t="s">
        <v>19317</v>
      </c>
      <c r="C4461" s="20" t="n">
        <f aca="false">ROUND(0.46/FX,2)</f>
        <v>0.06</v>
      </c>
      <c r="D4461" s="21" t="s">
        <v>19313</v>
      </c>
      <c r="E4461" s="21" t="s">
        <v>13732</v>
      </c>
      <c r="F4461" s="21" t="s">
        <v>10272</v>
      </c>
      <c r="G4461" s="21" t="s">
        <v>19318</v>
      </c>
      <c r="H4461" s="21" t="s">
        <v>11407</v>
      </c>
    </row>
    <row r="4462" customFormat="false" ht="15" hidden="false" customHeight="false" outlineLevel="0" collapsed="false">
      <c r="B4462" s="19" t="s">
        <v>19319</v>
      </c>
      <c r="C4462" s="20" t="n">
        <f aca="false">ROUND(0.36/FX,2)</f>
        <v>0.05</v>
      </c>
      <c r="D4462" s="21" t="s">
        <v>19313</v>
      </c>
      <c r="E4462" s="21" t="s">
        <v>13732</v>
      </c>
      <c r="F4462" s="21" t="s">
        <v>10274</v>
      </c>
      <c r="G4462" s="21" t="s">
        <v>19318</v>
      </c>
      <c r="H4462" s="21" t="s">
        <v>11407</v>
      </c>
    </row>
    <row r="4463" customFormat="false" ht="15" hidden="false" customHeight="false" outlineLevel="0" collapsed="false">
      <c r="B4463" s="19" t="s">
        <v>19320</v>
      </c>
      <c r="C4463" s="20" t="n">
        <f aca="false">ROUND(0.65/FX,2)</f>
        <v>0.09</v>
      </c>
      <c r="D4463" s="21" t="s">
        <v>19313</v>
      </c>
      <c r="E4463" s="21" t="s">
        <v>13732</v>
      </c>
      <c r="F4463" s="21" t="s">
        <v>19321</v>
      </c>
      <c r="G4463" s="21" t="s">
        <v>19322</v>
      </c>
      <c r="H4463" s="21" t="s">
        <v>11407</v>
      </c>
    </row>
    <row r="4464" customFormat="false" ht="15" hidden="false" customHeight="false" outlineLevel="0" collapsed="false">
      <c r="B4464" s="19" t="s">
        <v>19323</v>
      </c>
      <c r="C4464" s="20" t="n">
        <f aca="false">ROUND(0.77/FX,2)</f>
        <v>0.11</v>
      </c>
      <c r="D4464" s="21" t="s">
        <v>19313</v>
      </c>
      <c r="E4464" s="21" t="s">
        <v>13732</v>
      </c>
      <c r="F4464" s="21" t="s">
        <v>10272</v>
      </c>
      <c r="G4464" s="21" t="s">
        <v>19322</v>
      </c>
      <c r="H4464" s="21" t="s">
        <v>11407</v>
      </c>
    </row>
    <row r="4465" customFormat="false" ht="15" hidden="false" customHeight="false" outlineLevel="0" collapsed="false">
      <c r="B4465" s="19" t="s">
        <v>19324</v>
      </c>
      <c r="C4465" s="20" t="n">
        <f aca="false">ROUND(0.67/FX,2)</f>
        <v>0.09</v>
      </c>
      <c r="D4465" s="21" t="s">
        <v>19313</v>
      </c>
      <c r="E4465" s="21" t="s">
        <v>13732</v>
      </c>
      <c r="F4465" s="21" t="s">
        <v>10274</v>
      </c>
      <c r="G4465" s="21" t="s">
        <v>19322</v>
      </c>
      <c r="H4465" s="21" t="s">
        <v>11407</v>
      </c>
    </row>
    <row r="4466" customFormat="false" ht="15" hidden="false" customHeight="false" outlineLevel="0" collapsed="false">
      <c r="B4466" s="19" t="s">
        <v>19325</v>
      </c>
      <c r="C4466" s="20" t="n">
        <f aca="false">ROUND(0.65/FX,2)</f>
        <v>0.09</v>
      </c>
      <c r="D4466" s="21" t="s">
        <v>19313</v>
      </c>
      <c r="E4466" s="21" t="s">
        <v>13732</v>
      </c>
      <c r="F4466" s="21" t="s">
        <v>19321</v>
      </c>
      <c r="G4466" s="21" t="s">
        <v>18809</v>
      </c>
      <c r="H4466" s="21" t="s">
        <v>11407</v>
      </c>
    </row>
    <row r="4467" customFormat="false" ht="15" hidden="false" customHeight="false" outlineLevel="0" collapsed="false">
      <c r="B4467" s="19" t="s">
        <v>19326</v>
      </c>
      <c r="C4467" s="20" t="n">
        <f aca="false">ROUND(0.77/FX,2)</f>
        <v>0.11</v>
      </c>
      <c r="D4467" s="21" t="s">
        <v>19313</v>
      </c>
      <c r="E4467" s="21" t="s">
        <v>13732</v>
      </c>
      <c r="F4467" s="21" t="s">
        <v>10272</v>
      </c>
      <c r="G4467" s="21" t="s">
        <v>18809</v>
      </c>
      <c r="H4467" s="21" t="s">
        <v>11407</v>
      </c>
    </row>
    <row r="4468" customFormat="false" ht="15" hidden="false" customHeight="false" outlineLevel="0" collapsed="false">
      <c r="B4468" s="19" t="s">
        <v>19327</v>
      </c>
      <c r="C4468" s="20" t="n">
        <f aca="false">ROUND(0.67/FX,2)</f>
        <v>0.09</v>
      </c>
      <c r="D4468" s="21" t="s">
        <v>19313</v>
      </c>
      <c r="E4468" s="21" t="s">
        <v>13732</v>
      </c>
      <c r="F4468" s="21" t="s">
        <v>10274</v>
      </c>
      <c r="G4468" s="21" t="s">
        <v>18809</v>
      </c>
      <c r="H4468" s="21" t="s">
        <v>11407</v>
      </c>
    </row>
    <row r="4469" customFormat="false" ht="15" hidden="false" customHeight="false" outlineLevel="0" collapsed="false">
      <c r="B4469" s="19" t="s">
        <v>19328</v>
      </c>
      <c r="C4469" s="20" t="n">
        <f aca="false">ROUND(0.65/FX,2)</f>
        <v>0.09</v>
      </c>
      <c r="D4469" s="21" t="s">
        <v>19313</v>
      </c>
      <c r="E4469" s="21" t="s">
        <v>13732</v>
      </c>
      <c r="F4469" s="21" t="s">
        <v>19321</v>
      </c>
      <c r="G4469" s="21" t="s">
        <v>19329</v>
      </c>
      <c r="H4469" s="21" t="s">
        <v>11407</v>
      </c>
    </row>
    <row r="4470" customFormat="false" ht="15" hidden="false" customHeight="false" outlineLevel="0" collapsed="false">
      <c r="B4470" s="19" t="s">
        <v>19330</v>
      </c>
      <c r="C4470" s="20" t="n">
        <f aca="false">ROUND(0.77/FX,2)</f>
        <v>0.11</v>
      </c>
      <c r="D4470" s="21" t="s">
        <v>19313</v>
      </c>
      <c r="E4470" s="21" t="s">
        <v>13732</v>
      </c>
      <c r="F4470" s="21" t="s">
        <v>10272</v>
      </c>
      <c r="G4470" s="21" t="s">
        <v>19329</v>
      </c>
      <c r="H4470" s="21" t="s">
        <v>11407</v>
      </c>
    </row>
    <row r="4471" customFormat="false" ht="15" hidden="false" customHeight="false" outlineLevel="0" collapsed="false">
      <c r="B4471" s="19" t="s">
        <v>19331</v>
      </c>
      <c r="C4471" s="20" t="n">
        <f aca="false">ROUND(0.67/FX,2)</f>
        <v>0.09</v>
      </c>
      <c r="D4471" s="21" t="s">
        <v>19313</v>
      </c>
      <c r="E4471" s="21" t="s">
        <v>13732</v>
      </c>
      <c r="F4471" s="21" t="s">
        <v>10274</v>
      </c>
      <c r="G4471" s="21" t="s">
        <v>19329</v>
      </c>
      <c r="H4471" s="21" t="s">
        <v>11407</v>
      </c>
    </row>
    <row r="4472" customFormat="false" ht="15" hidden="false" customHeight="false" outlineLevel="0" collapsed="false">
      <c r="B4472" s="19" t="s">
        <v>19332</v>
      </c>
      <c r="C4472" s="20" t="n">
        <f aca="false">ROUND(0.65/FX,2)</f>
        <v>0.09</v>
      </c>
      <c r="D4472" s="21" t="s">
        <v>19313</v>
      </c>
      <c r="E4472" s="21" t="s">
        <v>13732</v>
      </c>
      <c r="F4472" s="21" t="s">
        <v>19321</v>
      </c>
      <c r="G4472" s="21" t="s">
        <v>19333</v>
      </c>
      <c r="H4472" s="21" t="s">
        <v>11407</v>
      </c>
    </row>
    <row r="4473" customFormat="false" ht="15" hidden="false" customHeight="false" outlineLevel="0" collapsed="false">
      <c r="B4473" s="19" t="s">
        <v>19334</v>
      </c>
      <c r="C4473" s="20" t="n">
        <f aca="false">ROUND(0.77/FX,2)</f>
        <v>0.11</v>
      </c>
      <c r="D4473" s="21" t="s">
        <v>19313</v>
      </c>
      <c r="E4473" s="21" t="s">
        <v>13732</v>
      </c>
      <c r="F4473" s="21" t="s">
        <v>10272</v>
      </c>
      <c r="G4473" s="21" t="s">
        <v>19333</v>
      </c>
      <c r="H4473" s="21" t="s">
        <v>11407</v>
      </c>
    </row>
    <row r="4474" customFormat="false" ht="15" hidden="false" customHeight="false" outlineLevel="0" collapsed="false">
      <c r="B4474" s="19" t="s">
        <v>19335</v>
      </c>
      <c r="C4474" s="20" t="n">
        <f aca="false">ROUND(0.67/FX,2)</f>
        <v>0.09</v>
      </c>
      <c r="D4474" s="21" t="s">
        <v>19313</v>
      </c>
      <c r="E4474" s="21" t="s">
        <v>13732</v>
      </c>
      <c r="F4474" s="21" t="s">
        <v>10274</v>
      </c>
      <c r="G4474" s="21" t="s">
        <v>19333</v>
      </c>
      <c r="H4474" s="21" t="s">
        <v>11407</v>
      </c>
    </row>
    <row r="4475" customFormat="false" ht="15" hidden="false" customHeight="false" outlineLevel="0" collapsed="false">
      <c r="B4475" s="19" t="s">
        <v>19336</v>
      </c>
      <c r="C4475" s="20" t="n">
        <f aca="false">ROUND(0.65/FX,2)</f>
        <v>0.09</v>
      </c>
      <c r="D4475" s="21" t="s">
        <v>19313</v>
      </c>
      <c r="E4475" s="21" t="s">
        <v>13732</v>
      </c>
      <c r="F4475" s="21" t="s">
        <v>19321</v>
      </c>
      <c r="G4475" s="21" t="s">
        <v>19337</v>
      </c>
      <c r="H4475" s="21" t="s">
        <v>11407</v>
      </c>
    </row>
    <row r="4476" customFormat="false" ht="15" hidden="false" customHeight="false" outlineLevel="0" collapsed="false">
      <c r="B4476" s="19" t="s">
        <v>19338</v>
      </c>
      <c r="C4476" s="20" t="n">
        <f aca="false">ROUND(0.77/FX,2)</f>
        <v>0.11</v>
      </c>
      <c r="D4476" s="21" t="s">
        <v>19313</v>
      </c>
      <c r="E4476" s="21" t="s">
        <v>13732</v>
      </c>
      <c r="F4476" s="21" t="s">
        <v>10272</v>
      </c>
      <c r="G4476" s="21" t="s">
        <v>19337</v>
      </c>
      <c r="H4476" s="21" t="s">
        <v>11407</v>
      </c>
    </row>
    <row r="4477" customFormat="false" ht="15" hidden="false" customHeight="false" outlineLevel="0" collapsed="false">
      <c r="B4477" s="19" t="s">
        <v>19339</v>
      </c>
      <c r="C4477" s="20" t="n">
        <f aca="false">ROUND(0.67/FX,2)</f>
        <v>0.09</v>
      </c>
      <c r="D4477" s="21" t="s">
        <v>19313</v>
      </c>
      <c r="E4477" s="21" t="s">
        <v>13732</v>
      </c>
      <c r="F4477" s="21" t="s">
        <v>10274</v>
      </c>
      <c r="G4477" s="21" t="s">
        <v>19337</v>
      </c>
      <c r="H4477" s="21" t="s">
        <v>11407</v>
      </c>
    </row>
    <row r="4478" customFormat="false" ht="15" hidden="false" customHeight="false" outlineLevel="0" collapsed="false">
      <c r="B4478" s="19" t="s">
        <v>19340</v>
      </c>
      <c r="C4478" s="20" t="n">
        <f aca="false">ROUND(0.53/FX,2)</f>
        <v>0.07</v>
      </c>
      <c r="D4478" s="21" t="s">
        <v>19313</v>
      </c>
      <c r="E4478" s="21" t="s">
        <v>13732</v>
      </c>
      <c r="F4478" s="21" t="s">
        <v>19341</v>
      </c>
      <c r="G4478" s="21" t="s">
        <v>19342</v>
      </c>
      <c r="H4478" s="21" t="s">
        <v>11409</v>
      </c>
    </row>
    <row r="4479" customFormat="false" ht="15" hidden="false" customHeight="false" outlineLevel="0" collapsed="false">
      <c r="B4479" s="19" t="s">
        <v>19343</v>
      </c>
      <c r="C4479" s="20" t="n">
        <f aca="false">ROUND(0.51/FX,2)</f>
        <v>0.07</v>
      </c>
      <c r="D4479" s="21" t="s">
        <v>19313</v>
      </c>
      <c r="E4479" s="21" t="s">
        <v>13732</v>
      </c>
      <c r="F4479" s="21" t="s">
        <v>19321</v>
      </c>
      <c r="G4479" s="21" t="s">
        <v>19342</v>
      </c>
      <c r="H4479" s="21" t="s">
        <v>11409</v>
      </c>
    </row>
    <row r="4480" customFormat="false" ht="15" hidden="false" customHeight="false" outlineLevel="0" collapsed="false">
      <c r="B4480" s="19" t="s">
        <v>19344</v>
      </c>
      <c r="C4480" s="20" t="n">
        <f aca="false">ROUND(0.63/FX,2)</f>
        <v>0.09</v>
      </c>
      <c r="D4480" s="21" t="s">
        <v>19313</v>
      </c>
      <c r="E4480" s="21" t="s">
        <v>13732</v>
      </c>
      <c r="F4480" s="21" t="s">
        <v>10272</v>
      </c>
      <c r="G4480" s="21" t="s">
        <v>19342</v>
      </c>
      <c r="H4480" s="21" t="s">
        <v>11409</v>
      </c>
    </row>
    <row r="4481" customFormat="false" ht="15" hidden="false" customHeight="false" outlineLevel="0" collapsed="false">
      <c r="B4481" s="19" t="s">
        <v>19345</v>
      </c>
      <c r="C4481" s="20" t="n">
        <f aca="false">ROUND(0.53/FX,2)</f>
        <v>0.07</v>
      </c>
      <c r="D4481" s="21" t="s">
        <v>19313</v>
      </c>
      <c r="E4481" s="21" t="s">
        <v>13732</v>
      </c>
      <c r="F4481" s="21" t="s">
        <v>10274</v>
      </c>
      <c r="G4481" s="21" t="s">
        <v>19342</v>
      </c>
      <c r="H4481" s="21" t="s">
        <v>11409</v>
      </c>
    </row>
    <row r="4482" customFormat="false" ht="28.35" hidden="false" customHeight="false" outlineLevel="0" collapsed="false">
      <c r="B4482" s="19" t="s">
        <v>19346</v>
      </c>
      <c r="C4482" s="20" t="n">
        <f aca="false">ROUND(1.4/FX,2)</f>
        <v>0.19</v>
      </c>
      <c r="D4482" s="21" t="s">
        <v>19347</v>
      </c>
      <c r="E4482" s="21" t="s">
        <v>13732</v>
      </c>
      <c r="F4482" s="21" t="s">
        <v>10272</v>
      </c>
      <c r="G4482" s="21" t="s">
        <v>19314</v>
      </c>
      <c r="H4482" s="21" t="s">
        <v>6336</v>
      </c>
    </row>
    <row r="4483" customFormat="false" ht="28.35" hidden="false" customHeight="false" outlineLevel="0" collapsed="false">
      <c r="B4483" s="19" t="s">
        <v>19348</v>
      </c>
      <c r="C4483" s="20" t="n">
        <f aca="false">ROUND(1.3/FX,2)</f>
        <v>0.18</v>
      </c>
      <c r="D4483" s="21" t="s">
        <v>19347</v>
      </c>
      <c r="E4483" s="21" t="s">
        <v>13732</v>
      </c>
      <c r="F4483" s="21" t="s">
        <v>10274</v>
      </c>
      <c r="G4483" s="21" t="s">
        <v>19314</v>
      </c>
      <c r="H4483" s="21" t="s">
        <v>6336</v>
      </c>
    </row>
    <row r="4484" customFormat="false" ht="28.35" hidden="false" customHeight="false" outlineLevel="0" collapsed="false">
      <c r="B4484" s="19" t="s">
        <v>19349</v>
      </c>
      <c r="C4484" s="20" t="n">
        <f aca="false">ROUND(0.5/FX,2)</f>
        <v>0.07</v>
      </c>
      <c r="D4484" s="21" t="s">
        <v>19347</v>
      </c>
      <c r="E4484" s="21" t="s">
        <v>13732</v>
      </c>
      <c r="F4484" s="21" t="s">
        <v>19321</v>
      </c>
      <c r="G4484" s="21" t="s">
        <v>19350</v>
      </c>
      <c r="H4484" s="21" t="s">
        <v>6336</v>
      </c>
    </row>
    <row r="4485" customFormat="false" ht="28.35" hidden="false" customHeight="false" outlineLevel="0" collapsed="false">
      <c r="B4485" s="19" t="s">
        <v>19351</v>
      </c>
      <c r="C4485" s="20" t="n">
        <f aca="false">ROUND(0.62/FX,2)</f>
        <v>0.09</v>
      </c>
      <c r="D4485" s="21" t="s">
        <v>19347</v>
      </c>
      <c r="E4485" s="21" t="s">
        <v>13732</v>
      </c>
      <c r="F4485" s="21" t="s">
        <v>10272</v>
      </c>
      <c r="G4485" s="21" t="s">
        <v>19350</v>
      </c>
      <c r="H4485" s="21" t="s">
        <v>6336</v>
      </c>
    </row>
    <row r="4486" customFormat="false" ht="28.35" hidden="false" customHeight="false" outlineLevel="0" collapsed="false">
      <c r="B4486" s="19" t="s">
        <v>19352</v>
      </c>
      <c r="C4486" s="20" t="n">
        <f aca="false">ROUND(0.52/FX,2)</f>
        <v>0.07</v>
      </c>
      <c r="D4486" s="21" t="s">
        <v>19347</v>
      </c>
      <c r="E4486" s="21" t="s">
        <v>13732</v>
      </c>
      <c r="F4486" s="21" t="s">
        <v>10274</v>
      </c>
      <c r="G4486" s="21" t="s">
        <v>19350</v>
      </c>
      <c r="H4486" s="21" t="s">
        <v>6336</v>
      </c>
    </row>
    <row r="4487" customFormat="false" ht="28.35" hidden="false" customHeight="false" outlineLevel="0" collapsed="false">
      <c r="B4487" s="19" t="s">
        <v>19353</v>
      </c>
      <c r="C4487" s="20" t="n">
        <f aca="false">ROUND(0.88/FX,2)</f>
        <v>0.12</v>
      </c>
      <c r="D4487" s="21" t="s">
        <v>19347</v>
      </c>
      <c r="E4487" s="21" t="s">
        <v>13732</v>
      </c>
      <c r="F4487" s="21" t="s">
        <v>10272</v>
      </c>
      <c r="G4487" s="21" t="s">
        <v>19354</v>
      </c>
      <c r="H4487" s="21" t="s">
        <v>11411</v>
      </c>
    </row>
    <row r="4488" customFormat="false" ht="28.35" hidden="false" customHeight="false" outlineLevel="0" collapsed="false">
      <c r="B4488" s="19" t="s">
        <v>19355</v>
      </c>
      <c r="C4488" s="20" t="n">
        <f aca="false">ROUND(0.78/FX,2)</f>
        <v>0.11</v>
      </c>
      <c r="D4488" s="21" t="s">
        <v>19347</v>
      </c>
      <c r="E4488" s="21" t="s">
        <v>13732</v>
      </c>
      <c r="F4488" s="21" t="s">
        <v>10274</v>
      </c>
      <c r="G4488" s="21" t="s">
        <v>19354</v>
      </c>
      <c r="H4488" s="21" t="s">
        <v>11411</v>
      </c>
    </row>
    <row r="4489" customFormat="false" ht="15" hidden="false" customHeight="false" outlineLevel="0" collapsed="false">
      <c r="B4489" s="19" t="s">
        <v>19356</v>
      </c>
      <c r="C4489" s="20" t="n">
        <f aca="false">ROUND(1.04/FX,2)</f>
        <v>0.14</v>
      </c>
      <c r="D4489" s="21" t="s">
        <v>19357</v>
      </c>
      <c r="E4489" s="21" t="s">
        <v>13732</v>
      </c>
      <c r="F4489" s="21" t="s">
        <v>19321</v>
      </c>
      <c r="G4489" s="21" t="s">
        <v>19314</v>
      </c>
      <c r="H4489" s="21" t="s">
        <v>11411</v>
      </c>
    </row>
    <row r="4490" customFormat="false" ht="15" hidden="false" customHeight="false" outlineLevel="0" collapsed="false">
      <c r="B4490" s="19" t="s">
        <v>19358</v>
      </c>
      <c r="C4490" s="20" t="n">
        <f aca="false">ROUND(1.16/FX,2)</f>
        <v>0.16</v>
      </c>
      <c r="D4490" s="21" t="s">
        <v>19357</v>
      </c>
      <c r="E4490" s="21" t="s">
        <v>13732</v>
      </c>
      <c r="F4490" s="21" t="s">
        <v>10272</v>
      </c>
      <c r="G4490" s="21" t="s">
        <v>19314</v>
      </c>
      <c r="H4490" s="21" t="s">
        <v>11411</v>
      </c>
    </row>
    <row r="4491" customFormat="false" ht="15" hidden="false" customHeight="false" outlineLevel="0" collapsed="false">
      <c r="B4491" s="19" t="s">
        <v>19359</v>
      </c>
      <c r="C4491" s="20" t="n">
        <f aca="false">ROUND(1.06/FX,2)</f>
        <v>0.15</v>
      </c>
      <c r="D4491" s="21" t="s">
        <v>19357</v>
      </c>
      <c r="E4491" s="21" t="s">
        <v>13732</v>
      </c>
      <c r="F4491" s="21" t="s">
        <v>10274</v>
      </c>
      <c r="G4491" s="21" t="s">
        <v>19314</v>
      </c>
      <c r="H4491" s="21" t="s">
        <v>11411</v>
      </c>
    </row>
    <row r="4492" customFormat="false" ht="15" hidden="false" customHeight="false" outlineLevel="0" collapsed="false">
      <c r="B4492" s="19" t="s">
        <v>19360</v>
      </c>
      <c r="C4492" s="20" t="n">
        <f aca="false">ROUND(1.4/FX,2)</f>
        <v>0.19</v>
      </c>
      <c r="D4492" s="21" t="s">
        <v>19357</v>
      </c>
      <c r="E4492" s="21" t="s">
        <v>13732</v>
      </c>
      <c r="F4492" s="21" t="s">
        <v>10272</v>
      </c>
      <c r="G4492" s="21" t="s">
        <v>19314</v>
      </c>
      <c r="H4492" s="21" t="s">
        <v>11413</v>
      </c>
    </row>
    <row r="4493" customFormat="false" ht="15" hidden="false" customHeight="false" outlineLevel="0" collapsed="false">
      <c r="B4493" s="19" t="s">
        <v>19361</v>
      </c>
      <c r="C4493" s="20" t="n">
        <f aca="false">ROUND(1.3/FX,2)</f>
        <v>0.18</v>
      </c>
      <c r="D4493" s="21" t="s">
        <v>19357</v>
      </c>
      <c r="E4493" s="21" t="s">
        <v>13732</v>
      </c>
      <c r="F4493" s="21" t="s">
        <v>10274</v>
      </c>
      <c r="G4493" s="21" t="s">
        <v>19314</v>
      </c>
      <c r="H4493" s="21" t="s">
        <v>11413</v>
      </c>
    </row>
    <row r="4494" customFormat="false" ht="15" hidden="false" customHeight="false" outlineLevel="0" collapsed="false">
      <c r="B4494" s="19" t="s">
        <v>19362</v>
      </c>
      <c r="C4494" s="20" t="n">
        <f aca="false">ROUND(1.26/FX,2)</f>
        <v>0.18</v>
      </c>
      <c r="D4494" s="21" t="s">
        <v>19357</v>
      </c>
      <c r="E4494" s="21" t="s">
        <v>13732</v>
      </c>
      <c r="F4494" s="21" t="s">
        <v>734</v>
      </c>
      <c r="G4494" s="21" t="s">
        <v>18713</v>
      </c>
      <c r="H4494" s="21" t="s">
        <v>11411</v>
      </c>
    </row>
    <row r="4495" customFormat="false" ht="15" hidden="false" customHeight="false" outlineLevel="0" collapsed="false">
      <c r="B4495" s="19" t="s">
        <v>19363</v>
      </c>
      <c r="C4495" s="20" t="n">
        <f aca="false">ROUND(0.35/FX,2)</f>
        <v>0.05</v>
      </c>
      <c r="D4495" s="21" t="s">
        <v>19357</v>
      </c>
      <c r="E4495" s="21" t="s">
        <v>13732</v>
      </c>
      <c r="F4495" s="21" t="s">
        <v>19321</v>
      </c>
      <c r="G4495" s="21" t="s">
        <v>19364</v>
      </c>
      <c r="H4495" s="21" t="s">
        <v>11407</v>
      </c>
    </row>
    <row r="4496" customFormat="false" ht="15" hidden="false" customHeight="false" outlineLevel="0" collapsed="false">
      <c r="B4496" s="19" t="s">
        <v>19365</v>
      </c>
      <c r="C4496" s="20" t="n">
        <f aca="false">ROUND(0.46/FX,2)</f>
        <v>0.06</v>
      </c>
      <c r="D4496" s="21" t="s">
        <v>19357</v>
      </c>
      <c r="E4496" s="21" t="s">
        <v>13732</v>
      </c>
      <c r="F4496" s="21" t="s">
        <v>10272</v>
      </c>
      <c r="G4496" s="21" t="s">
        <v>19364</v>
      </c>
      <c r="H4496" s="21" t="s">
        <v>11407</v>
      </c>
    </row>
    <row r="4497" customFormat="false" ht="15" hidden="false" customHeight="false" outlineLevel="0" collapsed="false">
      <c r="B4497" s="19" t="s">
        <v>19366</v>
      </c>
      <c r="C4497" s="20" t="n">
        <f aca="false">ROUND(0.36/FX,2)</f>
        <v>0.05</v>
      </c>
      <c r="D4497" s="21" t="s">
        <v>19357</v>
      </c>
      <c r="E4497" s="21" t="s">
        <v>13732</v>
      </c>
      <c r="F4497" s="21" t="s">
        <v>10274</v>
      </c>
      <c r="G4497" s="21" t="s">
        <v>19364</v>
      </c>
      <c r="H4497" s="21" t="s">
        <v>11407</v>
      </c>
    </row>
    <row r="4498" customFormat="false" ht="15" hidden="false" customHeight="false" outlineLevel="0" collapsed="false">
      <c r="B4498" s="19" t="s">
        <v>19367</v>
      </c>
      <c r="C4498" s="20" t="n">
        <f aca="false">ROUND(0.35/FX,2)</f>
        <v>0.05</v>
      </c>
      <c r="D4498" s="21" t="s">
        <v>19357</v>
      </c>
      <c r="E4498" s="21" t="s">
        <v>13732</v>
      </c>
      <c r="F4498" s="21" t="s">
        <v>19321</v>
      </c>
      <c r="G4498" s="21" t="s">
        <v>15953</v>
      </c>
      <c r="H4498" s="21" t="s">
        <v>11407</v>
      </c>
    </row>
    <row r="4499" customFormat="false" ht="15" hidden="false" customHeight="false" outlineLevel="0" collapsed="false">
      <c r="B4499" s="19" t="s">
        <v>19368</v>
      </c>
      <c r="C4499" s="20" t="n">
        <f aca="false">ROUND(0.46/FX,2)</f>
        <v>0.06</v>
      </c>
      <c r="D4499" s="21" t="s">
        <v>19357</v>
      </c>
      <c r="E4499" s="21" t="s">
        <v>13732</v>
      </c>
      <c r="F4499" s="21" t="s">
        <v>10272</v>
      </c>
      <c r="G4499" s="21" t="s">
        <v>15953</v>
      </c>
      <c r="H4499" s="21" t="s">
        <v>11407</v>
      </c>
    </row>
    <row r="4500" customFormat="false" ht="15" hidden="false" customHeight="false" outlineLevel="0" collapsed="false">
      <c r="B4500" s="19" t="s">
        <v>19369</v>
      </c>
      <c r="C4500" s="20" t="n">
        <f aca="false">ROUND(0.36/FX,2)</f>
        <v>0.05</v>
      </c>
      <c r="D4500" s="21" t="s">
        <v>19357</v>
      </c>
      <c r="E4500" s="21" t="s">
        <v>13732</v>
      </c>
      <c r="F4500" s="21" t="s">
        <v>10274</v>
      </c>
      <c r="G4500" s="21" t="s">
        <v>15953</v>
      </c>
      <c r="H4500" s="21" t="s">
        <v>11407</v>
      </c>
    </row>
    <row r="4501" customFormat="false" ht="15" hidden="false" customHeight="false" outlineLevel="0" collapsed="false">
      <c r="B4501" s="19" t="s">
        <v>19370</v>
      </c>
      <c r="C4501" s="20" t="n">
        <f aca="false">ROUND(0.38/FX,2)</f>
        <v>0.05</v>
      </c>
      <c r="D4501" s="21" t="s">
        <v>19357</v>
      </c>
      <c r="E4501" s="21" t="s">
        <v>13732</v>
      </c>
      <c r="F4501" s="21" t="s">
        <v>734</v>
      </c>
      <c r="G4501" s="21" t="s">
        <v>19371</v>
      </c>
      <c r="H4501" s="21" t="s">
        <v>11407</v>
      </c>
    </row>
    <row r="4502" customFormat="false" ht="15" hidden="false" customHeight="false" outlineLevel="0" collapsed="false">
      <c r="B4502" s="19" t="s">
        <v>19372</v>
      </c>
      <c r="C4502" s="20" t="n">
        <f aca="false">ROUND(0.35/FX,2)</f>
        <v>0.05</v>
      </c>
      <c r="D4502" s="21" t="s">
        <v>19357</v>
      </c>
      <c r="E4502" s="21" t="s">
        <v>13732</v>
      </c>
      <c r="F4502" s="21" t="s">
        <v>734</v>
      </c>
      <c r="G4502" s="21" t="s">
        <v>19322</v>
      </c>
      <c r="H4502" s="21" t="s">
        <v>11407</v>
      </c>
    </row>
    <row r="4503" customFormat="false" ht="15" hidden="false" customHeight="false" outlineLevel="0" collapsed="false">
      <c r="B4503" s="19" t="s">
        <v>19373</v>
      </c>
      <c r="C4503" s="20" t="n">
        <f aca="false">ROUND(0.39/FX,2)</f>
        <v>0.05</v>
      </c>
      <c r="D4503" s="21" t="s">
        <v>19357</v>
      </c>
      <c r="E4503" s="21" t="s">
        <v>13732</v>
      </c>
      <c r="F4503" s="21" t="s">
        <v>19321</v>
      </c>
      <c r="G4503" s="21" t="s">
        <v>18809</v>
      </c>
      <c r="H4503" s="21" t="s">
        <v>11407</v>
      </c>
    </row>
    <row r="4504" customFormat="false" ht="15" hidden="false" customHeight="false" outlineLevel="0" collapsed="false">
      <c r="B4504" s="19" t="s">
        <v>19374</v>
      </c>
      <c r="C4504" s="20" t="n">
        <f aca="false">ROUND(0.5/FX,2)</f>
        <v>0.07</v>
      </c>
      <c r="D4504" s="21" t="s">
        <v>19357</v>
      </c>
      <c r="E4504" s="21" t="s">
        <v>13732</v>
      </c>
      <c r="F4504" s="21" t="s">
        <v>10272</v>
      </c>
      <c r="G4504" s="21" t="s">
        <v>18809</v>
      </c>
      <c r="H4504" s="21" t="s">
        <v>11407</v>
      </c>
    </row>
    <row r="4505" customFormat="false" ht="15" hidden="false" customHeight="false" outlineLevel="0" collapsed="false">
      <c r="B4505" s="19" t="s">
        <v>19375</v>
      </c>
      <c r="C4505" s="20" t="n">
        <f aca="false">ROUND(0.4/FX,2)</f>
        <v>0.06</v>
      </c>
      <c r="D4505" s="21" t="s">
        <v>19357</v>
      </c>
      <c r="E4505" s="21" t="s">
        <v>13732</v>
      </c>
      <c r="F4505" s="21" t="s">
        <v>10274</v>
      </c>
      <c r="G4505" s="21" t="s">
        <v>18809</v>
      </c>
      <c r="H4505" s="21" t="s">
        <v>11407</v>
      </c>
    </row>
    <row r="4506" customFormat="false" ht="15" hidden="false" customHeight="false" outlineLevel="0" collapsed="false">
      <c r="B4506" s="19" t="s">
        <v>19376</v>
      </c>
      <c r="C4506" s="20" t="n">
        <f aca="false">ROUND(0.37/FX,2)</f>
        <v>0.05</v>
      </c>
      <c r="D4506" s="21" t="s">
        <v>19357</v>
      </c>
      <c r="E4506" s="21" t="s">
        <v>13732</v>
      </c>
      <c r="F4506" s="21" t="s">
        <v>19377</v>
      </c>
      <c r="G4506" s="21" t="s">
        <v>19378</v>
      </c>
      <c r="H4506" s="21" t="s">
        <v>11407</v>
      </c>
    </row>
    <row r="4507" customFormat="false" ht="15" hidden="false" customHeight="false" outlineLevel="0" collapsed="false">
      <c r="B4507" s="19" t="s">
        <v>19379</v>
      </c>
      <c r="C4507" s="20" t="n">
        <f aca="false">ROUND(0.39/FX,2)</f>
        <v>0.05</v>
      </c>
      <c r="D4507" s="21" t="s">
        <v>19357</v>
      </c>
      <c r="E4507" s="21" t="s">
        <v>13732</v>
      </c>
      <c r="F4507" s="21" t="s">
        <v>19321</v>
      </c>
      <c r="G4507" s="21" t="s">
        <v>19329</v>
      </c>
      <c r="H4507" s="21" t="s">
        <v>11407</v>
      </c>
    </row>
    <row r="4508" customFormat="false" ht="15" hidden="false" customHeight="false" outlineLevel="0" collapsed="false">
      <c r="B4508" s="19" t="s">
        <v>19380</v>
      </c>
      <c r="C4508" s="20" t="n">
        <f aca="false">ROUND(0.5/FX,2)</f>
        <v>0.07</v>
      </c>
      <c r="D4508" s="21" t="s">
        <v>19357</v>
      </c>
      <c r="E4508" s="21" t="s">
        <v>13732</v>
      </c>
      <c r="F4508" s="21" t="s">
        <v>10272</v>
      </c>
      <c r="G4508" s="21" t="s">
        <v>19329</v>
      </c>
      <c r="H4508" s="21" t="s">
        <v>11407</v>
      </c>
    </row>
    <row r="4509" customFormat="false" ht="15" hidden="false" customHeight="false" outlineLevel="0" collapsed="false">
      <c r="B4509" s="19" t="s">
        <v>19381</v>
      </c>
      <c r="C4509" s="20" t="n">
        <f aca="false">ROUND(0.4/FX,2)</f>
        <v>0.06</v>
      </c>
      <c r="D4509" s="21" t="s">
        <v>19357</v>
      </c>
      <c r="E4509" s="21" t="s">
        <v>13732</v>
      </c>
      <c r="F4509" s="21" t="s">
        <v>10274</v>
      </c>
      <c r="G4509" s="21" t="s">
        <v>19329</v>
      </c>
      <c r="H4509" s="21" t="s">
        <v>11407</v>
      </c>
    </row>
    <row r="4510" customFormat="false" ht="15" hidden="false" customHeight="false" outlineLevel="0" collapsed="false">
      <c r="B4510" s="19" t="s">
        <v>19382</v>
      </c>
      <c r="C4510" s="20" t="n">
        <f aca="false">ROUND(0.4/FX,2)</f>
        <v>0.06</v>
      </c>
      <c r="D4510" s="21" t="s">
        <v>19357</v>
      </c>
      <c r="E4510" s="21" t="s">
        <v>13732</v>
      </c>
      <c r="F4510" s="21" t="s">
        <v>734</v>
      </c>
      <c r="G4510" s="21" t="s">
        <v>19333</v>
      </c>
      <c r="H4510" s="21" t="s">
        <v>11407</v>
      </c>
    </row>
    <row r="4511" customFormat="false" ht="15" hidden="false" customHeight="false" outlineLevel="0" collapsed="false">
      <c r="B4511" s="19" t="s">
        <v>19383</v>
      </c>
      <c r="C4511" s="20" t="n">
        <f aca="false">ROUND(0.39/FX,2)</f>
        <v>0.05</v>
      </c>
      <c r="D4511" s="21" t="s">
        <v>19357</v>
      </c>
      <c r="E4511" s="21" t="s">
        <v>13732</v>
      </c>
      <c r="F4511" s="21" t="s">
        <v>19321</v>
      </c>
      <c r="G4511" s="21" t="s">
        <v>19337</v>
      </c>
      <c r="H4511" s="21" t="s">
        <v>11407</v>
      </c>
    </row>
    <row r="4512" customFormat="false" ht="15" hidden="false" customHeight="false" outlineLevel="0" collapsed="false">
      <c r="B4512" s="19" t="s">
        <v>19384</v>
      </c>
      <c r="C4512" s="20" t="n">
        <f aca="false">ROUND(0.5/FX,2)</f>
        <v>0.07</v>
      </c>
      <c r="D4512" s="21" t="s">
        <v>19357</v>
      </c>
      <c r="E4512" s="21" t="s">
        <v>13732</v>
      </c>
      <c r="F4512" s="21" t="s">
        <v>10272</v>
      </c>
      <c r="G4512" s="21" t="s">
        <v>19337</v>
      </c>
      <c r="H4512" s="21" t="s">
        <v>11407</v>
      </c>
    </row>
    <row r="4513" customFormat="false" ht="15" hidden="false" customHeight="false" outlineLevel="0" collapsed="false">
      <c r="B4513" s="19" t="s">
        <v>19385</v>
      </c>
      <c r="C4513" s="20" t="n">
        <f aca="false">ROUND(0.4/FX,2)</f>
        <v>0.06</v>
      </c>
      <c r="D4513" s="21" t="s">
        <v>19357</v>
      </c>
      <c r="E4513" s="21" t="s">
        <v>13732</v>
      </c>
      <c r="F4513" s="21" t="s">
        <v>10274</v>
      </c>
      <c r="G4513" s="21" t="s">
        <v>19337</v>
      </c>
      <c r="H4513" s="21" t="s">
        <v>11407</v>
      </c>
    </row>
    <row r="4514" customFormat="false" ht="15" hidden="false" customHeight="false" outlineLevel="0" collapsed="false">
      <c r="B4514" s="19" t="s">
        <v>19386</v>
      </c>
      <c r="C4514" s="20" t="n">
        <f aca="false">ROUND(0.51/FX,2)</f>
        <v>0.07</v>
      </c>
      <c r="D4514" s="21" t="s">
        <v>19357</v>
      </c>
      <c r="E4514" s="21" t="s">
        <v>13732</v>
      </c>
      <c r="F4514" s="21" t="s">
        <v>19321</v>
      </c>
      <c r="G4514" s="21" t="s">
        <v>19342</v>
      </c>
      <c r="H4514" s="21" t="s">
        <v>11409</v>
      </c>
    </row>
    <row r="4515" customFormat="false" ht="15" hidden="false" customHeight="false" outlineLevel="0" collapsed="false">
      <c r="B4515" s="19" t="s">
        <v>19387</v>
      </c>
      <c r="C4515" s="20" t="n">
        <f aca="false">ROUND(0.54/FX,2)</f>
        <v>0.08</v>
      </c>
      <c r="D4515" s="21" t="s">
        <v>19357</v>
      </c>
      <c r="E4515" s="21" t="s">
        <v>13732</v>
      </c>
      <c r="F4515" s="21" t="s">
        <v>10272</v>
      </c>
      <c r="G4515" s="21" t="s">
        <v>19342</v>
      </c>
      <c r="H4515" s="21" t="s">
        <v>11409</v>
      </c>
    </row>
    <row r="4516" customFormat="false" ht="15" hidden="false" customHeight="false" outlineLevel="0" collapsed="false">
      <c r="B4516" s="19" t="s">
        <v>19388</v>
      </c>
      <c r="C4516" s="20" t="n">
        <f aca="false">ROUND(0.53/FX,2)</f>
        <v>0.07</v>
      </c>
      <c r="D4516" s="21" t="s">
        <v>19357</v>
      </c>
      <c r="E4516" s="21" t="s">
        <v>13732</v>
      </c>
      <c r="F4516" s="21" t="s">
        <v>10274</v>
      </c>
      <c r="G4516" s="21" t="s">
        <v>19342</v>
      </c>
      <c r="H4516" s="21" t="s">
        <v>11409</v>
      </c>
    </row>
    <row r="4517" customFormat="false" ht="15" hidden="false" customHeight="false" outlineLevel="0" collapsed="false">
      <c r="B4517" s="19" t="s">
        <v>19389</v>
      </c>
      <c r="C4517" s="20" t="n">
        <f aca="false">ROUND(1.29/FX,2)</f>
        <v>0.18</v>
      </c>
      <c r="D4517" s="21" t="s">
        <v>10204</v>
      </c>
      <c r="E4517" s="21" t="s">
        <v>13732</v>
      </c>
      <c r="F4517" s="21" t="s">
        <v>734</v>
      </c>
      <c r="G4517" s="21" t="s">
        <v>19390</v>
      </c>
      <c r="H4517" s="21" t="s">
        <v>11409</v>
      </c>
    </row>
    <row r="4518" customFormat="false" ht="15" hidden="false" customHeight="false" outlineLevel="0" collapsed="false">
      <c r="B4518" s="19" t="s">
        <v>19391</v>
      </c>
      <c r="C4518" s="20" t="n">
        <f aca="false">ROUND(1.78/FX,2)</f>
        <v>0.25</v>
      </c>
      <c r="D4518" s="21" t="s">
        <v>10204</v>
      </c>
      <c r="E4518" s="21" t="s">
        <v>13732</v>
      </c>
      <c r="F4518" s="21" t="s">
        <v>734</v>
      </c>
      <c r="G4518" s="21" t="s">
        <v>19390</v>
      </c>
      <c r="H4518" s="21" t="s">
        <v>11411</v>
      </c>
    </row>
    <row r="4519" customFormat="false" ht="15" hidden="false" customHeight="false" outlineLevel="0" collapsed="false">
      <c r="B4519" s="19" t="s">
        <v>19392</v>
      </c>
      <c r="C4519" s="20" t="n">
        <f aca="false">ROUND(1.97/FX,2)</f>
        <v>0.27</v>
      </c>
      <c r="D4519" s="21" t="s">
        <v>10204</v>
      </c>
      <c r="E4519" s="21" t="s">
        <v>13732</v>
      </c>
      <c r="F4519" s="21" t="s">
        <v>734</v>
      </c>
      <c r="G4519" s="21" t="s">
        <v>19314</v>
      </c>
      <c r="H4519" s="21" t="s">
        <v>11411</v>
      </c>
    </row>
    <row r="4520" customFormat="false" ht="15" hidden="false" customHeight="false" outlineLevel="0" collapsed="false">
      <c r="B4520" s="19" t="s">
        <v>19393</v>
      </c>
      <c r="C4520" s="20" t="n">
        <f aca="false">ROUND(2.08/FX,2)</f>
        <v>0.29</v>
      </c>
      <c r="D4520" s="21" t="s">
        <v>10204</v>
      </c>
      <c r="E4520" s="21" t="s">
        <v>13732</v>
      </c>
      <c r="F4520" s="21" t="s">
        <v>19321</v>
      </c>
      <c r="G4520" s="21" t="s">
        <v>19394</v>
      </c>
      <c r="H4520" s="21" t="s">
        <v>11413</v>
      </c>
    </row>
    <row r="4521" customFormat="false" ht="15" hidden="false" customHeight="false" outlineLevel="0" collapsed="false">
      <c r="B4521" s="19" t="s">
        <v>19395</v>
      </c>
      <c r="C4521" s="20" t="n">
        <f aca="false">ROUND(2.2/FX,2)</f>
        <v>0.31</v>
      </c>
      <c r="D4521" s="21" t="s">
        <v>10204</v>
      </c>
      <c r="E4521" s="21" t="s">
        <v>13732</v>
      </c>
      <c r="F4521" s="21" t="s">
        <v>10272</v>
      </c>
      <c r="G4521" s="21" t="s">
        <v>19394</v>
      </c>
      <c r="H4521" s="21" t="s">
        <v>11413</v>
      </c>
    </row>
    <row r="4522" customFormat="false" ht="15" hidden="false" customHeight="false" outlineLevel="0" collapsed="false">
      <c r="B4522" s="19" t="s">
        <v>19396</v>
      </c>
      <c r="C4522" s="20" t="n">
        <f aca="false">ROUND(2.1/FX,2)</f>
        <v>0.29</v>
      </c>
      <c r="D4522" s="21" t="s">
        <v>10204</v>
      </c>
      <c r="E4522" s="21" t="s">
        <v>13732</v>
      </c>
      <c r="F4522" s="21" t="s">
        <v>10274</v>
      </c>
      <c r="G4522" s="21" t="s">
        <v>19394</v>
      </c>
      <c r="H4522" s="21" t="s">
        <v>11413</v>
      </c>
    </row>
    <row r="4523" customFormat="false" ht="15" hidden="false" customHeight="false" outlineLevel="0" collapsed="false">
      <c r="B4523" s="19" t="s">
        <v>19397</v>
      </c>
      <c r="C4523" s="20" t="n">
        <f aca="false">ROUND(3.01/FX,2)</f>
        <v>0.42</v>
      </c>
      <c r="D4523" s="21" t="s">
        <v>10204</v>
      </c>
      <c r="E4523" s="21" t="s">
        <v>13732</v>
      </c>
      <c r="F4523" s="21" t="s">
        <v>734</v>
      </c>
      <c r="G4523" s="21" t="s">
        <v>19398</v>
      </c>
      <c r="H4523" s="21" t="s">
        <v>11413</v>
      </c>
    </row>
    <row r="4524" customFormat="false" ht="15" hidden="false" customHeight="false" outlineLevel="0" collapsed="false">
      <c r="B4524" s="19" t="s">
        <v>19399</v>
      </c>
      <c r="C4524" s="20" t="n">
        <f aca="false">ROUND(3.32/FX,2)</f>
        <v>0.46</v>
      </c>
      <c r="D4524" s="21" t="s">
        <v>10204</v>
      </c>
      <c r="E4524" s="21" t="s">
        <v>13732</v>
      </c>
      <c r="F4524" s="21" t="s">
        <v>19321</v>
      </c>
      <c r="G4524" s="21" t="s">
        <v>19400</v>
      </c>
      <c r="H4524" s="21" t="s">
        <v>11413</v>
      </c>
    </row>
    <row r="4525" customFormat="false" ht="15" hidden="false" customHeight="false" outlineLevel="0" collapsed="false">
      <c r="B4525" s="19" t="s">
        <v>19401</v>
      </c>
      <c r="C4525" s="20" t="n">
        <f aca="false">ROUND(3.42/FX,2)</f>
        <v>0.48</v>
      </c>
      <c r="D4525" s="21" t="s">
        <v>10204</v>
      </c>
      <c r="E4525" s="21" t="s">
        <v>13732</v>
      </c>
      <c r="F4525" s="21" t="s">
        <v>10272</v>
      </c>
      <c r="G4525" s="21" t="s">
        <v>19400</v>
      </c>
      <c r="H4525" s="21" t="s">
        <v>11413</v>
      </c>
    </row>
    <row r="4526" customFormat="false" ht="15" hidden="false" customHeight="false" outlineLevel="0" collapsed="false">
      <c r="B4526" s="19" t="s">
        <v>19402</v>
      </c>
      <c r="C4526" s="20" t="n">
        <f aca="false">ROUND(3.32/FX,2)</f>
        <v>0.46</v>
      </c>
      <c r="D4526" s="21" t="s">
        <v>10204</v>
      </c>
      <c r="E4526" s="21" t="s">
        <v>13732</v>
      </c>
      <c r="F4526" s="21" t="s">
        <v>10274</v>
      </c>
      <c r="G4526" s="21" t="s">
        <v>19400</v>
      </c>
      <c r="H4526" s="21" t="s">
        <v>11413</v>
      </c>
    </row>
    <row r="4527" customFormat="false" ht="15" hidden="false" customHeight="false" outlineLevel="0" collapsed="false">
      <c r="B4527" s="19" t="s">
        <v>19403</v>
      </c>
      <c r="C4527" s="20" t="n">
        <f aca="false">ROUND(4.6/FX,2)</f>
        <v>0.64</v>
      </c>
      <c r="D4527" s="21" t="s">
        <v>10204</v>
      </c>
      <c r="E4527" s="21" t="s">
        <v>13732</v>
      </c>
      <c r="F4527" s="21" t="s">
        <v>734</v>
      </c>
      <c r="G4527" s="21" t="s">
        <v>19404</v>
      </c>
      <c r="H4527" s="21" t="s">
        <v>11415</v>
      </c>
    </row>
    <row r="4528" customFormat="false" ht="15" hidden="false" customHeight="false" outlineLevel="0" collapsed="false">
      <c r="B4528" s="19" t="s">
        <v>19405</v>
      </c>
      <c r="C4528" s="20" t="n">
        <f aca="false">ROUND(0.91/FX,2)</f>
        <v>0.13</v>
      </c>
      <c r="D4528" s="21" t="s">
        <v>10204</v>
      </c>
      <c r="E4528" s="21" t="s">
        <v>13732</v>
      </c>
      <c r="F4528" s="21" t="s">
        <v>10272</v>
      </c>
      <c r="G4528" s="21" t="s">
        <v>19406</v>
      </c>
      <c r="H4528" s="21" t="s">
        <v>11409</v>
      </c>
    </row>
    <row r="4529" customFormat="false" ht="15" hidden="false" customHeight="false" outlineLevel="0" collapsed="false">
      <c r="B4529" s="19" t="s">
        <v>19407</v>
      </c>
      <c r="C4529" s="20" t="n">
        <f aca="false">ROUND(0.81/FX,2)</f>
        <v>0.11</v>
      </c>
      <c r="D4529" s="21" t="s">
        <v>10204</v>
      </c>
      <c r="E4529" s="21" t="s">
        <v>13732</v>
      </c>
      <c r="F4529" s="21" t="s">
        <v>10274</v>
      </c>
      <c r="G4529" s="21" t="s">
        <v>19406</v>
      </c>
      <c r="H4529" s="21" t="s">
        <v>11409</v>
      </c>
    </row>
    <row r="4530" customFormat="false" ht="15" hidden="false" customHeight="false" outlineLevel="0" collapsed="false">
      <c r="B4530" s="19" t="s">
        <v>19408</v>
      </c>
      <c r="C4530" s="20" t="n">
        <f aca="false">ROUND(0.97/FX,2)</f>
        <v>0.13</v>
      </c>
      <c r="D4530" s="21" t="s">
        <v>10204</v>
      </c>
      <c r="E4530" s="21" t="s">
        <v>13732</v>
      </c>
      <c r="F4530" s="21" t="s">
        <v>10272</v>
      </c>
      <c r="G4530" s="21" t="s">
        <v>19409</v>
      </c>
      <c r="H4530" s="21" t="s">
        <v>11409</v>
      </c>
    </row>
    <row r="4531" customFormat="false" ht="15" hidden="false" customHeight="false" outlineLevel="0" collapsed="false">
      <c r="B4531" s="19" t="s">
        <v>19410</v>
      </c>
      <c r="C4531" s="20" t="n">
        <f aca="false">ROUND(0.87/FX,2)</f>
        <v>0.12</v>
      </c>
      <c r="D4531" s="21" t="s">
        <v>10204</v>
      </c>
      <c r="E4531" s="21" t="s">
        <v>13732</v>
      </c>
      <c r="F4531" s="21" t="s">
        <v>10274</v>
      </c>
      <c r="G4531" s="21" t="s">
        <v>19409</v>
      </c>
      <c r="H4531" s="21" t="s">
        <v>11409</v>
      </c>
    </row>
    <row r="4532" customFormat="false" ht="15" hidden="false" customHeight="false" outlineLevel="0" collapsed="false">
      <c r="B4532" s="19" t="s">
        <v>19411</v>
      </c>
      <c r="C4532" s="20" t="n">
        <f aca="false">ROUND(1.01/FX,2)</f>
        <v>0.14</v>
      </c>
      <c r="D4532" s="21" t="s">
        <v>10204</v>
      </c>
      <c r="E4532" s="21" t="s">
        <v>13732</v>
      </c>
      <c r="F4532" s="21" t="s">
        <v>10272</v>
      </c>
      <c r="G4532" s="21" t="s">
        <v>19412</v>
      </c>
      <c r="H4532" s="21" t="s">
        <v>11409</v>
      </c>
    </row>
    <row r="4533" customFormat="false" ht="15" hidden="false" customHeight="false" outlineLevel="0" collapsed="false">
      <c r="B4533" s="19" t="s">
        <v>19413</v>
      </c>
      <c r="C4533" s="20" t="n">
        <f aca="false">ROUND(0.91/FX,2)</f>
        <v>0.13</v>
      </c>
      <c r="D4533" s="21" t="s">
        <v>10204</v>
      </c>
      <c r="E4533" s="21" t="s">
        <v>13732</v>
      </c>
      <c r="F4533" s="21" t="s">
        <v>10274</v>
      </c>
      <c r="G4533" s="21" t="s">
        <v>19412</v>
      </c>
      <c r="H4533" s="21" t="s">
        <v>11409</v>
      </c>
    </row>
    <row r="4534" customFormat="false" ht="15" hidden="false" customHeight="false" outlineLevel="0" collapsed="false">
      <c r="B4534" s="19" t="s">
        <v>19414</v>
      </c>
      <c r="C4534" s="20" t="n">
        <f aca="false">ROUND(1.85/FX,2)</f>
        <v>0.26</v>
      </c>
      <c r="D4534" s="21" t="s">
        <v>10204</v>
      </c>
      <c r="E4534" s="21" t="s">
        <v>13739</v>
      </c>
      <c r="F4534" s="21" t="s">
        <v>734</v>
      </c>
      <c r="G4534" s="21" t="s">
        <v>19415</v>
      </c>
      <c r="H4534" s="21" t="s">
        <v>11409</v>
      </c>
    </row>
    <row r="4535" customFormat="false" ht="15" hidden="false" customHeight="false" outlineLevel="0" collapsed="false">
      <c r="B4535" s="19" t="s">
        <v>19416</v>
      </c>
      <c r="C4535" s="20" t="n">
        <f aca="false">ROUND(1.82/FX,2)</f>
        <v>0.25</v>
      </c>
      <c r="D4535" s="21" t="s">
        <v>10204</v>
      </c>
      <c r="E4535" s="21" t="s">
        <v>13739</v>
      </c>
      <c r="F4535" s="21" t="s">
        <v>734</v>
      </c>
      <c r="G4535" s="21" t="s">
        <v>18818</v>
      </c>
      <c r="H4535" s="21" t="s">
        <v>11409</v>
      </c>
    </row>
    <row r="4536" customFormat="false" ht="15" hidden="false" customHeight="false" outlineLevel="0" collapsed="false">
      <c r="B4536" s="19" t="s">
        <v>19417</v>
      </c>
      <c r="C4536" s="20" t="n">
        <f aca="false">ROUND(0.9/FX,2)</f>
        <v>0.13</v>
      </c>
      <c r="D4536" s="21" t="s">
        <v>10204</v>
      </c>
      <c r="E4536" s="21" t="s">
        <v>13732</v>
      </c>
      <c r="F4536" s="21" t="s">
        <v>10272</v>
      </c>
      <c r="G4536" s="21" t="s">
        <v>19418</v>
      </c>
      <c r="H4536" s="21" t="s">
        <v>11409</v>
      </c>
    </row>
    <row r="4537" customFormat="false" ht="15" hidden="false" customHeight="false" outlineLevel="0" collapsed="false">
      <c r="B4537" s="19" t="s">
        <v>19419</v>
      </c>
      <c r="C4537" s="20" t="n">
        <f aca="false">ROUND(0.8/FX,2)</f>
        <v>0.11</v>
      </c>
      <c r="D4537" s="21" t="s">
        <v>10204</v>
      </c>
      <c r="E4537" s="21" t="s">
        <v>13732</v>
      </c>
      <c r="F4537" s="21" t="s">
        <v>10274</v>
      </c>
      <c r="G4537" s="21" t="s">
        <v>19418</v>
      </c>
      <c r="H4537" s="21" t="s">
        <v>11409</v>
      </c>
    </row>
    <row r="4538" customFormat="false" ht="15" hidden="false" customHeight="false" outlineLevel="0" collapsed="false">
      <c r="B4538" s="19" t="s">
        <v>19420</v>
      </c>
      <c r="C4538" s="20" t="n">
        <f aca="false">ROUND(1.11/FX,2)</f>
        <v>0.15</v>
      </c>
      <c r="D4538" s="21" t="s">
        <v>10204</v>
      </c>
      <c r="E4538" s="21" t="s">
        <v>13732</v>
      </c>
      <c r="F4538" s="21" t="s">
        <v>19321</v>
      </c>
      <c r="G4538" s="21" t="s">
        <v>19421</v>
      </c>
      <c r="H4538" s="21" t="s">
        <v>11409</v>
      </c>
    </row>
    <row r="4539" customFormat="false" ht="15" hidden="false" customHeight="false" outlineLevel="0" collapsed="false">
      <c r="B4539" s="19" t="s">
        <v>19422</v>
      </c>
      <c r="C4539" s="20" t="n">
        <f aca="false">ROUND(1.22/FX,2)</f>
        <v>0.17</v>
      </c>
      <c r="D4539" s="21" t="s">
        <v>10204</v>
      </c>
      <c r="E4539" s="21" t="s">
        <v>13732</v>
      </c>
      <c r="F4539" s="21" t="s">
        <v>10272</v>
      </c>
      <c r="G4539" s="21" t="s">
        <v>19421</v>
      </c>
      <c r="H4539" s="21" t="s">
        <v>11409</v>
      </c>
    </row>
    <row r="4540" customFormat="false" ht="15" hidden="false" customHeight="false" outlineLevel="0" collapsed="false">
      <c r="B4540" s="19" t="s">
        <v>19423</v>
      </c>
      <c r="C4540" s="20" t="n">
        <f aca="false">ROUND(1.12/FX,2)</f>
        <v>0.16</v>
      </c>
      <c r="D4540" s="21" t="s">
        <v>10204</v>
      </c>
      <c r="E4540" s="21" t="s">
        <v>13732</v>
      </c>
      <c r="F4540" s="21" t="s">
        <v>10274</v>
      </c>
      <c r="G4540" s="21" t="s">
        <v>19421</v>
      </c>
      <c r="H4540" s="21" t="s">
        <v>11409</v>
      </c>
    </row>
    <row r="4541" customFormat="false" ht="15" hidden="false" customHeight="false" outlineLevel="0" collapsed="false">
      <c r="B4541" s="19" t="s">
        <v>19424</v>
      </c>
      <c r="C4541" s="20" t="n">
        <f aca="false">ROUND(1.15/FX,2)</f>
        <v>0.16</v>
      </c>
      <c r="D4541" s="21" t="s">
        <v>10204</v>
      </c>
      <c r="E4541" s="21" t="s">
        <v>13732</v>
      </c>
      <c r="F4541" s="21" t="s">
        <v>734</v>
      </c>
      <c r="G4541" s="21" t="s">
        <v>19342</v>
      </c>
      <c r="H4541" s="21" t="s">
        <v>11409</v>
      </c>
    </row>
    <row r="4542" customFormat="false" ht="15" hidden="false" customHeight="false" outlineLevel="0" collapsed="false">
      <c r="B4542" s="19" t="s">
        <v>19425</v>
      </c>
      <c r="C4542" s="20" t="n">
        <f aca="false">ROUND(1.18/FX,2)</f>
        <v>0.16</v>
      </c>
      <c r="D4542" s="21" t="s">
        <v>10204</v>
      </c>
      <c r="E4542" s="21" t="s">
        <v>13732</v>
      </c>
      <c r="F4542" s="21" t="s">
        <v>734</v>
      </c>
      <c r="G4542" s="21" t="s">
        <v>19426</v>
      </c>
      <c r="H4542" s="21" t="s">
        <v>11409</v>
      </c>
    </row>
    <row r="4543" customFormat="false" ht="15" hidden="false" customHeight="false" outlineLevel="0" collapsed="false">
      <c r="B4543" s="19" t="s">
        <v>19427</v>
      </c>
      <c r="C4543" s="20" t="n">
        <f aca="false">ROUND(1.18/FX,2)</f>
        <v>0.16</v>
      </c>
      <c r="D4543" s="21" t="s">
        <v>10204</v>
      </c>
      <c r="E4543" s="21" t="s">
        <v>13732</v>
      </c>
      <c r="F4543" s="21" t="s">
        <v>734</v>
      </c>
      <c r="G4543" s="21" t="s">
        <v>19426</v>
      </c>
      <c r="H4543" s="21" t="s">
        <v>11411</v>
      </c>
    </row>
    <row r="4544" customFormat="false" ht="15" hidden="false" customHeight="false" outlineLevel="0" collapsed="false">
      <c r="B4544" s="19" t="s">
        <v>19428</v>
      </c>
      <c r="C4544" s="20" t="n">
        <f aca="false">ROUND(2.44/FX,2)</f>
        <v>0.34</v>
      </c>
      <c r="D4544" s="21" t="s">
        <v>19429</v>
      </c>
      <c r="E4544" s="21" t="s">
        <v>13732</v>
      </c>
      <c r="F4544" s="21" t="s">
        <v>10272</v>
      </c>
      <c r="G4544" s="21" t="s">
        <v>19314</v>
      </c>
      <c r="H4544" s="21" t="s">
        <v>11411</v>
      </c>
    </row>
    <row r="4545" customFormat="false" ht="15" hidden="false" customHeight="false" outlineLevel="0" collapsed="false">
      <c r="B4545" s="19" t="s">
        <v>19430</v>
      </c>
      <c r="C4545" s="20" t="n">
        <f aca="false">ROUND(2.34/FX,2)</f>
        <v>0.33</v>
      </c>
      <c r="D4545" s="21" t="s">
        <v>19429</v>
      </c>
      <c r="E4545" s="21" t="s">
        <v>13732</v>
      </c>
      <c r="F4545" s="21" t="s">
        <v>10274</v>
      </c>
      <c r="G4545" s="21" t="s">
        <v>19314</v>
      </c>
      <c r="H4545" s="21" t="s">
        <v>11411</v>
      </c>
    </row>
    <row r="4546" customFormat="false" ht="15" hidden="false" customHeight="false" outlineLevel="0" collapsed="false">
      <c r="B4546" s="19" t="s">
        <v>19431</v>
      </c>
      <c r="C4546" s="20" t="n">
        <f aca="false">ROUND(2.44/FX,2)</f>
        <v>0.34</v>
      </c>
      <c r="D4546" s="21" t="s">
        <v>19429</v>
      </c>
      <c r="E4546" s="21" t="s">
        <v>13732</v>
      </c>
      <c r="F4546" s="21" t="s">
        <v>10272</v>
      </c>
      <c r="G4546" s="21" t="s">
        <v>19394</v>
      </c>
      <c r="H4546" s="21" t="s">
        <v>11413</v>
      </c>
    </row>
    <row r="4547" customFormat="false" ht="15" hidden="false" customHeight="false" outlineLevel="0" collapsed="false">
      <c r="B4547" s="19" t="s">
        <v>19432</v>
      </c>
      <c r="C4547" s="20" t="n">
        <f aca="false">ROUND(2.34/FX,2)</f>
        <v>0.33</v>
      </c>
      <c r="D4547" s="21" t="s">
        <v>19429</v>
      </c>
      <c r="E4547" s="21" t="s">
        <v>13732</v>
      </c>
      <c r="F4547" s="21" t="s">
        <v>10274</v>
      </c>
      <c r="G4547" s="21" t="s">
        <v>19394</v>
      </c>
      <c r="H4547" s="21" t="s">
        <v>11413</v>
      </c>
    </row>
  </sheetData>
  <mergeCells count="80">
    <mergeCell ref="B1:D1"/>
    <mergeCell ref="B11:E11"/>
    <mergeCell ref="B74:D74"/>
    <mergeCell ref="B79:E79"/>
    <mergeCell ref="B94:E94"/>
    <mergeCell ref="B123:G123"/>
    <mergeCell ref="B493:F493"/>
    <mergeCell ref="B512:F512"/>
    <mergeCell ref="B522:F522"/>
    <mergeCell ref="B1007:D1007"/>
    <mergeCell ref="B1016:E1016"/>
    <mergeCell ref="B1055:E1055"/>
    <mergeCell ref="B1084:F1084"/>
    <mergeCell ref="B1101:D1101"/>
    <mergeCell ref="B1112:D1112"/>
    <mergeCell ref="B1117:F1117"/>
    <mergeCell ref="B1279:E1279"/>
    <mergeCell ref="B1288:F1288"/>
    <mergeCell ref="B1381:E1381"/>
    <mergeCell ref="B1433:G1433"/>
    <mergeCell ref="B1468:D1468"/>
    <mergeCell ref="B1477:F1477"/>
    <mergeCell ref="B1488:F1488"/>
    <mergeCell ref="B1719:G1719"/>
    <mergeCell ref="B1822:D1822"/>
    <mergeCell ref="B1831:G1831"/>
    <mergeCell ref="B1887:D1887"/>
    <mergeCell ref="B1892:D1892"/>
    <mergeCell ref="B1897:D1897"/>
    <mergeCell ref="B1902:E1902"/>
    <mergeCell ref="B1911:F1911"/>
    <mergeCell ref="B1934:F1934"/>
    <mergeCell ref="B1957:D1957"/>
    <mergeCell ref="B2002:E2002"/>
    <mergeCell ref="B2027:E2027"/>
    <mergeCell ref="B2037:E2037"/>
    <mergeCell ref="B2056:D2056"/>
    <mergeCell ref="B2095:E2095"/>
    <mergeCell ref="B2105:D2105"/>
    <mergeCell ref="B2110:F2110"/>
    <mergeCell ref="B2122:H2122"/>
    <mergeCell ref="B2244:E2244"/>
    <mergeCell ref="B2286:D2286"/>
    <mergeCell ref="B2291:F2291"/>
    <mergeCell ref="B2351:G2351"/>
    <mergeCell ref="B2544:F2544"/>
    <mergeCell ref="B2574:E2574"/>
    <mergeCell ref="B2671:D2671"/>
    <mergeCell ref="B2768:D2768"/>
    <mergeCell ref="B2777:H2777"/>
    <mergeCell ref="B2856:G2856"/>
    <mergeCell ref="B2910:G2910"/>
    <mergeCell ref="B3069:G3069"/>
    <mergeCell ref="B3309:F3309"/>
    <mergeCell ref="B3369:G3369"/>
    <mergeCell ref="B3434:E3434"/>
    <mergeCell ref="B3453:F3453"/>
    <mergeCell ref="B3494:D3494"/>
    <mergeCell ref="B3499:D3499"/>
    <mergeCell ref="B3525:D3525"/>
    <mergeCell ref="B3541:D3541"/>
    <mergeCell ref="B3546:F3546"/>
    <mergeCell ref="B3617:E3617"/>
    <mergeCell ref="B3635:D3635"/>
    <mergeCell ref="B3644:F3644"/>
    <mergeCell ref="B3681:E3681"/>
    <mergeCell ref="B3702:G3702"/>
    <mergeCell ref="B3901:F3901"/>
    <mergeCell ref="B3918:D3918"/>
    <mergeCell ref="B3998:E3998"/>
    <mergeCell ref="B4011:D4011"/>
    <mergeCell ref="B4045:F4045"/>
    <mergeCell ref="B4067:G4067"/>
    <mergeCell ref="B4117:D4117"/>
    <mergeCell ref="B4135:G4135"/>
    <mergeCell ref="B4333:D4333"/>
    <mergeCell ref="B4338:G4338"/>
    <mergeCell ref="B4436:D4436"/>
    <mergeCell ref="B4445:D4445"/>
    <mergeCell ref="B4454:H4454"/>
  </mergeCells>
  <dataValidations count="177">
    <dataValidation allowBlank="true" error="Please choose from the list" errorStyle="stop" errorTitle="▶ Quick quote" operator="between" showDropDown="false" showErrorMessage="false" showInputMessage="false" sqref="D3" type="list">
      <formula1>_lists!$IU$1:$IU$3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" type="list">
      <formula1>_lists!$IV$1:$IV$23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" type="list">
      <formula1>_lists!$IW$1:$IW$6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1" type="list">
      <formula1>_lists!$IX$1:$IX$8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1" type="list">
      <formula1>_lists!$IY$1:$IY$7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6" type="list">
      <formula1>_lists!$IZ$1:$IZ$3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6" type="list">
      <formula1>_lists!$JA$1:$JA$20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5" type="list">
      <formula1>_lists!$JB$1:$JB$10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5" type="list">
      <formula1>_lists!$JC$1:$JC$2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5" type="list">
      <formula1>_lists!$JD$1:$JD$59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25" type="list">
      <formula1>_lists!$JE$1:$JE$3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95" type="list">
      <formula1>_lists!$JF$1:$JF$10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95" type="list">
      <formula1>_lists!$JG$1:$JG$5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95" type="list">
      <formula1>_lists!$JH$1:$JH$4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4" type="list">
      <formula1>_lists!$JI$1:$JI$2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14" type="list">
      <formula1>_lists!$JJ$1:$JJ$2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14" type="list">
      <formula1>_lists!$JK$1:$JK$3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24" type="list">
      <formula1>_lists!$JL$1:$JL$15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24" type="list">
      <formula1>_lists!$JM$1:$JM$13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24" type="list">
      <formula1>_lists!$JN$1:$JN$168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09" type="list">
      <formula1>_lists!$JO$1:$JO$2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18" type="list">
      <formula1>_lists!$JP$1:$JP$2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18" type="list">
      <formula1>_lists!$JQ$1:$JQ$32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57" type="list">
      <formula1>_lists!$JR$1:$JR$6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57" type="list">
      <formula1>_lists!$JS$1:$JS$15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86" type="list">
      <formula1>_lists!$JT$1:$JT$7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86" type="list">
      <formula1>_lists!$JU$1:$JU$3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86" type="list">
      <formula1>_lists!$JV$1:$JV$2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03" type="list">
      <formula1>_lists!$JW$1:$JW$4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19" type="list">
      <formula1>_lists!$JX$1:$JX$16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19" type="list">
      <formula1>_lists!$JY$1:$JY$2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119" type="list">
      <formula1>_lists!$JZ$1:$JZ$99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81" type="list">
      <formula1>_lists!$KA$1:$KA$2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81" type="list">
      <formula1>_lists!$KB$1:$KB$2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90" type="list">
      <formula1>_lists!$KC$1:$KC$2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90" type="list">
      <formula1>_lists!$KD$1:$KD$3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90" type="list">
      <formula1>_lists!$KE$1:$KE$62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83" type="list">
      <formula1>_lists!$KF$1:$KF$3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83" type="list">
      <formula1>_lists!$KG$1:$KG$15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35" type="list">
      <formula1>_lists!$KH$1:$KH$2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35" type="list">
      <formula1>_lists!$KI$1:$KI$19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435" type="list">
      <formula1>_lists!$KJ$1:$KJ$4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435" type="list">
      <formula1>_lists!$KK$1:$KK$9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70" type="list">
      <formula1>_lists!$KL$1:$KL$2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79" type="list">
      <formula1>_lists!$KM$1:$KM$2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79" type="list">
      <formula1>_lists!$KN$1:$KN$2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479" type="list">
      <formula1>_lists!$KO$1:$KO$2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90" type="list">
      <formula1>_lists!$KP$1:$KP$160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90" type="list">
      <formula1>_lists!$KQ$1:$KQ$15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490" type="list">
      <formula1>_lists!$KR$1:$KR$29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21" type="list">
      <formula1>_lists!$KS$1:$KS$69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21" type="list">
      <formula1>_lists!$KT$1:$KT$2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721" type="list">
      <formula1>_lists!$KU$1:$KU$8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721" type="list">
      <formula1>_lists!$KV$1:$KV$14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24" type="list">
      <formula1>_lists!$KW$1:$KW$2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33" type="list">
      <formula1>_lists!$KX$1:$KX$3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33" type="list">
      <formula1>_lists!$KY$1:$KY$38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833" type="list">
      <formula1>_lists!$KZ$1:$KZ$3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833" type="list">
      <formula1>_lists!$LA$1:$LA$3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04" type="list">
      <formula1>_lists!$LB$1:$LB$2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04" type="list">
      <formula1>_lists!$LC$1:$LC$2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13" type="list">
      <formula1>_lists!$LD$1:$LD$14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13" type="list">
      <formula1>_lists!$LE$1:$LE$3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913" type="list">
      <formula1>_lists!$LF$1:$LF$14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36" type="list">
      <formula1>_lists!$LG$1:$LG$3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36" type="list">
      <formula1>_lists!$LH$1:$LH$9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936" type="list">
      <formula1>_lists!$LI$1:$LI$14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59" type="list">
      <formula1>_lists!$LJ$1:$LJ$38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04" type="list">
      <formula1>_lists!$LK$1:$LK$17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04" type="list">
      <formula1>_lists!$LL$1:$LL$17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29" type="list">
      <formula1>_lists!$LM$1:$LM$3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29" type="list">
      <formula1>_lists!$LN$1:$LN$2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39" type="list">
      <formula1>_lists!$LO$1:$LO$9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39" type="list">
      <formula1>_lists!$LP$1:$LP$12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58" type="list">
      <formula1>_lists!$LQ$1:$LQ$32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97" type="list">
      <formula1>_lists!$LR$1:$LR$3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97" type="list">
      <formula1>_lists!$LS$1:$LS$3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12" type="list">
      <formula1>_lists!$LT$1:$LT$2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12" type="list">
      <formula1>_lists!$LU$1:$LU$3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112" type="list">
      <formula1>_lists!$LV$1:$LV$3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24" type="list">
      <formula1>_lists!$LW$1:$LW$4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24" type="list">
      <formula1>_lists!$LX$1:$LX$4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124" type="list">
      <formula1>_lists!$LY$1:$LY$102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124" type="list">
      <formula1>_lists!$LZ$1:$LZ$2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124" type="list">
      <formula1>_lists!$MA$1:$MA$63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46" type="list">
      <formula1>_lists!$MB$1:$MB$2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46" type="list">
      <formula1>_lists!$MC$1:$MC$19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93" type="list">
      <formula1>_lists!$MD$1:$MD$2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93" type="list">
      <formula1>_lists!$ME$1:$ME$2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293" type="list">
      <formula1>_lists!$MF$1:$MF$26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353" type="list">
      <formula1>_lists!$MG$1:$MG$2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353" type="list">
      <formula1>_lists!$MH$1:$MH$5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353" type="list">
      <formula1>_lists!$MI$1:$MI$2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353" type="list">
      <formula1>_lists!$MJ$1:$MJ$127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546" type="list">
      <formula1>_lists!$MK$1:$MK$2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546" type="list">
      <formula1>_lists!$ML$1:$ML$23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546" type="list">
      <formula1>_lists!$MM$1:$MM$15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576" type="list">
      <formula1>_lists!$MN$1:$MN$2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576" type="list">
      <formula1>_lists!$MO$1:$MO$88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73" type="list">
      <formula1>_lists!$MP$1:$MP$90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770" type="list">
      <formula1>_lists!$MQ$1:$MQ$2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779" type="list">
      <formula1>_lists!$MR$1:$MR$2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779" type="list">
      <formula1>_lists!$MS$1:$MS$3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779" type="list">
      <formula1>_lists!$MT$1:$MT$48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779" type="list">
      <formula1>_lists!$MU$1:$MU$7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779" type="list">
      <formula1>_lists!$MV$1:$MV$19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58" type="list">
      <formula1>_lists!$MW$1:$MW$4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858" type="list">
      <formula1>_lists!$MX$1:$MX$7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858" type="list">
      <formula1>_lists!$MY$1:$MY$22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858" type="list">
      <formula1>_lists!$MZ$1:$MZ$6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12" type="list">
      <formula1>_lists!$NA$1:$NA$91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12" type="list">
      <formula1>_lists!$NB$1:$NB$6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912" type="list">
      <formula1>_lists!$NC$1:$NC$4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912" type="list">
      <formula1>_lists!$ND$1:$ND$56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71" type="list">
      <formula1>_lists!$NE$1:$NE$5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071" type="list">
      <formula1>_lists!$NF$1:$NF$8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071" type="list">
      <formula1>_lists!$NG$1:$NG$27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071" type="list">
      <formula1>_lists!$NH$1:$NH$2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11" type="list">
      <formula1>_lists!$NI$1:$NI$35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311" type="list">
      <formula1>_lists!$NJ$1:$NJ$12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311" type="list">
      <formula1>_lists!$NK$1:$NK$3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71" type="list">
      <formula1>_lists!$NL$1:$NL$2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371" type="list">
      <formula1>_lists!$NM$1:$NM$36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371" type="list">
      <formula1>_lists!$NN$1:$NN$12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371" type="list">
      <formula1>_lists!$NO$1:$NO$3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36" type="list">
      <formula1>_lists!$NP$1:$NP$2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436" type="list">
      <formula1>_lists!$NQ$1:$NQ$11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55" type="list">
      <formula1>_lists!$NR$1:$NR$21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455" type="list">
      <formula1>_lists!$NS$1:$NS$7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455" type="list">
      <formula1>_lists!$NT$1:$NT$3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501" type="list">
      <formula1>_lists!$NU$1:$NU$19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527" type="list">
      <formula1>_lists!$NV$1:$NV$9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548" type="list">
      <formula1>_lists!$NW$1:$NW$64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548" type="list">
      <formula1>_lists!$NX$1:$NX$6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548" type="list">
      <formula1>_lists!$NY$1:$NY$17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19" type="list">
      <formula1>_lists!$NZ$1:$NZ$11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19" type="list">
      <formula1>_lists!$OA$1:$OA$11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37" type="list">
      <formula1>_lists!$OB$1:$OB$2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46" type="list">
      <formula1>_lists!$OC$1:$OC$4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46" type="list">
      <formula1>_lists!$OD$1:$OD$19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646" type="list">
      <formula1>_lists!$OE$1:$OE$17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83" type="list">
      <formula1>_lists!$OF$1:$OF$2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83" type="list">
      <formula1>_lists!$OG$1:$OG$14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04" type="list">
      <formula1>_lists!$OH$1:$OH$100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704" type="list">
      <formula1>_lists!$OI$1:$OI$10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704" type="list">
      <formula1>_lists!$OJ$1:$OJ$33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704" type="list">
      <formula1>_lists!$OK$1:$OK$3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03" type="list">
      <formula1>_lists!$OL$1:$OL$2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903" type="list">
      <formula1>_lists!$OM$1:$OM$2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903" type="list">
      <formula1>_lists!$ON$1:$ON$4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20" type="list">
      <formula1>_lists!$OO$1:$OO$73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00" type="list">
      <formula1>_lists!$OP$1:$OP$2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00" type="list">
      <formula1>_lists!$OQ$1:$OQ$6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13" type="list">
      <formula1>_lists!$OR$1:$OR$27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47" type="list">
      <formula1>_lists!$OS$1:$OS$14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47" type="list">
      <formula1>_lists!$OT$1:$OT$3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047" type="list">
      <formula1>_lists!$OU$1:$OU$8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69" type="list">
      <formula1>_lists!$OV$1:$OV$2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69" type="list">
      <formula1>_lists!$OW$1:$OW$9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069" type="list">
      <formula1>_lists!$OX$1:$OX$3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069" type="list">
      <formula1>_lists!$OY$1:$OY$40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19" type="list">
      <formula1>_lists!$OZ$1:$OZ$11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37" type="list">
      <formula1>_lists!$PA$1:$PA$3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137" type="list">
      <formula1>_lists!$PB$1:$PB$8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137" type="list">
      <formula1>_lists!$PC$1:$PC$5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137" type="list">
      <formula1>_lists!$PD$1:$PD$131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340" type="list">
      <formula1>_lists!$PE$1:$PE$46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340" type="list">
      <formula1>_lists!$PF$1:$PF$2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340" type="list">
      <formula1>_lists!$PG$1:$PG$3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340" type="list">
      <formula1>_lists!$PH$1:$PH$23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38" type="list">
      <formula1>_lists!$PI$1:$PI$2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47" type="list">
      <formula1>_lists!$PJ$1:$PJ$2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56" type="list">
      <formula1>_lists!$PK$1:$PK$5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456" type="list">
      <formula1>_lists!$PL$1:$PL$2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456" type="list">
      <formula1>_lists!$PM$1:$PM$6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456" type="list">
      <formula1>_lists!$PN$1:$PN$28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4456" type="list">
      <formula1>_lists!$PO$1:$PO$6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8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19433</v>
      </c>
      <c r="C1" s="10"/>
      <c r="D1" s="10"/>
    </row>
    <row r="2" customFormat="false" ht="15" hidden="false" customHeight="false" outlineLevel="0" collapsed="false">
      <c r="A2" s="12" t="s">
        <v>700</v>
      </c>
      <c r="B2" s="13" t="s">
        <v>701</v>
      </c>
      <c r="C2" s="13" t="s">
        <v>702</v>
      </c>
      <c r="D2" s="13" t="s">
        <v>723</v>
      </c>
    </row>
    <row r="3" customFormat="false" ht="30" hidden="false" customHeight="true" outlineLevel="0" collapsed="false">
      <c r="A3" s="14" t="s">
        <v>706</v>
      </c>
      <c r="B3" s="15" t="str">
        <f aca="false">IF(COUNTIFS($D$6:$D$7,IF(D3="","*",D3))=1,INDEX($B:$B,SUMPRODUCT(((D3="")+($D$6:$D$7=D3)&gt;0)*ROW($B$6:$B$7))),IF(COUNTIFS($D$6:$D$7,IF(D3="","*",D3))=0,"Not available",COUNTIFS($D$6:$D$7,IF(D3="","*",D3))&amp;" match, keep choosing"))</f>
        <v>MT-021-48-SM20-21L-T</v>
      </c>
      <c r="C3" s="16" t="n">
        <f aca="false">IF(COUNTIFS($D$6:$D$7,IF(D3="","*",D3))=1,INDEX($C:$C,SUMPRODUCT(((D3="")+($D$6:$D$7=D3)&gt;0)*ROW($B$6:$B$7))),"")</f>
        <v>13.72</v>
      </c>
      <c r="D3" s="17" t="s">
        <v>19434</v>
      </c>
    </row>
    <row r="5" customFormat="false" ht="15" hidden="false" customHeight="false" outlineLevel="0" collapsed="false">
      <c r="B5" s="18" t="s">
        <v>701</v>
      </c>
      <c r="C5" s="18" t="s">
        <v>702</v>
      </c>
      <c r="D5" s="18" t="s">
        <v>723</v>
      </c>
    </row>
    <row r="6" customFormat="false" ht="15" hidden="false" customHeight="false" outlineLevel="0" collapsed="false">
      <c r="B6" s="19" t="s">
        <v>19435</v>
      </c>
      <c r="C6" s="20" t="n">
        <f aca="false">ROUND(98.8/FX,2)</f>
        <v>13.72</v>
      </c>
      <c r="D6" s="21" t="s">
        <v>19434</v>
      </c>
    </row>
    <row r="7" customFormat="false" ht="15" hidden="false" customHeight="false" outlineLevel="0" collapsed="false">
      <c r="B7" s="19" t="s">
        <v>19436</v>
      </c>
      <c r="C7" s="20" t="n">
        <f aca="false">ROUND(92.63/FX,2)</f>
        <v>12.87</v>
      </c>
      <c r="D7" s="21" t="s">
        <v>19437</v>
      </c>
    </row>
    <row r="10" customFormat="false" ht="61.5" hidden="false" customHeight="true" outlineLevel="0" collapsed="false">
      <c r="A10" s="9"/>
      <c r="B10" s="10" t="s">
        <v>19438</v>
      </c>
      <c r="C10" s="10"/>
      <c r="D10" s="10"/>
      <c r="E10" s="10"/>
      <c r="F10" s="10"/>
      <c r="G10" s="10"/>
    </row>
    <row r="11" customFormat="false" ht="15" hidden="false" customHeight="false" outlineLevel="0" collapsed="false">
      <c r="A11" s="12" t="s">
        <v>700</v>
      </c>
      <c r="B11" s="13" t="s">
        <v>701</v>
      </c>
      <c r="C11" s="13" t="s">
        <v>702</v>
      </c>
      <c r="D11" s="13" t="s">
        <v>6159</v>
      </c>
      <c r="E11" s="13" t="s">
        <v>19439</v>
      </c>
      <c r="F11" s="13" t="s">
        <v>19440</v>
      </c>
      <c r="G11" s="13" t="s">
        <v>19441</v>
      </c>
    </row>
    <row r="12" customFormat="false" ht="30" hidden="false" customHeight="true" outlineLevel="0" collapsed="false">
      <c r="A12" s="14" t="s">
        <v>706</v>
      </c>
      <c r="B12" s="15" t="str">
        <f aca="false">IF(COUNTIFS($D$15:$D$35,IF(D12="","*",D12),$E$15:$E$35,IF(E12="","*",E12),$F$15:$F$35,IF(F12="","*",F12),$G$15:$G$35,IF(G12="","*",G12))=1,INDEX($B:$B,SUMPRODUCT(((D12="")+($D$15:$D$35=D12)&gt;0)*((E12="")+($E$15:$E$35=E12)&gt;0)*((F12="")+($F$15:$F$35=F12)&gt;0)*((G12="")+($G$15:$G$35=G12)&gt;0)*ROW($B$15:$B$35))),IF(COUNTIFS($D$15:$D$35,IF(D12="","*",D12),$E$15:$E$35,IF(E12="","*",E12),$F$15:$F$35,IF(F12="","*",F12),$G$15:$G$35,IF(G12="","*",G12))=0,"Not available",COUNTIFS($D$15:$D$35,IF(D12="","*",D12),$E$15:$E$35,IF(E12="","*",E12),$F$15:$F$35,IF(F12="","*",F12),$G$15:$G$35,IF(G12="","*",G12))&amp;" match, keep choosing"))</f>
        <v>17HS4401-20-OUT</v>
      </c>
      <c r="C12" s="16" t="n">
        <f aca="false">IF(COUNTIFS($D$15:$D$35,IF(D12="","*",D12),$E$15:$E$35,IF(E12="","*",E12),$F$15:$F$35,IF(F12="","*",F12),$G$15:$G$35,IF(G12="","*",G12))=1,INDEX($C:$C,SUMPRODUCT(((D12="")+($D$15:$D$35=D12)&gt;0)*((E12="")+($E$15:$E$35=E12)&gt;0)*((F12="")+($F$15:$F$35=F12)&gt;0)*((G12="")+($G$15:$G$35=G12)&gt;0)*ROW($B$15:$B$35))),"")</f>
        <v>3.25</v>
      </c>
      <c r="D12" s="17" t="s">
        <v>19442</v>
      </c>
      <c r="E12" s="17" t="s">
        <v>19443</v>
      </c>
      <c r="F12" s="17" t="s">
        <v>19444</v>
      </c>
      <c r="G12" s="17" t="s">
        <v>3247</v>
      </c>
    </row>
    <row r="14" customFormat="false" ht="15" hidden="false" customHeight="false" outlineLevel="0" collapsed="false">
      <c r="B14" s="18" t="s">
        <v>701</v>
      </c>
      <c r="C14" s="18" t="s">
        <v>702</v>
      </c>
      <c r="D14" s="18" t="s">
        <v>6159</v>
      </c>
      <c r="E14" s="18" t="s">
        <v>19439</v>
      </c>
      <c r="F14" s="18" t="s">
        <v>19440</v>
      </c>
      <c r="G14" s="18" t="s">
        <v>19441</v>
      </c>
    </row>
    <row r="15" customFormat="false" ht="41.75" hidden="false" customHeight="false" outlineLevel="0" collapsed="false">
      <c r="B15" s="19" t="s">
        <v>19445</v>
      </c>
      <c r="C15" s="20" t="n">
        <f aca="false">ROUND(23.4/FX,2)</f>
        <v>3.25</v>
      </c>
      <c r="D15" s="21" t="s">
        <v>19442</v>
      </c>
      <c r="E15" s="21" t="s">
        <v>19443</v>
      </c>
      <c r="F15" s="21" t="s">
        <v>19444</v>
      </c>
      <c r="G15" s="21" t="s">
        <v>3247</v>
      </c>
    </row>
    <row r="16" customFormat="false" ht="41.75" hidden="false" customHeight="false" outlineLevel="0" collapsed="false">
      <c r="B16" s="19" t="s">
        <v>19446</v>
      </c>
      <c r="C16" s="20" t="n">
        <f aca="false">ROUND(23.4/FX,2)</f>
        <v>3.25</v>
      </c>
      <c r="D16" s="21" t="s">
        <v>19442</v>
      </c>
      <c r="E16" s="21" t="s">
        <v>19447</v>
      </c>
      <c r="F16" s="21" t="s">
        <v>19444</v>
      </c>
      <c r="G16" s="21" t="s">
        <v>3247</v>
      </c>
    </row>
    <row r="17" customFormat="false" ht="41.75" hidden="false" customHeight="false" outlineLevel="0" collapsed="false">
      <c r="B17" s="19" t="s">
        <v>19448</v>
      </c>
      <c r="C17" s="20" t="n">
        <f aca="false">ROUND(23.4/FX,2)</f>
        <v>3.25</v>
      </c>
      <c r="D17" s="21" t="s">
        <v>19442</v>
      </c>
      <c r="E17" s="21" t="s">
        <v>19449</v>
      </c>
      <c r="F17" s="21" t="s">
        <v>19444</v>
      </c>
      <c r="G17" s="21" t="s">
        <v>3247</v>
      </c>
    </row>
    <row r="18" customFormat="false" ht="41.75" hidden="false" customHeight="false" outlineLevel="0" collapsed="false">
      <c r="B18" s="19" t="s">
        <v>19450</v>
      </c>
      <c r="C18" s="20" t="n">
        <f aca="false">ROUND(19.24/FX,2)</f>
        <v>2.67</v>
      </c>
      <c r="D18" s="21" t="s">
        <v>19442</v>
      </c>
      <c r="E18" s="21" t="s">
        <v>19443</v>
      </c>
      <c r="F18" s="21" t="s">
        <v>19444</v>
      </c>
      <c r="G18" s="21" t="s">
        <v>6723</v>
      </c>
    </row>
    <row r="19" customFormat="false" ht="41.75" hidden="false" customHeight="false" outlineLevel="0" collapsed="false">
      <c r="B19" s="19" t="s">
        <v>19451</v>
      </c>
      <c r="C19" s="20" t="n">
        <f aca="false">ROUND(20.61/FX,2)</f>
        <v>2.86</v>
      </c>
      <c r="D19" s="21" t="s">
        <v>19442</v>
      </c>
      <c r="E19" s="21" t="s">
        <v>19447</v>
      </c>
      <c r="F19" s="21" t="s">
        <v>19444</v>
      </c>
      <c r="G19" s="21" t="s">
        <v>6723</v>
      </c>
    </row>
    <row r="20" customFormat="false" ht="41.75" hidden="false" customHeight="false" outlineLevel="0" collapsed="false">
      <c r="B20" s="19" t="s">
        <v>19452</v>
      </c>
      <c r="C20" s="20" t="n">
        <f aca="false">ROUND(20.54/FX,2)</f>
        <v>2.85</v>
      </c>
      <c r="D20" s="21" t="s">
        <v>19442</v>
      </c>
      <c r="E20" s="21" t="s">
        <v>19449</v>
      </c>
      <c r="F20" s="21" t="s">
        <v>19444</v>
      </c>
      <c r="G20" s="21" t="s">
        <v>6723</v>
      </c>
    </row>
    <row r="21" customFormat="false" ht="41.75" hidden="false" customHeight="false" outlineLevel="0" collapsed="false">
      <c r="B21" s="19" t="s">
        <v>19453</v>
      </c>
      <c r="C21" s="20" t="n">
        <f aca="false">ROUND(53.3/FX,2)</f>
        <v>7.4</v>
      </c>
      <c r="D21" s="21" t="s">
        <v>19454</v>
      </c>
      <c r="E21" s="21" t="s">
        <v>19443</v>
      </c>
      <c r="F21" s="21" t="s">
        <v>19444</v>
      </c>
      <c r="G21" s="21" t="s">
        <v>15458</v>
      </c>
    </row>
    <row r="22" customFormat="false" ht="41.75" hidden="false" customHeight="false" outlineLevel="0" collapsed="false">
      <c r="B22" s="19" t="s">
        <v>19455</v>
      </c>
      <c r="C22" s="20" t="n">
        <f aca="false">ROUND(45.5/FX,2)</f>
        <v>6.32</v>
      </c>
      <c r="D22" s="21" t="s">
        <v>19454</v>
      </c>
      <c r="E22" s="21" t="s">
        <v>19447</v>
      </c>
      <c r="F22" s="21" t="s">
        <v>19444</v>
      </c>
      <c r="G22" s="21" t="s">
        <v>15458</v>
      </c>
    </row>
    <row r="23" customFormat="false" ht="41.75" hidden="false" customHeight="false" outlineLevel="0" collapsed="false">
      <c r="B23" s="19" t="s">
        <v>19456</v>
      </c>
      <c r="C23" s="20" t="n">
        <f aca="false">ROUND(45.5/FX,2)</f>
        <v>6.32</v>
      </c>
      <c r="D23" s="21" t="s">
        <v>19454</v>
      </c>
      <c r="E23" s="21" t="s">
        <v>19449</v>
      </c>
      <c r="F23" s="21" t="s">
        <v>19444</v>
      </c>
      <c r="G23" s="21" t="s">
        <v>15458</v>
      </c>
    </row>
    <row r="24" customFormat="false" ht="28.35" hidden="false" customHeight="false" outlineLevel="0" collapsed="false">
      <c r="B24" s="19" t="s">
        <v>19457</v>
      </c>
      <c r="C24" s="20" t="n">
        <f aca="false">ROUND(65/FX,2)</f>
        <v>9.03</v>
      </c>
      <c r="D24" s="21" t="s">
        <v>19458</v>
      </c>
      <c r="E24" s="21" t="s">
        <v>7573</v>
      </c>
      <c r="F24" s="21" t="s">
        <v>19444</v>
      </c>
      <c r="G24" s="21" t="s">
        <v>15458</v>
      </c>
    </row>
    <row r="25" customFormat="false" ht="28.35" hidden="false" customHeight="false" outlineLevel="0" collapsed="false">
      <c r="B25" s="19" t="s">
        <v>19459</v>
      </c>
      <c r="C25" s="20" t="n">
        <f aca="false">ROUND(39/FX,2)</f>
        <v>5.42</v>
      </c>
      <c r="D25" s="21" t="s">
        <v>19460</v>
      </c>
      <c r="E25" s="21" t="s">
        <v>7573</v>
      </c>
      <c r="F25" s="21" t="s">
        <v>19444</v>
      </c>
      <c r="G25" s="21" t="s">
        <v>15458</v>
      </c>
    </row>
    <row r="26" customFormat="false" ht="41.75" hidden="false" customHeight="false" outlineLevel="0" collapsed="false">
      <c r="B26" s="19" t="s">
        <v>19461</v>
      </c>
      <c r="C26" s="20" t="n">
        <f aca="false">ROUND(28.6/FX,2)</f>
        <v>3.97</v>
      </c>
      <c r="D26" s="21" t="s">
        <v>19462</v>
      </c>
      <c r="E26" s="21" t="s">
        <v>19443</v>
      </c>
      <c r="F26" s="21" t="s">
        <v>19444</v>
      </c>
      <c r="G26" s="21" t="s">
        <v>15458</v>
      </c>
    </row>
    <row r="27" customFormat="false" ht="41.75" hidden="false" customHeight="false" outlineLevel="0" collapsed="false">
      <c r="B27" s="19" t="s">
        <v>19463</v>
      </c>
      <c r="C27" s="20" t="n">
        <f aca="false">ROUND(28.6/FX,2)</f>
        <v>3.97</v>
      </c>
      <c r="D27" s="21" t="s">
        <v>19462</v>
      </c>
      <c r="E27" s="21" t="s">
        <v>19447</v>
      </c>
      <c r="F27" s="21" t="s">
        <v>19444</v>
      </c>
      <c r="G27" s="21" t="s">
        <v>15458</v>
      </c>
    </row>
    <row r="28" customFormat="false" ht="41.75" hidden="false" customHeight="false" outlineLevel="0" collapsed="false">
      <c r="B28" s="19" t="s">
        <v>19464</v>
      </c>
      <c r="C28" s="20" t="n">
        <f aca="false">ROUND(28.6/FX,2)</f>
        <v>3.97</v>
      </c>
      <c r="D28" s="21" t="s">
        <v>19462</v>
      </c>
      <c r="E28" s="21" t="s">
        <v>19449</v>
      </c>
      <c r="F28" s="21" t="s">
        <v>19444</v>
      </c>
      <c r="G28" s="21" t="s">
        <v>15458</v>
      </c>
    </row>
    <row r="29" customFormat="false" ht="41.75" hidden="false" customHeight="false" outlineLevel="0" collapsed="false">
      <c r="B29" s="19" t="s">
        <v>19465</v>
      </c>
      <c r="C29" s="20" t="n">
        <f aca="false">ROUND(18.2/FX,2)</f>
        <v>2.53</v>
      </c>
      <c r="D29" s="21" t="s">
        <v>19466</v>
      </c>
      <c r="E29" s="21" t="s">
        <v>19447</v>
      </c>
      <c r="F29" s="21" t="s">
        <v>19467</v>
      </c>
      <c r="G29" s="21" t="s">
        <v>15458</v>
      </c>
    </row>
    <row r="30" customFormat="false" ht="28.35" hidden="false" customHeight="false" outlineLevel="0" collapsed="false">
      <c r="B30" s="19" t="s">
        <v>19468</v>
      </c>
      <c r="C30" s="20" t="n">
        <f aca="false">ROUND(31.2/FX,2)</f>
        <v>4.33</v>
      </c>
      <c r="D30" s="21" t="s">
        <v>19469</v>
      </c>
      <c r="E30" s="21" t="s">
        <v>19443</v>
      </c>
      <c r="F30" s="21" t="s">
        <v>19444</v>
      </c>
      <c r="G30" s="21" t="s">
        <v>15458</v>
      </c>
    </row>
    <row r="31" customFormat="false" ht="28.35" hidden="false" customHeight="false" outlineLevel="0" collapsed="false">
      <c r="B31" s="19" t="s">
        <v>19470</v>
      </c>
      <c r="C31" s="20" t="n">
        <f aca="false">ROUND(30.03/FX,2)</f>
        <v>4.17</v>
      </c>
      <c r="D31" s="21" t="s">
        <v>19471</v>
      </c>
      <c r="E31" s="21" t="s">
        <v>19447</v>
      </c>
      <c r="F31" s="21" t="s">
        <v>19467</v>
      </c>
      <c r="G31" s="21" t="s">
        <v>15458</v>
      </c>
    </row>
    <row r="32" customFormat="false" ht="28.35" hidden="false" customHeight="false" outlineLevel="0" collapsed="false">
      <c r="B32" s="19" t="s">
        <v>19472</v>
      </c>
      <c r="C32" s="20" t="n">
        <f aca="false">ROUND(30.03/FX,2)</f>
        <v>4.17</v>
      </c>
      <c r="D32" s="21" t="s">
        <v>19471</v>
      </c>
      <c r="E32" s="21" t="s">
        <v>19449</v>
      </c>
      <c r="F32" s="21" t="s">
        <v>19467</v>
      </c>
      <c r="G32" s="21" t="s">
        <v>15458</v>
      </c>
    </row>
    <row r="33" customFormat="false" ht="28.35" hidden="false" customHeight="false" outlineLevel="0" collapsed="false">
      <c r="B33" s="19" t="s">
        <v>19473</v>
      </c>
      <c r="C33" s="20" t="n">
        <f aca="false">ROUND(28.6/FX,2)</f>
        <v>3.97</v>
      </c>
      <c r="D33" s="21" t="s">
        <v>19474</v>
      </c>
      <c r="E33" s="21" t="s">
        <v>19443</v>
      </c>
      <c r="F33" s="21" t="s">
        <v>19444</v>
      </c>
      <c r="G33" s="21" t="s">
        <v>15458</v>
      </c>
    </row>
    <row r="34" customFormat="false" ht="28.35" hidden="false" customHeight="false" outlineLevel="0" collapsed="false">
      <c r="B34" s="19" t="s">
        <v>19475</v>
      </c>
      <c r="C34" s="20" t="n">
        <f aca="false">ROUND(29.97/FX,2)</f>
        <v>4.16</v>
      </c>
      <c r="D34" s="21" t="s">
        <v>19474</v>
      </c>
      <c r="E34" s="21" t="s">
        <v>19447</v>
      </c>
      <c r="F34" s="21" t="s">
        <v>19444</v>
      </c>
      <c r="G34" s="21" t="s">
        <v>15458</v>
      </c>
    </row>
    <row r="35" customFormat="false" ht="28.35" hidden="false" customHeight="false" outlineLevel="0" collapsed="false">
      <c r="B35" s="19" t="s">
        <v>19476</v>
      </c>
      <c r="C35" s="20" t="n">
        <f aca="false">ROUND(29.97/FX,2)</f>
        <v>4.16</v>
      </c>
      <c r="D35" s="21" t="s">
        <v>19474</v>
      </c>
      <c r="E35" s="21" t="s">
        <v>19449</v>
      </c>
      <c r="F35" s="21" t="s">
        <v>19444</v>
      </c>
      <c r="G35" s="21" t="s">
        <v>15458</v>
      </c>
    </row>
    <row r="38" customFormat="false" ht="61.5" hidden="false" customHeight="true" outlineLevel="0" collapsed="false">
      <c r="A38" s="9"/>
      <c r="B38" s="10" t="s">
        <v>19477</v>
      </c>
      <c r="C38" s="10"/>
      <c r="D38" s="10"/>
    </row>
    <row r="39" customFormat="false" ht="15" hidden="false" customHeight="false" outlineLevel="0" collapsed="false">
      <c r="A39" s="12" t="s">
        <v>700</v>
      </c>
      <c r="B39" s="13" t="s">
        <v>701</v>
      </c>
      <c r="C39" s="13" t="s">
        <v>702</v>
      </c>
      <c r="D39" s="13" t="s">
        <v>723</v>
      </c>
    </row>
    <row r="40" customFormat="false" ht="30" hidden="false" customHeight="true" outlineLevel="0" collapsed="false">
      <c r="A40" s="14" t="s">
        <v>706</v>
      </c>
      <c r="B40" s="15" t="str">
        <f aca="false">IF(COUNTIFS($D$43:$D$45,IF(D40="","*",D40))=1,INDEX($B:$B,SUMPRODUCT(((D40="")+($D$43:$D$45=D40)&gt;0)*ROW($B$43:$B$45))),IF(COUNTIFS($D$43:$D$45,IF(D40="","*",D40))=0,"Not available",COUNTIFS($D$43:$D$45,IF(D40="","*",D40))&amp;" match, keep choosing"))</f>
        <v>TS-001-2.5MX</v>
      </c>
      <c r="C40" s="16" t="n">
        <f aca="false">IF(COUNTIFS($D$43:$D$45,IF(D40="","*",D40))=1,INDEX($C:$C,SUMPRODUCT(((D40="")+($D$43:$D$45=D40)&gt;0)*ROW($B$43:$B$45))),"")</f>
        <v>1.63</v>
      </c>
      <c r="D40" s="17" t="s">
        <v>19478</v>
      </c>
    </row>
    <row r="42" customFormat="false" ht="15" hidden="false" customHeight="false" outlineLevel="0" collapsed="false">
      <c r="B42" s="18" t="s">
        <v>701</v>
      </c>
      <c r="C42" s="18" t="s">
        <v>702</v>
      </c>
      <c r="D42" s="18" t="s">
        <v>723</v>
      </c>
    </row>
    <row r="43" customFormat="false" ht="15" hidden="false" customHeight="false" outlineLevel="0" collapsed="false">
      <c r="B43" s="19" t="s">
        <v>19479</v>
      </c>
      <c r="C43" s="20" t="n">
        <f aca="false">ROUND(11.7/FX,2)</f>
        <v>1.63</v>
      </c>
      <c r="D43" s="21" t="s">
        <v>19478</v>
      </c>
    </row>
    <row r="44" customFormat="false" ht="15" hidden="false" customHeight="false" outlineLevel="0" collapsed="false">
      <c r="B44" s="19" t="s">
        <v>19480</v>
      </c>
      <c r="C44" s="20" t="n">
        <f aca="false">ROUND(22.1/FX,2)</f>
        <v>3.07</v>
      </c>
      <c r="D44" s="21" t="s">
        <v>19481</v>
      </c>
    </row>
    <row r="45" customFormat="false" ht="15" hidden="false" customHeight="false" outlineLevel="0" collapsed="false">
      <c r="B45" s="19" t="s">
        <v>19482</v>
      </c>
      <c r="C45" s="20" t="n">
        <f aca="false">ROUND(58.5/FX,2)</f>
        <v>8.13</v>
      </c>
      <c r="D45" s="21" t="s">
        <v>19483</v>
      </c>
    </row>
    <row r="48" customFormat="false" ht="61.5" hidden="false" customHeight="true" outlineLevel="0" collapsed="false">
      <c r="A48" s="9"/>
      <c r="B48" s="10" t="s">
        <v>19484</v>
      </c>
      <c r="C48" s="10"/>
      <c r="D48" s="10"/>
      <c r="E48" s="10"/>
      <c r="F48" s="10"/>
      <c r="G48" s="10"/>
    </row>
    <row r="49" customFormat="false" ht="15" hidden="false" customHeight="false" outlineLevel="0" collapsed="false">
      <c r="A49" s="12" t="s">
        <v>700</v>
      </c>
      <c r="B49" s="13" t="s">
        <v>701</v>
      </c>
      <c r="C49" s="13" t="s">
        <v>702</v>
      </c>
      <c r="D49" s="13" t="s">
        <v>5610</v>
      </c>
      <c r="E49" s="13" t="s">
        <v>19441</v>
      </c>
      <c r="F49" s="13" t="s">
        <v>19485</v>
      </c>
      <c r="G49" s="13" t="s">
        <v>19486</v>
      </c>
    </row>
    <row r="50" customFormat="false" ht="30" hidden="false" customHeight="true" outlineLevel="0" collapsed="false">
      <c r="A50" s="14" t="s">
        <v>706</v>
      </c>
      <c r="B50" s="15" t="str">
        <f aca="false">IF(COUNTIFS($D$53:$D$56,IF(D50="","*",D50),$E$53:$E$56,IF(E50="","*",E50),$F$53:$F$56,IF(F50="","*",F50),$G$53:$G$56,IF(G50="","*",G50))=1,INDEX($B:$B,SUMPRODUCT(((D50="")+($D$53:$D$56=D50)&gt;0)*((E50="")+($E$53:$E$56=E50)&gt;0)*((F50="")+($F$53:$F$56=F50)&gt;0)*((G50="")+($G$53:$G$56=G50)&gt;0)*ROW($B$53:$B$56))),IF(COUNTIFS($D$53:$D$56,IF(D50="","*",D50),$E$53:$E$56,IF(E50="","*",E50),$F$53:$F$56,IF(F50="","*",F50),$G$53:$G$56,IF(G50="","*",G50))=0,"Not available",COUNTIFS($D$53:$D$56,IF(D50="","*",D50),$E$53:$E$56,IF(E50="","*",E50),$F$53:$F$56,IF(F50="","*",F50),$G$53:$G$56,IF(G50="","*",G50))&amp;" match, keep choosing"))</f>
        <v>MT-014-JS56-1.0N.M-ZJ8-ZZ18</v>
      </c>
      <c r="C50" s="16" t="n">
        <f aca="false">IF(COUNTIFS($D$53:$D$56,IF(D50="","*",D50),$E$53:$E$56,IF(E50="","*",E50),$F$53:$F$56,IF(F50="","*",F50),$G$53:$G$56,IF(G50="","*",G50))=1,INDEX($C:$C,SUMPRODUCT(((D50="")+($D$53:$D$56=D50)&gt;0)*((E50="")+($E$53:$E$56=E50)&gt;0)*((F50="")+($F$53:$F$56=F50)&gt;0)*((G50="")+($G$53:$G$56=G50)&gt;0)*ROW($B$53:$B$56))),"")</f>
        <v>6.86</v>
      </c>
      <c r="D50" s="17" t="s">
        <v>19487</v>
      </c>
      <c r="E50" s="17" t="s">
        <v>4000</v>
      </c>
      <c r="F50" s="17" t="s">
        <v>2941</v>
      </c>
      <c r="G50" s="17" t="s">
        <v>847</v>
      </c>
    </row>
    <row r="52" customFormat="false" ht="15" hidden="false" customHeight="false" outlineLevel="0" collapsed="false">
      <c r="B52" s="18" t="s">
        <v>701</v>
      </c>
      <c r="C52" s="18" t="s">
        <v>702</v>
      </c>
      <c r="D52" s="18" t="s">
        <v>5610</v>
      </c>
      <c r="E52" s="18" t="s">
        <v>19441</v>
      </c>
      <c r="F52" s="18" t="s">
        <v>19485</v>
      </c>
      <c r="G52" s="18" t="s">
        <v>19486</v>
      </c>
    </row>
    <row r="53" customFormat="false" ht="15" hidden="false" customHeight="false" outlineLevel="0" collapsed="false">
      <c r="B53" s="19" t="s">
        <v>19488</v>
      </c>
      <c r="C53" s="20" t="n">
        <f aca="false">ROUND(49.4/FX,2)</f>
        <v>6.86</v>
      </c>
      <c r="D53" s="21" t="s">
        <v>19487</v>
      </c>
      <c r="E53" s="21" t="s">
        <v>4000</v>
      </c>
      <c r="F53" s="21" t="s">
        <v>2941</v>
      </c>
      <c r="G53" s="21" t="s">
        <v>847</v>
      </c>
    </row>
    <row r="54" customFormat="false" ht="15" hidden="false" customHeight="false" outlineLevel="0" collapsed="false">
      <c r="B54" s="19" t="s">
        <v>19489</v>
      </c>
      <c r="C54" s="20" t="n">
        <f aca="false">ROUND(84.5/FX,2)</f>
        <v>11.74</v>
      </c>
      <c r="D54" s="21" t="s">
        <v>19490</v>
      </c>
      <c r="E54" s="21" t="s">
        <v>13852</v>
      </c>
      <c r="F54" s="21" t="s">
        <v>3041</v>
      </c>
      <c r="G54" s="21" t="s">
        <v>6740</v>
      </c>
    </row>
    <row r="55" customFormat="false" ht="15" hidden="false" customHeight="false" outlineLevel="0" collapsed="false">
      <c r="B55" s="19" t="s">
        <v>19491</v>
      </c>
      <c r="C55" s="20" t="n">
        <f aca="false">ROUND(80.6/FX,2)</f>
        <v>11.19</v>
      </c>
      <c r="D55" s="21" t="s">
        <v>19490</v>
      </c>
      <c r="E55" s="21" t="s">
        <v>13852</v>
      </c>
      <c r="F55" s="21" t="s">
        <v>3041</v>
      </c>
      <c r="G55" s="21" t="s">
        <v>847</v>
      </c>
    </row>
    <row r="56" customFormat="false" ht="15" hidden="false" customHeight="false" outlineLevel="0" collapsed="false">
      <c r="B56" s="19" t="s">
        <v>19492</v>
      </c>
      <c r="C56" s="20" t="n">
        <f aca="false">ROUND(83.2/FX,2)</f>
        <v>11.56</v>
      </c>
      <c r="D56" s="21" t="s">
        <v>19490</v>
      </c>
      <c r="E56" s="21" t="s">
        <v>13791</v>
      </c>
      <c r="F56" s="21" t="s">
        <v>3041</v>
      </c>
      <c r="G56" s="21" t="s">
        <v>847</v>
      </c>
    </row>
    <row r="59" customFormat="false" ht="61.5" hidden="false" customHeight="true" outlineLevel="0" collapsed="false">
      <c r="A59" s="9"/>
      <c r="B59" s="10" t="s">
        <v>19493</v>
      </c>
      <c r="C59" s="10"/>
      <c r="D59" s="10"/>
    </row>
    <row r="60" customFormat="false" ht="15" hidden="false" customHeight="false" outlineLevel="0" collapsed="false">
      <c r="A60" s="12" t="s">
        <v>700</v>
      </c>
      <c r="B60" s="13" t="s">
        <v>701</v>
      </c>
      <c r="C60" s="13" t="s">
        <v>702</v>
      </c>
      <c r="D60" s="13" t="s">
        <v>6159</v>
      </c>
    </row>
    <row r="61" customFormat="false" ht="30" hidden="false" customHeight="true" outlineLevel="0" collapsed="false">
      <c r="A61" s="14" t="s">
        <v>706</v>
      </c>
      <c r="B61" s="15" t="str">
        <f aca="false">IF(COUNTIFS($D$64:$D$66,IF(D61="","*",D61))=1,INDEX($B:$B,SUMPRODUCT(((D61="")+($D$64:$D$66=D61)&gt;0)*ROW($B$64:$B$66))),IF(COUNTIFS($D$64:$D$66,IF(D61="","*",D61))=0,"Not available",COUNTIFS($D$64:$D$66,IF(D61="","*",D61))&amp;" match, keep choosing"))</f>
        <v>8HY0001-7SK</v>
      </c>
      <c r="C61" s="16" t="n">
        <f aca="false">IF(COUNTIFS($D$64:$D$66,IF(D61="","*",D61))=1,INDEX($C:$C,SUMPRODUCT(((D61="")+($D$64:$D$66=D61)&gt;0)*ROW($B$64:$B$66))),"")</f>
        <v>10.83</v>
      </c>
      <c r="D61" s="17" t="s">
        <v>19494</v>
      </c>
    </row>
    <row r="63" customFormat="false" ht="15" hidden="false" customHeight="false" outlineLevel="0" collapsed="false">
      <c r="B63" s="18" t="s">
        <v>701</v>
      </c>
      <c r="C63" s="18" t="s">
        <v>702</v>
      </c>
      <c r="D63" s="18" t="s">
        <v>6159</v>
      </c>
    </row>
    <row r="64" customFormat="false" ht="41.75" hidden="false" customHeight="false" outlineLevel="0" collapsed="false">
      <c r="B64" s="19" t="s">
        <v>19495</v>
      </c>
      <c r="C64" s="20" t="n">
        <f aca="false">ROUND(78/FX,2)</f>
        <v>10.83</v>
      </c>
      <c r="D64" s="21" t="s">
        <v>19494</v>
      </c>
    </row>
    <row r="65" customFormat="false" ht="28.35" hidden="false" customHeight="false" outlineLevel="0" collapsed="false">
      <c r="B65" s="19" t="s">
        <v>19496</v>
      </c>
      <c r="C65" s="20" t="n">
        <f aca="false">ROUND(50.55/FX,2)</f>
        <v>7.02</v>
      </c>
      <c r="D65" s="21" t="s">
        <v>19497</v>
      </c>
    </row>
    <row r="66" customFormat="false" ht="28.35" hidden="false" customHeight="false" outlineLevel="0" collapsed="false">
      <c r="B66" s="19" t="s">
        <v>19498</v>
      </c>
      <c r="C66" s="20" t="n">
        <f aca="false">ROUND(52/FX,2)</f>
        <v>7.22</v>
      </c>
      <c r="D66" s="21" t="s">
        <v>19499</v>
      </c>
    </row>
    <row r="69" customFormat="false" ht="61.5" hidden="false" customHeight="true" outlineLevel="0" collapsed="false">
      <c r="A69" s="9"/>
      <c r="B69" s="10" t="s">
        <v>19500</v>
      </c>
      <c r="C69" s="10"/>
      <c r="D69" s="10"/>
    </row>
    <row r="70" customFormat="false" ht="15" hidden="false" customHeight="false" outlineLevel="0" collapsed="false">
      <c r="B70" s="18" t="s">
        <v>701</v>
      </c>
      <c r="C70" s="18" t="s">
        <v>702</v>
      </c>
      <c r="D70" s="18" t="s">
        <v>5610</v>
      </c>
    </row>
    <row r="71" customFormat="false" ht="15" hidden="false" customHeight="false" outlineLevel="0" collapsed="false">
      <c r="B71" s="19" t="s">
        <v>19501</v>
      </c>
      <c r="C71" s="20" t="n">
        <f aca="false">ROUND(19.25/FX,2)</f>
        <v>2.67</v>
      </c>
      <c r="D71" s="22" t="s">
        <v>5612</v>
      </c>
    </row>
    <row r="74" customFormat="false" ht="61.5" hidden="false" customHeight="true" outlineLevel="0" collapsed="false">
      <c r="A74" s="9"/>
      <c r="B74" s="10" t="s">
        <v>19502</v>
      </c>
      <c r="C74" s="10"/>
      <c r="D74" s="10"/>
    </row>
    <row r="75" customFormat="false" ht="15" hidden="false" customHeight="false" outlineLevel="0" collapsed="false">
      <c r="A75" s="12" t="s">
        <v>700</v>
      </c>
      <c r="B75" s="13" t="s">
        <v>701</v>
      </c>
      <c r="C75" s="13" t="s">
        <v>702</v>
      </c>
      <c r="D75" s="13" t="s">
        <v>723</v>
      </c>
    </row>
    <row r="76" customFormat="false" ht="30" hidden="false" customHeight="true" outlineLevel="0" collapsed="false">
      <c r="A76" s="14" t="s">
        <v>706</v>
      </c>
      <c r="B76" s="15" t="str">
        <f aca="false">IF(COUNTIFS($D$79:$D$102,IF(D76="","*",D76))=1,INDEX($B:$B,SUMPRODUCT(((D76="")+($D$79:$D$102=D76)&gt;0)*ROW($B$79:$B$102))),IF(COUNTIFS($D$79:$D$102,IF(D76="","*",D76))=0,"Not available",COUNTIFS($D$79:$D$102,IF(D76="","*",D76))&amp;" match, keep choosing"))</f>
        <v>TS-003-DC2-CD300-CXK</v>
      </c>
      <c r="C76" s="16" t="n">
        <f aca="false">IF(COUNTIFS($D$79:$D$102,IF(D76="","*",D76))=1,INDEX($C:$C,SUMPRODUCT(((D76="")+($D$79:$D$102=D76)&gt;0)*ROW($B$79:$B$102))),"")</f>
        <v>9.03</v>
      </c>
      <c r="D76" s="17" t="s">
        <v>19503</v>
      </c>
    </row>
    <row r="78" customFormat="false" ht="15" hidden="false" customHeight="false" outlineLevel="0" collapsed="false">
      <c r="B78" s="18" t="s">
        <v>701</v>
      </c>
      <c r="C78" s="18" t="s">
        <v>702</v>
      </c>
      <c r="D78" s="18" t="s">
        <v>723</v>
      </c>
    </row>
    <row r="79" customFormat="false" ht="28.35" hidden="false" customHeight="false" outlineLevel="0" collapsed="false">
      <c r="B79" s="19" t="s">
        <v>19504</v>
      </c>
      <c r="C79" s="20" t="n">
        <f aca="false">ROUND(65/FX,2)</f>
        <v>9.03</v>
      </c>
      <c r="D79" s="21" t="s">
        <v>19503</v>
      </c>
    </row>
    <row r="80" customFormat="false" ht="41.75" hidden="false" customHeight="false" outlineLevel="0" collapsed="false">
      <c r="B80" s="19" t="s">
        <v>19505</v>
      </c>
      <c r="C80" s="20" t="n">
        <f aca="false">ROUND(65/FX,2)</f>
        <v>9.03</v>
      </c>
      <c r="D80" s="21" t="s">
        <v>19506</v>
      </c>
    </row>
    <row r="81" customFormat="false" ht="41.75" hidden="false" customHeight="false" outlineLevel="0" collapsed="false">
      <c r="B81" s="19" t="s">
        <v>19507</v>
      </c>
      <c r="C81" s="20" t="n">
        <f aca="false">ROUND(65/FX,2)</f>
        <v>9.03</v>
      </c>
      <c r="D81" s="21" t="s">
        <v>19508</v>
      </c>
    </row>
    <row r="82" customFormat="false" ht="28.35" hidden="false" customHeight="false" outlineLevel="0" collapsed="false">
      <c r="B82" s="19" t="s">
        <v>19509</v>
      </c>
      <c r="C82" s="20" t="n">
        <f aca="false">ROUND(65/FX,2)</f>
        <v>9.03</v>
      </c>
      <c r="D82" s="21" t="s">
        <v>19510</v>
      </c>
    </row>
    <row r="83" customFormat="false" ht="41.75" hidden="false" customHeight="false" outlineLevel="0" collapsed="false">
      <c r="B83" s="19" t="s">
        <v>19511</v>
      </c>
      <c r="C83" s="20" t="n">
        <f aca="false">ROUND(65/FX,2)</f>
        <v>9.03</v>
      </c>
      <c r="D83" s="21" t="s">
        <v>19512</v>
      </c>
    </row>
    <row r="84" customFormat="false" ht="41.75" hidden="false" customHeight="false" outlineLevel="0" collapsed="false">
      <c r="B84" s="19" t="s">
        <v>19513</v>
      </c>
      <c r="C84" s="20" t="n">
        <f aca="false">ROUND(65/FX,2)</f>
        <v>9.03</v>
      </c>
      <c r="D84" s="21" t="s">
        <v>19514</v>
      </c>
    </row>
    <row r="85" customFormat="false" ht="28.35" hidden="false" customHeight="false" outlineLevel="0" collapsed="false">
      <c r="B85" s="19" t="s">
        <v>19515</v>
      </c>
      <c r="C85" s="20" t="n">
        <f aca="false">ROUND(78/FX,2)</f>
        <v>10.83</v>
      </c>
      <c r="D85" s="21" t="s">
        <v>19516</v>
      </c>
    </row>
    <row r="86" customFormat="false" ht="41.75" hidden="false" customHeight="false" outlineLevel="0" collapsed="false">
      <c r="B86" s="19" t="s">
        <v>19517</v>
      </c>
      <c r="C86" s="20" t="n">
        <f aca="false">ROUND(46.8/FX,2)</f>
        <v>6.5</v>
      </c>
      <c r="D86" s="21" t="s">
        <v>19518</v>
      </c>
    </row>
    <row r="87" customFormat="false" ht="41.75" hidden="false" customHeight="false" outlineLevel="0" collapsed="false">
      <c r="B87" s="19" t="s">
        <v>19519</v>
      </c>
      <c r="C87" s="20" t="n">
        <f aca="false">ROUND(46.8/FX,2)</f>
        <v>6.5</v>
      </c>
      <c r="D87" s="21" t="s">
        <v>19520</v>
      </c>
    </row>
    <row r="88" customFormat="false" ht="41.75" hidden="false" customHeight="false" outlineLevel="0" collapsed="false">
      <c r="B88" s="19" t="s">
        <v>19521</v>
      </c>
      <c r="C88" s="20" t="n">
        <f aca="false">ROUND(65/FX,2)</f>
        <v>9.03</v>
      </c>
      <c r="D88" s="21" t="s">
        <v>19522</v>
      </c>
    </row>
    <row r="89" customFormat="false" ht="41.75" hidden="false" customHeight="false" outlineLevel="0" collapsed="false">
      <c r="B89" s="19" t="s">
        <v>19523</v>
      </c>
      <c r="C89" s="20" t="n">
        <f aca="false">ROUND(65/FX,2)</f>
        <v>9.03</v>
      </c>
      <c r="D89" s="21" t="s">
        <v>19524</v>
      </c>
    </row>
    <row r="90" customFormat="false" ht="41.75" hidden="false" customHeight="false" outlineLevel="0" collapsed="false">
      <c r="B90" s="19" t="s">
        <v>19525</v>
      </c>
      <c r="C90" s="20" t="n">
        <f aca="false">ROUND(62.4/FX,2)</f>
        <v>8.67</v>
      </c>
      <c r="D90" s="21" t="s">
        <v>19526</v>
      </c>
    </row>
    <row r="91" customFormat="false" ht="41.75" hidden="false" customHeight="false" outlineLevel="0" collapsed="false">
      <c r="B91" s="19" t="s">
        <v>19527</v>
      </c>
      <c r="C91" s="20" t="n">
        <f aca="false">ROUND(62.4/FX,2)</f>
        <v>8.67</v>
      </c>
      <c r="D91" s="21" t="s">
        <v>19528</v>
      </c>
    </row>
    <row r="92" customFormat="false" ht="28.35" hidden="false" customHeight="false" outlineLevel="0" collapsed="false">
      <c r="B92" s="19" t="s">
        <v>19529</v>
      </c>
      <c r="C92" s="20" t="n">
        <f aca="false">ROUND(65/FX,2)</f>
        <v>9.03</v>
      </c>
      <c r="D92" s="21" t="s">
        <v>19530</v>
      </c>
    </row>
    <row r="93" customFormat="false" ht="41.75" hidden="false" customHeight="false" outlineLevel="0" collapsed="false">
      <c r="B93" s="19" t="s">
        <v>19531</v>
      </c>
      <c r="C93" s="20" t="n">
        <f aca="false">ROUND(65/FX,2)</f>
        <v>9.03</v>
      </c>
      <c r="D93" s="21" t="s">
        <v>19532</v>
      </c>
    </row>
    <row r="94" customFormat="false" ht="41.75" hidden="false" customHeight="false" outlineLevel="0" collapsed="false">
      <c r="B94" s="19" t="s">
        <v>19533</v>
      </c>
      <c r="C94" s="20" t="n">
        <f aca="false">ROUND(65/FX,2)</f>
        <v>9.03</v>
      </c>
      <c r="D94" s="21" t="s">
        <v>19534</v>
      </c>
    </row>
    <row r="95" customFormat="false" ht="28.35" hidden="false" customHeight="false" outlineLevel="0" collapsed="false">
      <c r="B95" s="19" t="s">
        <v>19535</v>
      </c>
      <c r="C95" s="20" t="n">
        <f aca="false">ROUND(65/FX,2)</f>
        <v>9.03</v>
      </c>
      <c r="D95" s="21" t="s">
        <v>19536</v>
      </c>
    </row>
    <row r="96" customFormat="false" ht="41.75" hidden="false" customHeight="false" outlineLevel="0" collapsed="false">
      <c r="B96" s="19" t="s">
        <v>19537</v>
      </c>
      <c r="C96" s="20" t="n">
        <f aca="false">ROUND(65/FX,2)</f>
        <v>9.03</v>
      </c>
      <c r="D96" s="21" t="s">
        <v>19538</v>
      </c>
    </row>
    <row r="97" customFormat="false" ht="41.75" hidden="false" customHeight="false" outlineLevel="0" collapsed="false">
      <c r="B97" s="19" t="s">
        <v>19539</v>
      </c>
      <c r="C97" s="20" t="n">
        <f aca="false">ROUND(65/FX,2)</f>
        <v>9.03</v>
      </c>
      <c r="D97" s="21" t="s">
        <v>19540</v>
      </c>
    </row>
    <row r="98" customFormat="false" ht="41.75" hidden="false" customHeight="false" outlineLevel="0" collapsed="false">
      <c r="B98" s="19" t="s">
        <v>19541</v>
      </c>
      <c r="C98" s="20" t="n">
        <f aca="false">ROUND(71.5/FX,2)</f>
        <v>9.93</v>
      </c>
      <c r="D98" s="21" t="s">
        <v>19542</v>
      </c>
    </row>
    <row r="99" customFormat="false" ht="41.75" hidden="false" customHeight="false" outlineLevel="0" collapsed="false">
      <c r="B99" s="19" t="s">
        <v>19543</v>
      </c>
      <c r="C99" s="20" t="n">
        <f aca="false">ROUND(71.5/FX,2)</f>
        <v>9.93</v>
      </c>
      <c r="D99" s="21" t="s">
        <v>19544</v>
      </c>
    </row>
    <row r="100" customFormat="false" ht="28.35" hidden="false" customHeight="false" outlineLevel="0" collapsed="false">
      <c r="B100" s="19" t="s">
        <v>19545</v>
      </c>
      <c r="C100" s="20" t="n">
        <f aca="false">ROUND(81.9/FX,2)</f>
        <v>11.38</v>
      </c>
      <c r="D100" s="21" t="s">
        <v>19546</v>
      </c>
    </row>
    <row r="101" customFormat="false" ht="41.75" hidden="false" customHeight="false" outlineLevel="0" collapsed="false">
      <c r="B101" s="19" t="s">
        <v>19547</v>
      </c>
      <c r="C101" s="20" t="n">
        <f aca="false">ROUND(74.1/FX,2)</f>
        <v>10.29</v>
      </c>
      <c r="D101" s="21" t="s">
        <v>19548</v>
      </c>
    </row>
    <row r="102" customFormat="false" ht="41.75" hidden="false" customHeight="false" outlineLevel="0" collapsed="false">
      <c r="B102" s="19" t="s">
        <v>19549</v>
      </c>
      <c r="C102" s="20" t="n">
        <f aca="false">ROUND(74.1/FX,2)</f>
        <v>10.29</v>
      </c>
      <c r="D102" s="21" t="s">
        <v>19550</v>
      </c>
    </row>
    <row r="105" customFormat="false" ht="61.5" hidden="false" customHeight="true" outlineLevel="0" collapsed="false">
      <c r="A105" s="9"/>
      <c r="B105" s="10" t="s">
        <v>19551</v>
      </c>
      <c r="C105" s="10"/>
      <c r="D105" s="10"/>
    </row>
    <row r="106" customFormat="false" ht="15" hidden="false" customHeight="false" outlineLevel="0" collapsed="false">
      <c r="A106" s="12" t="s">
        <v>700</v>
      </c>
      <c r="B106" s="13" t="s">
        <v>701</v>
      </c>
      <c r="C106" s="13" t="s">
        <v>702</v>
      </c>
      <c r="D106" s="13" t="s">
        <v>723</v>
      </c>
    </row>
    <row r="107" customFormat="false" ht="30" hidden="false" customHeight="true" outlineLevel="0" collapsed="false">
      <c r="A107" s="14" t="s">
        <v>706</v>
      </c>
      <c r="B107" s="15" t="str">
        <f aca="false">IF(COUNTIFS($D$110:$D$111,IF(D107="","*",D107))=1,INDEX($B:$B,SUMPRODUCT(((D107="")+($D$110:$D$111=D107)&gt;0)*ROW($B$110:$B$111))),IF(COUNTIFS($D$110:$D$111,IF(D107="","*",D107))=0,"Not available",COUNTIFS($D$110:$D$111,IF(D107="","*",D107))&amp;" match, keep choosing"))</f>
        <v>TS-004-+DBX</v>
      </c>
      <c r="C107" s="16" t="n">
        <f aca="false">IF(COUNTIFS($D$110:$D$111,IF(D107="","*",D107))=1,INDEX($C:$C,SUMPRODUCT(((D107="")+($D$110:$D$111=D107)&gt;0)*ROW($B$110:$B$111))),"")</f>
        <v>7.42</v>
      </c>
      <c r="D107" s="17" t="s">
        <v>19552</v>
      </c>
    </row>
    <row r="109" customFormat="false" ht="15" hidden="false" customHeight="false" outlineLevel="0" collapsed="false">
      <c r="B109" s="18" t="s">
        <v>701</v>
      </c>
      <c r="C109" s="18" t="s">
        <v>702</v>
      </c>
      <c r="D109" s="18" t="s">
        <v>723</v>
      </c>
    </row>
    <row r="110" customFormat="false" ht="15" hidden="false" customHeight="false" outlineLevel="0" collapsed="false">
      <c r="B110" s="19" t="s">
        <v>19553</v>
      </c>
      <c r="C110" s="20" t="n">
        <f aca="false">ROUND(53.43/FX,2)</f>
        <v>7.42</v>
      </c>
      <c r="D110" s="21" t="s">
        <v>19552</v>
      </c>
    </row>
    <row r="111" customFormat="false" ht="15" hidden="false" customHeight="false" outlineLevel="0" collapsed="false">
      <c r="B111" s="19" t="s">
        <v>19554</v>
      </c>
      <c r="C111" s="20" t="n">
        <f aca="false">ROUND(53.43/FX,2)</f>
        <v>7.42</v>
      </c>
      <c r="D111" s="21" t="s">
        <v>19555</v>
      </c>
    </row>
    <row r="114" customFormat="false" ht="61.5" hidden="false" customHeight="true" outlineLevel="0" collapsed="false">
      <c r="A114" s="9"/>
      <c r="B114" s="10" t="s">
        <v>19556</v>
      </c>
      <c r="C114" s="10"/>
      <c r="D114" s="10"/>
    </row>
    <row r="115" customFormat="false" ht="15" hidden="false" customHeight="false" outlineLevel="0" collapsed="false">
      <c r="A115" s="12" t="s">
        <v>700</v>
      </c>
      <c r="B115" s="13" t="s">
        <v>701</v>
      </c>
      <c r="C115" s="13" t="s">
        <v>702</v>
      </c>
      <c r="D115" s="13" t="s">
        <v>723</v>
      </c>
    </row>
    <row r="116" customFormat="false" ht="30" hidden="false" customHeight="true" outlineLevel="0" collapsed="false">
      <c r="A116" s="14" t="s">
        <v>706</v>
      </c>
      <c r="B116" s="15" t="str">
        <f aca="false">IF(COUNTIFS($D$119:$D$120,IF(D116="","*",D116))=1,INDEX($B:$B,SUMPRODUCT(((D116="")+($D$119:$D$120=D116)&gt;0)*ROW($B$119:$B$120))),IF(COUNTIFS($D$119:$D$120,IF(D116="","*",D116))=0,"Not available",COUNTIFS($D$119:$D$120,IF(D116="","*",D116))&amp;" match, keep choosing"))</f>
        <v>TS-002-15-SM10-36L-P2.5</v>
      </c>
      <c r="C116" s="16" t="n">
        <f aca="false">IF(COUNTIFS($D$119:$D$120,IF(D116="","*",D116))=1,INDEX($C:$C,SUMPRODUCT(((D116="")+($D$119:$D$120=D116)&gt;0)*ROW($B$119:$B$120))),"")</f>
        <v>4.5</v>
      </c>
      <c r="D116" s="17" t="s">
        <v>19557</v>
      </c>
    </row>
    <row r="118" customFormat="false" ht="15" hidden="false" customHeight="false" outlineLevel="0" collapsed="false">
      <c r="B118" s="18" t="s">
        <v>701</v>
      </c>
      <c r="C118" s="18" t="s">
        <v>702</v>
      </c>
      <c r="D118" s="18" t="s">
        <v>723</v>
      </c>
    </row>
    <row r="119" customFormat="false" ht="15" hidden="false" customHeight="false" outlineLevel="0" collapsed="false">
      <c r="B119" s="19" t="s">
        <v>19558</v>
      </c>
      <c r="C119" s="20" t="n">
        <f aca="false">ROUND(32.38/FX,2)</f>
        <v>4.5</v>
      </c>
      <c r="D119" s="21" t="s">
        <v>19557</v>
      </c>
    </row>
    <row r="120" customFormat="false" ht="15" hidden="false" customHeight="false" outlineLevel="0" collapsed="false">
      <c r="B120" s="19" t="s">
        <v>19559</v>
      </c>
      <c r="C120" s="20" t="n">
        <f aca="false">ROUND(99.29/FX,2)</f>
        <v>13.79</v>
      </c>
      <c r="D120" s="21" t="s">
        <v>19560</v>
      </c>
    </row>
    <row r="123" customFormat="false" ht="61.5" hidden="false" customHeight="true" outlineLevel="0" collapsed="false">
      <c r="A123" s="9"/>
      <c r="B123" s="10" t="s">
        <v>19561</v>
      </c>
      <c r="C123" s="10"/>
      <c r="D123" s="10"/>
    </row>
    <row r="124" customFormat="false" ht="15" hidden="false" customHeight="false" outlineLevel="0" collapsed="false">
      <c r="B124" s="18" t="s">
        <v>701</v>
      </c>
      <c r="C124" s="18" t="s">
        <v>702</v>
      </c>
      <c r="D124" s="18" t="s">
        <v>5610</v>
      </c>
    </row>
    <row r="125" customFormat="false" ht="15" hidden="false" customHeight="false" outlineLevel="0" collapsed="false">
      <c r="B125" s="19" t="s">
        <v>19562</v>
      </c>
      <c r="C125" s="20" t="n">
        <f aca="false">ROUND(9.1/FX,2)</f>
        <v>1.26</v>
      </c>
      <c r="D125" s="22" t="s">
        <v>5612</v>
      </c>
    </row>
    <row r="128" customFormat="false" ht="61.5" hidden="false" customHeight="true" outlineLevel="0" collapsed="false">
      <c r="A128" s="9"/>
      <c r="B128" s="10" t="s">
        <v>19563</v>
      </c>
      <c r="C128" s="10"/>
      <c r="D128" s="10"/>
      <c r="E128" s="10"/>
    </row>
    <row r="129" customFormat="false" ht="15" hidden="false" customHeight="false" outlineLevel="0" collapsed="false">
      <c r="A129" s="12" t="s">
        <v>700</v>
      </c>
      <c r="B129" s="13" t="s">
        <v>701</v>
      </c>
      <c r="C129" s="13" t="s">
        <v>702</v>
      </c>
      <c r="D129" s="13" t="s">
        <v>705</v>
      </c>
      <c r="E129" s="13" t="s">
        <v>723</v>
      </c>
    </row>
    <row r="130" customFormat="false" ht="30" hidden="false" customHeight="true" outlineLevel="0" collapsed="false">
      <c r="A130" s="14" t="s">
        <v>706</v>
      </c>
      <c r="B130" s="15" t="str">
        <f aca="false">IF(COUNTIFS($D$133:$D$154,IF(D130="","*",D130),$E$133:$E$154,IF(E130="","*",E130))=1,INDEX($B:$B,SUMPRODUCT(((D130="")+($D$133:$D$154=D130)&gt;0)*((E130="")+($E$133:$E$154=E130)&gt;0)*ROW($B$133:$B$154))),IF(COUNTIFS($D$133:$D$154,IF(D130="","*",D130),$E$133:$E$154,IF(E130="","*",E130))=0,"Not available",COUNTIFS($D$133:$D$154,IF(D130="","*",D130),$E$133:$E$154,IF(E130="","*",E130))&amp;" match, keep choosing"))</f>
        <v>MT-006-ESFQX-42BJDJJZP-AK</v>
      </c>
      <c r="C130" s="16" t="n">
        <f aca="false">IF(COUNTIFS($D$133:$D$154,IF(D130="","*",D130),$E$133:$E$154,IF(E130="","*",E130))=1,INDEX($C:$C,SUMPRODUCT(((D130="")+($D$133:$D$154=D130)&gt;0)*((E130="")+($E$133:$E$154=E130)&gt;0)*ROW($B$133:$B$154))),"")</f>
        <v>0.45</v>
      </c>
      <c r="D130" s="17" t="s">
        <v>13732</v>
      </c>
      <c r="E130" s="17" t="s">
        <v>19564</v>
      </c>
    </row>
    <row r="132" customFormat="false" ht="15" hidden="false" customHeight="false" outlineLevel="0" collapsed="false">
      <c r="B132" s="18" t="s">
        <v>701</v>
      </c>
      <c r="C132" s="18" t="s">
        <v>702</v>
      </c>
      <c r="D132" s="18" t="s">
        <v>705</v>
      </c>
      <c r="E132" s="18" t="s">
        <v>723</v>
      </c>
    </row>
    <row r="133" customFormat="false" ht="28.35" hidden="false" customHeight="false" outlineLevel="0" collapsed="false">
      <c r="B133" s="19" t="s">
        <v>19565</v>
      </c>
      <c r="C133" s="20" t="n">
        <f aca="false">ROUND(3.25/FX,2)</f>
        <v>0.45</v>
      </c>
      <c r="D133" s="21" t="s">
        <v>13732</v>
      </c>
      <c r="E133" s="21" t="s">
        <v>19564</v>
      </c>
    </row>
    <row r="134" customFormat="false" ht="41.75" hidden="false" customHeight="false" outlineLevel="0" collapsed="false">
      <c r="B134" s="19" t="s">
        <v>19566</v>
      </c>
      <c r="C134" s="20" t="n">
        <f aca="false">ROUND(3.9/FX,2)</f>
        <v>0.54</v>
      </c>
      <c r="D134" s="21" t="s">
        <v>13732</v>
      </c>
      <c r="E134" s="21" t="s">
        <v>19567</v>
      </c>
    </row>
    <row r="135" customFormat="false" ht="41.75" hidden="false" customHeight="false" outlineLevel="0" collapsed="false">
      <c r="B135" s="19" t="s">
        <v>19568</v>
      </c>
      <c r="C135" s="20" t="n">
        <f aca="false">ROUND(3.95/FX,2)</f>
        <v>0.55</v>
      </c>
      <c r="D135" s="21" t="s">
        <v>13732</v>
      </c>
      <c r="E135" s="21" t="s">
        <v>19569</v>
      </c>
    </row>
    <row r="136" customFormat="false" ht="28.35" hidden="false" customHeight="false" outlineLevel="0" collapsed="false">
      <c r="B136" s="19" t="s">
        <v>19570</v>
      </c>
      <c r="C136" s="20" t="n">
        <f aca="false">ROUND(3.25/FX,2)</f>
        <v>0.45</v>
      </c>
      <c r="D136" s="21" t="s">
        <v>13732</v>
      </c>
      <c r="E136" s="21" t="s">
        <v>19571</v>
      </c>
    </row>
    <row r="137" customFormat="false" ht="28.35" hidden="false" customHeight="false" outlineLevel="0" collapsed="false">
      <c r="B137" s="19" t="s">
        <v>19572</v>
      </c>
      <c r="C137" s="20" t="n">
        <f aca="false">ROUND(3.25/FX,2)</f>
        <v>0.45</v>
      </c>
      <c r="D137" s="21" t="s">
        <v>13732</v>
      </c>
      <c r="E137" s="21" t="s">
        <v>19573</v>
      </c>
    </row>
    <row r="138" customFormat="false" ht="28.35" hidden="false" customHeight="false" outlineLevel="0" collapsed="false">
      <c r="B138" s="19" t="s">
        <v>19574</v>
      </c>
      <c r="C138" s="20" t="n">
        <f aca="false">ROUND(3.25/FX,2)</f>
        <v>0.45</v>
      </c>
      <c r="D138" s="21" t="s">
        <v>13732</v>
      </c>
      <c r="E138" s="21" t="s">
        <v>19575</v>
      </c>
    </row>
    <row r="139" customFormat="false" ht="28.35" hidden="false" customHeight="false" outlineLevel="0" collapsed="false">
      <c r="B139" s="19" t="s">
        <v>19576</v>
      </c>
      <c r="C139" s="20" t="n">
        <f aca="false">ROUND(3.25/FX,2)</f>
        <v>0.45</v>
      </c>
      <c r="D139" s="21" t="s">
        <v>13732</v>
      </c>
      <c r="E139" s="21" t="s">
        <v>19577</v>
      </c>
    </row>
    <row r="140" customFormat="false" ht="28.35" hidden="false" customHeight="false" outlineLevel="0" collapsed="false">
      <c r="B140" s="19" t="s">
        <v>19578</v>
      </c>
      <c r="C140" s="20" t="n">
        <f aca="false">ROUND(3.25/FX,2)</f>
        <v>0.45</v>
      </c>
      <c r="D140" s="21" t="s">
        <v>13732</v>
      </c>
      <c r="E140" s="21" t="s">
        <v>19579</v>
      </c>
    </row>
    <row r="141" customFormat="false" ht="28.35" hidden="false" customHeight="false" outlineLevel="0" collapsed="false">
      <c r="B141" s="19" t="s">
        <v>19580</v>
      </c>
      <c r="C141" s="20" t="n">
        <f aca="false">ROUND(3.25/FX,2)</f>
        <v>0.45</v>
      </c>
      <c r="D141" s="21" t="s">
        <v>13732</v>
      </c>
      <c r="E141" s="21" t="s">
        <v>19581</v>
      </c>
    </row>
    <row r="142" customFormat="false" ht="28.35" hidden="false" customHeight="false" outlineLevel="0" collapsed="false">
      <c r="B142" s="19" t="s">
        <v>19582</v>
      </c>
      <c r="C142" s="20" t="n">
        <f aca="false">ROUND(3.25/FX,2)</f>
        <v>0.45</v>
      </c>
      <c r="D142" s="21" t="s">
        <v>13732</v>
      </c>
      <c r="E142" s="21" t="s">
        <v>19583</v>
      </c>
    </row>
    <row r="143" customFormat="false" ht="28.35" hidden="false" customHeight="false" outlineLevel="0" collapsed="false">
      <c r="B143" s="19" t="s">
        <v>19584</v>
      </c>
      <c r="C143" s="20" t="n">
        <f aca="false">ROUND(3.25/FX,2)</f>
        <v>0.45</v>
      </c>
      <c r="D143" s="21" t="s">
        <v>13732</v>
      </c>
      <c r="E143" s="21" t="s">
        <v>19585</v>
      </c>
    </row>
    <row r="144" customFormat="false" ht="28.35" hidden="false" customHeight="false" outlineLevel="0" collapsed="false">
      <c r="B144" s="19" t="s">
        <v>19586</v>
      </c>
      <c r="C144" s="20" t="n">
        <f aca="false">ROUND(3.25/FX,2)</f>
        <v>0.45</v>
      </c>
      <c r="D144" s="21" t="s">
        <v>13732</v>
      </c>
      <c r="E144" s="21" t="s">
        <v>19587</v>
      </c>
    </row>
    <row r="145" customFormat="false" ht="28.35" hidden="false" customHeight="false" outlineLevel="0" collapsed="false">
      <c r="B145" s="19" t="s">
        <v>19588</v>
      </c>
      <c r="C145" s="20" t="n">
        <f aca="false">ROUND(3.9/FX,2)</f>
        <v>0.54</v>
      </c>
      <c r="D145" s="21" t="s">
        <v>13732</v>
      </c>
      <c r="E145" s="21" t="s">
        <v>19589</v>
      </c>
    </row>
    <row r="146" customFormat="false" ht="28.35" hidden="false" customHeight="false" outlineLevel="0" collapsed="false">
      <c r="B146" s="19" t="s">
        <v>19590</v>
      </c>
      <c r="C146" s="20" t="n">
        <f aca="false">ROUND(3.25/FX,2)</f>
        <v>0.45</v>
      </c>
      <c r="D146" s="21" t="s">
        <v>13732</v>
      </c>
      <c r="E146" s="21" t="s">
        <v>19591</v>
      </c>
    </row>
    <row r="147" customFormat="false" ht="28.35" hidden="false" customHeight="false" outlineLevel="0" collapsed="false">
      <c r="B147" s="19" t="s">
        <v>19592</v>
      </c>
      <c r="C147" s="20" t="n">
        <f aca="false">ROUND(1.04/FX,2)</f>
        <v>0.14</v>
      </c>
      <c r="D147" s="21" t="s">
        <v>13732</v>
      </c>
      <c r="E147" s="21" t="s">
        <v>19593</v>
      </c>
    </row>
    <row r="148" customFormat="false" ht="28.35" hidden="false" customHeight="false" outlineLevel="0" collapsed="false">
      <c r="B148" s="19" t="s">
        <v>19594</v>
      </c>
      <c r="C148" s="20" t="n">
        <f aca="false">ROUND(3.9/FX,2)</f>
        <v>0.54</v>
      </c>
      <c r="D148" s="21" t="s">
        <v>13732</v>
      </c>
      <c r="E148" s="21" t="s">
        <v>19595</v>
      </c>
    </row>
    <row r="149" customFormat="false" ht="28.35" hidden="false" customHeight="false" outlineLevel="0" collapsed="false">
      <c r="B149" s="19" t="s">
        <v>19596</v>
      </c>
      <c r="C149" s="20" t="n">
        <f aca="false">ROUND(19.5/FX,2)</f>
        <v>2.71</v>
      </c>
      <c r="D149" s="21" t="s">
        <v>13743</v>
      </c>
      <c r="E149" s="21" t="s">
        <v>19595</v>
      </c>
    </row>
    <row r="150" customFormat="false" ht="28.35" hidden="false" customHeight="false" outlineLevel="0" collapsed="false">
      <c r="B150" s="19" t="s">
        <v>19597</v>
      </c>
      <c r="C150" s="20" t="n">
        <f aca="false">ROUND(3.25/FX,2)</f>
        <v>0.45</v>
      </c>
      <c r="D150" s="21" t="s">
        <v>13732</v>
      </c>
      <c r="E150" s="21" t="s">
        <v>19598</v>
      </c>
    </row>
    <row r="151" customFormat="false" ht="28.35" hidden="false" customHeight="false" outlineLevel="0" collapsed="false">
      <c r="B151" s="19" t="s">
        <v>19599</v>
      </c>
      <c r="C151" s="20" t="n">
        <f aca="false">ROUND(3.9/FX,2)</f>
        <v>0.54</v>
      </c>
      <c r="D151" s="21" t="s">
        <v>13732</v>
      </c>
      <c r="E151" s="21" t="s">
        <v>19600</v>
      </c>
    </row>
    <row r="152" customFormat="false" ht="28.35" hidden="false" customHeight="false" outlineLevel="0" collapsed="false">
      <c r="B152" s="19" t="s">
        <v>19601</v>
      </c>
      <c r="C152" s="20" t="n">
        <f aca="false">ROUND(3.9/FX,2)</f>
        <v>0.54</v>
      </c>
      <c r="D152" s="21" t="s">
        <v>13732</v>
      </c>
      <c r="E152" s="21" t="s">
        <v>19602</v>
      </c>
    </row>
    <row r="153" customFormat="false" ht="28.35" hidden="false" customHeight="false" outlineLevel="0" collapsed="false">
      <c r="B153" s="19" t="s">
        <v>19603</v>
      </c>
      <c r="C153" s="20" t="n">
        <f aca="false">ROUND(3.9/FX,2)</f>
        <v>0.54</v>
      </c>
      <c r="D153" s="21" t="s">
        <v>13732</v>
      </c>
      <c r="E153" s="21" t="s">
        <v>19604</v>
      </c>
    </row>
    <row r="154" customFormat="false" ht="28.35" hidden="false" customHeight="false" outlineLevel="0" collapsed="false">
      <c r="B154" s="19" t="s">
        <v>19605</v>
      </c>
      <c r="C154" s="20" t="n">
        <f aca="false">ROUND(3.64/FX,2)</f>
        <v>0.51</v>
      </c>
      <c r="D154" s="21" t="s">
        <v>13732</v>
      </c>
      <c r="E154" s="21" t="s">
        <v>19606</v>
      </c>
    </row>
    <row r="157" customFormat="false" ht="61.5" hidden="false" customHeight="true" outlineLevel="0" collapsed="false">
      <c r="A157" s="9"/>
      <c r="B157" s="10" t="s">
        <v>19607</v>
      </c>
      <c r="C157" s="10"/>
      <c r="D157" s="10"/>
      <c r="E157" s="10"/>
      <c r="F157" s="10"/>
    </row>
    <row r="158" customFormat="false" ht="15" hidden="false" customHeight="false" outlineLevel="0" collapsed="false">
      <c r="A158" s="12" t="s">
        <v>700</v>
      </c>
      <c r="B158" s="13" t="s">
        <v>701</v>
      </c>
      <c r="C158" s="13" t="s">
        <v>702</v>
      </c>
      <c r="D158" s="13" t="s">
        <v>723</v>
      </c>
      <c r="E158" s="13" t="s">
        <v>6328</v>
      </c>
      <c r="F158" s="13" t="s">
        <v>16136</v>
      </c>
    </row>
    <row r="159" customFormat="false" ht="30" hidden="false" customHeight="true" outlineLevel="0" collapsed="false">
      <c r="A159" s="14" t="s">
        <v>706</v>
      </c>
      <c r="B159" s="15" t="str">
        <f aca="false">IF(COUNTIFS($D$162:$D$172,IF(D159="","*",D159),$E$162:$E$172,IF(E159="","*",E159),$F$162:$F$172,IF(F159="","*",F159))=1,INDEX($B:$B,SUMPRODUCT(((D159="")+($D$162:$D$172=D159)&gt;0)*((E159="")+($E$162:$E$172=E159)&gt;0)*((F159="")+($F$162:$F$172=F159)&gt;0)*ROW($B$162:$B$172))),IF(COUNTIFS($D$162:$D$172,IF(D159="","*",D159),$E$162:$E$172,IF(E159="","*",E159),$F$162:$F$172,IF(F159="","*",F159))=0,"Not available",COUNTIFS($D$162:$D$172,IF(D159="","*",D159),$E$162:$E$172,IF(E159="","*",E159),$F$162:$F$172,IF(F159="","*",F159))&amp;" match, keep choosing"))</f>
        <v>MT-008-775-UXZJ-S</v>
      </c>
      <c r="C159" s="16" t="n">
        <f aca="false">IF(COUNTIFS($D$162:$D$172,IF(D159="","*",D159),$E$162:$E$172,IF(E159="","*",E159),$F$162:$F$172,IF(F159="","*",F159))=1,INDEX($C:$C,SUMPRODUCT(((D159="")+($D$162:$D$172=D159)&gt;0)*((E159="")+($E$162:$E$172=E159)&gt;0)*((F159="")+($F$162:$F$172=F159)&gt;0)*ROW($B$162:$B$172))),"")</f>
        <v>0.42</v>
      </c>
      <c r="D159" s="17" t="s">
        <v>19608</v>
      </c>
      <c r="E159" s="17" t="s">
        <v>19609</v>
      </c>
      <c r="F159" s="17" t="s">
        <v>19610</v>
      </c>
    </row>
    <row r="161" customFormat="false" ht="15" hidden="false" customHeight="false" outlineLevel="0" collapsed="false">
      <c r="B161" s="18" t="s">
        <v>701</v>
      </c>
      <c r="C161" s="18" t="s">
        <v>702</v>
      </c>
      <c r="D161" s="18" t="s">
        <v>723</v>
      </c>
      <c r="E161" s="18" t="s">
        <v>6328</v>
      </c>
      <c r="F161" s="18" t="s">
        <v>16136</v>
      </c>
    </row>
    <row r="162" customFormat="false" ht="15" hidden="false" customHeight="false" outlineLevel="0" collapsed="false">
      <c r="B162" s="19" t="s">
        <v>19611</v>
      </c>
      <c r="C162" s="20" t="n">
        <f aca="false">ROUND(3/FX,2)</f>
        <v>0.42</v>
      </c>
      <c r="D162" s="21" t="s">
        <v>19608</v>
      </c>
      <c r="E162" s="21" t="s">
        <v>19609</v>
      </c>
      <c r="F162" s="21" t="s">
        <v>19610</v>
      </c>
    </row>
    <row r="163" customFormat="false" ht="15" hidden="false" customHeight="false" outlineLevel="0" collapsed="false">
      <c r="B163" s="19" t="s">
        <v>19612</v>
      </c>
      <c r="C163" s="20" t="n">
        <f aca="false">ROUND(2.86/FX,2)</f>
        <v>0.4</v>
      </c>
      <c r="D163" s="21" t="s">
        <v>19613</v>
      </c>
      <c r="E163" s="21" t="s">
        <v>19614</v>
      </c>
      <c r="F163" s="21" t="s">
        <v>10269</v>
      </c>
    </row>
    <row r="164" customFormat="false" ht="28.35" hidden="false" customHeight="false" outlineLevel="0" collapsed="false">
      <c r="B164" s="19" t="s">
        <v>19615</v>
      </c>
      <c r="C164" s="20" t="n">
        <f aca="false">ROUND(45.5/FX,2)</f>
        <v>6.32</v>
      </c>
      <c r="D164" s="21" t="s">
        <v>19616</v>
      </c>
      <c r="E164" s="21" t="s">
        <v>19617</v>
      </c>
      <c r="F164" s="21" t="s">
        <v>10269</v>
      </c>
    </row>
    <row r="165" customFormat="false" ht="28.35" hidden="false" customHeight="false" outlineLevel="0" collapsed="false">
      <c r="B165" s="19" t="s">
        <v>19618</v>
      </c>
      <c r="C165" s="20" t="n">
        <f aca="false">ROUND(63.05/FX,2)</f>
        <v>8.76</v>
      </c>
      <c r="D165" s="21" t="s">
        <v>19619</v>
      </c>
      <c r="E165" s="21" t="s">
        <v>19617</v>
      </c>
      <c r="F165" s="21" t="s">
        <v>10269</v>
      </c>
    </row>
    <row r="166" customFormat="false" ht="15" hidden="false" customHeight="false" outlineLevel="0" collapsed="false">
      <c r="B166" s="19" t="s">
        <v>19620</v>
      </c>
      <c r="C166" s="20" t="n">
        <f aca="false">ROUND(2.34/FX,2)</f>
        <v>0.33</v>
      </c>
      <c r="D166" s="21" t="s">
        <v>19613</v>
      </c>
      <c r="E166" s="21" t="s">
        <v>19617</v>
      </c>
      <c r="F166" s="21" t="s">
        <v>10269</v>
      </c>
    </row>
    <row r="167" customFormat="false" ht="15" hidden="false" customHeight="false" outlineLevel="0" collapsed="false">
      <c r="B167" s="19" t="s">
        <v>19621</v>
      </c>
      <c r="C167" s="20" t="n">
        <f aca="false">ROUND(3/FX,2)</f>
        <v>0.42</v>
      </c>
      <c r="D167" s="21" t="s">
        <v>19613</v>
      </c>
      <c r="E167" s="21" t="s">
        <v>19617</v>
      </c>
      <c r="F167" s="21" t="s">
        <v>19610</v>
      </c>
    </row>
    <row r="168" customFormat="false" ht="15" hidden="false" customHeight="false" outlineLevel="0" collapsed="false">
      <c r="B168" s="19" t="s">
        <v>19622</v>
      </c>
      <c r="C168" s="20" t="n">
        <f aca="false">ROUND(3.51/FX,2)</f>
        <v>0.49</v>
      </c>
      <c r="D168" s="21" t="s">
        <v>19623</v>
      </c>
      <c r="E168" s="21" t="s">
        <v>19617</v>
      </c>
      <c r="F168" s="21" t="s">
        <v>10269</v>
      </c>
    </row>
    <row r="169" customFormat="false" ht="15" hidden="false" customHeight="false" outlineLevel="0" collapsed="false">
      <c r="B169" s="19" t="s">
        <v>19624</v>
      </c>
      <c r="C169" s="20" t="n">
        <f aca="false">ROUND(4/FX,2)</f>
        <v>0.56</v>
      </c>
      <c r="D169" s="21" t="s">
        <v>19623</v>
      </c>
      <c r="E169" s="21" t="s">
        <v>19617</v>
      </c>
      <c r="F169" s="21" t="s">
        <v>19610</v>
      </c>
    </row>
    <row r="170" customFormat="false" ht="15" hidden="false" customHeight="false" outlineLevel="0" collapsed="false">
      <c r="B170" s="19" t="s">
        <v>19625</v>
      </c>
      <c r="C170" s="20" t="n">
        <f aca="false">ROUND(6.44/FX,2)</f>
        <v>0.89</v>
      </c>
      <c r="D170" s="21" t="s">
        <v>19626</v>
      </c>
      <c r="E170" s="21" t="s">
        <v>19617</v>
      </c>
      <c r="F170" s="21" t="s">
        <v>19610</v>
      </c>
    </row>
    <row r="171" customFormat="false" ht="28.35" hidden="false" customHeight="false" outlineLevel="0" collapsed="false">
      <c r="B171" s="19" t="s">
        <v>19627</v>
      </c>
      <c r="C171" s="20" t="n">
        <f aca="false">ROUND(2.96/FX,2)</f>
        <v>0.41</v>
      </c>
      <c r="D171" s="21" t="s">
        <v>19628</v>
      </c>
      <c r="E171" s="21" t="s">
        <v>19617</v>
      </c>
      <c r="F171" s="21" t="s">
        <v>10269</v>
      </c>
    </row>
    <row r="172" customFormat="false" ht="15" hidden="false" customHeight="false" outlineLevel="0" collapsed="false">
      <c r="B172" s="19" t="s">
        <v>19629</v>
      </c>
      <c r="C172" s="20" t="n">
        <f aca="false">ROUND(14.3/FX,2)</f>
        <v>1.99</v>
      </c>
      <c r="D172" s="21" t="s">
        <v>19630</v>
      </c>
      <c r="E172" s="21" t="s">
        <v>19617</v>
      </c>
      <c r="F172" s="21" t="s">
        <v>10269</v>
      </c>
    </row>
    <row r="175" customFormat="false" ht="61.5" hidden="false" customHeight="true" outlineLevel="0" collapsed="false">
      <c r="A175" s="9"/>
      <c r="B175" s="10" t="s">
        <v>19631</v>
      </c>
      <c r="C175" s="10"/>
      <c r="D175" s="10"/>
    </row>
    <row r="176" customFormat="false" ht="15" hidden="false" customHeight="false" outlineLevel="0" collapsed="false">
      <c r="A176" s="12" t="s">
        <v>700</v>
      </c>
      <c r="B176" s="13" t="s">
        <v>701</v>
      </c>
      <c r="C176" s="13" t="s">
        <v>702</v>
      </c>
      <c r="D176" s="13" t="s">
        <v>722</v>
      </c>
    </row>
    <row r="177" customFormat="false" ht="30" hidden="false" customHeight="true" outlineLevel="0" collapsed="false">
      <c r="A177" s="14" t="s">
        <v>706</v>
      </c>
      <c r="B177" s="15" t="str">
        <f aca="false">IF(COUNTIFS($D$180:$D$181,IF(D177="","*",D177))=1,INDEX($B:$B,SUMPRODUCT(((D177="")+($D$180:$D$181=D177)&gt;0)*ROW($B$180:$B$181))),IF(COUNTIFS($D$180:$D$181,IF(D177="","*",D177))=0,"Not available",COUNTIFS($D$180:$D$181,IF(D177="","*",D177))&amp;" match, keep choosing"))</f>
        <v>MT-007-BK</v>
      </c>
      <c r="C177" s="16" t="n">
        <f aca="false">IF(COUNTIFS($D$180:$D$181,IF(D177="","*",D177))=1,INDEX($C:$C,SUMPRODUCT(((D177="")+($D$180:$D$181=D177)&gt;0)*ROW($B$180:$B$181))),"")</f>
        <v>0.28</v>
      </c>
      <c r="D177" s="17" t="s">
        <v>724</v>
      </c>
    </row>
    <row r="179" customFormat="false" ht="15" hidden="false" customHeight="false" outlineLevel="0" collapsed="false">
      <c r="B179" s="18" t="s">
        <v>701</v>
      </c>
      <c r="C179" s="18" t="s">
        <v>702</v>
      </c>
      <c r="D179" s="18" t="s">
        <v>722</v>
      </c>
    </row>
    <row r="180" customFormat="false" ht="15" hidden="false" customHeight="false" outlineLevel="0" collapsed="false">
      <c r="B180" s="19" t="s">
        <v>19632</v>
      </c>
      <c r="C180" s="20" t="n">
        <f aca="false">ROUND(2/FX,2)</f>
        <v>0.28</v>
      </c>
      <c r="D180" s="21" t="s">
        <v>724</v>
      </c>
    </row>
    <row r="181" customFormat="false" ht="15" hidden="false" customHeight="false" outlineLevel="0" collapsed="false">
      <c r="B181" s="19" t="s">
        <v>19633</v>
      </c>
      <c r="C181" s="20" t="n">
        <f aca="false">ROUND(3/FX,2)</f>
        <v>0.42</v>
      </c>
      <c r="D181" s="21" t="s">
        <v>751</v>
      </c>
    </row>
    <row r="184" customFormat="false" ht="61.5" hidden="false" customHeight="true" outlineLevel="0" collapsed="false">
      <c r="A184" s="9"/>
      <c r="B184" s="10" t="s">
        <v>19634</v>
      </c>
      <c r="C184" s="10"/>
      <c r="D184" s="10"/>
    </row>
    <row r="185" customFormat="false" ht="15" hidden="false" customHeight="false" outlineLevel="0" collapsed="false">
      <c r="A185" s="12" t="s">
        <v>700</v>
      </c>
      <c r="B185" s="13" t="s">
        <v>701</v>
      </c>
      <c r="C185" s="13" t="s">
        <v>702</v>
      </c>
      <c r="D185" s="13" t="s">
        <v>5610</v>
      </c>
    </row>
    <row r="186" customFormat="false" ht="30" hidden="false" customHeight="true" outlineLevel="0" collapsed="false">
      <c r="A186" s="14" t="s">
        <v>706</v>
      </c>
      <c r="B186" s="15" t="str">
        <f aca="false">IF(COUNTIFS($D$189:$D$190,IF(D186="","*",D186))=1,INDEX($B:$B,SUMPRODUCT(((D186="")+($D$189:$D$190=D186)&gt;0)*ROW($B$189:$B$190))),IF(COUNTIFS($D$189:$D$190,IF(D186="","*",D186))=0,"Not available",COUNTIFS($D$189:$D$190,IF(D186="","*",D186))&amp;" match, keep choosing"))</f>
        <v>MT-022-2HD</v>
      </c>
      <c r="C186" s="16" t="n">
        <f aca="false">IF(COUNTIFS($D$189:$D$190,IF(D186="","*",D186))=1,INDEX($C:$C,SUMPRODUCT(((D186="")+($D$189:$D$190=D186)&gt;0)*ROW($B$189:$B$190))),"")</f>
        <v>0.08</v>
      </c>
      <c r="D186" s="17" t="s">
        <v>19635</v>
      </c>
    </row>
    <row r="188" customFormat="false" ht="15" hidden="false" customHeight="false" outlineLevel="0" collapsed="false">
      <c r="B188" s="18" t="s">
        <v>701</v>
      </c>
      <c r="C188" s="18" t="s">
        <v>702</v>
      </c>
      <c r="D188" s="18" t="s">
        <v>5610</v>
      </c>
    </row>
    <row r="189" customFormat="false" ht="15" hidden="false" customHeight="false" outlineLevel="0" collapsed="false">
      <c r="B189" s="19" t="s">
        <v>19636</v>
      </c>
      <c r="C189" s="20" t="n">
        <f aca="false">ROUND(0.54/FX,2)</f>
        <v>0.08</v>
      </c>
      <c r="D189" s="21" t="s">
        <v>19635</v>
      </c>
    </row>
    <row r="190" customFormat="false" ht="15" hidden="false" customHeight="false" outlineLevel="0" collapsed="false">
      <c r="B190" s="19" t="s">
        <v>19637</v>
      </c>
      <c r="C190" s="20" t="n">
        <f aca="false">ROUND(0.54/FX,2)</f>
        <v>0.08</v>
      </c>
      <c r="D190" s="21" t="s">
        <v>19638</v>
      </c>
    </row>
    <row r="193" customFormat="false" ht="61.5" hidden="false" customHeight="true" outlineLevel="0" collapsed="false">
      <c r="A193" s="9"/>
      <c r="B193" s="10" t="s">
        <v>19639</v>
      </c>
      <c r="C193" s="10"/>
      <c r="D193" s="10"/>
    </row>
    <row r="194" customFormat="false" ht="15" hidden="false" customHeight="false" outlineLevel="0" collapsed="false">
      <c r="A194" s="12" t="s">
        <v>700</v>
      </c>
      <c r="B194" s="13" t="s">
        <v>701</v>
      </c>
      <c r="C194" s="13" t="s">
        <v>702</v>
      </c>
      <c r="D194" s="13" t="s">
        <v>723</v>
      </c>
    </row>
    <row r="195" customFormat="false" ht="30" hidden="false" customHeight="true" outlineLevel="0" collapsed="false">
      <c r="A195" s="14" t="s">
        <v>706</v>
      </c>
      <c r="B195" s="15" t="str">
        <f aca="false">IF(COUNTIFS($D$198:$D$199,IF(D195="","*",D195))=1,INDEX($B:$B,SUMPRODUCT(((D195="")+($D$198:$D$199=D195)&gt;0)*ROW($B$198:$B$199))),IF(COUNTIFS($D$198:$D$199,IF(D195="","*",D195))=0,"Not available",COUNTIFS($D$198:$D$199,IF(D195="","*",D195))&amp;" match, keep choosing"))</f>
        <v>MT-012-57AZZJ</v>
      </c>
      <c r="C195" s="16" t="n">
        <f aca="false">IF(COUNTIFS($D$198:$D$199,IF(D195="","*",D195))=1,INDEX($C:$C,SUMPRODUCT(((D195="")+($D$198:$D$199=D195)&gt;0)*ROW($B$198:$B$199))),"")</f>
        <v>1.81</v>
      </c>
      <c r="D195" s="17" t="s">
        <v>19640</v>
      </c>
    </row>
    <row r="197" customFormat="false" ht="15" hidden="false" customHeight="false" outlineLevel="0" collapsed="false">
      <c r="B197" s="18" t="s">
        <v>701</v>
      </c>
      <c r="C197" s="18" t="s">
        <v>702</v>
      </c>
      <c r="D197" s="18" t="s">
        <v>723</v>
      </c>
    </row>
    <row r="198" customFormat="false" ht="28.35" hidden="false" customHeight="false" outlineLevel="0" collapsed="false">
      <c r="B198" s="19" t="s">
        <v>19641</v>
      </c>
      <c r="C198" s="20" t="n">
        <f aca="false">ROUND(13/FX,2)</f>
        <v>1.81</v>
      </c>
      <c r="D198" s="21" t="s">
        <v>19640</v>
      </c>
    </row>
    <row r="199" customFormat="false" ht="28.35" hidden="false" customHeight="false" outlineLevel="0" collapsed="false">
      <c r="B199" s="19" t="s">
        <v>19642</v>
      </c>
      <c r="C199" s="20" t="n">
        <f aca="false">ROUND(25/FX,2)</f>
        <v>3.47</v>
      </c>
      <c r="D199" s="21" t="s">
        <v>19643</v>
      </c>
    </row>
    <row r="202" customFormat="false" ht="61.5" hidden="false" customHeight="true" outlineLevel="0" collapsed="false">
      <c r="A202" s="9"/>
      <c r="B202" s="10" t="s">
        <v>19644</v>
      </c>
      <c r="C202" s="10"/>
      <c r="D202" s="10"/>
    </row>
    <row r="203" customFormat="false" ht="15" hidden="false" customHeight="false" outlineLevel="0" collapsed="false">
      <c r="A203" s="12" t="s">
        <v>700</v>
      </c>
      <c r="B203" s="13" t="s">
        <v>701</v>
      </c>
      <c r="C203" s="13" t="s">
        <v>702</v>
      </c>
      <c r="D203" s="13" t="s">
        <v>723</v>
      </c>
    </row>
    <row r="204" customFormat="false" ht="30" hidden="false" customHeight="true" outlineLevel="0" collapsed="false">
      <c r="A204" s="14" t="s">
        <v>706</v>
      </c>
      <c r="B204" s="15" t="str">
        <f aca="false">IF(COUNTIFS($D$207:$D$208,IF(D204="","*",D204))=1,INDEX($B:$B,SUMPRODUCT(((D204="")+($D$207:$D$208=D204)&gt;0)*ROW($B$207:$B$208))),IF(COUNTIFS($D$207:$D$208,IF(D204="","*",D204))=0,"Not available",COUNTIFS($D$207:$D$208,IF(D204="","*",D204))&amp;" match, keep choosing"))</f>
        <v>MT-002-860BDFS</v>
      </c>
      <c r="C204" s="16" t="n">
        <f aca="false">IF(COUNTIFS($D$207:$D$208,IF(D204="","*",D204))=1,INDEX($C:$C,SUMPRODUCT(((D204="")+($D$207:$D$208=D204)&gt;0)*ROW($B$207:$B$208))),"")</f>
        <v>13.89</v>
      </c>
      <c r="D204" s="17" t="s">
        <v>19645</v>
      </c>
    </row>
    <row r="206" customFormat="false" ht="15" hidden="false" customHeight="false" outlineLevel="0" collapsed="false">
      <c r="B206" s="18" t="s">
        <v>701</v>
      </c>
      <c r="C206" s="18" t="s">
        <v>702</v>
      </c>
      <c r="D206" s="18" t="s">
        <v>723</v>
      </c>
    </row>
    <row r="207" customFormat="false" ht="15" hidden="false" customHeight="false" outlineLevel="0" collapsed="false">
      <c r="B207" s="19" t="s">
        <v>19646</v>
      </c>
      <c r="C207" s="20" t="n">
        <f aca="false">ROUND(100/FX,2)</f>
        <v>13.89</v>
      </c>
      <c r="D207" s="21" t="s">
        <v>19645</v>
      </c>
    </row>
    <row r="208" customFormat="false" ht="15" hidden="false" customHeight="false" outlineLevel="0" collapsed="false">
      <c r="B208" s="19" t="s">
        <v>19647</v>
      </c>
      <c r="C208" s="20" t="n">
        <f aca="false">ROUND(117/FX,2)</f>
        <v>16.25</v>
      </c>
      <c r="D208" s="21" t="s">
        <v>19648</v>
      </c>
    </row>
    <row r="211" customFormat="false" ht="61.5" hidden="false" customHeight="true" outlineLevel="0" collapsed="false">
      <c r="A211" s="9"/>
      <c r="B211" s="10" t="s">
        <v>19649</v>
      </c>
      <c r="C211" s="10"/>
      <c r="D211" s="10"/>
    </row>
    <row r="212" customFormat="false" ht="15" hidden="false" customHeight="false" outlineLevel="0" collapsed="false">
      <c r="B212" s="18" t="s">
        <v>701</v>
      </c>
      <c r="C212" s="18" t="s">
        <v>702</v>
      </c>
      <c r="D212" s="18" t="s">
        <v>5610</v>
      </c>
    </row>
    <row r="213" customFormat="false" ht="15" hidden="false" customHeight="false" outlineLevel="0" collapsed="false">
      <c r="B213" s="19" t="s">
        <v>19650</v>
      </c>
      <c r="C213" s="20" t="n">
        <f aca="false">ROUND(6.5/FX,2)</f>
        <v>0.9</v>
      </c>
      <c r="D213" s="22" t="s">
        <v>5612</v>
      </c>
    </row>
    <row r="216" customFormat="false" ht="61.5" hidden="false" customHeight="true" outlineLevel="0" collapsed="false">
      <c r="A216" s="9"/>
      <c r="B216" s="10" t="s">
        <v>19651</v>
      </c>
      <c r="C216" s="10"/>
      <c r="D216" s="10"/>
    </row>
    <row r="217" customFormat="false" ht="15" hidden="false" customHeight="false" outlineLevel="0" collapsed="false">
      <c r="A217" s="12" t="s">
        <v>700</v>
      </c>
      <c r="B217" s="13" t="s">
        <v>701</v>
      </c>
      <c r="C217" s="13" t="s">
        <v>702</v>
      </c>
      <c r="D217" s="13" t="s">
        <v>723</v>
      </c>
    </row>
    <row r="218" customFormat="false" ht="30" hidden="false" customHeight="true" outlineLevel="0" collapsed="false">
      <c r="A218" s="14" t="s">
        <v>706</v>
      </c>
      <c r="B218" s="15" t="str">
        <f aca="false">IF(COUNTIFS($D$221:$D$222,IF(D218="","*",D218))=1,INDEX($B:$B,SUMPRODUCT(((D218="")+($D$221:$D$222=D218)&gt;0)*ROW($B$221:$B$222))),IF(COUNTIFS($D$221:$D$222,IF(D218="","*",D218))=0,"Not available",COUNTIFS($D$221:$D$222,IF(D218="","*",D218))&amp;" match, keep choosing"))</f>
        <v>MT-017-57BJDJY</v>
      </c>
      <c r="C218" s="16" t="n">
        <f aca="false">IF(COUNTIFS($D$221:$D$222,IF(D218="","*",D218))=1,INDEX($C:$C,SUMPRODUCT(((D218="")+($D$221:$D$222=D218)&gt;0)*ROW($B$221:$B$222))),"")</f>
        <v>4.15</v>
      </c>
      <c r="D218" s="17" t="s">
        <v>19652</v>
      </c>
    </row>
    <row r="220" customFormat="false" ht="15" hidden="false" customHeight="false" outlineLevel="0" collapsed="false">
      <c r="B220" s="18" t="s">
        <v>701</v>
      </c>
      <c r="C220" s="18" t="s">
        <v>702</v>
      </c>
      <c r="D220" s="18" t="s">
        <v>723</v>
      </c>
    </row>
    <row r="221" customFormat="false" ht="15" hidden="false" customHeight="false" outlineLevel="0" collapsed="false">
      <c r="B221" s="19" t="s">
        <v>19653</v>
      </c>
      <c r="C221" s="20" t="n">
        <f aca="false">ROUND(29.87/FX,2)</f>
        <v>4.15</v>
      </c>
      <c r="D221" s="21" t="s">
        <v>19652</v>
      </c>
    </row>
    <row r="222" customFormat="false" ht="28.35" hidden="false" customHeight="false" outlineLevel="0" collapsed="false">
      <c r="B222" s="19" t="s">
        <v>19654</v>
      </c>
      <c r="C222" s="20" t="n">
        <f aca="false">ROUND(29.87/FX,2)</f>
        <v>4.15</v>
      </c>
      <c r="D222" s="21" t="s">
        <v>19655</v>
      </c>
    </row>
    <row r="225" customFormat="false" ht="61.5" hidden="false" customHeight="true" outlineLevel="0" collapsed="false">
      <c r="A225" s="9"/>
      <c r="B225" s="10" t="s">
        <v>19656</v>
      </c>
      <c r="C225" s="10"/>
      <c r="D225" s="10"/>
    </row>
    <row r="226" customFormat="false" ht="15" hidden="false" customHeight="false" outlineLevel="0" collapsed="false">
      <c r="B226" s="18" t="s">
        <v>701</v>
      </c>
      <c r="C226" s="18" t="s">
        <v>702</v>
      </c>
      <c r="D226" s="18" t="s">
        <v>5610</v>
      </c>
    </row>
    <row r="227" customFormat="false" ht="15" hidden="false" customHeight="false" outlineLevel="0" collapsed="false">
      <c r="B227" s="19" t="s">
        <v>19657</v>
      </c>
      <c r="C227" s="20" t="n">
        <f aca="false">ROUND(23.4/FX,2)</f>
        <v>3.25</v>
      </c>
      <c r="D227" s="22" t="s">
        <v>5612</v>
      </c>
    </row>
    <row r="230" customFormat="false" ht="61.5" hidden="false" customHeight="true" outlineLevel="0" collapsed="false">
      <c r="A230" s="9"/>
      <c r="B230" s="10" t="s">
        <v>19658</v>
      </c>
      <c r="C230" s="10"/>
      <c r="D230" s="10"/>
      <c r="E230" s="10"/>
      <c r="F230" s="10"/>
    </row>
    <row r="231" customFormat="false" ht="15" hidden="false" customHeight="false" outlineLevel="0" collapsed="false">
      <c r="A231" s="12" t="s">
        <v>700</v>
      </c>
      <c r="B231" s="13" t="s">
        <v>701</v>
      </c>
      <c r="C231" s="13" t="s">
        <v>702</v>
      </c>
      <c r="D231" s="13" t="s">
        <v>722</v>
      </c>
      <c r="E231" s="13" t="s">
        <v>705</v>
      </c>
      <c r="F231" s="13" t="s">
        <v>723</v>
      </c>
    </row>
    <row r="232" customFormat="false" ht="30" hidden="false" customHeight="true" outlineLevel="0" collapsed="false">
      <c r="A232" s="14" t="s">
        <v>706</v>
      </c>
      <c r="B232" s="15" t="str">
        <f aca="false">IF(COUNTIFS($D$235:$D$238,IF(D232="","*",D232),$E$235:$E$238,IF(E232="","*",E232),$F$235:$F$238,IF(F232="","*",F232))=1,INDEX($B:$B,SUMPRODUCT(((D232="")+($D$235:$D$238=D232)&gt;0)*((E232="")+($E$235:$E$238=E232)&gt;0)*((F232="")+($F$235:$F$238=F232)&gt;0)*ROW($B$235:$B$238))),IF(COUNTIFS($D$235:$D$238,IF(D232="","*",D232),$E$235:$E$238,IF(E232="","*",E232),$F$235:$F$238,IF(F232="","*",F232))=0,"Not available",COUNTIFS($D$235:$D$238,IF(D232="","*",D232),$E$235:$E$238,IF(E232="","*",E232),$F$235:$F$238,IF(F232="","*",F232))&amp;" match, keep choosing"))</f>
        <v>MT-009-BK-LS-P4</v>
      </c>
      <c r="C232" s="16" t="n">
        <f aca="false">IF(COUNTIFS($D$235:$D$238,IF(D232="","*",D232),$E$235:$E$238,IF(E232="","*",E232),$F$235:$F$238,IF(F232="","*",F232))=1,INDEX($C:$C,SUMPRODUCT(((D232="")+($D$235:$D$238=D232)&gt;0)*((E232="")+($E$235:$E$238=E232)&gt;0)*((F232="")+($F$235:$F$238=F232)&gt;0)*ROW($B$235:$B$238))),"")</f>
        <v>2.83</v>
      </c>
      <c r="D232" s="17" t="s">
        <v>724</v>
      </c>
      <c r="E232" s="17" t="s">
        <v>14013</v>
      </c>
      <c r="F232" s="17" t="s">
        <v>19659</v>
      </c>
    </row>
    <row r="234" customFormat="false" ht="15" hidden="false" customHeight="false" outlineLevel="0" collapsed="false">
      <c r="B234" s="18" t="s">
        <v>701</v>
      </c>
      <c r="C234" s="18" t="s">
        <v>702</v>
      </c>
      <c r="D234" s="18" t="s">
        <v>722</v>
      </c>
      <c r="E234" s="18" t="s">
        <v>705</v>
      </c>
      <c r="F234" s="18" t="s">
        <v>723</v>
      </c>
    </row>
    <row r="235" customFormat="false" ht="15" hidden="false" customHeight="false" outlineLevel="0" collapsed="false">
      <c r="B235" s="19" t="s">
        <v>19660</v>
      </c>
      <c r="C235" s="20" t="n">
        <f aca="false">ROUND(20.38/FX,2)</f>
        <v>2.83</v>
      </c>
      <c r="D235" s="21" t="s">
        <v>724</v>
      </c>
      <c r="E235" s="21" t="s">
        <v>14013</v>
      </c>
      <c r="F235" s="21" t="s">
        <v>19659</v>
      </c>
    </row>
    <row r="236" customFormat="false" ht="15" hidden="false" customHeight="false" outlineLevel="0" collapsed="false">
      <c r="B236" s="19" t="s">
        <v>19661</v>
      </c>
      <c r="C236" s="20" t="n">
        <f aca="false">ROUND(19.5/FX,2)</f>
        <v>2.71</v>
      </c>
      <c r="D236" s="21" t="s">
        <v>724</v>
      </c>
      <c r="E236" s="21" t="s">
        <v>13732</v>
      </c>
      <c r="F236" s="21" t="s">
        <v>19321</v>
      </c>
    </row>
    <row r="237" customFormat="false" ht="15" hidden="false" customHeight="false" outlineLevel="0" collapsed="false">
      <c r="B237" s="19" t="s">
        <v>19662</v>
      </c>
      <c r="C237" s="20" t="n">
        <f aca="false">ROUND(20.38/FX,2)</f>
        <v>2.83</v>
      </c>
      <c r="D237" s="21" t="s">
        <v>751</v>
      </c>
      <c r="E237" s="21" t="s">
        <v>14013</v>
      </c>
      <c r="F237" s="21" t="s">
        <v>19659</v>
      </c>
    </row>
    <row r="238" customFormat="false" ht="15" hidden="false" customHeight="false" outlineLevel="0" collapsed="false">
      <c r="B238" s="19" t="s">
        <v>19663</v>
      </c>
      <c r="C238" s="20" t="n">
        <f aca="false">ROUND(19.5/FX,2)</f>
        <v>2.71</v>
      </c>
      <c r="D238" s="21" t="s">
        <v>751</v>
      </c>
      <c r="E238" s="21" t="s">
        <v>13732</v>
      </c>
      <c r="F238" s="21" t="s">
        <v>19321</v>
      </c>
    </row>
    <row r="241" customFormat="false" ht="61.5" hidden="false" customHeight="true" outlineLevel="0" collapsed="false">
      <c r="A241" s="9"/>
      <c r="B241" s="10" t="s">
        <v>19664</v>
      </c>
      <c r="C241" s="10"/>
      <c r="D241" s="10"/>
    </row>
    <row r="242" customFormat="false" ht="15" hidden="false" customHeight="false" outlineLevel="0" collapsed="false">
      <c r="A242" s="12" t="s">
        <v>700</v>
      </c>
      <c r="B242" s="13" t="s">
        <v>701</v>
      </c>
      <c r="C242" s="13" t="s">
        <v>702</v>
      </c>
      <c r="D242" s="13" t="s">
        <v>6559</v>
      </c>
    </row>
    <row r="243" customFormat="false" ht="30" hidden="false" customHeight="true" outlineLevel="0" collapsed="false">
      <c r="A243" s="14" t="s">
        <v>706</v>
      </c>
      <c r="B243" s="15" t="str">
        <f aca="false">IF(COUNTIFS($D$246:$D$258,IF(D243="","*",D243))=1,INDEX($B:$B,SUMPRODUCT(((D243="")+($D$246:$D$258=D243)&gt;0)*ROW($B$246:$B$258))),IF(COUNTIFS($D$246:$D$258,IF(D243="","*",D243))=0,"Not available",COUNTIFS($D$246:$D$258,IF(D243="","*",D243))&amp;" match, keep choosing"))</f>
        <v>MT-027-Z100-K86-G86</v>
      </c>
      <c r="C243" s="16" t="n">
        <f aca="false">IF(COUNTIFS($D$246:$D$258,IF(D243="","*",D243))=1,INDEX($C:$C,SUMPRODUCT(((D243="")+($D$246:$D$258=D243)&gt;0)*ROW($B$246:$B$258))),"")</f>
        <v>4.69</v>
      </c>
      <c r="D243" s="17" t="s">
        <v>19665</v>
      </c>
    </row>
    <row r="245" customFormat="false" ht="15" hidden="false" customHeight="false" outlineLevel="0" collapsed="false">
      <c r="B245" s="18" t="s">
        <v>701</v>
      </c>
      <c r="C245" s="18" t="s">
        <v>702</v>
      </c>
      <c r="D245" s="18" t="s">
        <v>6559</v>
      </c>
    </row>
    <row r="246" customFormat="false" ht="15" hidden="false" customHeight="false" outlineLevel="0" collapsed="false">
      <c r="B246" s="19" t="s">
        <v>19666</v>
      </c>
      <c r="C246" s="20" t="n">
        <f aca="false">ROUND(33.8/FX,2)</f>
        <v>4.69</v>
      </c>
      <c r="D246" s="21" t="s">
        <v>19665</v>
      </c>
    </row>
    <row r="247" customFormat="false" ht="15" hidden="false" customHeight="false" outlineLevel="0" collapsed="false">
      <c r="B247" s="19" t="s">
        <v>19667</v>
      </c>
      <c r="C247" s="20" t="n">
        <f aca="false">ROUND(12.74/FX,2)</f>
        <v>1.77</v>
      </c>
      <c r="D247" s="21" t="s">
        <v>19668</v>
      </c>
    </row>
    <row r="248" customFormat="false" ht="15" hidden="false" customHeight="false" outlineLevel="0" collapsed="false">
      <c r="B248" s="19" t="s">
        <v>19669</v>
      </c>
      <c r="C248" s="20" t="n">
        <f aca="false">ROUND(10.4/FX,2)</f>
        <v>1.44</v>
      </c>
      <c r="D248" s="21" t="s">
        <v>19670</v>
      </c>
    </row>
    <row r="249" customFormat="false" ht="15" hidden="false" customHeight="false" outlineLevel="0" collapsed="false">
      <c r="B249" s="19" t="s">
        <v>19671</v>
      </c>
      <c r="C249" s="20" t="n">
        <f aca="false">ROUND(12.74/FX,2)</f>
        <v>1.77</v>
      </c>
      <c r="D249" s="21" t="s">
        <v>19672</v>
      </c>
    </row>
    <row r="250" customFormat="false" ht="15" hidden="false" customHeight="false" outlineLevel="0" collapsed="false">
      <c r="B250" s="19" t="s">
        <v>19673</v>
      </c>
      <c r="C250" s="20" t="n">
        <f aca="false">ROUND(12.32/FX,2)</f>
        <v>1.71</v>
      </c>
      <c r="D250" s="21" t="s">
        <v>19674</v>
      </c>
    </row>
    <row r="251" customFormat="false" ht="15" hidden="false" customHeight="false" outlineLevel="0" collapsed="false">
      <c r="B251" s="19" t="s">
        <v>19675</v>
      </c>
      <c r="C251" s="20" t="n">
        <f aca="false">ROUND(13/FX,2)</f>
        <v>1.81</v>
      </c>
      <c r="D251" s="21" t="s">
        <v>19676</v>
      </c>
    </row>
    <row r="252" customFormat="false" ht="15" hidden="false" customHeight="false" outlineLevel="0" collapsed="false">
      <c r="B252" s="19" t="s">
        <v>19677</v>
      </c>
      <c r="C252" s="20" t="n">
        <f aca="false">ROUND(14.65/FX,2)</f>
        <v>2.03</v>
      </c>
      <c r="D252" s="21" t="s">
        <v>19678</v>
      </c>
    </row>
    <row r="253" customFormat="false" ht="15" hidden="false" customHeight="false" outlineLevel="0" collapsed="false">
      <c r="B253" s="19" t="s">
        <v>19679</v>
      </c>
      <c r="C253" s="20" t="n">
        <f aca="false">ROUND(26/FX,2)</f>
        <v>3.61</v>
      </c>
      <c r="D253" s="21" t="s">
        <v>19680</v>
      </c>
    </row>
    <row r="254" customFormat="false" ht="15" hidden="false" customHeight="false" outlineLevel="0" collapsed="false">
      <c r="B254" s="19" t="s">
        <v>19681</v>
      </c>
      <c r="C254" s="20" t="n">
        <f aca="false">ROUND(16.25/FX,2)</f>
        <v>2.26</v>
      </c>
      <c r="D254" s="21" t="s">
        <v>19682</v>
      </c>
    </row>
    <row r="255" customFormat="false" ht="15" hidden="false" customHeight="false" outlineLevel="0" collapsed="false">
      <c r="B255" s="19" t="s">
        <v>19683</v>
      </c>
      <c r="C255" s="20" t="n">
        <f aca="false">ROUND(17.55/FX,2)</f>
        <v>2.44</v>
      </c>
      <c r="D255" s="21" t="s">
        <v>19684</v>
      </c>
    </row>
    <row r="256" customFormat="false" ht="15" hidden="false" customHeight="false" outlineLevel="0" collapsed="false">
      <c r="B256" s="19" t="s">
        <v>19685</v>
      </c>
      <c r="C256" s="20" t="n">
        <f aca="false">ROUND(26/FX,2)</f>
        <v>3.61</v>
      </c>
      <c r="D256" s="21" t="s">
        <v>19686</v>
      </c>
    </row>
    <row r="257" customFormat="false" ht="15" hidden="false" customHeight="false" outlineLevel="0" collapsed="false">
      <c r="B257" s="19" t="s">
        <v>19687</v>
      </c>
      <c r="C257" s="20" t="n">
        <f aca="false">ROUND(28.6/FX,2)</f>
        <v>3.97</v>
      </c>
      <c r="D257" s="21" t="s">
        <v>19688</v>
      </c>
    </row>
    <row r="258" customFormat="false" ht="15" hidden="false" customHeight="false" outlineLevel="0" collapsed="false">
      <c r="B258" s="19" t="s">
        <v>19689</v>
      </c>
      <c r="C258" s="20" t="n">
        <f aca="false">ROUND(32.2/FX,2)</f>
        <v>4.47</v>
      </c>
      <c r="D258" s="21" t="s">
        <v>19690</v>
      </c>
    </row>
    <row r="261" customFormat="false" ht="61.5" hidden="false" customHeight="true" outlineLevel="0" collapsed="false">
      <c r="A261" s="9"/>
      <c r="B261" s="10" t="s">
        <v>19691</v>
      </c>
      <c r="C261" s="10"/>
      <c r="D261" s="10"/>
    </row>
    <row r="262" customFormat="false" ht="15" hidden="false" customHeight="false" outlineLevel="0" collapsed="false">
      <c r="B262" s="18" t="s">
        <v>701</v>
      </c>
      <c r="C262" s="18" t="s">
        <v>702</v>
      </c>
      <c r="D262" s="18" t="s">
        <v>5610</v>
      </c>
    </row>
    <row r="263" customFormat="false" ht="15" hidden="false" customHeight="false" outlineLevel="0" collapsed="false">
      <c r="B263" s="19" t="s">
        <v>19692</v>
      </c>
      <c r="C263" s="20" t="n">
        <f aca="false">ROUND(37.7/FX,2)</f>
        <v>5.24</v>
      </c>
      <c r="D263" s="22" t="s">
        <v>5612</v>
      </c>
    </row>
    <row r="266" customFormat="false" ht="61.5" hidden="false" customHeight="true" outlineLevel="0" collapsed="false">
      <c r="A266" s="9"/>
      <c r="B266" s="10" t="s">
        <v>19693</v>
      </c>
      <c r="C266" s="10"/>
      <c r="D266" s="10"/>
    </row>
    <row r="267" customFormat="false" ht="15" hidden="false" customHeight="false" outlineLevel="0" collapsed="false">
      <c r="A267" s="12" t="s">
        <v>700</v>
      </c>
      <c r="B267" s="13" t="s">
        <v>701</v>
      </c>
      <c r="C267" s="13" t="s">
        <v>702</v>
      </c>
      <c r="D267" s="13" t="s">
        <v>723</v>
      </c>
    </row>
    <row r="268" customFormat="false" ht="30" hidden="false" customHeight="true" outlineLevel="0" collapsed="false">
      <c r="A268" s="14" t="s">
        <v>706</v>
      </c>
      <c r="B268" s="15" t="str">
        <f aca="false">IF(COUNTIFS($D$271:$D$272,IF(D268="","*",D268))=1,INDEX($B:$B,SUMPRODUCT(((D268="")+($D$271:$D$272=D268)&gt;0)*ROW($B$271:$B$272))),IF(COUNTIFS($D$271:$D$272,IF(D268="","*",D268))=0,"Not available",COUNTIFS($D$271:$D$272,IF(D268="","*",D268))&amp;" match, keep choosing"))</f>
        <v>MT-023-38x8.8x8</v>
      </c>
      <c r="C268" s="16" t="n">
        <f aca="false">IF(COUNTIFS($D$271:$D$272,IF(D268="","*",D268))=1,INDEX($C:$C,SUMPRODUCT(((D268="")+($D$271:$D$272=D268)&gt;0)*ROW($B$271:$B$272))),"")</f>
        <v>0.32</v>
      </c>
      <c r="D268" s="17" t="s">
        <v>19694</v>
      </c>
    </row>
    <row r="270" customFormat="false" ht="15" hidden="false" customHeight="false" outlineLevel="0" collapsed="false">
      <c r="B270" s="18" t="s">
        <v>701</v>
      </c>
      <c r="C270" s="18" t="s">
        <v>702</v>
      </c>
      <c r="D270" s="18" t="s">
        <v>723</v>
      </c>
    </row>
    <row r="271" customFormat="false" ht="28.35" hidden="false" customHeight="false" outlineLevel="0" collapsed="false">
      <c r="B271" s="19" t="s">
        <v>19695</v>
      </c>
      <c r="C271" s="20" t="n">
        <f aca="false">ROUND(2.32/FX,2)</f>
        <v>0.32</v>
      </c>
      <c r="D271" s="21" t="s">
        <v>19694</v>
      </c>
    </row>
    <row r="272" customFormat="false" ht="28.35" hidden="false" customHeight="false" outlineLevel="0" collapsed="false">
      <c r="B272" s="19" t="s">
        <v>19696</v>
      </c>
      <c r="C272" s="20" t="n">
        <f aca="false">ROUND(1.95/FX,2)</f>
        <v>0.27</v>
      </c>
      <c r="D272" s="21" t="s">
        <v>19697</v>
      </c>
    </row>
    <row r="275" customFormat="false" ht="61.5" hidden="false" customHeight="true" outlineLevel="0" collapsed="false">
      <c r="A275" s="9"/>
      <c r="B275" s="10" t="s">
        <v>19698</v>
      </c>
      <c r="C275" s="10"/>
      <c r="D275" s="10"/>
    </row>
    <row r="276" customFormat="false" ht="15" hidden="false" customHeight="false" outlineLevel="0" collapsed="false">
      <c r="B276" s="18" t="s">
        <v>701</v>
      </c>
      <c r="C276" s="18" t="s">
        <v>702</v>
      </c>
      <c r="D276" s="18" t="s">
        <v>5610</v>
      </c>
    </row>
    <row r="277" customFormat="false" ht="15" hidden="false" customHeight="false" outlineLevel="0" collapsed="false">
      <c r="B277" s="19" t="s">
        <v>19699</v>
      </c>
      <c r="C277" s="20" t="n">
        <f aca="false">ROUND(54.6/FX,2)</f>
        <v>7.58</v>
      </c>
      <c r="D277" s="22" t="s">
        <v>5612</v>
      </c>
    </row>
    <row r="280" customFormat="false" ht="61.5" hidden="false" customHeight="true" outlineLevel="0" collapsed="false">
      <c r="A280" s="9"/>
      <c r="B280" s="10" t="s">
        <v>19700</v>
      </c>
      <c r="C280" s="10"/>
      <c r="D280" s="10"/>
    </row>
    <row r="281" customFormat="false" ht="15" hidden="false" customHeight="false" outlineLevel="0" collapsed="false">
      <c r="B281" s="18" t="s">
        <v>701</v>
      </c>
      <c r="C281" s="18" t="s">
        <v>702</v>
      </c>
      <c r="D281" s="18" t="s">
        <v>5610</v>
      </c>
    </row>
    <row r="282" customFormat="false" ht="15" hidden="false" customHeight="false" outlineLevel="0" collapsed="false">
      <c r="B282" s="19" t="s">
        <v>19701</v>
      </c>
      <c r="C282" s="20" t="n">
        <f aca="false">ROUND(58.5/FX,2)</f>
        <v>8.13</v>
      </c>
      <c r="D282" s="22" t="s">
        <v>5612</v>
      </c>
    </row>
    <row r="285" customFormat="false" ht="61.5" hidden="false" customHeight="true" outlineLevel="0" collapsed="false">
      <c r="A285" s="9"/>
      <c r="B285" s="10" t="s">
        <v>19702</v>
      </c>
      <c r="C285" s="10"/>
      <c r="D285" s="10"/>
    </row>
    <row r="286" customFormat="false" ht="15" hidden="false" customHeight="false" outlineLevel="0" collapsed="false">
      <c r="B286" s="18" t="s">
        <v>701</v>
      </c>
      <c r="C286" s="18" t="s">
        <v>702</v>
      </c>
      <c r="D286" s="18" t="s">
        <v>5610</v>
      </c>
    </row>
    <row r="287" customFormat="false" ht="15" hidden="false" customHeight="false" outlineLevel="0" collapsed="false">
      <c r="B287" s="19" t="s">
        <v>19703</v>
      </c>
      <c r="C287" s="20" t="n">
        <f aca="false">ROUND(42.6/FX,2)</f>
        <v>5.92</v>
      </c>
      <c r="D287" s="22" t="s">
        <v>5612</v>
      </c>
    </row>
    <row r="290" customFormat="false" ht="61.5" hidden="false" customHeight="true" outlineLevel="0" collapsed="false">
      <c r="A290" s="9"/>
      <c r="B290" s="10" t="s">
        <v>19704</v>
      </c>
      <c r="C290" s="10"/>
      <c r="D290" s="10"/>
    </row>
    <row r="291" customFormat="false" ht="15" hidden="false" customHeight="false" outlineLevel="0" collapsed="false">
      <c r="B291" s="18" t="s">
        <v>701</v>
      </c>
      <c r="C291" s="18" t="s">
        <v>702</v>
      </c>
      <c r="D291" s="18" t="s">
        <v>5610</v>
      </c>
    </row>
    <row r="292" customFormat="false" ht="15" hidden="false" customHeight="false" outlineLevel="0" collapsed="false">
      <c r="B292" s="19" t="s">
        <v>19705</v>
      </c>
      <c r="C292" s="20" t="n">
        <f aca="false">ROUND(36.4/FX,2)</f>
        <v>5.06</v>
      </c>
      <c r="D292" s="22" t="s">
        <v>5612</v>
      </c>
    </row>
    <row r="295" customFormat="false" ht="61.5" hidden="false" customHeight="true" outlineLevel="0" collapsed="false">
      <c r="A295" s="9"/>
      <c r="B295" s="10" t="s">
        <v>19706</v>
      </c>
      <c r="C295" s="10"/>
      <c r="D295" s="10"/>
    </row>
    <row r="296" customFormat="false" ht="15" hidden="false" customHeight="false" outlineLevel="0" collapsed="false">
      <c r="B296" s="18" t="s">
        <v>701</v>
      </c>
      <c r="C296" s="18" t="s">
        <v>702</v>
      </c>
      <c r="D296" s="18" t="s">
        <v>5610</v>
      </c>
    </row>
    <row r="297" customFormat="false" ht="15" hidden="false" customHeight="false" outlineLevel="0" collapsed="false">
      <c r="B297" s="19" t="s">
        <v>19707</v>
      </c>
      <c r="C297" s="20" t="n">
        <f aca="false">ROUND(24.7/FX,2)</f>
        <v>3.43</v>
      </c>
      <c r="D297" s="22" t="s">
        <v>5612</v>
      </c>
    </row>
    <row r="300" customFormat="false" ht="61.5" hidden="false" customHeight="true" outlineLevel="0" collapsed="false">
      <c r="A300" s="9"/>
      <c r="B300" s="10" t="s">
        <v>19708</v>
      </c>
      <c r="C300" s="10"/>
      <c r="D300" s="10"/>
    </row>
    <row r="301" customFormat="false" ht="15" hidden="false" customHeight="false" outlineLevel="0" collapsed="false">
      <c r="B301" s="18" t="s">
        <v>701</v>
      </c>
      <c r="C301" s="18" t="s">
        <v>702</v>
      </c>
      <c r="D301" s="18" t="s">
        <v>5610</v>
      </c>
    </row>
    <row r="302" customFormat="false" ht="15" hidden="false" customHeight="false" outlineLevel="0" collapsed="false">
      <c r="B302" s="19" t="s">
        <v>19709</v>
      </c>
      <c r="C302" s="20" t="n">
        <f aca="false">ROUND(52/FX,2)</f>
        <v>7.22</v>
      </c>
      <c r="D302" s="22" t="s">
        <v>5612</v>
      </c>
    </row>
    <row r="305" customFormat="false" ht="61.5" hidden="false" customHeight="true" outlineLevel="0" collapsed="false">
      <c r="A305" s="9"/>
      <c r="B305" s="10" t="s">
        <v>19710</v>
      </c>
      <c r="C305" s="10"/>
      <c r="D305" s="10"/>
    </row>
    <row r="306" customFormat="false" ht="15" hidden="false" customHeight="false" outlineLevel="0" collapsed="false">
      <c r="B306" s="18" t="s">
        <v>701</v>
      </c>
      <c r="C306" s="18" t="s">
        <v>702</v>
      </c>
      <c r="D306" s="18" t="s">
        <v>5610</v>
      </c>
    </row>
    <row r="307" customFormat="false" ht="15" hidden="false" customHeight="false" outlineLevel="0" collapsed="false">
      <c r="B307" s="19" t="s">
        <v>19711</v>
      </c>
      <c r="C307" s="20" t="n">
        <f aca="false">ROUND(11.68/FX,2)</f>
        <v>1.62</v>
      </c>
      <c r="D307" s="22" t="s">
        <v>5612</v>
      </c>
    </row>
    <row r="310" customFormat="false" ht="61.5" hidden="false" customHeight="true" outlineLevel="0" collapsed="false">
      <c r="A310" s="9"/>
      <c r="B310" s="10" t="s">
        <v>19712</v>
      </c>
      <c r="C310" s="10"/>
      <c r="D310" s="10"/>
      <c r="E310" s="10"/>
    </row>
    <row r="311" customFormat="false" ht="15" hidden="false" customHeight="false" outlineLevel="0" collapsed="false">
      <c r="A311" s="12" t="s">
        <v>700</v>
      </c>
      <c r="B311" s="13" t="s">
        <v>701</v>
      </c>
      <c r="C311" s="13" t="s">
        <v>702</v>
      </c>
      <c r="D311" s="13" t="s">
        <v>722</v>
      </c>
      <c r="E311" s="13" t="s">
        <v>723</v>
      </c>
    </row>
    <row r="312" customFormat="false" ht="30" hidden="false" customHeight="true" outlineLevel="0" collapsed="false">
      <c r="A312" s="14" t="s">
        <v>706</v>
      </c>
      <c r="B312" s="15" t="str">
        <f aca="false">IF(COUNTIFS($D$315:$D$318,IF(D312="","*",D312),$E$315:$E$318,IF(E312="","*",E312))=1,INDEX($B:$B,SUMPRODUCT(((D312="")+($D$315:$D$318=D312)&gt;0)*((E312="")+($E$315:$E$318=E312)&gt;0)*ROW($B$315:$B$318))),IF(COUNTIFS($D$315:$D$318,IF(D312="","*",D312),$E$315:$E$318,IF(E312="","*",E312))=0,"Not available",COUNTIFS($D$315:$D$318,IF(D312="","*",D312),$E$315:$E$318,IF(E312="","*",E312))&amp;" match, keep choosing"))</f>
        <v>MT-019-BK-HD21P</v>
      </c>
      <c r="C312" s="16" t="n">
        <f aca="false">IF(COUNTIFS($D$315:$D$318,IF(D312="","*",D312),$E$315:$E$318,IF(E312="","*",E312))=1,INDEX($C:$C,SUMPRODUCT(((D312="")+($D$315:$D$318=D312)&gt;0)*((E312="")+($E$315:$E$318=E312)&gt;0)*ROW($B$315:$B$318))),"")</f>
        <v>0.07</v>
      </c>
      <c r="D312" s="17" t="s">
        <v>724</v>
      </c>
      <c r="E312" s="17" t="s">
        <v>19713</v>
      </c>
    </row>
    <row r="314" customFormat="false" ht="15" hidden="false" customHeight="false" outlineLevel="0" collapsed="false">
      <c r="B314" s="18" t="s">
        <v>701</v>
      </c>
      <c r="C314" s="18" t="s">
        <v>702</v>
      </c>
      <c r="D314" s="18" t="s">
        <v>722</v>
      </c>
      <c r="E314" s="18" t="s">
        <v>723</v>
      </c>
    </row>
    <row r="315" customFormat="false" ht="15" hidden="false" customHeight="false" outlineLevel="0" collapsed="false">
      <c r="B315" s="19" t="s">
        <v>19714</v>
      </c>
      <c r="C315" s="20" t="n">
        <f aca="false">ROUND(0.52/FX,2)</f>
        <v>0.07</v>
      </c>
      <c r="D315" s="21" t="s">
        <v>724</v>
      </c>
      <c r="E315" s="21" t="s">
        <v>19713</v>
      </c>
    </row>
    <row r="316" customFormat="false" ht="15" hidden="false" customHeight="false" outlineLevel="0" collapsed="false">
      <c r="B316" s="19" t="s">
        <v>19715</v>
      </c>
      <c r="C316" s="20" t="n">
        <f aca="false">ROUND(0.73/FX,2)</f>
        <v>0.1</v>
      </c>
      <c r="D316" s="21" t="s">
        <v>724</v>
      </c>
      <c r="E316" s="21" t="s">
        <v>19716</v>
      </c>
    </row>
    <row r="317" customFormat="false" ht="15" hidden="false" customHeight="false" outlineLevel="0" collapsed="false">
      <c r="B317" s="19" t="s">
        <v>19717</v>
      </c>
      <c r="C317" s="20" t="n">
        <f aca="false">ROUND(0.52/FX,2)</f>
        <v>0.07</v>
      </c>
      <c r="D317" s="21" t="s">
        <v>751</v>
      </c>
      <c r="E317" s="21" t="s">
        <v>19713</v>
      </c>
    </row>
    <row r="318" customFormat="false" ht="15" hidden="false" customHeight="false" outlineLevel="0" collapsed="false">
      <c r="B318" s="19" t="s">
        <v>19718</v>
      </c>
      <c r="C318" s="20" t="n">
        <f aca="false">ROUND(0.73/FX,2)</f>
        <v>0.1</v>
      </c>
      <c r="D318" s="21" t="s">
        <v>751</v>
      </c>
      <c r="E318" s="21" t="s">
        <v>19716</v>
      </c>
    </row>
    <row r="321" customFormat="false" ht="61.5" hidden="false" customHeight="true" outlineLevel="0" collapsed="false">
      <c r="A321" s="9"/>
      <c r="B321" s="10" t="s">
        <v>19719</v>
      </c>
      <c r="C321" s="10"/>
      <c r="D321" s="10"/>
    </row>
    <row r="322" customFormat="false" ht="15" hidden="false" customHeight="false" outlineLevel="0" collapsed="false">
      <c r="B322" s="18" t="s">
        <v>701</v>
      </c>
      <c r="C322" s="18" t="s">
        <v>702</v>
      </c>
      <c r="D322" s="18" t="s">
        <v>5610</v>
      </c>
    </row>
    <row r="323" customFormat="false" ht="15" hidden="false" customHeight="false" outlineLevel="0" collapsed="false">
      <c r="B323" s="19" t="s">
        <v>19720</v>
      </c>
      <c r="C323" s="20" t="n">
        <f aca="false">ROUND(1.1/FX,2)</f>
        <v>0.15</v>
      </c>
      <c r="D323" s="22" t="s">
        <v>5612</v>
      </c>
    </row>
    <row r="326" customFormat="false" ht="61.5" hidden="false" customHeight="true" outlineLevel="0" collapsed="false">
      <c r="A326" s="9"/>
      <c r="B326" s="10" t="s">
        <v>19721</v>
      </c>
      <c r="C326" s="10"/>
      <c r="D326" s="10"/>
      <c r="E326" s="10"/>
    </row>
    <row r="327" customFormat="false" ht="15" hidden="false" customHeight="false" outlineLevel="0" collapsed="false">
      <c r="A327" s="12" t="s">
        <v>700</v>
      </c>
      <c r="B327" s="13" t="s">
        <v>701</v>
      </c>
      <c r="C327" s="13" t="s">
        <v>702</v>
      </c>
      <c r="D327" s="13" t="s">
        <v>6328</v>
      </c>
      <c r="E327" s="13" t="s">
        <v>19722</v>
      </c>
    </row>
    <row r="328" customFormat="false" ht="30" hidden="false" customHeight="true" outlineLevel="0" collapsed="false">
      <c r="A328" s="14" t="s">
        <v>706</v>
      </c>
      <c r="B328" s="15" t="str">
        <f aca="false">IF(COUNTIFS($D$331:$D$351,IF(D328="","*",D328),$E$331:$E$351,IF(E328="","*",E328))=1,INDEX($B:$B,SUMPRODUCT(((D328="")+($D$331:$D$351=D328)&gt;0)*((E328="")+($E$331:$E$351=E328)&gt;0)*ROW($B$331:$B$351))),IF(COUNTIFS($D$331:$D$351,IF(D328="","*",D328),$E$331:$E$351,IF(E328="","*",E328))=0,"Not available",COUNTIFS($D$331:$D$351,IF(D328="","*",D328),$E$331:$E$351,IF(E328="","*",E328))&amp;" match, keep choosing"))</f>
        <v>MT-011-DB-XZ0.1M</v>
      </c>
      <c r="C328" s="16" t="n">
        <f aca="false">IF(COUNTIFS($D$331:$D$351,IF(D328="","*",D328),$E$331:$E$351,IF(E328="","*",E328))=1,INDEX($C:$C,SUMPRODUCT(((D328="")+($D$331:$D$351=D328)&gt;0)*((E328="")+($E$331:$E$351=E328)&gt;0)*ROW($B$331:$B$351))),"")</f>
        <v>0.09</v>
      </c>
      <c r="D328" s="17" t="s">
        <v>19723</v>
      </c>
      <c r="E328" s="17" t="s">
        <v>19724</v>
      </c>
    </row>
    <row r="330" customFormat="false" ht="15" hidden="false" customHeight="false" outlineLevel="0" collapsed="false">
      <c r="B330" s="18" t="s">
        <v>701</v>
      </c>
      <c r="C330" s="18" t="s">
        <v>702</v>
      </c>
      <c r="D330" s="18" t="s">
        <v>6328</v>
      </c>
      <c r="E330" s="18" t="s">
        <v>19722</v>
      </c>
    </row>
    <row r="331" customFormat="false" ht="15" hidden="false" customHeight="false" outlineLevel="0" collapsed="false">
      <c r="B331" s="19" t="s">
        <v>19725</v>
      </c>
      <c r="C331" s="20" t="n">
        <f aca="false">ROUND(0.68/FX,2)</f>
        <v>0.09</v>
      </c>
      <c r="D331" s="21" t="s">
        <v>19723</v>
      </c>
      <c r="E331" s="21" t="s">
        <v>19724</v>
      </c>
    </row>
    <row r="332" customFormat="false" ht="15" hidden="false" customHeight="false" outlineLevel="0" collapsed="false">
      <c r="B332" s="19" t="s">
        <v>19726</v>
      </c>
      <c r="C332" s="20" t="n">
        <f aca="false">ROUND(0.78/FX,2)</f>
        <v>0.11</v>
      </c>
      <c r="D332" s="21" t="s">
        <v>19723</v>
      </c>
      <c r="E332" s="21" t="s">
        <v>19727</v>
      </c>
    </row>
    <row r="333" customFormat="false" ht="15" hidden="false" customHeight="false" outlineLevel="0" collapsed="false">
      <c r="B333" s="19" t="s">
        <v>19728</v>
      </c>
      <c r="C333" s="20" t="n">
        <f aca="false">ROUND(1.02/FX,2)</f>
        <v>0.14</v>
      </c>
      <c r="D333" s="21" t="s">
        <v>19723</v>
      </c>
      <c r="E333" s="21" t="s">
        <v>19729</v>
      </c>
    </row>
    <row r="334" customFormat="false" ht="15" hidden="false" customHeight="false" outlineLevel="0" collapsed="false">
      <c r="B334" s="19" t="s">
        <v>19730</v>
      </c>
      <c r="C334" s="20" t="n">
        <f aca="false">ROUND(1.18/FX,2)</f>
        <v>0.16</v>
      </c>
      <c r="D334" s="21" t="s">
        <v>19723</v>
      </c>
      <c r="E334" s="21" t="s">
        <v>19731</v>
      </c>
    </row>
    <row r="335" customFormat="false" ht="15" hidden="false" customHeight="false" outlineLevel="0" collapsed="false">
      <c r="B335" s="19" t="s">
        <v>19732</v>
      </c>
      <c r="C335" s="20" t="n">
        <f aca="false">ROUND(1.56/FX,2)</f>
        <v>0.22</v>
      </c>
      <c r="D335" s="21" t="s">
        <v>19723</v>
      </c>
      <c r="E335" s="21" t="s">
        <v>19733</v>
      </c>
    </row>
    <row r="336" customFormat="false" ht="15" hidden="false" customHeight="false" outlineLevel="0" collapsed="false">
      <c r="B336" s="19" t="s">
        <v>19734</v>
      </c>
      <c r="C336" s="20" t="n">
        <f aca="false">ROUND(1.99/FX,2)</f>
        <v>0.28</v>
      </c>
      <c r="D336" s="21" t="s">
        <v>19723</v>
      </c>
      <c r="E336" s="21" t="s">
        <v>19735</v>
      </c>
    </row>
    <row r="337" customFormat="false" ht="15" hidden="false" customHeight="false" outlineLevel="0" collapsed="false">
      <c r="B337" s="19" t="s">
        <v>19736</v>
      </c>
      <c r="C337" s="20" t="n">
        <f aca="false">ROUND(1.43/FX,2)</f>
        <v>0.2</v>
      </c>
      <c r="D337" s="21" t="s">
        <v>19723</v>
      </c>
      <c r="E337" s="21" t="s">
        <v>709</v>
      </c>
    </row>
    <row r="338" customFormat="false" ht="15" hidden="false" customHeight="false" outlineLevel="0" collapsed="false">
      <c r="B338" s="19" t="s">
        <v>19737</v>
      </c>
      <c r="C338" s="20" t="n">
        <f aca="false">ROUND(2.86/FX,2)</f>
        <v>0.4</v>
      </c>
      <c r="D338" s="21" t="s">
        <v>19723</v>
      </c>
      <c r="E338" s="21" t="s">
        <v>19738</v>
      </c>
    </row>
    <row r="339" customFormat="false" ht="15" hidden="false" customHeight="false" outlineLevel="0" collapsed="false">
      <c r="B339" s="19" t="s">
        <v>19739</v>
      </c>
      <c r="C339" s="20" t="n">
        <f aca="false">ROUND(2.6/FX,2)</f>
        <v>0.36</v>
      </c>
      <c r="D339" s="21" t="s">
        <v>19723</v>
      </c>
      <c r="E339" s="21" t="s">
        <v>6357</v>
      </c>
    </row>
    <row r="340" customFormat="false" ht="15" hidden="false" customHeight="false" outlineLevel="0" collapsed="false">
      <c r="B340" s="19" t="s">
        <v>19740</v>
      </c>
      <c r="C340" s="20" t="n">
        <f aca="false">ROUND(4.1/FX,2)</f>
        <v>0.57</v>
      </c>
      <c r="D340" s="21" t="s">
        <v>19723</v>
      </c>
      <c r="E340" s="21" t="s">
        <v>19741</v>
      </c>
    </row>
    <row r="341" customFormat="false" ht="15" hidden="false" customHeight="false" outlineLevel="0" collapsed="false">
      <c r="B341" s="19" t="s">
        <v>19742</v>
      </c>
      <c r="C341" s="20" t="n">
        <f aca="false">ROUND(0.65/FX,2)</f>
        <v>0.09</v>
      </c>
      <c r="D341" s="21" t="s">
        <v>19743</v>
      </c>
      <c r="E341" s="21" t="s">
        <v>19724</v>
      </c>
    </row>
    <row r="342" customFormat="false" ht="15" hidden="false" customHeight="false" outlineLevel="0" collapsed="false">
      <c r="B342" s="19" t="s">
        <v>19744</v>
      </c>
      <c r="C342" s="20" t="n">
        <f aca="false">ROUND(0.78/FX,2)</f>
        <v>0.11</v>
      </c>
      <c r="D342" s="21" t="s">
        <v>19743</v>
      </c>
      <c r="E342" s="21" t="s">
        <v>19727</v>
      </c>
    </row>
    <row r="343" customFormat="false" ht="15" hidden="false" customHeight="false" outlineLevel="0" collapsed="false">
      <c r="B343" s="19" t="s">
        <v>19745</v>
      </c>
      <c r="C343" s="20" t="n">
        <f aca="false">ROUND(1.02/FX,2)</f>
        <v>0.14</v>
      </c>
      <c r="D343" s="21" t="s">
        <v>19743</v>
      </c>
      <c r="E343" s="21" t="s">
        <v>19729</v>
      </c>
    </row>
    <row r="344" customFormat="false" ht="15" hidden="false" customHeight="false" outlineLevel="0" collapsed="false">
      <c r="B344" s="19" t="s">
        <v>19746</v>
      </c>
      <c r="C344" s="20" t="n">
        <f aca="false">ROUND(1.11/FX,2)</f>
        <v>0.15</v>
      </c>
      <c r="D344" s="21" t="s">
        <v>19743</v>
      </c>
      <c r="E344" s="21" t="s">
        <v>19731</v>
      </c>
    </row>
    <row r="345" customFormat="false" ht="15" hidden="false" customHeight="false" outlineLevel="0" collapsed="false">
      <c r="B345" s="19" t="s">
        <v>19747</v>
      </c>
      <c r="C345" s="20" t="n">
        <f aca="false">ROUND(1.26/FX,2)</f>
        <v>0.18</v>
      </c>
      <c r="D345" s="21" t="s">
        <v>19743</v>
      </c>
      <c r="E345" s="21" t="s">
        <v>19748</v>
      </c>
    </row>
    <row r="346" customFormat="false" ht="15" hidden="false" customHeight="false" outlineLevel="0" collapsed="false">
      <c r="B346" s="19" t="s">
        <v>19749</v>
      </c>
      <c r="C346" s="20" t="n">
        <f aca="false">ROUND(1.56/FX,2)</f>
        <v>0.22</v>
      </c>
      <c r="D346" s="21" t="s">
        <v>19743</v>
      </c>
      <c r="E346" s="21" t="s">
        <v>19733</v>
      </c>
    </row>
    <row r="347" customFormat="false" ht="15" hidden="false" customHeight="false" outlineLevel="0" collapsed="false">
      <c r="B347" s="19" t="s">
        <v>19750</v>
      </c>
      <c r="C347" s="20" t="n">
        <f aca="false">ROUND(2.08/FX,2)</f>
        <v>0.29</v>
      </c>
      <c r="D347" s="21" t="s">
        <v>19743</v>
      </c>
      <c r="E347" s="21" t="s">
        <v>19735</v>
      </c>
    </row>
    <row r="348" customFormat="false" ht="15" hidden="false" customHeight="false" outlineLevel="0" collapsed="false">
      <c r="B348" s="19" t="s">
        <v>19751</v>
      </c>
      <c r="C348" s="20" t="n">
        <f aca="false">ROUND(1.3/FX,2)</f>
        <v>0.18</v>
      </c>
      <c r="D348" s="21" t="s">
        <v>19743</v>
      </c>
      <c r="E348" s="21" t="s">
        <v>709</v>
      </c>
    </row>
    <row r="349" customFormat="false" ht="15" hidden="false" customHeight="false" outlineLevel="0" collapsed="false">
      <c r="B349" s="19" t="s">
        <v>19752</v>
      </c>
      <c r="C349" s="20" t="n">
        <f aca="false">ROUND(2.86/FX,2)</f>
        <v>0.4</v>
      </c>
      <c r="D349" s="21" t="s">
        <v>19743</v>
      </c>
      <c r="E349" s="21" t="s">
        <v>19738</v>
      </c>
    </row>
    <row r="350" customFormat="false" ht="15" hidden="false" customHeight="false" outlineLevel="0" collapsed="false">
      <c r="B350" s="19" t="s">
        <v>19753</v>
      </c>
      <c r="C350" s="20" t="n">
        <f aca="false">ROUND(2.6/FX,2)</f>
        <v>0.36</v>
      </c>
      <c r="D350" s="21" t="s">
        <v>19743</v>
      </c>
      <c r="E350" s="21" t="s">
        <v>6357</v>
      </c>
    </row>
    <row r="351" customFormat="false" ht="15" hidden="false" customHeight="false" outlineLevel="0" collapsed="false">
      <c r="B351" s="19" t="s">
        <v>19754</v>
      </c>
      <c r="C351" s="20" t="n">
        <f aca="false">ROUND(4.1/FX,2)</f>
        <v>0.57</v>
      </c>
      <c r="D351" s="21" t="s">
        <v>19743</v>
      </c>
      <c r="E351" s="21" t="s">
        <v>19741</v>
      </c>
    </row>
    <row r="354" customFormat="false" ht="61.5" hidden="false" customHeight="true" outlineLevel="0" collapsed="false">
      <c r="A354" s="9"/>
      <c r="B354" s="10" t="s">
        <v>19755</v>
      </c>
      <c r="C354" s="10"/>
      <c r="D354" s="10"/>
    </row>
    <row r="355" customFormat="false" ht="15" hidden="false" customHeight="false" outlineLevel="0" collapsed="false">
      <c r="B355" s="18" t="s">
        <v>701</v>
      </c>
      <c r="C355" s="18" t="s">
        <v>702</v>
      </c>
      <c r="D355" s="18" t="s">
        <v>5610</v>
      </c>
    </row>
    <row r="356" customFormat="false" ht="15" hidden="false" customHeight="false" outlineLevel="0" collapsed="false">
      <c r="B356" s="19" t="s">
        <v>19756</v>
      </c>
      <c r="C356" s="20" t="n">
        <f aca="false">ROUND(2.34/FX,2)</f>
        <v>0.33</v>
      </c>
      <c r="D356" s="22" t="s">
        <v>5612</v>
      </c>
    </row>
    <row r="359" customFormat="false" ht="61.5" hidden="false" customHeight="true" outlineLevel="0" collapsed="false">
      <c r="A359" s="9"/>
      <c r="B359" s="10" t="s">
        <v>19757</v>
      </c>
      <c r="C359" s="10"/>
      <c r="D359" s="10"/>
    </row>
    <row r="360" customFormat="false" ht="15" hidden="false" customHeight="false" outlineLevel="0" collapsed="false">
      <c r="A360" s="12" t="s">
        <v>700</v>
      </c>
      <c r="B360" s="13" t="s">
        <v>701</v>
      </c>
      <c r="C360" s="13" t="s">
        <v>702</v>
      </c>
      <c r="D360" s="13" t="s">
        <v>723</v>
      </c>
    </row>
    <row r="361" customFormat="false" ht="30" hidden="false" customHeight="true" outlineLevel="0" collapsed="false">
      <c r="A361" s="14" t="s">
        <v>706</v>
      </c>
      <c r="B361" s="15" t="str">
        <f aca="false">IF(COUNTIFS($D$364:$D$387,IF(D361="","*",D361))=1,INDEX($B:$B,SUMPRODUCT(((D361="")+($D$364:$D$387=D361)&gt;0)*ROW($B$364:$B$387))),IF(COUNTIFS($D$364:$D$387,IF(D361="","*",D361))=0,"Not available",COUNTIFS($D$364:$D$387,IF(D361="","*",D361))&amp;" match, keep choosing"))</f>
        <v>MT-010-110BJDJZ</v>
      </c>
      <c r="C361" s="16" t="n">
        <f aca="false">IF(COUNTIFS($D$364:$D$387,IF(D361="","*",D361))=1,INDEX($C:$C,SUMPRODUCT(((D361="")+($D$364:$D$387=D361)&gt;0)*ROW($B$364:$B$387))),"")</f>
        <v>12.98</v>
      </c>
      <c r="D361" s="17" t="s">
        <v>19758</v>
      </c>
    </row>
    <row r="363" customFormat="false" ht="15" hidden="false" customHeight="false" outlineLevel="0" collapsed="false">
      <c r="B363" s="18" t="s">
        <v>701</v>
      </c>
      <c r="C363" s="18" t="s">
        <v>702</v>
      </c>
      <c r="D363" s="18" t="s">
        <v>723</v>
      </c>
    </row>
    <row r="364" customFormat="false" ht="28.35" hidden="false" customHeight="false" outlineLevel="0" collapsed="false">
      <c r="B364" s="19" t="s">
        <v>19759</v>
      </c>
      <c r="C364" s="20" t="n">
        <f aca="false">ROUND(93.47/FX,2)</f>
        <v>12.98</v>
      </c>
      <c r="D364" s="21" t="s">
        <v>19758</v>
      </c>
    </row>
    <row r="365" customFormat="false" ht="28.35" hidden="false" customHeight="false" outlineLevel="0" collapsed="false">
      <c r="B365" s="19" t="s">
        <v>19760</v>
      </c>
      <c r="C365" s="20" t="n">
        <f aca="false">ROUND(106.6/FX,2)</f>
        <v>14.81</v>
      </c>
      <c r="D365" s="21" t="s">
        <v>19761</v>
      </c>
    </row>
    <row r="366" customFormat="false" ht="28.35" hidden="false" customHeight="false" outlineLevel="0" collapsed="false">
      <c r="B366" s="19" t="s">
        <v>19762</v>
      </c>
      <c r="C366" s="20" t="n">
        <f aca="false">ROUND(93.47/FX,2)</f>
        <v>12.98</v>
      </c>
      <c r="D366" s="21" t="s">
        <v>19763</v>
      </c>
    </row>
    <row r="367" customFormat="false" ht="28.35" hidden="false" customHeight="false" outlineLevel="0" collapsed="false">
      <c r="B367" s="19" t="s">
        <v>19764</v>
      </c>
      <c r="C367" s="20" t="n">
        <f aca="false">ROUND(106.6/FX,2)</f>
        <v>14.81</v>
      </c>
      <c r="D367" s="21" t="s">
        <v>19765</v>
      </c>
    </row>
    <row r="368" customFormat="false" ht="28.35" hidden="false" customHeight="false" outlineLevel="0" collapsed="false">
      <c r="B368" s="19" t="s">
        <v>19766</v>
      </c>
      <c r="C368" s="20" t="n">
        <f aca="false">ROUND(116.87/FX,2)</f>
        <v>16.23</v>
      </c>
      <c r="D368" s="21" t="s">
        <v>19767</v>
      </c>
    </row>
    <row r="369" customFormat="false" ht="28.35" hidden="false" customHeight="false" outlineLevel="0" collapsed="false">
      <c r="B369" s="19" t="s">
        <v>19768</v>
      </c>
      <c r="C369" s="20" t="n">
        <f aca="false">ROUND(136.5/FX,2)</f>
        <v>18.96</v>
      </c>
      <c r="D369" s="21" t="s">
        <v>19769</v>
      </c>
    </row>
    <row r="370" customFormat="false" ht="28.35" hidden="false" customHeight="false" outlineLevel="0" collapsed="false">
      <c r="B370" s="19" t="s">
        <v>19770</v>
      </c>
      <c r="C370" s="20" t="n">
        <f aca="false">ROUND(116.87/FX,2)</f>
        <v>16.23</v>
      </c>
      <c r="D370" s="21" t="s">
        <v>19771</v>
      </c>
    </row>
    <row r="371" customFormat="false" ht="28.35" hidden="false" customHeight="false" outlineLevel="0" collapsed="false">
      <c r="B371" s="19" t="s">
        <v>19772</v>
      </c>
      <c r="C371" s="20" t="n">
        <f aca="false">ROUND(136.5/FX,2)</f>
        <v>18.96</v>
      </c>
      <c r="D371" s="21" t="s">
        <v>19773</v>
      </c>
    </row>
    <row r="372" customFormat="false" ht="28.35" hidden="false" customHeight="false" outlineLevel="0" collapsed="false">
      <c r="B372" s="19" t="s">
        <v>19774</v>
      </c>
      <c r="C372" s="20" t="n">
        <f aca="false">ROUND(153.4/FX,2)</f>
        <v>21.31</v>
      </c>
      <c r="D372" s="21" t="s">
        <v>19775</v>
      </c>
    </row>
    <row r="373" customFormat="false" ht="28.35" hidden="false" customHeight="false" outlineLevel="0" collapsed="false">
      <c r="B373" s="19" t="s">
        <v>19776</v>
      </c>
      <c r="C373" s="20" t="n">
        <f aca="false">ROUND(172.9/FX,2)</f>
        <v>24.01</v>
      </c>
      <c r="D373" s="21" t="s">
        <v>19777</v>
      </c>
    </row>
    <row r="374" customFormat="false" ht="28.35" hidden="false" customHeight="false" outlineLevel="0" collapsed="false">
      <c r="B374" s="19" t="s">
        <v>19778</v>
      </c>
      <c r="C374" s="20" t="n">
        <f aca="false">ROUND(46.67/FX,2)</f>
        <v>6.48</v>
      </c>
      <c r="D374" s="21" t="s">
        <v>19779</v>
      </c>
    </row>
    <row r="375" customFormat="false" ht="28.35" hidden="false" customHeight="false" outlineLevel="0" collapsed="false">
      <c r="B375" s="19" t="s">
        <v>19780</v>
      </c>
      <c r="C375" s="20" t="n">
        <f aca="false">ROUND(53.3/FX,2)</f>
        <v>7.4</v>
      </c>
      <c r="D375" s="21" t="s">
        <v>19781</v>
      </c>
    </row>
    <row r="376" customFormat="false" ht="28.35" hidden="false" customHeight="false" outlineLevel="0" collapsed="false">
      <c r="B376" s="19" t="s">
        <v>19782</v>
      </c>
      <c r="C376" s="20" t="n">
        <f aca="false">ROUND(46.8/FX,2)</f>
        <v>6.5</v>
      </c>
      <c r="D376" s="21" t="s">
        <v>19783</v>
      </c>
    </row>
    <row r="377" customFormat="false" ht="28.35" hidden="false" customHeight="false" outlineLevel="0" collapsed="false">
      <c r="B377" s="19" t="s">
        <v>19784</v>
      </c>
      <c r="C377" s="20" t="n">
        <f aca="false">ROUND(53.3/FX,2)</f>
        <v>7.4</v>
      </c>
      <c r="D377" s="21" t="s">
        <v>19785</v>
      </c>
    </row>
    <row r="378" customFormat="false" ht="28.35" hidden="false" customHeight="false" outlineLevel="0" collapsed="false">
      <c r="B378" s="19" t="s">
        <v>19786</v>
      </c>
      <c r="C378" s="20" t="n">
        <f aca="false">ROUND(45.5/FX,2)</f>
        <v>6.32</v>
      </c>
      <c r="D378" s="21" t="s">
        <v>19787</v>
      </c>
    </row>
    <row r="379" customFormat="false" ht="28.35" hidden="false" customHeight="false" outlineLevel="0" collapsed="false">
      <c r="B379" s="19" t="s">
        <v>19788</v>
      </c>
      <c r="C379" s="20" t="n">
        <f aca="false">ROUND(37.7/FX,2)</f>
        <v>5.24</v>
      </c>
      <c r="D379" s="21" t="s">
        <v>19789</v>
      </c>
    </row>
    <row r="380" customFormat="false" ht="28.35" hidden="false" customHeight="false" outlineLevel="0" collapsed="false">
      <c r="B380" s="19" t="s">
        <v>19790</v>
      </c>
      <c r="C380" s="20" t="n">
        <f aca="false">ROUND(52/FX,2)</f>
        <v>7.22</v>
      </c>
      <c r="D380" s="21" t="s">
        <v>19791</v>
      </c>
    </row>
    <row r="381" customFormat="false" ht="28.35" hidden="false" customHeight="false" outlineLevel="0" collapsed="false">
      <c r="B381" s="19" t="s">
        <v>19792</v>
      </c>
      <c r="C381" s="20" t="n">
        <f aca="false">ROUND(37.7/FX,2)</f>
        <v>5.24</v>
      </c>
      <c r="D381" s="21" t="s">
        <v>19793</v>
      </c>
    </row>
    <row r="382" customFormat="false" ht="28.35" hidden="false" customHeight="false" outlineLevel="0" collapsed="false">
      <c r="B382" s="19" t="s">
        <v>19794</v>
      </c>
      <c r="C382" s="20" t="n">
        <f aca="false">ROUND(62.4/FX,2)</f>
        <v>8.67</v>
      </c>
      <c r="D382" s="21" t="s">
        <v>19795</v>
      </c>
    </row>
    <row r="383" customFormat="false" ht="28.35" hidden="false" customHeight="false" outlineLevel="0" collapsed="false">
      <c r="B383" s="19" t="s">
        <v>19796</v>
      </c>
      <c r="C383" s="20" t="n">
        <f aca="false">ROUND(52/FX,2)</f>
        <v>7.22</v>
      </c>
      <c r="D383" s="21" t="s">
        <v>19797</v>
      </c>
    </row>
    <row r="384" customFormat="false" ht="28.35" hidden="false" customHeight="false" outlineLevel="0" collapsed="false">
      <c r="B384" s="19" t="s">
        <v>19798</v>
      </c>
      <c r="C384" s="20" t="n">
        <f aca="false">ROUND(54.6/FX,2)</f>
        <v>7.58</v>
      </c>
      <c r="D384" s="21" t="s">
        <v>19799</v>
      </c>
    </row>
    <row r="385" customFormat="false" ht="28.35" hidden="false" customHeight="false" outlineLevel="0" collapsed="false">
      <c r="B385" s="19" t="s">
        <v>19800</v>
      </c>
      <c r="C385" s="20" t="n">
        <f aca="false">ROUND(52/FX,2)</f>
        <v>7.22</v>
      </c>
      <c r="D385" s="21" t="s">
        <v>19801</v>
      </c>
    </row>
    <row r="386" customFormat="false" ht="28.35" hidden="false" customHeight="false" outlineLevel="0" collapsed="false">
      <c r="B386" s="19" t="s">
        <v>19802</v>
      </c>
      <c r="C386" s="20" t="n">
        <f aca="false">ROUND(117/FX,2)</f>
        <v>16.25</v>
      </c>
      <c r="D386" s="21" t="s">
        <v>19803</v>
      </c>
    </row>
    <row r="387" customFormat="false" ht="41.75" hidden="false" customHeight="false" outlineLevel="0" collapsed="false">
      <c r="B387" s="19" t="s">
        <v>19804</v>
      </c>
      <c r="C387" s="20" t="n">
        <f aca="false">ROUND(127.4/FX,2)</f>
        <v>17.69</v>
      </c>
      <c r="D387" s="21" t="s">
        <v>19805</v>
      </c>
    </row>
  </sheetData>
  <mergeCells count="35">
    <mergeCell ref="B1:D1"/>
    <mergeCell ref="B10:G10"/>
    <mergeCell ref="B38:D38"/>
    <mergeCell ref="B48:G48"/>
    <mergeCell ref="B59:D59"/>
    <mergeCell ref="B69:D69"/>
    <mergeCell ref="B74:D74"/>
    <mergeCell ref="B105:D105"/>
    <mergeCell ref="B114:D114"/>
    <mergeCell ref="B123:D123"/>
    <mergeCell ref="B128:E128"/>
    <mergeCell ref="B157:F157"/>
    <mergeCell ref="B175:D175"/>
    <mergeCell ref="B184:D184"/>
    <mergeCell ref="B193:D193"/>
    <mergeCell ref="B202:D202"/>
    <mergeCell ref="B211:D211"/>
    <mergeCell ref="B216:D216"/>
    <mergeCell ref="B225:D225"/>
    <mergeCell ref="B230:F230"/>
    <mergeCell ref="B241:D241"/>
    <mergeCell ref="B261:D261"/>
    <mergeCell ref="B266:D266"/>
    <mergeCell ref="B275:D275"/>
    <mergeCell ref="B280:D280"/>
    <mergeCell ref="B285:D285"/>
    <mergeCell ref="B290:D290"/>
    <mergeCell ref="B295:D295"/>
    <mergeCell ref="B300:D300"/>
    <mergeCell ref="B305:D305"/>
    <mergeCell ref="B310:E310"/>
    <mergeCell ref="B321:D321"/>
    <mergeCell ref="B326:E326"/>
    <mergeCell ref="B354:D354"/>
    <mergeCell ref="B359:D359"/>
  </mergeCells>
  <dataValidations count="34">
    <dataValidation allowBlank="true" error="Please choose from the list" errorStyle="stop" errorTitle="▶ Quick quote" operator="between" showDropDown="false" showErrorMessage="false" showInputMessage="false" sqref="D3" type="list">
      <formula1>_lists!$PP$1:$PP$2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" type="list">
      <formula1>_lists!$PQ$1:$PQ$9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" type="list">
      <formula1>_lists!$PR$1:$PR$4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" type="list">
      <formula1>_lists!$PS$1:$PS$2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2" type="list">
      <formula1>_lists!$PT$1:$PT$3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" type="list">
      <formula1>_lists!$PU$1:$PU$3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0" type="list">
      <formula1>_lists!$PV$1:$PV$2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0" type="list">
      <formula1>_lists!$PW$1:$PW$3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0" type="list">
      <formula1>_lists!$PX$1:$PX$2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0" type="list">
      <formula1>_lists!$PY$1:$PY$2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1" type="list">
      <formula1>_lists!$PZ$1:$PZ$3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6" type="list">
      <formula1>_lists!$QA$1:$QA$24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7" type="list">
      <formula1>_lists!$QB$1:$QB$2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6" type="list">
      <formula1>_lists!$QC$1:$QC$2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0" type="list">
      <formula1>_lists!$QD$1:$QD$2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0" type="list">
      <formula1>_lists!$QE$1:$QE$21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9" type="list">
      <formula1>_lists!$QF$1:$QF$8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9" type="list">
      <formula1>_lists!$QG$1:$QG$3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59" type="list">
      <formula1>_lists!$QH$1:$QH$2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7" type="list">
      <formula1>_lists!$QI$1:$QI$2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6" type="list">
      <formula1>_lists!$QJ$1:$QJ$2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5" type="list">
      <formula1>_lists!$QK$1:$QK$2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4" type="list">
      <formula1>_lists!$QL$1:$QL$2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8" type="list">
      <formula1>_lists!$QM$1:$QM$2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32" type="list">
      <formula1>_lists!$QN$1:$QN$2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32" type="list">
      <formula1>_lists!$QO$1:$QO$2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32" type="list">
      <formula1>_lists!$QP$1:$QP$2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43" type="list">
      <formula1>_lists!$QQ$1:$QQ$13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8" type="list">
      <formula1>_lists!$QR$1:$QR$2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2" type="list">
      <formula1>_lists!$QS$1:$QS$2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12" type="list">
      <formula1>_lists!$QT$1:$QT$2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8" type="list">
      <formula1>_lists!$QU$1:$QU$2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8" type="list">
      <formula1>_lists!$QV$1:$QV$11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1" type="list">
      <formula1>_lists!$QW$1:$QW$24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265</v>
      </c>
      <c r="C1" s="10"/>
      <c r="D1" s="10"/>
      <c r="E1" s="10"/>
      <c r="F1" s="10"/>
    </row>
    <row r="2" customFormat="false" ht="15" hidden="false" customHeight="false" outlineLevel="0" collapsed="false">
      <c r="A2" s="12" t="s">
        <v>700</v>
      </c>
      <c r="B2" s="13" t="s">
        <v>701</v>
      </c>
      <c r="C2" s="13" t="s">
        <v>702</v>
      </c>
      <c r="D2" s="13" t="s">
        <v>722</v>
      </c>
      <c r="E2" s="13" t="s">
        <v>11716</v>
      </c>
      <c r="F2" s="13" t="s">
        <v>19806</v>
      </c>
    </row>
    <row r="3" customFormat="false" ht="30" hidden="false" customHeight="true" outlineLevel="0" collapsed="false">
      <c r="A3" s="14" t="s">
        <v>706</v>
      </c>
      <c r="B3" s="15" t="str">
        <f aca="false">IF(COUNTIFS($D$6:$D$17,IF(D3="","*",D3),$E$6:$E$17,IF(E3="","*",E3),$F$6:$F$17,IF(F3="","*",F3))=1,INDEX($B:$B,SUMPRODUCT(((D3="")+($D$6:$D$17=D3)&gt;0)*((E3="")+($E$6:$E$17=E3)&gt;0)*((F3="")+($F$6:$F$17=F3)&gt;0)*ROW($B$6:$B$17))),IF(COUNTIFS($D$6:$D$17,IF(D3="","*",D3),$E$6:$E$17,IF(E3="","*",E3),$F$6:$F$17,IF(F3="","*",F3))=0,"Not available",COUNTIFS($D$6:$D$17,IF(D3="","*",D3),$E$6:$E$17,IF(E3="","*",E3),$F$6:$F$17,IF(F3="","*",F3))&amp;" match, keep choosing"))</f>
        <v>SL4080UM-BK-L900-P8</v>
      </c>
      <c r="C3" s="16" t="n">
        <f aca="false">IF(COUNTIFS($D$6:$D$17,IF(D3="","*",D3),$E$6:$E$17,IF(E3="","*",E3),$F$6:$F$17,IF(F3="","*",F3))=1,INDEX($C:$C,SUMPRODUCT(((D3="")+($D$6:$D$17=D3)&gt;0)*((E3="")+($E$6:$E$17=E3)&gt;0)*((F3="")+($F$6:$F$17=F3)&gt;0)*ROW($B$6:$B$17))),"")</f>
        <v>35.28</v>
      </c>
      <c r="D3" s="17" t="s">
        <v>724</v>
      </c>
      <c r="E3" s="17" t="s">
        <v>2500</v>
      </c>
      <c r="F3" s="17" t="s">
        <v>847</v>
      </c>
    </row>
    <row r="5" customFormat="false" ht="15" hidden="false" customHeight="false" outlineLevel="0" collapsed="false">
      <c r="B5" s="18" t="s">
        <v>701</v>
      </c>
      <c r="C5" s="18" t="s">
        <v>702</v>
      </c>
      <c r="D5" s="18" t="s">
        <v>722</v>
      </c>
      <c r="E5" s="18" t="s">
        <v>11716</v>
      </c>
      <c r="F5" s="18" t="s">
        <v>19806</v>
      </c>
    </row>
    <row r="6" customFormat="false" ht="15" hidden="false" customHeight="false" outlineLevel="0" collapsed="false">
      <c r="B6" s="19" t="s">
        <v>19807</v>
      </c>
      <c r="C6" s="20" t="n">
        <f aca="false">ROUND(254/FX,2)</f>
        <v>35.28</v>
      </c>
      <c r="D6" s="21" t="s">
        <v>724</v>
      </c>
      <c r="E6" s="21" t="s">
        <v>2500</v>
      </c>
      <c r="F6" s="21" t="s">
        <v>847</v>
      </c>
    </row>
    <row r="7" customFormat="false" ht="15" hidden="false" customHeight="false" outlineLevel="0" collapsed="false">
      <c r="B7" s="19" t="s">
        <v>19808</v>
      </c>
      <c r="C7" s="20" t="n">
        <f aca="false">ROUND(225/FX,2)</f>
        <v>31.25</v>
      </c>
      <c r="D7" s="21" t="s">
        <v>6549</v>
      </c>
      <c r="E7" s="21" t="s">
        <v>2002</v>
      </c>
      <c r="F7" s="21" t="s">
        <v>847</v>
      </c>
    </row>
    <row r="8" customFormat="false" ht="15" hidden="false" customHeight="false" outlineLevel="0" collapsed="false">
      <c r="B8" s="19" t="s">
        <v>19809</v>
      </c>
      <c r="C8" s="20" t="n">
        <f aca="false">ROUND(240/FX,2)</f>
        <v>33.33</v>
      </c>
      <c r="D8" s="21" t="s">
        <v>6549</v>
      </c>
      <c r="E8" s="21" t="s">
        <v>2500</v>
      </c>
      <c r="F8" s="21" t="s">
        <v>847</v>
      </c>
    </row>
    <row r="9" customFormat="false" ht="15" hidden="false" customHeight="false" outlineLevel="0" collapsed="false">
      <c r="B9" s="19" t="s">
        <v>19810</v>
      </c>
      <c r="C9" s="20" t="n">
        <f aca="false">ROUND(285/FX,2)</f>
        <v>39.58</v>
      </c>
      <c r="D9" s="21" t="s">
        <v>751</v>
      </c>
      <c r="E9" s="21" t="s">
        <v>1733</v>
      </c>
      <c r="F9" s="21" t="s">
        <v>847</v>
      </c>
    </row>
    <row r="10" customFormat="false" ht="15" hidden="false" customHeight="false" outlineLevel="0" collapsed="false">
      <c r="B10" s="19" t="s">
        <v>19811</v>
      </c>
      <c r="C10" s="20" t="n">
        <f aca="false">ROUND(200/FX,2)</f>
        <v>27.78</v>
      </c>
      <c r="D10" s="21" t="s">
        <v>751</v>
      </c>
      <c r="E10" s="21" t="s">
        <v>2851</v>
      </c>
      <c r="F10" s="21" t="s">
        <v>847</v>
      </c>
    </row>
    <row r="11" customFormat="false" ht="15" hidden="false" customHeight="false" outlineLevel="0" collapsed="false">
      <c r="B11" s="19" t="s">
        <v>19812</v>
      </c>
      <c r="C11" s="20" t="n">
        <f aca="false">ROUND(205/FX,2)</f>
        <v>28.47</v>
      </c>
      <c r="D11" s="21" t="s">
        <v>751</v>
      </c>
      <c r="E11" s="21" t="s">
        <v>1048</v>
      </c>
      <c r="F11" s="21" t="s">
        <v>847</v>
      </c>
    </row>
    <row r="12" customFormat="false" ht="15" hidden="false" customHeight="false" outlineLevel="0" collapsed="false">
      <c r="B12" s="19" t="s">
        <v>19813</v>
      </c>
      <c r="C12" s="20" t="n">
        <f aca="false">ROUND(210/FX,2)</f>
        <v>29.17</v>
      </c>
      <c r="D12" s="21" t="s">
        <v>751</v>
      </c>
      <c r="E12" s="21" t="s">
        <v>1323</v>
      </c>
      <c r="F12" s="21" t="s">
        <v>847</v>
      </c>
    </row>
    <row r="13" customFormat="false" ht="15" hidden="false" customHeight="false" outlineLevel="0" collapsed="false">
      <c r="B13" s="19" t="s">
        <v>19814</v>
      </c>
      <c r="C13" s="20" t="n">
        <f aca="false">ROUND(215/FX,2)</f>
        <v>29.86</v>
      </c>
      <c r="D13" s="21" t="s">
        <v>751</v>
      </c>
      <c r="E13" s="21" t="s">
        <v>1520</v>
      </c>
      <c r="F13" s="21" t="s">
        <v>847</v>
      </c>
    </row>
    <row r="14" customFormat="false" ht="15" hidden="false" customHeight="false" outlineLevel="0" collapsed="false">
      <c r="B14" s="19" t="s">
        <v>19815</v>
      </c>
      <c r="C14" s="20" t="n">
        <f aca="false">ROUND(235/FX,2)</f>
        <v>32.64</v>
      </c>
      <c r="D14" s="21" t="s">
        <v>751</v>
      </c>
      <c r="E14" s="21" t="s">
        <v>2142</v>
      </c>
      <c r="F14" s="21" t="s">
        <v>847</v>
      </c>
    </row>
    <row r="15" customFormat="false" ht="15" hidden="false" customHeight="false" outlineLevel="0" collapsed="false">
      <c r="B15" s="19" t="s">
        <v>19816</v>
      </c>
      <c r="C15" s="20" t="n">
        <f aca="false">ROUND(245/FX,2)</f>
        <v>34.03</v>
      </c>
      <c r="D15" s="21" t="s">
        <v>751</v>
      </c>
      <c r="E15" s="21" t="s">
        <v>2227</v>
      </c>
      <c r="F15" s="21" t="s">
        <v>847</v>
      </c>
    </row>
    <row r="16" customFormat="false" ht="15" hidden="false" customHeight="false" outlineLevel="0" collapsed="false">
      <c r="B16" s="19" t="s">
        <v>19817</v>
      </c>
      <c r="C16" s="20" t="n">
        <f aca="false">ROUND(255/FX,2)</f>
        <v>35.42</v>
      </c>
      <c r="D16" s="21" t="s">
        <v>751</v>
      </c>
      <c r="E16" s="21" t="s">
        <v>2351</v>
      </c>
      <c r="F16" s="21" t="s">
        <v>847</v>
      </c>
    </row>
    <row r="17" customFormat="false" ht="15" hidden="false" customHeight="false" outlineLevel="0" collapsed="false">
      <c r="B17" s="19" t="s">
        <v>19818</v>
      </c>
      <c r="C17" s="20" t="n">
        <f aca="false">ROUND(265/FX,2)</f>
        <v>36.81</v>
      </c>
      <c r="D17" s="21" t="s">
        <v>751</v>
      </c>
      <c r="E17" s="21" t="s">
        <v>2440</v>
      </c>
      <c r="F17" s="21" t="s">
        <v>847</v>
      </c>
    </row>
    <row r="20" customFormat="false" ht="61.5" hidden="false" customHeight="true" outlineLevel="0" collapsed="false">
      <c r="A20" s="9"/>
      <c r="B20" s="10" t="s">
        <v>266</v>
      </c>
      <c r="C20" s="10"/>
      <c r="D20" s="10"/>
    </row>
    <row r="21" customFormat="false" ht="15" hidden="false" customHeight="false" outlineLevel="0" collapsed="false">
      <c r="A21" s="12" t="s">
        <v>700</v>
      </c>
      <c r="B21" s="13" t="s">
        <v>701</v>
      </c>
      <c r="C21" s="13" t="s">
        <v>702</v>
      </c>
      <c r="D21" s="13" t="s">
        <v>5610</v>
      </c>
    </row>
    <row r="22" customFormat="false" ht="30" hidden="false" customHeight="true" outlineLevel="0" collapsed="false">
      <c r="A22" s="14" t="s">
        <v>706</v>
      </c>
      <c r="B22" s="15" t="str">
        <f aca="false">IF(COUNTIFS($D$25:$D$26,IF(D22="","*",D22))=1,INDEX($B:$B,SUMPRODUCT(((D22="")+($D$25:$D$26=D22)&gt;0)*ROW($B$25:$B$26))),IF(COUNTIFS($D$25:$D$26,IF(D22="","*",D22))=0,"Not available",COUNTIFS($D$25:$D$26,IF(D22="","*",D22))&amp;" match, keep choosing"))</f>
        <v>XY4080U-8-200-200</v>
      </c>
      <c r="C22" s="16" t="n">
        <f aca="false">IF(COUNTIFS($D$25:$D$26,IF(D22="","*",D22))=1,INDEX($C:$C,SUMPRODUCT(((D22="")+($D$25:$D$26=D22)&gt;0)*ROW($B$25:$B$26))),"")</f>
        <v>34.03</v>
      </c>
      <c r="D22" s="17" t="s">
        <v>19819</v>
      </c>
    </row>
    <row r="24" customFormat="false" ht="15" hidden="false" customHeight="false" outlineLevel="0" collapsed="false">
      <c r="B24" s="18" t="s">
        <v>701</v>
      </c>
      <c r="C24" s="18" t="s">
        <v>702</v>
      </c>
      <c r="D24" s="18" t="s">
        <v>5610</v>
      </c>
    </row>
    <row r="25" customFormat="false" ht="41.75" hidden="false" customHeight="false" outlineLevel="0" collapsed="false">
      <c r="B25" s="19" t="s">
        <v>19820</v>
      </c>
      <c r="C25" s="20" t="n">
        <f aca="false">ROUND(245/FX,2)</f>
        <v>34.03</v>
      </c>
      <c r="D25" s="21" t="s">
        <v>19819</v>
      </c>
    </row>
    <row r="26" customFormat="false" ht="41.75" hidden="false" customHeight="false" outlineLevel="0" collapsed="false">
      <c r="B26" s="19" t="s">
        <v>19821</v>
      </c>
      <c r="C26" s="20" t="n">
        <f aca="false">ROUND(270/FX,2)</f>
        <v>37.5</v>
      </c>
      <c r="D26" s="21" t="s">
        <v>19822</v>
      </c>
    </row>
    <row r="29" customFormat="false" ht="61.5" hidden="false" customHeight="true" outlineLevel="0" collapsed="false">
      <c r="A29" s="9"/>
      <c r="B29" s="10" t="s">
        <v>267</v>
      </c>
      <c r="C29" s="10"/>
      <c r="D29" s="10"/>
    </row>
    <row r="30" customFormat="false" ht="15" hidden="false" customHeight="false" outlineLevel="0" collapsed="false">
      <c r="A30" s="12" t="s">
        <v>700</v>
      </c>
      <c r="B30" s="13" t="s">
        <v>701</v>
      </c>
      <c r="C30" s="13" t="s">
        <v>702</v>
      </c>
      <c r="D30" s="13" t="s">
        <v>5610</v>
      </c>
    </row>
    <row r="31" customFormat="false" ht="30" hidden="false" customHeight="true" outlineLevel="0" collapsed="false">
      <c r="A31" s="14" t="s">
        <v>706</v>
      </c>
      <c r="B31" s="15" t="str">
        <f aca="false">IF(COUNTIFS($D$34:$D$35,IF(D31="","*",D31))=1,INDEX($B:$B,SUMPRODUCT(((D31="")+($D$34:$D$35=D31)&gt;0)*ROW($B$34:$B$35))),IF(COUNTIFS($D$34:$D$35,IF(D31="","*",D31))=0,"Not available",COUNTIFS($D$34:$D$35,IF(D31="","*",D31))&amp;" match, keep choosing"))</f>
        <v>OOZ-1000mm-1000mm</v>
      </c>
      <c r="C31" s="16" t="n">
        <f aca="false">IF(COUNTIFS($D$34:$D$35,IF(D31="","*",D31))=1,INDEX($C:$C,SUMPRODUCT(((D31="")+($D$34:$D$35=D31)&gt;0)*ROW($B$34:$B$35))),"")</f>
        <v>277.78</v>
      </c>
      <c r="D31" s="17" t="s">
        <v>19823</v>
      </c>
    </row>
    <row r="33" customFormat="false" ht="15" hidden="false" customHeight="false" outlineLevel="0" collapsed="false">
      <c r="B33" s="18" t="s">
        <v>701</v>
      </c>
      <c r="C33" s="18" t="s">
        <v>702</v>
      </c>
      <c r="D33" s="18" t="s">
        <v>5610</v>
      </c>
    </row>
    <row r="34" customFormat="false" ht="15" hidden="false" customHeight="false" outlineLevel="0" collapsed="false">
      <c r="B34" s="19" t="s">
        <v>19824</v>
      </c>
      <c r="C34" s="20" t="n">
        <f aca="false">ROUND(2000/FX,2)</f>
        <v>277.78</v>
      </c>
      <c r="D34" s="21" t="s">
        <v>19823</v>
      </c>
    </row>
    <row r="35" customFormat="false" ht="15" hidden="false" customHeight="false" outlineLevel="0" collapsed="false">
      <c r="B35" s="19" t="s">
        <v>19825</v>
      </c>
      <c r="C35" s="20" t="n">
        <f aca="false">ROUND(1699/FX,2)</f>
        <v>235.97</v>
      </c>
      <c r="D35" s="21" t="s">
        <v>19826</v>
      </c>
    </row>
    <row r="38" customFormat="false" ht="61.5" hidden="false" customHeight="true" outlineLevel="0" collapsed="false">
      <c r="A38" s="9"/>
      <c r="B38" s="10" t="s">
        <v>268</v>
      </c>
      <c r="C38" s="10"/>
      <c r="D38" s="10"/>
      <c r="E38" s="10"/>
    </row>
    <row r="39" customFormat="false" ht="15" hidden="false" customHeight="false" outlineLevel="0" collapsed="false">
      <c r="A39" s="12" t="s">
        <v>700</v>
      </c>
      <c r="B39" s="13" t="s">
        <v>701</v>
      </c>
      <c r="C39" s="13" t="s">
        <v>702</v>
      </c>
      <c r="D39" s="13" t="s">
        <v>722</v>
      </c>
      <c r="E39" s="13" t="s">
        <v>11716</v>
      </c>
    </row>
    <row r="40" customFormat="false" ht="30" hidden="false" customHeight="true" outlineLevel="0" collapsed="false">
      <c r="A40" s="14" t="s">
        <v>706</v>
      </c>
      <c r="B40" s="15" t="str">
        <f aca="false">IF(COUNTIFS($D$43:$D$56,IF(D40="","*",D40),$E$43:$E$56,IF(E40="","*",E40))=1,INDEX($B:$B,SUMPRODUCT(((D40="")+($D$43:$D$56=D40)&gt;0)*((E40="")+($E$43:$E$56=E40)&gt;0)*ROW($B$43:$B$56))),IF(COUNTIFS($D$43:$D$56,IF(D40="","*",D40),$E$43:$E$56,IF(E40="","*",E40))=0,"Not available",COUNTIFS($D$43:$D$56,IF(D40="","*",D40),$E$43:$E$56,IF(E40="","*",E40))&amp;" match, keep choosing"))</f>
        <v>SL2040Z-BK-L1000</v>
      </c>
      <c r="C40" s="16" t="n">
        <f aca="false">IF(COUNTIFS($D$43:$D$56,IF(D40="","*",D40),$E$43:$E$56,IF(E40="","*",E40))=1,INDEX($C:$C,SUMPRODUCT(((D40="")+($D$43:$D$56=D40)&gt;0)*((E40="")+($E$43:$E$56=E40)&gt;0)*ROW($B$43:$B$56))),"")</f>
        <v>40.97</v>
      </c>
      <c r="D40" s="17" t="s">
        <v>724</v>
      </c>
      <c r="E40" s="17" t="s">
        <v>1733</v>
      </c>
    </row>
    <row r="42" customFormat="false" ht="15" hidden="false" customHeight="false" outlineLevel="0" collapsed="false">
      <c r="B42" s="18" t="s">
        <v>701</v>
      </c>
      <c r="C42" s="18" t="s">
        <v>702</v>
      </c>
      <c r="D42" s="18" t="s">
        <v>722</v>
      </c>
      <c r="E42" s="18" t="s">
        <v>11716</v>
      </c>
    </row>
    <row r="43" customFormat="false" ht="15" hidden="false" customHeight="false" outlineLevel="0" collapsed="false">
      <c r="B43" s="19" t="s">
        <v>19827</v>
      </c>
      <c r="C43" s="20" t="n">
        <f aca="false">ROUND(295/FX,2)</f>
        <v>40.97</v>
      </c>
      <c r="D43" s="21" t="s">
        <v>724</v>
      </c>
      <c r="E43" s="21" t="s">
        <v>1733</v>
      </c>
    </row>
    <row r="44" customFormat="false" ht="15" hidden="false" customHeight="false" outlineLevel="0" collapsed="false">
      <c r="B44" s="19" t="s">
        <v>19828</v>
      </c>
      <c r="C44" s="20" t="n">
        <f aca="false">ROUND(220/FX,2)</f>
        <v>30.56</v>
      </c>
      <c r="D44" s="21" t="s">
        <v>724</v>
      </c>
      <c r="E44" s="21" t="s">
        <v>1323</v>
      </c>
    </row>
    <row r="45" customFormat="false" ht="15" hidden="false" customHeight="false" outlineLevel="0" collapsed="false">
      <c r="B45" s="19" t="s">
        <v>19829</v>
      </c>
      <c r="C45" s="20" t="n">
        <f aca="false">ROUND(225/FX,2)</f>
        <v>31.25</v>
      </c>
      <c r="D45" s="21" t="s">
        <v>724</v>
      </c>
      <c r="E45" s="21" t="s">
        <v>1520</v>
      </c>
    </row>
    <row r="46" customFormat="false" ht="15" hidden="false" customHeight="false" outlineLevel="0" collapsed="false">
      <c r="B46" s="19" t="s">
        <v>19830</v>
      </c>
      <c r="C46" s="20" t="n">
        <f aca="false">ROUND(235/FX,2)</f>
        <v>32.64</v>
      </c>
      <c r="D46" s="21" t="s">
        <v>724</v>
      </c>
      <c r="E46" s="21" t="s">
        <v>2002</v>
      </c>
    </row>
    <row r="47" customFormat="false" ht="15" hidden="false" customHeight="false" outlineLevel="0" collapsed="false">
      <c r="B47" s="19" t="s">
        <v>19831</v>
      </c>
      <c r="C47" s="20" t="n">
        <f aca="false">ROUND(250/FX,2)</f>
        <v>34.72</v>
      </c>
      <c r="D47" s="21" t="s">
        <v>724</v>
      </c>
      <c r="E47" s="21" t="s">
        <v>2067</v>
      </c>
    </row>
    <row r="48" customFormat="false" ht="15" hidden="false" customHeight="false" outlineLevel="0" collapsed="false">
      <c r="B48" s="19" t="s">
        <v>19832</v>
      </c>
      <c r="C48" s="20" t="n">
        <f aca="false">ROUND(245/FX,2)</f>
        <v>34.03</v>
      </c>
      <c r="D48" s="21" t="s">
        <v>724</v>
      </c>
      <c r="E48" s="21" t="s">
        <v>2142</v>
      </c>
    </row>
    <row r="49" customFormat="false" ht="15" hidden="false" customHeight="false" outlineLevel="0" collapsed="false">
      <c r="B49" s="19" t="s">
        <v>19833</v>
      </c>
      <c r="C49" s="20" t="n">
        <f aca="false">ROUND(255/FX,2)</f>
        <v>35.42</v>
      </c>
      <c r="D49" s="21" t="s">
        <v>724</v>
      </c>
      <c r="E49" s="21" t="s">
        <v>2227</v>
      </c>
    </row>
    <row r="50" customFormat="false" ht="15" hidden="false" customHeight="false" outlineLevel="0" collapsed="false">
      <c r="B50" s="19" t="s">
        <v>19834</v>
      </c>
      <c r="C50" s="20" t="n">
        <f aca="false">ROUND(295/FX,2)</f>
        <v>40.97</v>
      </c>
      <c r="D50" s="21" t="s">
        <v>6549</v>
      </c>
      <c r="E50" s="21" t="s">
        <v>1733</v>
      </c>
    </row>
    <row r="51" customFormat="false" ht="15" hidden="false" customHeight="false" outlineLevel="0" collapsed="false">
      <c r="B51" s="19" t="s">
        <v>19835</v>
      </c>
      <c r="C51" s="20" t="n">
        <f aca="false">ROUND(220/FX,2)</f>
        <v>30.56</v>
      </c>
      <c r="D51" s="21" t="s">
        <v>6549</v>
      </c>
      <c r="E51" s="21" t="s">
        <v>1323</v>
      </c>
    </row>
    <row r="52" customFormat="false" ht="15" hidden="false" customHeight="false" outlineLevel="0" collapsed="false">
      <c r="B52" s="19" t="s">
        <v>19836</v>
      </c>
      <c r="C52" s="20" t="n">
        <f aca="false">ROUND(225/FX,2)</f>
        <v>31.25</v>
      </c>
      <c r="D52" s="21" t="s">
        <v>6549</v>
      </c>
      <c r="E52" s="21" t="s">
        <v>1520</v>
      </c>
    </row>
    <row r="53" customFormat="false" ht="15" hidden="false" customHeight="false" outlineLevel="0" collapsed="false">
      <c r="B53" s="19" t="s">
        <v>19837</v>
      </c>
      <c r="C53" s="20" t="n">
        <f aca="false">ROUND(235/FX,2)</f>
        <v>32.64</v>
      </c>
      <c r="D53" s="21" t="s">
        <v>6549</v>
      </c>
      <c r="E53" s="21" t="s">
        <v>2002</v>
      </c>
    </row>
    <row r="54" customFormat="false" ht="15" hidden="false" customHeight="false" outlineLevel="0" collapsed="false">
      <c r="B54" s="19" t="s">
        <v>19838</v>
      </c>
      <c r="C54" s="20" t="n">
        <f aca="false">ROUND(250/FX,2)</f>
        <v>34.72</v>
      </c>
      <c r="D54" s="21" t="s">
        <v>6549</v>
      </c>
      <c r="E54" s="21" t="s">
        <v>2067</v>
      </c>
    </row>
    <row r="55" customFormat="false" ht="15" hidden="false" customHeight="false" outlineLevel="0" collapsed="false">
      <c r="B55" s="19" t="s">
        <v>19839</v>
      </c>
      <c r="C55" s="20" t="n">
        <f aca="false">ROUND(245/FX,2)</f>
        <v>34.03</v>
      </c>
      <c r="D55" s="21" t="s">
        <v>6549</v>
      </c>
      <c r="E55" s="21" t="s">
        <v>2142</v>
      </c>
    </row>
    <row r="56" customFormat="false" ht="15" hidden="false" customHeight="false" outlineLevel="0" collapsed="false">
      <c r="B56" s="19" t="s">
        <v>19840</v>
      </c>
      <c r="C56" s="20" t="n">
        <f aca="false">ROUND(255/FX,2)</f>
        <v>35.42</v>
      </c>
      <c r="D56" s="21" t="s">
        <v>6549</v>
      </c>
      <c r="E56" s="21" t="s">
        <v>2227</v>
      </c>
    </row>
    <row r="59" customFormat="false" ht="61.5" hidden="false" customHeight="true" outlineLevel="0" collapsed="false">
      <c r="A59" s="9"/>
      <c r="B59" s="10" t="s">
        <v>269</v>
      </c>
      <c r="C59" s="10"/>
      <c r="D59" s="10"/>
      <c r="E59" s="10"/>
      <c r="F59" s="10"/>
    </row>
    <row r="60" customFormat="false" ht="15" hidden="false" customHeight="false" outlineLevel="0" collapsed="false">
      <c r="A60" s="12" t="s">
        <v>700</v>
      </c>
      <c r="B60" s="13" t="s">
        <v>701</v>
      </c>
      <c r="C60" s="13" t="s">
        <v>702</v>
      </c>
      <c r="D60" s="13" t="s">
        <v>722</v>
      </c>
      <c r="E60" s="13" t="s">
        <v>11716</v>
      </c>
      <c r="F60" s="13" t="s">
        <v>19806</v>
      </c>
    </row>
    <row r="61" customFormat="false" ht="30" hidden="false" customHeight="true" outlineLevel="0" collapsed="false">
      <c r="A61" s="14" t="s">
        <v>706</v>
      </c>
      <c r="B61" s="15" t="str">
        <f aca="false">IF(COUNTIFS($D$64:$D$117,IF(D61="","*",D61),$E$64:$E$117,IF(E61="","*",E61),$F$64:$F$117,IF(F61="","*",F61))=1,INDEX($B:$B,SUMPRODUCT(((D61="")+($D$64:$D$117=D61)&gt;0)*((E61="")+($E$64:$E$117=E61)&gt;0)*((F61="")+($F$64:$F$117=F61)&gt;0)*ROW($B$64:$B$117))),IF(COUNTIFS($D$64:$D$117,IF(D61="","*",D61),$E$64:$E$117,IF(E61="","*",E61),$F$64:$F$117,IF(F61="","*",F61))=0,"Not available",COUNTIFS($D$64:$D$117,IF(D61="","*",D61),$E$64:$E$117,IF(E61="","*",E61),$F$64:$F$117,IF(F61="","*",F61))&amp;" match, keep choosing"))</f>
        <v>SL4080U-BK-L1000-P8</v>
      </c>
      <c r="C61" s="16" t="n">
        <f aca="false">IF(COUNTIFS($D$64:$D$117,IF(D61="","*",D61),$E$64:$E$117,IF(E61="","*",E61),$F$64:$F$117,IF(F61="","*",F61))=1,INDEX($C:$C,SUMPRODUCT(((D61="")+($D$64:$D$117=D61)&gt;0)*((E61="")+($E$64:$E$117=E61)&gt;0)*((F61="")+($F$64:$F$117=F61)&gt;0)*ROW($B$64:$B$117))),"")</f>
        <v>30.56</v>
      </c>
      <c r="D61" s="17" t="s">
        <v>724</v>
      </c>
      <c r="E61" s="17" t="s">
        <v>1733</v>
      </c>
      <c r="F61" s="17" t="s">
        <v>847</v>
      </c>
    </row>
    <row r="63" customFormat="false" ht="15" hidden="false" customHeight="false" outlineLevel="0" collapsed="false">
      <c r="B63" s="18" t="s">
        <v>701</v>
      </c>
      <c r="C63" s="18" t="s">
        <v>702</v>
      </c>
      <c r="D63" s="18" t="s">
        <v>722</v>
      </c>
      <c r="E63" s="18" t="s">
        <v>11716</v>
      </c>
      <c r="F63" s="18" t="s">
        <v>19806</v>
      </c>
    </row>
    <row r="64" customFormat="false" ht="15" hidden="false" customHeight="false" outlineLevel="0" collapsed="false">
      <c r="B64" s="19" t="s">
        <v>19841</v>
      </c>
      <c r="C64" s="20" t="n">
        <f aca="false">ROUND(220/FX,2)</f>
        <v>30.56</v>
      </c>
      <c r="D64" s="21" t="s">
        <v>724</v>
      </c>
      <c r="E64" s="21" t="s">
        <v>1733</v>
      </c>
      <c r="F64" s="21" t="s">
        <v>847</v>
      </c>
    </row>
    <row r="65" customFormat="false" ht="15" hidden="false" customHeight="false" outlineLevel="0" collapsed="false">
      <c r="B65" s="19" t="s">
        <v>19842</v>
      </c>
      <c r="C65" s="20" t="n">
        <f aca="false">ROUND(107.66/FX,2)</f>
        <v>14.95</v>
      </c>
      <c r="D65" s="21" t="s">
        <v>724</v>
      </c>
      <c r="E65" s="21" t="s">
        <v>2851</v>
      </c>
      <c r="F65" s="21" t="s">
        <v>837</v>
      </c>
    </row>
    <row r="66" customFormat="false" ht="15" hidden="false" customHeight="false" outlineLevel="0" collapsed="false">
      <c r="B66" s="19" t="s">
        <v>19843</v>
      </c>
      <c r="C66" s="20" t="n">
        <f aca="false">ROUND(107.66/FX,2)</f>
        <v>14.95</v>
      </c>
      <c r="D66" s="21" t="s">
        <v>724</v>
      </c>
      <c r="E66" s="21" t="s">
        <v>2851</v>
      </c>
      <c r="F66" s="21" t="s">
        <v>847</v>
      </c>
    </row>
    <row r="67" customFormat="false" ht="15" hidden="false" customHeight="false" outlineLevel="0" collapsed="false">
      <c r="B67" s="19" t="s">
        <v>19844</v>
      </c>
      <c r="C67" s="20" t="n">
        <f aca="false">ROUND(113/FX,2)</f>
        <v>15.69</v>
      </c>
      <c r="D67" s="21" t="s">
        <v>724</v>
      </c>
      <c r="E67" s="21" t="s">
        <v>1048</v>
      </c>
      <c r="F67" s="21" t="s">
        <v>19845</v>
      </c>
    </row>
    <row r="68" customFormat="false" ht="15" hidden="false" customHeight="false" outlineLevel="0" collapsed="false">
      <c r="B68" s="19" t="s">
        <v>19846</v>
      </c>
      <c r="C68" s="20" t="n">
        <f aca="false">ROUND(113/FX,2)</f>
        <v>15.69</v>
      </c>
      <c r="D68" s="21" t="s">
        <v>724</v>
      </c>
      <c r="E68" s="21" t="s">
        <v>1048</v>
      </c>
      <c r="F68" s="21" t="s">
        <v>837</v>
      </c>
    </row>
    <row r="69" customFormat="false" ht="15" hidden="false" customHeight="false" outlineLevel="0" collapsed="false">
      <c r="B69" s="19" t="s">
        <v>19847</v>
      </c>
      <c r="C69" s="20" t="n">
        <f aca="false">ROUND(113/FX,2)</f>
        <v>15.69</v>
      </c>
      <c r="D69" s="21" t="s">
        <v>724</v>
      </c>
      <c r="E69" s="21" t="s">
        <v>1048</v>
      </c>
      <c r="F69" s="21" t="s">
        <v>841</v>
      </c>
    </row>
    <row r="70" customFormat="false" ht="15" hidden="false" customHeight="false" outlineLevel="0" collapsed="false">
      <c r="B70" s="19" t="s">
        <v>19848</v>
      </c>
      <c r="C70" s="20" t="n">
        <f aca="false">ROUND(113/FX,2)</f>
        <v>15.69</v>
      </c>
      <c r="D70" s="21" t="s">
        <v>724</v>
      </c>
      <c r="E70" s="21" t="s">
        <v>1048</v>
      </c>
      <c r="F70" s="21" t="s">
        <v>847</v>
      </c>
    </row>
    <row r="71" customFormat="false" ht="15" hidden="false" customHeight="false" outlineLevel="0" collapsed="false">
      <c r="B71" s="19" t="s">
        <v>19849</v>
      </c>
      <c r="C71" s="20" t="n">
        <f aca="false">ROUND(116.17/FX,2)</f>
        <v>16.13</v>
      </c>
      <c r="D71" s="21" t="s">
        <v>724</v>
      </c>
      <c r="E71" s="21" t="s">
        <v>1323</v>
      </c>
      <c r="F71" s="21" t="s">
        <v>837</v>
      </c>
    </row>
    <row r="72" customFormat="false" ht="15" hidden="false" customHeight="false" outlineLevel="0" collapsed="false">
      <c r="B72" s="19" t="s">
        <v>19850</v>
      </c>
      <c r="C72" s="20" t="n">
        <f aca="false">ROUND(116.17/FX,2)</f>
        <v>16.13</v>
      </c>
      <c r="D72" s="21" t="s">
        <v>724</v>
      </c>
      <c r="E72" s="21" t="s">
        <v>1323</v>
      </c>
      <c r="F72" s="21" t="s">
        <v>847</v>
      </c>
    </row>
    <row r="73" customFormat="false" ht="15" hidden="false" customHeight="false" outlineLevel="0" collapsed="false">
      <c r="B73" s="19" t="s">
        <v>19851</v>
      </c>
      <c r="C73" s="20" t="n">
        <f aca="false">ROUND(122/FX,2)</f>
        <v>16.94</v>
      </c>
      <c r="D73" s="21" t="s">
        <v>724</v>
      </c>
      <c r="E73" s="21" t="s">
        <v>1520</v>
      </c>
      <c r="F73" s="21" t="s">
        <v>837</v>
      </c>
    </row>
    <row r="74" customFormat="false" ht="15" hidden="false" customHeight="false" outlineLevel="0" collapsed="false">
      <c r="B74" s="19" t="s">
        <v>19852</v>
      </c>
      <c r="C74" s="20" t="n">
        <f aca="false">ROUND(122/FX,2)</f>
        <v>16.94</v>
      </c>
      <c r="D74" s="21" t="s">
        <v>724</v>
      </c>
      <c r="E74" s="21" t="s">
        <v>1520</v>
      </c>
      <c r="F74" s="21" t="s">
        <v>847</v>
      </c>
    </row>
    <row r="75" customFormat="false" ht="15" hidden="false" customHeight="false" outlineLevel="0" collapsed="false">
      <c r="B75" s="19" t="s">
        <v>19853</v>
      </c>
      <c r="C75" s="20" t="n">
        <f aca="false">ROUND(126/FX,2)</f>
        <v>17.5</v>
      </c>
      <c r="D75" s="21" t="s">
        <v>724</v>
      </c>
      <c r="E75" s="21" t="s">
        <v>1635</v>
      </c>
      <c r="F75" s="21" t="s">
        <v>837</v>
      </c>
    </row>
    <row r="76" customFormat="false" ht="15" hidden="false" customHeight="false" outlineLevel="0" collapsed="false">
      <c r="B76" s="19" t="s">
        <v>19854</v>
      </c>
      <c r="C76" s="20" t="n">
        <f aca="false">ROUND(126/FX,2)</f>
        <v>17.5</v>
      </c>
      <c r="D76" s="21" t="s">
        <v>724</v>
      </c>
      <c r="E76" s="21" t="s">
        <v>1635</v>
      </c>
      <c r="F76" s="21" t="s">
        <v>847</v>
      </c>
    </row>
    <row r="77" customFormat="false" ht="15" hidden="false" customHeight="false" outlineLevel="0" collapsed="false">
      <c r="B77" s="19" t="s">
        <v>19855</v>
      </c>
      <c r="C77" s="20" t="n">
        <f aca="false">ROUND(130.8/FX,2)</f>
        <v>18.17</v>
      </c>
      <c r="D77" s="21" t="s">
        <v>724</v>
      </c>
      <c r="E77" s="21" t="s">
        <v>2002</v>
      </c>
      <c r="F77" s="21" t="s">
        <v>837</v>
      </c>
    </row>
    <row r="78" customFormat="false" ht="15" hidden="false" customHeight="false" outlineLevel="0" collapsed="false">
      <c r="B78" s="19" t="s">
        <v>19856</v>
      </c>
      <c r="C78" s="20" t="n">
        <f aca="false">ROUND(130.8/FX,2)</f>
        <v>18.17</v>
      </c>
      <c r="D78" s="21" t="s">
        <v>724</v>
      </c>
      <c r="E78" s="21" t="s">
        <v>2002</v>
      </c>
      <c r="F78" s="21" t="s">
        <v>847</v>
      </c>
    </row>
    <row r="79" customFormat="false" ht="15" hidden="false" customHeight="false" outlineLevel="0" collapsed="false">
      <c r="B79" s="19" t="s">
        <v>19857</v>
      </c>
      <c r="C79" s="20" t="n">
        <f aca="false">ROUND(138.4/FX,2)</f>
        <v>19.22</v>
      </c>
      <c r="D79" s="21" t="s">
        <v>724</v>
      </c>
      <c r="E79" s="21" t="s">
        <v>2067</v>
      </c>
      <c r="F79" s="21" t="s">
        <v>837</v>
      </c>
    </row>
    <row r="80" customFormat="false" ht="15" hidden="false" customHeight="false" outlineLevel="0" collapsed="false">
      <c r="B80" s="19" t="s">
        <v>19858</v>
      </c>
      <c r="C80" s="20" t="n">
        <f aca="false">ROUND(165/FX,2)</f>
        <v>22.92</v>
      </c>
      <c r="D80" s="21" t="s">
        <v>724</v>
      </c>
      <c r="E80" s="21" t="s">
        <v>2067</v>
      </c>
      <c r="F80" s="21" t="s">
        <v>847</v>
      </c>
    </row>
    <row r="81" customFormat="false" ht="15" hidden="false" customHeight="false" outlineLevel="0" collapsed="false">
      <c r="B81" s="19" t="s">
        <v>19859</v>
      </c>
      <c r="C81" s="20" t="n">
        <f aca="false">ROUND(141.12/FX,2)</f>
        <v>19.6</v>
      </c>
      <c r="D81" s="21" t="s">
        <v>724</v>
      </c>
      <c r="E81" s="21" t="s">
        <v>2142</v>
      </c>
      <c r="F81" s="21" t="s">
        <v>837</v>
      </c>
    </row>
    <row r="82" customFormat="false" ht="15" hidden="false" customHeight="false" outlineLevel="0" collapsed="false">
      <c r="B82" s="19" t="s">
        <v>19860</v>
      </c>
      <c r="C82" s="20" t="n">
        <f aca="false">ROUND(141.12/FX,2)</f>
        <v>19.6</v>
      </c>
      <c r="D82" s="21" t="s">
        <v>724</v>
      </c>
      <c r="E82" s="21" t="s">
        <v>2142</v>
      </c>
      <c r="F82" s="21" t="s">
        <v>841</v>
      </c>
    </row>
    <row r="83" customFormat="false" ht="15" hidden="false" customHeight="false" outlineLevel="0" collapsed="false">
      <c r="B83" s="19" t="s">
        <v>19861</v>
      </c>
      <c r="C83" s="20" t="n">
        <f aca="false">ROUND(141.12/FX,2)</f>
        <v>19.6</v>
      </c>
      <c r="D83" s="21" t="s">
        <v>724</v>
      </c>
      <c r="E83" s="21" t="s">
        <v>2142</v>
      </c>
      <c r="F83" s="21" t="s">
        <v>847</v>
      </c>
    </row>
    <row r="84" customFormat="false" ht="15" hidden="false" customHeight="false" outlineLevel="0" collapsed="false">
      <c r="B84" s="19" t="s">
        <v>19862</v>
      </c>
      <c r="C84" s="20" t="n">
        <f aca="false">ROUND(175/FX,2)</f>
        <v>24.31</v>
      </c>
      <c r="D84" s="21" t="s">
        <v>724</v>
      </c>
      <c r="E84" s="21" t="s">
        <v>2187</v>
      </c>
      <c r="F84" s="21" t="s">
        <v>847</v>
      </c>
    </row>
    <row r="85" customFormat="false" ht="15" hidden="false" customHeight="false" outlineLevel="0" collapsed="false">
      <c r="B85" s="19" t="s">
        <v>19863</v>
      </c>
      <c r="C85" s="20" t="n">
        <f aca="false">ROUND(180/FX,2)</f>
        <v>25</v>
      </c>
      <c r="D85" s="21" t="s">
        <v>724</v>
      </c>
      <c r="E85" s="21" t="s">
        <v>2227</v>
      </c>
      <c r="F85" s="21" t="s">
        <v>847</v>
      </c>
    </row>
    <row r="86" customFormat="false" ht="15" hidden="false" customHeight="false" outlineLevel="0" collapsed="false">
      <c r="B86" s="19" t="s">
        <v>19864</v>
      </c>
      <c r="C86" s="20" t="n">
        <f aca="false">ROUND(185/FX,2)</f>
        <v>25.69</v>
      </c>
      <c r="D86" s="21" t="s">
        <v>724</v>
      </c>
      <c r="E86" s="21" t="s">
        <v>2297</v>
      </c>
      <c r="F86" s="21" t="s">
        <v>847</v>
      </c>
    </row>
    <row r="87" customFormat="false" ht="15" hidden="false" customHeight="false" outlineLevel="0" collapsed="false">
      <c r="B87" s="19" t="s">
        <v>19865</v>
      </c>
      <c r="C87" s="20" t="n">
        <f aca="false">ROUND(190/FX,2)</f>
        <v>26.39</v>
      </c>
      <c r="D87" s="21" t="s">
        <v>724</v>
      </c>
      <c r="E87" s="21" t="s">
        <v>2351</v>
      </c>
      <c r="F87" s="21" t="s">
        <v>847</v>
      </c>
    </row>
    <row r="88" customFormat="false" ht="15" hidden="false" customHeight="false" outlineLevel="0" collapsed="false">
      <c r="B88" s="19" t="s">
        <v>19866</v>
      </c>
      <c r="C88" s="20" t="n">
        <f aca="false">ROUND(195/FX,2)</f>
        <v>27.08</v>
      </c>
      <c r="D88" s="21" t="s">
        <v>724</v>
      </c>
      <c r="E88" s="21" t="s">
        <v>2400</v>
      </c>
      <c r="F88" s="21" t="s">
        <v>847</v>
      </c>
    </row>
    <row r="89" customFormat="false" ht="15" hidden="false" customHeight="false" outlineLevel="0" collapsed="false">
      <c r="B89" s="19" t="s">
        <v>19867</v>
      </c>
      <c r="C89" s="20" t="n">
        <f aca="false">ROUND(200/FX,2)</f>
        <v>27.78</v>
      </c>
      <c r="D89" s="21" t="s">
        <v>724</v>
      </c>
      <c r="E89" s="21" t="s">
        <v>2440</v>
      </c>
      <c r="F89" s="21" t="s">
        <v>847</v>
      </c>
    </row>
    <row r="90" customFormat="false" ht="15" hidden="false" customHeight="false" outlineLevel="0" collapsed="false">
      <c r="B90" s="19" t="s">
        <v>19868</v>
      </c>
      <c r="C90" s="20" t="n">
        <f aca="false">ROUND(205/FX,2)</f>
        <v>28.47</v>
      </c>
      <c r="D90" s="21" t="s">
        <v>724</v>
      </c>
      <c r="E90" s="21" t="s">
        <v>2470</v>
      </c>
      <c r="F90" s="21" t="s">
        <v>847</v>
      </c>
    </row>
    <row r="91" customFormat="false" ht="15" hidden="false" customHeight="false" outlineLevel="0" collapsed="false">
      <c r="B91" s="19" t="s">
        <v>19869</v>
      </c>
      <c r="C91" s="20" t="n">
        <f aca="false">ROUND(210/FX,2)</f>
        <v>29.17</v>
      </c>
      <c r="D91" s="21" t="s">
        <v>724</v>
      </c>
      <c r="E91" s="21" t="s">
        <v>2500</v>
      </c>
      <c r="F91" s="21" t="s">
        <v>847</v>
      </c>
    </row>
    <row r="92" customFormat="false" ht="15" hidden="false" customHeight="false" outlineLevel="0" collapsed="false">
      <c r="B92" s="19" t="s">
        <v>19870</v>
      </c>
      <c r="C92" s="20" t="n">
        <f aca="false">ROUND(215/FX,2)</f>
        <v>29.86</v>
      </c>
      <c r="D92" s="21" t="s">
        <v>724</v>
      </c>
      <c r="E92" s="21" t="s">
        <v>2540</v>
      </c>
      <c r="F92" s="21" t="s">
        <v>847</v>
      </c>
    </row>
    <row r="93" customFormat="false" ht="15" hidden="false" customHeight="false" outlineLevel="0" collapsed="false">
      <c r="B93" s="19" t="s">
        <v>19871</v>
      </c>
      <c r="C93" s="20" t="n">
        <f aca="false">ROUND(220/FX,2)</f>
        <v>30.56</v>
      </c>
      <c r="D93" s="21" t="s">
        <v>6549</v>
      </c>
      <c r="E93" s="21" t="s">
        <v>1733</v>
      </c>
      <c r="F93" s="21" t="s">
        <v>847</v>
      </c>
    </row>
    <row r="94" customFormat="false" ht="15" hidden="false" customHeight="false" outlineLevel="0" collapsed="false">
      <c r="B94" s="19" t="s">
        <v>19872</v>
      </c>
      <c r="C94" s="20" t="n">
        <f aca="false">ROUND(130/FX,2)</f>
        <v>18.06</v>
      </c>
      <c r="D94" s="21" t="s">
        <v>6549</v>
      </c>
      <c r="E94" s="21" t="s">
        <v>2851</v>
      </c>
      <c r="F94" s="21" t="s">
        <v>847</v>
      </c>
    </row>
    <row r="95" customFormat="false" ht="15" hidden="false" customHeight="false" outlineLevel="0" collapsed="false">
      <c r="B95" s="19" t="s">
        <v>19873</v>
      </c>
      <c r="C95" s="20" t="n">
        <f aca="false">ROUND(110.8/FX,2)</f>
        <v>15.39</v>
      </c>
      <c r="D95" s="21" t="s">
        <v>6549</v>
      </c>
      <c r="E95" s="21" t="s">
        <v>1048</v>
      </c>
      <c r="F95" s="21" t="s">
        <v>837</v>
      </c>
    </row>
    <row r="96" customFormat="false" ht="15" hidden="false" customHeight="false" outlineLevel="0" collapsed="false">
      <c r="B96" s="19" t="s">
        <v>19874</v>
      </c>
      <c r="C96" s="20" t="n">
        <f aca="false">ROUND(110.8/FX,2)</f>
        <v>15.39</v>
      </c>
      <c r="D96" s="21" t="s">
        <v>6549</v>
      </c>
      <c r="E96" s="21" t="s">
        <v>1048</v>
      </c>
      <c r="F96" s="21" t="s">
        <v>841</v>
      </c>
    </row>
    <row r="97" customFormat="false" ht="15" hidden="false" customHeight="false" outlineLevel="0" collapsed="false">
      <c r="B97" s="19" t="s">
        <v>19875</v>
      </c>
      <c r="C97" s="20" t="n">
        <f aca="false">ROUND(110.8/FX,2)</f>
        <v>15.39</v>
      </c>
      <c r="D97" s="21" t="s">
        <v>6549</v>
      </c>
      <c r="E97" s="21" t="s">
        <v>1048</v>
      </c>
      <c r="F97" s="21" t="s">
        <v>847</v>
      </c>
    </row>
    <row r="98" customFormat="false" ht="15" hidden="false" customHeight="false" outlineLevel="0" collapsed="false">
      <c r="B98" s="19" t="s">
        <v>19876</v>
      </c>
      <c r="C98" s="20" t="n">
        <f aca="false">ROUND(115.26/FX,2)</f>
        <v>16.01</v>
      </c>
      <c r="D98" s="21" t="s">
        <v>6549</v>
      </c>
      <c r="E98" s="21" t="s">
        <v>1323</v>
      </c>
      <c r="F98" s="21" t="s">
        <v>837</v>
      </c>
    </row>
    <row r="99" customFormat="false" ht="15" hidden="false" customHeight="false" outlineLevel="0" collapsed="false">
      <c r="B99" s="19" t="s">
        <v>19877</v>
      </c>
      <c r="C99" s="20" t="n">
        <f aca="false">ROUND(115.26/FX,2)</f>
        <v>16.01</v>
      </c>
      <c r="D99" s="21" t="s">
        <v>6549</v>
      </c>
      <c r="E99" s="21" t="s">
        <v>1323</v>
      </c>
      <c r="F99" s="21" t="s">
        <v>847</v>
      </c>
    </row>
    <row r="100" customFormat="false" ht="15" hidden="false" customHeight="false" outlineLevel="0" collapsed="false">
      <c r="B100" s="19" t="s">
        <v>19878</v>
      </c>
      <c r="C100" s="20" t="n">
        <f aca="false">ROUND(119.7/FX,2)</f>
        <v>16.63</v>
      </c>
      <c r="D100" s="21" t="s">
        <v>6549</v>
      </c>
      <c r="E100" s="21" t="s">
        <v>1520</v>
      </c>
      <c r="F100" s="21" t="s">
        <v>837</v>
      </c>
    </row>
    <row r="101" customFormat="false" ht="15" hidden="false" customHeight="false" outlineLevel="0" collapsed="false">
      <c r="B101" s="19" t="s">
        <v>19879</v>
      </c>
      <c r="C101" s="20" t="n">
        <f aca="false">ROUND(120/FX,2)</f>
        <v>16.67</v>
      </c>
      <c r="D101" s="21" t="s">
        <v>6549</v>
      </c>
      <c r="E101" s="21" t="s">
        <v>1520</v>
      </c>
      <c r="F101" s="21" t="s">
        <v>847</v>
      </c>
    </row>
    <row r="102" customFormat="false" ht="15" hidden="false" customHeight="false" outlineLevel="0" collapsed="false">
      <c r="B102" s="19" t="s">
        <v>19880</v>
      </c>
      <c r="C102" s="20" t="n">
        <f aca="false">ROUND(124.14/FX,2)</f>
        <v>17.24</v>
      </c>
      <c r="D102" s="21" t="s">
        <v>6549</v>
      </c>
      <c r="E102" s="21" t="s">
        <v>1635</v>
      </c>
      <c r="F102" s="21" t="s">
        <v>837</v>
      </c>
    </row>
    <row r="103" customFormat="false" ht="15" hidden="false" customHeight="false" outlineLevel="0" collapsed="false">
      <c r="B103" s="19" t="s">
        <v>19881</v>
      </c>
      <c r="C103" s="20" t="n">
        <f aca="false">ROUND(124/FX,2)</f>
        <v>17.22</v>
      </c>
      <c r="D103" s="21" t="s">
        <v>6549</v>
      </c>
      <c r="E103" s="21" t="s">
        <v>1635</v>
      </c>
      <c r="F103" s="21" t="s">
        <v>847</v>
      </c>
    </row>
    <row r="104" customFormat="false" ht="15" hidden="false" customHeight="false" outlineLevel="0" collapsed="false">
      <c r="B104" s="19" t="s">
        <v>19882</v>
      </c>
      <c r="C104" s="20" t="n">
        <f aca="false">ROUND(128.5/FX,2)</f>
        <v>17.85</v>
      </c>
      <c r="D104" s="21" t="s">
        <v>6549</v>
      </c>
      <c r="E104" s="21" t="s">
        <v>2002</v>
      </c>
      <c r="F104" s="21" t="s">
        <v>837</v>
      </c>
    </row>
    <row r="105" customFormat="false" ht="15" hidden="false" customHeight="false" outlineLevel="0" collapsed="false">
      <c r="B105" s="19" t="s">
        <v>19883</v>
      </c>
      <c r="C105" s="20" t="n">
        <f aca="false">ROUND(128.5/FX,2)</f>
        <v>17.85</v>
      </c>
      <c r="D105" s="21" t="s">
        <v>6549</v>
      </c>
      <c r="E105" s="21" t="s">
        <v>2002</v>
      </c>
      <c r="F105" s="21" t="s">
        <v>847</v>
      </c>
    </row>
    <row r="106" customFormat="false" ht="15" hidden="false" customHeight="false" outlineLevel="0" collapsed="false">
      <c r="B106" s="19" t="s">
        <v>19884</v>
      </c>
      <c r="C106" s="20" t="n">
        <f aca="false">ROUND(165/FX,2)</f>
        <v>22.92</v>
      </c>
      <c r="D106" s="21" t="s">
        <v>6549</v>
      </c>
      <c r="E106" s="21" t="s">
        <v>2067</v>
      </c>
      <c r="F106" s="21" t="s">
        <v>847</v>
      </c>
    </row>
    <row r="107" customFormat="false" ht="15" hidden="false" customHeight="false" outlineLevel="0" collapsed="false">
      <c r="B107" s="19" t="s">
        <v>19885</v>
      </c>
      <c r="C107" s="20" t="n">
        <f aca="false">ROUND(136.5/FX,2)</f>
        <v>18.96</v>
      </c>
      <c r="D107" s="21" t="s">
        <v>6549</v>
      </c>
      <c r="E107" s="21" t="s">
        <v>2142</v>
      </c>
      <c r="F107" s="21" t="s">
        <v>837</v>
      </c>
    </row>
    <row r="108" customFormat="false" ht="15" hidden="false" customHeight="false" outlineLevel="0" collapsed="false">
      <c r="B108" s="19" t="s">
        <v>19886</v>
      </c>
      <c r="C108" s="20" t="n">
        <f aca="false">ROUND(136.5/FX,2)</f>
        <v>18.96</v>
      </c>
      <c r="D108" s="21" t="s">
        <v>6549</v>
      </c>
      <c r="E108" s="21" t="s">
        <v>2142</v>
      </c>
      <c r="F108" s="21" t="s">
        <v>847</v>
      </c>
    </row>
    <row r="109" customFormat="false" ht="15" hidden="false" customHeight="false" outlineLevel="0" collapsed="false">
      <c r="B109" s="19" t="s">
        <v>19887</v>
      </c>
      <c r="C109" s="20" t="n">
        <f aca="false">ROUND(175/FX,2)</f>
        <v>24.31</v>
      </c>
      <c r="D109" s="21" t="s">
        <v>6549</v>
      </c>
      <c r="E109" s="21" t="s">
        <v>2187</v>
      </c>
      <c r="F109" s="21" t="s">
        <v>847</v>
      </c>
    </row>
    <row r="110" customFormat="false" ht="15" hidden="false" customHeight="false" outlineLevel="0" collapsed="false">
      <c r="B110" s="19" t="s">
        <v>19888</v>
      </c>
      <c r="C110" s="20" t="n">
        <f aca="false">ROUND(180/FX,2)</f>
        <v>25</v>
      </c>
      <c r="D110" s="21" t="s">
        <v>6549</v>
      </c>
      <c r="E110" s="21" t="s">
        <v>2227</v>
      </c>
      <c r="F110" s="21" t="s">
        <v>847</v>
      </c>
    </row>
    <row r="111" customFormat="false" ht="15" hidden="false" customHeight="false" outlineLevel="0" collapsed="false">
      <c r="B111" s="19" t="s">
        <v>19889</v>
      </c>
      <c r="C111" s="20" t="n">
        <f aca="false">ROUND(185/FX,2)</f>
        <v>25.69</v>
      </c>
      <c r="D111" s="21" t="s">
        <v>6549</v>
      </c>
      <c r="E111" s="21" t="s">
        <v>2297</v>
      </c>
      <c r="F111" s="21" t="s">
        <v>847</v>
      </c>
    </row>
    <row r="112" customFormat="false" ht="15" hidden="false" customHeight="false" outlineLevel="0" collapsed="false">
      <c r="B112" s="19" t="s">
        <v>19890</v>
      </c>
      <c r="C112" s="20" t="n">
        <f aca="false">ROUND(190/FX,2)</f>
        <v>26.39</v>
      </c>
      <c r="D112" s="21" t="s">
        <v>6549</v>
      </c>
      <c r="E112" s="21" t="s">
        <v>2351</v>
      </c>
      <c r="F112" s="21" t="s">
        <v>847</v>
      </c>
    </row>
    <row r="113" customFormat="false" ht="15" hidden="false" customHeight="false" outlineLevel="0" collapsed="false">
      <c r="B113" s="19" t="s">
        <v>19891</v>
      </c>
      <c r="C113" s="20" t="n">
        <f aca="false">ROUND(195/FX,2)</f>
        <v>27.08</v>
      </c>
      <c r="D113" s="21" t="s">
        <v>6549</v>
      </c>
      <c r="E113" s="21" t="s">
        <v>2400</v>
      </c>
      <c r="F113" s="21" t="s">
        <v>847</v>
      </c>
    </row>
    <row r="114" customFormat="false" ht="15" hidden="false" customHeight="false" outlineLevel="0" collapsed="false">
      <c r="B114" s="19" t="s">
        <v>19892</v>
      </c>
      <c r="C114" s="20" t="n">
        <f aca="false">ROUND(200/FX,2)</f>
        <v>27.78</v>
      </c>
      <c r="D114" s="21" t="s">
        <v>6549</v>
      </c>
      <c r="E114" s="21" t="s">
        <v>2440</v>
      </c>
      <c r="F114" s="21" t="s">
        <v>847</v>
      </c>
    </row>
    <row r="115" customFormat="false" ht="15" hidden="false" customHeight="false" outlineLevel="0" collapsed="false">
      <c r="B115" s="19" t="s">
        <v>19893</v>
      </c>
      <c r="C115" s="20" t="n">
        <f aca="false">ROUND(205/FX,2)</f>
        <v>28.47</v>
      </c>
      <c r="D115" s="21" t="s">
        <v>6549</v>
      </c>
      <c r="E115" s="21" t="s">
        <v>2470</v>
      </c>
      <c r="F115" s="21" t="s">
        <v>847</v>
      </c>
    </row>
    <row r="116" customFormat="false" ht="15" hidden="false" customHeight="false" outlineLevel="0" collapsed="false">
      <c r="B116" s="19" t="s">
        <v>19894</v>
      </c>
      <c r="C116" s="20" t="n">
        <f aca="false">ROUND(210/FX,2)</f>
        <v>29.17</v>
      </c>
      <c r="D116" s="21" t="s">
        <v>6549</v>
      </c>
      <c r="E116" s="21" t="s">
        <v>2500</v>
      </c>
      <c r="F116" s="21" t="s">
        <v>847</v>
      </c>
    </row>
    <row r="117" customFormat="false" ht="15" hidden="false" customHeight="false" outlineLevel="0" collapsed="false">
      <c r="B117" s="19" t="s">
        <v>19895</v>
      </c>
      <c r="C117" s="20" t="n">
        <f aca="false">ROUND(215/FX,2)</f>
        <v>29.86</v>
      </c>
      <c r="D117" s="21" t="s">
        <v>6549</v>
      </c>
      <c r="E117" s="21" t="s">
        <v>2540</v>
      </c>
      <c r="F117" s="21" t="s">
        <v>847</v>
      </c>
    </row>
    <row r="120" customFormat="false" ht="61.5" hidden="false" customHeight="true" outlineLevel="0" collapsed="false">
      <c r="A120" s="9"/>
      <c r="B120" s="10" t="s">
        <v>270</v>
      </c>
      <c r="C120" s="10"/>
      <c r="D120" s="10"/>
    </row>
    <row r="121" customFormat="false" ht="15" hidden="false" customHeight="false" outlineLevel="0" collapsed="false">
      <c r="A121" s="12" t="s">
        <v>700</v>
      </c>
      <c r="B121" s="13" t="s">
        <v>701</v>
      </c>
      <c r="C121" s="13" t="s">
        <v>702</v>
      </c>
      <c r="D121" s="13" t="s">
        <v>5610</v>
      </c>
    </row>
    <row r="122" customFormat="false" ht="30" hidden="false" customHeight="true" outlineLevel="0" collapsed="false">
      <c r="A122" s="14" t="s">
        <v>706</v>
      </c>
      <c r="B122" s="15" t="str">
        <f aca="false">IF(COUNTIFS($D$125:$D$126,IF(D122="","*",D122))=1,INDEX($B:$B,SUMPRODUCT(((D122="")+($D$125:$D$126=D122)&gt;0)*ROW($B$125:$B$126))),IF(COUNTIFS($D$125:$D$126,IF(D122="","*",D122))=0,"Not available",COUNTIFS($D$125:$D$126,IF(D122="","*",D122))&amp;" match, keep choosing"))</f>
        <v>MINICNC-mini</v>
      </c>
      <c r="C122" s="16" t="n">
        <f aca="false">IF(COUNTIFS($D$125:$D$126,IF(D122="","*",D122))=1,INDEX($C:$C,SUMPRODUCT(((D122="")+($D$125:$D$126=D122)&gt;0)*ROW($B$125:$B$126))),"")</f>
        <v>104.17</v>
      </c>
      <c r="D122" s="17" t="s">
        <v>19896</v>
      </c>
    </row>
    <row r="124" customFormat="false" ht="15" hidden="false" customHeight="false" outlineLevel="0" collapsed="false">
      <c r="B124" s="18" t="s">
        <v>701</v>
      </c>
      <c r="C124" s="18" t="s">
        <v>702</v>
      </c>
      <c r="D124" s="18" t="s">
        <v>5610</v>
      </c>
    </row>
    <row r="125" customFormat="false" ht="28.35" hidden="false" customHeight="false" outlineLevel="0" collapsed="false">
      <c r="B125" s="19" t="s">
        <v>19897</v>
      </c>
      <c r="C125" s="20" t="n">
        <f aca="false">ROUND(750/FX,2)</f>
        <v>104.17</v>
      </c>
      <c r="D125" s="21" t="s">
        <v>19896</v>
      </c>
    </row>
    <row r="126" customFormat="false" ht="28.35" hidden="false" customHeight="false" outlineLevel="0" collapsed="false">
      <c r="B126" s="19" t="s">
        <v>19898</v>
      </c>
      <c r="C126" s="20" t="n">
        <f aca="false">ROUND(888/FX,2)</f>
        <v>123.33</v>
      </c>
      <c r="D126" s="21" t="s">
        <v>19899</v>
      </c>
    </row>
    <row r="129" customFormat="false" ht="61.5" hidden="false" customHeight="true" outlineLevel="0" collapsed="false">
      <c r="A129" s="9"/>
      <c r="B129" s="10" t="s">
        <v>271</v>
      </c>
      <c r="C129" s="10"/>
      <c r="D129" s="10"/>
    </row>
    <row r="130" customFormat="false" ht="15" hidden="false" customHeight="false" outlineLevel="0" collapsed="false">
      <c r="A130" s="12" t="s">
        <v>700</v>
      </c>
      <c r="B130" s="13" t="s">
        <v>701</v>
      </c>
      <c r="C130" s="13" t="s">
        <v>702</v>
      </c>
      <c r="D130" s="13" t="s">
        <v>11716</v>
      </c>
    </row>
    <row r="131" customFormat="false" ht="30" hidden="false" customHeight="true" outlineLevel="0" collapsed="false">
      <c r="A131" s="14" t="s">
        <v>706</v>
      </c>
      <c r="B131" s="15" t="str">
        <f aca="false">IF(COUNTIFS($D$134:$D$137,IF(D131="","*",D131))=1,INDEX($B:$B,SUMPRODUCT(((D131="")+($D$134:$D$137=D131)&gt;0)*ROW($B$134:$B$137))),IF(COUNTIFS($D$134:$D$137,IF(D131="","*",D131))=0,"Not available",COUNTIFS($D$134:$D$137,IF(D131="","*",D131))&amp;" match, keep choosing"))</f>
        <v>OBARM-L250</v>
      </c>
      <c r="C131" s="16" t="n">
        <f aca="false">IF(COUNTIFS($D$134:$D$137,IF(D131="","*",D131))=1,INDEX($C:$C,SUMPRODUCT(((D131="")+($D$134:$D$137=D131)&gt;0)*ROW($B$134:$B$137))),"")</f>
        <v>40.28</v>
      </c>
      <c r="D131" s="17" t="s">
        <v>1323</v>
      </c>
    </row>
    <row r="133" customFormat="false" ht="15" hidden="false" customHeight="false" outlineLevel="0" collapsed="false">
      <c r="B133" s="18" t="s">
        <v>701</v>
      </c>
      <c r="C133" s="18" t="s">
        <v>702</v>
      </c>
      <c r="D133" s="18" t="s">
        <v>11716</v>
      </c>
    </row>
    <row r="134" customFormat="false" ht="15" hidden="false" customHeight="false" outlineLevel="0" collapsed="false">
      <c r="B134" s="19" t="s">
        <v>19900</v>
      </c>
      <c r="C134" s="20" t="n">
        <f aca="false">ROUND(290/FX,2)</f>
        <v>40.28</v>
      </c>
      <c r="D134" s="21" t="s">
        <v>1323</v>
      </c>
    </row>
    <row r="135" customFormat="false" ht="15" hidden="false" customHeight="false" outlineLevel="0" collapsed="false">
      <c r="B135" s="19" t="s">
        <v>19901</v>
      </c>
      <c r="C135" s="20" t="n">
        <f aca="false">ROUND(300/FX,2)</f>
        <v>41.67</v>
      </c>
      <c r="D135" s="21" t="s">
        <v>1520</v>
      </c>
    </row>
    <row r="136" customFormat="false" ht="15" hidden="false" customHeight="false" outlineLevel="0" collapsed="false">
      <c r="B136" s="19" t="s">
        <v>19902</v>
      </c>
      <c r="C136" s="20" t="n">
        <f aca="false">ROUND(320/FX,2)</f>
        <v>44.44</v>
      </c>
      <c r="D136" s="21" t="s">
        <v>2002</v>
      </c>
    </row>
    <row r="137" customFormat="false" ht="15" hidden="false" customHeight="false" outlineLevel="0" collapsed="false">
      <c r="B137" s="19" t="s">
        <v>19903</v>
      </c>
      <c r="C137" s="20" t="n">
        <f aca="false">ROUND(340/FX,2)</f>
        <v>47.22</v>
      </c>
      <c r="D137" s="21" t="s">
        <v>2142</v>
      </c>
    </row>
    <row r="140" customFormat="false" ht="61.5" hidden="false" customHeight="true" outlineLevel="0" collapsed="false">
      <c r="A140" s="9"/>
      <c r="B140" s="10" t="s">
        <v>272</v>
      </c>
      <c r="C140" s="10"/>
      <c r="D140" s="10"/>
      <c r="E140" s="10"/>
    </row>
    <row r="141" customFormat="false" ht="15" hidden="false" customHeight="false" outlineLevel="0" collapsed="false">
      <c r="A141" s="12" t="s">
        <v>700</v>
      </c>
      <c r="B141" s="13" t="s">
        <v>701</v>
      </c>
      <c r="C141" s="13" t="s">
        <v>702</v>
      </c>
      <c r="D141" s="13" t="s">
        <v>19904</v>
      </c>
      <c r="E141" s="13" t="s">
        <v>19806</v>
      </c>
    </row>
    <row r="142" customFormat="false" ht="30" hidden="false" customHeight="true" outlineLevel="0" collapsed="false">
      <c r="A142" s="14" t="s">
        <v>706</v>
      </c>
      <c r="B142" s="15" t="str">
        <f aca="false">IF(COUNTIFS($D$145:$D$147,IF(D142="","*",D142),$E$145:$E$147,IF(E142="","*",E142))=1,INDEX($B:$B,SUMPRODUCT(((D142="")+($D$145:$D$147=D142)&gt;0)*((E142="")+($E$145:$E$147=E142)&gt;0)*ROW($B$145:$B$147))),IF(COUNTIFS($D$145:$D$147,IF(D142="","*",D142),$E$145:$E$147,IF(E142="","*",E142))=0,"Not available",COUNTIFS($D$145:$D$147,IF(D142="","*",D142),$E$145:$E$147,IF(E142="","*",E142))&amp;" match, keep choosing"))</f>
        <v>SLT6-28-L100-P1</v>
      </c>
      <c r="C142" s="16" t="n">
        <f aca="false">IF(COUNTIFS($D$145:$D$147,IF(D142="","*",D142),$E$145:$E$147,IF(E142="","*",E142))=1,INDEX($C:$C,SUMPRODUCT(((D142="")+($D$145:$D$147=D142)&gt;0)*((E142="")+($E$145:$E$147=E142)&gt;0)*ROW($B$145:$B$147))),"")</f>
        <v>11.38</v>
      </c>
      <c r="D142" s="17" t="s">
        <v>2600</v>
      </c>
      <c r="E142" s="17" t="s">
        <v>19845</v>
      </c>
    </row>
    <row r="144" customFormat="false" ht="15" hidden="false" customHeight="false" outlineLevel="0" collapsed="false">
      <c r="B144" s="18" t="s">
        <v>701</v>
      </c>
      <c r="C144" s="18" t="s">
        <v>702</v>
      </c>
      <c r="D144" s="18" t="s">
        <v>19904</v>
      </c>
      <c r="E144" s="18" t="s">
        <v>19806</v>
      </c>
    </row>
    <row r="145" customFormat="false" ht="15" hidden="false" customHeight="false" outlineLevel="0" collapsed="false">
      <c r="B145" s="19" t="s">
        <v>19905</v>
      </c>
      <c r="C145" s="20" t="n">
        <f aca="false">ROUND(81.9/FX,2)</f>
        <v>11.38</v>
      </c>
      <c r="D145" s="21" t="s">
        <v>2600</v>
      </c>
      <c r="E145" s="21" t="s">
        <v>19845</v>
      </c>
    </row>
    <row r="146" customFormat="false" ht="15" hidden="false" customHeight="false" outlineLevel="0" collapsed="false">
      <c r="B146" s="19" t="s">
        <v>19906</v>
      </c>
      <c r="C146" s="20" t="n">
        <f aca="false">ROUND(94.9/FX,2)</f>
        <v>13.18</v>
      </c>
      <c r="D146" s="21" t="s">
        <v>2600</v>
      </c>
      <c r="E146" s="21" t="s">
        <v>837</v>
      </c>
    </row>
    <row r="147" customFormat="false" ht="15" hidden="false" customHeight="false" outlineLevel="0" collapsed="false">
      <c r="B147" s="19" t="s">
        <v>19907</v>
      </c>
      <c r="C147" s="20" t="n">
        <f aca="false">ROUND(80.08/FX,2)</f>
        <v>11.12</v>
      </c>
      <c r="D147" s="21" t="s">
        <v>2911</v>
      </c>
      <c r="E147" s="21" t="s">
        <v>837</v>
      </c>
    </row>
    <row r="150" customFormat="false" ht="61.5" hidden="false" customHeight="true" outlineLevel="0" collapsed="false">
      <c r="A150" s="9"/>
      <c r="B150" s="10" t="s">
        <v>273</v>
      </c>
      <c r="C150" s="10"/>
      <c r="D150" s="10"/>
    </row>
    <row r="151" customFormat="false" ht="15" hidden="false" customHeight="false" outlineLevel="0" collapsed="false">
      <c r="A151" s="12" t="s">
        <v>700</v>
      </c>
      <c r="B151" s="13" t="s">
        <v>701</v>
      </c>
      <c r="C151" s="13" t="s">
        <v>702</v>
      </c>
      <c r="D151" s="13" t="s">
        <v>19904</v>
      </c>
    </row>
    <row r="152" customFormat="false" ht="30" hidden="false" customHeight="true" outlineLevel="0" collapsed="false">
      <c r="A152" s="14" t="s">
        <v>706</v>
      </c>
      <c r="B152" s="15" t="str">
        <f aca="false">IF(COUNTIFS($D$155:$D$160,IF(D152="","*",D152))=1,INDEX($B:$B,SUMPRODUCT(((D152="")+($D$155:$D$160=D152)&gt;0)*ROW($B$155:$B$160))),IF(COUNTIFS($D$155:$D$160,IF(D152="","*",D152))=0,"Not available",COUNTIFS($D$155:$D$160,IF(D152="","*",D152))&amp;" match, keep choosing"))</f>
        <v>THK90-L200</v>
      </c>
      <c r="C152" s="16" t="n">
        <f aca="false">IF(COUNTIFS($D$155:$D$160,IF(D152="","*",D152))=1,INDEX($C:$C,SUMPRODUCT(((D152="")+($D$155:$D$160=D152)&gt;0)*ROW($B$155:$B$160))),"")</f>
        <v>57.78</v>
      </c>
      <c r="D152" s="17" t="s">
        <v>1048</v>
      </c>
    </row>
    <row r="154" customFormat="false" ht="15" hidden="false" customHeight="false" outlineLevel="0" collapsed="false">
      <c r="B154" s="18" t="s">
        <v>701</v>
      </c>
      <c r="C154" s="18" t="s">
        <v>702</v>
      </c>
      <c r="D154" s="18" t="s">
        <v>19904</v>
      </c>
    </row>
    <row r="155" customFormat="false" ht="15" hidden="false" customHeight="false" outlineLevel="0" collapsed="false">
      <c r="B155" s="19" t="s">
        <v>19908</v>
      </c>
      <c r="C155" s="20" t="n">
        <f aca="false">ROUND(416/FX,2)</f>
        <v>57.78</v>
      </c>
      <c r="D155" s="21" t="s">
        <v>1048</v>
      </c>
    </row>
    <row r="156" customFormat="false" ht="15" hidden="false" customHeight="false" outlineLevel="0" collapsed="false">
      <c r="B156" s="19" t="s">
        <v>19909</v>
      </c>
      <c r="C156" s="20" t="n">
        <f aca="false">ROUND(455/FX,2)</f>
        <v>63.19</v>
      </c>
      <c r="D156" s="21" t="s">
        <v>1520</v>
      </c>
    </row>
    <row r="157" customFormat="false" ht="15" hidden="false" customHeight="false" outlineLevel="0" collapsed="false">
      <c r="B157" s="19" t="s">
        <v>19910</v>
      </c>
      <c r="C157" s="20" t="n">
        <f aca="false">ROUND(494/FX,2)</f>
        <v>68.61</v>
      </c>
      <c r="D157" s="21" t="s">
        <v>2002</v>
      </c>
    </row>
    <row r="158" customFormat="false" ht="15" hidden="false" customHeight="false" outlineLevel="0" collapsed="false">
      <c r="B158" s="19" t="s">
        <v>19911</v>
      </c>
      <c r="C158" s="20" t="n">
        <f aca="false">ROUND(533/FX,2)</f>
        <v>74.03</v>
      </c>
      <c r="D158" s="21" t="s">
        <v>2142</v>
      </c>
    </row>
    <row r="159" customFormat="false" ht="15" hidden="false" customHeight="false" outlineLevel="0" collapsed="false">
      <c r="B159" s="19" t="s">
        <v>19912</v>
      </c>
      <c r="C159" s="20" t="n">
        <f aca="false">ROUND(572/FX,2)</f>
        <v>79.44</v>
      </c>
      <c r="D159" s="21" t="s">
        <v>2227</v>
      </c>
    </row>
    <row r="160" customFormat="false" ht="15" hidden="false" customHeight="false" outlineLevel="0" collapsed="false">
      <c r="B160" s="19" t="s">
        <v>19913</v>
      </c>
      <c r="C160" s="20" t="n">
        <f aca="false">ROUND(611/FX,2)</f>
        <v>84.86</v>
      </c>
      <c r="D160" s="21" t="s">
        <v>2351</v>
      </c>
    </row>
    <row r="163" customFormat="false" ht="61.5" hidden="false" customHeight="true" outlineLevel="0" collapsed="false">
      <c r="A163" s="9"/>
      <c r="B163" s="10" t="s">
        <v>274</v>
      </c>
      <c r="C163" s="10"/>
      <c r="D163" s="10"/>
      <c r="E163" s="10"/>
    </row>
    <row r="164" customFormat="false" ht="22.35" hidden="false" customHeight="true" outlineLevel="0" collapsed="false">
      <c r="B164" s="11" t="s">
        <v>19914</v>
      </c>
      <c r="C164" s="11"/>
      <c r="D164" s="11"/>
      <c r="E164" s="11"/>
    </row>
    <row r="165" customFormat="false" ht="15" hidden="false" customHeight="false" outlineLevel="0" collapsed="false">
      <c r="A165" s="12" t="s">
        <v>700</v>
      </c>
      <c r="B165" s="13" t="s">
        <v>701</v>
      </c>
      <c r="C165" s="13" t="s">
        <v>702</v>
      </c>
      <c r="D165" s="13" t="s">
        <v>722</v>
      </c>
      <c r="E165" s="13" t="s">
        <v>11716</v>
      </c>
    </row>
    <row r="166" customFormat="false" ht="30" hidden="false" customHeight="true" outlineLevel="0" collapsed="false">
      <c r="A166" s="14" t="s">
        <v>706</v>
      </c>
      <c r="B166" s="15" t="str">
        <f aca="false">IF(COUNTIFS($D$169:$D$196,IF(D166="","*",D166),$E$169:$E$196,IF(E166="","*",E166))=1,INDEX($B:$B,SUMPRODUCT(((D166="")+($D$169:$D$196=D166)&gt;0)*((E166="")+($E$169:$E$196=E166)&gt;0)*ROW($B$169:$B$196))),IF(COUNTIFS($D$169:$D$196,IF(D166="","*",D166),$E$169:$E$196,IF(E166="","*",E166))=0,"Not available",COUNTIFS($D$169:$D$196,IF(D166="","*",D166),$E$169:$E$196,IF(E166="","*",E166))&amp;" match, keep choosing"))</f>
        <v>SL2020B-BK-L1000</v>
      </c>
      <c r="C166" s="16" t="n">
        <f aca="false">IF(COUNTIFS($D$169:$D$196,IF(D166="","*",D166),$E$169:$E$196,IF(E166="","*",E166))=1,INDEX($C:$C,SUMPRODUCT(((D166="")+($D$169:$D$196=D166)&gt;0)*((E166="")+($E$169:$E$196=E166)&gt;0)*ROW($B$169:$B$196))),"")</f>
        <v>19.44</v>
      </c>
      <c r="D166" s="17" t="s">
        <v>724</v>
      </c>
      <c r="E166" s="17" t="s">
        <v>1733</v>
      </c>
    </row>
    <row r="168" customFormat="false" ht="15" hidden="false" customHeight="false" outlineLevel="0" collapsed="false">
      <c r="B168" s="18" t="s">
        <v>701</v>
      </c>
      <c r="C168" s="18" t="s">
        <v>702</v>
      </c>
      <c r="D168" s="18" t="s">
        <v>722</v>
      </c>
      <c r="E168" s="18" t="s">
        <v>11716</v>
      </c>
    </row>
    <row r="169" customFormat="false" ht="15" hidden="false" customHeight="false" outlineLevel="0" collapsed="false">
      <c r="B169" s="19" t="s">
        <v>19915</v>
      </c>
      <c r="C169" s="20" t="n">
        <f aca="false">ROUND(140/FX,2)</f>
        <v>19.44</v>
      </c>
      <c r="D169" s="21" t="s">
        <v>724</v>
      </c>
      <c r="E169" s="21" t="s">
        <v>1733</v>
      </c>
    </row>
    <row r="170" customFormat="false" ht="15" hidden="false" customHeight="false" outlineLevel="0" collapsed="false">
      <c r="B170" s="19" t="s">
        <v>19916</v>
      </c>
      <c r="C170" s="20" t="n">
        <f aca="false">ROUND(120/FX,2)</f>
        <v>16.67</v>
      </c>
      <c r="D170" s="21" t="s">
        <v>724</v>
      </c>
      <c r="E170" s="21" t="s">
        <v>1323</v>
      </c>
    </row>
    <row r="171" customFormat="false" ht="15" hidden="false" customHeight="false" outlineLevel="0" collapsed="false">
      <c r="B171" s="19" t="s">
        <v>19917</v>
      </c>
      <c r="C171" s="20" t="n">
        <f aca="false">ROUND(121/FX,2)</f>
        <v>16.81</v>
      </c>
      <c r="D171" s="21" t="s">
        <v>724</v>
      </c>
      <c r="E171" s="21" t="s">
        <v>1378</v>
      </c>
    </row>
    <row r="172" customFormat="false" ht="15" hidden="false" customHeight="false" outlineLevel="0" collapsed="false">
      <c r="B172" s="19" t="s">
        <v>19918</v>
      </c>
      <c r="C172" s="20" t="n">
        <f aca="false">ROUND(122/FX,2)</f>
        <v>16.94</v>
      </c>
      <c r="D172" s="21" t="s">
        <v>724</v>
      </c>
      <c r="E172" s="21" t="s">
        <v>1433</v>
      </c>
    </row>
    <row r="173" customFormat="false" ht="15" hidden="false" customHeight="false" outlineLevel="0" collapsed="false">
      <c r="B173" s="19" t="s">
        <v>19919</v>
      </c>
      <c r="C173" s="20" t="n">
        <f aca="false">ROUND(122/FX,2)</f>
        <v>16.94</v>
      </c>
      <c r="D173" s="21" t="s">
        <v>724</v>
      </c>
      <c r="E173" s="21" t="s">
        <v>1520</v>
      </c>
    </row>
    <row r="174" customFormat="false" ht="15" hidden="false" customHeight="false" outlineLevel="0" collapsed="false">
      <c r="B174" s="19" t="s">
        <v>19920</v>
      </c>
      <c r="C174" s="20" t="n">
        <f aca="false">ROUND(124/FX,2)</f>
        <v>17.22</v>
      </c>
      <c r="D174" s="21" t="s">
        <v>724</v>
      </c>
      <c r="E174" s="21" t="s">
        <v>1635</v>
      </c>
    </row>
    <row r="175" customFormat="false" ht="15" hidden="false" customHeight="false" outlineLevel="0" collapsed="false">
      <c r="B175" s="19" t="s">
        <v>19921</v>
      </c>
      <c r="C175" s="20" t="n">
        <f aca="false">ROUND(126/FX,2)</f>
        <v>17.5</v>
      </c>
      <c r="D175" s="21" t="s">
        <v>724</v>
      </c>
      <c r="E175" s="21" t="s">
        <v>2002</v>
      </c>
    </row>
    <row r="176" customFormat="false" ht="15" hidden="false" customHeight="false" outlineLevel="0" collapsed="false">
      <c r="B176" s="19" t="s">
        <v>19922</v>
      </c>
      <c r="C176" s="20" t="n">
        <f aca="false">ROUND(128/FX,2)</f>
        <v>17.78</v>
      </c>
      <c r="D176" s="21" t="s">
        <v>724</v>
      </c>
      <c r="E176" s="21" t="s">
        <v>2067</v>
      </c>
    </row>
    <row r="177" customFormat="false" ht="15" hidden="false" customHeight="false" outlineLevel="0" collapsed="false">
      <c r="B177" s="19" t="s">
        <v>19923</v>
      </c>
      <c r="C177" s="20" t="n">
        <f aca="false">ROUND(130/FX,2)</f>
        <v>18.06</v>
      </c>
      <c r="D177" s="21" t="s">
        <v>724</v>
      </c>
      <c r="E177" s="21" t="s">
        <v>2142</v>
      </c>
    </row>
    <row r="178" customFormat="false" ht="15" hidden="false" customHeight="false" outlineLevel="0" collapsed="false">
      <c r="B178" s="19" t="s">
        <v>19924</v>
      </c>
      <c r="C178" s="20" t="n">
        <f aca="false">ROUND(132/FX,2)</f>
        <v>18.33</v>
      </c>
      <c r="D178" s="21" t="s">
        <v>724</v>
      </c>
      <c r="E178" s="21" t="s">
        <v>2187</v>
      </c>
    </row>
    <row r="179" customFormat="false" ht="15" hidden="false" customHeight="false" outlineLevel="0" collapsed="false">
      <c r="B179" s="19" t="s">
        <v>19925</v>
      </c>
      <c r="C179" s="20" t="n">
        <f aca="false">ROUND(134/FX,2)</f>
        <v>18.61</v>
      </c>
      <c r="D179" s="21" t="s">
        <v>724</v>
      </c>
      <c r="E179" s="21" t="s">
        <v>2227</v>
      </c>
    </row>
    <row r="180" customFormat="false" ht="15" hidden="false" customHeight="false" outlineLevel="0" collapsed="false">
      <c r="B180" s="19" t="s">
        <v>19926</v>
      </c>
      <c r="C180" s="20" t="n">
        <f aca="false">ROUND(136/FX,2)</f>
        <v>18.89</v>
      </c>
      <c r="D180" s="21" t="s">
        <v>724</v>
      </c>
      <c r="E180" s="21" t="s">
        <v>2297</v>
      </c>
    </row>
    <row r="181" customFormat="false" ht="15" hidden="false" customHeight="false" outlineLevel="0" collapsed="false">
      <c r="B181" s="19" t="s">
        <v>19927</v>
      </c>
      <c r="C181" s="20" t="n">
        <f aca="false">ROUND(138/FX,2)</f>
        <v>19.17</v>
      </c>
      <c r="D181" s="21" t="s">
        <v>724</v>
      </c>
      <c r="E181" s="21" t="s">
        <v>2351</v>
      </c>
    </row>
    <row r="182" customFormat="false" ht="15" hidden="false" customHeight="false" outlineLevel="0" collapsed="false">
      <c r="B182" s="19" t="s">
        <v>19928</v>
      </c>
      <c r="C182" s="20" t="n">
        <f aca="false">ROUND(140/FX,2)</f>
        <v>19.44</v>
      </c>
      <c r="D182" s="21" t="s">
        <v>724</v>
      </c>
      <c r="E182" s="21" t="s">
        <v>2400</v>
      </c>
    </row>
    <row r="183" customFormat="false" ht="15" hidden="false" customHeight="false" outlineLevel="0" collapsed="false">
      <c r="B183" s="19" t="s">
        <v>19929</v>
      </c>
      <c r="C183" s="20" t="n">
        <f aca="false">ROUND(140/FX,2)</f>
        <v>19.44</v>
      </c>
      <c r="D183" s="21" t="s">
        <v>6549</v>
      </c>
      <c r="E183" s="21" t="s">
        <v>1733</v>
      </c>
    </row>
    <row r="184" customFormat="false" ht="15" hidden="false" customHeight="false" outlineLevel="0" collapsed="false">
      <c r="B184" s="19" t="s">
        <v>19930</v>
      </c>
      <c r="C184" s="20" t="n">
        <f aca="false">ROUND(120/FX,2)</f>
        <v>16.67</v>
      </c>
      <c r="D184" s="21" t="s">
        <v>6549</v>
      </c>
      <c r="E184" s="21" t="s">
        <v>1323</v>
      </c>
    </row>
    <row r="185" customFormat="false" ht="15" hidden="false" customHeight="false" outlineLevel="0" collapsed="false">
      <c r="B185" s="19" t="s">
        <v>19931</v>
      </c>
      <c r="C185" s="20" t="n">
        <f aca="false">ROUND(121/FX,2)</f>
        <v>16.81</v>
      </c>
      <c r="D185" s="21" t="s">
        <v>6549</v>
      </c>
      <c r="E185" s="21" t="s">
        <v>1378</v>
      </c>
    </row>
    <row r="186" customFormat="false" ht="15" hidden="false" customHeight="false" outlineLevel="0" collapsed="false">
      <c r="B186" s="19" t="s">
        <v>19932</v>
      </c>
      <c r="C186" s="20" t="n">
        <f aca="false">ROUND(122/FX,2)</f>
        <v>16.94</v>
      </c>
      <c r="D186" s="21" t="s">
        <v>6549</v>
      </c>
      <c r="E186" s="21" t="s">
        <v>1433</v>
      </c>
    </row>
    <row r="187" customFormat="false" ht="15" hidden="false" customHeight="false" outlineLevel="0" collapsed="false">
      <c r="B187" s="19" t="s">
        <v>19933</v>
      </c>
      <c r="C187" s="20" t="n">
        <f aca="false">ROUND(122/FX,2)</f>
        <v>16.94</v>
      </c>
      <c r="D187" s="21" t="s">
        <v>6549</v>
      </c>
      <c r="E187" s="21" t="s">
        <v>1520</v>
      </c>
    </row>
    <row r="188" customFormat="false" ht="15" hidden="false" customHeight="false" outlineLevel="0" collapsed="false">
      <c r="B188" s="19" t="s">
        <v>19934</v>
      </c>
      <c r="C188" s="20" t="n">
        <f aca="false">ROUND(124/FX,2)</f>
        <v>17.22</v>
      </c>
      <c r="D188" s="21" t="s">
        <v>6549</v>
      </c>
      <c r="E188" s="21" t="s">
        <v>1635</v>
      </c>
    </row>
    <row r="189" customFormat="false" ht="15" hidden="false" customHeight="false" outlineLevel="0" collapsed="false">
      <c r="B189" s="19" t="s">
        <v>19935</v>
      </c>
      <c r="C189" s="20" t="n">
        <f aca="false">ROUND(126/FX,2)</f>
        <v>17.5</v>
      </c>
      <c r="D189" s="21" t="s">
        <v>6549</v>
      </c>
      <c r="E189" s="21" t="s">
        <v>2002</v>
      </c>
    </row>
    <row r="190" customFormat="false" ht="15" hidden="false" customHeight="false" outlineLevel="0" collapsed="false">
      <c r="B190" s="19" t="s">
        <v>19936</v>
      </c>
      <c r="C190" s="20" t="n">
        <f aca="false">ROUND(128/FX,2)</f>
        <v>17.78</v>
      </c>
      <c r="D190" s="21" t="s">
        <v>6549</v>
      </c>
      <c r="E190" s="21" t="s">
        <v>2067</v>
      </c>
    </row>
    <row r="191" customFormat="false" ht="15" hidden="false" customHeight="false" outlineLevel="0" collapsed="false">
      <c r="B191" s="19" t="s">
        <v>19937</v>
      </c>
      <c r="C191" s="20" t="n">
        <f aca="false">ROUND(130/FX,2)</f>
        <v>18.06</v>
      </c>
      <c r="D191" s="21" t="s">
        <v>6549</v>
      </c>
      <c r="E191" s="21" t="s">
        <v>2142</v>
      </c>
    </row>
    <row r="192" customFormat="false" ht="15" hidden="false" customHeight="false" outlineLevel="0" collapsed="false">
      <c r="B192" s="19" t="s">
        <v>19938</v>
      </c>
      <c r="C192" s="20" t="n">
        <f aca="false">ROUND(132/FX,2)</f>
        <v>18.33</v>
      </c>
      <c r="D192" s="21" t="s">
        <v>6549</v>
      </c>
      <c r="E192" s="21" t="s">
        <v>2187</v>
      </c>
    </row>
    <row r="193" customFormat="false" ht="15" hidden="false" customHeight="false" outlineLevel="0" collapsed="false">
      <c r="B193" s="19" t="s">
        <v>19939</v>
      </c>
      <c r="C193" s="20" t="n">
        <f aca="false">ROUND(134/FX,2)</f>
        <v>18.61</v>
      </c>
      <c r="D193" s="21" t="s">
        <v>6549</v>
      </c>
      <c r="E193" s="21" t="s">
        <v>2227</v>
      </c>
    </row>
    <row r="194" customFormat="false" ht="15" hidden="false" customHeight="false" outlineLevel="0" collapsed="false">
      <c r="B194" s="19" t="s">
        <v>19940</v>
      </c>
      <c r="C194" s="20" t="n">
        <f aca="false">ROUND(136/FX,2)</f>
        <v>18.89</v>
      </c>
      <c r="D194" s="21" t="s">
        <v>6549</v>
      </c>
      <c r="E194" s="21" t="s">
        <v>2297</v>
      </c>
    </row>
    <row r="195" customFormat="false" ht="15" hidden="false" customHeight="false" outlineLevel="0" collapsed="false">
      <c r="B195" s="19" t="s">
        <v>19941</v>
      </c>
      <c r="C195" s="20" t="n">
        <f aca="false">ROUND(138/FX,2)</f>
        <v>19.17</v>
      </c>
      <c r="D195" s="21" t="s">
        <v>6549</v>
      </c>
      <c r="E195" s="21" t="s">
        <v>2351</v>
      </c>
    </row>
    <row r="196" customFormat="false" ht="15" hidden="false" customHeight="false" outlineLevel="0" collapsed="false">
      <c r="B196" s="19" t="s">
        <v>19942</v>
      </c>
      <c r="C196" s="20" t="n">
        <f aca="false">ROUND(140/FX,2)</f>
        <v>19.44</v>
      </c>
      <c r="D196" s="21" t="s">
        <v>6549</v>
      </c>
      <c r="E196" s="21" t="s">
        <v>2400</v>
      </c>
    </row>
    <row r="199" customFormat="false" ht="61.5" hidden="false" customHeight="true" outlineLevel="0" collapsed="false">
      <c r="A199" s="9"/>
      <c r="B199" s="10" t="s">
        <v>275</v>
      </c>
      <c r="C199" s="10"/>
      <c r="D199" s="10"/>
      <c r="E199" s="10"/>
      <c r="F199" s="10"/>
    </row>
    <row r="200" customFormat="false" ht="15" hidden="false" customHeight="false" outlineLevel="0" collapsed="false">
      <c r="A200" s="12" t="s">
        <v>700</v>
      </c>
      <c r="B200" s="13" t="s">
        <v>701</v>
      </c>
      <c r="C200" s="13" t="s">
        <v>702</v>
      </c>
      <c r="D200" s="13" t="s">
        <v>722</v>
      </c>
      <c r="E200" s="13" t="s">
        <v>11716</v>
      </c>
      <c r="F200" s="13" t="s">
        <v>19439</v>
      </c>
    </row>
    <row r="201" customFormat="false" ht="30" hidden="false" customHeight="true" outlineLevel="0" collapsed="false">
      <c r="A201" s="14" t="s">
        <v>706</v>
      </c>
      <c r="B201" s="15" t="str">
        <f aca="false">IF(COUNTIFS($D$204:$D$207,IF(D201="","*",D201),$E$204:$E$207,IF(E201="","*",E201),$F$204:$F$207,IF(F201="","*",F201))=1,INDEX($B:$B,SUMPRODUCT(((D201="")+($D$204:$D$207=D201)&gt;0)*((E201="")+($E$204:$E$207=E201)&gt;0)*((F201="")+($F$204:$F$207=F201)&gt;0)*ROW($B$204:$B$207))),IF(COUNTIFS($D$204:$D$207,IF(D201="","*",D201),$E$204:$E$207,IF(E201="","*",E201),$F$204:$F$207,IF(F201="","*",F201))=0,"Not available",COUNTIFS($D$204:$D$207,IF(D201="","*",D201),$E$204:$E$207,IF(E201="","*",E201),$F$204:$F$207,IF(F201="","*",F201))&amp;" match, keep choosing"))</f>
        <v>SL2040B-BK-L1000-DP</v>
      </c>
      <c r="C201" s="16" t="n">
        <f aca="false">IF(COUNTIFS($D$204:$D$207,IF(D201="","*",D201),$E$204:$E$207,IF(E201="","*",E201),$F$204:$F$207,IF(F201="","*",F201))=1,INDEX($C:$C,SUMPRODUCT(((D201="")+($D$204:$D$207=D201)&gt;0)*((E201="")+($E$204:$E$207=E201)&gt;0)*((F201="")+($F$204:$F$207=F201)&gt;0)*ROW($B$204:$B$207))),"")</f>
        <v>22.33</v>
      </c>
      <c r="D201" s="17" t="s">
        <v>724</v>
      </c>
      <c r="E201" s="17" t="s">
        <v>1733</v>
      </c>
      <c r="F201" s="17" t="s">
        <v>19552</v>
      </c>
    </row>
    <row r="203" customFormat="false" ht="15" hidden="false" customHeight="false" outlineLevel="0" collapsed="false">
      <c r="B203" s="18" t="s">
        <v>701</v>
      </c>
      <c r="C203" s="18" t="s">
        <v>702</v>
      </c>
      <c r="D203" s="18" t="s">
        <v>722</v>
      </c>
      <c r="E203" s="18" t="s">
        <v>11716</v>
      </c>
      <c r="F203" s="18" t="s">
        <v>19439</v>
      </c>
    </row>
    <row r="204" customFormat="false" ht="15" hidden="false" customHeight="false" outlineLevel="0" collapsed="false">
      <c r="B204" s="19" t="s">
        <v>19943</v>
      </c>
      <c r="C204" s="20" t="n">
        <f aca="false">ROUND(160.77/FX,2)</f>
        <v>22.33</v>
      </c>
      <c r="D204" s="21" t="s">
        <v>724</v>
      </c>
      <c r="E204" s="21" t="s">
        <v>1733</v>
      </c>
      <c r="F204" s="21" t="s">
        <v>19552</v>
      </c>
    </row>
    <row r="205" customFormat="false" ht="15" hidden="false" customHeight="false" outlineLevel="0" collapsed="false">
      <c r="B205" s="19" t="s">
        <v>19944</v>
      </c>
      <c r="C205" s="20" t="n">
        <f aca="false">ROUND(160.77/FX,2)</f>
        <v>22.33</v>
      </c>
      <c r="D205" s="21" t="s">
        <v>724</v>
      </c>
      <c r="E205" s="21" t="s">
        <v>1733</v>
      </c>
      <c r="F205" s="21" t="s">
        <v>19743</v>
      </c>
    </row>
    <row r="206" customFormat="false" ht="15" hidden="false" customHeight="false" outlineLevel="0" collapsed="false">
      <c r="B206" s="19" t="s">
        <v>19945</v>
      </c>
      <c r="C206" s="20" t="n">
        <f aca="false">ROUND(126.67/FX,2)</f>
        <v>17.59</v>
      </c>
      <c r="D206" s="21" t="s">
        <v>724</v>
      </c>
      <c r="E206" s="21" t="s">
        <v>1520</v>
      </c>
      <c r="F206" s="21" t="s">
        <v>19552</v>
      </c>
    </row>
    <row r="207" customFormat="false" ht="15" hidden="false" customHeight="false" outlineLevel="0" collapsed="false">
      <c r="B207" s="19" t="s">
        <v>19946</v>
      </c>
      <c r="C207" s="20" t="n">
        <f aca="false">ROUND(126.67/FX,2)</f>
        <v>17.59</v>
      </c>
      <c r="D207" s="21" t="s">
        <v>724</v>
      </c>
      <c r="E207" s="21" t="s">
        <v>1520</v>
      </c>
      <c r="F207" s="21" t="s">
        <v>19743</v>
      </c>
    </row>
    <row r="210" customFormat="false" ht="61.5" hidden="false" customHeight="true" outlineLevel="0" collapsed="false">
      <c r="A210" s="9"/>
      <c r="B210" s="10" t="s">
        <v>276</v>
      </c>
      <c r="C210" s="10"/>
      <c r="D210" s="10"/>
      <c r="E210" s="10"/>
    </row>
    <row r="211" customFormat="false" ht="15" hidden="false" customHeight="false" outlineLevel="0" collapsed="false">
      <c r="A211" s="12" t="s">
        <v>700</v>
      </c>
      <c r="B211" s="13" t="s">
        <v>701</v>
      </c>
      <c r="C211" s="13" t="s">
        <v>702</v>
      </c>
      <c r="D211" s="13" t="s">
        <v>722</v>
      </c>
      <c r="E211" s="13" t="s">
        <v>11716</v>
      </c>
    </row>
    <row r="212" customFormat="false" ht="30" hidden="false" customHeight="true" outlineLevel="0" collapsed="false">
      <c r="A212" s="14" t="s">
        <v>706</v>
      </c>
      <c r="B212" s="15" t="str">
        <f aca="false">IF(COUNTIFS($D$215:$D$225,IF(D212="","*",D212),$E$215:$E$225,IF(E212="","*",E212))=1,INDEX($B:$B,SUMPRODUCT(((D212="")+($D$215:$D$225=D212)&gt;0)*((E212="")+($E$215:$E$225=E212)&gt;0)*ROW($B$215:$B$225))),IF(COUNTIFS($D$215:$D$225,IF(D212="","*",D212),$E$215:$E$225,IF(E212="","*",E212))=0,"Not available",COUNTIFS($D$215:$D$225,IF(D212="","*",D212),$E$215:$E$225,IF(E212="","*",E212))&amp;" match, keep choosing"))</f>
        <v>SL2060T-BK-L1000</v>
      </c>
      <c r="C212" s="16" t="n">
        <f aca="false">IF(COUNTIFS($D$215:$D$225,IF(D212="","*",D212),$E$215:$E$225,IF(E212="","*",E212))=1,INDEX($C:$C,SUMPRODUCT(((D212="")+($D$215:$D$225=D212)&gt;0)*((E212="")+($E$215:$E$225=E212)&gt;0)*ROW($B$215:$B$225))),"")</f>
        <v>27.78</v>
      </c>
      <c r="D212" s="17" t="s">
        <v>724</v>
      </c>
      <c r="E212" s="17" t="s">
        <v>1733</v>
      </c>
    </row>
    <row r="214" customFormat="false" ht="15" hidden="false" customHeight="false" outlineLevel="0" collapsed="false">
      <c r="B214" s="18" t="s">
        <v>701</v>
      </c>
      <c r="C214" s="18" t="s">
        <v>702</v>
      </c>
      <c r="D214" s="18" t="s">
        <v>722</v>
      </c>
      <c r="E214" s="18" t="s">
        <v>11716</v>
      </c>
    </row>
    <row r="215" customFormat="false" ht="15" hidden="false" customHeight="false" outlineLevel="0" collapsed="false">
      <c r="B215" s="19" t="s">
        <v>19947</v>
      </c>
      <c r="C215" s="20" t="n">
        <f aca="false">ROUND(200/FX,2)</f>
        <v>27.78</v>
      </c>
      <c r="D215" s="21" t="s">
        <v>724</v>
      </c>
      <c r="E215" s="21" t="s">
        <v>1733</v>
      </c>
    </row>
    <row r="216" customFormat="false" ht="15" hidden="false" customHeight="false" outlineLevel="0" collapsed="false">
      <c r="B216" s="19" t="s">
        <v>19948</v>
      </c>
      <c r="C216" s="20" t="n">
        <f aca="false">ROUND(150/FX,2)</f>
        <v>20.83</v>
      </c>
      <c r="D216" s="21" t="s">
        <v>724</v>
      </c>
      <c r="E216" s="21" t="s">
        <v>1323</v>
      </c>
    </row>
    <row r="217" customFormat="false" ht="15" hidden="false" customHeight="false" outlineLevel="0" collapsed="false">
      <c r="B217" s="19" t="s">
        <v>19949</v>
      </c>
      <c r="C217" s="20" t="n">
        <f aca="false">ROUND(154/FX,2)</f>
        <v>21.39</v>
      </c>
      <c r="D217" s="21" t="s">
        <v>724</v>
      </c>
      <c r="E217" s="21" t="s">
        <v>1520</v>
      </c>
    </row>
    <row r="218" customFormat="false" ht="15" hidden="false" customHeight="false" outlineLevel="0" collapsed="false">
      <c r="B218" s="19" t="s">
        <v>19950</v>
      </c>
      <c r="C218" s="20" t="n">
        <f aca="false">ROUND(162/FX,2)</f>
        <v>22.5</v>
      </c>
      <c r="D218" s="21" t="s">
        <v>724</v>
      </c>
      <c r="E218" s="21" t="s">
        <v>2002</v>
      </c>
    </row>
    <row r="219" customFormat="false" ht="15" hidden="false" customHeight="false" outlineLevel="0" collapsed="false">
      <c r="B219" s="19" t="s">
        <v>19951</v>
      </c>
      <c r="C219" s="20" t="n">
        <f aca="false">ROUND(170/FX,2)</f>
        <v>23.61</v>
      </c>
      <c r="D219" s="21" t="s">
        <v>724</v>
      </c>
      <c r="E219" s="21" t="s">
        <v>2142</v>
      </c>
    </row>
    <row r="220" customFormat="false" ht="15" hidden="false" customHeight="false" outlineLevel="0" collapsed="false">
      <c r="B220" s="19" t="s">
        <v>19952</v>
      </c>
      <c r="C220" s="20" t="n">
        <f aca="false">ROUND(176/FX,2)</f>
        <v>24.44</v>
      </c>
      <c r="D220" s="21" t="s">
        <v>724</v>
      </c>
      <c r="E220" s="21" t="s">
        <v>2227</v>
      </c>
    </row>
    <row r="221" customFormat="false" ht="15" hidden="false" customHeight="false" outlineLevel="0" collapsed="false">
      <c r="B221" s="19" t="s">
        <v>19953</v>
      </c>
      <c r="C221" s="20" t="n">
        <f aca="false">ROUND(200/FX,2)</f>
        <v>27.78</v>
      </c>
      <c r="D221" s="21" t="s">
        <v>6549</v>
      </c>
      <c r="E221" s="21" t="s">
        <v>1733</v>
      </c>
    </row>
    <row r="222" customFormat="false" ht="15" hidden="false" customHeight="false" outlineLevel="0" collapsed="false">
      <c r="B222" s="19" t="s">
        <v>19954</v>
      </c>
      <c r="C222" s="20" t="n">
        <f aca="false">ROUND(150/FX,2)</f>
        <v>20.83</v>
      </c>
      <c r="D222" s="21" t="s">
        <v>6549</v>
      </c>
      <c r="E222" s="21" t="s">
        <v>1323</v>
      </c>
    </row>
    <row r="223" customFormat="false" ht="15" hidden="false" customHeight="false" outlineLevel="0" collapsed="false">
      <c r="B223" s="19" t="s">
        <v>19955</v>
      </c>
      <c r="C223" s="20" t="n">
        <f aca="false">ROUND(162/FX,2)</f>
        <v>22.5</v>
      </c>
      <c r="D223" s="21" t="s">
        <v>6549</v>
      </c>
      <c r="E223" s="21" t="s">
        <v>2002</v>
      </c>
    </row>
    <row r="224" customFormat="false" ht="15" hidden="false" customHeight="false" outlineLevel="0" collapsed="false">
      <c r="B224" s="19" t="s">
        <v>19956</v>
      </c>
      <c r="C224" s="20" t="n">
        <f aca="false">ROUND(170/FX,2)</f>
        <v>23.61</v>
      </c>
      <c r="D224" s="21" t="s">
        <v>6549</v>
      </c>
      <c r="E224" s="21" t="s">
        <v>2142</v>
      </c>
    </row>
    <row r="225" customFormat="false" ht="15" hidden="false" customHeight="false" outlineLevel="0" collapsed="false">
      <c r="B225" s="19" t="s">
        <v>19957</v>
      </c>
      <c r="C225" s="20" t="n">
        <f aca="false">ROUND(176/FX,2)</f>
        <v>24.44</v>
      </c>
      <c r="D225" s="21" t="s">
        <v>6549</v>
      </c>
      <c r="E225" s="21" t="s">
        <v>2227</v>
      </c>
    </row>
    <row r="228" customFormat="false" ht="61.5" hidden="false" customHeight="true" outlineLevel="0" collapsed="false">
      <c r="A228" s="9"/>
      <c r="B228" s="10" t="s">
        <v>277</v>
      </c>
      <c r="C228" s="10"/>
      <c r="D228" s="10"/>
    </row>
    <row r="229" customFormat="false" ht="15" hidden="false" customHeight="false" outlineLevel="0" collapsed="false">
      <c r="B229" s="18" t="s">
        <v>701</v>
      </c>
      <c r="C229" s="18" t="s">
        <v>702</v>
      </c>
      <c r="D229" s="18" t="s">
        <v>5610</v>
      </c>
    </row>
    <row r="230" customFormat="false" ht="15" hidden="false" customHeight="false" outlineLevel="0" collapsed="false">
      <c r="B230" s="19" t="s">
        <v>19958</v>
      </c>
      <c r="C230" s="20" t="n">
        <f aca="false">ROUND(585/FX,2)</f>
        <v>81.25</v>
      </c>
      <c r="D230" s="22" t="s">
        <v>5612</v>
      </c>
    </row>
  </sheetData>
  <mergeCells count="14">
    <mergeCell ref="B1:F1"/>
    <mergeCell ref="B20:D20"/>
    <mergeCell ref="B29:D29"/>
    <mergeCell ref="B38:E38"/>
    <mergeCell ref="B59:F59"/>
    <mergeCell ref="B120:D120"/>
    <mergeCell ref="B129:D129"/>
    <mergeCell ref="B140:E140"/>
    <mergeCell ref="B150:D150"/>
    <mergeCell ref="B163:E163"/>
    <mergeCell ref="B164:E164"/>
    <mergeCell ref="B199:F199"/>
    <mergeCell ref="B210:E210"/>
    <mergeCell ref="B228:D228"/>
  </mergeCells>
  <dataValidations count="22">
    <dataValidation allowBlank="true" error="Please choose from the list" errorStyle="stop" errorTitle="▶ Quick quote" operator="between" showDropDown="false" showErrorMessage="false" showInputMessage="false" sqref="D3" type="list">
      <formula1>_lists!$QX$1:$QX$3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_lists!$QY$1:$QY$11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_lists!$QZ$1:$QZ$1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" type="list">
      <formula1>_lists!$RA$1:$RA$2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" type="list">
      <formula1>_lists!$RB$1:$RB$2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" type="list">
      <formula1>_lists!$RC$1:$RC$2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" type="list">
      <formula1>_lists!$RD$1:$RD$7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1" type="list">
      <formula1>_lists!$RE$1:$RE$2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1" type="list">
      <formula1>_lists!$RF$1:$RF$18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61" type="list">
      <formula1>_lists!$RG$1:$RG$4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2" type="list">
      <formula1>_lists!$RH$1:$RH$2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1" type="list">
      <formula1>_lists!$RI$1:$RI$4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2" type="list">
      <formula1>_lists!$RJ$1:$RJ$2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2" type="list">
      <formula1>_lists!$RK$1:$RK$2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2" type="list">
      <formula1>_lists!$RL$1:$RL$6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6" type="list">
      <formula1>_lists!$RM$1:$RM$2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66" type="list">
      <formula1>_lists!$RN$1:$RN$14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1" type="list">
      <formula1>_lists!$RO$1:$RO$1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1" type="list">
      <formula1>_lists!$RP$1:$RP$2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01" type="list">
      <formula1>_lists!$RQ$1:$RQ$2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2" type="list">
      <formula1>_lists!$RR$1:$RR$2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2" type="list">
      <formula1>_lists!$RS$1:$RS$6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9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19959</v>
      </c>
      <c r="C1" s="10"/>
      <c r="D1" s="10"/>
    </row>
    <row r="2" customFormat="false" ht="15" hidden="false" customHeight="false" outlineLevel="0" collapsed="false">
      <c r="B2" s="18" t="s">
        <v>701</v>
      </c>
      <c r="C2" s="18" t="s">
        <v>702</v>
      </c>
      <c r="D2" s="18" t="s">
        <v>5610</v>
      </c>
    </row>
    <row r="3" customFormat="false" ht="15" hidden="false" customHeight="false" outlineLevel="0" collapsed="false">
      <c r="B3" s="19" t="s">
        <v>19960</v>
      </c>
      <c r="C3" s="20" t="n">
        <f aca="false">ROUND(23.4/FX,2)</f>
        <v>3.25</v>
      </c>
      <c r="D3" s="22" t="s">
        <v>5612</v>
      </c>
    </row>
    <row r="6" customFormat="false" ht="61.5" hidden="false" customHeight="true" outlineLevel="0" collapsed="false">
      <c r="A6" s="9"/>
      <c r="B6" s="10" t="s">
        <v>19961</v>
      </c>
      <c r="C6" s="10"/>
      <c r="D6" s="10"/>
    </row>
    <row r="7" customFormat="false" ht="15" hidden="false" customHeight="false" outlineLevel="0" collapsed="false">
      <c r="A7" s="12" t="s">
        <v>700</v>
      </c>
      <c r="B7" s="13" t="s">
        <v>701</v>
      </c>
      <c r="C7" s="13" t="s">
        <v>702</v>
      </c>
      <c r="D7" s="13" t="s">
        <v>723</v>
      </c>
    </row>
    <row r="8" customFormat="false" ht="30" hidden="false" customHeight="true" outlineLevel="0" collapsed="false">
      <c r="A8" s="14" t="s">
        <v>706</v>
      </c>
      <c r="B8" s="15" t="str">
        <f aca="false">IF(COUNTIFS($D$11:$D$12,IF(D8="","*",D8))=1,INDEX($B:$B,SUMPRODUCT(((D8="")+($D$11:$D$12=D8)&gt;0)*ROW($B$11:$B$12))),IF(COUNTIFS($D$11:$D$12,IF(D8="","*",D8))=0,"Not available",COUNTIFS($D$11:$D$12,IF(D8="","*",D8))&amp;" match, keep choosing"))</f>
        <v>EG-070-JZXBD</v>
      </c>
      <c r="C8" s="16" t="n">
        <f aca="false">IF(COUNTIFS($D$11:$D$12,IF(D8="","*",D8))=1,INDEX($C:$C,SUMPRODUCT(((D8="")+($D$11:$D$12=D8)&gt;0)*ROW($B$11:$B$12))),"")</f>
        <v>2.89</v>
      </c>
      <c r="D8" s="17" t="s">
        <v>19962</v>
      </c>
    </row>
    <row r="10" customFormat="false" ht="15" hidden="false" customHeight="false" outlineLevel="0" collapsed="false">
      <c r="B10" s="18" t="s">
        <v>701</v>
      </c>
      <c r="C10" s="18" t="s">
        <v>702</v>
      </c>
      <c r="D10" s="18" t="s">
        <v>723</v>
      </c>
    </row>
    <row r="11" customFormat="false" ht="15" hidden="false" customHeight="false" outlineLevel="0" collapsed="false">
      <c r="B11" s="19" t="s">
        <v>19963</v>
      </c>
      <c r="C11" s="20" t="n">
        <f aca="false">ROUND(20.8/FX,2)</f>
        <v>2.89</v>
      </c>
      <c r="D11" s="21" t="s">
        <v>19962</v>
      </c>
    </row>
    <row r="12" customFormat="false" ht="15" hidden="false" customHeight="false" outlineLevel="0" collapsed="false">
      <c r="B12" s="19" t="s">
        <v>19964</v>
      </c>
      <c r="C12" s="20" t="n">
        <f aca="false">ROUND(13/FX,2)</f>
        <v>1.81</v>
      </c>
      <c r="D12" s="21" t="s">
        <v>19965</v>
      </c>
    </row>
    <row r="15" customFormat="false" ht="61.5" hidden="false" customHeight="true" outlineLevel="0" collapsed="false">
      <c r="A15" s="9"/>
      <c r="B15" s="10" t="s">
        <v>19966</v>
      </c>
      <c r="C15" s="10"/>
      <c r="D15" s="10"/>
    </row>
    <row r="16" customFormat="false" ht="15" hidden="false" customHeight="false" outlineLevel="0" collapsed="false">
      <c r="B16" s="18" t="s">
        <v>701</v>
      </c>
      <c r="C16" s="18" t="s">
        <v>702</v>
      </c>
      <c r="D16" s="18" t="s">
        <v>5610</v>
      </c>
    </row>
    <row r="17" customFormat="false" ht="15" hidden="false" customHeight="false" outlineLevel="0" collapsed="false">
      <c r="B17" s="19" t="s">
        <v>19967</v>
      </c>
      <c r="C17" s="20" t="n">
        <f aca="false">ROUND(13/FX,2)</f>
        <v>1.81</v>
      </c>
      <c r="D17" s="22" t="s">
        <v>5612</v>
      </c>
    </row>
    <row r="20" customFormat="false" ht="61.5" hidden="false" customHeight="true" outlineLevel="0" collapsed="false">
      <c r="A20" s="9"/>
      <c r="B20" s="10" t="s">
        <v>19968</v>
      </c>
      <c r="C20" s="10"/>
      <c r="D20" s="10"/>
      <c r="E20" s="10"/>
      <c r="F20" s="10"/>
    </row>
    <row r="21" customFormat="false" ht="15" hidden="false" customHeight="false" outlineLevel="0" collapsed="false">
      <c r="A21" s="12" t="s">
        <v>700</v>
      </c>
      <c r="B21" s="13" t="s">
        <v>701</v>
      </c>
      <c r="C21" s="13" t="s">
        <v>702</v>
      </c>
      <c r="D21" s="13" t="s">
        <v>723</v>
      </c>
      <c r="E21" s="13" t="s">
        <v>6523</v>
      </c>
      <c r="F21" s="13" t="s">
        <v>13701</v>
      </c>
    </row>
    <row r="22" customFormat="false" ht="30" hidden="false" customHeight="true" outlineLevel="0" collapsed="false">
      <c r="A22" s="14" t="s">
        <v>706</v>
      </c>
      <c r="B22" s="15" t="str">
        <f aca="false">IF(COUNTIFS($D$25:$D$31,IF(D22="","*",D22),$E$25:$E$31,IF(E22="","*",E22),$F$25:$F$31,IF(F22="","*",F22))=1,INDEX($B:$B,SUMPRODUCT(((D22="")+($D$25:$D$31=D22)&gt;0)*((E22="")+($E$25:$E$31=E22)&gt;0)*((F22="")+($F$25:$F$31=F22)&gt;0)*ROW($B$25:$B$31))),IF(COUNTIFS($D$25:$D$31,IF(D22="","*",D22),$E$25:$E$31,IF(E22="","*",E22),$F$25:$F$31,IF(F22="","*",F22))=0,"Not available",COUNTIFS($D$25:$D$31,IF(D22="","*",D22),$E$25:$E$31,IF(E22="","*",E22),$F$25:$F$31,IF(F22="","*",F22))&amp;" match, keep choosing"))</f>
        <v>EG-034-0.6-6B10-ZDLJ</v>
      </c>
      <c r="C22" s="16" t="n">
        <f aca="false">IF(COUNTIFS($D$25:$D$31,IF(D22="","*",D22),$E$25:$E$31,IF(E22="","*",E22),$F$25:$F$31,IF(F22="","*",F22))=1,INDEX($C:$C,SUMPRODUCT(((D22="")+($D$25:$D$31=D22)&gt;0)*((E22="")+($E$25:$E$31=E22)&gt;0)*((F22="")+($F$25:$F$31=F22)&gt;0)*ROW($B$25:$B$31))),"")</f>
        <v>1.41</v>
      </c>
      <c r="D22" s="17" t="s">
        <v>19969</v>
      </c>
      <c r="E22" s="17" t="s">
        <v>6336</v>
      </c>
      <c r="F22" s="17" t="s">
        <v>6336</v>
      </c>
    </row>
    <row r="24" customFormat="false" ht="15" hidden="false" customHeight="false" outlineLevel="0" collapsed="false">
      <c r="B24" s="18" t="s">
        <v>701</v>
      </c>
      <c r="C24" s="18" t="s">
        <v>702</v>
      </c>
      <c r="D24" s="18" t="s">
        <v>723</v>
      </c>
      <c r="E24" s="18" t="s">
        <v>6523</v>
      </c>
      <c r="F24" s="18" t="s">
        <v>13701</v>
      </c>
    </row>
    <row r="25" customFormat="false" ht="28.35" hidden="false" customHeight="false" outlineLevel="0" collapsed="false">
      <c r="B25" s="19" t="s">
        <v>19970</v>
      </c>
      <c r="C25" s="20" t="n">
        <f aca="false">ROUND(10.14/FX,2)</f>
        <v>1.41</v>
      </c>
      <c r="D25" s="21" t="s">
        <v>19969</v>
      </c>
      <c r="E25" s="21" t="s">
        <v>6336</v>
      </c>
      <c r="F25" s="21" t="s">
        <v>6336</v>
      </c>
    </row>
    <row r="26" customFormat="false" ht="41.75" hidden="false" customHeight="false" outlineLevel="0" collapsed="false">
      <c r="B26" s="19" t="s">
        <v>19971</v>
      </c>
      <c r="C26" s="20" t="n">
        <f aca="false">ROUND(10.98/FX,2)</f>
        <v>1.53</v>
      </c>
      <c r="D26" s="21" t="s">
        <v>19972</v>
      </c>
      <c r="E26" s="21" t="s">
        <v>6336</v>
      </c>
      <c r="F26" s="21" t="s">
        <v>6336</v>
      </c>
    </row>
    <row r="27" customFormat="false" ht="28.35" hidden="false" customHeight="false" outlineLevel="0" collapsed="false">
      <c r="B27" s="19" t="s">
        <v>19973</v>
      </c>
      <c r="C27" s="20" t="n">
        <f aca="false">ROUND(10.14/FX,2)</f>
        <v>1.41</v>
      </c>
      <c r="D27" s="21" t="s">
        <v>19974</v>
      </c>
      <c r="E27" s="21" t="s">
        <v>6336</v>
      </c>
      <c r="F27" s="21" t="s">
        <v>6336</v>
      </c>
    </row>
    <row r="28" customFormat="false" ht="28.35" hidden="false" customHeight="false" outlineLevel="0" collapsed="false">
      <c r="B28" s="19" t="s">
        <v>19975</v>
      </c>
      <c r="C28" s="20" t="n">
        <f aca="false">ROUND(10.14/FX,2)</f>
        <v>1.41</v>
      </c>
      <c r="D28" s="21" t="s">
        <v>19976</v>
      </c>
      <c r="E28" s="21" t="s">
        <v>19977</v>
      </c>
      <c r="F28" s="21" t="s">
        <v>6336</v>
      </c>
    </row>
    <row r="29" customFormat="false" ht="28.35" hidden="false" customHeight="false" outlineLevel="0" collapsed="false">
      <c r="B29" s="19" t="s">
        <v>19978</v>
      </c>
      <c r="C29" s="20" t="n">
        <f aca="false">ROUND(10.14/FX,2)</f>
        <v>1.41</v>
      </c>
      <c r="D29" s="21" t="s">
        <v>19979</v>
      </c>
      <c r="E29" s="21" t="s">
        <v>19980</v>
      </c>
      <c r="F29" s="21" t="s">
        <v>6336</v>
      </c>
    </row>
    <row r="30" customFormat="false" ht="28.35" hidden="false" customHeight="false" outlineLevel="0" collapsed="false">
      <c r="B30" s="19" t="s">
        <v>19981</v>
      </c>
      <c r="C30" s="20" t="n">
        <f aca="false">ROUND(10.14/FX,2)</f>
        <v>1.41</v>
      </c>
      <c r="D30" s="21" t="s">
        <v>19982</v>
      </c>
      <c r="E30" s="21" t="s">
        <v>19980</v>
      </c>
      <c r="F30" s="21" t="s">
        <v>6336</v>
      </c>
    </row>
    <row r="31" customFormat="false" ht="15" hidden="false" customHeight="false" outlineLevel="0" collapsed="false">
      <c r="B31" s="19" t="s">
        <v>19983</v>
      </c>
      <c r="C31" s="20" t="n">
        <f aca="false">ROUND(10.14/FX,2)</f>
        <v>1.41</v>
      </c>
      <c r="D31" s="21" t="s">
        <v>19984</v>
      </c>
      <c r="E31" s="21" t="s">
        <v>6336</v>
      </c>
      <c r="F31" s="21" t="s">
        <v>14783</v>
      </c>
    </row>
    <row r="34" customFormat="false" ht="61.5" hidden="false" customHeight="true" outlineLevel="0" collapsed="false">
      <c r="A34" s="9"/>
      <c r="B34" s="10" t="s">
        <v>19985</v>
      </c>
      <c r="C34" s="10"/>
      <c r="D34" s="10"/>
    </row>
    <row r="35" customFormat="false" ht="15" hidden="false" customHeight="false" outlineLevel="0" collapsed="false">
      <c r="A35" s="12" t="s">
        <v>700</v>
      </c>
      <c r="B35" s="13" t="s">
        <v>701</v>
      </c>
      <c r="C35" s="13" t="s">
        <v>702</v>
      </c>
      <c r="D35" s="13" t="s">
        <v>723</v>
      </c>
    </row>
    <row r="36" customFormat="false" ht="30" hidden="false" customHeight="true" outlineLevel="0" collapsed="false">
      <c r="A36" s="14" t="s">
        <v>706</v>
      </c>
      <c r="B36" s="15" t="str">
        <f aca="false">IF(COUNTIFS($D$39:$D$45,IF(D36="","*",D36))=1,INDEX($B:$B,SUMPRODUCT(((D36="")+($D$39:$D$45=D36)&gt;0)*ROW($B$39:$B$45))),IF(COUNTIFS($D$39:$D$45,IF(D36="","*",D36))=0,"Not available",COUNTIFS($D$39:$D$45,IF(D36="","*",D36))&amp;" match, keep choosing"))</f>
        <v>EG-017-3.17</v>
      </c>
      <c r="C36" s="16" t="n">
        <f aca="false">IF(COUNTIFS($D$39:$D$45,IF(D36="","*",D36))=1,INDEX($C:$C,SUMPRODUCT(((D36="")+($D$39:$D$45=D36)&gt;0)*ROW($B$39:$B$45))),"")</f>
        <v>0.33</v>
      </c>
      <c r="D36" s="17" t="s">
        <v>19986</v>
      </c>
    </row>
    <row r="38" customFormat="false" ht="15" hidden="false" customHeight="false" outlineLevel="0" collapsed="false">
      <c r="B38" s="18" t="s">
        <v>701</v>
      </c>
      <c r="C38" s="18" t="s">
        <v>702</v>
      </c>
      <c r="D38" s="18" t="s">
        <v>723</v>
      </c>
    </row>
    <row r="39" customFormat="false" ht="15" hidden="false" customHeight="false" outlineLevel="0" collapsed="false">
      <c r="B39" s="19" t="s">
        <v>19987</v>
      </c>
      <c r="C39" s="20" t="n">
        <f aca="false">ROUND(2.37/FX,2)</f>
        <v>0.33</v>
      </c>
      <c r="D39" s="21" t="s">
        <v>19986</v>
      </c>
    </row>
    <row r="40" customFormat="false" ht="15" hidden="false" customHeight="false" outlineLevel="0" collapsed="false">
      <c r="B40" s="19" t="s">
        <v>19988</v>
      </c>
      <c r="C40" s="20" t="n">
        <f aca="false">ROUND(2.37/FX,2)</f>
        <v>0.33</v>
      </c>
      <c r="D40" s="21" t="s">
        <v>11481</v>
      </c>
    </row>
    <row r="41" customFormat="false" ht="15" hidden="false" customHeight="false" outlineLevel="0" collapsed="false">
      <c r="B41" s="19" t="s">
        <v>19989</v>
      </c>
      <c r="C41" s="20" t="n">
        <f aca="false">ROUND(1.98/FX,2)</f>
        <v>0.28</v>
      </c>
      <c r="D41" s="21" t="s">
        <v>11483</v>
      </c>
    </row>
    <row r="42" customFormat="false" ht="15" hidden="false" customHeight="false" outlineLevel="0" collapsed="false">
      <c r="B42" s="19" t="s">
        <v>19990</v>
      </c>
      <c r="C42" s="20" t="n">
        <f aca="false">ROUND(2.37/FX,2)</f>
        <v>0.33</v>
      </c>
      <c r="D42" s="21" t="s">
        <v>19991</v>
      </c>
    </row>
    <row r="43" customFormat="false" ht="15" hidden="false" customHeight="false" outlineLevel="0" collapsed="false">
      <c r="B43" s="19" t="s">
        <v>19992</v>
      </c>
      <c r="C43" s="20" t="n">
        <f aca="false">ROUND(2.37/FX,2)</f>
        <v>0.33</v>
      </c>
      <c r="D43" s="21" t="s">
        <v>11432</v>
      </c>
    </row>
    <row r="44" customFormat="false" ht="15" hidden="false" customHeight="false" outlineLevel="0" collapsed="false">
      <c r="B44" s="19" t="s">
        <v>19993</v>
      </c>
      <c r="C44" s="20" t="n">
        <f aca="false">ROUND(2.37/FX,2)</f>
        <v>0.33</v>
      </c>
      <c r="D44" s="21" t="s">
        <v>19994</v>
      </c>
    </row>
    <row r="45" customFormat="false" ht="15" hidden="false" customHeight="false" outlineLevel="0" collapsed="false">
      <c r="B45" s="19" t="s">
        <v>19995</v>
      </c>
      <c r="C45" s="20" t="n">
        <f aca="false">ROUND(2.37/FX,2)</f>
        <v>0.33</v>
      </c>
      <c r="D45" s="21" t="s">
        <v>11434</v>
      </c>
    </row>
    <row r="48" customFormat="false" ht="61.5" hidden="false" customHeight="true" outlineLevel="0" collapsed="false">
      <c r="A48" s="9"/>
      <c r="B48" s="10" t="s">
        <v>19996</v>
      </c>
      <c r="C48" s="10"/>
      <c r="D48" s="10"/>
    </row>
    <row r="49" customFormat="false" ht="15" hidden="false" customHeight="false" outlineLevel="0" collapsed="false">
      <c r="A49" s="12" t="s">
        <v>700</v>
      </c>
      <c r="B49" s="13" t="s">
        <v>701</v>
      </c>
      <c r="C49" s="13" t="s">
        <v>702</v>
      </c>
      <c r="D49" s="13" t="s">
        <v>723</v>
      </c>
    </row>
    <row r="50" customFormat="false" ht="30" hidden="false" customHeight="true" outlineLevel="0" collapsed="false">
      <c r="A50" s="14" t="s">
        <v>706</v>
      </c>
      <c r="B50" s="15" t="str">
        <f aca="false">IF(COUNTIFS($D$53:$D$61,IF(D50="","*",D50))=1,INDEX($B:$B,SUMPRODUCT(((D50="")+($D$53:$D$61=D50)&gt;0)*ROW($B$53:$B$61))),IF(COUNTIFS($D$53:$D$61,IF(D50="","*",D50))=0,"Not available",COUNTIFS($D$53:$D$61,IF(D50="","*",D50))&amp;" match, keep choosing"))</f>
        <v>EG-082-10</v>
      </c>
      <c r="C50" s="16" t="n">
        <f aca="false">IF(COUNTIFS($D$53:$D$61,IF(D50="","*",D50))=1,INDEX($C:$C,SUMPRODUCT(((D50="")+($D$53:$D$61=D50)&gt;0)*ROW($B$53:$B$61))),"")</f>
        <v>0.48</v>
      </c>
      <c r="D50" s="17" t="s">
        <v>11488</v>
      </c>
    </row>
    <row r="52" customFormat="false" ht="15" hidden="false" customHeight="false" outlineLevel="0" collapsed="false">
      <c r="B52" s="18" t="s">
        <v>701</v>
      </c>
      <c r="C52" s="18" t="s">
        <v>702</v>
      </c>
      <c r="D52" s="18" t="s">
        <v>723</v>
      </c>
    </row>
    <row r="53" customFormat="false" ht="15" hidden="false" customHeight="false" outlineLevel="0" collapsed="false">
      <c r="B53" s="19" t="s">
        <v>19997</v>
      </c>
      <c r="C53" s="20" t="n">
        <f aca="false">ROUND(3.45/FX,2)</f>
        <v>0.48</v>
      </c>
      <c r="D53" s="21" t="s">
        <v>11488</v>
      </c>
    </row>
    <row r="54" customFormat="false" ht="15" hidden="false" customHeight="false" outlineLevel="0" collapsed="false">
      <c r="B54" s="19" t="s">
        <v>19998</v>
      </c>
      <c r="C54" s="20" t="n">
        <f aca="false">ROUND(4.29/FX,2)</f>
        <v>0.6</v>
      </c>
      <c r="D54" s="21" t="s">
        <v>19999</v>
      </c>
    </row>
    <row r="55" customFormat="false" ht="15" hidden="false" customHeight="false" outlineLevel="0" collapsed="false">
      <c r="B55" s="19" t="s">
        <v>20000</v>
      </c>
      <c r="C55" s="20" t="n">
        <f aca="false">ROUND(4.55/FX,2)</f>
        <v>0.63</v>
      </c>
      <c r="D55" s="21" t="s">
        <v>11490</v>
      </c>
    </row>
    <row r="56" customFormat="false" ht="15" hidden="false" customHeight="false" outlineLevel="0" collapsed="false">
      <c r="B56" s="19" t="s">
        <v>20001</v>
      </c>
      <c r="C56" s="20" t="n">
        <f aca="false">ROUND(4.81/FX,2)</f>
        <v>0.67</v>
      </c>
      <c r="D56" s="21" t="s">
        <v>11492</v>
      </c>
    </row>
    <row r="57" customFormat="false" ht="15" hidden="false" customHeight="false" outlineLevel="0" collapsed="false">
      <c r="B57" s="19" t="s">
        <v>20002</v>
      </c>
      <c r="C57" s="20" t="n">
        <f aca="false">ROUND(2.6/FX,2)</f>
        <v>0.36</v>
      </c>
      <c r="D57" s="21" t="s">
        <v>11483</v>
      </c>
    </row>
    <row r="58" customFormat="false" ht="15" hidden="false" customHeight="false" outlineLevel="0" collapsed="false">
      <c r="B58" s="19" t="s">
        <v>20003</v>
      </c>
      <c r="C58" s="20" t="n">
        <f aca="false">ROUND(2.6/FX,2)</f>
        <v>0.36</v>
      </c>
      <c r="D58" s="21" t="s">
        <v>19991</v>
      </c>
    </row>
    <row r="59" customFormat="false" ht="15" hidden="false" customHeight="false" outlineLevel="0" collapsed="false">
      <c r="B59" s="19" t="s">
        <v>20004</v>
      </c>
      <c r="C59" s="20" t="n">
        <f aca="false">ROUND(2.67/FX,2)</f>
        <v>0.37</v>
      </c>
      <c r="D59" s="21" t="s">
        <v>11432</v>
      </c>
    </row>
    <row r="60" customFormat="false" ht="15" hidden="false" customHeight="false" outlineLevel="0" collapsed="false">
      <c r="B60" s="19" t="s">
        <v>20005</v>
      </c>
      <c r="C60" s="20" t="n">
        <f aca="false">ROUND(2.67/FX,2)</f>
        <v>0.37</v>
      </c>
      <c r="D60" s="21" t="s">
        <v>19994</v>
      </c>
    </row>
    <row r="61" customFormat="false" ht="15" hidden="false" customHeight="false" outlineLevel="0" collapsed="false">
      <c r="B61" s="19" t="s">
        <v>20006</v>
      </c>
      <c r="C61" s="20" t="n">
        <f aca="false">ROUND(2.67/FX,2)</f>
        <v>0.37</v>
      </c>
      <c r="D61" s="21" t="s">
        <v>11434</v>
      </c>
    </row>
    <row r="64" customFormat="false" ht="61.5" hidden="false" customHeight="true" outlineLevel="0" collapsed="false">
      <c r="A64" s="9"/>
      <c r="B64" s="10" t="s">
        <v>20007</v>
      </c>
      <c r="C64" s="10"/>
      <c r="D64" s="10"/>
    </row>
    <row r="65" customFormat="false" ht="15" hidden="false" customHeight="false" outlineLevel="0" collapsed="false">
      <c r="A65" s="12" t="s">
        <v>700</v>
      </c>
      <c r="B65" s="13" t="s">
        <v>701</v>
      </c>
      <c r="C65" s="13" t="s">
        <v>702</v>
      </c>
      <c r="D65" s="13" t="s">
        <v>20008</v>
      </c>
    </row>
    <row r="66" customFormat="false" ht="30" hidden="false" customHeight="true" outlineLevel="0" collapsed="false">
      <c r="A66" s="14" t="s">
        <v>706</v>
      </c>
      <c r="B66" s="15" t="str">
        <f aca="false">IF(COUNTIFS($D$69:$D$72,IF(D66="","*",D66))=1,INDEX($B:$B,SUMPRODUCT(((D66="")+($D$69:$D$72=D66)&gt;0)*ROW($B$69:$B$72))),IF(COUNTIFS($D$69:$D$72,IF(D66="","*",D66))=0,"Not available",COUNTIFS($D$69:$D$72,IF(D66="","*",D66))&amp;" match, keep choosing"))</f>
        <v>EG-022-150W</v>
      </c>
      <c r="C66" s="16" t="n">
        <f aca="false">IF(COUNTIFS($D$69:$D$72,IF(D66="","*",D66))=1,INDEX($C:$C,SUMPRODUCT(((D66="")+($D$69:$D$72=D66)&gt;0)*ROW($B$69:$B$72))),"")</f>
        <v>17.92</v>
      </c>
      <c r="D66" s="17" t="s">
        <v>20009</v>
      </c>
    </row>
    <row r="68" customFormat="false" ht="15" hidden="false" customHeight="false" outlineLevel="0" collapsed="false">
      <c r="B68" s="18" t="s">
        <v>701</v>
      </c>
      <c r="C68" s="18" t="s">
        <v>702</v>
      </c>
      <c r="D68" s="18" t="s">
        <v>20008</v>
      </c>
    </row>
    <row r="69" customFormat="false" ht="15" hidden="false" customHeight="false" outlineLevel="0" collapsed="false">
      <c r="B69" s="19" t="s">
        <v>20010</v>
      </c>
      <c r="C69" s="20" t="n">
        <f aca="false">ROUND(129/FX,2)</f>
        <v>17.92</v>
      </c>
      <c r="D69" s="21" t="s">
        <v>20009</v>
      </c>
    </row>
    <row r="70" customFormat="false" ht="15" hidden="false" customHeight="false" outlineLevel="0" collapsed="false">
      <c r="B70" s="19" t="s">
        <v>20011</v>
      </c>
      <c r="C70" s="20" t="n">
        <f aca="false">ROUND(93.6/FX,2)</f>
        <v>13</v>
      </c>
      <c r="D70" s="21" t="s">
        <v>20012</v>
      </c>
    </row>
    <row r="71" customFormat="false" ht="15" hidden="false" customHeight="false" outlineLevel="0" collapsed="false">
      <c r="B71" s="19" t="s">
        <v>20013</v>
      </c>
      <c r="C71" s="20" t="n">
        <f aca="false">ROUND(110.5/FX,2)</f>
        <v>15.35</v>
      </c>
      <c r="D71" s="21" t="s">
        <v>20014</v>
      </c>
    </row>
    <row r="72" customFormat="false" ht="15" hidden="false" customHeight="false" outlineLevel="0" collapsed="false">
      <c r="B72" s="19" t="s">
        <v>20015</v>
      </c>
      <c r="C72" s="20" t="n">
        <f aca="false">ROUND(123.5/FX,2)</f>
        <v>17.15</v>
      </c>
      <c r="D72" s="21" t="s">
        <v>20016</v>
      </c>
    </row>
    <row r="75" customFormat="false" ht="61.5" hidden="false" customHeight="true" outlineLevel="0" collapsed="false">
      <c r="A75" s="9"/>
      <c r="B75" s="10" t="s">
        <v>20017</v>
      </c>
      <c r="C75" s="10"/>
      <c r="D75" s="10"/>
      <c r="E75" s="10"/>
      <c r="F75" s="10"/>
    </row>
    <row r="76" customFormat="false" ht="15" hidden="false" customHeight="false" outlineLevel="0" collapsed="false">
      <c r="A76" s="12" t="s">
        <v>700</v>
      </c>
      <c r="B76" s="13" t="s">
        <v>701</v>
      </c>
      <c r="C76" s="13" t="s">
        <v>702</v>
      </c>
      <c r="D76" s="13" t="s">
        <v>722</v>
      </c>
      <c r="E76" s="13" t="s">
        <v>723</v>
      </c>
      <c r="F76" s="13" t="s">
        <v>6523</v>
      </c>
    </row>
    <row r="77" customFormat="false" ht="30" hidden="false" customHeight="true" outlineLevel="0" collapsed="false">
      <c r="A77" s="14" t="s">
        <v>706</v>
      </c>
      <c r="B77" s="15" t="str">
        <f aca="false">IF(COUNTIFS($D$80:$D$106,IF(D77="","*",D77),$E$80:$E$106,IF(E77="","*",E77),$F$80:$F$106,IF(F77="","*",F77))=1,INDEX($B:$B,SUMPRODUCT(((D77="")+($D$80:$D$106=D77)&gt;0)*((E77="")+($E$80:$E$106=E77)&gt;0)*((F77="")+($F$80:$F$106=F77)&gt;0)*ROW($B$80:$B$106))),IF(COUNTIFS($D$80:$D$106,IF(D77="","*",D77),$E$80:$E$106,IF(E77="","*",E77),$F$80:$F$106,IF(F77="","*",F77))=0,"Not available",COUNTIFS($D$80:$D$106,IF(D77="","*",D77),$E$80:$E$106,IF(E77="","*",E77),$F$80:$F$106,IF(F77="","*",F77))&amp;" match, keep choosing"))</f>
        <v>EG-049-14-SV-C16-ER11-35LK6.35</v>
      </c>
      <c r="C77" s="16" t="n">
        <f aca="false">IF(COUNTIFS($D$80:$D$106,IF(D77="","*",D77),$E$80:$E$106,IF(E77="","*",E77),$F$80:$F$106,IF(F77="","*",F77))=1,INDEX($C:$C,SUMPRODUCT(((D77="")+($D$80:$D$106=D77)&gt;0)*((E77="")+($E$80:$E$106=E77)&gt;0)*((F77="")+($F$80:$F$106=F77)&gt;0)*ROW($B$80:$B$106))),"")</f>
        <v>2.71</v>
      </c>
      <c r="D77" s="17" t="s">
        <v>6549</v>
      </c>
      <c r="E77" s="17" t="s">
        <v>20018</v>
      </c>
      <c r="F77" s="17" t="s">
        <v>20019</v>
      </c>
    </row>
    <row r="79" customFormat="false" ht="15" hidden="false" customHeight="false" outlineLevel="0" collapsed="false">
      <c r="B79" s="18" t="s">
        <v>701</v>
      </c>
      <c r="C79" s="18" t="s">
        <v>702</v>
      </c>
      <c r="D79" s="18" t="s">
        <v>722</v>
      </c>
      <c r="E79" s="18" t="s">
        <v>723</v>
      </c>
      <c r="F79" s="18" t="s">
        <v>6523</v>
      </c>
    </row>
    <row r="80" customFormat="false" ht="28.35" hidden="false" customHeight="false" outlineLevel="0" collapsed="false">
      <c r="B80" s="19" t="s">
        <v>20020</v>
      </c>
      <c r="C80" s="20" t="n">
        <f aca="false">ROUND(19.5/FX,2)</f>
        <v>2.71</v>
      </c>
      <c r="D80" s="21" t="s">
        <v>6549</v>
      </c>
      <c r="E80" s="21" t="s">
        <v>20018</v>
      </c>
      <c r="F80" s="21" t="s">
        <v>20019</v>
      </c>
    </row>
    <row r="81" customFormat="false" ht="28.35" hidden="false" customHeight="false" outlineLevel="0" collapsed="false">
      <c r="B81" s="19" t="s">
        <v>20021</v>
      </c>
      <c r="C81" s="20" t="n">
        <f aca="false">ROUND(20.8/FX,2)</f>
        <v>2.89</v>
      </c>
      <c r="D81" s="21" t="s">
        <v>6549</v>
      </c>
      <c r="E81" s="21" t="s">
        <v>20022</v>
      </c>
      <c r="F81" s="21" t="s">
        <v>20019</v>
      </c>
    </row>
    <row r="82" customFormat="false" ht="28.35" hidden="false" customHeight="false" outlineLevel="0" collapsed="false">
      <c r="B82" s="19" t="s">
        <v>20023</v>
      </c>
      <c r="C82" s="20" t="n">
        <f aca="false">ROUND(20.8/FX,2)</f>
        <v>2.89</v>
      </c>
      <c r="D82" s="21" t="s">
        <v>6549</v>
      </c>
      <c r="E82" s="21" t="s">
        <v>20024</v>
      </c>
      <c r="F82" s="21" t="s">
        <v>20019</v>
      </c>
    </row>
    <row r="83" customFormat="false" ht="28.35" hidden="false" customHeight="false" outlineLevel="0" collapsed="false">
      <c r="B83" s="19" t="s">
        <v>20025</v>
      </c>
      <c r="C83" s="20" t="n">
        <f aca="false">ROUND(18.2/FX,2)</f>
        <v>2.53</v>
      </c>
      <c r="D83" s="21" t="s">
        <v>6549</v>
      </c>
      <c r="E83" s="21" t="s">
        <v>20026</v>
      </c>
      <c r="F83" s="21" t="s">
        <v>20027</v>
      </c>
    </row>
    <row r="84" customFormat="false" ht="28.35" hidden="false" customHeight="false" outlineLevel="0" collapsed="false">
      <c r="B84" s="19" t="s">
        <v>20028</v>
      </c>
      <c r="C84" s="20" t="n">
        <f aca="false">ROUND(20.8/FX,2)</f>
        <v>2.89</v>
      </c>
      <c r="D84" s="21" t="s">
        <v>6549</v>
      </c>
      <c r="E84" s="21" t="s">
        <v>20029</v>
      </c>
      <c r="F84" s="21" t="s">
        <v>20027</v>
      </c>
    </row>
    <row r="85" customFormat="false" ht="28.35" hidden="false" customHeight="false" outlineLevel="0" collapsed="false">
      <c r="B85" s="19" t="s">
        <v>20030</v>
      </c>
      <c r="C85" s="20" t="n">
        <f aca="false">ROUND(26.7/FX,2)</f>
        <v>3.71</v>
      </c>
      <c r="D85" s="21" t="s">
        <v>724</v>
      </c>
      <c r="E85" s="21" t="s">
        <v>20031</v>
      </c>
      <c r="F85" s="21" t="s">
        <v>6336</v>
      </c>
    </row>
    <row r="86" customFormat="false" ht="28.35" hidden="false" customHeight="false" outlineLevel="0" collapsed="false">
      <c r="B86" s="19" t="s">
        <v>20032</v>
      </c>
      <c r="C86" s="20" t="n">
        <f aca="false">ROUND(24.7/FX,2)</f>
        <v>3.43</v>
      </c>
      <c r="D86" s="21" t="s">
        <v>6549</v>
      </c>
      <c r="E86" s="21" t="s">
        <v>20033</v>
      </c>
      <c r="F86" s="21" t="s">
        <v>6336</v>
      </c>
    </row>
    <row r="87" customFormat="false" ht="28.35" hidden="false" customHeight="false" outlineLevel="0" collapsed="false">
      <c r="B87" s="19" t="s">
        <v>20034</v>
      </c>
      <c r="C87" s="20" t="n">
        <f aca="false">ROUND(24.7/FX,2)</f>
        <v>3.43</v>
      </c>
      <c r="D87" s="21" t="s">
        <v>6549</v>
      </c>
      <c r="E87" s="21" t="s">
        <v>20035</v>
      </c>
      <c r="F87" s="21" t="s">
        <v>6336</v>
      </c>
    </row>
    <row r="88" customFormat="false" ht="28.35" hidden="false" customHeight="false" outlineLevel="0" collapsed="false">
      <c r="B88" s="19" t="s">
        <v>20036</v>
      </c>
      <c r="C88" s="20" t="n">
        <f aca="false">ROUND(24.7/FX,2)</f>
        <v>3.43</v>
      </c>
      <c r="D88" s="21" t="s">
        <v>6549</v>
      </c>
      <c r="E88" s="21" t="s">
        <v>20037</v>
      </c>
      <c r="F88" s="21" t="s">
        <v>6336</v>
      </c>
    </row>
    <row r="89" customFormat="false" ht="28.35" hidden="false" customHeight="false" outlineLevel="0" collapsed="false">
      <c r="B89" s="19" t="s">
        <v>20038</v>
      </c>
      <c r="C89" s="20" t="n">
        <f aca="false">ROUND(24.7/FX,2)</f>
        <v>3.43</v>
      </c>
      <c r="D89" s="21" t="s">
        <v>6549</v>
      </c>
      <c r="E89" s="21" t="s">
        <v>20039</v>
      </c>
      <c r="F89" s="21" t="s">
        <v>6336</v>
      </c>
    </row>
    <row r="90" customFormat="false" ht="28.35" hidden="false" customHeight="false" outlineLevel="0" collapsed="false">
      <c r="B90" s="19" t="s">
        <v>20040</v>
      </c>
      <c r="C90" s="20" t="n">
        <f aca="false">ROUND(19.5/FX,2)</f>
        <v>2.71</v>
      </c>
      <c r="D90" s="21" t="s">
        <v>6549</v>
      </c>
      <c r="E90" s="21" t="s">
        <v>20041</v>
      </c>
      <c r="F90" s="21" t="s">
        <v>6336</v>
      </c>
    </row>
    <row r="91" customFormat="false" ht="28.35" hidden="false" customHeight="false" outlineLevel="0" collapsed="false">
      <c r="B91" s="19" t="s">
        <v>20042</v>
      </c>
      <c r="C91" s="20" t="n">
        <f aca="false">ROUND(19.5/FX,2)</f>
        <v>2.71</v>
      </c>
      <c r="D91" s="21" t="s">
        <v>6549</v>
      </c>
      <c r="E91" s="21" t="s">
        <v>20043</v>
      </c>
      <c r="F91" s="21" t="s">
        <v>6336</v>
      </c>
    </row>
    <row r="92" customFormat="false" ht="28.35" hidden="false" customHeight="false" outlineLevel="0" collapsed="false">
      <c r="B92" s="19" t="s">
        <v>20044</v>
      </c>
      <c r="C92" s="20" t="n">
        <f aca="false">ROUND(19.5/FX,2)</f>
        <v>2.71</v>
      </c>
      <c r="D92" s="21" t="s">
        <v>6549</v>
      </c>
      <c r="E92" s="21" t="s">
        <v>20045</v>
      </c>
      <c r="F92" s="21" t="s">
        <v>6336</v>
      </c>
    </row>
    <row r="93" customFormat="false" ht="28.35" hidden="false" customHeight="false" outlineLevel="0" collapsed="false">
      <c r="B93" s="19" t="s">
        <v>20046</v>
      </c>
      <c r="C93" s="20" t="n">
        <f aca="false">ROUND(19.5/FX,2)</f>
        <v>2.71</v>
      </c>
      <c r="D93" s="21" t="s">
        <v>6549</v>
      </c>
      <c r="E93" s="21" t="s">
        <v>20047</v>
      </c>
      <c r="F93" s="21" t="s">
        <v>6336</v>
      </c>
    </row>
    <row r="94" customFormat="false" ht="28.35" hidden="false" customHeight="false" outlineLevel="0" collapsed="false">
      <c r="B94" s="19" t="s">
        <v>20048</v>
      </c>
      <c r="C94" s="20" t="n">
        <f aca="false">ROUND(13/FX,2)</f>
        <v>1.81</v>
      </c>
      <c r="D94" s="21" t="s">
        <v>6549</v>
      </c>
      <c r="E94" s="21" t="s">
        <v>20049</v>
      </c>
      <c r="F94" s="21" t="s">
        <v>6336</v>
      </c>
    </row>
    <row r="95" customFormat="false" ht="28.35" hidden="false" customHeight="false" outlineLevel="0" collapsed="false">
      <c r="B95" s="19" t="s">
        <v>20050</v>
      </c>
      <c r="C95" s="20" t="n">
        <f aca="false">ROUND(19.5/FX,2)</f>
        <v>2.71</v>
      </c>
      <c r="D95" s="21" t="s">
        <v>6549</v>
      </c>
      <c r="E95" s="21" t="s">
        <v>20051</v>
      </c>
      <c r="F95" s="21" t="s">
        <v>6336</v>
      </c>
    </row>
    <row r="96" customFormat="false" ht="28.35" hidden="false" customHeight="false" outlineLevel="0" collapsed="false">
      <c r="B96" s="19" t="s">
        <v>20052</v>
      </c>
      <c r="C96" s="20" t="n">
        <f aca="false">ROUND(14.3/FX,2)</f>
        <v>1.99</v>
      </c>
      <c r="D96" s="21" t="s">
        <v>6549</v>
      </c>
      <c r="E96" s="21" t="s">
        <v>20053</v>
      </c>
      <c r="F96" s="21" t="s">
        <v>6336</v>
      </c>
    </row>
    <row r="97" customFormat="false" ht="28.35" hidden="false" customHeight="false" outlineLevel="0" collapsed="false">
      <c r="B97" s="19" t="s">
        <v>20054</v>
      </c>
      <c r="C97" s="20" t="n">
        <f aca="false">ROUND(13/FX,2)</f>
        <v>1.81</v>
      </c>
      <c r="D97" s="21" t="s">
        <v>6549</v>
      </c>
      <c r="E97" s="21" t="s">
        <v>20055</v>
      </c>
      <c r="F97" s="21" t="s">
        <v>6336</v>
      </c>
    </row>
    <row r="98" customFormat="false" ht="28.35" hidden="false" customHeight="false" outlineLevel="0" collapsed="false">
      <c r="B98" s="19" t="s">
        <v>20056</v>
      </c>
      <c r="C98" s="20" t="n">
        <f aca="false">ROUND(20.8/FX,2)</f>
        <v>2.89</v>
      </c>
      <c r="D98" s="21" t="s">
        <v>6549</v>
      </c>
      <c r="E98" s="21" t="s">
        <v>20057</v>
      </c>
      <c r="F98" s="21" t="s">
        <v>6336</v>
      </c>
    </row>
    <row r="99" customFormat="false" ht="28.35" hidden="false" customHeight="false" outlineLevel="0" collapsed="false">
      <c r="B99" s="19" t="s">
        <v>20058</v>
      </c>
      <c r="C99" s="20" t="n">
        <f aca="false">ROUND(20.8/FX,2)</f>
        <v>2.89</v>
      </c>
      <c r="D99" s="21" t="s">
        <v>6549</v>
      </c>
      <c r="E99" s="21" t="s">
        <v>20059</v>
      </c>
      <c r="F99" s="21" t="s">
        <v>6336</v>
      </c>
    </row>
    <row r="100" customFormat="false" ht="28.35" hidden="false" customHeight="false" outlineLevel="0" collapsed="false">
      <c r="B100" s="19" t="s">
        <v>20060</v>
      </c>
      <c r="C100" s="20" t="n">
        <f aca="false">ROUND(20.8/FX,2)</f>
        <v>2.89</v>
      </c>
      <c r="D100" s="21" t="s">
        <v>6549</v>
      </c>
      <c r="E100" s="21" t="s">
        <v>20061</v>
      </c>
      <c r="F100" s="21" t="s">
        <v>6336</v>
      </c>
    </row>
    <row r="101" customFormat="false" ht="28.35" hidden="false" customHeight="false" outlineLevel="0" collapsed="false">
      <c r="B101" s="19" t="s">
        <v>20062</v>
      </c>
      <c r="C101" s="20" t="n">
        <f aca="false">ROUND(20.8/FX,2)</f>
        <v>2.89</v>
      </c>
      <c r="D101" s="21" t="s">
        <v>6549</v>
      </c>
      <c r="E101" s="21" t="s">
        <v>20063</v>
      </c>
      <c r="F101" s="21" t="s">
        <v>6336</v>
      </c>
    </row>
    <row r="102" customFormat="false" ht="28.35" hidden="false" customHeight="false" outlineLevel="0" collapsed="false">
      <c r="B102" s="19" t="s">
        <v>20064</v>
      </c>
      <c r="C102" s="20" t="n">
        <f aca="false">ROUND(19.5/FX,2)</f>
        <v>2.71</v>
      </c>
      <c r="D102" s="21" t="s">
        <v>6549</v>
      </c>
      <c r="E102" s="21" t="s">
        <v>20065</v>
      </c>
      <c r="F102" s="21" t="s">
        <v>6336</v>
      </c>
    </row>
    <row r="103" customFormat="false" ht="28.35" hidden="false" customHeight="false" outlineLevel="0" collapsed="false">
      <c r="B103" s="19" t="s">
        <v>20066</v>
      </c>
      <c r="C103" s="20" t="n">
        <f aca="false">ROUND(20.8/FX,2)</f>
        <v>2.89</v>
      </c>
      <c r="D103" s="21" t="s">
        <v>6549</v>
      </c>
      <c r="E103" s="21" t="s">
        <v>20067</v>
      </c>
      <c r="F103" s="21" t="s">
        <v>6336</v>
      </c>
    </row>
    <row r="104" customFormat="false" ht="28.35" hidden="false" customHeight="false" outlineLevel="0" collapsed="false">
      <c r="B104" s="19" t="s">
        <v>20068</v>
      </c>
      <c r="C104" s="20" t="n">
        <f aca="false">ROUND(20.8/FX,2)</f>
        <v>2.89</v>
      </c>
      <c r="D104" s="21" t="s">
        <v>6549</v>
      </c>
      <c r="E104" s="21" t="s">
        <v>20069</v>
      </c>
      <c r="F104" s="21" t="s">
        <v>6336</v>
      </c>
    </row>
    <row r="105" customFormat="false" ht="28.35" hidden="false" customHeight="false" outlineLevel="0" collapsed="false">
      <c r="B105" s="19" t="s">
        <v>20070</v>
      </c>
      <c r="C105" s="20" t="n">
        <f aca="false">ROUND(20.8/FX,2)</f>
        <v>2.89</v>
      </c>
      <c r="D105" s="21" t="s">
        <v>6549</v>
      </c>
      <c r="E105" s="21" t="s">
        <v>20071</v>
      </c>
      <c r="F105" s="21" t="s">
        <v>6336</v>
      </c>
    </row>
    <row r="106" customFormat="false" ht="28.35" hidden="false" customHeight="false" outlineLevel="0" collapsed="false">
      <c r="B106" s="19" t="s">
        <v>20072</v>
      </c>
      <c r="C106" s="20" t="n">
        <f aca="false">ROUND(20.8/FX,2)</f>
        <v>2.89</v>
      </c>
      <c r="D106" s="21" t="s">
        <v>6549</v>
      </c>
      <c r="E106" s="21" t="s">
        <v>20073</v>
      </c>
      <c r="F106" s="21" t="s">
        <v>6336</v>
      </c>
    </row>
    <row r="109" customFormat="false" ht="61.5" hidden="false" customHeight="true" outlineLevel="0" collapsed="false">
      <c r="A109" s="9"/>
      <c r="B109" s="10" t="s">
        <v>20074</v>
      </c>
      <c r="C109" s="10"/>
      <c r="D109" s="10"/>
      <c r="E109" s="10"/>
      <c r="F109" s="10"/>
    </row>
    <row r="110" customFormat="false" ht="15" hidden="false" customHeight="false" outlineLevel="0" collapsed="false">
      <c r="A110" s="12" t="s">
        <v>700</v>
      </c>
      <c r="B110" s="13" t="s">
        <v>701</v>
      </c>
      <c r="C110" s="13" t="s">
        <v>702</v>
      </c>
      <c r="D110" s="13" t="s">
        <v>722</v>
      </c>
      <c r="E110" s="13" t="s">
        <v>723</v>
      </c>
      <c r="F110" s="13" t="s">
        <v>13701</v>
      </c>
    </row>
    <row r="111" customFormat="false" ht="30" hidden="false" customHeight="true" outlineLevel="0" collapsed="false">
      <c r="A111" s="14" t="s">
        <v>706</v>
      </c>
      <c r="B111" s="15" t="str">
        <f aca="false">IF(COUNTIFS($D$114:$D$136,IF(D111="","*",D111),$E$114:$E$136,IF(E111="","*",E111),$F$114:$F$136,IF(F111="","*",F111))=1,INDEX($B:$B,SUMPRODUCT(((D111="")+($D$114:$D$136=D111)&gt;0)*((E111="")+($E$114:$E$136=E111)&gt;0)*((F111="")+($F$114:$F$136=F111)&gt;0)*ROW($B$114:$B$136))),IF(COUNTIFS($D$114:$D$136,IF(D111="","*",D111),$E$114:$E$136,IF(E111="","*",E111),$F$114:$F$136,IF(F111="","*",F111))=0,"Not available",COUNTIFS($D$114:$D$136,IF(D111="","*",D111),$E$114:$E$136,IF(E111="","*",E111),$F$114:$F$136,IF(F111="","*",F111))&amp;" match, keep choosing"))</f>
        <v>EG-032-M10x0.75-SV-ER8M</v>
      </c>
      <c r="C111" s="16" t="n">
        <f aca="false">IF(COUNTIFS($D$114:$D$136,IF(D111="","*",D111),$E$114:$E$136,IF(E111="","*",E111),$F$114:$F$136,IF(F111="","*",F111))=1,INDEX($C:$C,SUMPRODUCT(((D111="")+($D$114:$D$136=D111)&gt;0)*((E111="")+($E$114:$E$136=E111)&gt;0)*((F111="")+($F$114:$F$136=F111)&gt;0)*ROW($B$114:$B$136))),"")</f>
        <v>0.99</v>
      </c>
      <c r="D111" s="17" t="s">
        <v>6549</v>
      </c>
      <c r="E111" s="17" t="s">
        <v>20075</v>
      </c>
      <c r="F111" s="17" t="s">
        <v>16202</v>
      </c>
    </row>
    <row r="113" customFormat="false" ht="15" hidden="false" customHeight="false" outlineLevel="0" collapsed="false">
      <c r="B113" s="18" t="s">
        <v>701</v>
      </c>
      <c r="C113" s="18" t="s">
        <v>702</v>
      </c>
      <c r="D113" s="18" t="s">
        <v>722</v>
      </c>
      <c r="E113" s="18" t="s">
        <v>723</v>
      </c>
      <c r="F113" s="18" t="s">
        <v>13701</v>
      </c>
    </row>
    <row r="114" customFormat="false" ht="15" hidden="false" customHeight="false" outlineLevel="0" collapsed="false">
      <c r="B114" s="19" t="s">
        <v>20076</v>
      </c>
      <c r="C114" s="20" t="n">
        <f aca="false">ROUND(7.15/FX,2)</f>
        <v>0.99</v>
      </c>
      <c r="D114" s="21" t="s">
        <v>6549</v>
      </c>
      <c r="E114" s="21" t="s">
        <v>20075</v>
      </c>
      <c r="F114" s="21" t="s">
        <v>16202</v>
      </c>
    </row>
    <row r="115" customFormat="false" ht="15" hidden="false" customHeight="false" outlineLevel="0" collapsed="false">
      <c r="B115" s="19" t="s">
        <v>20077</v>
      </c>
      <c r="C115" s="20" t="n">
        <f aca="false">ROUND(12.68/FX,2)</f>
        <v>1.76</v>
      </c>
      <c r="D115" s="21" t="s">
        <v>724</v>
      </c>
      <c r="E115" s="21" t="s">
        <v>20078</v>
      </c>
      <c r="F115" s="21" t="s">
        <v>20079</v>
      </c>
    </row>
    <row r="116" customFormat="false" ht="15" hidden="false" customHeight="false" outlineLevel="0" collapsed="false">
      <c r="B116" s="19" t="s">
        <v>20080</v>
      </c>
      <c r="C116" s="20" t="n">
        <f aca="false">ROUND(4.94/FX,2)</f>
        <v>0.69</v>
      </c>
      <c r="D116" s="21" t="s">
        <v>724</v>
      </c>
      <c r="E116" s="21" t="s">
        <v>20081</v>
      </c>
      <c r="F116" s="21" t="s">
        <v>20082</v>
      </c>
    </row>
    <row r="117" customFormat="false" ht="15" hidden="false" customHeight="false" outlineLevel="0" collapsed="false">
      <c r="B117" s="19" t="s">
        <v>20083</v>
      </c>
      <c r="C117" s="20" t="n">
        <f aca="false">ROUND(5.2/FX,2)</f>
        <v>0.72</v>
      </c>
      <c r="D117" s="21" t="s">
        <v>6549</v>
      </c>
      <c r="E117" s="21" t="s">
        <v>20081</v>
      </c>
      <c r="F117" s="21" t="s">
        <v>20082</v>
      </c>
    </row>
    <row r="118" customFormat="false" ht="15" hidden="false" customHeight="false" outlineLevel="0" collapsed="false">
      <c r="B118" s="19" t="s">
        <v>20084</v>
      </c>
      <c r="C118" s="20" t="n">
        <f aca="false">ROUND(2.99/FX,2)</f>
        <v>0.42</v>
      </c>
      <c r="D118" s="21" t="s">
        <v>724</v>
      </c>
      <c r="E118" s="21" t="s">
        <v>20085</v>
      </c>
      <c r="F118" s="21" t="s">
        <v>20086</v>
      </c>
    </row>
    <row r="119" customFormat="false" ht="15" hidden="false" customHeight="false" outlineLevel="0" collapsed="false">
      <c r="B119" s="19" t="s">
        <v>20087</v>
      </c>
      <c r="C119" s="20" t="n">
        <f aca="false">ROUND(5.85/FX,2)</f>
        <v>0.81</v>
      </c>
      <c r="D119" s="21" t="s">
        <v>6549</v>
      </c>
      <c r="E119" s="21" t="s">
        <v>20085</v>
      </c>
      <c r="F119" s="21" t="s">
        <v>20086</v>
      </c>
    </row>
    <row r="120" customFormat="false" ht="15" hidden="false" customHeight="false" outlineLevel="0" collapsed="false">
      <c r="B120" s="19" t="s">
        <v>20088</v>
      </c>
      <c r="C120" s="20" t="n">
        <f aca="false">ROUND(4.29/FX,2)</f>
        <v>0.6</v>
      </c>
      <c r="D120" s="21" t="s">
        <v>724</v>
      </c>
      <c r="E120" s="21" t="s">
        <v>20089</v>
      </c>
      <c r="F120" s="21" t="s">
        <v>20090</v>
      </c>
    </row>
    <row r="121" customFormat="false" ht="15" hidden="false" customHeight="false" outlineLevel="0" collapsed="false">
      <c r="B121" s="19" t="s">
        <v>20091</v>
      </c>
      <c r="C121" s="20" t="n">
        <f aca="false">ROUND(5.2/FX,2)</f>
        <v>0.72</v>
      </c>
      <c r="D121" s="21" t="s">
        <v>724</v>
      </c>
      <c r="E121" s="21" t="s">
        <v>20092</v>
      </c>
      <c r="F121" s="21" t="s">
        <v>20090</v>
      </c>
    </row>
    <row r="122" customFormat="false" ht="15" hidden="false" customHeight="false" outlineLevel="0" collapsed="false">
      <c r="B122" s="19" t="s">
        <v>20093</v>
      </c>
      <c r="C122" s="20" t="n">
        <f aca="false">ROUND(5.85/FX,2)</f>
        <v>0.81</v>
      </c>
      <c r="D122" s="21" t="s">
        <v>724</v>
      </c>
      <c r="E122" s="21" t="s">
        <v>20089</v>
      </c>
      <c r="F122" s="21" t="s">
        <v>14811</v>
      </c>
    </row>
    <row r="123" customFormat="false" ht="15" hidden="false" customHeight="false" outlineLevel="0" collapsed="false">
      <c r="B123" s="19" t="s">
        <v>20094</v>
      </c>
      <c r="C123" s="20" t="n">
        <f aca="false">ROUND(5.85/FX,2)</f>
        <v>0.81</v>
      </c>
      <c r="D123" s="21" t="s">
        <v>6549</v>
      </c>
      <c r="E123" s="21" t="s">
        <v>20089</v>
      </c>
      <c r="F123" s="21" t="s">
        <v>14811</v>
      </c>
    </row>
    <row r="124" customFormat="false" ht="15" hidden="false" customHeight="false" outlineLevel="0" collapsed="false">
      <c r="B124" s="19" t="s">
        <v>20095</v>
      </c>
      <c r="C124" s="20" t="n">
        <f aca="false">ROUND(5.2/FX,2)</f>
        <v>0.72</v>
      </c>
      <c r="D124" s="21" t="s">
        <v>724</v>
      </c>
      <c r="E124" s="21" t="s">
        <v>20096</v>
      </c>
      <c r="F124" s="21" t="s">
        <v>16266</v>
      </c>
    </row>
    <row r="125" customFormat="false" ht="15" hidden="false" customHeight="false" outlineLevel="0" collapsed="false">
      <c r="B125" s="19" t="s">
        <v>20097</v>
      </c>
      <c r="C125" s="20" t="n">
        <f aca="false">ROUND(5.85/FX,2)</f>
        <v>0.81</v>
      </c>
      <c r="D125" s="21" t="s">
        <v>724</v>
      </c>
      <c r="E125" s="21" t="s">
        <v>20098</v>
      </c>
      <c r="F125" s="21" t="s">
        <v>16266</v>
      </c>
    </row>
    <row r="126" customFormat="false" ht="15" hidden="false" customHeight="false" outlineLevel="0" collapsed="false">
      <c r="B126" s="19" t="s">
        <v>20099</v>
      </c>
      <c r="C126" s="20" t="n">
        <f aca="false">ROUND(5.2/FX,2)</f>
        <v>0.72</v>
      </c>
      <c r="D126" s="21" t="s">
        <v>6549</v>
      </c>
      <c r="E126" s="21" t="s">
        <v>20098</v>
      </c>
      <c r="F126" s="21" t="s">
        <v>16266</v>
      </c>
    </row>
    <row r="127" customFormat="false" ht="15" hidden="false" customHeight="false" outlineLevel="0" collapsed="false">
      <c r="B127" s="19" t="s">
        <v>20100</v>
      </c>
      <c r="C127" s="20" t="n">
        <f aca="false">ROUND(4.29/FX,2)</f>
        <v>0.6</v>
      </c>
      <c r="D127" s="21" t="s">
        <v>724</v>
      </c>
      <c r="E127" s="21" t="s">
        <v>20096</v>
      </c>
      <c r="F127" s="21" t="s">
        <v>16271</v>
      </c>
    </row>
    <row r="128" customFormat="false" ht="15" hidden="false" customHeight="false" outlineLevel="0" collapsed="false">
      <c r="B128" s="19" t="s">
        <v>20101</v>
      </c>
      <c r="C128" s="20" t="n">
        <f aca="false">ROUND(5.2/FX,2)</f>
        <v>0.72</v>
      </c>
      <c r="D128" s="21" t="s">
        <v>6549</v>
      </c>
      <c r="E128" s="21" t="s">
        <v>20096</v>
      </c>
      <c r="F128" s="21" t="s">
        <v>16271</v>
      </c>
    </row>
    <row r="129" customFormat="false" ht="15" hidden="false" customHeight="false" outlineLevel="0" collapsed="false">
      <c r="B129" s="19" t="s">
        <v>20102</v>
      </c>
      <c r="C129" s="20" t="n">
        <f aca="false">ROUND(7.15/FX,2)</f>
        <v>0.99</v>
      </c>
      <c r="D129" s="21" t="s">
        <v>724</v>
      </c>
      <c r="E129" s="21" t="s">
        <v>20103</v>
      </c>
      <c r="F129" s="21" t="s">
        <v>16283</v>
      </c>
    </row>
    <row r="130" customFormat="false" ht="15" hidden="false" customHeight="false" outlineLevel="0" collapsed="false">
      <c r="B130" s="19" t="s">
        <v>20104</v>
      </c>
      <c r="C130" s="20" t="n">
        <f aca="false">ROUND(7.8/FX,2)</f>
        <v>1.08</v>
      </c>
      <c r="D130" s="21" t="s">
        <v>6549</v>
      </c>
      <c r="E130" s="21" t="s">
        <v>20103</v>
      </c>
      <c r="F130" s="21" t="s">
        <v>16283</v>
      </c>
    </row>
    <row r="131" customFormat="false" ht="15" hidden="false" customHeight="false" outlineLevel="0" collapsed="false">
      <c r="B131" s="19" t="s">
        <v>20105</v>
      </c>
      <c r="C131" s="20" t="n">
        <f aca="false">ROUND(9.1/FX,2)</f>
        <v>1.26</v>
      </c>
      <c r="D131" s="21" t="s">
        <v>724</v>
      </c>
      <c r="E131" s="21" t="s">
        <v>20106</v>
      </c>
      <c r="F131" s="21" t="s">
        <v>16308</v>
      </c>
    </row>
    <row r="132" customFormat="false" ht="15" hidden="false" customHeight="false" outlineLevel="0" collapsed="false">
      <c r="B132" s="19" t="s">
        <v>20107</v>
      </c>
      <c r="C132" s="20" t="n">
        <f aca="false">ROUND(10/FX,2)</f>
        <v>1.39</v>
      </c>
      <c r="D132" s="21" t="s">
        <v>6549</v>
      </c>
      <c r="E132" s="21" t="s">
        <v>20106</v>
      </c>
      <c r="F132" s="21" t="s">
        <v>16308</v>
      </c>
    </row>
    <row r="133" customFormat="false" ht="15" hidden="false" customHeight="false" outlineLevel="0" collapsed="false">
      <c r="B133" s="19" t="s">
        <v>20108</v>
      </c>
      <c r="C133" s="20" t="n">
        <f aca="false">ROUND(11.7/FX,2)</f>
        <v>1.63</v>
      </c>
      <c r="D133" s="21" t="s">
        <v>724</v>
      </c>
      <c r="E133" s="21" t="s">
        <v>20109</v>
      </c>
      <c r="F133" s="21" t="s">
        <v>16328</v>
      </c>
    </row>
    <row r="134" customFormat="false" ht="15" hidden="false" customHeight="false" outlineLevel="0" collapsed="false">
      <c r="B134" s="19" t="s">
        <v>20110</v>
      </c>
      <c r="C134" s="20" t="n">
        <f aca="false">ROUND(14.3/FX,2)</f>
        <v>1.99</v>
      </c>
      <c r="D134" s="21" t="s">
        <v>6549</v>
      </c>
      <c r="E134" s="21" t="s">
        <v>20109</v>
      </c>
      <c r="F134" s="21" t="s">
        <v>16328</v>
      </c>
    </row>
    <row r="135" customFormat="false" ht="15" hidden="false" customHeight="false" outlineLevel="0" collapsed="false">
      <c r="B135" s="19" t="s">
        <v>20111</v>
      </c>
      <c r="C135" s="20" t="n">
        <f aca="false">ROUND(60/FX,2)</f>
        <v>8.33</v>
      </c>
      <c r="D135" s="21" t="s">
        <v>724</v>
      </c>
      <c r="E135" s="21" t="s">
        <v>20112</v>
      </c>
      <c r="F135" s="21" t="s">
        <v>16358</v>
      </c>
    </row>
    <row r="136" customFormat="false" ht="15" hidden="false" customHeight="false" outlineLevel="0" collapsed="false">
      <c r="B136" s="19" t="s">
        <v>20113</v>
      </c>
      <c r="C136" s="20" t="n">
        <f aca="false">ROUND(32.5/FX,2)</f>
        <v>4.51</v>
      </c>
      <c r="D136" s="21" t="s">
        <v>6549</v>
      </c>
      <c r="E136" s="21" t="s">
        <v>20112</v>
      </c>
      <c r="F136" s="21" t="s">
        <v>16358</v>
      </c>
    </row>
    <row r="139" customFormat="false" ht="61.5" hidden="false" customHeight="true" outlineLevel="0" collapsed="false">
      <c r="A139" s="9"/>
      <c r="B139" s="10" t="s">
        <v>20114</v>
      </c>
      <c r="C139" s="10"/>
      <c r="D139" s="10"/>
    </row>
    <row r="140" customFormat="false" ht="15" hidden="false" customHeight="false" outlineLevel="0" collapsed="false">
      <c r="A140" s="12" t="s">
        <v>700</v>
      </c>
      <c r="B140" s="13" t="s">
        <v>701</v>
      </c>
      <c r="C140" s="13" t="s">
        <v>702</v>
      </c>
      <c r="D140" s="13" t="s">
        <v>723</v>
      </c>
    </row>
    <row r="141" customFormat="false" ht="30" hidden="false" customHeight="true" outlineLevel="0" collapsed="false">
      <c r="A141" s="14" t="s">
        <v>706</v>
      </c>
      <c r="B141" s="15" t="str">
        <f aca="false">IF(COUNTIFS($D$144:$D$151,IF(D141="","*",D141))=1,INDEX($B:$B,SUMPRODUCT(((D141="")+($D$144:$D$151=D141)&gt;0)*ROW($B$144:$B$151))),IF(COUNTIFS($D$144:$D$151,IF(D141="","*",D141))=0,"Not available",COUNTIFS($D$144:$D$151,IF(D141="","*",D141))&amp;" match, keep choosing"))</f>
        <v>EG-013-ER11AW</v>
      </c>
      <c r="C141" s="16" t="n">
        <f aca="false">IF(COUNTIFS($D$144:$D$151,IF(D141="","*",D141))=1,INDEX($C:$C,SUMPRODUCT(((D141="")+($D$144:$D$151=D141)&gt;0)*ROW($B$144:$B$151))),"")</f>
        <v>0.83</v>
      </c>
      <c r="D141" s="17" t="s">
        <v>20115</v>
      </c>
    </row>
    <row r="143" customFormat="false" ht="15" hidden="false" customHeight="false" outlineLevel="0" collapsed="false">
      <c r="B143" s="18" t="s">
        <v>701</v>
      </c>
      <c r="C143" s="18" t="s">
        <v>702</v>
      </c>
      <c r="D143" s="18" t="s">
        <v>723</v>
      </c>
    </row>
    <row r="144" customFormat="false" ht="15" hidden="false" customHeight="false" outlineLevel="0" collapsed="false">
      <c r="B144" s="19" t="s">
        <v>20116</v>
      </c>
      <c r="C144" s="20" t="n">
        <f aca="false">ROUND(6/FX,2)</f>
        <v>0.83</v>
      </c>
      <c r="D144" s="21" t="s">
        <v>20115</v>
      </c>
    </row>
    <row r="145" customFormat="false" ht="15" hidden="false" customHeight="false" outlineLevel="0" collapsed="false">
      <c r="B145" s="19" t="s">
        <v>20117</v>
      </c>
      <c r="C145" s="20" t="n">
        <f aca="false">ROUND(5.2/FX,2)</f>
        <v>0.72</v>
      </c>
      <c r="D145" s="21" t="s">
        <v>20118</v>
      </c>
    </row>
    <row r="146" customFormat="false" ht="15" hidden="false" customHeight="false" outlineLevel="0" collapsed="false">
      <c r="B146" s="19" t="s">
        <v>20119</v>
      </c>
      <c r="C146" s="20" t="n">
        <f aca="false">ROUND(5.85/FX,2)</f>
        <v>0.81</v>
      </c>
      <c r="D146" s="21" t="s">
        <v>20120</v>
      </c>
    </row>
    <row r="147" customFormat="false" ht="15" hidden="false" customHeight="false" outlineLevel="0" collapsed="false">
      <c r="B147" s="19" t="s">
        <v>20121</v>
      </c>
      <c r="C147" s="20" t="n">
        <f aca="false">ROUND(8.45/FX,2)</f>
        <v>1.17</v>
      </c>
      <c r="D147" s="21" t="s">
        <v>20122</v>
      </c>
    </row>
    <row r="148" customFormat="false" ht="15" hidden="false" customHeight="false" outlineLevel="0" collapsed="false">
      <c r="B148" s="19" t="s">
        <v>20123</v>
      </c>
      <c r="C148" s="20" t="n">
        <f aca="false">ROUND(10.4/FX,2)</f>
        <v>1.44</v>
      </c>
      <c r="D148" s="21" t="s">
        <v>20124</v>
      </c>
    </row>
    <row r="149" customFormat="false" ht="15" hidden="false" customHeight="false" outlineLevel="0" collapsed="false">
      <c r="B149" s="19" t="s">
        <v>20125</v>
      </c>
      <c r="C149" s="20" t="n">
        <f aca="false">ROUND(5.2/FX,2)</f>
        <v>0.72</v>
      </c>
      <c r="D149" s="21" t="s">
        <v>20126</v>
      </c>
    </row>
    <row r="150" customFormat="false" ht="15" hidden="false" customHeight="false" outlineLevel="0" collapsed="false">
      <c r="B150" s="19" t="s">
        <v>20127</v>
      </c>
      <c r="C150" s="20" t="n">
        <f aca="false">ROUND(11.7/FX,2)</f>
        <v>1.63</v>
      </c>
      <c r="D150" s="21" t="s">
        <v>20128</v>
      </c>
    </row>
    <row r="151" customFormat="false" ht="15" hidden="false" customHeight="false" outlineLevel="0" collapsed="false">
      <c r="B151" s="19" t="s">
        <v>20129</v>
      </c>
      <c r="C151" s="20" t="n">
        <f aca="false">ROUND(6.5/FX,2)</f>
        <v>0.9</v>
      </c>
      <c r="D151" s="21" t="s">
        <v>20130</v>
      </c>
    </row>
    <row r="154" customFormat="false" ht="61.5" hidden="false" customHeight="true" outlineLevel="0" collapsed="false">
      <c r="A154" s="9"/>
      <c r="B154" s="10" t="s">
        <v>20131</v>
      </c>
      <c r="C154" s="10"/>
      <c r="D154" s="10"/>
    </row>
    <row r="155" customFormat="false" ht="15" hidden="false" customHeight="false" outlineLevel="0" collapsed="false">
      <c r="B155" s="18" t="s">
        <v>701</v>
      </c>
      <c r="C155" s="18" t="s">
        <v>702</v>
      </c>
      <c r="D155" s="18" t="s">
        <v>5610</v>
      </c>
    </row>
    <row r="156" customFormat="false" ht="15" hidden="false" customHeight="false" outlineLevel="0" collapsed="false">
      <c r="B156" s="19" t="s">
        <v>20132</v>
      </c>
      <c r="C156" s="20" t="n">
        <f aca="false">ROUND(46.41/FX,2)</f>
        <v>6.45</v>
      </c>
      <c r="D156" s="22" t="s">
        <v>5612</v>
      </c>
    </row>
    <row r="159" customFormat="false" ht="61.5" hidden="false" customHeight="true" outlineLevel="0" collapsed="false">
      <c r="A159" s="9"/>
      <c r="B159" s="10" t="s">
        <v>20133</v>
      </c>
      <c r="C159" s="10"/>
      <c r="D159" s="10"/>
      <c r="E159" s="10"/>
      <c r="F159" s="10"/>
    </row>
    <row r="160" customFormat="false" ht="15" hidden="false" customHeight="false" outlineLevel="0" collapsed="false">
      <c r="A160" s="12" t="s">
        <v>700</v>
      </c>
      <c r="B160" s="13" t="s">
        <v>701</v>
      </c>
      <c r="C160" s="13" t="s">
        <v>702</v>
      </c>
      <c r="D160" s="13" t="s">
        <v>6159</v>
      </c>
      <c r="E160" s="13" t="s">
        <v>6696</v>
      </c>
      <c r="F160" s="13" t="s">
        <v>20134</v>
      </c>
    </row>
    <row r="161" customFormat="false" ht="30" hidden="false" customHeight="true" outlineLevel="0" collapsed="false">
      <c r="A161" s="14" t="s">
        <v>706</v>
      </c>
      <c r="B161" s="15" t="str">
        <f aca="false">IF(COUNTIFS($D$164:$D$350,IF(D161="","*",D161),$E$164:$E$350,IF(E161="","*",E161),$F$164:$F$350,IF(F161="","*",F161))=1,INDEX($B:$B,SUMPRODUCT(((D161="")+($D$164:$D$350=D161)&gt;0)*((E161="")+($E$164:$E$350=E161)&gt;0)*((F161="")+($F$164:$F$350=F161)&gt;0)*ROW($B$164:$B$350))),IF(COUNTIFS($D$164:$D$350,IF(D161="","*",D161),$E$164:$E$350,IF(E161="","*",E161),$F$164:$F$350,IF(F161="","*",F161))=0,"Not available",COUNTIFS($D$164:$D$350,IF(D161="","*",D161),$E$164:$E$350,IF(E161="","*",E161),$F$164:$F$350,IF(F161="","*",F161))&amp;" match, keep choosing"))</f>
        <v>ER11-A-1</v>
      </c>
      <c r="C161" s="16" t="n">
        <f aca="false">IF(COUNTIFS($D$164:$D$350,IF(D161="","*",D161),$E$164:$E$350,IF(E161="","*",E161),$F$164:$F$350,IF(F161="","*",F161))=1,INDEX($C:$C,SUMPRODUCT(((D161="")+($D$164:$D$350=D161)&gt;0)*((E161="")+($E$164:$E$350=E161)&gt;0)*((F161="")+($F$164:$F$350=F161)&gt;0)*ROW($B$164:$B$350))),"")</f>
        <v>0.54</v>
      </c>
      <c r="D161" s="17" t="s">
        <v>20135</v>
      </c>
      <c r="E161" s="17" t="s">
        <v>19845</v>
      </c>
      <c r="F161" s="17" t="s">
        <v>20136</v>
      </c>
    </row>
    <row r="163" customFormat="false" ht="15" hidden="false" customHeight="false" outlineLevel="0" collapsed="false">
      <c r="B163" s="18" t="s">
        <v>701</v>
      </c>
      <c r="C163" s="18" t="s">
        <v>702</v>
      </c>
      <c r="D163" s="18" t="s">
        <v>6159</v>
      </c>
      <c r="E163" s="18" t="s">
        <v>6696</v>
      </c>
      <c r="F163" s="18" t="s">
        <v>20134</v>
      </c>
    </row>
    <row r="164" customFormat="false" ht="15" hidden="false" customHeight="false" outlineLevel="0" collapsed="false">
      <c r="B164" s="19" t="s">
        <v>20137</v>
      </c>
      <c r="C164" s="20" t="n">
        <f aca="false">ROUND(3.9/FX,2)</f>
        <v>0.54</v>
      </c>
      <c r="D164" s="21" t="s">
        <v>20135</v>
      </c>
      <c r="E164" s="21" t="s">
        <v>19845</v>
      </c>
      <c r="F164" s="21" t="s">
        <v>20136</v>
      </c>
    </row>
    <row r="165" customFormat="false" ht="15" hidden="false" customHeight="false" outlineLevel="0" collapsed="false">
      <c r="B165" s="19" t="s">
        <v>20138</v>
      </c>
      <c r="C165" s="20" t="n">
        <f aca="false">ROUND(5.2/FX,2)</f>
        <v>0.72</v>
      </c>
      <c r="D165" s="21" t="s">
        <v>20135</v>
      </c>
      <c r="E165" s="21" t="s">
        <v>20139</v>
      </c>
      <c r="F165" s="21" t="s">
        <v>20136</v>
      </c>
    </row>
    <row r="166" customFormat="false" ht="15" hidden="false" customHeight="false" outlineLevel="0" collapsed="false">
      <c r="B166" s="19" t="s">
        <v>20140</v>
      </c>
      <c r="C166" s="20" t="n">
        <f aca="false">ROUND(3.64/FX,2)</f>
        <v>0.51</v>
      </c>
      <c r="D166" s="21" t="s">
        <v>20135</v>
      </c>
      <c r="E166" s="21" t="s">
        <v>20019</v>
      </c>
      <c r="F166" s="21" t="s">
        <v>20136</v>
      </c>
    </row>
    <row r="167" customFormat="false" ht="15" hidden="false" customHeight="false" outlineLevel="0" collapsed="false">
      <c r="B167" s="19" t="s">
        <v>20141</v>
      </c>
      <c r="C167" s="20" t="n">
        <f aca="false">ROUND(3.12/FX,2)</f>
        <v>0.43</v>
      </c>
      <c r="D167" s="21" t="s">
        <v>20135</v>
      </c>
      <c r="E167" s="21" t="s">
        <v>20027</v>
      </c>
      <c r="F167" s="21" t="s">
        <v>20136</v>
      </c>
    </row>
    <row r="168" customFormat="false" ht="15" hidden="false" customHeight="false" outlineLevel="0" collapsed="false">
      <c r="B168" s="19" t="s">
        <v>20142</v>
      </c>
      <c r="C168" s="20" t="n">
        <f aca="false">ROUND(3.9/FX,2)</f>
        <v>0.54</v>
      </c>
      <c r="D168" s="21" t="s">
        <v>20135</v>
      </c>
      <c r="E168" s="21" t="s">
        <v>6359</v>
      </c>
      <c r="F168" s="21" t="s">
        <v>20136</v>
      </c>
    </row>
    <row r="169" customFormat="false" ht="15" hidden="false" customHeight="false" outlineLevel="0" collapsed="false">
      <c r="B169" s="19" t="s">
        <v>20143</v>
      </c>
      <c r="C169" s="20" t="n">
        <f aca="false">ROUND(3.9/FX,2)</f>
        <v>0.54</v>
      </c>
      <c r="D169" s="21" t="s">
        <v>20135</v>
      </c>
      <c r="E169" s="21" t="s">
        <v>837</v>
      </c>
      <c r="F169" s="21" t="s">
        <v>20136</v>
      </c>
    </row>
    <row r="170" customFormat="false" ht="15" hidden="false" customHeight="false" outlineLevel="0" collapsed="false">
      <c r="B170" s="19" t="s">
        <v>20144</v>
      </c>
      <c r="C170" s="20" t="n">
        <f aca="false">ROUND(3.64/FX,2)</f>
        <v>0.51</v>
      </c>
      <c r="D170" s="21" t="s">
        <v>20135</v>
      </c>
      <c r="E170" s="21" t="s">
        <v>6383</v>
      </c>
      <c r="F170" s="21" t="s">
        <v>20136</v>
      </c>
    </row>
    <row r="171" customFormat="false" ht="15" hidden="false" customHeight="false" outlineLevel="0" collapsed="false">
      <c r="B171" s="19" t="s">
        <v>20145</v>
      </c>
      <c r="C171" s="20" t="n">
        <f aca="false">ROUND(3.25/FX,2)</f>
        <v>0.45</v>
      </c>
      <c r="D171" s="21" t="s">
        <v>20135</v>
      </c>
      <c r="E171" s="21" t="s">
        <v>839</v>
      </c>
      <c r="F171" s="21" t="s">
        <v>20136</v>
      </c>
    </row>
    <row r="172" customFormat="false" ht="15" hidden="false" customHeight="false" outlineLevel="0" collapsed="false">
      <c r="B172" s="19" t="s">
        <v>20146</v>
      </c>
      <c r="C172" s="20" t="n">
        <f aca="false">ROUND(5.2/FX,2)</f>
        <v>0.72</v>
      </c>
      <c r="D172" s="21" t="s">
        <v>20135</v>
      </c>
      <c r="E172" s="21" t="s">
        <v>20147</v>
      </c>
      <c r="F172" s="21" t="s">
        <v>20136</v>
      </c>
    </row>
    <row r="173" customFormat="false" ht="15" hidden="false" customHeight="false" outlineLevel="0" collapsed="false">
      <c r="B173" s="19" t="s">
        <v>20148</v>
      </c>
      <c r="C173" s="20" t="n">
        <f aca="false">ROUND(5.2/FX,2)</f>
        <v>0.72</v>
      </c>
      <c r="D173" s="21" t="s">
        <v>20135</v>
      </c>
      <c r="E173" s="21" t="s">
        <v>20149</v>
      </c>
      <c r="F173" s="21" t="s">
        <v>20136</v>
      </c>
    </row>
    <row r="174" customFormat="false" ht="15" hidden="false" customHeight="false" outlineLevel="0" collapsed="false">
      <c r="B174" s="19" t="s">
        <v>20150</v>
      </c>
      <c r="C174" s="20" t="n">
        <f aca="false">ROUND(4.55/FX,2)</f>
        <v>0.63</v>
      </c>
      <c r="D174" s="21" t="s">
        <v>20135</v>
      </c>
      <c r="E174" s="21" t="s">
        <v>6396</v>
      </c>
      <c r="F174" s="21" t="s">
        <v>20136</v>
      </c>
    </row>
    <row r="175" customFormat="false" ht="15" hidden="false" customHeight="false" outlineLevel="0" collapsed="false">
      <c r="B175" s="19" t="s">
        <v>20151</v>
      </c>
      <c r="C175" s="20" t="n">
        <f aca="false">ROUND(3.12/FX,2)</f>
        <v>0.43</v>
      </c>
      <c r="D175" s="21" t="s">
        <v>20135</v>
      </c>
      <c r="E175" s="21" t="s">
        <v>841</v>
      </c>
      <c r="F175" s="21" t="s">
        <v>20136</v>
      </c>
    </row>
    <row r="176" customFormat="false" ht="15" hidden="false" customHeight="false" outlineLevel="0" collapsed="false">
      <c r="B176" s="19" t="s">
        <v>20152</v>
      </c>
      <c r="C176" s="20" t="n">
        <f aca="false">ROUND(5.2/FX,2)</f>
        <v>0.72</v>
      </c>
      <c r="D176" s="21" t="s">
        <v>20135</v>
      </c>
      <c r="E176" s="21" t="s">
        <v>6410</v>
      </c>
      <c r="F176" s="21" t="s">
        <v>20136</v>
      </c>
    </row>
    <row r="177" customFormat="false" ht="15" hidden="false" customHeight="false" outlineLevel="0" collapsed="false">
      <c r="B177" s="19" t="s">
        <v>20153</v>
      </c>
      <c r="C177" s="20" t="n">
        <f aca="false">ROUND(3.64/FX,2)</f>
        <v>0.51</v>
      </c>
      <c r="D177" s="21" t="s">
        <v>20135</v>
      </c>
      <c r="E177" s="21" t="s">
        <v>789</v>
      </c>
      <c r="F177" s="21" t="s">
        <v>20136</v>
      </c>
    </row>
    <row r="178" customFormat="false" ht="15" hidden="false" customHeight="false" outlineLevel="0" collapsed="false">
      <c r="B178" s="19" t="s">
        <v>20154</v>
      </c>
      <c r="C178" s="20" t="n">
        <f aca="false">ROUND(4.55/FX,2)</f>
        <v>0.63</v>
      </c>
      <c r="D178" s="21" t="s">
        <v>20135</v>
      </c>
      <c r="E178" s="21" t="s">
        <v>20155</v>
      </c>
      <c r="F178" s="21" t="s">
        <v>20136</v>
      </c>
    </row>
    <row r="179" customFormat="false" ht="15" hidden="false" customHeight="false" outlineLevel="0" collapsed="false">
      <c r="B179" s="19" t="s">
        <v>20156</v>
      </c>
      <c r="C179" s="20" t="n">
        <f aca="false">ROUND(5.2/FX,2)</f>
        <v>0.72</v>
      </c>
      <c r="D179" s="21" t="s">
        <v>20135</v>
      </c>
      <c r="E179" s="21" t="s">
        <v>6418</v>
      </c>
      <c r="F179" s="21" t="s">
        <v>20136</v>
      </c>
    </row>
    <row r="180" customFormat="false" ht="15" hidden="false" customHeight="false" outlineLevel="0" collapsed="false">
      <c r="B180" s="19" t="s">
        <v>20157</v>
      </c>
      <c r="C180" s="20" t="n">
        <f aca="false">ROUND(3.12/FX,2)</f>
        <v>0.43</v>
      </c>
      <c r="D180" s="21" t="s">
        <v>20135</v>
      </c>
      <c r="E180" s="21" t="s">
        <v>716</v>
      </c>
      <c r="F180" s="21" t="s">
        <v>20136</v>
      </c>
    </row>
    <row r="181" customFormat="false" ht="15" hidden="false" customHeight="false" outlineLevel="0" collapsed="false">
      <c r="B181" s="19" t="s">
        <v>20158</v>
      </c>
      <c r="C181" s="20" t="n">
        <f aca="false">ROUND(5.2/FX,2)</f>
        <v>0.72</v>
      </c>
      <c r="D181" s="21" t="s">
        <v>20135</v>
      </c>
      <c r="E181" s="21" t="s">
        <v>2246</v>
      </c>
      <c r="F181" s="21" t="s">
        <v>20136</v>
      </c>
    </row>
    <row r="182" customFormat="false" ht="15" hidden="false" customHeight="false" outlineLevel="0" collapsed="false">
      <c r="B182" s="19" t="s">
        <v>20159</v>
      </c>
      <c r="C182" s="20" t="n">
        <f aca="false">ROUND(5.2/FX,2)</f>
        <v>0.72</v>
      </c>
      <c r="D182" s="21" t="s">
        <v>20135</v>
      </c>
      <c r="E182" s="21" t="s">
        <v>845</v>
      </c>
      <c r="F182" s="21" t="s">
        <v>20136</v>
      </c>
    </row>
    <row r="183" customFormat="false" ht="15" hidden="false" customHeight="false" outlineLevel="0" collapsed="false">
      <c r="B183" s="19" t="s">
        <v>20160</v>
      </c>
      <c r="C183" s="20" t="n">
        <f aca="false">ROUND(4.55/FX,2)</f>
        <v>0.63</v>
      </c>
      <c r="D183" s="21" t="s">
        <v>20135</v>
      </c>
      <c r="E183" s="21" t="s">
        <v>20161</v>
      </c>
      <c r="F183" s="21" t="s">
        <v>20136</v>
      </c>
    </row>
    <row r="184" customFormat="false" ht="15" hidden="false" customHeight="false" outlineLevel="0" collapsed="false">
      <c r="B184" s="19" t="s">
        <v>20162</v>
      </c>
      <c r="C184" s="20" t="n">
        <f aca="false">ROUND(3.12/FX,2)</f>
        <v>0.43</v>
      </c>
      <c r="D184" s="21" t="s">
        <v>20135</v>
      </c>
      <c r="E184" s="21" t="s">
        <v>847</v>
      </c>
      <c r="F184" s="21" t="s">
        <v>20136</v>
      </c>
    </row>
    <row r="185" customFormat="false" ht="15" hidden="false" customHeight="false" outlineLevel="0" collapsed="false">
      <c r="B185" s="19" t="s">
        <v>20163</v>
      </c>
      <c r="C185" s="20" t="n">
        <f aca="false">ROUND(9.1/FX,2)</f>
        <v>1.26</v>
      </c>
      <c r="D185" s="21" t="s">
        <v>20135</v>
      </c>
      <c r="E185" s="21" t="s">
        <v>20019</v>
      </c>
      <c r="F185" s="21" t="s">
        <v>20164</v>
      </c>
    </row>
    <row r="186" customFormat="false" ht="15" hidden="false" customHeight="false" outlineLevel="0" collapsed="false">
      <c r="B186" s="19" t="s">
        <v>20165</v>
      </c>
      <c r="C186" s="20" t="n">
        <f aca="false">ROUND(7.8/FX,2)</f>
        <v>1.08</v>
      </c>
      <c r="D186" s="21" t="s">
        <v>20135</v>
      </c>
      <c r="E186" s="21" t="s">
        <v>20027</v>
      </c>
      <c r="F186" s="21" t="s">
        <v>20164</v>
      </c>
    </row>
    <row r="187" customFormat="false" ht="15" hidden="false" customHeight="false" outlineLevel="0" collapsed="false">
      <c r="B187" s="19" t="s">
        <v>20166</v>
      </c>
      <c r="C187" s="20" t="n">
        <f aca="false">ROUND(9.1/FX,2)</f>
        <v>1.26</v>
      </c>
      <c r="D187" s="21" t="s">
        <v>20135</v>
      </c>
      <c r="E187" s="21" t="s">
        <v>839</v>
      </c>
      <c r="F187" s="21" t="s">
        <v>20164</v>
      </c>
    </row>
    <row r="188" customFormat="false" ht="15" hidden="false" customHeight="false" outlineLevel="0" collapsed="false">
      <c r="B188" s="19" t="s">
        <v>20167</v>
      </c>
      <c r="C188" s="20" t="n">
        <f aca="false">ROUND(7.8/FX,2)</f>
        <v>1.08</v>
      </c>
      <c r="D188" s="21" t="s">
        <v>20135</v>
      </c>
      <c r="E188" s="21" t="s">
        <v>841</v>
      </c>
      <c r="F188" s="21" t="s">
        <v>20164</v>
      </c>
    </row>
    <row r="189" customFormat="false" ht="15" hidden="false" customHeight="false" outlineLevel="0" collapsed="false">
      <c r="B189" s="19" t="s">
        <v>20168</v>
      </c>
      <c r="C189" s="20" t="n">
        <f aca="false">ROUND(9.1/FX,2)</f>
        <v>1.26</v>
      </c>
      <c r="D189" s="21" t="s">
        <v>20135</v>
      </c>
      <c r="E189" s="21" t="s">
        <v>789</v>
      </c>
      <c r="F189" s="21" t="s">
        <v>20164</v>
      </c>
    </row>
    <row r="190" customFormat="false" ht="15" hidden="false" customHeight="false" outlineLevel="0" collapsed="false">
      <c r="B190" s="19" t="s">
        <v>20169</v>
      </c>
      <c r="C190" s="20" t="n">
        <f aca="false">ROUND(9.1/FX,2)</f>
        <v>1.26</v>
      </c>
      <c r="D190" s="21" t="s">
        <v>20135</v>
      </c>
      <c r="E190" s="21" t="s">
        <v>716</v>
      </c>
      <c r="F190" s="21" t="s">
        <v>20164</v>
      </c>
    </row>
    <row r="191" customFormat="false" ht="28.35" hidden="false" customHeight="false" outlineLevel="0" collapsed="false">
      <c r="B191" s="19" t="s">
        <v>20170</v>
      </c>
      <c r="C191" s="20" t="n">
        <f aca="false">ROUND(14.3/FX,2)</f>
        <v>1.99</v>
      </c>
      <c r="D191" s="21" t="s">
        <v>20135</v>
      </c>
      <c r="E191" s="21" t="s">
        <v>20027</v>
      </c>
      <c r="F191" s="21" t="s">
        <v>20171</v>
      </c>
    </row>
    <row r="192" customFormat="false" ht="28.35" hidden="false" customHeight="false" outlineLevel="0" collapsed="false">
      <c r="B192" s="19" t="s">
        <v>20172</v>
      </c>
      <c r="C192" s="20" t="n">
        <f aca="false">ROUND(14.3/FX,2)</f>
        <v>1.99</v>
      </c>
      <c r="D192" s="21" t="s">
        <v>20135</v>
      </c>
      <c r="E192" s="21" t="s">
        <v>839</v>
      </c>
      <c r="F192" s="21" t="s">
        <v>20171</v>
      </c>
    </row>
    <row r="193" customFormat="false" ht="28.35" hidden="false" customHeight="false" outlineLevel="0" collapsed="false">
      <c r="B193" s="19" t="s">
        <v>20173</v>
      </c>
      <c r="C193" s="20" t="n">
        <f aca="false">ROUND(11.7/FX,2)</f>
        <v>1.63</v>
      </c>
      <c r="D193" s="21" t="s">
        <v>20135</v>
      </c>
      <c r="E193" s="21" t="s">
        <v>841</v>
      </c>
      <c r="F193" s="21" t="s">
        <v>20171</v>
      </c>
    </row>
    <row r="194" customFormat="false" ht="28.35" hidden="false" customHeight="false" outlineLevel="0" collapsed="false">
      <c r="B194" s="19" t="s">
        <v>20174</v>
      </c>
      <c r="C194" s="20" t="n">
        <f aca="false">ROUND(11.7/FX,2)</f>
        <v>1.63</v>
      </c>
      <c r="D194" s="21" t="s">
        <v>20135</v>
      </c>
      <c r="E194" s="21" t="s">
        <v>789</v>
      </c>
      <c r="F194" s="21" t="s">
        <v>20171</v>
      </c>
    </row>
    <row r="195" customFormat="false" ht="28.35" hidden="false" customHeight="false" outlineLevel="0" collapsed="false">
      <c r="B195" s="19" t="s">
        <v>20175</v>
      </c>
      <c r="C195" s="20" t="n">
        <f aca="false">ROUND(11.7/FX,2)</f>
        <v>1.63</v>
      </c>
      <c r="D195" s="21" t="s">
        <v>20135</v>
      </c>
      <c r="E195" s="21" t="s">
        <v>716</v>
      </c>
      <c r="F195" s="21" t="s">
        <v>20171</v>
      </c>
    </row>
    <row r="196" customFormat="false" ht="15" hidden="false" customHeight="false" outlineLevel="0" collapsed="false">
      <c r="B196" s="19" t="s">
        <v>20176</v>
      </c>
      <c r="C196" s="20" t="n">
        <f aca="false">ROUND(4.55/FX,2)</f>
        <v>0.63</v>
      </c>
      <c r="D196" s="21" t="s">
        <v>20177</v>
      </c>
      <c r="E196" s="21" t="s">
        <v>19845</v>
      </c>
      <c r="F196" s="21" t="s">
        <v>20136</v>
      </c>
    </row>
    <row r="197" customFormat="false" ht="15" hidden="false" customHeight="false" outlineLevel="0" collapsed="false">
      <c r="B197" s="19" t="s">
        <v>20178</v>
      </c>
      <c r="C197" s="20" t="n">
        <f aca="false">ROUND(4.55/FX,2)</f>
        <v>0.63</v>
      </c>
      <c r="D197" s="21" t="s">
        <v>20177</v>
      </c>
      <c r="E197" s="21" t="s">
        <v>20179</v>
      </c>
      <c r="F197" s="21" t="s">
        <v>20136</v>
      </c>
    </row>
    <row r="198" customFormat="false" ht="15" hidden="false" customHeight="false" outlineLevel="0" collapsed="false">
      <c r="B198" s="19" t="s">
        <v>20180</v>
      </c>
      <c r="C198" s="20" t="n">
        <f aca="false">ROUND(3.9/FX,2)</f>
        <v>0.54</v>
      </c>
      <c r="D198" s="21" t="s">
        <v>20177</v>
      </c>
      <c r="E198" s="21" t="s">
        <v>20181</v>
      </c>
      <c r="F198" s="21" t="s">
        <v>20136</v>
      </c>
    </row>
    <row r="199" customFormat="false" ht="15" hidden="false" customHeight="false" outlineLevel="0" collapsed="false">
      <c r="B199" s="19" t="s">
        <v>20182</v>
      </c>
      <c r="C199" s="20" t="n">
        <f aca="false">ROUND(5.2/FX,2)</f>
        <v>0.72</v>
      </c>
      <c r="D199" s="21" t="s">
        <v>20177</v>
      </c>
      <c r="E199" s="21" t="s">
        <v>6359</v>
      </c>
      <c r="F199" s="21" t="s">
        <v>20136</v>
      </c>
    </row>
    <row r="200" customFormat="false" ht="15" hidden="false" customHeight="false" outlineLevel="0" collapsed="false">
      <c r="B200" s="19" t="s">
        <v>20183</v>
      </c>
      <c r="C200" s="20" t="n">
        <f aca="false">ROUND(3.9/FX,2)</f>
        <v>0.54</v>
      </c>
      <c r="D200" s="21" t="s">
        <v>20177</v>
      </c>
      <c r="E200" s="21" t="s">
        <v>707</v>
      </c>
      <c r="F200" s="21" t="s">
        <v>20136</v>
      </c>
    </row>
    <row r="201" customFormat="false" ht="15" hidden="false" customHeight="false" outlineLevel="0" collapsed="false">
      <c r="B201" s="19" t="s">
        <v>20184</v>
      </c>
      <c r="C201" s="20" t="n">
        <f aca="false">ROUND(4.55/FX,2)</f>
        <v>0.63</v>
      </c>
      <c r="D201" s="21" t="s">
        <v>20177</v>
      </c>
      <c r="E201" s="21" t="s">
        <v>837</v>
      </c>
      <c r="F201" s="21" t="s">
        <v>20136</v>
      </c>
    </row>
    <row r="202" customFormat="false" ht="15" hidden="false" customHeight="false" outlineLevel="0" collapsed="false">
      <c r="B202" s="19" t="s">
        <v>20185</v>
      </c>
      <c r="C202" s="20" t="n">
        <f aca="false">ROUND(5.85/FX,2)</f>
        <v>0.81</v>
      </c>
      <c r="D202" s="21" t="s">
        <v>20177</v>
      </c>
      <c r="E202" s="21" t="s">
        <v>6383</v>
      </c>
      <c r="F202" s="21" t="s">
        <v>20136</v>
      </c>
    </row>
    <row r="203" customFormat="false" ht="15" hidden="false" customHeight="false" outlineLevel="0" collapsed="false">
      <c r="B203" s="19" t="s">
        <v>20186</v>
      </c>
      <c r="C203" s="20" t="n">
        <f aca="false">ROUND(3.9/FX,2)</f>
        <v>0.54</v>
      </c>
      <c r="D203" s="21" t="s">
        <v>20177</v>
      </c>
      <c r="E203" s="21" t="s">
        <v>839</v>
      </c>
      <c r="F203" s="21" t="s">
        <v>20136</v>
      </c>
    </row>
    <row r="204" customFormat="false" ht="15" hidden="false" customHeight="false" outlineLevel="0" collapsed="false">
      <c r="B204" s="19" t="s">
        <v>20187</v>
      </c>
      <c r="C204" s="20" t="n">
        <f aca="false">ROUND(4.29/FX,2)</f>
        <v>0.6</v>
      </c>
      <c r="D204" s="21" t="s">
        <v>20177</v>
      </c>
      <c r="E204" s="21" t="s">
        <v>6396</v>
      </c>
      <c r="F204" s="21" t="s">
        <v>20136</v>
      </c>
    </row>
    <row r="205" customFormat="false" ht="15" hidden="false" customHeight="false" outlineLevel="0" collapsed="false">
      <c r="B205" s="19" t="s">
        <v>20188</v>
      </c>
      <c r="C205" s="20" t="n">
        <f aca="false">ROUND(3.12/FX,2)</f>
        <v>0.43</v>
      </c>
      <c r="D205" s="21" t="s">
        <v>20177</v>
      </c>
      <c r="E205" s="21" t="s">
        <v>841</v>
      </c>
      <c r="F205" s="21" t="s">
        <v>20136</v>
      </c>
    </row>
    <row r="206" customFormat="false" ht="15" hidden="false" customHeight="false" outlineLevel="0" collapsed="false">
      <c r="B206" s="19" t="s">
        <v>20189</v>
      </c>
      <c r="C206" s="20" t="n">
        <f aca="false">ROUND(5.2/FX,2)</f>
        <v>0.72</v>
      </c>
      <c r="D206" s="21" t="s">
        <v>20177</v>
      </c>
      <c r="E206" s="21" t="s">
        <v>6410</v>
      </c>
      <c r="F206" s="21" t="s">
        <v>20136</v>
      </c>
    </row>
    <row r="207" customFormat="false" ht="15" hidden="false" customHeight="false" outlineLevel="0" collapsed="false">
      <c r="B207" s="19" t="s">
        <v>20190</v>
      </c>
      <c r="C207" s="20" t="n">
        <f aca="false">ROUND(3.12/FX,2)</f>
        <v>0.43</v>
      </c>
      <c r="D207" s="21" t="s">
        <v>20177</v>
      </c>
      <c r="E207" s="21" t="s">
        <v>789</v>
      </c>
      <c r="F207" s="21" t="s">
        <v>20136</v>
      </c>
    </row>
    <row r="208" customFormat="false" ht="15" hidden="false" customHeight="false" outlineLevel="0" collapsed="false">
      <c r="B208" s="19" t="s">
        <v>20191</v>
      </c>
      <c r="C208" s="20" t="n">
        <f aca="false">ROUND(5.2/FX,2)</f>
        <v>0.72</v>
      </c>
      <c r="D208" s="21" t="s">
        <v>20177</v>
      </c>
      <c r="E208" s="21" t="s">
        <v>6418</v>
      </c>
      <c r="F208" s="21" t="s">
        <v>20136</v>
      </c>
    </row>
    <row r="209" customFormat="false" ht="15" hidden="false" customHeight="false" outlineLevel="0" collapsed="false">
      <c r="B209" s="19" t="s">
        <v>20192</v>
      </c>
      <c r="C209" s="20" t="n">
        <f aca="false">ROUND(3.12/FX,2)</f>
        <v>0.43</v>
      </c>
      <c r="D209" s="21" t="s">
        <v>20177</v>
      </c>
      <c r="E209" s="21" t="s">
        <v>716</v>
      </c>
      <c r="F209" s="21" t="s">
        <v>20136</v>
      </c>
    </row>
    <row r="210" customFormat="false" ht="15" hidden="false" customHeight="false" outlineLevel="0" collapsed="false">
      <c r="B210" s="19" t="s">
        <v>20193</v>
      </c>
      <c r="C210" s="20" t="n">
        <f aca="false">ROUND(5.2/FX,2)</f>
        <v>0.72</v>
      </c>
      <c r="D210" s="21" t="s">
        <v>20177</v>
      </c>
      <c r="E210" s="21" t="s">
        <v>2246</v>
      </c>
      <c r="F210" s="21" t="s">
        <v>20136</v>
      </c>
    </row>
    <row r="211" customFormat="false" ht="15" hidden="false" customHeight="false" outlineLevel="0" collapsed="false">
      <c r="B211" s="19" t="s">
        <v>20194</v>
      </c>
      <c r="C211" s="20" t="n">
        <f aca="false">ROUND(4.29/FX,2)</f>
        <v>0.6</v>
      </c>
      <c r="D211" s="21" t="s">
        <v>20177</v>
      </c>
      <c r="E211" s="21" t="s">
        <v>845</v>
      </c>
      <c r="F211" s="21" t="s">
        <v>20136</v>
      </c>
    </row>
    <row r="212" customFormat="false" ht="15" hidden="false" customHeight="false" outlineLevel="0" collapsed="false">
      <c r="B212" s="19" t="s">
        <v>20195</v>
      </c>
      <c r="C212" s="20" t="n">
        <f aca="false">ROUND(4.29/FX,2)</f>
        <v>0.6</v>
      </c>
      <c r="D212" s="21" t="s">
        <v>20177</v>
      </c>
      <c r="E212" s="21" t="s">
        <v>20196</v>
      </c>
      <c r="F212" s="21" t="s">
        <v>20136</v>
      </c>
    </row>
    <row r="213" customFormat="false" ht="15" hidden="false" customHeight="false" outlineLevel="0" collapsed="false">
      <c r="B213" s="19" t="s">
        <v>20197</v>
      </c>
      <c r="C213" s="20" t="n">
        <f aca="false">ROUND(3.9/FX,2)</f>
        <v>0.54</v>
      </c>
      <c r="D213" s="21" t="s">
        <v>20177</v>
      </c>
      <c r="E213" s="21" t="s">
        <v>847</v>
      </c>
      <c r="F213" s="21" t="s">
        <v>20136</v>
      </c>
    </row>
    <row r="214" customFormat="false" ht="15" hidden="false" customHeight="false" outlineLevel="0" collapsed="false">
      <c r="B214" s="19" t="s">
        <v>20198</v>
      </c>
      <c r="C214" s="20" t="n">
        <f aca="false">ROUND(4.29/FX,2)</f>
        <v>0.6</v>
      </c>
      <c r="D214" s="21" t="s">
        <v>20177</v>
      </c>
      <c r="E214" s="21" t="s">
        <v>20199</v>
      </c>
      <c r="F214" s="21" t="s">
        <v>20136</v>
      </c>
    </row>
    <row r="215" customFormat="false" ht="15" hidden="false" customHeight="false" outlineLevel="0" collapsed="false">
      <c r="B215" s="19" t="s">
        <v>20200</v>
      </c>
      <c r="C215" s="20" t="n">
        <f aca="false">ROUND(3.9/FX,2)</f>
        <v>0.54</v>
      </c>
      <c r="D215" s="21" t="s">
        <v>20177</v>
      </c>
      <c r="E215" s="21" t="s">
        <v>719</v>
      </c>
      <c r="F215" s="21" t="s">
        <v>20136</v>
      </c>
    </row>
    <row r="216" customFormat="false" ht="15" hidden="false" customHeight="false" outlineLevel="0" collapsed="false">
      <c r="B216" s="19" t="s">
        <v>20201</v>
      </c>
      <c r="C216" s="20" t="n">
        <f aca="false">ROUND(5.2/FX,2)</f>
        <v>0.72</v>
      </c>
      <c r="D216" s="21" t="s">
        <v>20177</v>
      </c>
      <c r="E216" s="21" t="s">
        <v>19305</v>
      </c>
      <c r="F216" s="21" t="s">
        <v>20136</v>
      </c>
    </row>
    <row r="217" customFormat="false" ht="15" hidden="false" customHeight="false" outlineLevel="0" collapsed="false">
      <c r="B217" s="19" t="s">
        <v>20202</v>
      </c>
      <c r="C217" s="20" t="n">
        <f aca="false">ROUND(9.1/FX,2)</f>
        <v>1.26</v>
      </c>
      <c r="D217" s="21" t="s">
        <v>20177</v>
      </c>
      <c r="E217" s="21" t="s">
        <v>20179</v>
      </c>
      <c r="F217" s="21" t="s">
        <v>20164</v>
      </c>
    </row>
    <row r="218" customFormat="false" ht="15" hidden="false" customHeight="false" outlineLevel="0" collapsed="false">
      <c r="B218" s="19" t="s">
        <v>20203</v>
      </c>
      <c r="C218" s="20" t="n">
        <f aca="false">ROUND(9.1/FX,2)</f>
        <v>1.26</v>
      </c>
      <c r="D218" s="21" t="s">
        <v>20177</v>
      </c>
      <c r="E218" s="21" t="s">
        <v>20181</v>
      </c>
      <c r="F218" s="21" t="s">
        <v>20164</v>
      </c>
    </row>
    <row r="219" customFormat="false" ht="15" hidden="false" customHeight="false" outlineLevel="0" collapsed="false">
      <c r="B219" s="19" t="s">
        <v>20204</v>
      </c>
      <c r="C219" s="20" t="n">
        <f aca="false">ROUND(9.1/FX,2)</f>
        <v>1.26</v>
      </c>
      <c r="D219" s="21" t="s">
        <v>20177</v>
      </c>
      <c r="E219" s="21" t="s">
        <v>716</v>
      </c>
      <c r="F219" s="21" t="s">
        <v>20164</v>
      </c>
    </row>
    <row r="220" customFormat="false" ht="15" hidden="false" customHeight="false" outlineLevel="0" collapsed="false">
      <c r="B220" s="19" t="s">
        <v>20205</v>
      </c>
      <c r="C220" s="20" t="n">
        <f aca="false">ROUND(9.1/FX,2)</f>
        <v>1.26</v>
      </c>
      <c r="D220" s="21" t="s">
        <v>20177</v>
      </c>
      <c r="E220" s="21" t="s">
        <v>847</v>
      </c>
      <c r="F220" s="21" t="s">
        <v>20164</v>
      </c>
    </row>
    <row r="221" customFormat="false" ht="15" hidden="false" customHeight="false" outlineLevel="0" collapsed="false">
      <c r="B221" s="19" t="s">
        <v>20206</v>
      </c>
      <c r="C221" s="20" t="n">
        <f aca="false">ROUND(4.55/FX,2)</f>
        <v>0.63</v>
      </c>
      <c r="D221" s="21" t="s">
        <v>20207</v>
      </c>
      <c r="E221" s="21" t="s">
        <v>19845</v>
      </c>
      <c r="F221" s="21" t="s">
        <v>20136</v>
      </c>
    </row>
    <row r="222" customFormat="false" ht="15" hidden="false" customHeight="false" outlineLevel="0" collapsed="false">
      <c r="B222" s="19" t="s">
        <v>20208</v>
      </c>
      <c r="C222" s="20" t="n">
        <f aca="false">ROUND(4.55/FX,2)</f>
        <v>0.63</v>
      </c>
      <c r="D222" s="21" t="s">
        <v>20207</v>
      </c>
      <c r="E222" s="21" t="s">
        <v>20139</v>
      </c>
      <c r="F222" s="21" t="s">
        <v>20136</v>
      </c>
    </row>
    <row r="223" customFormat="false" ht="15" hidden="false" customHeight="false" outlineLevel="0" collapsed="false">
      <c r="B223" s="19" t="s">
        <v>20209</v>
      </c>
      <c r="C223" s="20" t="n">
        <f aca="false">ROUND(3.12/FX,2)</f>
        <v>0.43</v>
      </c>
      <c r="D223" s="21" t="s">
        <v>20207</v>
      </c>
      <c r="E223" s="21" t="s">
        <v>20210</v>
      </c>
      <c r="F223" s="21" t="s">
        <v>20136</v>
      </c>
    </row>
    <row r="224" customFormat="false" ht="15" hidden="false" customHeight="false" outlineLevel="0" collapsed="false">
      <c r="B224" s="19" t="s">
        <v>20211</v>
      </c>
      <c r="C224" s="20" t="n">
        <f aca="false">ROUND(3.12/FX,2)</f>
        <v>0.43</v>
      </c>
      <c r="D224" s="21" t="s">
        <v>20207</v>
      </c>
      <c r="E224" s="21" t="s">
        <v>20179</v>
      </c>
      <c r="F224" s="21" t="s">
        <v>20136</v>
      </c>
    </row>
    <row r="225" customFormat="false" ht="15" hidden="false" customHeight="false" outlineLevel="0" collapsed="false">
      <c r="B225" s="19" t="s">
        <v>20212</v>
      </c>
      <c r="C225" s="20" t="n">
        <f aca="false">ROUND(3.12/FX,2)</f>
        <v>0.43</v>
      </c>
      <c r="D225" s="21" t="s">
        <v>20207</v>
      </c>
      <c r="E225" s="21" t="s">
        <v>20181</v>
      </c>
      <c r="F225" s="21" t="s">
        <v>20136</v>
      </c>
    </row>
    <row r="226" customFormat="false" ht="15" hidden="false" customHeight="false" outlineLevel="0" collapsed="false">
      <c r="B226" s="19" t="s">
        <v>20213</v>
      </c>
      <c r="C226" s="20" t="n">
        <f aca="false">ROUND(3.12/FX,2)</f>
        <v>0.43</v>
      </c>
      <c r="D226" s="21" t="s">
        <v>20207</v>
      </c>
      <c r="E226" s="21" t="s">
        <v>6359</v>
      </c>
      <c r="F226" s="21" t="s">
        <v>20136</v>
      </c>
    </row>
    <row r="227" customFormat="false" ht="15" hidden="false" customHeight="false" outlineLevel="0" collapsed="false">
      <c r="B227" s="19" t="s">
        <v>20214</v>
      </c>
      <c r="C227" s="20" t="n">
        <f aca="false">ROUND(4.55/FX,2)</f>
        <v>0.63</v>
      </c>
      <c r="D227" s="21" t="s">
        <v>20207</v>
      </c>
      <c r="E227" s="21" t="s">
        <v>707</v>
      </c>
      <c r="F227" s="21" t="s">
        <v>20136</v>
      </c>
    </row>
    <row r="228" customFormat="false" ht="15" hidden="false" customHeight="false" outlineLevel="0" collapsed="false">
      <c r="B228" s="19" t="s">
        <v>20215</v>
      </c>
      <c r="C228" s="20" t="n">
        <f aca="false">ROUND(4.55/FX,2)</f>
        <v>0.63</v>
      </c>
      <c r="D228" s="21" t="s">
        <v>20207</v>
      </c>
      <c r="E228" s="21" t="s">
        <v>20216</v>
      </c>
      <c r="F228" s="21" t="s">
        <v>20136</v>
      </c>
    </row>
    <row r="229" customFormat="false" ht="15" hidden="false" customHeight="false" outlineLevel="0" collapsed="false">
      <c r="B229" s="19" t="s">
        <v>20217</v>
      </c>
      <c r="C229" s="20" t="n">
        <f aca="false">ROUND(4.55/FX,2)</f>
        <v>0.63</v>
      </c>
      <c r="D229" s="21" t="s">
        <v>20207</v>
      </c>
      <c r="E229" s="21" t="s">
        <v>5091</v>
      </c>
      <c r="F229" s="21" t="s">
        <v>20136</v>
      </c>
    </row>
    <row r="230" customFormat="false" ht="15" hidden="false" customHeight="false" outlineLevel="0" collapsed="false">
      <c r="B230" s="19" t="s">
        <v>20218</v>
      </c>
      <c r="C230" s="20" t="n">
        <f aca="false">ROUND(4.55/FX,2)</f>
        <v>0.63</v>
      </c>
      <c r="D230" s="21" t="s">
        <v>20207</v>
      </c>
      <c r="E230" s="21" t="s">
        <v>20219</v>
      </c>
      <c r="F230" s="21" t="s">
        <v>20136</v>
      </c>
    </row>
    <row r="231" customFormat="false" ht="15" hidden="false" customHeight="false" outlineLevel="0" collapsed="false">
      <c r="B231" s="19" t="s">
        <v>20220</v>
      </c>
      <c r="C231" s="20" t="n">
        <f aca="false">ROUND(4.55/FX,2)</f>
        <v>0.63</v>
      </c>
      <c r="D231" s="21" t="s">
        <v>20207</v>
      </c>
      <c r="E231" s="21" t="s">
        <v>20221</v>
      </c>
      <c r="F231" s="21" t="s">
        <v>20136</v>
      </c>
    </row>
    <row r="232" customFormat="false" ht="15" hidden="false" customHeight="false" outlineLevel="0" collapsed="false">
      <c r="B232" s="19" t="s">
        <v>20222</v>
      </c>
      <c r="C232" s="20" t="n">
        <f aca="false">ROUND(3.9/FX,2)</f>
        <v>0.54</v>
      </c>
      <c r="D232" s="21" t="s">
        <v>20207</v>
      </c>
      <c r="E232" s="21" t="s">
        <v>761</v>
      </c>
      <c r="F232" s="21" t="s">
        <v>20136</v>
      </c>
    </row>
    <row r="233" customFormat="false" ht="15" hidden="false" customHeight="false" outlineLevel="0" collapsed="false">
      <c r="B233" s="19" t="s">
        <v>20223</v>
      </c>
      <c r="C233" s="20" t="n">
        <f aca="false">ROUND(4.55/FX,2)</f>
        <v>0.63</v>
      </c>
      <c r="D233" s="21" t="s">
        <v>20207</v>
      </c>
      <c r="E233" s="21" t="s">
        <v>20224</v>
      </c>
      <c r="F233" s="21" t="s">
        <v>20136</v>
      </c>
    </row>
    <row r="234" customFormat="false" ht="15" hidden="false" customHeight="false" outlineLevel="0" collapsed="false">
      <c r="B234" s="19" t="s">
        <v>20225</v>
      </c>
      <c r="C234" s="20" t="n">
        <f aca="false">ROUND(4.55/FX,2)</f>
        <v>0.63</v>
      </c>
      <c r="D234" s="21" t="s">
        <v>20207</v>
      </c>
      <c r="E234" s="21" t="s">
        <v>4761</v>
      </c>
      <c r="F234" s="21" t="s">
        <v>20136</v>
      </c>
    </row>
    <row r="235" customFormat="false" ht="15" hidden="false" customHeight="false" outlineLevel="0" collapsed="false">
      <c r="B235" s="19" t="s">
        <v>20226</v>
      </c>
      <c r="C235" s="20" t="n">
        <f aca="false">ROUND(4.55/FX,2)</f>
        <v>0.63</v>
      </c>
      <c r="D235" s="21" t="s">
        <v>20207</v>
      </c>
      <c r="E235" s="21" t="s">
        <v>20227</v>
      </c>
      <c r="F235" s="21" t="s">
        <v>20136</v>
      </c>
    </row>
    <row r="236" customFormat="false" ht="15" hidden="false" customHeight="false" outlineLevel="0" collapsed="false">
      <c r="B236" s="19" t="s">
        <v>20228</v>
      </c>
      <c r="C236" s="20" t="n">
        <f aca="false">ROUND(4.55/FX,2)</f>
        <v>0.63</v>
      </c>
      <c r="D236" s="21" t="s">
        <v>20207</v>
      </c>
      <c r="E236" s="21" t="s">
        <v>837</v>
      </c>
      <c r="F236" s="21" t="s">
        <v>20136</v>
      </c>
    </row>
    <row r="237" customFormat="false" ht="15" hidden="false" customHeight="false" outlineLevel="0" collapsed="false">
      <c r="B237" s="19" t="s">
        <v>20229</v>
      </c>
      <c r="C237" s="20" t="n">
        <f aca="false">ROUND(4.55/FX,2)</f>
        <v>0.63</v>
      </c>
      <c r="D237" s="21" t="s">
        <v>20207</v>
      </c>
      <c r="E237" s="21" t="s">
        <v>6383</v>
      </c>
      <c r="F237" s="21" t="s">
        <v>20136</v>
      </c>
    </row>
    <row r="238" customFormat="false" ht="15" hidden="false" customHeight="false" outlineLevel="0" collapsed="false">
      <c r="B238" s="19" t="s">
        <v>20230</v>
      </c>
      <c r="C238" s="20" t="n">
        <f aca="false">ROUND(3.12/FX,2)</f>
        <v>0.43</v>
      </c>
      <c r="D238" s="21" t="s">
        <v>20207</v>
      </c>
      <c r="E238" s="21" t="s">
        <v>839</v>
      </c>
      <c r="F238" s="21" t="s">
        <v>20136</v>
      </c>
    </row>
    <row r="239" customFormat="false" ht="15" hidden="false" customHeight="false" outlineLevel="0" collapsed="false">
      <c r="B239" s="19" t="s">
        <v>20231</v>
      </c>
      <c r="C239" s="20" t="n">
        <f aca="false">ROUND(4.55/FX,2)</f>
        <v>0.63</v>
      </c>
      <c r="D239" s="21" t="s">
        <v>20207</v>
      </c>
      <c r="E239" s="21" t="s">
        <v>20147</v>
      </c>
      <c r="F239" s="21" t="s">
        <v>20136</v>
      </c>
    </row>
    <row r="240" customFormat="false" ht="15" hidden="false" customHeight="false" outlineLevel="0" collapsed="false">
      <c r="B240" s="19" t="s">
        <v>20232</v>
      </c>
      <c r="C240" s="20" t="n">
        <f aca="false">ROUND(4.55/FX,2)</f>
        <v>0.63</v>
      </c>
      <c r="D240" s="21" t="s">
        <v>20207</v>
      </c>
      <c r="E240" s="21" t="s">
        <v>20149</v>
      </c>
      <c r="F240" s="21" t="s">
        <v>20136</v>
      </c>
    </row>
    <row r="241" customFormat="false" ht="15" hidden="false" customHeight="false" outlineLevel="0" collapsed="false">
      <c r="B241" s="19" t="s">
        <v>20233</v>
      </c>
      <c r="C241" s="20" t="n">
        <f aca="false">ROUND(4.55/FX,2)</f>
        <v>0.63</v>
      </c>
      <c r="D241" s="21" t="s">
        <v>20207</v>
      </c>
      <c r="E241" s="21" t="s">
        <v>19980</v>
      </c>
      <c r="F241" s="21" t="s">
        <v>20136</v>
      </c>
    </row>
    <row r="242" customFormat="false" ht="15" hidden="false" customHeight="false" outlineLevel="0" collapsed="false">
      <c r="B242" s="19" t="s">
        <v>20234</v>
      </c>
      <c r="C242" s="20" t="n">
        <f aca="false">ROUND(4.55/FX,2)</f>
        <v>0.63</v>
      </c>
      <c r="D242" s="21" t="s">
        <v>20207</v>
      </c>
      <c r="E242" s="21" t="s">
        <v>6396</v>
      </c>
      <c r="F242" s="21" t="s">
        <v>20136</v>
      </c>
    </row>
    <row r="243" customFormat="false" ht="15" hidden="false" customHeight="false" outlineLevel="0" collapsed="false">
      <c r="B243" s="19" t="s">
        <v>20235</v>
      </c>
      <c r="C243" s="20" t="n">
        <f aca="false">ROUND(3.12/FX,2)</f>
        <v>0.43</v>
      </c>
      <c r="D243" s="21" t="s">
        <v>20207</v>
      </c>
      <c r="E243" s="21" t="s">
        <v>841</v>
      </c>
      <c r="F243" s="21" t="s">
        <v>20136</v>
      </c>
    </row>
    <row r="244" customFormat="false" ht="15" hidden="false" customHeight="false" outlineLevel="0" collapsed="false">
      <c r="B244" s="19" t="s">
        <v>20236</v>
      </c>
      <c r="C244" s="20" t="n">
        <f aca="false">ROUND(4.55/FX,2)</f>
        <v>0.63</v>
      </c>
      <c r="D244" s="21" t="s">
        <v>20207</v>
      </c>
      <c r="E244" s="21" t="s">
        <v>6410</v>
      </c>
      <c r="F244" s="21" t="s">
        <v>20136</v>
      </c>
    </row>
    <row r="245" customFormat="false" ht="15" hidden="false" customHeight="false" outlineLevel="0" collapsed="false">
      <c r="B245" s="19" t="s">
        <v>20237</v>
      </c>
      <c r="C245" s="20" t="n">
        <f aca="false">ROUND(4.55/FX,2)</f>
        <v>0.63</v>
      </c>
      <c r="D245" s="21" t="s">
        <v>20207</v>
      </c>
      <c r="E245" s="21" t="s">
        <v>789</v>
      </c>
      <c r="F245" s="21" t="s">
        <v>20136</v>
      </c>
    </row>
    <row r="246" customFormat="false" ht="15" hidden="false" customHeight="false" outlineLevel="0" collapsed="false">
      <c r="B246" s="19" t="s">
        <v>20238</v>
      </c>
      <c r="C246" s="20" t="n">
        <f aca="false">ROUND(4.55/FX,2)</f>
        <v>0.63</v>
      </c>
      <c r="D246" s="21" t="s">
        <v>20207</v>
      </c>
      <c r="E246" s="21" t="s">
        <v>20239</v>
      </c>
      <c r="F246" s="21" t="s">
        <v>20136</v>
      </c>
    </row>
    <row r="247" customFormat="false" ht="15" hidden="false" customHeight="false" outlineLevel="0" collapsed="false">
      <c r="B247" s="19" t="s">
        <v>20240</v>
      </c>
      <c r="C247" s="20" t="n">
        <f aca="false">ROUND(4.55/FX,2)</f>
        <v>0.63</v>
      </c>
      <c r="D247" s="21" t="s">
        <v>20207</v>
      </c>
      <c r="E247" s="21" t="s">
        <v>20155</v>
      </c>
      <c r="F247" s="21" t="s">
        <v>20136</v>
      </c>
    </row>
    <row r="248" customFormat="false" ht="15" hidden="false" customHeight="false" outlineLevel="0" collapsed="false">
      <c r="B248" s="19" t="s">
        <v>20241</v>
      </c>
      <c r="C248" s="20" t="n">
        <f aca="false">ROUND(4.55/FX,2)</f>
        <v>0.63</v>
      </c>
      <c r="D248" s="21" t="s">
        <v>20207</v>
      </c>
      <c r="E248" s="21" t="s">
        <v>6418</v>
      </c>
      <c r="F248" s="21" t="s">
        <v>20136</v>
      </c>
    </row>
    <row r="249" customFormat="false" ht="15" hidden="false" customHeight="false" outlineLevel="0" collapsed="false">
      <c r="B249" s="19" t="s">
        <v>20242</v>
      </c>
      <c r="C249" s="20" t="n">
        <f aca="false">ROUND(4.55/FX,2)</f>
        <v>0.63</v>
      </c>
      <c r="D249" s="21" t="s">
        <v>20207</v>
      </c>
      <c r="E249" s="21" t="s">
        <v>716</v>
      </c>
      <c r="F249" s="21" t="s">
        <v>20136</v>
      </c>
    </row>
    <row r="250" customFormat="false" ht="15" hidden="false" customHeight="false" outlineLevel="0" collapsed="false">
      <c r="B250" s="19" t="s">
        <v>20243</v>
      </c>
      <c r="C250" s="20" t="n">
        <f aca="false">ROUND(4.55/FX,2)</f>
        <v>0.63</v>
      </c>
      <c r="D250" s="21" t="s">
        <v>20207</v>
      </c>
      <c r="E250" s="21" t="s">
        <v>2246</v>
      </c>
      <c r="F250" s="21" t="s">
        <v>20136</v>
      </c>
    </row>
    <row r="251" customFormat="false" ht="15" hidden="false" customHeight="false" outlineLevel="0" collapsed="false">
      <c r="B251" s="19" t="s">
        <v>20244</v>
      </c>
      <c r="C251" s="20" t="n">
        <f aca="false">ROUND(3.12/FX,2)</f>
        <v>0.43</v>
      </c>
      <c r="D251" s="21" t="s">
        <v>20207</v>
      </c>
      <c r="E251" s="21" t="s">
        <v>845</v>
      </c>
      <c r="F251" s="21" t="s">
        <v>20136</v>
      </c>
    </row>
    <row r="252" customFormat="false" ht="15" hidden="false" customHeight="false" outlineLevel="0" collapsed="false">
      <c r="B252" s="19" t="s">
        <v>20245</v>
      </c>
      <c r="C252" s="20" t="n">
        <f aca="false">ROUND(4.55/FX,2)</f>
        <v>0.63</v>
      </c>
      <c r="D252" s="21" t="s">
        <v>20207</v>
      </c>
      <c r="E252" s="21" t="s">
        <v>20246</v>
      </c>
      <c r="F252" s="21" t="s">
        <v>20136</v>
      </c>
    </row>
    <row r="253" customFormat="false" ht="15" hidden="false" customHeight="false" outlineLevel="0" collapsed="false">
      <c r="B253" s="19" t="s">
        <v>20247</v>
      </c>
      <c r="C253" s="20" t="n">
        <f aca="false">ROUND(4.55/FX,2)</f>
        <v>0.63</v>
      </c>
      <c r="D253" s="21" t="s">
        <v>20207</v>
      </c>
      <c r="E253" s="21" t="s">
        <v>20161</v>
      </c>
      <c r="F253" s="21" t="s">
        <v>20136</v>
      </c>
    </row>
    <row r="254" customFormat="false" ht="15" hidden="false" customHeight="false" outlineLevel="0" collapsed="false">
      <c r="B254" s="19" t="s">
        <v>20248</v>
      </c>
      <c r="C254" s="20" t="n">
        <f aca="false">ROUND(4.55/FX,2)</f>
        <v>0.63</v>
      </c>
      <c r="D254" s="21" t="s">
        <v>20207</v>
      </c>
      <c r="E254" s="21" t="s">
        <v>20196</v>
      </c>
      <c r="F254" s="21" t="s">
        <v>20136</v>
      </c>
    </row>
    <row r="255" customFormat="false" ht="15" hidden="false" customHeight="false" outlineLevel="0" collapsed="false">
      <c r="B255" s="19" t="s">
        <v>20249</v>
      </c>
      <c r="C255" s="20" t="n">
        <f aca="false">ROUND(4.55/FX,2)</f>
        <v>0.63</v>
      </c>
      <c r="D255" s="21" t="s">
        <v>20207</v>
      </c>
      <c r="E255" s="21" t="s">
        <v>847</v>
      </c>
      <c r="F255" s="21" t="s">
        <v>20136</v>
      </c>
    </row>
    <row r="256" customFormat="false" ht="15" hidden="false" customHeight="false" outlineLevel="0" collapsed="false">
      <c r="B256" s="19" t="s">
        <v>20250</v>
      </c>
      <c r="C256" s="20" t="n">
        <f aca="false">ROUND(4.55/FX,2)</f>
        <v>0.63</v>
      </c>
      <c r="D256" s="21" t="s">
        <v>20207</v>
      </c>
      <c r="E256" s="21" t="s">
        <v>20199</v>
      </c>
      <c r="F256" s="21" t="s">
        <v>20136</v>
      </c>
    </row>
    <row r="257" customFormat="false" ht="15" hidden="false" customHeight="false" outlineLevel="0" collapsed="false">
      <c r="B257" s="19" t="s">
        <v>20251</v>
      </c>
      <c r="C257" s="20" t="n">
        <f aca="false">ROUND(4.55/FX,2)</f>
        <v>0.63</v>
      </c>
      <c r="D257" s="21" t="s">
        <v>20207</v>
      </c>
      <c r="E257" s="21" t="s">
        <v>719</v>
      </c>
      <c r="F257" s="21" t="s">
        <v>20136</v>
      </c>
    </row>
    <row r="258" customFormat="false" ht="15" hidden="false" customHeight="false" outlineLevel="0" collapsed="false">
      <c r="B258" s="19" t="s">
        <v>20252</v>
      </c>
      <c r="C258" s="20" t="n">
        <f aca="false">ROUND(4.55/FX,2)</f>
        <v>0.63</v>
      </c>
      <c r="D258" s="21" t="s">
        <v>20207</v>
      </c>
      <c r="E258" s="21" t="s">
        <v>20253</v>
      </c>
      <c r="F258" s="21" t="s">
        <v>20136</v>
      </c>
    </row>
    <row r="259" customFormat="false" ht="15" hidden="false" customHeight="false" outlineLevel="0" collapsed="false">
      <c r="B259" s="19" t="s">
        <v>20254</v>
      </c>
      <c r="C259" s="20" t="n">
        <f aca="false">ROUND(4.55/FX,2)</f>
        <v>0.63</v>
      </c>
      <c r="D259" s="21" t="s">
        <v>20207</v>
      </c>
      <c r="E259" s="21" t="s">
        <v>19305</v>
      </c>
      <c r="F259" s="21" t="s">
        <v>20136</v>
      </c>
    </row>
    <row r="260" customFormat="false" ht="15" hidden="false" customHeight="false" outlineLevel="0" collapsed="false">
      <c r="B260" s="19" t="s">
        <v>20255</v>
      </c>
      <c r="C260" s="20" t="n">
        <f aca="false">ROUND(14.3/FX,2)</f>
        <v>1.99</v>
      </c>
      <c r="D260" s="21" t="s">
        <v>20207</v>
      </c>
      <c r="E260" s="21" t="s">
        <v>19845</v>
      </c>
      <c r="F260" s="21" t="s">
        <v>20164</v>
      </c>
    </row>
    <row r="261" customFormat="false" ht="15" hidden="false" customHeight="false" outlineLevel="0" collapsed="false">
      <c r="B261" s="19" t="s">
        <v>20256</v>
      </c>
      <c r="C261" s="20" t="n">
        <f aca="false">ROUND(9.1/FX,2)</f>
        <v>1.26</v>
      </c>
      <c r="D261" s="21" t="s">
        <v>20207</v>
      </c>
      <c r="E261" s="21" t="s">
        <v>19977</v>
      </c>
      <c r="F261" s="21" t="s">
        <v>20164</v>
      </c>
    </row>
    <row r="262" customFormat="false" ht="15" hidden="false" customHeight="false" outlineLevel="0" collapsed="false">
      <c r="B262" s="19" t="s">
        <v>20257</v>
      </c>
      <c r="C262" s="20" t="n">
        <f aca="false">ROUND(9.1/FX,2)</f>
        <v>1.26</v>
      </c>
      <c r="D262" s="21" t="s">
        <v>20207</v>
      </c>
      <c r="E262" s="21" t="s">
        <v>20019</v>
      </c>
      <c r="F262" s="21" t="s">
        <v>20164</v>
      </c>
    </row>
    <row r="263" customFormat="false" ht="15" hidden="false" customHeight="false" outlineLevel="0" collapsed="false">
      <c r="B263" s="19" t="s">
        <v>20258</v>
      </c>
      <c r="C263" s="20" t="n">
        <f aca="false">ROUND(10.4/FX,2)</f>
        <v>1.44</v>
      </c>
      <c r="D263" s="21" t="s">
        <v>20207</v>
      </c>
      <c r="E263" s="21" t="s">
        <v>20027</v>
      </c>
      <c r="F263" s="21" t="s">
        <v>20164</v>
      </c>
    </row>
    <row r="264" customFormat="false" ht="15" hidden="false" customHeight="false" outlineLevel="0" collapsed="false">
      <c r="B264" s="19" t="s">
        <v>20259</v>
      </c>
      <c r="C264" s="20" t="n">
        <f aca="false">ROUND(9.1/FX,2)</f>
        <v>1.26</v>
      </c>
      <c r="D264" s="21" t="s">
        <v>20207</v>
      </c>
      <c r="E264" s="21" t="s">
        <v>707</v>
      </c>
      <c r="F264" s="21" t="s">
        <v>20164</v>
      </c>
    </row>
    <row r="265" customFormat="false" ht="15" hidden="false" customHeight="false" outlineLevel="0" collapsed="false">
      <c r="B265" s="19" t="s">
        <v>20260</v>
      </c>
      <c r="C265" s="20" t="n">
        <f aca="false">ROUND(11.7/FX,2)</f>
        <v>1.63</v>
      </c>
      <c r="D265" s="21" t="s">
        <v>20207</v>
      </c>
      <c r="E265" s="21" t="s">
        <v>5091</v>
      </c>
      <c r="F265" s="21" t="s">
        <v>20164</v>
      </c>
    </row>
    <row r="266" customFormat="false" ht="15" hidden="false" customHeight="false" outlineLevel="0" collapsed="false">
      <c r="B266" s="19" t="s">
        <v>20261</v>
      </c>
      <c r="C266" s="20" t="n">
        <f aca="false">ROUND(11.7/FX,2)</f>
        <v>1.63</v>
      </c>
      <c r="D266" s="21" t="s">
        <v>20207</v>
      </c>
      <c r="E266" s="21" t="s">
        <v>761</v>
      </c>
      <c r="F266" s="21" t="s">
        <v>20164</v>
      </c>
    </row>
    <row r="267" customFormat="false" ht="15" hidden="false" customHeight="false" outlineLevel="0" collapsed="false">
      <c r="B267" s="19" t="s">
        <v>20262</v>
      </c>
      <c r="C267" s="20" t="n">
        <f aca="false">ROUND(11.7/FX,2)</f>
        <v>1.63</v>
      </c>
      <c r="D267" s="21" t="s">
        <v>20207</v>
      </c>
      <c r="E267" s="21" t="s">
        <v>4761</v>
      </c>
      <c r="F267" s="21" t="s">
        <v>20164</v>
      </c>
    </row>
    <row r="268" customFormat="false" ht="15" hidden="false" customHeight="false" outlineLevel="0" collapsed="false">
      <c r="B268" s="19" t="s">
        <v>20263</v>
      </c>
      <c r="C268" s="20" t="n">
        <f aca="false">ROUND(14.3/FX,2)</f>
        <v>1.99</v>
      </c>
      <c r="D268" s="21" t="s">
        <v>20207</v>
      </c>
      <c r="E268" s="21" t="s">
        <v>837</v>
      </c>
      <c r="F268" s="21" t="s">
        <v>20164</v>
      </c>
    </row>
    <row r="269" customFormat="false" ht="15" hidden="false" customHeight="false" outlineLevel="0" collapsed="false">
      <c r="B269" s="19" t="s">
        <v>20264</v>
      </c>
      <c r="C269" s="20" t="n">
        <f aca="false">ROUND(11.7/FX,2)</f>
        <v>1.63</v>
      </c>
      <c r="D269" s="21" t="s">
        <v>20207</v>
      </c>
      <c r="E269" s="21" t="s">
        <v>839</v>
      </c>
      <c r="F269" s="21" t="s">
        <v>20164</v>
      </c>
    </row>
    <row r="270" customFormat="false" ht="15" hidden="false" customHeight="false" outlineLevel="0" collapsed="false">
      <c r="B270" s="19" t="s">
        <v>20265</v>
      </c>
      <c r="C270" s="20" t="n">
        <f aca="false">ROUND(9.1/FX,2)</f>
        <v>1.26</v>
      </c>
      <c r="D270" s="21" t="s">
        <v>20207</v>
      </c>
      <c r="E270" s="21" t="s">
        <v>841</v>
      </c>
      <c r="F270" s="21" t="s">
        <v>20164</v>
      </c>
    </row>
    <row r="271" customFormat="false" ht="15" hidden="false" customHeight="false" outlineLevel="0" collapsed="false">
      <c r="B271" s="19" t="s">
        <v>20266</v>
      </c>
      <c r="C271" s="20" t="n">
        <f aca="false">ROUND(11.7/FX,2)</f>
        <v>1.63</v>
      </c>
      <c r="D271" s="21" t="s">
        <v>20207</v>
      </c>
      <c r="E271" s="21" t="s">
        <v>789</v>
      </c>
      <c r="F271" s="21" t="s">
        <v>20164</v>
      </c>
    </row>
    <row r="272" customFormat="false" ht="15" hidden="false" customHeight="false" outlineLevel="0" collapsed="false">
      <c r="B272" s="19" t="s">
        <v>20267</v>
      </c>
      <c r="C272" s="20" t="n">
        <f aca="false">ROUND(9.1/FX,2)</f>
        <v>1.26</v>
      </c>
      <c r="D272" s="21" t="s">
        <v>20207</v>
      </c>
      <c r="E272" s="21" t="s">
        <v>716</v>
      </c>
      <c r="F272" s="21" t="s">
        <v>20164</v>
      </c>
    </row>
    <row r="273" customFormat="false" ht="15" hidden="false" customHeight="false" outlineLevel="0" collapsed="false">
      <c r="B273" s="19" t="s">
        <v>20268</v>
      </c>
      <c r="C273" s="20" t="n">
        <f aca="false">ROUND(9.1/FX,2)</f>
        <v>1.26</v>
      </c>
      <c r="D273" s="21" t="s">
        <v>20207</v>
      </c>
      <c r="E273" s="21" t="s">
        <v>2246</v>
      </c>
      <c r="F273" s="21" t="s">
        <v>20164</v>
      </c>
    </row>
    <row r="274" customFormat="false" ht="15" hidden="false" customHeight="false" outlineLevel="0" collapsed="false">
      <c r="B274" s="19" t="s">
        <v>20269</v>
      </c>
      <c r="C274" s="20" t="n">
        <f aca="false">ROUND(11.7/FX,2)</f>
        <v>1.63</v>
      </c>
      <c r="D274" s="21" t="s">
        <v>20207</v>
      </c>
      <c r="E274" s="21" t="s">
        <v>845</v>
      </c>
      <c r="F274" s="21" t="s">
        <v>20164</v>
      </c>
    </row>
    <row r="275" customFormat="false" ht="15" hidden="false" customHeight="false" outlineLevel="0" collapsed="false">
      <c r="B275" s="19" t="s">
        <v>20270</v>
      </c>
      <c r="C275" s="20" t="n">
        <f aca="false">ROUND(9.1/FX,2)</f>
        <v>1.26</v>
      </c>
      <c r="D275" s="21" t="s">
        <v>20207</v>
      </c>
      <c r="E275" s="21" t="s">
        <v>20196</v>
      </c>
      <c r="F275" s="21" t="s">
        <v>20164</v>
      </c>
    </row>
    <row r="276" customFormat="false" ht="15" hidden="false" customHeight="false" outlineLevel="0" collapsed="false">
      <c r="B276" s="19" t="s">
        <v>20271</v>
      </c>
      <c r="C276" s="20" t="n">
        <f aca="false">ROUND(11.7/FX,2)</f>
        <v>1.63</v>
      </c>
      <c r="D276" s="21" t="s">
        <v>20207</v>
      </c>
      <c r="E276" s="21" t="s">
        <v>847</v>
      </c>
      <c r="F276" s="21" t="s">
        <v>20164</v>
      </c>
    </row>
    <row r="277" customFormat="false" ht="15" hidden="false" customHeight="false" outlineLevel="0" collapsed="false">
      <c r="B277" s="19" t="s">
        <v>20272</v>
      </c>
      <c r="C277" s="20" t="n">
        <f aca="false">ROUND(11.7/FX,2)</f>
        <v>1.63</v>
      </c>
      <c r="D277" s="21" t="s">
        <v>20207</v>
      </c>
      <c r="E277" s="21" t="s">
        <v>719</v>
      </c>
      <c r="F277" s="21" t="s">
        <v>20164</v>
      </c>
    </row>
    <row r="278" customFormat="false" ht="28.35" hidden="false" customHeight="false" outlineLevel="0" collapsed="false">
      <c r="B278" s="19" t="s">
        <v>20273</v>
      </c>
      <c r="C278" s="20" t="n">
        <f aca="false">ROUND(11.05/FX,2)</f>
        <v>1.53</v>
      </c>
      <c r="D278" s="21" t="s">
        <v>20207</v>
      </c>
      <c r="E278" s="21" t="s">
        <v>20027</v>
      </c>
      <c r="F278" s="21" t="s">
        <v>20171</v>
      </c>
    </row>
    <row r="279" customFormat="false" ht="28.35" hidden="false" customHeight="false" outlineLevel="0" collapsed="false">
      <c r="B279" s="19" t="s">
        <v>20274</v>
      </c>
      <c r="C279" s="20" t="n">
        <f aca="false">ROUND(13/FX,2)</f>
        <v>1.81</v>
      </c>
      <c r="D279" s="21" t="s">
        <v>20207</v>
      </c>
      <c r="E279" s="21" t="s">
        <v>707</v>
      </c>
      <c r="F279" s="21" t="s">
        <v>20171</v>
      </c>
    </row>
    <row r="280" customFormat="false" ht="28.35" hidden="false" customHeight="false" outlineLevel="0" collapsed="false">
      <c r="B280" s="19" t="s">
        <v>20275</v>
      </c>
      <c r="C280" s="20" t="n">
        <f aca="false">ROUND(13/FX,2)</f>
        <v>1.81</v>
      </c>
      <c r="D280" s="21" t="s">
        <v>20207</v>
      </c>
      <c r="E280" s="21" t="s">
        <v>761</v>
      </c>
      <c r="F280" s="21" t="s">
        <v>20171</v>
      </c>
    </row>
    <row r="281" customFormat="false" ht="28.35" hidden="false" customHeight="false" outlineLevel="0" collapsed="false">
      <c r="B281" s="19" t="s">
        <v>20276</v>
      </c>
      <c r="C281" s="20" t="n">
        <f aca="false">ROUND(15.6/FX,2)</f>
        <v>2.17</v>
      </c>
      <c r="D281" s="21" t="s">
        <v>20207</v>
      </c>
      <c r="E281" s="21" t="s">
        <v>837</v>
      </c>
      <c r="F281" s="21" t="s">
        <v>20171</v>
      </c>
    </row>
    <row r="282" customFormat="false" ht="28.35" hidden="false" customHeight="false" outlineLevel="0" collapsed="false">
      <c r="B282" s="19" t="s">
        <v>20277</v>
      </c>
      <c r="C282" s="20" t="n">
        <f aca="false">ROUND(13/FX,2)</f>
        <v>1.81</v>
      </c>
      <c r="D282" s="21" t="s">
        <v>20207</v>
      </c>
      <c r="E282" s="21" t="s">
        <v>839</v>
      </c>
      <c r="F282" s="21" t="s">
        <v>20171</v>
      </c>
    </row>
    <row r="283" customFormat="false" ht="28.35" hidden="false" customHeight="false" outlineLevel="0" collapsed="false">
      <c r="B283" s="19" t="s">
        <v>20278</v>
      </c>
      <c r="C283" s="20" t="n">
        <f aca="false">ROUND(13/FX,2)</f>
        <v>1.81</v>
      </c>
      <c r="D283" s="21" t="s">
        <v>20207</v>
      </c>
      <c r="E283" s="21" t="s">
        <v>841</v>
      </c>
      <c r="F283" s="21" t="s">
        <v>20171</v>
      </c>
    </row>
    <row r="284" customFormat="false" ht="28.35" hidden="false" customHeight="false" outlineLevel="0" collapsed="false">
      <c r="B284" s="19" t="s">
        <v>20279</v>
      </c>
      <c r="C284" s="20" t="n">
        <f aca="false">ROUND(13/FX,2)</f>
        <v>1.81</v>
      </c>
      <c r="D284" s="21" t="s">
        <v>20207</v>
      </c>
      <c r="E284" s="21" t="s">
        <v>716</v>
      </c>
      <c r="F284" s="21" t="s">
        <v>20171</v>
      </c>
    </row>
    <row r="285" customFormat="false" ht="28.35" hidden="false" customHeight="false" outlineLevel="0" collapsed="false">
      <c r="B285" s="19" t="s">
        <v>20280</v>
      </c>
      <c r="C285" s="20" t="n">
        <f aca="false">ROUND(15.6/FX,2)</f>
        <v>2.17</v>
      </c>
      <c r="D285" s="21" t="s">
        <v>20207</v>
      </c>
      <c r="E285" s="21" t="s">
        <v>20196</v>
      </c>
      <c r="F285" s="21" t="s">
        <v>20171</v>
      </c>
    </row>
    <row r="286" customFormat="false" ht="28.35" hidden="false" customHeight="false" outlineLevel="0" collapsed="false">
      <c r="B286" s="19" t="s">
        <v>20281</v>
      </c>
      <c r="C286" s="20" t="n">
        <f aca="false">ROUND(15.6/FX,2)</f>
        <v>2.17</v>
      </c>
      <c r="D286" s="21" t="s">
        <v>20207</v>
      </c>
      <c r="E286" s="21" t="s">
        <v>847</v>
      </c>
      <c r="F286" s="21" t="s">
        <v>20171</v>
      </c>
    </row>
    <row r="287" customFormat="false" ht="15" hidden="false" customHeight="false" outlineLevel="0" collapsed="false">
      <c r="B287" s="19" t="s">
        <v>20282</v>
      </c>
      <c r="C287" s="20" t="n">
        <f aca="false">ROUND(5.2/FX,2)</f>
        <v>0.72</v>
      </c>
      <c r="D287" s="21" t="s">
        <v>20283</v>
      </c>
      <c r="E287" s="21" t="s">
        <v>19845</v>
      </c>
      <c r="F287" s="21" t="s">
        <v>20136</v>
      </c>
    </row>
    <row r="288" customFormat="false" ht="15" hidden="false" customHeight="false" outlineLevel="0" collapsed="false">
      <c r="B288" s="19" t="s">
        <v>20284</v>
      </c>
      <c r="C288" s="20" t="n">
        <f aca="false">ROUND(5.2/FX,2)</f>
        <v>0.72</v>
      </c>
      <c r="D288" s="21" t="s">
        <v>20283</v>
      </c>
      <c r="E288" s="21" t="s">
        <v>707</v>
      </c>
      <c r="F288" s="21" t="s">
        <v>20136</v>
      </c>
    </row>
    <row r="289" customFormat="false" ht="15" hidden="false" customHeight="false" outlineLevel="0" collapsed="false">
      <c r="B289" s="19" t="s">
        <v>20285</v>
      </c>
      <c r="C289" s="20" t="n">
        <f aca="false">ROUND(5.2/FX,2)</f>
        <v>0.72</v>
      </c>
      <c r="D289" s="21" t="s">
        <v>20283</v>
      </c>
      <c r="E289" s="21" t="s">
        <v>4761</v>
      </c>
      <c r="F289" s="21" t="s">
        <v>20136</v>
      </c>
    </row>
    <row r="290" customFormat="false" ht="15" hidden="false" customHeight="false" outlineLevel="0" collapsed="false">
      <c r="B290" s="19" t="s">
        <v>20286</v>
      </c>
      <c r="C290" s="20" t="n">
        <f aca="false">ROUND(5.2/FX,2)</f>
        <v>0.72</v>
      </c>
      <c r="D290" s="21" t="s">
        <v>20283</v>
      </c>
      <c r="E290" s="21" t="s">
        <v>4721</v>
      </c>
      <c r="F290" s="21" t="s">
        <v>20136</v>
      </c>
    </row>
    <row r="291" customFormat="false" ht="15" hidden="false" customHeight="false" outlineLevel="0" collapsed="false">
      <c r="B291" s="19" t="s">
        <v>20287</v>
      </c>
      <c r="C291" s="20" t="n">
        <f aca="false">ROUND(5.2/FX,2)</f>
        <v>0.72</v>
      </c>
      <c r="D291" s="21" t="s">
        <v>20283</v>
      </c>
      <c r="E291" s="21" t="s">
        <v>714</v>
      </c>
      <c r="F291" s="21" t="s">
        <v>20136</v>
      </c>
    </row>
    <row r="292" customFormat="false" ht="15" hidden="false" customHeight="false" outlineLevel="0" collapsed="false">
      <c r="B292" s="19" t="s">
        <v>20288</v>
      </c>
      <c r="C292" s="20" t="n">
        <f aca="false">ROUND(5.2/FX,2)</f>
        <v>0.72</v>
      </c>
      <c r="D292" s="21" t="s">
        <v>20283</v>
      </c>
      <c r="E292" s="21" t="s">
        <v>3833</v>
      </c>
      <c r="F292" s="21" t="s">
        <v>20136</v>
      </c>
    </row>
    <row r="293" customFormat="false" ht="15" hidden="false" customHeight="false" outlineLevel="0" collapsed="false">
      <c r="B293" s="19" t="s">
        <v>20289</v>
      </c>
      <c r="C293" s="20" t="n">
        <f aca="false">ROUND(5.2/FX,2)</f>
        <v>0.72</v>
      </c>
      <c r="D293" s="21" t="s">
        <v>20283</v>
      </c>
      <c r="E293" s="21" t="s">
        <v>837</v>
      </c>
      <c r="F293" s="21" t="s">
        <v>20136</v>
      </c>
    </row>
    <row r="294" customFormat="false" ht="15" hidden="false" customHeight="false" outlineLevel="0" collapsed="false">
      <c r="B294" s="19" t="s">
        <v>20290</v>
      </c>
      <c r="C294" s="20" t="n">
        <f aca="false">ROUND(5.2/FX,2)</f>
        <v>0.72</v>
      </c>
      <c r="D294" s="21" t="s">
        <v>20283</v>
      </c>
      <c r="E294" s="21" t="s">
        <v>839</v>
      </c>
      <c r="F294" s="21" t="s">
        <v>20136</v>
      </c>
    </row>
    <row r="295" customFormat="false" ht="15" hidden="false" customHeight="false" outlineLevel="0" collapsed="false">
      <c r="B295" s="19" t="s">
        <v>20291</v>
      </c>
      <c r="C295" s="20" t="n">
        <f aca="false">ROUND(7.15/FX,2)</f>
        <v>0.99</v>
      </c>
      <c r="D295" s="21" t="s">
        <v>20292</v>
      </c>
      <c r="E295" s="21" t="s">
        <v>19845</v>
      </c>
      <c r="F295" s="21" t="s">
        <v>20136</v>
      </c>
    </row>
    <row r="296" customFormat="false" ht="15" hidden="false" customHeight="false" outlineLevel="0" collapsed="false">
      <c r="B296" s="19" t="s">
        <v>20293</v>
      </c>
      <c r="C296" s="20" t="n">
        <f aca="false">ROUND(7.15/FX,2)</f>
        <v>0.99</v>
      </c>
      <c r="D296" s="21" t="s">
        <v>20292</v>
      </c>
      <c r="E296" s="21" t="s">
        <v>707</v>
      </c>
      <c r="F296" s="21" t="s">
        <v>20136</v>
      </c>
    </row>
    <row r="297" customFormat="false" ht="15" hidden="false" customHeight="false" outlineLevel="0" collapsed="false">
      <c r="B297" s="19" t="s">
        <v>20294</v>
      </c>
      <c r="C297" s="20" t="n">
        <f aca="false">ROUND(7.15/FX,2)</f>
        <v>0.99</v>
      </c>
      <c r="D297" s="21" t="s">
        <v>20292</v>
      </c>
      <c r="E297" s="21" t="s">
        <v>837</v>
      </c>
      <c r="F297" s="21" t="s">
        <v>20136</v>
      </c>
    </row>
    <row r="298" customFormat="false" ht="15" hidden="false" customHeight="false" outlineLevel="0" collapsed="false">
      <c r="B298" s="19" t="s">
        <v>20295</v>
      </c>
      <c r="C298" s="20" t="n">
        <f aca="false">ROUND(7.15/FX,2)</f>
        <v>0.99</v>
      </c>
      <c r="D298" s="21" t="s">
        <v>20292</v>
      </c>
      <c r="E298" s="21" t="s">
        <v>839</v>
      </c>
      <c r="F298" s="21" t="s">
        <v>20136</v>
      </c>
    </row>
    <row r="299" customFormat="false" ht="15" hidden="false" customHeight="false" outlineLevel="0" collapsed="false">
      <c r="B299" s="19" t="s">
        <v>20296</v>
      </c>
      <c r="C299" s="20" t="n">
        <f aca="false">ROUND(7.15/FX,2)</f>
        <v>0.99</v>
      </c>
      <c r="D299" s="21" t="s">
        <v>20292</v>
      </c>
      <c r="E299" s="21" t="s">
        <v>6709</v>
      </c>
      <c r="F299" s="21" t="s">
        <v>20136</v>
      </c>
    </row>
    <row r="300" customFormat="false" ht="15" hidden="false" customHeight="false" outlineLevel="0" collapsed="false">
      <c r="B300" s="19" t="s">
        <v>20297</v>
      </c>
      <c r="C300" s="20" t="n">
        <f aca="false">ROUND(7.15/FX,2)</f>
        <v>0.99</v>
      </c>
      <c r="D300" s="21" t="s">
        <v>20292</v>
      </c>
      <c r="E300" s="21" t="s">
        <v>841</v>
      </c>
      <c r="F300" s="21" t="s">
        <v>20136</v>
      </c>
    </row>
    <row r="301" customFormat="false" ht="15" hidden="false" customHeight="false" outlineLevel="0" collapsed="false">
      <c r="B301" s="19" t="s">
        <v>20298</v>
      </c>
      <c r="C301" s="20" t="n">
        <f aca="false">ROUND(7.15/FX,2)</f>
        <v>0.99</v>
      </c>
      <c r="D301" s="21" t="s">
        <v>20292</v>
      </c>
      <c r="E301" s="21" t="s">
        <v>789</v>
      </c>
      <c r="F301" s="21" t="s">
        <v>20136</v>
      </c>
    </row>
    <row r="302" customFormat="false" ht="15" hidden="false" customHeight="false" outlineLevel="0" collapsed="false">
      <c r="B302" s="19" t="s">
        <v>20299</v>
      </c>
      <c r="C302" s="20" t="n">
        <f aca="false">ROUND(7.15/FX,2)</f>
        <v>0.99</v>
      </c>
      <c r="D302" s="21" t="s">
        <v>20292</v>
      </c>
      <c r="E302" s="21" t="s">
        <v>716</v>
      </c>
      <c r="F302" s="21" t="s">
        <v>20136</v>
      </c>
    </row>
    <row r="303" customFormat="false" ht="15" hidden="false" customHeight="false" outlineLevel="0" collapsed="false">
      <c r="B303" s="19" t="s">
        <v>20300</v>
      </c>
      <c r="C303" s="20" t="n">
        <f aca="false">ROUND(8.45/FX,2)</f>
        <v>1.17</v>
      </c>
      <c r="D303" s="21" t="s">
        <v>20292</v>
      </c>
      <c r="E303" s="21" t="s">
        <v>6740</v>
      </c>
      <c r="F303" s="21" t="s">
        <v>20136</v>
      </c>
    </row>
    <row r="304" customFormat="false" ht="15" hidden="false" customHeight="false" outlineLevel="0" collapsed="false">
      <c r="B304" s="19" t="s">
        <v>20301</v>
      </c>
      <c r="C304" s="20" t="n">
        <f aca="false">ROUND(8.45/FX,2)</f>
        <v>1.17</v>
      </c>
      <c r="D304" s="21" t="s">
        <v>20292</v>
      </c>
      <c r="E304" s="21" t="s">
        <v>845</v>
      </c>
      <c r="F304" s="21" t="s">
        <v>20136</v>
      </c>
    </row>
    <row r="305" customFormat="false" ht="15" hidden="false" customHeight="false" outlineLevel="0" collapsed="false">
      <c r="B305" s="19" t="s">
        <v>20302</v>
      </c>
      <c r="C305" s="20" t="n">
        <f aca="false">ROUND(7.15/FX,2)</f>
        <v>0.99</v>
      </c>
      <c r="D305" s="21" t="s">
        <v>20292</v>
      </c>
      <c r="E305" s="21" t="s">
        <v>847</v>
      </c>
      <c r="F305" s="21" t="s">
        <v>20136</v>
      </c>
    </row>
    <row r="306" customFormat="false" ht="15" hidden="false" customHeight="false" outlineLevel="0" collapsed="false">
      <c r="B306" s="19" t="s">
        <v>20303</v>
      </c>
      <c r="C306" s="20" t="n">
        <f aca="false">ROUND(7.15/FX,2)</f>
        <v>0.99</v>
      </c>
      <c r="D306" s="21" t="s">
        <v>20292</v>
      </c>
      <c r="E306" s="21" t="s">
        <v>719</v>
      </c>
      <c r="F306" s="21" t="s">
        <v>20136</v>
      </c>
    </row>
    <row r="307" customFormat="false" ht="28.35" hidden="false" customHeight="false" outlineLevel="0" collapsed="false">
      <c r="B307" s="19" t="s">
        <v>20304</v>
      </c>
      <c r="C307" s="20" t="n">
        <f aca="false">ROUND(14.3/FX,2)</f>
        <v>1.99</v>
      </c>
      <c r="D307" s="21" t="s">
        <v>20292</v>
      </c>
      <c r="E307" s="21" t="s">
        <v>3247</v>
      </c>
      <c r="F307" s="21" t="s">
        <v>20171</v>
      </c>
    </row>
    <row r="308" customFormat="false" ht="15" hidden="false" customHeight="false" outlineLevel="0" collapsed="false">
      <c r="B308" s="19" t="s">
        <v>20305</v>
      </c>
      <c r="C308" s="20" t="n">
        <f aca="false">ROUND(13/FX,2)</f>
        <v>1.81</v>
      </c>
      <c r="D308" s="21" t="s">
        <v>20306</v>
      </c>
      <c r="E308" s="21" t="s">
        <v>20307</v>
      </c>
      <c r="F308" s="21" t="s">
        <v>20136</v>
      </c>
    </row>
    <row r="309" customFormat="false" ht="15" hidden="false" customHeight="false" outlineLevel="0" collapsed="false">
      <c r="B309" s="19" t="s">
        <v>20308</v>
      </c>
      <c r="C309" s="20" t="n">
        <f aca="false">ROUND(13/FX,2)</f>
        <v>1.81</v>
      </c>
      <c r="D309" s="21" t="s">
        <v>20306</v>
      </c>
      <c r="E309" s="21" t="s">
        <v>19977</v>
      </c>
      <c r="F309" s="21" t="s">
        <v>20136</v>
      </c>
    </row>
    <row r="310" customFormat="false" ht="15" hidden="false" customHeight="false" outlineLevel="0" collapsed="false">
      <c r="B310" s="19" t="s">
        <v>20309</v>
      </c>
      <c r="C310" s="20" t="n">
        <f aca="false">ROUND(13/FX,2)</f>
        <v>1.81</v>
      </c>
      <c r="D310" s="21" t="s">
        <v>20306</v>
      </c>
      <c r="E310" s="21" t="s">
        <v>20019</v>
      </c>
      <c r="F310" s="21" t="s">
        <v>20136</v>
      </c>
    </row>
    <row r="311" customFormat="false" ht="15" hidden="false" customHeight="false" outlineLevel="0" collapsed="false">
      <c r="B311" s="19" t="s">
        <v>20310</v>
      </c>
      <c r="C311" s="20" t="n">
        <f aca="false">ROUND(13/FX,2)</f>
        <v>1.81</v>
      </c>
      <c r="D311" s="21" t="s">
        <v>20306</v>
      </c>
      <c r="E311" s="21" t="s">
        <v>20027</v>
      </c>
      <c r="F311" s="21" t="s">
        <v>20136</v>
      </c>
    </row>
    <row r="312" customFormat="false" ht="15" hidden="false" customHeight="false" outlineLevel="0" collapsed="false">
      <c r="B312" s="19" t="s">
        <v>20311</v>
      </c>
      <c r="C312" s="20" t="n">
        <f aca="false">ROUND(13/FX,2)</f>
        <v>1.81</v>
      </c>
      <c r="D312" s="21" t="s">
        <v>20306</v>
      </c>
      <c r="E312" s="21" t="s">
        <v>707</v>
      </c>
      <c r="F312" s="21" t="s">
        <v>20136</v>
      </c>
    </row>
    <row r="313" customFormat="false" ht="15" hidden="false" customHeight="false" outlineLevel="0" collapsed="false">
      <c r="B313" s="19" t="s">
        <v>20312</v>
      </c>
      <c r="C313" s="20" t="n">
        <f aca="false">ROUND(13/FX,2)</f>
        <v>1.81</v>
      </c>
      <c r="D313" s="21" t="s">
        <v>20306</v>
      </c>
      <c r="E313" s="21" t="s">
        <v>5091</v>
      </c>
      <c r="F313" s="21" t="s">
        <v>20136</v>
      </c>
    </row>
    <row r="314" customFormat="false" ht="15" hidden="false" customHeight="false" outlineLevel="0" collapsed="false">
      <c r="B314" s="19" t="s">
        <v>20313</v>
      </c>
      <c r="C314" s="20" t="n">
        <f aca="false">ROUND(13/FX,2)</f>
        <v>1.81</v>
      </c>
      <c r="D314" s="21" t="s">
        <v>20306</v>
      </c>
      <c r="E314" s="21" t="s">
        <v>761</v>
      </c>
      <c r="F314" s="21" t="s">
        <v>20136</v>
      </c>
    </row>
    <row r="315" customFormat="false" ht="15" hidden="false" customHeight="false" outlineLevel="0" collapsed="false">
      <c r="B315" s="19" t="s">
        <v>20314</v>
      </c>
      <c r="C315" s="20" t="n">
        <f aca="false">ROUND(13/FX,2)</f>
        <v>1.81</v>
      </c>
      <c r="D315" s="21" t="s">
        <v>20306</v>
      </c>
      <c r="E315" s="21" t="s">
        <v>4761</v>
      </c>
      <c r="F315" s="21" t="s">
        <v>20136</v>
      </c>
    </row>
    <row r="316" customFormat="false" ht="15" hidden="false" customHeight="false" outlineLevel="0" collapsed="false">
      <c r="B316" s="19" t="s">
        <v>20315</v>
      </c>
      <c r="C316" s="20" t="n">
        <f aca="false">ROUND(13/FX,2)</f>
        <v>1.81</v>
      </c>
      <c r="D316" s="21" t="s">
        <v>20306</v>
      </c>
      <c r="E316" s="21" t="s">
        <v>714</v>
      </c>
      <c r="F316" s="21" t="s">
        <v>20136</v>
      </c>
    </row>
    <row r="317" customFormat="false" ht="15" hidden="false" customHeight="false" outlineLevel="0" collapsed="false">
      <c r="B317" s="19" t="s">
        <v>20316</v>
      </c>
      <c r="C317" s="20" t="n">
        <f aca="false">ROUND(13/FX,2)</f>
        <v>1.81</v>
      </c>
      <c r="D317" s="21" t="s">
        <v>20306</v>
      </c>
      <c r="E317" s="21" t="s">
        <v>3833</v>
      </c>
      <c r="F317" s="21" t="s">
        <v>20136</v>
      </c>
    </row>
    <row r="318" customFormat="false" ht="15" hidden="false" customHeight="false" outlineLevel="0" collapsed="false">
      <c r="B318" s="19" t="s">
        <v>20317</v>
      </c>
      <c r="C318" s="20" t="n">
        <f aca="false">ROUND(13/FX,2)</f>
        <v>1.81</v>
      </c>
      <c r="D318" s="21" t="s">
        <v>20306</v>
      </c>
      <c r="E318" s="21" t="s">
        <v>5492</v>
      </c>
      <c r="F318" s="21" t="s">
        <v>20136</v>
      </c>
    </row>
    <row r="319" customFormat="false" ht="15" hidden="false" customHeight="false" outlineLevel="0" collapsed="false">
      <c r="B319" s="19" t="s">
        <v>20318</v>
      </c>
      <c r="C319" s="20" t="n">
        <f aca="false">ROUND(13/FX,2)</f>
        <v>1.81</v>
      </c>
      <c r="D319" s="21" t="s">
        <v>20306</v>
      </c>
      <c r="E319" s="21" t="s">
        <v>4000</v>
      </c>
      <c r="F319" s="21" t="s">
        <v>20136</v>
      </c>
    </row>
    <row r="320" customFormat="false" ht="15" hidden="false" customHeight="false" outlineLevel="0" collapsed="false">
      <c r="B320" s="19" t="s">
        <v>20319</v>
      </c>
      <c r="C320" s="20" t="n">
        <f aca="false">ROUND(13/FX,2)</f>
        <v>1.81</v>
      </c>
      <c r="D320" s="21" t="s">
        <v>20306</v>
      </c>
      <c r="E320" s="21" t="s">
        <v>6940</v>
      </c>
      <c r="F320" s="21" t="s">
        <v>20136</v>
      </c>
    </row>
    <row r="321" customFormat="false" ht="15" hidden="false" customHeight="false" outlineLevel="0" collapsed="false">
      <c r="B321" s="19" t="s">
        <v>20320</v>
      </c>
      <c r="C321" s="20" t="n">
        <f aca="false">ROUND(13/FX,2)</f>
        <v>1.81</v>
      </c>
      <c r="D321" s="21" t="s">
        <v>20306</v>
      </c>
      <c r="E321" s="21" t="s">
        <v>3247</v>
      </c>
      <c r="F321" s="21" t="s">
        <v>20136</v>
      </c>
    </row>
    <row r="322" customFormat="false" ht="15" hidden="false" customHeight="false" outlineLevel="0" collapsed="false">
      <c r="B322" s="19" t="s">
        <v>20321</v>
      </c>
      <c r="C322" s="20" t="n">
        <f aca="false">ROUND(13/FX,2)</f>
        <v>1.81</v>
      </c>
      <c r="D322" s="21" t="s">
        <v>20306</v>
      </c>
      <c r="E322" s="21" t="s">
        <v>13852</v>
      </c>
      <c r="F322" s="21" t="s">
        <v>20136</v>
      </c>
    </row>
    <row r="323" customFormat="false" ht="15" hidden="false" customHeight="false" outlineLevel="0" collapsed="false">
      <c r="B323" s="19" t="s">
        <v>20322</v>
      </c>
      <c r="C323" s="20" t="n">
        <f aca="false">ROUND(13/FX,2)</f>
        <v>1.81</v>
      </c>
      <c r="D323" s="21" t="s">
        <v>20306</v>
      </c>
      <c r="E323" s="21" t="s">
        <v>5097</v>
      </c>
      <c r="F323" s="21" t="s">
        <v>20136</v>
      </c>
    </row>
    <row r="324" customFormat="false" ht="15" hidden="false" customHeight="false" outlineLevel="0" collapsed="false">
      <c r="B324" s="19" t="s">
        <v>20323</v>
      </c>
      <c r="C324" s="20" t="n">
        <f aca="false">ROUND(13/FX,2)</f>
        <v>1.81</v>
      </c>
      <c r="D324" s="21" t="s">
        <v>20306</v>
      </c>
      <c r="E324" s="21" t="s">
        <v>7020</v>
      </c>
      <c r="F324" s="21" t="s">
        <v>20136</v>
      </c>
    </row>
    <row r="325" customFormat="false" ht="15" hidden="false" customHeight="false" outlineLevel="0" collapsed="false">
      <c r="B325" s="19" t="s">
        <v>20324</v>
      </c>
      <c r="C325" s="20" t="n">
        <f aca="false">ROUND(13/FX,2)</f>
        <v>1.81</v>
      </c>
      <c r="D325" s="21" t="s">
        <v>20306</v>
      </c>
      <c r="E325" s="21" t="s">
        <v>6723</v>
      </c>
      <c r="F325" s="21" t="s">
        <v>20136</v>
      </c>
    </row>
    <row r="326" customFormat="false" ht="15" hidden="false" customHeight="false" outlineLevel="0" collapsed="false">
      <c r="B326" s="19" t="s">
        <v>20325</v>
      </c>
      <c r="C326" s="20" t="n">
        <f aca="false">ROUND(13/FX,2)</f>
        <v>1.81</v>
      </c>
      <c r="D326" s="21" t="s">
        <v>20306</v>
      </c>
      <c r="E326" s="21" t="s">
        <v>3317</v>
      </c>
      <c r="F326" s="21" t="s">
        <v>20136</v>
      </c>
    </row>
    <row r="327" customFormat="false" ht="15" hidden="false" customHeight="false" outlineLevel="0" collapsed="false">
      <c r="B327" s="19" t="s">
        <v>20326</v>
      </c>
      <c r="C327" s="20" t="n">
        <f aca="false">ROUND(13/FX,2)</f>
        <v>1.81</v>
      </c>
      <c r="D327" s="21" t="s">
        <v>20306</v>
      </c>
      <c r="E327" s="21" t="s">
        <v>7061</v>
      </c>
      <c r="F327" s="21" t="s">
        <v>20136</v>
      </c>
    </row>
    <row r="328" customFormat="false" ht="15" hidden="false" customHeight="false" outlineLevel="0" collapsed="false">
      <c r="B328" s="19" t="s">
        <v>20327</v>
      </c>
      <c r="C328" s="20" t="n">
        <f aca="false">ROUND(13/FX,2)</f>
        <v>1.81</v>
      </c>
      <c r="D328" s="21" t="s">
        <v>20306</v>
      </c>
      <c r="E328" s="21" t="s">
        <v>13774</v>
      </c>
      <c r="F328" s="21" t="s">
        <v>20136</v>
      </c>
    </row>
    <row r="329" customFormat="false" ht="15" hidden="false" customHeight="false" outlineLevel="0" collapsed="false">
      <c r="B329" s="19" t="s">
        <v>20328</v>
      </c>
      <c r="C329" s="20" t="n">
        <f aca="false">ROUND(13/FX,2)</f>
        <v>1.81</v>
      </c>
      <c r="D329" s="21" t="s">
        <v>20306</v>
      </c>
      <c r="E329" s="21" t="s">
        <v>6768</v>
      </c>
      <c r="F329" s="21" t="s">
        <v>20136</v>
      </c>
    </row>
    <row r="330" customFormat="false" ht="15" hidden="false" customHeight="false" outlineLevel="0" collapsed="false">
      <c r="B330" s="19" t="s">
        <v>20329</v>
      </c>
      <c r="C330" s="20" t="n">
        <f aca="false">ROUND(13/FX,2)</f>
        <v>1.81</v>
      </c>
      <c r="D330" s="21" t="s">
        <v>20306</v>
      </c>
      <c r="E330" s="21" t="s">
        <v>14008</v>
      </c>
      <c r="F330" s="21" t="s">
        <v>20136</v>
      </c>
    </row>
    <row r="331" customFormat="false" ht="15" hidden="false" customHeight="false" outlineLevel="0" collapsed="false">
      <c r="B331" s="19" t="s">
        <v>20330</v>
      </c>
      <c r="C331" s="20" t="n">
        <f aca="false">ROUND(13/FX,2)</f>
        <v>1.81</v>
      </c>
      <c r="D331" s="21" t="s">
        <v>20306</v>
      </c>
      <c r="E331" s="21" t="s">
        <v>839</v>
      </c>
      <c r="F331" s="21" t="s">
        <v>20136</v>
      </c>
    </row>
    <row r="332" customFormat="false" ht="15" hidden="false" customHeight="false" outlineLevel="0" collapsed="false">
      <c r="B332" s="19" t="s">
        <v>20331</v>
      </c>
      <c r="C332" s="20" t="n">
        <f aca="false">ROUND(13/FX,2)</f>
        <v>1.81</v>
      </c>
      <c r="D332" s="21" t="s">
        <v>20306</v>
      </c>
      <c r="E332" s="21" t="s">
        <v>20332</v>
      </c>
      <c r="F332" s="21" t="s">
        <v>20136</v>
      </c>
    </row>
    <row r="333" customFormat="false" ht="15" hidden="false" customHeight="false" outlineLevel="0" collapsed="false">
      <c r="B333" s="19" t="s">
        <v>20333</v>
      </c>
      <c r="C333" s="20" t="n">
        <f aca="false">ROUND(13/FX,2)</f>
        <v>1.81</v>
      </c>
      <c r="D333" s="21" t="s">
        <v>20306</v>
      </c>
      <c r="E333" s="21" t="s">
        <v>784</v>
      </c>
      <c r="F333" s="21" t="s">
        <v>20136</v>
      </c>
    </row>
    <row r="334" customFormat="false" ht="15" hidden="false" customHeight="false" outlineLevel="0" collapsed="false">
      <c r="B334" s="19" t="s">
        <v>20334</v>
      </c>
      <c r="C334" s="20" t="n">
        <f aca="false">ROUND(13/FX,2)</f>
        <v>1.81</v>
      </c>
      <c r="D334" s="21" t="s">
        <v>20306</v>
      </c>
      <c r="E334" s="21" t="s">
        <v>841</v>
      </c>
      <c r="F334" s="21" t="s">
        <v>20136</v>
      </c>
    </row>
    <row r="335" customFormat="false" ht="15" hidden="false" customHeight="false" outlineLevel="0" collapsed="false">
      <c r="B335" s="19" t="s">
        <v>20335</v>
      </c>
      <c r="C335" s="20" t="n">
        <f aca="false">ROUND(13/FX,2)</f>
        <v>1.81</v>
      </c>
      <c r="D335" s="21" t="s">
        <v>20306</v>
      </c>
      <c r="E335" s="21" t="s">
        <v>6246</v>
      </c>
      <c r="F335" s="21" t="s">
        <v>20136</v>
      </c>
    </row>
    <row r="336" customFormat="false" ht="15" hidden="false" customHeight="false" outlineLevel="0" collapsed="false">
      <c r="B336" s="19" t="s">
        <v>20336</v>
      </c>
      <c r="C336" s="20" t="n">
        <f aca="false">ROUND(13/FX,2)</f>
        <v>1.81</v>
      </c>
      <c r="D336" s="21" t="s">
        <v>20306</v>
      </c>
      <c r="E336" s="21" t="s">
        <v>789</v>
      </c>
      <c r="F336" s="21" t="s">
        <v>20136</v>
      </c>
    </row>
    <row r="337" customFormat="false" ht="15" hidden="false" customHeight="false" outlineLevel="0" collapsed="false">
      <c r="B337" s="19" t="s">
        <v>20337</v>
      </c>
      <c r="C337" s="20" t="n">
        <f aca="false">ROUND(13/FX,2)</f>
        <v>1.81</v>
      </c>
      <c r="D337" s="21" t="s">
        <v>20306</v>
      </c>
      <c r="E337" s="21" t="s">
        <v>716</v>
      </c>
      <c r="F337" s="21" t="s">
        <v>20136</v>
      </c>
    </row>
    <row r="338" customFormat="false" ht="15" hidden="false" customHeight="false" outlineLevel="0" collapsed="false">
      <c r="B338" s="19" t="s">
        <v>20338</v>
      </c>
      <c r="C338" s="20" t="n">
        <f aca="false">ROUND(13/FX,2)</f>
        <v>1.81</v>
      </c>
      <c r="D338" s="21" t="s">
        <v>20306</v>
      </c>
      <c r="E338" s="21" t="s">
        <v>845</v>
      </c>
      <c r="F338" s="21" t="s">
        <v>20136</v>
      </c>
    </row>
    <row r="339" customFormat="false" ht="15" hidden="false" customHeight="false" outlineLevel="0" collapsed="false">
      <c r="B339" s="19" t="s">
        <v>20339</v>
      </c>
      <c r="C339" s="20" t="n">
        <f aca="false">ROUND(13/FX,2)</f>
        <v>1.81</v>
      </c>
      <c r="D339" s="21" t="s">
        <v>20306</v>
      </c>
      <c r="E339" s="21" t="s">
        <v>847</v>
      </c>
      <c r="F339" s="21" t="s">
        <v>20136</v>
      </c>
    </row>
    <row r="340" customFormat="false" ht="15" hidden="false" customHeight="false" outlineLevel="0" collapsed="false">
      <c r="B340" s="19" t="s">
        <v>20340</v>
      </c>
      <c r="C340" s="20" t="n">
        <f aca="false">ROUND(13/FX,2)</f>
        <v>1.81</v>
      </c>
      <c r="D340" s="21" t="s">
        <v>20306</v>
      </c>
      <c r="E340" s="21" t="s">
        <v>719</v>
      </c>
      <c r="F340" s="21" t="s">
        <v>20136</v>
      </c>
    </row>
    <row r="341" customFormat="false" ht="15" hidden="false" customHeight="false" outlineLevel="0" collapsed="false">
      <c r="B341" s="19" t="s">
        <v>20341</v>
      </c>
      <c r="C341" s="20" t="n">
        <f aca="false">ROUND(10.4/FX,2)</f>
        <v>1.44</v>
      </c>
      <c r="D341" s="21" t="s">
        <v>20342</v>
      </c>
      <c r="E341" s="21" t="s">
        <v>19845</v>
      </c>
      <c r="F341" s="21" t="s">
        <v>20136</v>
      </c>
    </row>
    <row r="342" customFormat="false" ht="15" hidden="false" customHeight="false" outlineLevel="0" collapsed="false">
      <c r="B342" s="19" t="s">
        <v>20343</v>
      </c>
      <c r="C342" s="20" t="n">
        <f aca="false">ROUND(10.4/FX,2)</f>
        <v>1.44</v>
      </c>
      <c r="D342" s="21" t="s">
        <v>20342</v>
      </c>
      <c r="E342" s="21" t="s">
        <v>6359</v>
      </c>
      <c r="F342" s="21" t="s">
        <v>20136</v>
      </c>
    </row>
    <row r="343" customFormat="false" ht="15" hidden="false" customHeight="false" outlineLevel="0" collapsed="false">
      <c r="B343" s="19" t="s">
        <v>20344</v>
      </c>
      <c r="C343" s="20" t="n">
        <f aca="false">ROUND(8.45/FX,2)</f>
        <v>1.17</v>
      </c>
      <c r="D343" s="21" t="s">
        <v>20342</v>
      </c>
      <c r="E343" s="21" t="s">
        <v>837</v>
      </c>
      <c r="F343" s="21" t="s">
        <v>20136</v>
      </c>
    </row>
    <row r="344" customFormat="false" ht="15" hidden="false" customHeight="false" outlineLevel="0" collapsed="false">
      <c r="B344" s="19" t="s">
        <v>20345</v>
      </c>
      <c r="C344" s="20" t="n">
        <f aca="false">ROUND(8.45/FX,2)</f>
        <v>1.17</v>
      </c>
      <c r="D344" s="21" t="s">
        <v>20342</v>
      </c>
      <c r="E344" s="21" t="s">
        <v>6383</v>
      </c>
      <c r="F344" s="21" t="s">
        <v>20136</v>
      </c>
    </row>
    <row r="345" customFormat="false" ht="15" hidden="false" customHeight="false" outlineLevel="0" collapsed="false">
      <c r="B345" s="19" t="s">
        <v>20346</v>
      </c>
      <c r="C345" s="20" t="n">
        <f aca="false">ROUND(7.8/FX,2)</f>
        <v>1.08</v>
      </c>
      <c r="D345" s="21" t="s">
        <v>20342</v>
      </c>
      <c r="E345" s="21" t="s">
        <v>839</v>
      </c>
      <c r="F345" s="21" t="s">
        <v>20136</v>
      </c>
    </row>
    <row r="346" customFormat="false" ht="15" hidden="false" customHeight="false" outlineLevel="0" collapsed="false">
      <c r="B346" s="19" t="s">
        <v>20347</v>
      </c>
      <c r="C346" s="20" t="n">
        <f aca="false">ROUND(8.45/FX,2)</f>
        <v>1.17</v>
      </c>
      <c r="D346" s="21" t="s">
        <v>20342</v>
      </c>
      <c r="E346" s="21" t="s">
        <v>20348</v>
      </c>
      <c r="F346" s="21" t="s">
        <v>20136</v>
      </c>
    </row>
    <row r="347" customFormat="false" ht="15" hidden="false" customHeight="false" outlineLevel="0" collapsed="false">
      <c r="B347" s="19" t="s">
        <v>20349</v>
      </c>
      <c r="C347" s="20" t="n">
        <f aca="false">ROUND(7.8/FX,2)</f>
        <v>1.08</v>
      </c>
      <c r="D347" s="21" t="s">
        <v>20342</v>
      </c>
      <c r="E347" s="21" t="s">
        <v>6396</v>
      </c>
      <c r="F347" s="21" t="s">
        <v>20136</v>
      </c>
    </row>
    <row r="348" customFormat="false" ht="15" hidden="false" customHeight="false" outlineLevel="0" collapsed="false">
      <c r="B348" s="19" t="s">
        <v>20350</v>
      </c>
      <c r="C348" s="20" t="n">
        <f aca="false">ROUND(7.8/FX,2)</f>
        <v>1.08</v>
      </c>
      <c r="D348" s="21" t="s">
        <v>20342</v>
      </c>
      <c r="E348" s="21" t="s">
        <v>841</v>
      </c>
      <c r="F348" s="21" t="s">
        <v>20136</v>
      </c>
    </row>
    <row r="349" customFormat="false" ht="15" hidden="false" customHeight="false" outlineLevel="0" collapsed="false">
      <c r="B349" s="19" t="s">
        <v>20351</v>
      </c>
      <c r="C349" s="20" t="n">
        <f aca="false">ROUND(7.8/FX,2)</f>
        <v>1.08</v>
      </c>
      <c r="D349" s="21" t="s">
        <v>20342</v>
      </c>
      <c r="E349" s="21" t="s">
        <v>6410</v>
      </c>
      <c r="F349" s="21" t="s">
        <v>20136</v>
      </c>
    </row>
    <row r="350" customFormat="false" ht="15" hidden="false" customHeight="false" outlineLevel="0" collapsed="false">
      <c r="B350" s="19" t="s">
        <v>20352</v>
      </c>
      <c r="C350" s="20" t="n">
        <f aca="false">ROUND(7.8/FX,2)</f>
        <v>1.08</v>
      </c>
      <c r="D350" s="21" t="s">
        <v>20342</v>
      </c>
      <c r="E350" s="21" t="s">
        <v>789</v>
      </c>
      <c r="F350" s="21" t="s">
        <v>20136</v>
      </c>
    </row>
    <row r="353" customFormat="false" ht="61.5" hidden="false" customHeight="true" outlineLevel="0" collapsed="false">
      <c r="A353" s="9"/>
      <c r="B353" s="10" t="s">
        <v>20353</v>
      </c>
      <c r="C353" s="10"/>
      <c r="D353" s="10"/>
    </row>
    <row r="354" customFormat="false" ht="15" hidden="false" customHeight="false" outlineLevel="0" collapsed="false">
      <c r="A354" s="12" t="s">
        <v>700</v>
      </c>
      <c r="B354" s="13" t="s">
        <v>701</v>
      </c>
      <c r="C354" s="13" t="s">
        <v>702</v>
      </c>
      <c r="D354" s="13" t="s">
        <v>723</v>
      </c>
    </row>
    <row r="355" customFormat="false" ht="30" hidden="false" customHeight="true" outlineLevel="0" collapsed="false">
      <c r="A355" s="14" t="s">
        <v>706</v>
      </c>
      <c r="B355" s="15" t="str">
        <f aca="false">IF(COUNTIFS($D$358:$D$359,IF(D355="","*",D355))=1,INDEX($B:$B,SUMPRODUCT(((D355="")+($D$358:$D$359=D355)&gt;0)*ROW($B$358:$B$359))),IF(COUNTIFS($D$358:$D$359,IF(D355="","*",D355))=0,"Not available",COUNTIFS($D$358:$D$359,IF(D355="","*",D355))&amp;" match, keep choosing"))</f>
        <v>EG-065-LX</v>
      </c>
      <c r="C355" s="16" t="n">
        <f aca="false">IF(COUNTIFS($D$358:$D$359,IF(D355="","*",D355))=1,INDEX($C:$C,SUMPRODUCT(((D355="")+($D$358:$D$359=D355)&gt;0)*ROW($B$358:$B$359))),"")</f>
        <v>1.37</v>
      </c>
      <c r="D355" s="17" t="s">
        <v>20354</v>
      </c>
    </row>
    <row r="357" customFormat="false" ht="15" hidden="false" customHeight="false" outlineLevel="0" collapsed="false">
      <c r="B357" s="18" t="s">
        <v>701</v>
      </c>
      <c r="C357" s="18" t="s">
        <v>702</v>
      </c>
      <c r="D357" s="18" t="s">
        <v>723</v>
      </c>
    </row>
    <row r="358" customFormat="false" ht="15" hidden="false" customHeight="false" outlineLevel="0" collapsed="false">
      <c r="B358" s="19" t="s">
        <v>20355</v>
      </c>
      <c r="C358" s="20" t="n">
        <f aca="false">ROUND(9.83/FX,2)</f>
        <v>1.37</v>
      </c>
      <c r="D358" s="21" t="s">
        <v>20354</v>
      </c>
    </row>
    <row r="359" customFormat="false" ht="15" hidden="false" customHeight="false" outlineLevel="0" collapsed="false">
      <c r="B359" s="19" t="s">
        <v>20356</v>
      </c>
      <c r="C359" s="20" t="n">
        <f aca="false">ROUND(9.8/FX,2)</f>
        <v>1.36</v>
      </c>
      <c r="D359" s="21" t="s">
        <v>20357</v>
      </c>
    </row>
    <row r="362" customFormat="false" ht="61.5" hidden="false" customHeight="true" outlineLevel="0" collapsed="false">
      <c r="A362" s="9"/>
      <c r="B362" s="10" t="s">
        <v>20358</v>
      </c>
      <c r="C362" s="10"/>
      <c r="D362" s="10"/>
    </row>
    <row r="363" customFormat="false" ht="15" hidden="false" customHeight="false" outlineLevel="0" collapsed="false">
      <c r="B363" s="18" t="s">
        <v>701</v>
      </c>
      <c r="C363" s="18" t="s">
        <v>702</v>
      </c>
      <c r="D363" s="18" t="s">
        <v>5610</v>
      </c>
    </row>
    <row r="364" customFormat="false" ht="15" hidden="false" customHeight="false" outlineLevel="0" collapsed="false">
      <c r="B364" s="19" t="s">
        <v>20359</v>
      </c>
      <c r="C364" s="20" t="n">
        <f aca="false">ROUND(9.46/FX,2)</f>
        <v>1.31</v>
      </c>
      <c r="D364" s="22" t="s">
        <v>5612</v>
      </c>
    </row>
    <row r="367" customFormat="false" ht="61.5" hidden="false" customHeight="true" outlineLevel="0" collapsed="false">
      <c r="A367" s="9"/>
      <c r="B367" s="10" t="s">
        <v>20360</v>
      </c>
      <c r="C367" s="10"/>
      <c r="D367" s="10"/>
      <c r="E367" s="10"/>
      <c r="F367" s="10"/>
      <c r="G367" s="10"/>
      <c r="H367" s="10"/>
    </row>
    <row r="368" customFormat="false" ht="15" hidden="false" customHeight="false" outlineLevel="0" collapsed="false">
      <c r="A368" s="12" t="s">
        <v>700</v>
      </c>
      <c r="B368" s="13" t="s">
        <v>701</v>
      </c>
      <c r="C368" s="13" t="s">
        <v>702</v>
      </c>
      <c r="D368" s="13" t="s">
        <v>5610</v>
      </c>
      <c r="E368" s="13" t="s">
        <v>705</v>
      </c>
      <c r="F368" s="13" t="s">
        <v>20361</v>
      </c>
      <c r="G368" s="13" t="s">
        <v>20362</v>
      </c>
      <c r="H368" s="13" t="s">
        <v>20363</v>
      </c>
    </row>
    <row r="369" customFormat="false" ht="30" hidden="false" customHeight="true" outlineLevel="0" collapsed="false">
      <c r="A369" s="14" t="s">
        <v>706</v>
      </c>
      <c r="B369" s="15" t="str">
        <f aca="false">IF(COUNTIFS($D$372:$D$424,IF(D369="","*",D369),$E$372:$E$424,IF(E369="","*",E369),$F$372:$F$424,IF(F369="","*",F369),$G$372:$G$424,IF(G369="","*",G369),$H$372:$H$424,IF(H369="","*",H369))=1,INDEX($B:$B,SUMPRODUCT(((D369="")+($D$372:$D$424=D369)&gt;0)*((E369="")+($E$372:$E$424=E369)&gt;0)*((F369="")+($F$372:$F$424=F369)&gt;0)*((G369="")+($G$372:$G$424=G369)&gt;0)*((H369="")+($H$372:$H$424=H369)&gt;0)*ROW($B$372:$B$424))),IF(COUNTIFS($D$372:$D$424,IF(D369="","*",D369),$E$372:$E$424,IF(E369="","*",E369),$F$372:$F$424,IF(F369="","*",F369),$G$372:$G$424,IF(G369="","*",G369),$H$372:$H$424,IF(H369="","*",H369))=0,"Not available",COUNTIFS($D$372:$D$424,IF(D369="","*",D369),$E$372:$E$424,IF(E369="","*",E369),$F$372:$F$424,IF(F369="","*",F369),$G$372:$G$424,IF(G369="","*",G369),$H$372:$H$424,IF(H369="","*",H369))&amp;" match, keep choosing"))</f>
        <v>PCB-L-3.175-1.0-7-38L-NR</v>
      </c>
      <c r="C369" s="16" t="n">
        <f aca="false">IF(COUNTIFS($D$372:$D$424,IF(D369="","*",D369),$E$372:$E$424,IF(E369="","*",E369),$F$372:$F$424,IF(F369="","*",F369),$G$372:$G$424,IF(G369="","*",G369),$H$372:$H$424,IF(H369="","*",H369))=1,INDEX($C:$C,SUMPRODUCT(((D369="")+($D$372:$D$424=D369)&gt;0)*((E369="")+($E$372:$E$424=E369)&gt;0)*((F369="")+($F$372:$F$424=F369)&gt;0)*((G369="")+($G$372:$G$424=G369)&gt;0)*((H369="")+($H$372:$H$424=H369)&gt;0)*ROW($B$372:$B$424))),"")</f>
        <v>0.98</v>
      </c>
      <c r="D369" s="17" t="s">
        <v>20364</v>
      </c>
      <c r="E369" s="17" t="s">
        <v>20365</v>
      </c>
      <c r="F369" s="17" t="s">
        <v>20366</v>
      </c>
      <c r="G369" s="17" t="s">
        <v>15458</v>
      </c>
      <c r="H369" s="17" t="s">
        <v>20367</v>
      </c>
    </row>
    <row r="371" customFormat="false" ht="15" hidden="false" customHeight="false" outlineLevel="0" collapsed="false">
      <c r="B371" s="18" t="s">
        <v>701</v>
      </c>
      <c r="C371" s="18" t="s">
        <v>702</v>
      </c>
      <c r="D371" s="18" t="s">
        <v>5610</v>
      </c>
      <c r="E371" s="18" t="s">
        <v>705</v>
      </c>
      <c r="F371" s="18" t="s">
        <v>20361</v>
      </c>
      <c r="G371" s="18" t="s">
        <v>20362</v>
      </c>
      <c r="H371" s="18" t="s">
        <v>20363</v>
      </c>
    </row>
    <row r="372" customFormat="false" ht="15" hidden="false" customHeight="false" outlineLevel="0" collapsed="false">
      <c r="B372" s="19" t="s">
        <v>20368</v>
      </c>
      <c r="C372" s="20" t="n">
        <f aca="false">ROUND(7.05/FX,2)</f>
        <v>0.98</v>
      </c>
      <c r="D372" s="21" t="s">
        <v>20364</v>
      </c>
      <c r="E372" s="21" t="s">
        <v>20365</v>
      </c>
      <c r="F372" s="21" t="s">
        <v>20366</v>
      </c>
      <c r="G372" s="21" t="s">
        <v>15458</v>
      </c>
      <c r="H372" s="21" t="s">
        <v>20367</v>
      </c>
    </row>
    <row r="373" customFormat="false" ht="15" hidden="false" customHeight="false" outlineLevel="0" collapsed="false">
      <c r="B373" s="19" t="s">
        <v>20369</v>
      </c>
      <c r="C373" s="20" t="n">
        <f aca="false">ROUND(7.05/FX,2)</f>
        <v>0.98</v>
      </c>
      <c r="D373" s="21" t="s">
        <v>20364</v>
      </c>
      <c r="E373" s="21" t="s">
        <v>20365</v>
      </c>
      <c r="F373" s="21" t="s">
        <v>20366</v>
      </c>
      <c r="G373" s="21" t="s">
        <v>15458</v>
      </c>
      <c r="H373" s="21" t="s">
        <v>20370</v>
      </c>
    </row>
    <row r="374" customFormat="false" ht="15" hidden="false" customHeight="false" outlineLevel="0" collapsed="false">
      <c r="B374" s="19" t="s">
        <v>20371</v>
      </c>
      <c r="C374" s="20" t="n">
        <f aca="false">ROUND(7.96/FX,2)</f>
        <v>1.11</v>
      </c>
      <c r="D374" s="21" t="s">
        <v>20364</v>
      </c>
      <c r="E374" s="21" t="s">
        <v>20365</v>
      </c>
      <c r="F374" s="21" t="s">
        <v>20366</v>
      </c>
      <c r="G374" s="21" t="s">
        <v>20372</v>
      </c>
      <c r="H374" s="21" t="s">
        <v>20367</v>
      </c>
    </row>
    <row r="375" customFormat="false" ht="15" hidden="false" customHeight="false" outlineLevel="0" collapsed="false">
      <c r="B375" s="19" t="s">
        <v>20373</v>
      </c>
      <c r="C375" s="20" t="n">
        <f aca="false">ROUND(7.96/FX,2)</f>
        <v>1.11</v>
      </c>
      <c r="D375" s="21" t="s">
        <v>20364</v>
      </c>
      <c r="E375" s="21" t="s">
        <v>20365</v>
      </c>
      <c r="F375" s="21" t="s">
        <v>20366</v>
      </c>
      <c r="G375" s="21" t="s">
        <v>20372</v>
      </c>
      <c r="H375" s="21" t="s">
        <v>20370</v>
      </c>
    </row>
    <row r="376" customFormat="false" ht="15" hidden="false" customHeight="false" outlineLevel="0" collapsed="false">
      <c r="B376" s="19" t="s">
        <v>20374</v>
      </c>
      <c r="C376" s="20" t="n">
        <f aca="false">ROUND(11.6/FX,2)</f>
        <v>1.61</v>
      </c>
      <c r="D376" s="21" t="s">
        <v>20375</v>
      </c>
      <c r="E376" s="21" t="s">
        <v>20365</v>
      </c>
      <c r="F376" s="21" t="s">
        <v>20366</v>
      </c>
      <c r="G376" s="21" t="s">
        <v>15458</v>
      </c>
      <c r="H376" s="21" t="s">
        <v>20367</v>
      </c>
    </row>
    <row r="377" customFormat="false" ht="15" hidden="false" customHeight="false" outlineLevel="0" collapsed="false">
      <c r="B377" s="19" t="s">
        <v>20376</v>
      </c>
      <c r="C377" s="20" t="n">
        <f aca="false">ROUND(11.6/FX,2)</f>
        <v>1.61</v>
      </c>
      <c r="D377" s="21" t="s">
        <v>20375</v>
      </c>
      <c r="E377" s="21" t="s">
        <v>20365</v>
      </c>
      <c r="F377" s="21" t="s">
        <v>20366</v>
      </c>
      <c r="G377" s="21" t="s">
        <v>15458</v>
      </c>
      <c r="H377" s="21" t="s">
        <v>20370</v>
      </c>
    </row>
    <row r="378" customFormat="false" ht="15" hidden="false" customHeight="false" outlineLevel="0" collapsed="false">
      <c r="B378" s="19" t="s">
        <v>20377</v>
      </c>
      <c r="C378" s="20" t="n">
        <f aca="false">ROUND(10.49/FX,2)</f>
        <v>1.46</v>
      </c>
      <c r="D378" s="21" t="s">
        <v>20378</v>
      </c>
      <c r="E378" s="21" t="s">
        <v>20365</v>
      </c>
      <c r="F378" s="21" t="s">
        <v>20366</v>
      </c>
      <c r="G378" s="21" t="s">
        <v>15458</v>
      </c>
      <c r="H378" s="21" t="s">
        <v>20367</v>
      </c>
    </row>
    <row r="379" customFormat="false" ht="15" hidden="false" customHeight="false" outlineLevel="0" collapsed="false">
      <c r="B379" s="19" t="s">
        <v>20379</v>
      </c>
      <c r="C379" s="20" t="n">
        <f aca="false">ROUND(10.49/FX,2)</f>
        <v>1.46</v>
      </c>
      <c r="D379" s="21" t="s">
        <v>20378</v>
      </c>
      <c r="E379" s="21" t="s">
        <v>20365</v>
      </c>
      <c r="F379" s="21" t="s">
        <v>20366</v>
      </c>
      <c r="G379" s="21" t="s">
        <v>15458</v>
      </c>
      <c r="H379" s="21" t="s">
        <v>20370</v>
      </c>
    </row>
    <row r="380" customFormat="false" ht="15" hidden="false" customHeight="false" outlineLevel="0" collapsed="false">
      <c r="B380" s="19" t="s">
        <v>20380</v>
      </c>
      <c r="C380" s="20" t="n">
        <f aca="false">ROUND(10.49/FX,2)</f>
        <v>1.46</v>
      </c>
      <c r="D380" s="21" t="s">
        <v>20381</v>
      </c>
      <c r="E380" s="21" t="s">
        <v>20365</v>
      </c>
      <c r="F380" s="21" t="s">
        <v>20366</v>
      </c>
      <c r="G380" s="21" t="s">
        <v>15458</v>
      </c>
      <c r="H380" s="21" t="s">
        <v>20367</v>
      </c>
    </row>
    <row r="381" customFormat="false" ht="15" hidden="false" customHeight="false" outlineLevel="0" collapsed="false">
      <c r="B381" s="19" t="s">
        <v>20382</v>
      </c>
      <c r="C381" s="20" t="n">
        <f aca="false">ROUND(10.49/FX,2)</f>
        <v>1.46</v>
      </c>
      <c r="D381" s="21" t="s">
        <v>20381</v>
      </c>
      <c r="E381" s="21" t="s">
        <v>20365</v>
      </c>
      <c r="F381" s="21" t="s">
        <v>20366</v>
      </c>
      <c r="G381" s="21" t="s">
        <v>15458</v>
      </c>
      <c r="H381" s="21" t="s">
        <v>20370</v>
      </c>
    </row>
    <row r="382" customFormat="false" ht="15" hidden="false" customHeight="false" outlineLevel="0" collapsed="false">
      <c r="B382" s="19" t="s">
        <v>20383</v>
      </c>
      <c r="C382" s="20" t="n">
        <f aca="false">ROUND(9.39/FX,2)</f>
        <v>1.3</v>
      </c>
      <c r="D382" s="21" t="s">
        <v>20384</v>
      </c>
      <c r="E382" s="21" t="s">
        <v>20365</v>
      </c>
      <c r="F382" s="21" t="s">
        <v>20366</v>
      </c>
      <c r="G382" s="21" t="s">
        <v>15458</v>
      </c>
      <c r="H382" s="21" t="s">
        <v>20367</v>
      </c>
    </row>
    <row r="383" customFormat="false" ht="15" hidden="false" customHeight="false" outlineLevel="0" collapsed="false">
      <c r="B383" s="19" t="s">
        <v>20385</v>
      </c>
      <c r="C383" s="20" t="n">
        <f aca="false">ROUND(9.39/FX,2)</f>
        <v>1.3</v>
      </c>
      <c r="D383" s="21" t="s">
        <v>20384</v>
      </c>
      <c r="E383" s="21" t="s">
        <v>20365</v>
      </c>
      <c r="F383" s="21" t="s">
        <v>20366</v>
      </c>
      <c r="G383" s="21" t="s">
        <v>15458</v>
      </c>
      <c r="H383" s="21" t="s">
        <v>20370</v>
      </c>
    </row>
    <row r="384" customFormat="false" ht="15" hidden="false" customHeight="false" outlineLevel="0" collapsed="false">
      <c r="B384" s="19" t="s">
        <v>20386</v>
      </c>
      <c r="C384" s="20" t="n">
        <f aca="false">ROUND(10.49/FX,2)</f>
        <v>1.46</v>
      </c>
      <c r="D384" s="21" t="s">
        <v>20387</v>
      </c>
      <c r="E384" s="21" t="s">
        <v>20365</v>
      </c>
      <c r="F384" s="21" t="s">
        <v>20366</v>
      </c>
      <c r="G384" s="21" t="s">
        <v>15458</v>
      </c>
      <c r="H384" s="21" t="s">
        <v>20367</v>
      </c>
    </row>
    <row r="385" customFormat="false" ht="15" hidden="false" customHeight="false" outlineLevel="0" collapsed="false">
      <c r="B385" s="19" t="s">
        <v>20388</v>
      </c>
      <c r="C385" s="20" t="n">
        <f aca="false">ROUND(10.71/FX,2)</f>
        <v>1.49</v>
      </c>
      <c r="D385" s="21" t="s">
        <v>20387</v>
      </c>
      <c r="E385" s="21" t="s">
        <v>20365</v>
      </c>
      <c r="F385" s="21" t="s">
        <v>20366</v>
      </c>
      <c r="G385" s="21" t="s">
        <v>15458</v>
      </c>
      <c r="H385" s="21" t="s">
        <v>20370</v>
      </c>
    </row>
    <row r="386" customFormat="false" ht="15" hidden="false" customHeight="false" outlineLevel="0" collapsed="false">
      <c r="B386" s="19" t="s">
        <v>20389</v>
      </c>
      <c r="C386" s="20" t="n">
        <f aca="false">ROUND(4.78/FX,2)</f>
        <v>0.66</v>
      </c>
      <c r="D386" s="21" t="s">
        <v>20390</v>
      </c>
      <c r="E386" s="21" t="s">
        <v>20365</v>
      </c>
      <c r="F386" s="21" t="s">
        <v>20391</v>
      </c>
      <c r="G386" s="21" t="s">
        <v>15458</v>
      </c>
      <c r="H386" s="21" t="s">
        <v>20370</v>
      </c>
    </row>
    <row r="387" customFormat="false" ht="15" hidden="false" customHeight="false" outlineLevel="0" collapsed="false">
      <c r="B387" s="19" t="s">
        <v>20392</v>
      </c>
      <c r="C387" s="20" t="n">
        <f aca="false">ROUND(3.87/FX,2)</f>
        <v>0.54</v>
      </c>
      <c r="D387" s="21" t="s">
        <v>20393</v>
      </c>
      <c r="E387" s="21" t="s">
        <v>20365</v>
      </c>
      <c r="F387" s="21" t="s">
        <v>20391</v>
      </c>
      <c r="G387" s="21" t="s">
        <v>15458</v>
      </c>
      <c r="H387" s="21" t="s">
        <v>20367</v>
      </c>
    </row>
    <row r="388" customFormat="false" ht="15" hidden="false" customHeight="false" outlineLevel="0" collapsed="false">
      <c r="B388" s="19" t="s">
        <v>20394</v>
      </c>
      <c r="C388" s="20" t="n">
        <f aca="false">ROUND(3.48/FX,2)</f>
        <v>0.48</v>
      </c>
      <c r="D388" s="21" t="s">
        <v>20395</v>
      </c>
      <c r="E388" s="21" t="s">
        <v>20365</v>
      </c>
      <c r="F388" s="21" t="s">
        <v>20391</v>
      </c>
      <c r="G388" s="21" t="s">
        <v>15458</v>
      </c>
      <c r="H388" s="21" t="s">
        <v>20370</v>
      </c>
    </row>
    <row r="389" customFormat="false" ht="15" hidden="false" customHeight="false" outlineLevel="0" collapsed="false">
      <c r="B389" s="19" t="s">
        <v>20396</v>
      </c>
      <c r="C389" s="20" t="n">
        <f aca="false">ROUND(88.4/FX,2)</f>
        <v>12.28</v>
      </c>
      <c r="D389" s="21" t="s">
        <v>20395</v>
      </c>
      <c r="E389" s="21" t="s">
        <v>20397</v>
      </c>
      <c r="F389" s="21" t="s">
        <v>20391</v>
      </c>
      <c r="G389" s="21" t="s">
        <v>20372</v>
      </c>
      <c r="H389" s="21" t="s">
        <v>20367</v>
      </c>
    </row>
    <row r="390" customFormat="false" ht="15" hidden="false" customHeight="false" outlineLevel="0" collapsed="false">
      <c r="B390" s="19" t="s">
        <v>20398</v>
      </c>
      <c r="C390" s="20" t="n">
        <f aca="false">ROUND(88.4/FX,2)</f>
        <v>12.28</v>
      </c>
      <c r="D390" s="21" t="s">
        <v>20395</v>
      </c>
      <c r="E390" s="21" t="s">
        <v>20397</v>
      </c>
      <c r="F390" s="21" t="s">
        <v>20391</v>
      </c>
      <c r="G390" s="21" t="s">
        <v>20372</v>
      </c>
      <c r="H390" s="21" t="s">
        <v>20370</v>
      </c>
    </row>
    <row r="391" customFormat="false" ht="15" hidden="false" customHeight="false" outlineLevel="0" collapsed="false">
      <c r="B391" s="19" t="s">
        <v>20399</v>
      </c>
      <c r="C391" s="20" t="n">
        <f aca="false">ROUND(2.34/FX,2)</f>
        <v>0.33</v>
      </c>
      <c r="D391" s="21" t="s">
        <v>20400</v>
      </c>
      <c r="E391" s="21" t="s">
        <v>20365</v>
      </c>
      <c r="F391" s="21" t="s">
        <v>20391</v>
      </c>
      <c r="G391" s="21" t="s">
        <v>15458</v>
      </c>
      <c r="H391" s="21" t="s">
        <v>20370</v>
      </c>
    </row>
    <row r="392" customFormat="false" ht="15" hidden="false" customHeight="false" outlineLevel="0" collapsed="false">
      <c r="B392" s="19" t="s">
        <v>20401</v>
      </c>
      <c r="C392" s="20" t="n">
        <f aca="false">ROUND(6.66/FX,2)</f>
        <v>0.93</v>
      </c>
      <c r="D392" s="21" t="s">
        <v>20364</v>
      </c>
      <c r="E392" s="21" t="s">
        <v>20365</v>
      </c>
      <c r="F392" s="21" t="s">
        <v>20391</v>
      </c>
      <c r="G392" s="21" t="s">
        <v>15458</v>
      </c>
      <c r="H392" s="21" t="s">
        <v>20367</v>
      </c>
    </row>
    <row r="393" customFormat="false" ht="15" hidden="false" customHeight="false" outlineLevel="0" collapsed="false">
      <c r="B393" s="19" t="s">
        <v>20402</v>
      </c>
      <c r="C393" s="20" t="n">
        <f aca="false">ROUND(6.66/FX,2)</f>
        <v>0.93</v>
      </c>
      <c r="D393" s="21" t="s">
        <v>20364</v>
      </c>
      <c r="E393" s="21" t="s">
        <v>20365</v>
      </c>
      <c r="F393" s="21" t="s">
        <v>20391</v>
      </c>
      <c r="G393" s="21" t="s">
        <v>15458</v>
      </c>
      <c r="H393" s="21" t="s">
        <v>20370</v>
      </c>
    </row>
    <row r="394" customFormat="false" ht="15" hidden="false" customHeight="false" outlineLevel="0" collapsed="false">
      <c r="B394" s="19" t="s">
        <v>20403</v>
      </c>
      <c r="C394" s="20" t="n">
        <f aca="false">ROUND(8.84/FX,2)</f>
        <v>1.23</v>
      </c>
      <c r="D394" s="21" t="s">
        <v>20364</v>
      </c>
      <c r="E394" s="21" t="s">
        <v>20365</v>
      </c>
      <c r="F394" s="21" t="s">
        <v>20391</v>
      </c>
      <c r="G394" s="21" t="s">
        <v>20372</v>
      </c>
      <c r="H394" s="21" t="s">
        <v>20367</v>
      </c>
    </row>
    <row r="395" customFormat="false" ht="15" hidden="false" customHeight="false" outlineLevel="0" collapsed="false">
      <c r="B395" s="19" t="s">
        <v>20404</v>
      </c>
      <c r="C395" s="20" t="n">
        <f aca="false">ROUND(88.4/FX,2)</f>
        <v>12.28</v>
      </c>
      <c r="D395" s="21" t="s">
        <v>20364</v>
      </c>
      <c r="E395" s="21" t="s">
        <v>20397</v>
      </c>
      <c r="F395" s="21" t="s">
        <v>20391</v>
      </c>
      <c r="G395" s="21" t="s">
        <v>20372</v>
      </c>
      <c r="H395" s="21" t="s">
        <v>20367</v>
      </c>
    </row>
    <row r="396" customFormat="false" ht="15" hidden="false" customHeight="false" outlineLevel="0" collapsed="false">
      <c r="B396" s="19" t="s">
        <v>20405</v>
      </c>
      <c r="C396" s="20" t="n">
        <f aca="false">ROUND(8.84/FX,2)</f>
        <v>1.23</v>
      </c>
      <c r="D396" s="21" t="s">
        <v>20364</v>
      </c>
      <c r="E396" s="21" t="s">
        <v>20365</v>
      </c>
      <c r="F396" s="21" t="s">
        <v>20391</v>
      </c>
      <c r="G396" s="21" t="s">
        <v>20372</v>
      </c>
      <c r="H396" s="21" t="s">
        <v>20370</v>
      </c>
    </row>
    <row r="397" customFormat="false" ht="15" hidden="false" customHeight="false" outlineLevel="0" collapsed="false">
      <c r="B397" s="19" t="s">
        <v>20406</v>
      </c>
      <c r="C397" s="20" t="n">
        <f aca="false">ROUND(88.4/FX,2)</f>
        <v>12.28</v>
      </c>
      <c r="D397" s="21" t="s">
        <v>20364</v>
      </c>
      <c r="E397" s="21" t="s">
        <v>20397</v>
      </c>
      <c r="F397" s="21" t="s">
        <v>20391</v>
      </c>
      <c r="G397" s="21" t="s">
        <v>20372</v>
      </c>
      <c r="H397" s="21" t="s">
        <v>20370</v>
      </c>
    </row>
    <row r="398" customFormat="false" ht="15" hidden="false" customHeight="false" outlineLevel="0" collapsed="false">
      <c r="B398" s="19" t="s">
        <v>20407</v>
      </c>
      <c r="C398" s="20" t="n">
        <f aca="false">ROUND(2.34/FX,2)</f>
        <v>0.33</v>
      </c>
      <c r="D398" s="21" t="s">
        <v>20408</v>
      </c>
      <c r="E398" s="21" t="s">
        <v>20365</v>
      </c>
      <c r="F398" s="21" t="s">
        <v>20391</v>
      </c>
      <c r="G398" s="21" t="s">
        <v>15458</v>
      </c>
      <c r="H398" s="21" t="s">
        <v>20370</v>
      </c>
    </row>
    <row r="399" customFormat="false" ht="15" hidden="false" customHeight="false" outlineLevel="0" collapsed="false">
      <c r="B399" s="19" t="s">
        <v>20409</v>
      </c>
      <c r="C399" s="20" t="n">
        <f aca="false">ROUND(1.41/FX,2)</f>
        <v>0.2</v>
      </c>
      <c r="D399" s="21" t="s">
        <v>20375</v>
      </c>
      <c r="E399" s="21" t="s">
        <v>20365</v>
      </c>
      <c r="F399" s="21" t="s">
        <v>20391</v>
      </c>
      <c r="G399" s="21" t="s">
        <v>15458</v>
      </c>
      <c r="H399" s="21" t="s">
        <v>20370</v>
      </c>
    </row>
    <row r="400" customFormat="false" ht="15" hidden="false" customHeight="false" outlineLevel="0" collapsed="false">
      <c r="B400" s="19" t="s">
        <v>20410</v>
      </c>
      <c r="C400" s="20" t="n">
        <f aca="false">ROUND(10.49/FX,2)</f>
        <v>1.46</v>
      </c>
      <c r="D400" s="21" t="s">
        <v>20378</v>
      </c>
      <c r="E400" s="21" t="s">
        <v>20365</v>
      </c>
      <c r="F400" s="21" t="s">
        <v>20391</v>
      </c>
      <c r="G400" s="21" t="s">
        <v>15458</v>
      </c>
      <c r="H400" s="21" t="s">
        <v>20367</v>
      </c>
    </row>
    <row r="401" customFormat="false" ht="15" hidden="false" customHeight="false" outlineLevel="0" collapsed="false">
      <c r="B401" s="19" t="s">
        <v>20411</v>
      </c>
      <c r="C401" s="20" t="n">
        <f aca="false">ROUND(10.49/FX,2)</f>
        <v>1.46</v>
      </c>
      <c r="D401" s="21" t="s">
        <v>20378</v>
      </c>
      <c r="E401" s="21" t="s">
        <v>20365</v>
      </c>
      <c r="F401" s="21" t="s">
        <v>20391</v>
      </c>
      <c r="G401" s="21" t="s">
        <v>15458</v>
      </c>
      <c r="H401" s="21" t="s">
        <v>20370</v>
      </c>
    </row>
    <row r="402" customFormat="false" ht="15" hidden="false" customHeight="false" outlineLevel="0" collapsed="false">
      <c r="B402" s="19" t="s">
        <v>20412</v>
      </c>
      <c r="C402" s="20" t="n">
        <f aca="false">ROUND(88.4/FX,2)</f>
        <v>12.28</v>
      </c>
      <c r="D402" s="21" t="s">
        <v>20378</v>
      </c>
      <c r="E402" s="21" t="s">
        <v>20397</v>
      </c>
      <c r="F402" s="21" t="s">
        <v>20391</v>
      </c>
      <c r="G402" s="21" t="s">
        <v>20372</v>
      </c>
      <c r="H402" s="21" t="s">
        <v>20367</v>
      </c>
    </row>
    <row r="403" customFormat="false" ht="15" hidden="false" customHeight="false" outlineLevel="0" collapsed="false">
      <c r="B403" s="19" t="s">
        <v>20413</v>
      </c>
      <c r="C403" s="20" t="n">
        <f aca="false">ROUND(110.5/FX,2)</f>
        <v>15.35</v>
      </c>
      <c r="D403" s="21" t="s">
        <v>20378</v>
      </c>
      <c r="E403" s="21" t="s">
        <v>20397</v>
      </c>
      <c r="F403" s="21" t="s">
        <v>20391</v>
      </c>
      <c r="G403" s="21" t="s">
        <v>20372</v>
      </c>
      <c r="H403" s="21" t="s">
        <v>20370</v>
      </c>
    </row>
    <row r="404" customFormat="false" ht="15" hidden="false" customHeight="false" outlineLevel="0" collapsed="false">
      <c r="B404" s="19" t="s">
        <v>20414</v>
      </c>
      <c r="C404" s="20" t="n">
        <f aca="false">ROUND(10.49/FX,2)</f>
        <v>1.46</v>
      </c>
      <c r="D404" s="21" t="s">
        <v>20381</v>
      </c>
      <c r="E404" s="21" t="s">
        <v>20365</v>
      </c>
      <c r="F404" s="21" t="s">
        <v>20391</v>
      </c>
      <c r="G404" s="21" t="s">
        <v>15458</v>
      </c>
      <c r="H404" s="21" t="s">
        <v>20367</v>
      </c>
    </row>
    <row r="405" customFormat="false" ht="15" hidden="false" customHeight="false" outlineLevel="0" collapsed="false">
      <c r="B405" s="19" t="s">
        <v>20415</v>
      </c>
      <c r="C405" s="20" t="n">
        <f aca="false">ROUND(10.49/FX,2)</f>
        <v>1.46</v>
      </c>
      <c r="D405" s="21" t="s">
        <v>20381</v>
      </c>
      <c r="E405" s="21" t="s">
        <v>20365</v>
      </c>
      <c r="F405" s="21" t="s">
        <v>20391</v>
      </c>
      <c r="G405" s="21" t="s">
        <v>15458</v>
      </c>
      <c r="H405" s="21" t="s">
        <v>20370</v>
      </c>
    </row>
    <row r="406" customFormat="false" ht="15" hidden="false" customHeight="false" outlineLevel="0" collapsed="false">
      <c r="B406" s="19" t="s">
        <v>20416</v>
      </c>
      <c r="C406" s="20" t="n">
        <f aca="false">ROUND(2.76/FX,2)</f>
        <v>0.38</v>
      </c>
      <c r="D406" s="21" t="s">
        <v>20384</v>
      </c>
      <c r="E406" s="21" t="s">
        <v>20365</v>
      </c>
      <c r="F406" s="21" t="s">
        <v>20391</v>
      </c>
      <c r="G406" s="21" t="s">
        <v>15458</v>
      </c>
      <c r="H406" s="21" t="s">
        <v>20370</v>
      </c>
    </row>
    <row r="407" customFormat="false" ht="15" hidden="false" customHeight="false" outlineLevel="0" collapsed="false">
      <c r="B407" s="19" t="s">
        <v>20417</v>
      </c>
      <c r="C407" s="20" t="n">
        <f aca="false">ROUND(10.49/FX,2)</f>
        <v>1.46</v>
      </c>
      <c r="D407" s="21" t="s">
        <v>20387</v>
      </c>
      <c r="E407" s="21" t="s">
        <v>20365</v>
      </c>
      <c r="F407" s="21" t="s">
        <v>20391</v>
      </c>
      <c r="G407" s="21" t="s">
        <v>15458</v>
      </c>
      <c r="H407" s="21" t="s">
        <v>20367</v>
      </c>
    </row>
    <row r="408" customFormat="false" ht="15" hidden="false" customHeight="false" outlineLevel="0" collapsed="false">
      <c r="B408" s="19" t="s">
        <v>20418</v>
      </c>
      <c r="C408" s="20" t="n">
        <f aca="false">ROUND(10.39/FX,2)</f>
        <v>1.44</v>
      </c>
      <c r="D408" s="21" t="s">
        <v>20387</v>
      </c>
      <c r="E408" s="21" t="s">
        <v>20365</v>
      </c>
      <c r="F408" s="21" t="s">
        <v>20391</v>
      </c>
      <c r="G408" s="21" t="s">
        <v>15458</v>
      </c>
      <c r="H408" s="21" t="s">
        <v>20370</v>
      </c>
    </row>
    <row r="409" customFormat="false" ht="15" hidden="false" customHeight="false" outlineLevel="0" collapsed="false">
      <c r="B409" s="19" t="s">
        <v>20419</v>
      </c>
      <c r="C409" s="20" t="n">
        <f aca="false">ROUND(2.34/FX,2)</f>
        <v>0.33</v>
      </c>
      <c r="D409" s="21" t="s">
        <v>20420</v>
      </c>
      <c r="E409" s="21" t="s">
        <v>20365</v>
      </c>
      <c r="F409" s="21" t="s">
        <v>20391</v>
      </c>
      <c r="G409" s="21" t="s">
        <v>15458</v>
      </c>
      <c r="H409" s="21" t="s">
        <v>20370</v>
      </c>
    </row>
    <row r="410" customFormat="false" ht="15" hidden="false" customHeight="false" outlineLevel="0" collapsed="false">
      <c r="B410" s="19" t="s">
        <v>20421</v>
      </c>
      <c r="C410" s="20" t="n">
        <f aca="false">ROUND(11.65/FX,2)</f>
        <v>1.62</v>
      </c>
      <c r="D410" s="21" t="s">
        <v>20422</v>
      </c>
      <c r="E410" s="21" t="s">
        <v>20365</v>
      </c>
      <c r="F410" s="21" t="s">
        <v>20391</v>
      </c>
      <c r="G410" s="21" t="s">
        <v>15458</v>
      </c>
      <c r="H410" s="21" t="s">
        <v>20367</v>
      </c>
    </row>
    <row r="411" customFormat="false" ht="15" hidden="false" customHeight="false" outlineLevel="0" collapsed="false">
      <c r="B411" s="19" t="s">
        <v>20423</v>
      </c>
      <c r="C411" s="20" t="n">
        <f aca="false">ROUND(11.65/FX,2)</f>
        <v>1.62</v>
      </c>
      <c r="D411" s="21" t="s">
        <v>20422</v>
      </c>
      <c r="E411" s="21" t="s">
        <v>20365</v>
      </c>
      <c r="F411" s="21" t="s">
        <v>20391</v>
      </c>
      <c r="G411" s="21" t="s">
        <v>15458</v>
      </c>
      <c r="H411" s="21" t="s">
        <v>20370</v>
      </c>
    </row>
    <row r="412" customFormat="false" ht="15" hidden="false" customHeight="false" outlineLevel="0" collapsed="false">
      <c r="B412" s="19" t="s">
        <v>20424</v>
      </c>
      <c r="C412" s="20" t="n">
        <f aca="false">ROUND(17.71/FX,2)</f>
        <v>2.46</v>
      </c>
      <c r="D412" s="21" t="s">
        <v>20425</v>
      </c>
      <c r="E412" s="21" t="s">
        <v>20365</v>
      </c>
      <c r="F412" s="21" t="s">
        <v>20391</v>
      </c>
      <c r="G412" s="21" t="s">
        <v>15458</v>
      </c>
      <c r="H412" s="21" t="s">
        <v>20367</v>
      </c>
    </row>
    <row r="413" customFormat="false" ht="15" hidden="false" customHeight="false" outlineLevel="0" collapsed="false">
      <c r="B413" s="19" t="s">
        <v>20426</v>
      </c>
      <c r="C413" s="20" t="n">
        <f aca="false">ROUND(17.71/FX,2)</f>
        <v>2.46</v>
      </c>
      <c r="D413" s="21" t="s">
        <v>20425</v>
      </c>
      <c r="E413" s="21" t="s">
        <v>20365</v>
      </c>
      <c r="F413" s="21" t="s">
        <v>20391</v>
      </c>
      <c r="G413" s="21" t="s">
        <v>15458</v>
      </c>
      <c r="H413" s="21" t="s">
        <v>20370</v>
      </c>
    </row>
    <row r="414" customFormat="false" ht="15" hidden="false" customHeight="false" outlineLevel="0" collapsed="false">
      <c r="B414" s="19" t="s">
        <v>20427</v>
      </c>
      <c r="C414" s="20" t="n">
        <f aca="false">ROUND(18.85/FX,2)</f>
        <v>2.62</v>
      </c>
      <c r="D414" s="21" t="s">
        <v>20425</v>
      </c>
      <c r="E414" s="21" t="s">
        <v>20365</v>
      </c>
      <c r="F414" s="21" t="s">
        <v>20391</v>
      </c>
      <c r="G414" s="21" t="s">
        <v>20372</v>
      </c>
      <c r="H414" s="21" t="s">
        <v>20367</v>
      </c>
    </row>
    <row r="415" customFormat="false" ht="15" hidden="false" customHeight="false" outlineLevel="0" collapsed="false">
      <c r="B415" s="19" t="s">
        <v>20428</v>
      </c>
      <c r="C415" s="20" t="n">
        <f aca="false">ROUND(18.85/FX,2)</f>
        <v>2.62</v>
      </c>
      <c r="D415" s="21" t="s">
        <v>20425</v>
      </c>
      <c r="E415" s="21" t="s">
        <v>20365</v>
      </c>
      <c r="F415" s="21" t="s">
        <v>20391</v>
      </c>
      <c r="G415" s="21" t="s">
        <v>20372</v>
      </c>
      <c r="H415" s="21" t="s">
        <v>20370</v>
      </c>
    </row>
    <row r="416" customFormat="false" ht="15" hidden="false" customHeight="false" outlineLevel="0" collapsed="false">
      <c r="B416" s="19" t="s">
        <v>20429</v>
      </c>
      <c r="C416" s="20" t="n">
        <f aca="false">ROUND(17.71/FX,2)</f>
        <v>2.46</v>
      </c>
      <c r="D416" s="21" t="s">
        <v>20430</v>
      </c>
      <c r="E416" s="21" t="s">
        <v>20365</v>
      </c>
      <c r="F416" s="21" t="s">
        <v>20391</v>
      </c>
      <c r="G416" s="21" t="s">
        <v>15458</v>
      </c>
      <c r="H416" s="21" t="s">
        <v>20367</v>
      </c>
    </row>
    <row r="417" customFormat="false" ht="15" hidden="false" customHeight="false" outlineLevel="0" collapsed="false">
      <c r="B417" s="19" t="s">
        <v>20431</v>
      </c>
      <c r="C417" s="20" t="n">
        <f aca="false">ROUND(17.71/FX,2)</f>
        <v>2.46</v>
      </c>
      <c r="D417" s="21" t="s">
        <v>20430</v>
      </c>
      <c r="E417" s="21" t="s">
        <v>20365</v>
      </c>
      <c r="F417" s="21" t="s">
        <v>20391</v>
      </c>
      <c r="G417" s="21" t="s">
        <v>15458</v>
      </c>
      <c r="H417" s="21" t="s">
        <v>20370</v>
      </c>
    </row>
    <row r="418" customFormat="false" ht="28.35" hidden="false" customHeight="false" outlineLevel="0" collapsed="false">
      <c r="B418" s="19" t="s">
        <v>20432</v>
      </c>
      <c r="C418" s="20" t="n">
        <f aca="false">ROUND(12.77/FX,2)</f>
        <v>1.77</v>
      </c>
      <c r="D418" s="21" t="s">
        <v>20433</v>
      </c>
      <c r="E418" s="21" t="s">
        <v>20365</v>
      </c>
      <c r="F418" s="21" t="s">
        <v>20391</v>
      </c>
      <c r="G418" s="21" t="s">
        <v>15458</v>
      </c>
      <c r="H418" s="21" t="s">
        <v>20367</v>
      </c>
    </row>
    <row r="419" customFormat="false" ht="28.35" hidden="false" customHeight="false" outlineLevel="0" collapsed="false">
      <c r="B419" s="19" t="s">
        <v>20434</v>
      </c>
      <c r="C419" s="20" t="n">
        <f aca="false">ROUND(12.77/FX,2)</f>
        <v>1.77</v>
      </c>
      <c r="D419" s="21" t="s">
        <v>20433</v>
      </c>
      <c r="E419" s="21" t="s">
        <v>20365</v>
      </c>
      <c r="F419" s="21" t="s">
        <v>20391</v>
      </c>
      <c r="G419" s="21" t="s">
        <v>15458</v>
      </c>
      <c r="H419" s="21" t="s">
        <v>20370</v>
      </c>
    </row>
    <row r="420" customFormat="false" ht="15" hidden="false" customHeight="false" outlineLevel="0" collapsed="false">
      <c r="B420" s="19" t="s">
        <v>20435</v>
      </c>
      <c r="C420" s="20" t="n">
        <f aca="false">ROUND(26.33/FX,2)</f>
        <v>3.66</v>
      </c>
      <c r="D420" s="21" t="s">
        <v>20436</v>
      </c>
      <c r="E420" s="21" t="s">
        <v>20365</v>
      </c>
      <c r="F420" s="21" t="s">
        <v>20391</v>
      </c>
      <c r="G420" s="21" t="s">
        <v>15458</v>
      </c>
      <c r="H420" s="21" t="s">
        <v>6336</v>
      </c>
    </row>
    <row r="421" customFormat="false" ht="15" hidden="false" customHeight="false" outlineLevel="0" collapsed="false">
      <c r="B421" s="19" t="s">
        <v>20437</v>
      </c>
      <c r="C421" s="20" t="n">
        <f aca="false">ROUND(60.33/FX,2)</f>
        <v>8.38</v>
      </c>
      <c r="D421" s="21" t="s">
        <v>20438</v>
      </c>
      <c r="E421" s="21" t="s">
        <v>20365</v>
      </c>
      <c r="F421" s="21" t="s">
        <v>20391</v>
      </c>
      <c r="G421" s="21" t="s">
        <v>15458</v>
      </c>
      <c r="H421" s="21" t="s">
        <v>6336</v>
      </c>
    </row>
    <row r="422" customFormat="false" ht="15" hidden="false" customHeight="false" outlineLevel="0" collapsed="false">
      <c r="B422" s="19" t="s">
        <v>20439</v>
      </c>
      <c r="C422" s="20" t="n">
        <f aca="false">ROUND(39/FX,2)</f>
        <v>5.42</v>
      </c>
      <c r="D422" s="21" t="s">
        <v>20440</v>
      </c>
      <c r="E422" s="21" t="s">
        <v>20365</v>
      </c>
      <c r="F422" s="21" t="s">
        <v>20391</v>
      </c>
      <c r="G422" s="21" t="s">
        <v>15458</v>
      </c>
      <c r="H422" s="21" t="s">
        <v>6336</v>
      </c>
    </row>
    <row r="423" customFormat="false" ht="15" hidden="false" customHeight="false" outlineLevel="0" collapsed="false">
      <c r="B423" s="19" t="s">
        <v>20441</v>
      </c>
      <c r="C423" s="20" t="n">
        <f aca="false">ROUND(60.33/FX,2)</f>
        <v>8.38</v>
      </c>
      <c r="D423" s="21" t="s">
        <v>20442</v>
      </c>
      <c r="E423" s="21" t="s">
        <v>20365</v>
      </c>
      <c r="F423" s="21" t="s">
        <v>20391</v>
      </c>
      <c r="G423" s="21" t="s">
        <v>15458</v>
      </c>
      <c r="H423" s="21" t="s">
        <v>6336</v>
      </c>
    </row>
    <row r="424" customFormat="false" ht="41.75" hidden="false" customHeight="false" outlineLevel="0" collapsed="false">
      <c r="B424" s="19" t="s">
        <v>20443</v>
      </c>
      <c r="C424" s="20" t="n">
        <f aca="false">ROUND(106.19/FX,2)</f>
        <v>14.75</v>
      </c>
      <c r="D424" s="21" t="s">
        <v>20444</v>
      </c>
      <c r="E424" s="21" t="s">
        <v>20397</v>
      </c>
      <c r="F424" s="21" t="s">
        <v>20391</v>
      </c>
      <c r="G424" s="21" t="s">
        <v>20372</v>
      </c>
      <c r="H424" s="21" t="s">
        <v>6336</v>
      </c>
    </row>
    <row r="427" customFormat="false" ht="61.5" hidden="false" customHeight="true" outlineLevel="0" collapsed="false">
      <c r="A427" s="9"/>
      <c r="B427" s="10" t="s">
        <v>20445</v>
      </c>
      <c r="C427" s="10"/>
      <c r="D427" s="10"/>
      <c r="E427" s="10"/>
    </row>
    <row r="428" customFormat="false" ht="15" hidden="false" customHeight="false" outlineLevel="0" collapsed="false">
      <c r="A428" s="12" t="s">
        <v>700</v>
      </c>
      <c r="B428" s="13" t="s">
        <v>701</v>
      </c>
      <c r="C428" s="13" t="s">
        <v>702</v>
      </c>
      <c r="D428" s="13" t="s">
        <v>5610</v>
      </c>
      <c r="E428" s="13" t="s">
        <v>20446</v>
      </c>
    </row>
    <row r="429" customFormat="false" ht="30" hidden="false" customHeight="true" outlineLevel="0" collapsed="false">
      <c r="A429" s="14" t="s">
        <v>706</v>
      </c>
      <c r="B429" s="15" t="str">
        <f aca="false">IF(COUNTIFS($D$432:$D$435,IF(D429="","*",D429),$E$432:$E$435,IF(E429="","*",E429))=1,INDEX($B:$B,SUMPRODUCT(((D429="")+($D$432:$D$435=D429)&gt;0)*((E429="")+($E$432:$E$435=E429)&gt;0)*ROW($B$432:$B$435))),IF(COUNTIFS($D$432:$D$435,IF(D429="","*",D429),$E$432:$E$435,IF(E429="","*",E429))=0,"Not available",COUNTIFS($D$432:$D$435,IF(D429="","*",D429),$E$432:$E$435,IF(E429="","*",E429))&amp;" match, keep choosing"))</f>
        <v>EG-006-3.175-20H</v>
      </c>
      <c r="C429" s="16" t="n">
        <f aca="false">IF(COUNTIFS($D$432:$D$435,IF(D429="","*",D429),$E$432:$E$435,IF(E429="","*",E429))=1,INDEX($C:$C,SUMPRODUCT(((D429="")+($D$432:$D$435=D429)&gt;0)*((E429="")+($E$432:$E$435=E429)&gt;0)*ROW($B$432:$B$435))),"")</f>
        <v>0.09</v>
      </c>
      <c r="D429" s="17" t="s">
        <v>20447</v>
      </c>
      <c r="E429" s="17" t="s">
        <v>20448</v>
      </c>
    </row>
    <row r="431" customFormat="false" ht="15" hidden="false" customHeight="false" outlineLevel="0" collapsed="false">
      <c r="B431" s="18" t="s">
        <v>701</v>
      </c>
      <c r="C431" s="18" t="s">
        <v>702</v>
      </c>
      <c r="D431" s="18" t="s">
        <v>5610</v>
      </c>
      <c r="E431" s="18" t="s">
        <v>20446</v>
      </c>
    </row>
    <row r="432" customFormat="false" ht="15" hidden="false" customHeight="false" outlineLevel="0" collapsed="false">
      <c r="B432" s="19" t="s">
        <v>20449</v>
      </c>
      <c r="C432" s="20" t="n">
        <f aca="false">ROUND(0.65/FX,2)</f>
        <v>0.09</v>
      </c>
      <c r="D432" s="21" t="s">
        <v>20447</v>
      </c>
      <c r="E432" s="21" t="s">
        <v>20448</v>
      </c>
    </row>
    <row r="433" customFormat="false" ht="28.35" hidden="false" customHeight="false" outlineLevel="0" collapsed="false">
      <c r="B433" s="19" t="s">
        <v>20450</v>
      </c>
      <c r="C433" s="20" t="n">
        <f aca="false">ROUND(0.52/FX,2)</f>
        <v>0.07</v>
      </c>
      <c r="D433" s="21" t="s">
        <v>20451</v>
      </c>
      <c r="E433" s="21" t="s">
        <v>20452</v>
      </c>
    </row>
    <row r="434" customFormat="false" ht="28.35" hidden="false" customHeight="false" outlineLevel="0" collapsed="false">
      <c r="B434" s="19" t="s">
        <v>20453</v>
      </c>
      <c r="C434" s="20" t="n">
        <f aca="false">ROUND(0.65/FX,2)</f>
        <v>0.09</v>
      </c>
      <c r="D434" s="21" t="s">
        <v>20454</v>
      </c>
      <c r="E434" s="21" t="s">
        <v>20452</v>
      </c>
    </row>
    <row r="435" customFormat="false" ht="15" hidden="false" customHeight="false" outlineLevel="0" collapsed="false">
      <c r="B435" s="19" t="s">
        <v>20455</v>
      </c>
      <c r="C435" s="20" t="n">
        <f aca="false">ROUND(0.65/FX,2)</f>
        <v>0.09</v>
      </c>
      <c r="D435" s="21" t="s">
        <v>20456</v>
      </c>
      <c r="E435" s="21" t="s">
        <v>20452</v>
      </c>
    </row>
    <row r="438" customFormat="false" ht="61.5" hidden="false" customHeight="true" outlineLevel="0" collapsed="false">
      <c r="A438" s="9"/>
      <c r="B438" s="10" t="s">
        <v>20457</v>
      </c>
      <c r="C438" s="10"/>
      <c r="D438" s="10"/>
      <c r="E438" s="10"/>
    </row>
    <row r="439" customFormat="false" ht="15" hidden="false" customHeight="false" outlineLevel="0" collapsed="false">
      <c r="A439" s="12" t="s">
        <v>700</v>
      </c>
      <c r="B439" s="13" t="s">
        <v>701</v>
      </c>
      <c r="C439" s="13" t="s">
        <v>702</v>
      </c>
      <c r="D439" s="13" t="s">
        <v>723</v>
      </c>
      <c r="E439" s="13" t="s">
        <v>6328</v>
      </c>
    </row>
    <row r="440" customFormat="false" ht="30" hidden="false" customHeight="true" outlineLevel="0" collapsed="false">
      <c r="A440" s="14" t="s">
        <v>706</v>
      </c>
      <c r="B440" s="15" t="str">
        <f aca="false">IF(COUNTIFS($D$443:$D$473,IF(D440="","*",D440),$E$443:$E$473,IF(E440="","*",E440))=1,INDEX($B:$B,SUMPRODUCT(((D440="")+($D$443:$D$473=D440)&gt;0)*((E440="")+($E$443:$E$473=E440)&gt;0)*ROW($B$443:$B$473))),IF(COUNTIFS($D$443:$D$473,IF(D440="","*",D440),$E$443:$E$473,IF(E440="","*",E440))=0,"Not available",COUNTIFS($D$443:$D$473,IF(D440="","*",D440),$E$443:$E$473,IF(E440="","*",E440))&amp;" match, keep choosing"))</f>
        <v>EG-042-LH-T12x1.5x115</v>
      </c>
      <c r="C440" s="16" t="n">
        <f aca="false">IF(COUNTIFS($D$443:$D$473,IF(D440="","*",D440),$E$443:$E$473,IF(E440="","*",E440))=1,INDEX($C:$C,SUMPRODUCT(((D440="")+($D$443:$D$473=D440)&gt;0)*((E440="")+($E$443:$E$473=E440)&gt;0)*ROW($B$443:$B$473))),"")</f>
        <v>6.32</v>
      </c>
      <c r="D440" s="17" t="s">
        <v>20458</v>
      </c>
      <c r="E440" s="17" t="s">
        <v>11810</v>
      </c>
    </row>
    <row r="442" customFormat="false" ht="15" hidden="false" customHeight="false" outlineLevel="0" collapsed="false">
      <c r="B442" s="18" t="s">
        <v>701</v>
      </c>
      <c r="C442" s="18" t="s">
        <v>702</v>
      </c>
      <c r="D442" s="18" t="s">
        <v>723</v>
      </c>
      <c r="E442" s="18" t="s">
        <v>6328</v>
      </c>
    </row>
    <row r="443" customFormat="false" ht="15" hidden="false" customHeight="false" outlineLevel="0" collapsed="false">
      <c r="B443" s="19" t="s">
        <v>20459</v>
      </c>
      <c r="C443" s="20" t="n">
        <f aca="false">ROUND(45.5/FX,2)</f>
        <v>6.32</v>
      </c>
      <c r="D443" s="21" t="s">
        <v>20458</v>
      </c>
      <c r="E443" s="21" t="s">
        <v>11810</v>
      </c>
    </row>
    <row r="444" customFormat="false" ht="15" hidden="false" customHeight="false" outlineLevel="0" collapsed="false">
      <c r="B444" s="19" t="s">
        <v>20460</v>
      </c>
      <c r="C444" s="20" t="n">
        <f aca="false">ROUND(45.5/FX,2)</f>
        <v>6.32</v>
      </c>
      <c r="D444" s="21" t="s">
        <v>20461</v>
      </c>
      <c r="E444" s="21" t="s">
        <v>11810</v>
      </c>
    </row>
    <row r="445" customFormat="false" ht="15" hidden="false" customHeight="false" outlineLevel="0" collapsed="false">
      <c r="B445" s="19" t="s">
        <v>20462</v>
      </c>
      <c r="C445" s="20" t="n">
        <f aca="false">ROUND(42.9/FX,2)</f>
        <v>5.96</v>
      </c>
      <c r="D445" s="21" t="s">
        <v>20463</v>
      </c>
      <c r="E445" s="21" t="s">
        <v>11810</v>
      </c>
    </row>
    <row r="446" customFormat="false" ht="15" hidden="false" customHeight="false" outlineLevel="0" collapsed="false">
      <c r="B446" s="19" t="s">
        <v>20464</v>
      </c>
      <c r="C446" s="20" t="n">
        <f aca="false">ROUND(45.5/FX,2)</f>
        <v>6.32</v>
      </c>
      <c r="D446" s="21" t="s">
        <v>20465</v>
      </c>
      <c r="E446" s="21" t="s">
        <v>11810</v>
      </c>
    </row>
    <row r="447" customFormat="false" ht="15" hidden="false" customHeight="false" outlineLevel="0" collapsed="false">
      <c r="B447" s="19" t="s">
        <v>20466</v>
      </c>
      <c r="C447" s="20" t="n">
        <f aca="false">ROUND(58.5/FX,2)</f>
        <v>8.13</v>
      </c>
      <c r="D447" s="21" t="s">
        <v>20467</v>
      </c>
      <c r="E447" s="21" t="s">
        <v>11810</v>
      </c>
    </row>
    <row r="448" customFormat="false" ht="15" hidden="false" customHeight="false" outlineLevel="0" collapsed="false">
      <c r="B448" s="19" t="s">
        <v>20468</v>
      </c>
      <c r="C448" s="20" t="n">
        <f aca="false">ROUND(58.5/FX,2)</f>
        <v>8.13</v>
      </c>
      <c r="D448" s="21" t="s">
        <v>20469</v>
      </c>
      <c r="E448" s="21" t="s">
        <v>11810</v>
      </c>
    </row>
    <row r="449" customFormat="false" ht="15" hidden="false" customHeight="false" outlineLevel="0" collapsed="false">
      <c r="B449" s="19" t="s">
        <v>20470</v>
      </c>
      <c r="C449" s="20" t="n">
        <f aca="false">ROUND(58.5/FX,2)</f>
        <v>8.13</v>
      </c>
      <c r="D449" s="21" t="s">
        <v>20471</v>
      </c>
      <c r="E449" s="21" t="s">
        <v>11810</v>
      </c>
    </row>
    <row r="450" customFormat="false" ht="15" hidden="false" customHeight="false" outlineLevel="0" collapsed="false">
      <c r="B450" s="19" t="s">
        <v>20472</v>
      </c>
      <c r="C450" s="20" t="n">
        <f aca="false">ROUND(84.5/FX,2)</f>
        <v>11.74</v>
      </c>
      <c r="D450" s="21" t="s">
        <v>20473</v>
      </c>
      <c r="E450" s="21" t="s">
        <v>11810</v>
      </c>
    </row>
    <row r="451" customFormat="false" ht="15" hidden="false" customHeight="false" outlineLevel="0" collapsed="false">
      <c r="B451" s="19" t="s">
        <v>20474</v>
      </c>
      <c r="C451" s="20" t="n">
        <f aca="false">ROUND(84.5/FX,2)</f>
        <v>11.74</v>
      </c>
      <c r="D451" s="21" t="s">
        <v>20475</v>
      </c>
      <c r="E451" s="21" t="s">
        <v>11810</v>
      </c>
    </row>
    <row r="452" customFormat="false" ht="15" hidden="false" customHeight="false" outlineLevel="0" collapsed="false">
      <c r="B452" s="19" t="s">
        <v>20476</v>
      </c>
      <c r="C452" s="20" t="n">
        <f aca="false">ROUND(84.5/FX,2)</f>
        <v>11.74</v>
      </c>
      <c r="D452" s="21" t="s">
        <v>20477</v>
      </c>
      <c r="E452" s="21" t="s">
        <v>11810</v>
      </c>
    </row>
    <row r="453" customFormat="false" ht="15" hidden="false" customHeight="false" outlineLevel="0" collapsed="false">
      <c r="B453" s="19" t="s">
        <v>20478</v>
      </c>
      <c r="C453" s="20" t="n">
        <f aca="false">ROUND(97.5/FX,2)</f>
        <v>13.54</v>
      </c>
      <c r="D453" s="21" t="s">
        <v>20479</v>
      </c>
      <c r="E453" s="21" t="s">
        <v>11810</v>
      </c>
    </row>
    <row r="454" customFormat="false" ht="15" hidden="false" customHeight="false" outlineLevel="0" collapsed="false">
      <c r="B454" s="19" t="s">
        <v>20480</v>
      </c>
      <c r="C454" s="20" t="n">
        <f aca="false">ROUND(97.5/FX,2)</f>
        <v>13.54</v>
      </c>
      <c r="D454" s="21" t="s">
        <v>20481</v>
      </c>
      <c r="E454" s="21" t="s">
        <v>11810</v>
      </c>
    </row>
    <row r="455" customFormat="false" ht="15" hidden="false" customHeight="false" outlineLevel="0" collapsed="false">
      <c r="B455" s="19" t="s">
        <v>20482</v>
      </c>
      <c r="C455" s="20" t="n">
        <f aca="false">ROUND(18.2/FX,2)</f>
        <v>2.53</v>
      </c>
      <c r="D455" s="21" t="s">
        <v>20483</v>
      </c>
      <c r="E455" s="21" t="s">
        <v>11810</v>
      </c>
    </row>
    <row r="456" customFormat="false" ht="15" hidden="false" customHeight="false" outlineLevel="0" collapsed="false">
      <c r="B456" s="19" t="s">
        <v>20484</v>
      </c>
      <c r="C456" s="20" t="n">
        <f aca="false">ROUND(18.2/FX,2)</f>
        <v>2.53</v>
      </c>
      <c r="D456" s="21" t="s">
        <v>20485</v>
      </c>
      <c r="E456" s="21" t="s">
        <v>11810</v>
      </c>
    </row>
    <row r="457" customFormat="false" ht="15" hidden="false" customHeight="false" outlineLevel="0" collapsed="false">
      <c r="B457" s="19" t="s">
        <v>20486</v>
      </c>
      <c r="C457" s="20" t="n">
        <f aca="false">ROUND(45.5/FX,2)</f>
        <v>6.32</v>
      </c>
      <c r="D457" s="21" t="s">
        <v>20458</v>
      </c>
      <c r="E457" s="21" t="s">
        <v>11720</v>
      </c>
    </row>
    <row r="458" customFormat="false" ht="15" hidden="false" customHeight="false" outlineLevel="0" collapsed="false">
      <c r="B458" s="19" t="s">
        <v>20487</v>
      </c>
      <c r="C458" s="20" t="n">
        <f aca="false">ROUND(45.5/FX,2)</f>
        <v>6.32</v>
      </c>
      <c r="D458" s="21" t="s">
        <v>20461</v>
      </c>
      <c r="E458" s="21" t="s">
        <v>11720</v>
      </c>
    </row>
    <row r="459" customFormat="false" ht="15" hidden="false" customHeight="false" outlineLevel="0" collapsed="false">
      <c r="B459" s="19" t="s">
        <v>20488</v>
      </c>
      <c r="C459" s="20" t="n">
        <f aca="false">ROUND(45.5/FX,2)</f>
        <v>6.32</v>
      </c>
      <c r="D459" s="21" t="s">
        <v>20463</v>
      </c>
      <c r="E459" s="21" t="s">
        <v>11720</v>
      </c>
    </row>
    <row r="460" customFormat="false" ht="15" hidden="false" customHeight="false" outlineLevel="0" collapsed="false">
      <c r="B460" s="19" t="s">
        <v>20489</v>
      </c>
      <c r="C460" s="20" t="n">
        <f aca="false">ROUND(45.5/FX,2)</f>
        <v>6.32</v>
      </c>
      <c r="D460" s="21" t="s">
        <v>20490</v>
      </c>
      <c r="E460" s="21" t="s">
        <v>11720</v>
      </c>
    </row>
    <row r="461" customFormat="false" ht="15" hidden="false" customHeight="false" outlineLevel="0" collapsed="false">
      <c r="B461" s="19" t="s">
        <v>20491</v>
      </c>
      <c r="C461" s="20" t="n">
        <f aca="false">ROUND(45.5/FX,2)</f>
        <v>6.32</v>
      </c>
      <c r="D461" s="21" t="s">
        <v>20492</v>
      </c>
      <c r="E461" s="21" t="s">
        <v>11720</v>
      </c>
    </row>
    <row r="462" customFormat="false" ht="15" hidden="false" customHeight="false" outlineLevel="0" collapsed="false">
      <c r="B462" s="19" t="s">
        <v>20493</v>
      </c>
      <c r="C462" s="20" t="n">
        <f aca="false">ROUND(18.2/FX,2)</f>
        <v>2.53</v>
      </c>
      <c r="D462" s="21" t="s">
        <v>20469</v>
      </c>
      <c r="E462" s="21" t="s">
        <v>11720</v>
      </c>
    </row>
    <row r="463" customFormat="false" ht="15" hidden="false" customHeight="false" outlineLevel="0" collapsed="false">
      <c r="B463" s="19" t="s">
        <v>20494</v>
      </c>
      <c r="C463" s="20" t="n">
        <f aca="false">ROUND(58.5/FX,2)</f>
        <v>8.13</v>
      </c>
      <c r="D463" s="21" t="s">
        <v>20471</v>
      </c>
      <c r="E463" s="21" t="s">
        <v>11720</v>
      </c>
    </row>
    <row r="464" customFormat="false" ht="15" hidden="false" customHeight="false" outlineLevel="0" collapsed="false">
      <c r="B464" s="19" t="s">
        <v>20495</v>
      </c>
      <c r="C464" s="20" t="n">
        <f aca="false">ROUND(84.5/FX,2)</f>
        <v>11.74</v>
      </c>
      <c r="D464" s="21" t="s">
        <v>20496</v>
      </c>
      <c r="E464" s="21" t="s">
        <v>11720</v>
      </c>
    </row>
    <row r="465" customFormat="false" ht="15" hidden="false" customHeight="false" outlineLevel="0" collapsed="false">
      <c r="B465" s="19" t="s">
        <v>20497</v>
      </c>
      <c r="C465" s="20" t="n">
        <f aca="false">ROUND(84.5/FX,2)</f>
        <v>11.74</v>
      </c>
      <c r="D465" s="21" t="s">
        <v>20475</v>
      </c>
      <c r="E465" s="21" t="s">
        <v>11720</v>
      </c>
    </row>
    <row r="466" customFormat="false" ht="15" hidden="false" customHeight="false" outlineLevel="0" collapsed="false">
      <c r="B466" s="19" t="s">
        <v>20498</v>
      </c>
      <c r="C466" s="20" t="n">
        <f aca="false">ROUND(84.5/FX,2)</f>
        <v>11.74</v>
      </c>
      <c r="D466" s="21" t="s">
        <v>20499</v>
      </c>
      <c r="E466" s="21" t="s">
        <v>11720</v>
      </c>
    </row>
    <row r="467" customFormat="false" ht="15" hidden="false" customHeight="false" outlineLevel="0" collapsed="false">
      <c r="B467" s="19" t="s">
        <v>20500</v>
      </c>
      <c r="C467" s="20" t="n">
        <f aca="false">ROUND(84.5/FX,2)</f>
        <v>11.74</v>
      </c>
      <c r="D467" s="21" t="s">
        <v>20477</v>
      </c>
      <c r="E467" s="21" t="s">
        <v>11720</v>
      </c>
    </row>
    <row r="468" customFormat="false" ht="15" hidden="false" customHeight="false" outlineLevel="0" collapsed="false">
      <c r="B468" s="19" t="s">
        <v>20501</v>
      </c>
      <c r="C468" s="20" t="n">
        <f aca="false">ROUND(97.5/FX,2)</f>
        <v>13.54</v>
      </c>
      <c r="D468" s="21" t="s">
        <v>20479</v>
      </c>
      <c r="E468" s="21" t="s">
        <v>11720</v>
      </c>
    </row>
    <row r="469" customFormat="false" ht="15" hidden="false" customHeight="false" outlineLevel="0" collapsed="false">
      <c r="B469" s="19" t="s">
        <v>20502</v>
      </c>
      <c r="C469" s="20" t="n">
        <f aca="false">ROUND(97.5/FX,2)</f>
        <v>13.54</v>
      </c>
      <c r="D469" s="21" t="s">
        <v>20481</v>
      </c>
      <c r="E469" s="21" t="s">
        <v>11720</v>
      </c>
    </row>
    <row r="470" customFormat="false" ht="15" hidden="false" customHeight="false" outlineLevel="0" collapsed="false">
      <c r="B470" s="19" t="s">
        <v>20503</v>
      </c>
      <c r="C470" s="20" t="n">
        <f aca="false">ROUND(97.5/FX,2)</f>
        <v>13.54</v>
      </c>
      <c r="D470" s="21" t="s">
        <v>20483</v>
      </c>
      <c r="E470" s="21" t="s">
        <v>11720</v>
      </c>
    </row>
    <row r="471" customFormat="false" ht="15" hidden="false" customHeight="false" outlineLevel="0" collapsed="false">
      <c r="B471" s="19" t="s">
        <v>20504</v>
      </c>
      <c r="C471" s="20" t="n">
        <f aca="false">ROUND(97.5/FX,2)</f>
        <v>13.54</v>
      </c>
      <c r="D471" s="21" t="s">
        <v>20485</v>
      </c>
      <c r="E471" s="21" t="s">
        <v>11720</v>
      </c>
    </row>
    <row r="472" customFormat="false" ht="15" hidden="false" customHeight="false" outlineLevel="0" collapsed="false">
      <c r="B472" s="19" t="s">
        <v>20505</v>
      </c>
      <c r="C472" s="20" t="n">
        <f aca="false">ROUND(18.2/FX,2)</f>
        <v>2.53</v>
      </c>
      <c r="D472" s="21" t="s">
        <v>20506</v>
      </c>
      <c r="E472" s="21" t="s">
        <v>11720</v>
      </c>
    </row>
    <row r="473" customFormat="false" ht="15" hidden="false" customHeight="false" outlineLevel="0" collapsed="false">
      <c r="B473" s="19" t="s">
        <v>20507</v>
      </c>
      <c r="C473" s="20" t="n">
        <f aca="false">ROUND(18.2/FX,2)</f>
        <v>2.53</v>
      </c>
      <c r="D473" s="21" t="s">
        <v>20508</v>
      </c>
      <c r="E473" s="21" t="s">
        <v>11720</v>
      </c>
    </row>
    <row r="476" customFormat="false" ht="61.5" hidden="false" customHeight="true" outlineLevel="0" collapsed="false">
      <c r="A476" s="9"/>
      <c r="B476" s="10" t="s">
        <v>20509</v>
      </c>
      <c r="C476" s="10"/>
      <c r="D476" s="10"/>
    </row>
    <row r="477" customFormat="false" ht="15" hidden="false" customHeight="false" outlineLevel="0" collapsed="false">
      <c r="B477" s="18" t="s">
        <v>701</v>
      </c>
      <c r="C477" s="18" t="s">
        <v>702</v>
      </c>
      <c r="D477" s="18" t="s">
        <v>5610</v>
      </c>
    </row>
    <row r="478" customFormat="false" ht="15" hidden="false" customHeight="false" outlineLevel="0" collapsed="false">
      <c r="B478" s="19" t="s">
        <v>20510</v>
      </c>
      <c r="C478" s="20" t="n">
        <f aca="false">ROUND(13/FX,2)</f>
        <v>1.81</v>
      </c>
      <c r="D478" s="22" t="s">
        <v>5612</v>
      </c>
    </row>
    <row r="481" customFormat="false" ht="61.5" hidden="false" customHeight="true" outlineLevel="0" collapsed="false">
      <c r="A481" s="9"/>
      <c r="B481" s="10" t="s">
        <v>20511</v>
      </c>
      <c r="C481" s="10"/>
      <c r="D481" s="10"/>
      <c r="E481" s="10"/>
    </row>
    <row r="482" customFormat="false" ht="15" hidden="false" customHeight="false" outlineLevel="0" collapsed="false">
      <c r="A482" s="12" t="s">
        <v>700</v>
      </c>
      <c r="B482" s="13" t="s">
        <v>701</v>
      </c>
      <c r="C482" s="13" t="s">
        <v>702</v>
      </c>
      <c r="D482" s="13" t="s">
        <v>705</v>
      </c>
      <c r="E482" s="13" t="s">
        <v>723</v>
      </c>
    </row>
    <row r="483" customFormat="false" ht="30" hidden="false" customHeight="true" outlineLevel="0" collapsed="false">
      <c r="A483" s="14" t="s">
        <v>706</v>
      </c>
      <c r="B483" s="15" t="str">
        <f aca="false">IF(COUNTIFS($D$486:$D$488,IF(D483="","*",D483),$E$486:$E$488,IF(E483="","*",E483))=1,INDEX($B:$B,SUMPRODUCT(((D483="")+($D$486:$D$488=D483)&gt;0)*((E483="")+($E$486:$E$488=E483)&gt;0)*ROW($B$486:$B$488))),IF(COUNTIFS($D$486:$D$488,IF(D483="","*",D483),$E$486:$E$488,IF(E483="","*",E483))=0,"Not available",COUNTIFS($D$486:$D$488,IF(D483="","*",D483),$E$486:$E$488,IF(E483="","*",E483))&amp;" match, keep choosing"))</f>
        <v>EG-028-DBLJ</v>
      </c>
      <c r="C483" s="16" t="n">
        <f aca="false">IF(COUNTIFS($D$486:$D$488,IF(D483="","*",D483),$E$486:$E$488,IF(E483="","*",E483))=1,INDEX($C:$C,SUMPRODUCT(((D483="")+($D$486:$D$488=D483)&gt;0)*((E483="")+($E$486:$E$488=E483)&gt;0)*ROW($B$486:$B$488))),"")</f>
        <v>0.76</v>
      </c>
      <c r="D483" s="17" t="s">
        <v>13732</v>
      </c>
      <c r="E483" s="17" t="s">
        <v>20512</v>
      </c>
    </row>
    <row r="485" customFormat="false" ht="15" hidden="false" customHeight="false" outlineLevel="0" collapsed="false">
      <c r="B485" s="18" t="s">
        <v>701</v>
      </c>
      <c r="C485" s="18" t="s">
        <v>702</v>
      </c>
      <c r="D485" s="18" t="s">
        <v>705</v>
      </c>
      <c r="E485" s="18" t="s">
        <v>723</v>
      </c>
    </row>
    <row r="486" customFormat="false" ht="15" hidden="false" customHeight="false" outlineLevel="0" collapsed="false">
      <c r="B486" s="19" t="s">
        <v>20513</v>
      </c>
      <c r="C486" s="20" t="n">
        <f aca="false">ROUND(5.46/FX,2)</f>
        <v>0.76</v>
      </c>
      <c r="D486" s="21" t="s">
        <v>13732</v>
      </c>
      <c r="E486" s="21" t="s">
        <v>20512</v>
      </c>
    </row>
    <row r="487" customFormat="false" ht="15" hidden="false" customHeight="false" outlineLevel="0" collapsed="false">
      <c r="B487" s="19" t="s">
        <v>20514</v>
      </c>
      <c r="C487" s="20" t="n">
        <f aca="false">ROUND(1.8/FX,2)</f>
        <v>0.25</v>
      </c>
      <c r="D487" s="21" t="s">
        <v>13739</v>
      </c>
      <c r="E487" s="21" t="s">
        <v>20515</v>
      </c>
    </row>
    <row r="488" customFormat="false" ht="15" hidden="false" customHeight="false" outlineLevel="0" collapsed="false">
      <c r="B488" s="19" t="s">
        <v>20516</v>
      </c>
      <c r="C488" s="20" t="n">
        <f aca="false">ROUND(3/FX,2)</f>
        <v>0.42</v>
      </c>
      <c r="D488" s="21" t="s">
        <v>13732</v>
      </c>
      <c r="E488" s="21" t="s">
        <v>20517</v>
      </c>
    </row>
    <row r="491" customFormat="false" ht="61.5" hidden="false" customHeight="true" outlineLevel="0" collapsed="false">
      <c r="A491" s="9"/>
      <c r="B491" s="10" t="s">
        <v>20518</v>
      </c>
      <c r="C491" s="10"/>
      <c r="D491" s="10"/>
      <c r="E491" s="10"/>
    </row>
    <row r="492" customFormat="false" ht="15" hidden="false" customHeight="false" outlineLevel="0" collapsed="false">
      <c r="A492" s="12" t="s">
        <v>700</v>
      </c>
      <c r="B492" s="13" t="s">
        <v>701</v>
      </c>
      <c r="C492" s="13" t="s">
        <v>702</v>
      </c>
      <c r="D492" s="13" t="s">
        <v>6159</v>
      </c>
      <c r="E492" s="13" t="s">
        <v>5610</v>
      </c>
    </row>
    <row r="493" customFormat="false" ht="30" hidden="false" customHeight="true" outlineLevel="0" collapsed="false">
      <c r="A493" s="14" t="s">
        <v>706</v>
      </c>
      <c r="B493" s="15" t="str">
        <f aca="false">IF(COUNTIFS($D$496:$D$505,IF(D493="","*",D493),$E$496:$E$505,IF(E493="","*",E493))=1,INDEX($B:$B,SUMPRODUCT(((D493="")+($D$496:$D$505=D493)&gt;0)*((E493="")+($E$496:$E$505=E493)&gt;0)*ROW($B$496:$B$505))),IF(COUNTIFS($D$496:$D$505,IF(D493="","*",D493),$E$496:$E$505,IF(E493="","*",E493))=0,"Not available",COUNTIFS($D$496:$D$505,IF(D493="","*",D493),$E$496:$E$505,IF(E493="","*",E493))&amp;" match, keep choosing"))</f>
        <v>EG-054-12.7-10</v>
      </c>
      <c r="C493" s="16" t="n">
        <f aca="false">IF(COUNTIFS($D$496:$D$505,IF(D493="","*",D493),$E$496:$E$505,IF(E493="","*",E493))=1,INDEX($C:$C,SUMPRODUCT(((D493="")+($D$496:$D$505=D493)&gt;0)*((E493="")+($E$496:$E$505=E493)&gt;0)*ROW($B$496:$B$505))),"")</f>
        <v>1.08</v>
      </c>
      <c r="D493" s="17" t="s">
        <v>11488</v>
      </c>
      <c r="E493" s="17" t="s">
        <v>20519</v>
      </c>
    </row>
    <row r="495" customFormat="false" ht="15" hidden="false" customHeight="false" outlineLevel="0" collapsed="false">
      <c r="B495" s="18" t="s">
        <v>701</v>
      </c>
      <c r="C495" s="18" t="s">
        <v>702</v>
      </c>
      <c r="D495" s="18" t="s">
        <v>6159</v>
      </c>
      <c r="E495" s="18" t="s">
        <v>5610</v>
      </c>
    </row>
    <row r="496" customFormat="false" ht="15" hidden="false" customHeight="false" outlineLevel="0" collapsed="false">
      <c r="B496" s="19" t="s">
        <v>20520</v>
      </c>
      <c r="C496" s="20" t="n">
        <f aca="false">ROUND(7.8/FX,2)</f>
        <v>1.08</v>
      </c>
      <c r="D496" s="21" t="s">
        <v>11488</v>
      </c>
      <c r="E496" s="21" t="s">
        <v>20519</v>
      </c>
    </row>
    <row r="497" customFormat="false" ht="15" hidden="false" customHeight="false" outlineLevel="0" collapsed="false">
      <c r="B497" s="19" t="s">
        <v>20521</v>
      </c>
      <c r="C497" s="20" t="n">
        <f aca="false">ROUND(8.45/FX,2)</f>
        <v>1.17</v>
      </c>
      <c r="D497" s="21" t="s">
        <v>20522</v>
      </c>
      <c r="E497" s="21" t="s">
        <v>20519</v>
      </c>
    </row>
    <row r="498" customFormat="false" ht="15" hidden="false" customHeight="false" outlineLevel="0" collapsed="false">
      <c r="B498" s="19" t="s">
        <v>20523</v>
      </c>
      <c r="C498" s="20" t="n">
        <f aca="false">ROUND(7.8/FX,2)</f>
        <v>1.08</v>
      </c>
      <c r="D498" s="21" t="s">
        <v>11481</v>
      </c>
      <c r="E498" s="21" t="s">
        <v>20519</v>
      </c>
    </row>
    <row r="499" customFormat="false" ht="15" hidden="false" customHeight="false" outlineLevel="0" collapsed="false">
      <c r="B499" s="19" t="s">
        <v>20524</v>
      </c>
      <c r="C499" s="20" t="n">
        <f aca="false">ROUND(8.45/FX,2)</f>
        <v>1.17</v>
      </c>
      <c r="D499" s="21" t="s">
        <v>19991</v>
      </c>
      <c r="E499" s="21" t="s">
        <v>20519</v>
      </c>
    </row>
    <row r="500" customFormat="false" ht="15" hidden="false" customHeight="false" outlineLevel="0" collapsed="false">
      <c r="B500" s="19" t="s">
        <v>20525</v>
      </c>
      <c r="C500" s="20" t="n">
        <f aca="false">ROUND(7.8/FX,2)</f>
        <v>1.08</v>
      </c>
      <c r="D500" s="21" t="s">
        <v>11432</v>
      </c>
      <c r="E500" s="21" t="s">
        <v>20519</v>
      </c>
    </row>
    <row r="501" customFormat="false" ht="15" hidden="false" customHeight="false" outlineLevel="0" collapsed="false">
      <c r="B501" s="19" t="s">
        <v>20526</v>
      </c>
      <c r="C501" s="20" t="n">
        <f aca="false">ROUND(8.45/FX,2)</f>
        <v>1.17</v>
      </c>
      <c r="D501" s="21" t="s">
        <v>11434</v>
      </c>
      <c r="E501" s="21" t="s">
        <v>20519</v>
      </c>
    </row>
    <row r="502" customFormat="false" ht="15" hidden="false" customHeight="false" outlineLevel="0" collapsed="false">
      <c r="B502" s="19" t="s">
        <v>20527</v>
      </c>
      <c r="C502" s="20" t="n">
        <f aca="false">ROUND(2.6/FX,2)</f>
        <v>0.36</v>
      </c>
      <c r="D502" s="21" t="s">
        <v>20522</v>
      </c>
      <c r="E502" s="21" t="s">
        <v>19991</v>
      </c>
    </row>
    <row r="503" customFormat="false" ht="15" hidden="false" customHeight="false" outlineLevel="0" collapsed="false">
      <c r="B503" s="19" t="s">
        <v>20528</v>
      </c>
      <c r="C503" s="20" t="n">
        <f aca="false">ROUND(2.47/FX,2)</f>
        <v>0.34</v>
      </c>
      <c r="D503" s="21" t="s">
        <v>11481</v>
      </c>
      <c r="E503" s="21" t="s">
        <v>19991</v>
      </c>
    </row>
    <row r="504" customFormat="false" ht="15" hidden="false" customHeight="false" outlineLevel="0" collapsed="false">
      <c r="B504" s="19" t="s">
        <v>20529</v>
      </c>
      <c r="C504" s="20" t="n">
        <f aca="false">ROUND(2.47/FX,2)</f>
        <v>0.34</v>
      </c>
      <c r="D504" s="21" t="s">
        <v>20522</v>
      </c>
      <c r="E504" s="21" t="s">
        <v>11432</v>
      </c>
    </row>
    <row r="505" customFormat="false" ht="15" hidden="false" customHeight="false" outlineLevel="0" collapsed="false">
      <c r="B505" s="19" t="s">
        <v>20530</v>
      </c>
      <c r="C505" s="20" t="n">
        <f aca="false">ROUND(2.6/FX,2)</f>
        <v>0.36</v>
      </c>
      <c r="D505" s="21" t="s">
        <v>11481</v>
      </c>
      <c r="E505" s="21" t="s">
        <v>11432</v>
      </c>
    </row>
    <row r="508" customFormat="false" ht="61.5" hidden="false" customHeight="true" outlineLevel="0" collapsed="false">
      <c r="A508" s="9"/>
      <c r="B508" s="10" t="s">
        <v>20531</v>
      </c>
      <c r="C508" s="10"/>
      <c r="D508" s="10"/>
    </row>
    <row r="509" customFormat="false" ht="15" hidden="false" customHeight="false" outlineLevel="0" collapsed="false">
      <c r="A509" s="12" t="s">
        <v>700</v>
      </c>
      <c r="B509" s="13" t="s">
        <v>701</v>
      </c>
      <c r="C509" s="13" t="s">
        <v>702</v>
      </c>
      <c r="D509" s="13" t="s">
        <v>723</v>
      </c>
    </row>
    <row r="510" customFormat="false" ht="30" hidden="false" customHeight="true" outlineLevel="0" collapsed="false">
      <c r="A510" s="14" t="s">
        <v>706</v>
      </c>
      <c r="B510" s="15" t="str">
        <f aca="false">IF(COUNTIFS($D$513:$D$520,IF(D510="","*",D510))=1,INDEX($B:$B,SUMPRODUCT(((D510="")+($D$513:$D$520=D510)&gt;0)*ROW($B$513:$B$520))),IF(COUNTIFS($D$513:$D$520,IF(D510="","*",D510))=0,"Not available",COUNTIFS($D$513:$D$520,IF(D510="","*",D510))&amp;" match, keep choosing"))</f>
        <v>EG-072-7JT</v>
      </c>
      <c r="C510" s="16" t="n">
        <f aca="false">IF(COUNTIFS($D$513:$D$520,IF(D510="","*",D510))=1,INDEX($C:$C,SUMPRODUCT(((D510="")+($D$513:$D$520=D510)&gt;0)*ROW($B$513:$B$520))),"")</f>
        <v>14.63</v>
      </c>
      <c r="D510" s="17" t="s">
        <v>20532</v>
      </c>
    </row>
    <row r="512" customFormat="false" ht="15" hidden="false" customHeight="false" outlineLevel="0" collapsed="false">
      <c r="B512" s="18" t="s">
        <v>701</v>
      </c>
      <c r="C512" s="18" t="s">
        <v>702</v>
      </c>
      <c r="D512" s="18" t="s">
        <v>723</v>
      </c>
    </row>
    <row r="513" customFormat="false" ht="15" hidden="false" customHeight="false" outlineLevel="0" collapsed="false">
      <c r="B513" s="19" t="s">
        <v>20533</v>
      </c>
      <c r="C513" s="20" t="n">
        <f aca="false">ROUND(105.3/FX,2)</f>
        <v>14.63</v>
      </c>
      <c r="D513" s="21" t="s">
        <v>20532</v>
      </c>
    </row>
    <row r="514" customFormat="false" ht="15" hidden="false" customHeight="false" outlineLevel="0" collapsed="false">
      <c r="B514" s="19" t="s">
        <v>20534</v>
      </c>
      <c r="C514" s="20" t="n">
        <f aca="false">ROUND(18.2/FX,2)</f>
        <v>2.53</v>
      </c>
      <c r="D514" s="21" t="s">
        <v>20535</v>
      </c>
    </row>
    <row r="515" customFormat="false" ht="15" hidden="false" customHeight="false" outlineLevel="0" collapsed="false">
      <c r="B515" s="19" t="s">
        <v>20536</v>
      </c>
      <c r="C515" s="20" t="n">
        <f aca="false">ROUND(20.8/FX,2)</f>
        <v>2.89</v>
      </c>
      <c r="D515" s="21" t="s">
        <v>20537</v>
      </c>
    </row>
    <row r="516" customFormat="false" ht="15" hidden="false" customHeight="false" outlineLevel="0" collapsed="false">
      <c r="B516" s="19" t="s">
        <v>20538</v>
      </c>
      <c r="C516" s="20" t="n">
        <f aca="false">ROUND(23.4/FX,2)</f>
        <v>3.25</v>
      </c>
      <c r="D516" s="21" t="s">
        <v>20539</v>
      </c>
    </row>
    <row r="517" customFormat="false" ht="15" hidden="false" customHeight="false" outlineLevel="0" collapsed="false">
      <c r="B517" s="19" t="s">
        <v>20540</v>
      </c>
      <c r="C517" s="20" t="n">
        <f aca="false">ROUND(26/FX,2)</f>
        <v>3.61</v>
      </c>
      <c r="D517" s="21" t="s">
        <v>20541</v>
      </c>
    </row>
    <row r="518" customFormat="false" ht="15" hidden="false" customHeight="false" outlineLevel="0" collapsed="false">
      <c r="B518" s="19" t="s">
        <v>20542</v>
      </c>
      <c r="C518" s="20" t="n">
        <f aca="false">ROUND(10.4/FX,2)</f>
        <v>1.44</v>
      </c>
      <c r="D518" s="21" t="s">
        <v>20543</v>
      </c>
    </row>
    <row r="519" customFormat="false" ht="15" hidden="false" customHeight="false" outlineLevel="0" collapsed="false">
      <c r="B519" s="19" t="s">
        <v>20544</v>
      </c>
      <c r="C519" s="20" t="n">
        <f aca="false">ROUND(13/FX,2)</f>
        <v>1.81</v>
      </c>
      <c r="D519" s="21" t="s">
        <v>20545</v>
      </c>
    </row>
    <row r="520" customFormat="false" ht="15" hidden="false" customHeight="false" outlineLevel="0" collapsed="false">
      <c r="B520" s="19" t="s">
        <v>20546</v>
      </c>
      <c r="C520" s="20" t="n">
        <f aca="false">ROUND(15.6/FX,2)</f>
        <v>2.17</v>
      </c>
      <c r="D520" s="21" t="s">
        <v>20547</v>
      </c>
    </row>
    <row r="523" customFormat="false" ht="61.5" hidden="false" customHeight="true" outlineLevel="0" collapsed="false">
      <c r="A523" s="9"/>
      <c r="B523" s="10" t="s">
        <v>20548</v>
      </c>
      <c r="C523" s="10"/>
      <c r="D523" s="10"/>
    </row>
    <row r="524" customFormat="false" ht="15" hidden="false" customHeight="false" outlineLevel="0" collapsed="false">
      <c r="B524" s="18" t="s">
        <v>701</v>
      </c>
      <c r="C524" s="18" t="s">
        <v>702</v>
      </c>
      <c r="D524" s="18" t="s">
        <v>5610</v>
      </c>
    </row>
    <row r="525" customFormat="false" ht="15" hidden="false" customHeight="false" outlineLevel="0" collapsed="false">
      <c r="B525" s="19" t="s">
        <v>20549</v>
      </c>
      <c r="C525" s="20" t="n">
        <f aca="false">ROUND(9.75/FX,2)</f>
        <v>1.35</v>
      </c>
      <c r="D525" s="22" t="s">
        <v>5612</v>
      </c>
    </row>
    <row r="528" customFormat="false" ht="61.5" hidden="false" customHeight="true" outlineLevel="0" collapsed="false">
      <c r="A528" s="9"/>
      <c r="B528" s="10" t="s">
        <v>20550</v>
      </c>
      <c r="C528" s="10"/>
      <c r="D528" s="10"/>
      <c r="E528" s="10"/>
      <c r="F528" s="10"/>
    </row>
    <row r="529" customFormat="false" ht="15" hidden="false" customHeight="false" outlineLevel="0" collapsed="false">
      <c r="A529" s="12" t="s">
        <v>700</v>
      </c>
      <c r="B529" s="13" t="s">
        <v>701</v>
      </c>
      <c r="C529" s="13" t="s">
        <v>702</v>
      </c>
      <c r="D529" s="13" t="s">
        <v>722</v>
      </c>
      <c r="E529" s="13" t="s">
        <v>723</v>
      </c>
      <c r="F529" s="13" t="s">
        <v>6523</v>
      </c>
    </row>
    <row r="530" customFormat="false" ht="30" hidden="false" customHeight="true" outlineLevel="0" collapsed="false">
      <c r="A530" s="14" t="s">
        <v>706</v>
      </c>
      <c r="B530" s="15" t="str">
        <f aca="false">IF(COUNTIFS($D$533:$D$537,IF(D530="","*",D530),$E$533:$E$537,IF(E530="","*",E530),$F$533:$F$537,IF(F530="","*",F530))=1,INDEX($B:$B,SUMPRODUCT(((D530="")+($D$533:$D$537=D530)&gt;0)*((E530="")+($E$533:$E$537=E530)&gt;0)*((F530="")+($F$533:$F$537=F530)&gt;0)*ROW($B$533:$B$537))),IF(COUNTIFS($D$533:$D$537,IF(D530="","*",D530),$E$533:$E$537,IF(E530="","*",E530),$F$533:$F$537,IF(F530="","*",F530))=0,"Not available",COUNTIFS($D$533:$D$537,IF(D530="","*",D530),$E$533:$E$537,IF(E530="","*",E530),$F$533:$F$537,IF(F530="","*",F530))&amp;" match, keep choosing"))</f>
        <v>EG-023-14x12-BK-SXZC-XBD-x25</v>
      </c>
      <c r="C530" s="16" t="n">
        <f aca="false">IF(COUNTIFS($D$533:$D$537,IF(D530="","*",D530),$E$533:$E$537,IF(E530="","*",E530),$F$533:$F$537,IF(F530="","*",F530))=1,INDEX($C:$C,SUMPRODUCT(((D530="")+($D$533:$D$537=D530)&gt;0)*((E530="")+($E$533:$E$537=E530)&gt;0)*((F530="")+($F$533:$F$537=F530)&gt;0)*ROW($B$533:$B$537))),"")</f>
        <v>1.86</v>
      </c>
      <c r="D530" s="17" t="s">
        <v>724</v>
      </c>
      <c r="E530" s="17" t="s">
        <v>20551</v>
      </c>
      <c r="F530" s="17" t="s">
        <v>20552</v>
      </c>
    </row>
    <row r="532" customFormat="false" ht="15" hidden="false" customHeight="false" outlineLevel="0" collapsed="false">
      <c r="B532" s="18" t="s">
        <v>701</v>
      </c>
      <c r="C532" s="18" t="s">
        <v>702</v>
      </c>
      <c r="D532" s="18" t="s">
        <v>722</v>
      </c>
      <c r="E532" s="18" t="s">
        <v>723</v>
      </c>
      <c r="F532" s="18" t="s">
        <v>6523</v>
      </c>
    </row>
    <row r="533" customFormat="false" ht="41.75" hidden="false" customHeight="false" outlineLevel="0" collapsed="false">
      <c r="B533" s="19" t="s">
        <v>20553</v>
      </c>
      <c r="C533" s="20" t="n">
        <f aca="false">ROUND(13.37/FX,2)</f>
        <v>1.86</v>
      </c>
      <c r="D533" s="21" t="s">
        <v>724</v>
      </c>
      <c r="E533" s="21" t="s">
        <v>20551</v>
      </c>
      <c r="F533" s="21" t="s">
        <v>20552</v>
      </c>
    </row>
    <row r="534" customFormat="false" ht="41.75" hidden="false" customHeight="false" outlineLevel="0" collapsed="false">
      <c r="B534" s="19" t="s">
        <v>20554</v>
      </c>
      <c r="C534" s="20" t="n">
        <f aca="false">ROUND(13.33/FX,2)</f>
        <v>1.85</v>
      </c>
      <c r="D534" s="21" t="s">
        <v>18157</v>
      </c>
      <c r="E534" s="21" t="s">
        <v>20551</v>
      </c>
      <c r="F534" s="21" t="s">
        <v>20552</v>
      </c>
    </row>
    <row r="535" customFormat="false" ht="41.75" hidden="false" customHeight="false" outlineLevel="0" collapsed="false">
      <c r="B535" s="19" t="s">
        <v>20555</v>
      </c>
      <c r="C535" s="20" t="n">
        <f aca="false">ROUND(26.33/FX,2)</f>
        <v>3.66</v>
      </c>
      <c r="D535" s="21" t="s">
        <v>18157</v>
      </c>
      <c r="E535" s="21" t="s">
        <v>20556</v>
      </c>
      <c r="F535" s="21" t="s">
        <v>20552</v>
      </c>
    </row>
    <row r="536" customFormat="false" ht="28.35" hidden="false" customHeight="false" outlineLevel="0" collapsed="false">
      <c r="B536" s="19" t="s">
        <v>20557</v>
      </c>
      <c r="C536" s="20" t="n">
        <f aca="false">ROUND(20.8/FX,2)</f>
        <v>2.89</v>
      </c>
      <c r="D536" s="21" t="s">
        <v>18157</v>
      </c>
      <c r="E536" s="21" t="s">
        <v>20558</v>
      </c>
      <c r="F536" s="21" t="s">
        <v>20559</v>
      </c>
    </row>
    <row r="537" customFormat="false" ht="15" hidden="false" customHeight="false" outlineLevel="0" collapsed="false">
      <c r="B537" s="19" t="s">
        <v>20560</v>
      </c>
      <c r="C537" s="20" t="n">
        <f aca="false">ROUND(13/FX,2)</f>
        <v>1.81</v>
      </c>
      <c r="D537" s="21" t="s">
        <v>18157</v>
      </c>
      <c r="E537" s="21" t="s">
        <v>20561</v>
      </c>
      <c r="F537" s="21" t="s">
        <v>20559</v>
      </c>
    </row>
    <row r="540" customFormat="false" ht="61.5" hidden="false" customHeight="true" outlineLevel="0" collapsed="false">
      <c r="A540" s="9"/>
      <c r="B540" s="10" t="s">
        <v>20562</v>
      </c>
      <c r="C540" s="10"/>
      <c r="D540" s="10"/>
      <c r="E540" s="10"/>
    </row>
    <row r="541" customFormat="false" ht="15" hidden="false" customHeight="false" outlineLevel="0" collapsed="false">
      <c r="A541" s="12" t="s">
        <v>700</v>
      </c>
      <c r="B541" s="13" t="s">
        <v>701</v>
      </c>
      <c r="C541" s="13" t="s">
        <v>702</v>
      </c>
      <c r="D541" s="13" t="s">
        <v>722</v>
      </c>
      <c r="E541" s="13" t="s">
        <v>5610</v>
      </c>
    </row>
    <row r="542" customFormat="false" ht="30" hidden="false" customHeight="true" outlineLevel="0" collapsed="false">
      <c r="A542" s="14" t="s">
        <v>706</v>
      </c>
      <c r="B542" s="15" t="str">
        <f aca="false">IF(COUNTIFS($D$545:$D$548,IF(D542="","*",D542),$E$545:$E$548,IF(E542="","*",E542))=1,INDEX($B:$B,SUMPRODUCT(((D542="")+($D$545:$D$548=D542)&gt;0)*((E542="")+($E$545:$E$548=E542)&gt;0)*ROW($B$545:$B$548))),IF(COUNTIFS($D$545:$D$548,IF(D542="","*",D542),$E$545:$E$548,IF(E542="","*",E542))=0,"Not available",COUNTIFS($D$545:$D$548,IF(D542="","*",D542),$E$545:$E$548,IF(E542="","*",E542))&amp;" match, keep choosing"))</f>
        <v>EG-057-BK-10</v>
      </c>
      <c r="C542" s="16" t="n">
        <f aca="false">IF(COUNTIFS($D$545:$D$548,IF(D542="","*",D542),$E$545:$E$548,IF(E542="","*",E542))=1,INDEX($C:$C,SUMPRODUCT(((D542="")+($D$545:$D$548=D542)&gt;0)*((E542="")+($E$545:$E$548=E542)&gt;0)*ROW($B$545:$B$548))),"")</f>
        <v>22.92</v>
      </c>
      <c r="D542" s="17" t="s">
        <v>724</v>
      </c>
      <c r="E542" s="17" t="s">
        <v>11488</v>
      </c>
    </row>
    <row r="544" customFormat="false" ht="15" hidden="false" customHeight="false" outlineLevel="0" collapsed="false">
      <c r="B544" s="18" t="s">
        <v>701</v>
      </c>
      <c r="C544" s="18" t="s">
        <v>702</v>
      </c>
      <c r="D544" s="18" t="s">
        <v>722</v>
      </c>
      <c r="E544" s="18" t="s">
        <v>5610</v>
      </c>
    </row>
    <row r="545" customFormat="false" ht="15" hidden="false" customHeight="false" outlineLevel="0" collapsed="false">
      <c r="B545" s="19" t="s">
        <v>20563</v>
      </c>
      <c r="C545" s="20" t="n">
        <f aca="false">ROUND(165/FX,2)</f>
        <v>22.92</v>
      </c>
      <c r="D545" s="21" t="s">
        <v>724</v>
      </c>
      <c r="E545" s="21" t="s">
        <v>11488</v>
      </c>
    </row>
    <row r="546" customFormat="false" ht="15" hidden="false" customHeight="false" outlineLevel="0" collapsed="false">
      <c r="B546" s="19" t="s">
        <v>20564</v>
      </c>
      <c r="C546" s="20" t="n">
        <f aca="false">ROUND(165/FX,2)</f>
        <v>22.92</v>
      </c>
      <c r="D546" s="21" t="s">
        <v>724</v>
      </c>
      <c r="E546" s="21" t="s">
        <v>11490</v>
      </c>
    </row>
    <row r="547" customFormat="false" ht="15" hidden="false" customHeight="false" outlineLevel="0" collapsed="false">
      <c r="B547" s="19" t="s">
        <v>20565</v>
      </c>
      <c r="C547" s="20" t="n">
        <f aca="false">ROUND(165/FX,2)</f>
        <v>22.92</v>
      </c>
      <c r="D547" s="21" t="s">
        <v>6549</v>
      </c>
      <c r="E547" s="21" t="s">
        <v>11488</v>
      </c>
    </row>
    <row r="548" customFormat="false" ht="15" hidden="false" customHeight="false" outlineLevel="0" collapsed="false">
      <c r="B548" s="19" t="s">
        <v>20566</v>
      </c>
      <c r="C548" s="20" t="n">
        <f aca="false">ROUND(165/FX,2)</f>
        <v>22.92</v>
      </c>
      <c r="D548" s="21" t="s">
        <v>6549</v>
      </c>
      <c r="E548" s="21" t="s">
        <v>11490</v>
      </c>
    </row>
    <row r="551" customFormat="false" ht="61.5" hidden="false" customHeight="true" outlineLevel="0" collapsed="false">
      <c r="A551" s="9"/>
      <c r="B551" s="10" t="s">
        <v>20567</v>
      </c>
      <c r="C551" s="10"/>
      <c r="D551" s="10"/>
    </row>
    <row r="552" customFormat="false" ht="15" hidden="false" customHeight="false" outlineLevel="0" collapsed="false">
      <c r="B552" s="18" t="s">
        <v>701</v>
      </c>
      <c r="C552" s="18" t="s">
        <v>702</v>
      </c>
      <c r="D552" s="18" t="s">
        <v>5610</v>
      </c>
    </row>
    <row r="553" customFormat="false" ht="15" hidden="false" customHeight="false" outlineLevel="0" collapsed="false">
      <c r="B553" s="19" t="s">
        <v>20568</v>
      </c>
      <c r="C553" s="20" t="n">
        <f aca="false">ROUND(5.6/FX,2)</f>
        <v>0.78</v>
      </c>
      <c r="D553" s="22" t="s">
        <v>5612</v>
      </c>
    </row>
    <row r="556" customFormat="false" ht="61.5" hidden="false" customHeight="true" outlineLevel="0" collapsed="false">
      <c r="A556" s="9"/>
      <c r="B556" s="10" t="s">
        <v>20569</v>
      </c>
      <c r="C556" s="10"/>
      <c r="D556" s="10"/>
      <c r="E556" s="10"/>
    </row>
    <row r="557" customFormat="false" ht="15" hidden="false" customHeight="false" outlineLevel="0" collapsed="false">
      <c r="A557" s="12" t="s">
        <v>700</v>
      </c>
      <c r="B557" s="13" t="s">
        <v>701</v>
      </c>
      <c r="C557" s="13" t="s">
        <v>702</v>
      </c>
      <c r="D557" s="13" t="s">
        <v>5610</v>
      </c>
      <c r="E557" s="13" t="s">
        <v>723</v>
      </c>
    </row>
    <row r="558" customFormat="false" ht="30" hidden="false" customHeight="true" outlineLevel="0" collapsed="false">
      <c r="A558" s="14" t="s">
        <v>706</v>
      </c>
      <c r="B558" s="15" t="str">
        <f aca="false">IF(COUNTIFS($D$561:$D$562,IF(D558="","*",D558),$E$561:$E$562,IF(E558="","*",E558))=1,INDEX($B:$B,SUMPRODUCT(((D558="")+($D$561:$D$562=D558)&gt;0)*((E558="")+($E$561:$E$562=E558)&gt;0)*ROW($B$561:$B$562))),IF(COUNTIFS($D$561:$D$562,IF(D558="","*",D558),$E$561:$E$562,IF(E558="","*",E558))=0,"Not available",COUNTIFS($D$561:$D$562,IF(D558="","*",D558),$E$561:$E$562,IF(E558="","*",E558))&amp;" match, keep choosing"))</f>
        <v>EG-046-M1-M12-190</v>
      </c>
      <c r="C558" s="16" t="n">
        <f aca="false">IF(COUNTIFS($D$561:$D$562,IF(D558="","*",D558),$E$561:$E$562,IF(E558="","*",E558))=1,INDEX($C:$C,SUMPRODUCT(((D558="")+($D$561:$D$562=D558)&gt;0)*((E558="")+($E$561:$E$562=E558)&gt;0)*ROW($B$561:$B$562))),"")</f>
        <v>1.04</v>
      </c>
      <c r="D558" s="17" t="s">
        <v>20570</v>
      </c>
      <c r="E558" s="17" t="s">
        <v>20571</v>
      </c>
    </row>
    <row r="560" customFormat="false" ht="15" hidden="false" customHeight="false" outlineLevel="0" collapsed="false">
      <c r="B560" s="18" t="s">
        <v>701</v>
      </c>
      <c r="C560" s="18" t="s">
        <v>702</v>
      </c>
      <c r="D560" s="18" t="s">
        <v>5610</v>
      </c>
      <c r="E560" s="18" t="s">
        <v>723</v>
      </c>
    </row>
    <row r="561" customFormat="false" ht="15" hidden="false" customHeight="false" outlineLevel="0" collapsed="false">
      <c r="B561" s="19" t="s">
        <v>20572</v>
      </c>
      <c r="C561" s="20" t="n">
        <f aca="false">ROUND(7.48/FX,2)</f>
        <v>1.04</v>
      </c>
      <c r="D561" s="21" t="s">
        <v>20570</v>
      </c>
      <c r="E561" s="21" t="s">
        <v>20571</v>
      </c>
    </row>
    <row r="562" customFormat="false" ht="15" hidden="false" customHeight="false" outlineLevel="0" collapsed="false">
      <c r="B562" s="19" t="s">
        <v>20573</v>
      </c>
      <c r="C562" s="20" t="n">
        <f aca="false">ROUND(9.5/FX,2)</f>
        <v>1.32</v>
      </c>
      <c r="D562" s="21" t="s">
        <v>20574</v>
      </c>
      <c r="E562" s="21" t="s">
        <v>20575</v>
      </c>
    </row>
    <row r="565" customFormat="false" ht="61.5" hidden="false" customHeight="true" outlineLevel="0" collapsed="false">
      <c r="A565" s="9"/>
      <c r="B565" s="10" t="s">
        <v>20576</v>
      </c>
      <c r="C565" s="10"/>
      <c r="D565" s="10"/>
    </row>
    <row r="566" customFormat="false" ht="15" hidden="false" customHeight="false" outlineLevel="0" collapsed="false">
      <c r="B566" s="18" t="s">
        <v>701</v>
      </c>
      <c r="C566" s="18" t="s">
        <v>702</v>
      </c>
      <c r="D566" s="18" t="s">
        <v>5610</v>
      </c>
    </row>
    <row r="567" customFormat="false" ht="15" hidden="false" customHeight="false" outlineLevel="0" collapsed="false">
      <c r="B567" s="19" t="s">
        <v>20577</v>
      </c>
      <c r="C567" s="20" t="n">
        <f aca="false">ROUND(120/FX,2)</f>
        <v>16.67</v>
      </c>
      <c r="D567" s="22" t="s">
        <v>5612</v>
      </c>
    </row>
    <row r="570" customFormat="false" ht="61.5" hidden="false" customHeight="true" outlineLevel="0" collapsed="false">
      <c r="A570" s="9"/>
      <c r="B570" s="10" t="s">
        <v>20578</v>
      </c>
      <c r="C570" s="10"/>
      <c r="D570" s="10"/>
      <c r="E570" s="10"/>
    </row>
    <row r="571" customFormat="false" ht="15" hidden="false" customHeight="false" outlineLevel="0" collapsed="false">
      <c r="A571" s="12" t="s">
        <v>700</v>
      </c>
      <c r="B571" s="13" t="s">
        <v>701</v>
      </c>
      <c r="C571" s="13" t="s">
        <v>702</v>
      </c>
      <c r="D571" s="13" t="s">
        <v>723</v>
      </c>
      <c r="E571" s="13" t="s">
        <v>6523</v>
      </c>
    </row>
    <row r="572" customFormat="false" ht="30" hidden="false" customHeight="true" outlineLevel="0" collapsed="false">
      <c r="A572" s="14" t="s">
        <v>706</v>
      </c>
      <c r="B572" s="15" t="str">
        <f aca="false">IF(COUNTIFS($D$575:$D$590,IF(D572="","*",D572),$E$575:$E$590,IF(E572="","*",E572))=1,INDEX($B:$B,SUMPRODUCT(((D572="")+($D$575:$D$590=D572)&gt;0)*((E572="")+($E$575:$E$590=E572)&gt;0)*ROW($B$575:$B$590))),IF(COUNTIFS($D$575:$D$590,IF(D572="","*",D572),$E$575:$E$590,IF(E572="","*",E572))=0,"Not available",COUNTIFS($D$575:$D$590,IF(D572="","*",D572),$E$575:$E$590,IF(E572="","*",E572))&amp;" match, keep choosing"))</f>
        <v>EG-059-0.21Z</v>
      </c>
      <c r="C572" s="16" t="n">
        <f aca="false">IF(COUNTIFS($D$575:$D$590,IF(D572="","*",D572),$E$575:$E$590,IF(E572="","*",E572))=1,INDEX($C:$C,SUMPRODUCT(((D572="")+($D$575:$D$590=D572)&gt;0)*((E572="")+($E$575:$E$590=E572)&gt;0)*ROW($B$575:$B$590))),"")</f>
        <v>0.16</v>
      </c>
      <c r="D572" s="17" t="s">
        <v>20579</v>
      </c>
      <c r="E572" s="17" t="s">
        <v>6336</v>
      </c>
    </row>
    <row r="574" customFormat="false" ht="15" hidden="false" customHeight="false" outlineLevel="0" collapsed="false">
      <c r="B574" s="18" t="s">
        <v>701</v>
      </c>
      <c r="C574" s="18" t="s">
        <v>702</v>
      </c>
      <c r="D574" s="18" t="s">
        <v>723</v>
      </c>
      <c r="E574" s="18" t="s">
        <v>6523</v>
      </c>
    </row>
    <row r="575" customFormat="false" ht="15" hidden="false" customHeight="false" outlineLevel="0" collapsed="false">
      <c r="B575" s="19" t="s">
        <v>20580</v>
      </c>
      <c r="C575" s="20" t="n">
        <f aca="false">ROUND(1.12/FX,2)</f>
        <v>0.16</v>
      </c>
      <c r="D575" s="21" t="s">
        <v>20579</v>
      </c>
      <c r="E575" s="21" t="s">
        <v>6336</v>
      </c>
    </row>
    <row r="576" customFormat="false" ht="15" hidden="false" customHeight="false" outlineLevel="0" collapsed="false">
      <c r="B576" s="19" t="s">
        <v>20581</v>
      </c>
      <c r="C576" s="20" t="n">
        <f aca="false">ROUND(0.49/FX,2)</f>
        <v>0.07</v>
      </c>
      <c r="D576" s="21" t="s">
        <v>20582</v>
      </c>
      <c r="E576" s="21" t="s">
        <v>6336</v>
      </c>
    </row>
    <row r="577" customFormat="false" ht="15" hidden="false" customHeight="false" outlineLevel="0" collapsed="false">
      <c r="B577" s="19" t="s">
        <v>20583</v>
      </c>
      <c r="C577" s="20" t="n">
        <f aca="false">ROUND(0.81/FX,2)</f>
        <v>0.11</v>
      </c>
      <c r="D577" s="21" t="s">
        <v>20584</v>
      </c>
      <c r="E577" s="21" t="s">
        <v>6336</v>
      </c>
    </row>
    <row r="578" customFormat="false" ht="15" hidden="false" customHeight="false" outlineLevel="0" collapsed="false">
      <c r="B578" s="19" t="s">
        <v>20585</v>
      </c>
      <c r="C578" s="20" t="n">
        <f aca="false">ROUND(0.48/FX,2)</f>
        <v>0.07</v>
      </c>
      <c r="D578" s="21" t="s">
        <v>734</v>
      </c>
      <c r="E578" s="21" t="s">
        <v>20586</v>
      </c>
    </row>
    <row r="579" customFormat="false" ht="15" hidden="false" customHeight="false" outlineLevel="0" collapsed="false">
      <c r="B579" s="19" t="s">
        <v>20587</v>
      </c>
      <c r="C579" s="20" t="n">
        <f aca="false">ROUND(0.48/FX,2)</f>
        <v>0.07</v>
      </c>
      <c r="D579" s="21" t="s">
        <v>20588</v>
      </c>
      <c r="E579" s="21" t="s">
        <v>6336</v>
      </c>
    </row>
    <row r="580" customFormat="false" ht="15" hidden="false" customHeight="false" outlineLevel="0" collapsed="false">
      <c r="B580" s="19" t="s">
        <v>20589</v>
      </c>
      <c r="C580" s="20" t="n">
        <f aca="false">ROUND(0.39/FX,2)</f>
        <v>0.05</v>
      </c>
      <c r="D580" s="21" t="s">
        <v>734</v>
      </c>
      <c r="E580" s="21" t="s">
        <v>20590</v>
      </c>
    </row>
    <row r="581" customFormat="false" ht="15" hidden="false" customHeight="false" outlineLevel="0" collapsed="false">
      <c r="B581" s="19" t="s">
        <v>20591</v>
      </c>
      <c r="C581" s="20" t="n">
        <f aca="false">ROUND(0.5/FX,2)</f>
        <v>0.07</v>
      </c>
      <c r="D581" s="21" t="s">
        <v>20592</v>
      </c>
      <c r="E581" s="21" t="s">
        <v>6336</v>
      </c>
    </row>
    <row r="582" customFormat="false" ht="15" hidden="false" customHeight="false" outlineLevel="0" collapsed="false">
      <c r="B582" s="19" t="s">
        <v>20593</v>
      </c>
      <c r="C582" s="20" t="n">
        <f aca="false">ROUND(0.81/FX,2)</f>
        <v>0.11</v>
      </c>
      <c r="D582" s="21" t="s">
        <v>20594</v>
      </c>
      <c r="E582" s="21" t="s">
        <v>6336</v>
      </c>
    </row>
    <row r="583" customFormat="false" ht="15" hidden="false" customHeight="false" outlineLevel="0" collapsed="false">
      <c r="B583" s="19" t="s">
        <v>20595</v>
      </c>
      <c r="C583" s="20" t="n">
        <f aca="false">ROUND(0.81/FX,2)</f>
        <v>0.11</v>
      </c>
      <c r="D583" s="21" t="s">
        <v>13732</v>
      </c>
      <c r="E583" s="21" t="s">
        <v>20596</v>
      </c>
    </row>
    <row r="584" customFormat="false" ht="15" hidden="false" customHeight="false" outlineLevel="0" collapsed="false">
      <c r="B584" s="19" t="s">
        <v>20597</v>
      </c>
      <c r="C584" s="20" t="n">
        <f aca="false">ROUND(0.48/FX,2)</f>
        <v>0.07</v>
      </c>
      <c r="D584" s="21" t="s">
        <v>20598</v>
      </c>
      <c r="E584" s="21" t="s">
        <v>6336</v>
      </c>
    </row>
    <row r="585" customFormat="false" ht="15" hidden="false" customHeight="false" outlineLevel="0" collapsed="false">
      <c r="B585" s="19" t="s">
        <v>20599</v>
      </c>
      <c r="C585" s="20" t="n">
        <f aca="false">ROUND(0.78/FX,2)</f>
        <v>0.11</v>
      </c>
      <c r="D585" s="21" t="s">
        <v>20600</v>
      </c>
      <c r="E585" s="21" t="s">
        <v>6336</v>
      </c>
    </row>
    <row r="586" customFormat="false" ht="15" hidden="false" customHeight="false" outlineLevel="0" collapsed="false">
      <c r="B586" s="19" t="s">
        <v>20601</v>
      </c>
      <c r="C586" s="20" t="n">
        <f aca="false">ROUND(1.98/FX,2)</f>
        <v>0.28</v>
      </c>
      <c r="D586" s="21" t="s">
        <v>20602</v>
      </c>
      <c r="E586" s="21" t="s">
        <v>6336</v>
      </c>
    </row>
    <row r="587" customFormat="false" ht="15" hidden="false" customHeight="false" outlineLevel="0" collapsed="false">
      <c r="B587" s="19" t="s">
        <v>20603</v>
      </c>
      <c r="C587" s="20" t="n">
        <f aca="false">ROUND(1.98/FX,2)</f>
        <v>0.28</v>
      </c>
      <c r="D587" s="21" t="s">
        <v>20604</v>
      </c>
      <c r="E587" s="21" t="s">
        <v>6336</v>
      </c>
    </row>
    <row r="588" customFormat="false" ht="15" hidden="false" customHeight="false" outlineLevel="0" collapsed="false">
      <c r="B588" s="19" t="s">
        <v>20605</v>
      </c>
      <c r="C588" s="20" t="n">
        <f aca="false">ROUND(1.98/FX,2)</f>
        <v>0.28</v>
      </c>
      <c r="D588" s="21" t="s">
        <v>13732</v>
      </c>
      <c r="E588" s="21" t="s">
        <v>20606</v>
      </c>
    </row>
    <row r="589" customFormat="false" ht="15" hidden="false" customHeight="false" outlineLevel="0" collapsed="false">
      <c r="B589" s="19" t="s">
        <v>20607</v>
      </c>
      <c r="C589" s="20" t="n">
        <f aca="false">ROUND(2.5/FX,2)</f>
        <v>0.35</v>
      </c>
      <c r="D589" s="21" t="s">
        <v>734</v>
      </c>
      <c r="E589" s="21" t="s">
        <v>20608</v>
      </c>
    </row>
    <row r="590" customFormat="false" ht="15" hidden="false" customHeight="false" outlineLevel="0" collapsed="false">
      <c r="B590" s="19" t="s">
        <v>20609</v>
      </c>
      <c r="C590" s="20" t="n">
        <f aca="false">ROUND(0.49/FX,2)</f>
        <v>0.07</v>
      </c>
      <c r="D590" s="21" t="s">
        <v>20610</v>
      </c>
      <c r="E590" s="21" t="s">
        <v>6336</v>
      </c>
    </row>
    <row r="593" customFormat="false" ht="61.5" hidden="false" customHeight="true" outlineLevel="0" collapsed="false">
      <c r="A593" s="9"/>
      <c r="B593" s="10" t="s">
        <v>20611</v>
      </c>
      <c r="C593" s="10"/>
      <c r="D593" s="10"/>
      <c r="E593" s="10"/>
      <c r="F593" s="10"/>
    </row>
    <row r="594" customFormat="false" ht="15" hidden="false" customHeight="false" outlineLevel="0" collapsed="false">
      <c r="A594" s="12" t="s">
        <v>700</v>
      </c>
      <c r="B594" s="13" t="s">
        <v>701</v>
      </c>
      <c r="C594" s="13" t="s">
        <v>702</v>
      </c>
      <c r="D594" s="13" t="s">
        <v>722</v>
      </c>
      <c r="E594" s="13" t="s">
        <v>723</v>
      </c>
      <c r="F594" s="13" t="s">
        <v>13701</v>
      </c>
    </row>
    <row r="595" customFormat="false" ht="30" hidden="false" customHeight="true" outlineLevel="0" collapsed="false">
      <c r="A595" s="14" t="s">
        <v>706</v>
      </c>
      <c r="B595" s="15" t="str">
        <f aca="false">IF(COUNTIFS($D$598:$D$708,IF(D595="","*",D595),$E$598:$E$708,IF(E595="","*",E595),$F$598:$F$708,IF(F595="","*",F595))=1,INDEX($B:$B,SUMPRODUCT(((D595="")+($D$598:$D$708=D595)&gt;0)*((E595="")+($E$598:$E$708=E595)&gt;0)*((F595="")+($F$598:$F$708=F595)&gt;0)*ROW($B$598:$B$708))),IF(COUNTIFS($D$598:$D$708,IF(D595="","*",D595),$E$598:$E$708,IF(E595="","*",E595),$F$598:$F$708,IF(F595="","*",F595))=0,"Not available",COUNTIFS($D$598:$D$708,IF(D595="","*",D595),$E$598:$E$708,IF(E595="","*",E595),$F$598:$F$708,IF(F595="","*",F595))&amp;" match, keep choosing"))</f>
        <v>EG-035-M10x1-BK-LX-F</v>
      </c>
      <c r="C595" s="16" t="n">
        <f aca="false">IF(COUNTIFS($D$598:$D$708,IF(D595="","*",D595),$E$598:$E$708,IF(E595="","*",E595),$F$598:$F$708,IF(F595="","*",F595))=1,INDEX($C:$C,SUMPRODUCT(((D595="")+($D$598:$D$708=D595)&gt;0)*((E595="")+($E$598:$E$708=E595)&gt;0)*((F595="")+($F$598:$F$708=F595)&gt;0)*ROW($B$598:$B$708))),"")</f>
        <v>1.81</v>
      </c>
      <c r="D595" s="17" t="s">
        <v>724</v>
      </c>
      <c r="E595" s="17" t="s">
        <v>20612</v>
      </c>
      <c r="F595" s="17" t="s">
        <v>16204</v>
      </c>
    </row>
    <row r="597" customFormat="false" ht="15" hidden="false" customHeight="false" outlineLevel="0" collapsed="false">
      <c r="B597" s="18" t="s">
        <v>701</v>
      </c>
      <c r="C597" s="18" t="s">
        <v>702</v>
      </c>
      <c r="D597" s="18" t="s">
        <v>722</v>
      </c>
      <c r="E597" s="18" t="s">
        <v>723</v>
      </c>
      <c r="F597" s="18" t="s">
        <v>13701</v>
      </c>
    </row>
    <row r="598" customFormat="false" ht="15" hidden="false" customHeight="false" outlineLevel="0" collapsed="false">
      <c r="B598" s="19" t="s">
        <v>20613</v>
      </c>
      <c r="C598" s="20" t="n">
        <f aca="false">ROUND(13/FX,2)</f>
        <v>1.81</v>
      </c>
      <c r="D598" s="21" t="s">
        <v>724</v>
      </c>
      <c r="E598" s="21" t="s">
        <v>20612</v>
      </c>
      <c r="F598" s="21" t="s">
        <v>16204</v>
      </c>
    </row>
    <row r="599" customFormat="false" ht="15" hidden="false" customHeight="false" outlineLevel="0" collapsed="false">
      <c r="B599" s="19" t="s">
        <v>20614</v>
      </c>
      <c r="C599" s="20" t="n">
        <f aca="false">ROUND(12.85/FX,2)</f>
        <v>1.78</v>
      </c>
      <c r="D599" s="21" t="s">
        <v>724</v>
      </c>
      <c r="E599" s="21" t="s">
        <v>20615</v>
      </c>
      <c r="F599" s="21" t="s">
        <v>16204</v>
      </c>
    </row>
    <row r="600" customFormat="false" ht="28.35" hidden="false" customHeight="false" outlineLevel="0" collapsed="false">
      <c r="B600" s="19" t="s">
        <v>20616</v>
      </c>
      <c r="C600" s="20" t="n">
        <f aca="false">ROUND(13/FX,2)</f>
        <v>1.81</v>
      </c>
      <c r="D600" s="21" t="s">
        <v>6336</v>
      </c>
      <c r="E600" s="21" t="s">
        <v>20617</v>
      </c>
      <c r="F600" s="21" t="s">
        <v>16204</v>
      </c>
    </row>
    <row r="601" customFormat="false" ht="28.35" hidden="false" customHeight="false" outlineLevel="0" collapsed="false">
      <c r="B601" s="19" t="s">
        <v>20618</v>
      </c>
      <c r="C601" s="20" t="n">
        <f aca="false">ROUND(12.19/FX,2)</f>
        <v>1.69</v>
      </c>
      <c r="D601" s="21" t="s">
        <v>6336</v>
      </c>
      <c r="E601" s="21" t="s">
        <v>20619</v>
      </c>
      <c r="F601" s="21" t="s">
        <v>16204</v>
      </c>
    </row>
    <row r="602" customFormat="false" ht="15" hidden="false" customHeight="false" outlineLevel="0" collapsed="false">
      <c r="B602" s="19" t="s">
        <v>20620</v>
      </c>
      <c r="C602" s="20" t="n">
        <f aca="false">ROUND(13/FX,2)</f>
        <v>1.81</v>
      </c>
      <c r="D602" s="21" t="s">
        <v>724</v>
      </c>
      <c r="E602" s="21" t="s">
        <v>20612</v>
      </c>
      <c r="F602" s="21" t="s">
        <v>14776</v>
      </c>
    </row>
    <row r="603" customFormat="false" ht="28.35" hidden="false" customHeight="false" outlineLevel="0" collapsed="false">
      <c r="B603" s="19" t="s">
        <v>20621</v>
      </c>
      <c r="C603" s="20" t="n">
        <f aca="false">ROUND(13/FX,2)</f>
        <v>1.81</v>
      </c>
      <c r="D603" s="21" t="s">
        <v>6336</v>
      </c>
      <c r="E603" s="21" t="s">
        <v>20617</v>
      </c>
      <c r="F603" s="21" t="s">
        <v>14776</v>
      </c>
    </row>
    <row r="604" customFormat="false" ht="28.35" hidden="false" customHeight="false" outlineLevel="0" collapsed="false">
      <c r="B604" s="19" t="s">
        <v>20622</v>
      </c>
      <c r="C604" s="20" t="n">
        <f aca="false">ROUND(12.19/FX,2)</f>
        <v>1.69</v>
      </c>
      <c r="D604" s="21" t="s">
        <v>6336</v>
      </c>
      <c r="E604" s="21" t="s">
        <v>20619</v>
      </c>
      <c r="F604" s="21" t="s">
        <v>14776</v>
      </c>
    </row>
    <row r="605" customFormat="false" ht="15" hidden="false" customHeight="false" outlineLevel="0" collapsed="false">
      <c r="B605" s="19" t="s">
        <v>20623</v>
      </c>
      <c r="C605" s="20" t="n">
        <f aca="false">ROUND(11.7/FX,2)</f>
        <v>1.63</v>
      </c>
      <c r="D605" s="21" t="s">
        <v>724</v>
      </c>
      <c r="E605" s="21" t="s">
        <v>20354</v>
      </c>
      <c r="F605" s="21" t="s">
        <v>14780</v>
      </c>
    </row>
    <row r="606" customFormat="false" ht="15" hidden="false" customHeight="false" outlineLevel="0" collapsed="false">
      <c r="B606" s="19" t="s">
        <v>20624</v>
      </c>
      <c r="C606" s="20" t="n">
        <f aca="false">ROUND(11.44/FX,2)</f>
        <v>1.59</v>
      </c>
      <c r="D606" s="21" t="s">
        <v>724</v>
      </c>
      <c r="E606" s="21" t="s">
        <v>20357</v>
      </c>
      <c r="F606" s="21" t="s">
        <v>14780</v>
      </c>
    </row>
    <row r="607" customFormat="false" ht="28.35" hidden="false" customHeight="false" outlineLevel="0" collapsed="false">
      <c r="B607" s="19" t="s">
        <v>20625</v>
      </c>
      <c r="C607" s="20" t="n">
        <f aca="false">ROUND(11.7/FX,2)</f>
        <v>1.63</v>
      </c>
      <c r="D607" s="21" t="s">
        <v>6336</v>
      </c>
      <c r="E607" s="21" t="s">
        <v>20626</v>
      </c>
      <c r="F607" s="21" t="s">
        <v>14780</v>
      </c>
    </row>
    <row r="608" customFormat="false" ht="28.35" hidden="false" customHeight="false" outlineLevel="0" collapsed="false">
      <c r="B608" s="19" t="s">
        <v>20627</v>
      </c>
      <c r="C608" s="20" t="n">
        <f aca="false">ROUND(11.44/FX,2)</f>
        <v>1.59</v>
      </c>
      <c r="D608" s="21" t="s">
        <v>6336</v>
      </c>
      <c r="E608" s="21" t="s">
        <v>20628</v>
      </c>
      <c r="F608" s="21" t="s">
        <v>14780</v>
      </c>
    </row>
    <row r="609" customFormat="false" ht="15" hidden="false" customHeight="false" outlineLevel="0" collapsed="false">
      <c r="B609" s="19" t="s">
        <v>20629</v>
      </c>
      <c r="C609" s="20" t="n">
        <f aca="false">ROUND(16.3/FX,2)</f>
        <v>2.26</v>
      </c>
      <c r="D609" s="21" t="s">
        <v>724</v>
      </c>
      <c r="E609" s="21" t="s">
        <v>20612</v>
      </c>
      <c r="F609" s="21" t="s">
        <v>16216</v>
      </c>
    </row>
    <row r="610" customFormat="false" ht="28.35" hidden="false" customHeight="false" outlineLevel="0" collapsed="false">
      <c r="B610" s="19" t="s">
        <v>20630</v>
      </c>
      <c r="C610" s="20" t="n">
        <f aca="false">ROUND(16.3/FX,2)</f>
        <v>2.26</v>
      </c>
      <c r="D610" s="21" t="s">
        <v>6336</v>
      </c>
      <c r="E610" s="21" t="s">
        <v>20617</v>
      </c>
      <c r="F610" s="21" t="s">
        <v>16216</v>
      </c>
    </row>
    <row r="611" customFormat="false" ht="28.35" hidden="false" customHeight="false" outlineLevel="0" collapsed="false">
      <c r="B611" s="19" t="s">
        <v>20631</v>
      </c>
      <c r="C611" s="20" t="n">
        <f aca="false">ROUND(14.53/FX,2)</f>
        <v>2.02</v>
      </c>
      <c r="D611" s="21" t="s">
        <v>6336</v>
      </c>
      <c r="E611" s="21" t="s">
        <v>20619</v>
      </c>
      <c r="F611" s="21" t="s">
        <v>16216</v>
      </c>
    </row>
    <row r="612" customFormat="false" ht="15" hidden="false" customHeight="false" outlineLevel="0" collapsed="false">
      <c r="B612" s="19" t="s">
        <v>20632</v>
      </c>
      <c r="C612" s="20" t="n">
        <f aca="false">ROUND(16.3/FX,2)</f>
        <v>2.26</v>
      </c>
      <c r="D612" s="21" t="s">
        <v>724</v>
      </c>
      <c r="E612" s="21" t="s">
        <v>20612</v>
      </c>
      <c r="F612" s="21" t="s">
        <v>14783</v>
      </c>
    </row>
    <row r="613" customFormat="false" ht="28.35" hidden="false" customHeight="false" outlineLevel="0" collapsed="false">
      <c r="B613" s="19" t="s">
        <v>20633</v>
      </c>
      <c r="C613" s="20" t="n">
        <f aca="false">ROUND(16.3/FX,2)</f>
        <v>2.26</v>
      </c>
      <c r="D613" s="21" t="s">
        <v>6336</v>
      </c>
      <c r="E613" s="21" t="s">
        <v>20617</v>
      </c>
      <c r="F613" s="21" t="s">
        <v>14783</v>
      </c>
    </row>
    <row r="614" customFormat="false" ht="28.35" hidden="false" customHeight="false" outlineLevel="0" collapsed="false">
      <c r="B614" s="19" t="s">
        <v>20634</v>
      </c>
      <c r="C614" s="20" t="n">
        <f aca="false">ROUND(14.53/FX,2)</f>
        <v>2.02</v>
      </c>
      <c r="D614" s="21" t="s">
        <v>6336</v>
      </c>
      <c r="E614" s="21" t="s">
        <v>20619</v>
      </c>
      <c r="F614" s="21" t="s">
        <v>14783</v>
      </c>
    </row>
    <row r="615" customFormat="false" ht="15" hidden="false" customHeight="false" outlineLevel="0" collapsed="false">
      <c r="B615" s="19" t="s">
        <v>20635</v>
      </c>
      <c r="C615" s="20" t="n">
        <f aca="false">ROUND(16.3/FX,2)</f>
        <v>2.26</v>
      </c>
      <c r="D615" s="21" t="s">
        <v>724</v>
      </c>
      <c r="E615" s="21" t="s">
        <v>20612</v>
      </c>
      <c r="F615" s="21" t="s">
        <v>14785</v>
      </c>
    </row>
    <row r="616" customFormat="false" ht="28.35" hidden="false" customHeight="false" outlineLevel="0" collapsed="false">
      <c r="B616" s="19" t="s">
        <v>20636</v>
      </c>
      <c r="C616" s="20" t="n">
        <f aca="false">ROUND(16.3/FX,2)</f>
        <v>2.26</v>
      </c>
      <c r="D616" s="21" t="s">
        <v>6336</v>
      </c>
      <c r="E616" s="21" t="s">
        <v>20617</v>
      </c>
      <c r="F616" s="21" t="s">
        <v>14785</v>
      </c>
    </row>
    <row r="617" customFormat="false" ht="28.35" hidden="false" customHeight="false" outlineLevel="0" collapsed="false">
      <c r="B617" s="19" t="s">
        <v>20637</v>
      </c>
      <c r="C617" s="20" t="n">
        <f aca="false">ROUND(14.53/FX,2)</f>
        <v>2.02</v>
      </c>
      <c r="D617" s="21" t="s">
        <v>6336</v>
      </c>
      <c r="E617" s="21" t="s">
        <v>20619</v>
      </c>
      <c r="F617" s="21" t="s">
        <v>14785</v>
      </c>
    </row>
    <row r="618" customFormat="false" ht="15" hidden="false" customHeight="false" outlineLevel="0" collapsed="false">
      <c r="B618" s="19" t="s">
        <v>20638</v>
      </c>
      <c r="C618" s="20" t="n">
        <f aca="false">ROUND(15.6/FX,2)</f>
        <v>2.17</v>
      </c>
      <c r="D618" s="21" t="s">
        <v>724</v>
      </c>
      <c r="E618" s="21" t="s">
        <v>20354</v>
      </c>
      <c r="F618" s="21" t="s">
        <v>14787</v>
      </c>
    </row>
    <row r="619" customFormat="false" ht="15" hidden="false" customHeight="false" outlineLevel="0" collapsed="false">
      <c r="B619" s="19" t="s">
        <v>20639</v>
      </c>
      <c r="C619" s="20" t="n">
        <f aca="false">ROUND(14.01/FX,2)</f>
        <v>1.95</v>
      </c>
      <c r="D619" s="21" t="s">
        <v>724</v>
      </c>
      <c r="E619" s="21" t="s">
        <v>20357</v>
      </c>
      <c r="F619" s="21" t="s">
        <v>14787</v>
      </c>
    </row>
    <row r="620" customFormat="false" ht="28.35" hidden="false" customHeight="false" outlineLevel="0" collapsed="false">
      <c r="B620" s="19" t="s">
        <v>20640</v>
      </c>
      <c r="C620" s="20" t="n">
        <f aca="false">ROUND(15.6/FX,2)</f>
        <v>2.17</v>
      </c>
      <c r="D620" s="21" t="s">
        <v>6336</v>
      </c>
      <c r="E620" s="21" t="s">
        <v>20626</v>
      </c>
      <c r="F620" s="21" t="s">
        <v>14787</v>
      </c>
    </row>
    <row r="621" customFormat="false" ht="28.35" hidden="false" customHeight="false" outlineLevel="0" collapsed="false">
      <c r="B621" s="19" t="s">
        <v>20641</v>
      </c>
      <c r="C621" s="20" t="n">
        <f aca="false">ROUND(14.01/FX,2)</f>
        <v>1.95</v>
      </c>
      <c r="D621" s="21" t="s">
        <v>6336</v>
      </c>
      <c r="E621" s="21" t="s">
        <v>20628</v>
      </c>
      <c r="F621" s="21" t="s">
        <v>14787</v>
      </c>
    </row>
    <row r="622" customFormat="false" ht="15" hidden="false" customHeight="false" outlineLevel="0" collapsed="false">
      <c r="B622" s="19" t="s">
        <v>20642</v>
      </c>
      <c r="C622" s="20" t="n">
        <f aca="false">ROUND(28.6/FX,2)</f>
        <v>3.97</v>
      </c>
      <c r="D622" s="21" t="s">
        <v>724</v>
      </c>
      <c r="E622" s="21" t="s">
        <v>20612</v>
      </c>
      <c r="F622" s="21" t="s">
        <v>14790</v>
      </c>
    </row>
    <row r="623" customFormat="false" ht="28.35" hidden="false" customHeight="false" outlineLevel="0" collapsed="false">
      <c r="B623" s="19" t="s">
        <v>20643</v>
      </c>
      <c r="C623" s="20" t="n">
        <f aca="false">ROUND(28.6/FX,2)</f>
        <v>3.97</v>
      </c>
      <c r="D623" s="21" t="s">
        <v>6336</v>
      </c>
      <c r="E623" s="21" t="s">
        <v>20617</v>
      </c>
      <c r="F623" s="21" t="s">
        <v>14790</v>
      </c>
    </row>
    <row r="624" customFormat="false" ht="28.35" hidden="false" customHeight="false" outlineLevel="0" collapsed="false">
      <c r="B624" s="19" t="s">
        <v>20644</v>
      </c>
      <c r="C624" s="20" t="n">
        <f aca="false">ROUND(23.35/FX,2)</f>
        <v>3.24</v>
      </c>
      <c r="D624" s="21" t="s">
        <v>6336</v>
      </c>
      <c r="E624" s="21" t="s">
        <v>20619</v>
      </c>
      <c r="F624" s="21" t="s">
        <v>14790</v>
      </c>
    </row>
    <row r="625" customFormat="false" ht="15" hidden="false" customHeight="false" outlineLevel="0" collapsed="false">
      <c r="B625" s="19" t="s">
        <v>20645</v>
      </c>
      <c r="C625" s="20" t="n">
        <f aca="false">ROUND(27.3/FX,2)</f>
        <v>3.79</v>
      </c>
      <c r="D625" s="21" t="s">
        <v>724</v>
      </c>
      <c r="E625" s="21" t="s">
        <v>20354</v>
      </c>
      <c r="F625" s="21" t="s">
        <v>14792</v>
      </c>
    </row>
    <row r="626" customFormat="false" ht="15" hidden="false" customHeight="false" outlineLevel="0" collapsed="false">
      <c r="B626" s="19" t="s">
        <v>20646</v>
      </c>
      <c r="C626" s="20" t="n">
        <f aca="false">ROUND(22.18/FX,2)</f>
        <v>3.08</v>
      </c>
      <c r="D626" s="21" t="s">
        <v>724</v>
      </c>
      <c r="E626" s="21" t="s">
        <v>20357</v>
      </c>
      <c r="F626" s="21" t="s">
        <v>14792</v>
      </c>
    </row>
    <row r="627" customFormat="false" ht="28.35" hidden="false" customHeight="false" outlineLevel="0" collapsed="false">
      <c r="B627" s="19" t="s">
        <v>20647</v>
      </c>
      <c r="C627" s="20" t="n">
        <f aca="false">ROUND(27.3/FX,2)</f>
        <v>3.79</v>
      </c>
      <c r="D627" s="21" t="s">
        <v>6336</v>
      </c>
      <c r="E627" s="21" t="s">
        <v>20626</v>
      </c>
      <c r="F627" s="21" t="s">
        <v>14792</v>
      </c>
    </row>
    <row r="628" customFormat="false" ht="28.35" hidden="false" customHeight="false" outlineLevel="0" collapsed="false">
      <c r="B628" s="19" t="s">
        <v>20648</v>
      </c>
      <c r="C628" s="20" t="n">
        <f aca="false">ROUND(22.18/FX,2)</f>
        <v>3.08</v>
      </c>
      <c r="D628" s="21" t="s">
        <v>6336</v>
      </c>
      <c r="E628" s="21" t="s">
        <v>20628</v>
      </c>
      <c r="F628" s="21" t="s">
        <v>14792</v>
      </c>
    </row>
    <row r="629" customFormat="false" ht="15" hidden="false" customHeight="false" outlineLevel="0" collapsed="false">
      <c r="B629" s="19" t="s">
        <v>20649</v>
      </c>
      <c r="C629" s="20" t="n">
        <f aca="false">ROUND(31.2/FX,2)</f>
        <v>4.33</v>
      </c>
      <c r="D629" s="21" t="s">
        <v>724</v>
      </c>
      <c r="E629" s="21" t="s">
        <v>20612</v>
      </c>
      <c r="F629" s="21" t="s">
        <v>14795</v>
      </c>
    </row>
    <row r="630" customFormat="false" ht="28.35" hidden="false" customHeight="false" outlineLevel="0" collapsed="false">
      <c r="B630" s="19" t="s">
        <v>20650</v>
      </c>
      <c r="C630" s="20" t="n">
        <f aca="false">ROUND(31.2/FX,2)</f>
        <v>4.33</v>
      </c>
      <c r="D630" s="21" t="s">
        <v>6336</v>
      </c>
      <c r="E630" s="21" t="s">
        <v>20617</v>
      </c>
      <c r="F630" s="21" t="s">
        <v>14795</v>
      </c>
    </row>
    <row r="631" customFormat="false" ht="28.35" hidden="false" customHeight="false" outlineLevel="0" collapsed="false">
      <c r="B631" s="19" t="s">
        <v>20651</v>
      </c>
      <c r="C631" s="20" t="n">
        <f aca="false">ROUND(25.96/FX,2)</f>
        <v>3.61</v>
      </c>
      <c r="D631" s="21" t="s">
        <v>6336</v>
      </c>
      <c r="E631" s="21" t="s">
        <v>20619</v>
      </c>
      <c r="F631" s="21" t="s">
        <v>14795</v>
      </c>
    </row>
    <row r="632" customFormat="false" ht="15" hidden="false" customHeight="false" outlineLevel="0" collapsed="false">
      <c r="B632" s="19" t="s">
        <v>20652</v>
      </c>
      <c r="C632" s="20" t="n">
        <f aca="false">ROUND(30/FX,2)</f>
        <v>4.17</v>
      </c>
      <c r="D632" s="21" t="s">
        <v>724</v>
      </c>
      <c r="E632" s="21" t="s">
        <v>20354</v>
      </c>
      <c r="F632" s="21" t="s">
        <v>14797</v>
      </c>
    </row>
    <row r="633" customFormat="false" ht="15" hidden="false" customHeight="false" outlineLevel="0" collapsed="false">
      <c r="B633" s="19" t="s">
        <v>20653</v>
      </c>
      <c r="C633" s="20" t="n">
        <f aca="false">ROUND(25.69/FX,2)</f>
        <v>3.57</v>
      </c>
      <c r="D633" s="21" t="s">
        <v>724</v>
      </c>
      <c r="E633" s="21" t="s">
        <v>20357</v>
      </c>
      <c r="F633" s="21" t="s">
        <v>14797</v>
      </c>
    </row>
    <row r="634" customFormat="false" ht="28.35" hidden="false" customHeight="false" outlineLevel="0" collapsed="false">
      <c r="B634" s="19" t="s">
        <v>20654</v>
      </c>
      <c r="C634" s="20" t="n">
        <f aca="false">ROUND(29.84/FX,2)</f>
        <v>4.14</v>
      </c>
      <c r="D634" s="21" t="s">
        <v>6336</v>
      </c>
      <c r="E634" s="21" t="s">
        <v>20626</v>
      </c>
      <c r="F634" s="21" t="s">
        <v>14797</v>
      </c>
    </row>
    <row r="635" customFormat="false" ht="28.35" hidden="false" customHeight="false" outlineLevel="0" collapsed="false">
      <c r="B635" s="19" t="s">
        <v>20655</v>
      </c>
      <c r="C635" s="20" t="n">
        <f aca="false">ROUND(24.52/FX,2)</f>
        <v>3.41</v>
      </c>
      <c r="D635" s="21" t="s">
        <v>6336</v>
      </c>
      <c r="E635" s="21" t="s">
        <v>20628</v>
      </c>
      <c r="F635" s="21" t="s">
        <v>14797</v>
      </c>
    </row>
    <row r="636" customFormat="false" ht="15" hidden="false" customHeight="false" outlineLevel="0" collapsed="false">
      <c r="B636" s="19" t="s">
        <v>20656</v>
      </c>
      <c r="C636" s="20" t="n">
        <f aca="false">ROUND(36.4/FX,2)</f>
        <v>5.06</v>
      </c>
      <c r="D636" s="21" t="s">
        <v>724</v>
      </c>
      <c r="E636" s="21" t="s">
        <v>20612</v>
      </c>
      <c r="F636" s="21" t="s">
        <v>14800</v>
      </c>
    </row>
    <row r="637" customFormat="false" ht="28.35" hidden="false" customHeight="false" outlineLevel="0" collapsed="false">
      <c r="B637" s="19" t="s">
        <v>20657</v>
      </c>
      <c r="C637" s="20" t="n">
        <f aca="false">ROUND(36.4/FX,2)</f>
        <v>5.06</v>
      </c>
      <c r="D637" s="21" t="s">
        <v>6336</v>
      </c>
      <c r="E637" s="21" t="s">
        <v>20617</v>
      </c>
      <c r="F637" s="21" t="s">
        <v>14800</v>
      </c>
    </row>
    <row r="638" customFormat="false" ht="28.35" hidden="false" customHeight="false" outlineLevel="0" collapsed="false">
      <c r="B638" s="19" t="s">
        <v>20658</v>
      </c>
      <c r="C638" s="20" t="n">
        <f aca="false">ROUND(35.02/FX,2)</f>
        <v>4.86</v>
      </c>
      <c r="D638" s="21" t="s">
        <v>6336</v>
      </c>
      <c r="E638" s="21" t="s">
        <v>20619</v>
      </c>
      <c r="F638" s="21" t="s">
        <v>14800</v>
      </c>
    </row>
    <row r="639" customFormat="false" ht="28.35" hidden="false" customHeight="false" outlineLevel="0" collapsed="false">
      <c r="B639" s="19" t="s">
        <v>20659</v>
      </c>
      <c r="C639" s="20" t="n">
        <f aca="false">ROUND(32.68/FX,2)</f>
        <v>4.54</v>
      </c>
      <c r="D639" s="21" t="s">
        <v>6336</v>
      </c>
      <c r="E639" s="21" t="s">
        <v>20617</v>
      </c>
      <c r="F639" s="21" t="s">
        <v>20660</v>
      </c>
    </row>
    <row r="640" customFormat="false" ht="15" hidden="false" customHeight="false" outlineLevel="0" collapsed="false">
      <c r="B640" s="19" t="s">
        <v>20661</v>
      </c>
      <c r="C640" s="20" t="n">
        <f aca="false">ROUND(35.1/FX,2)</f>
        <v>4.88</v>
      </c>
      <c r="D640" s="21" t="s">
        <v>724</v>
      </c>
      <c r="E640" s="21" t="s">
        <v>20354</v>
      </c>
      <c r="F640" s="21" t="s">
        <v>14945</v>
      </c>
    </row>
    <row r="641" customFormat="false" ht="28.35" hidden="false" customHeight="false" outlineLevel="0" collapsed="false">
      <c r="B641" s="19" t="s">
        <v>20662</v>
      </c>
      <c r="C641" s="20" t="n">
        <f aca="false">ROUND(35.1/FX,2)</f>
        <v>4.88</v>
      </c>
      <c r="D641" s="21" t="s">
        <v>6336</v>
      </c>
      <c r="E641" s="21" t="s">
        <v>20626</v>
      </c>
      <c r="F641" s="21" t="s">
        <v>14945</v>
      </c>
    </row>
    <row r="642" customFormat="false" ht="28.35" hidden="false" customHeight="false" outlineLevel="0" collapsed="false">
      <c r="B642" s="19" t="s">
        <v>20663</v>
      </c>
      <c r="C642" s="20" t="n">
        <f aca="false">ROUND(30.36/FX,2)</f>
        <v>4.22</v>
      </c>
      <c r="D642" s="21" t="s">
        <v>6336</v>
      </c>
      <c r="E642" s="21" t="s">
        <v>20628</v>
      </c>
      <c r="F642" s="21" t="s">
        <v>14945</v>
      </c>
    </row>
    <row r="643" customFormat="false" ht="15" hidden="false" customHeight="false" outlineLevel="0" collapsed="false">
      <c r="B643" s="19" t="s">
        <v>20664</v>
      </c>
      <c r="C643" s="20" t="n">
        <f aca="false">ROUND(4.6/FX,2)</f>
        <v>0.64</v>
      </c>
      <c r="D643" s="21" t="s">
        <v>724</v>
      </c>
      <c r="E643" s="21" t="s">
        <v>20354</v>
      </c>
      <c r="F643" s="21" t="s">
        <v>20665</v>
      </c>
    </row>
    <row r="644" customFormat="false" ht="15" hidden="false" customHeight="false" outlineLevel="0" collapsed="false">
      <c r="B644" s="19" t="s">
        <v>20666</v>
      </c>
      <c r="C644" s="20" t="n">
        <f aca="false">ROUND(4.08/FX,2)</f>
        <v>0.57</v>
      </c>
      <c r="D644" s="21" t="s">
        <v>724</v>
      </c>
      <c r="E644" s="21" t="s">
        <v>20357</v>
      </c>
      <c r="F644" s="21" t="s">
        <v>20665</v>
      </c>
    </row>
    <row r="645" customFormat="false" ht="28.35" hidden="false" customHeight="false" outlineLevel="0" collapsed="false">
      <c r="B645" s="19" t="s">
        <v>20667</v>
      </c>
      <c r="C645" s="20" t="n">
        <f aca="false">ROUND(4.6/FX,2)</f>
        <v>0.64</v>
      </c>
      <c r="D645" s="21" t="s">
        <v>6336</v>
      </c>
      <c r="E645" s="21" t="s">
        <v>20626</v>
      </c>
      <c r="F645" s="21" t="s">
        <v>20665</v>
      </c>
    </row>
    <row r="646" customFormat="false" ht="28.35" hidden="false" customHeight="false" outlineLevel="0" collapsed="false">
      <c r="B646" s="19" t="s">
        <v>20668</v>
      </c>
      <c r="C646" s="20" t="n">
        <f aca="false">ROUND(4.08/FX,2)</f>
        <v>0.57</v>
      </c>
      <c r="D646" s="21" t="s">
        <v>6336</v>
      </c>
      <c r="E646" s="21" t="s">
        <v>20628</v>
      </c>
      <c r="F646" s="21" t="s">
        <v>20665</v>
      </c>
    </row>
    <row r="647" customFormat="false" ht="15" hidden="false" customHeight="false" outlineLevel="0" collapsed="false">
      <c r="B647" s="19" t="s">
        <v>20669</v>
      </c>
      <c r="C647" s="20" t="n">
        <f aca="false">ROUND(5.25/FX,2)</f>
        <v>0.73</v>
      </c>
      <c r="D647" s="21" t="s">
        <v>724</v>
      </c>
      <c r="E647" s="21" t="s">
        <v>20357</v>
      </c>
      <c r="F647" s="21" t="s">
        <v>20670</v>
      </c>
    </row>
    <row r="648" customFormat="false" ht="15" hidden="false" customHeight="false" outlineLevel="0" collapsed="false">
      <c r="B648" s="19" t="s">
        <v>20671</v>
      </c>
      <c r="C648" s="20" t="n">
        <f aca="false">ROUND(41.6/FX,2)</f>
        <v>5.78</v>
      </c>
      <c r="D648" s="21" t="s">
        <v>724</v>
      </c>
      <c r="E648" s="21" t="s">
        <v>20612</v>
      </c>
      <c r="F648" s="21" t="s">
        <v>14803</v>
      </c>
    </row>
    <row r="649" customFormat="false" ht="28.35" hidden="false" customHeight="false" outlineLevel="0" collapsed="false">
      <c r="B649" s="19" t="s">
        <v>20672</v>
      </c>
      <c r="C649" s="20" t="n">
        <f aca="false">ROUND(41.6/FX,2)</f>
        <v>5.78</v>
      </c>
      <c r="D649" s="21" t="s">
        <v>6336</v>
      </c>
      <c r="E649" s="21" t="s">
        <v>20617</v>
      </c>
      <c r="F649" s="21" t="s">
        <v>14803</v>
      </c>
    </row>
    <row r="650" customFormat="false" ht="28.35" hidden="false" customHeight="false" outlineLevel="0" collapsed="false">
      <c r="B650" s="19" t="s">
        <v>20673</v>
      </c>
      <c r="C650" s="20" t="n">
        <f aca="false">ROUND(40.86/FX,2)</f>
        <v>5.68</v>
      </c>
      <c r="D650" s="21" t="s">
        <v>6336</v>
      </c>
      <c r="E650" s="21" t="s">
        <v>20619</v>
      </c>
      <c r="F650" s="21" t="s">
        <v>14803</v>
      </c>
    </row>
    <row r="651" customFormat="false" ht="28.35" hidden="false" customHeight="false" outlineLevel="0" collapsed="false">
      <c r="B651" s="19" t="s">
        <v>20674</v>
      </c>
      <c r="C651" s="20" t="n">
        <f aca="false">ROUND(40.86/FX,2)</f>
        <v>5.68</v>
      </c>
      <c r="D651" s="21" t="s">
        <v>6336</v>
      </c>
      <c r="E651" s="21" t="s">
        <v>20617</v>
      </c>
      <c r="F651" s="21" t="s">
        <v>14806</v>
      </c>
    </row>
    <row r="652" customFormat="false" ht="15" hidden="false" customHeight="false" outlineLevel="0" collapsed="false">
      <c r="B652" s="19" t="s">
        <v>20675</v>
      </c>
      <c r="C652" s="20" t="n">
        <f aca="false">ROUND(39/FX,2)</f>
        <v>5.42</v>
      </c>
      <c r="D652" s="21" t="s">
        <v>724</v>
      </c>
      <c r="E652" s="21" t="s">
        <v>20354</v>
      </c>
      <c r="F652" s="21" t="s">
        <v>14808</v>
      </c>
    </row>
    <row r="653" customFormat="false" ht="28.35" hidden="false" customHeight="false" outlineLevel="0" collapsed="false">
      <c r="B653" s="19" t="s">
        <v>20676</v>
      </c>
      <c r="C653" s="20" t="n">
        <f aca="false">ROUND(39/FX,2)</f>
        <v>5.42</v>
      </c>
      <c r="D653" s="21" t="s">
        <v>6336</v>
      </c>
      <c r="E653" s="21" t="s">
        <v>20626</v>
      </c>
      <c r="F653" s="21" t="s">
        <v>14808</v>
      </c>
    </row>
    <row r="654" customFormat="false" ht="28.35" hidden="false" customHeight="false" outlineLevel="0" collapsed="false">
      <c r="B654" s="19" t="s">
        <v>20677</v>
      </c>
      <c r="C654" s="20" t="n">
        <f aca="false">ROUND(35.02/FX,2)</f>
        <v>4.86</v>
      </c>
      <c r="D654" s="21" t="s">
        <v>6336</v>
      </c>
      <c r="E654" s="21" t="s">
        <v>20628</v>
      </c>
      <c r="F654" s="21" t="s">
        <v>14808</v>
      </c>
    </row>
    <row r="655" customFormat="false" ht="28.35" hidden="false" customHeight="false" outlineLevel="0" collapsed="false">
      <c r="B655" s="19" t="s">
        <v>20678</v>
      </c>
      <c r="C655" s="20" t="n">
        <f aca="false">ROUND(56.03/FX,2)</f>
        <v>7.78</v>
      </c>
      <c r="D655" s="21" t="s">
        <v>6336</v>
      </c>
      <c r="E655" s="21" t="s">
        <v>20617</v>
      </c>
      <c r="F655" s="21" t="s">
        <v>14811</v>
      </c>
    </row>
    <row r="656" customFormat="false" ht="28.35" hidden="false" customHeight="false" outlineLevel="0" collapsed="false">
      <c r="B656" s="19" t="s">
        <v>20679</v>
      </c>
      <c r="C656" s="20" t="n">
        <f aca="false">ROUND(56.03/FX,2)</f>
        <v>7.78</v>
      </c>
      <c r="D656" s="21" t="s">
        <v>6336</v>
      </c>
      <c r="E656" s="21" t="s">
        <v>20619</v>
      </c>
      <c r="F656" s="21" t="s">
        <v>14811</v>
      </c>
    </row>
    <row r="657" customFormat="false" ht="28.35" hidden="false" customHeight="false" outlineLevel="0" collapsed="false">
      <c r="B657" s="19" t="s">
        <v>20680</v>
      </c>
      <c r="C657" s="20" t="n">
        <f aca="false">ROUND(56.03/FX,2)</f>
        <v>7.78</v>
      </c>
      <c r="D657" s="21" t="s">
        <v>6336</v>
      </c>
      <c r="E657" s="21" t="s">
        <v>20617</v>
      </c>
      <c r="F657" s="21" t="s">
        <v>20681</v>
      </c>
    </row>
    <row r="658" customFormat="false" ht="15" hidden="false" customHeight="false" outlineLevel="0" collapsed="false">
      <c r="B658" s="19" t="s">
        <v>20682</v>
      </c>
      <c r="C658" s="20" t="n">
        <f aca="false">ROUND(46.7/FX,2)</f>
        <v>6.49</v>
      </c>
      <c r="D658" s="21" t="s">
        <v>724</v>
      </c>
      <c r="E658" s="21" t="s">
        <v>20354</v>
      </c>
      <c r="F658" s="21" t="s">
        <v>20683</v>
      </c>
    </row>
    <row r="659" customFormat="false" ht="28.35" hidden="false" customHeight="false" outlineLevel="0" collapsed="false">
      <c r="B659" s="19" t="s">
        <v>20684</v>
      </c>
      <c r="C659" s="20" t="n">
        <f aca="false">ROUND(52.53/FX,2)</f>
        <v>7.3</v>
      </c>
      <c r="D659" s="21" t="s">
        <v>6336</v>
      </c>
      <c r="E659" s="21" t="s">
        <v>20626</v>
      </c>
      <c r="F659" s="21" t="s">
        <v>20683</v>
      </c>
    </row>
    <row r="660" customFormat="false" ht="28.35" hidden="false" customHeight="false" outlineLevel="0" collapsed="false">
      <c r="B660" s="19" t="s">
        <v>20685</v>
      </c>
      <c r="C660" s="20" t="n">
        <f aca="false">ROUND(70.04/FX,2)</f>
        <v>9.73</v>
      </c>
      <c r="D660" s="21" t="s">
        <v>6336</v>
      </c>
      <c r="E660" s="21" t="s">
        <v>20617</v>
      </c>
      <c r="F660" s="21" t="s">
        <v>14958</v>
      </c>
    </row>
    <row r="661" customFormat="false" ht="28.35" hidden="false" customHeight="false" outlineLevel="0" collapsed="false">
      <c r="B661" s="19" t="s">
        <v>20686</v>
      </c>
      <c r="C661" s="20" t="n">
        <f aca="false">ROUND(70.04/FX,2)</f>
        <v>9.73</v>
      </c>
      <c r="D661" s="21" t="s">
        <v>6336</v>
      </c>
      <c r="E661" s="21" t="s">
        <v>20619</v>
      </c>
      <c r="F661" s="21" t="s">
        <v>14958</v>
      </c>
    </row>
    <row r="662" customFormat="false" ht="28.35" hidden="false" customHeight="false" outlineLevel="0" collapsed="false">
      <c r="B662" s="19" t="s">
        <v>20687</v>
      </c>
      <c r="C662" s="20" t="n">
        <f aca="false">ROUND(70.04/FX,2)</f>
        <v>9.73</v>
      </c>
      <c r="D662" s="21" t="s">
        <v>6336</v>
      </c>
      <c r="E662" s="21" t="s">
        <v>20617</v>
      </c>
      <c r="F662" s="21" t="s">
        <v>14814</v>
      </c>
    </row>
    <row r="663" customFormat="false" ht="15" hidden="false" customHeight="false" outlineLevel="0" collapsed="false">
      <c r="B663" s="19" t="s">
        <v>20688</v>
      </c>
      <c r="C663" s="20" t="n">
        <f aca="false">ROUND(52.53/FX,2)</f>
        <v>7.3</v>
      </c>
      <c r="D663" s="21" t="s">
        <v>724</v>
      </c>
      <c r="E663" s="21" t="s">
        <v>20354</v>
      </c>
      <c r="F663" s="21" t="s">
        <v>20689</v>
      </c>
    </row>
    <row r="664" customFormat="false" ht="28.35" hidden="false" customHeight="false" outlineLevel="0" collapsed="false">
      <c r="B664" s="19" t="s">
        <v>20690</v>
      </c>
      <c r="C664" s="20" t="n">
        <f aca="false">ROUND(64.21/FX,2)</f>
        <v>8.92</v>
      </c>
      <c r="D664" s="21" t="s">
        <v>6336</v>
      </c>
      <c r="E664" s="21" t="s">
        <v>20626</v>
      </c>
      <c r="F664" s="21" t="s">
        <v>20689</v>
      </c>
    </row>
    <row r="665" customFormat="false" ht="28.35" hidden="false" customHeight="false" outlineLevel="0" collapsed="false">
      <c r="B665" s="19" t="s">
        <v>20691</v>
      </c>
      <c r="C665" s="20" t="n">
        <f aca="false">ROUND(70.04/FX,2)</f>
        <v>9.73</v>
      </c>
      <c r="D665" s="21" t="s">
        <v>6336</v>
      </c>
      <c r="E665" s="21" t="s">
        <v>20628</v>
      </c>
      <c r="F665" s="21" t="s">
        <v>20689</v>
      </c>
    </row>
    <row r="666" customFormat="false" ht="28.35" hidden="false" customHeight="false" outlineLevel="0" collapsed="false">
      <c r="B666" s="19" t="s">
        <v>20692</v>
      </c>
      <c r="C666" s="20" t="n">
        <f aca="false">ROUND(93.39/FX,2)</f>
        <v>12.97</v>
      </c>
      <c r="D666" s="21" t="s">
        <v>6336</v>
      </c>
      <c r="E666" s="21" t="s">
        <v>20617</v>
      </c>
      <c r="F666" s="21" t="s">
        <v>16275</v>
      </c>
    </row>
    <row r="667" customFormat="false" ht="28.35" hidden="false" customHeight="false" outlineLevel="0" collapsed="false">
      <c r="B667" s="19" t="s">
        <v>20693</v>
      </c>
      <c r="C667" s="20" t="n">
        <f aca="false">ROUND(93.39/FX,2)</f>
        <v>12.97</v>
      </c>
      <c r="D667" s="21" t="s">
        <v>6336</v>
      </c>
      <c r="E667" s="21" t="s">
        <v>20619</v>
      </c>
      <c r="F667" s="21" t="s">
        <v>16275</v>
      </c>
    </row>
    <row r="668" customFormat="false" ht="28.35" hidden="false" customHeight="false" outlineLevel="0" collapsed="false">
      <c r="B668" s="19" t="s">
        <v>20694</v>
      </c>
      <c r="C668" s="20" t="n">
        <f aca="false">ROUND(93.39/FX,2)</f>
        <v>12.97</v>
      </c>
      <c r="D668" s="21" t="s">
        <v>6336</v>
      </c>
      <c r="E668" s="21" t="s">
        <v>20617</v>
      </c>
      <c r="F668" s="21" t="s">
        <v>14817</v>
      </c>
    </row>
    <row r="669" customFormat="false" ht="28.35" hidden="false" customHeight="false" outlineLevel="0" collapsed="false">
      <c r="B669" s="19" t="s">
        <v>20695</v>
      </c>
      <c r="C669" s="20" t="n">
        <f aca="false">ROUND(87.56/FX,2)</f>
        <v>12.16</v>
      </c>
      <c r="D669" s="21" t="s">
        <v>6336</v>
      </c>
      <c r="E669" s="21" t="s">
        <v>20626</v>
      </c>
      <c r="F669" s="21" t="s">
        <v>20696</v>
      </c>
    </row>
    <row r="670" customFormat="false" ht="28.35" hidden="false" customHeight="false" outlineLevel="0" collapsed="false">
      <c r="B670" s="19" t="s">
        <v>20697</v>
      </c>
      <c r="C670" s="20" t="n">
        <f aca="false">ROUND(93.4/FX,2)</f>
        <v>12.97</v>
      </c>
      <c r="D670" s="21" t="s">
        <v>6336</v>
      </c>
      <c r="E670" s="21" t="s">
        <v>20619</v>
      </c>
      <c r="F670" s="21" t="s">
        <v>20696</v>
      </c>
    </row>
    <row r="671" customFormat="false" ht="15" hidden="false" customHeight="false" outlineLevel="0" collapsed="false">
      <c r="B671" s="19" t="s">
        <v>20698</v>
      </c>
      <c r="C671" s="20" t="n">
        <f aca="false">ROUND(4.6/FX,2)</f>
        <v>0.64</v>
      </c>
      <c r="D671" s="21" t="s">
        <v>724</v>
      </c>
      <c r="E671" s="21" t="s">
        <v>20354</v>
      </c>
      <c r="F671" s="21" t="s">
        <v>20699</v>
      </c>
    </row>
    <row r="672" customFormat="false" ht="15" hidden="false" customHeight="false" outlineLevel="0" collapsed="false">
      <c r="B672" s="19" t="s">
        <v>20700</v>
      </c>
      <c r="C672" s="20" t="n">
        <f aca="false">ROUND(4.08/FX,2)</f>
        <v>0.57</v>
      </c>
      <c r="D672" s="21" t="s">
        <v>724</v>
      </c>
      <c r="E672" s="21" t="s">
        <v>20357</v>
      </c>
      <c r="F672" s="21" t="s">
        <v>20699</v>
      </c>
    </row>
    <row r="673" customFormat="false" ht="28.35" hidden="false" customHeight="false" outlineLevel="0" collapsed="false">
      <c r="B673" s="19" t="s">
        <v>20701</v>
      </c>
      <c r="C673" s="20" t="n">
        <f aca="false">ROUND(4.6/FX,2)</f>
        <v>0.64</v>
      </c>
      <c r="D673" s="21" t="s">
        <v>6336</v>
      </c>
      <c r="E673" s="21" t="s">
        <v>20626</v>
      </c>
      <c r="F673" s="21" t="s">
        <v>20699</v>
      </c>
    </row>
    <row r="674" customFormat="false" ht="28.35" hidden="false" customHeight="false" outlineLevel="0" collapsed="false">
      <c r="B674" s="19" t="s">
        <v>20702</v>
      </c>
      <c r="C674" s="20" t="n">
        <f aca="false">ROUND(4.08/FX,2)</f>
        <v>0.57</v>
      </c>
      <c r="D674" s="21" t="s">
        <v>6336</v>
      </c>
      <c r="E674" s="21" t="s">
        <v>20628</v>
      </c>
      <c r="F674" s="21" t="s">
        <v>20699</v>
      </c>
    </row>
    <row r="675" customFormat="false" ht="15" hidden="false" customHeight="false" outlineLevel="0" collapsed="false">
      <c r="B675" s="19" t="s">
        <v>20703</v>
      </c>
      <c r="C675" s="20" t="n">
        <f aca="false">ROUND(4.7/FX,2)</f>
        <v>0.65</v>
      </c>
      <c r="D675" s="21" t="s">
        <v>724</v>
      </c>
      <c r="E675" s="21" t="s">
        <v>20354</v>
      </c>
      <c r="F675" s="21" t="s">
        <v>20704</v>
      </c>
    </row>
    <row r="676" customFormat="false" ht="15" hidden="false" customHeight="false" outlineLevel="0" collapsed="false">
      <c r="B676" s="19" t="s">
        <v>20705</v>
      </c>
      <c r="C676" s="20" t="n">
        <f aca="false">ROUND(4.2/FX,2)</f>
        <v>0.58</v>
      </c>
      <c r="D676" s="21" t="s">
        <v>724</v>
      </c>
      <c r="E676" s="21" t="s">
        <v>20357</v>
      </c>
      <c r="F676" s="21" t="s">
        <v>20704</v>
      </c>
    </row>
    <row r="677" customFormat="false" ht="28.35" hidden="false" customHeight="false" outlineLevel="0" collapsed="false">
      <c r="B677" s="19" t="s">
        <v>20706</v>
      </c>
      <c r="C677" s="20" t="n">
        <f aca="false">ROUND(4.67/FX,2)</f>
        <v>0.65</v>
      </c>
      <c r="D677" s="21" t="s">
        <v>6336</v>
      </c>
      <c r="E677" s="21" t="s">
        <v>20626</v>
      </c>
      <c r="F677" s="21" t="s">
        <v>20704</v>
      </c>
    </row>
    <row r="678" customFormat="false" ht="15" hidden="false" customHeight="false" outlineLevel="0" collapsed="false">
      <c r="B678" s="19" t="s">
        <v>20707</v>
      </c>
      <c r="C678" s="20" t="n">
        <f aca="false">ROUND(5.49/FX,2)</f>
        <v>0.76</v>
      </c>
      <c r="D678" s="21" t="s">
        <v>724</v>
      </c>
      <c r="E678" s="21" t="s">
        <v>20357</v>
      </c>
      <c r="F678" s="21" t="s">
        <v>20708</v>
      </c>
    </row>
    <row r="679" customFormat="false" ht="28.35" hidden="false" customHeight="false" outlineLevel="0" collapsed="false">
      <c r="B679" s="19" t="s">
        <v>20709</v>
      </c>
      <c r="C679" s="20" t="n">
        <f aca="false">ROUND(116.74/FX,2)</f>
        <v>16.21</v>
      </c>
      <c r="D679" s="21" t="s">
        <v>6336</v>
      </c>
      <c r="E679" s="21" t="s">
        <v>20617</v>
      </c>
      <c r="F679" s="21" t="s">
        <v>14821</v>
      </c>
    </row>
    <row r="680" customFormat="false" ht="28.35" hidden="false" customHeight="false" outlineLevel="0" collapsed="false">
      <c r="B680" s="19" t="s">
        <v>20710</v>
      </c>
      <c r="C680" s="20" t="n">
        <f aca="false">ROUND(116.74/FX,2)</f>
        <v>16.21</v>
      </c>
      <c r="D680" s="21" t="s">
        <v>6336</v>
      </c>
      <c r="E680" s="21" t="s">
        <v>20619</v>
      </c>
      <c r="F680" s="21" t="s">
        <v>14821</v>
      </c>
    </row>
    <row r="681" customFormat="false" ht="28.35" hidden="false" customHeight="false" outlineLevel="0" collapsed="false">
      <c r="B681" s="19" t="s">
        <v>20711</v>
      </c>
      <c r="C681" s="20" t="n">
        <f aca="false">ROUND(116.74/FX,2)</f>
        <v>16.21</v>
      </c>
      <c r="D681" s="21" t="s">
        <v>6336</v>
      </c>
      <c r="E681" s="21" t="s">
        <v>20617</v>
      </c>
      <c r="F681" s="21" t="s">
        <v>14823</v>
      </c>
    </row>
    <row r="682" customFormat="false" ht="28.35" hidden="false" customHeight="false" outlineLevel="0" collapsed="false">
      <c r="B682" s="19" t="s">
        <v>20712</v>
      </c>
      <c r="C682" s="20" t="n">
        <f aca="false">ROUND(110.9/FX,2)</f>
        <v>15.4</v>
      </c>
      <c r="D682" s="21" t="s">
        <v>6336</v>
      </c>
      <c r="E682" s="21" t="s">
        <v>20626</v>
      </c>
      <c r="F682" s="21" t="s">
        <v>20713</v>
      </c>
    </row>
    <row r="683" customFormat="false" ht="28.35" hidden="false" customHeight="false" outlineLevel="0" collapsed="false">
      <c r="B683" s="19" t="s">
        <v>20714</v>
      </c>
      <c r="C683" s="20" t="n">
        <f aca="false">ROUND(116.74/FX,2)</f>
        <v>16.21</v>
      </c>
      <c r="D683" s="21" t="s">
        <v>6336</v>
      </c>
      <c r="E683" s="21" t="s">
        <v>20619</v>
      </c>
      <c r="F683" s="21" t="s">
        <v>20713</v>
      </c>
    </row>
    <row r="684" customFormat="false" ht="15" hidden="false" customHeight="false" outlineLevel="0" collapsed="false">
      <c r="B684" s="19" t="s">
        <v>20715</v>
      </c>
      <c r="C684" s="20" t="n">
        <f aca="false">ROUND(4.3/FX,2)</f>
        <v>0.6</v>
      </c>
      <c r="D684" s="21" t="s">
        <v>724</v>
      </c>
      <c r="E684" s="21" t="s">
        <v>20354</v>
      </c>
      <c r="F684" s="21" t="s">
        <v>14973</v>
      </c>
    </row>
    <row r="685" customFormat="false" ht="15" hidden="false" customHeight="false" outlineLevel="0" collapsed="false">
      <c r="B685" s="19" t="s">
        <v>20716</v>
      </c>
      <c r="C685" s="20" t="n">
        <f aca="false">ROUND(3.97/FX,2)</f>
        <v>0.55</v>
      </c>
      <c r="D685" s="21" t="s">
        <v>724</v>
      </c>
      <c r="E685" s="21" t="s">
        <v>20357</v>
      </c>
      <c r="F685" s="21" t="s">
        <v>14973</v>
      </c>
    </row>
    <row r="686" customFormat="false" ht="28.35" hidden="false" customHeight="false" outlineLevel="0" collapsed="false">
      <c r="B686" s="19" t="s">
        <v>20717</v>
      </c>
      <c r="C686" s="20" t="n">
        <f aca="false">ROUND(5.38/FX,2)</f>
        <v>0.75</v>
      </c>
      <c r="D686" s="21" t="s">
        <v>6336</v>
      </c>
      <c r="E686" s="21" t="s">
        <v>20626</v>
      </c>
      <c r="F686" s="21" t="s">
        <v>14973</v>
      </c>
    </row>
    <row r="687" customFormat="false" ht="28.35" hidden="false" customHeight="false" outlineLevel="0" collapsed="false">
      <c r="B687" s="19" t="s">
        <v>20718</v>
      </c>
      <c r="C687" s="20" t="n">
        <f aca="false">ROUND(4.33/FX,2)</f>
        <v>0.6</v>
      </c>
      <c r="D687" s="21" t="s">
        <v>6336</v>
      </c>
      <c r="E687" s="21" t="s">
        <v>20628</v>
      </c>
      <c r="F687" s="21" t="s">
        <v>14973</v>
      </c>
    </row>
    <row r="688" customFormat="false" ht="28.35" hidden="false" customHeight="false" outlineLevel="0" collapsed="false">
      <c r="B688" s="19" t="s">
        <v>20719</v>
      </c>
      <c r="C688" s="20" t="n">
        <f aca="false">ROUND(4.2/FX,2)</f>
        <v>0.58</v>
      </c>
      <c r="D688" s="21" t="s">
        <v>6336</v>
      </c>
      <c r="E688" s="21" t="s">
        <v>20628</v>
      </c>
      <c r="F688" s="21" t="s">
        <v>20720</v>
      </c>
    </row>
    <row r="689" customFormat="false" ht="28.35" hidden="false" customHeight="false" outlineLevel="0" collapsed="false">
      <c r="B689" s="19" t="s">
        <v>20721</v>
      </c>
      <c r="C689" s="20" t="n">
        <f aca="false">ROUND(8.76/FX,2)</f>
        <v>1.22</v>
      </c>
      <c r="D689" s="21" t="s">
        <v>6336</v>
      </c>
      <c r="E689" s="21" t="s">
        <v>20628</v>
      </c>
      <c r="F689" s="21" t="s">
        <v>20722</v>
      </c>
    </row>
    <row r="690" customFormat="false" ht="15" hidden="false" customHeight="false" outlineLevel="0" collapsed="false">
      <c r="B690" s="19" t="s">
        <v>20723</v>
      </c>
      <c r="C690" s="20" t="n">
        <f aca="false">ROUND(4.54/FX,2)</f>
        <v>0.63</v>
      </c>
      <c r="D690" s="21" t="s">
        <v>724</v>
      </c>
      <c r="E690" s="21" t="s">
        <v>20354</v>
      </c>
      <c r="F690" s="21" t="s">
        <v>14979</v>
      </c>
    </row>
    <row r="691" customFormat="false" ht="15" hidden="false" customHeight="false" outlineLevel="0" collapsed="false">
      <c r="B691" s="19" t="s">
        <v>20724</v>
      </c>
      <c r="C691" s="20" t="n">
        <f aca="false">ROUND(4.2/FX,2)</f>
        <v>0.58</v>
      </c>
      <c r="D691" s="21" t="s">
        <v>724</v>
      </c>
      <c r="E691" s="21" t="s">
        <v>20357</v>
      </c>
      <c r="F691" s="21" t="s">
        <v>14979</v>
      </c>
    </row>
    <row r="692" customFormat="false" ht="28.35" hidden="false" customHeight="false" outlineLevel="0" collapsed="false">
      <c r="B692" s="19" t="s">
        <v>20725</v>
      </c>
      <c r="C692" s="20" t="n">
        <f aca="false">ROUND(4.54/FX,2)</f>
        <v>0.63</v>
      </c>
      <c r="D692" s="21" t="s">
        <v>6336</v>
      </c>
      <c r="E692" s="21" t="s">
        <v>20626</v>
      </c>
      <c r="F692" s="21" t="s">
        <v>14979</v>
      </c>
    </row>
    <row r="693" customFormat="false" ht="28.35" hidden="false" customHeight="false" outlineLevel="0" collapsed="false">
      <c r="B693" s="19" t="s">
        <v>20726</v>
      </c>
      <c r="C693" s="20" t="n">
        <f aca="false">ROUND(4.67/FX,2)</f>
        <v>0.65</v>
      </c>
      <c r="D693" s="21" t="s">
        <v>6336</v>
      </c>
      <c r="E693" s="21" t="s">
        <v>20628</v>
      </c>
      <c r="F693" s="21" t="s">
        <v>14979</v>
      </c>
    </row>
    <row r="694" customFormat="false" ht="15" hidden="false" customHeight="false" outlineLevel="0" collapsed="false">
      <c r="B694" s="19" t="s">
        <v>20727</v>
      </c>
      <c r="C694" s="20" t="n">
        <f aca="false">ROUND(4.67/FX,2)</f>
        <v>0.65</v>
      </c>
      <c r="D694" s="21" t="s">
        <v>724</v>
      </c>
      <c r="E694" s="21" t="s">
        <v>20354</v>
      </c>
      <c r="F694" s="21" t="s">
        <v>14826</v>
      </c>
    </row>
    <row r="695" customFormat="false" ht="15" hidden="false" customHeight="false" outlineLevel="0" collapsed="false">
      <c r="B695" s="19" t="s">
        <v>20728</v>
      </c>
      <c r="C695" s="20" t="n">
        <f aca="false">ROUND(4.68/FX,2)</f>
        <v>0.65</v>
      </c>
      <c r="D695" s="21" t="s">
        <v>724</v>
      </c>
      <c r="E695" s="21" t="s">
        <v>20357</v>
      </c>
      <c r="F695" s="21" t="s">
        <v>14826</v>
      </c>
    </row>
    <row r="696" customFormat="false" ht="28.35" hidden="false" customHeight="false" outlineLevel="0" collapsed="false">
      <c r="B696" s="19" t="s">
        <v>20729</v>
      </c>
      <c r="C696" s="20" t="n">
        <f aca="false">ROUND(4.67/FX,2)</f>
        <v>0.65</v>
      </c>
      <c r="D696" s="21" t="s">
        <v>6336</v>
      </c>
      <c r="E696" s="21" t="s">
        <v>20626</v>
      </c>
      <c r="F696" s="21" t="s">
        <v>14826</v>
      </c>
    </row>
    <row r="697" customFormat="false" ht="28.35" hidden="false" customHeight="false" outlineLevel="0" collapsed="false">
      <c r="B697" s="19" t="s">
        <v>20730</v>
      </c>
      <c r="C697" s="20" t="n">
        <f aca="false">ROUND(4.67/FX,2)</f>
        <v>0.65</v>
      </c>
      <c r="D697" s="21" t="s">
        <v>6336</v>
      </c>
      <c r="E697" s="21" t="s">
        <v>20628</v>
      </c>
      <c r="F697" s="21" t="s">
        <v>14826</v>
      </c>
    </row>
    <row r="698" customFormat="false" ht="15" hidden="false" customHeight="false" outlineLevel="0" collapsed="false">
      <c r="B698" s="19" t="s">
        <v>20731</v>
      </c>
      <c r="C698" s="20" t="n">
        <f aca="false">ROUND(6.5/FX,2)</f>
        <v>0.9</v>
      </c>
      <c r="D698" s="21" t="s">
        <v>724</v>
      </c>
      <c r="E698" s="21" t="s">
        <v>20354</v>
      </c>
      <c r="F698" s="21" t="s">
        <v>14829</v>
      </c>
    </row>
    <row r="699" customFormat="false" ht="15" hidden="false" customHeight="false" outlineLevel="0" collapsed="false">
      <c r="B699" s="19" t="s">
        <v>20732</v>
      </c>
      <c r="C699" s="20" t="n">
        <f aca="false">ROUND(5.84/FX,2)</f>
        <v>0.81</v>
      </c>
      <c r="D699" s="21" t="s">
        <v>724</v>
      </c>
      <c r="E699" s="21" t="s">
        <v>20357</v>
      </c>
      <c r="F699" s="21" t="s">
        <v>14829</v>
      </c>
    </row>
    <row r="700" customFormat="false" ht="28.35" hidden="false" customHeight="false" outlineLevel="0" collapsed="false">
      <c r="B700" s="19" t="s">
        <v>20733</v>
      </c>
      <c r="C700" s="20" t="n">
        <f aca="false">ROUND(6.5/FX,2)</f>
        <v>0.9</v>
      </c>
      <c r="D700" s="21" t="s">
        <v>6336</v>
      </c>
      <c r="E700" s="21" t="s">
        <v>20626</v>
      </c>
      <c r="F700" s="21" t="s">
        <v>14829</v>
      </c>
    </row>
    <row r="701" customFormat="false" ht="28.35" hidden="false" customHeight="false" outlineLevel="0" collapsed="false">
      <c r="B701" s="19" t="s">
        <v>20734</v>
      </c>
      <c r="C701" s="20" t="n">
        <f aca="false">ROUND(7.8/FX,2)</f>
        <v>1.08</v>
      </c>
      <c r="D701" s="21" t="s">
        <v>6336</v>
      </c>
      <c r="E701" s="21" t="s">
        <v>20628</v>
      </c>
      <c r="F701" s="21" t="s">
        <v>14829</v>
      </c>
    </row>
    <row r="702" customFormat="false" ht="28.35" hidden="false" customHeight="false" outlineLevel="0" collapsed="false">
      <c r="B702" s="19" t="s">
        <v>20735</v>
      </c>
      <c r="C702" s="20" t="n">
        <f aca="false">ROUND(10.5/FX,2)</f>
        <v>1.46</v>
      </c>
      <c r="D702" s="21" t="s">
        <v>6336</v>
      </c>
      <c r="E702" s="21" t="s">
        <v>20619</v>
      </c>
      <c r="F702" s="21" t="s">
        <v>20736</v>
      </c>
    </row>
    <row r="703" customFormat="false" ht="28.35" hidden="false" customHeight="false" outlineLevel="0" collapsed="false">
      <c r="B703" s="19" t="s">
        <v>20737</v>
      </c>
      <c r="C703" s="20" t="n">
        <f aca="false">ROUND(9.94/FX,2)</f>
        <v>1.38</v>
      </c>
      <c r="D703" s="21" t="s">
        <v>6336</v>
      </c>
      <c r="E703" s="21" t="s">
        <v>20617</v>
      </c>
      <c r="F703" s="21" t="s">
        <v>16395</v>
      </c>
    </row>
    <row r="704" customFormat="false" ht="28.35" hidden="false" customHeight="false" outlineLevel="0" collapsed="false">
      <c r="B704" s="19" t="s">
        <v>20738</v>
      </c>
      <c r="C704" s="20" t="n">
        <f aca="false">ROUND(9.92/FX,2)</f>
        <v>1.38</v>
      </c>
      <c r="D704" s="21" t="s">
        <v>6336</v>
      </c>
      <c r="E704" s="21" t="s">
        <v>20619</v>
      </c>
      <c r="F704" s="21" t="s">
        <v>16395</v>
      </c>
    </row>
    <row r="705" customFormat="false" ht="15" hidden="false" customHeight="false" outlineLevel="0" collapsed="false">
      <c r="B705" s="19" t="s">
        <v>20739</v>
      </c>
      <c r="C705" s="20" t="n">
        <f aca="false">ROUND(9.1/FX,2)</f>
        <v>1.26</v>
      </c>
      <c r="D705" s="21" t="s">
        <v>724</v>
      </c>
      <c r="E705" s="21" t="s">
        <v>20354</v>
      </c>
      <c r="F705" s="21" t="s">
        <v>14832</v>
      </c>
    </row>
    <row r="706" customFormat="false" ht="15" hidden="false" customHeight="false" outlineLevel="0" collapsed="false">
      <c r="B706" s="19" t="s">
        <v>20740</v>
      </c>
      <c r="C706" s="20" t="n">
        <f aca="false">ROUND(8.29/FX,2)</f>
        <v>1.15</v>
      </c>
      <c r="D706" s="21" t="s">
        <v>724</v>
      </c>
      <c r="E706" s="21" t="s">
        <v>20357</v>
      </c>
      <c r="F706" s="21" t="s">
        <v>14832</v>
      </c>
    </row>
    <row r="707" customFormat="false" ht="28.35" hidden="false" customHeight="false" outlineLevel="0" collapsed="false">
      <c r="B707" s="19" t="s">
        <v>20741</v>
      </c>
      <c r="C707" s="20" t="n">
        <f aca="false">ROUND(9.1/FX,2)</f>
        <v>1.26</v>
      </c>
      <c r="D707" s="21" t="s">
        <v>6336</v>
      </c>
      <c r="E707" s="21" t="s">
        <v>20626</v>
      </c>
      <c r="F707" s="21" t="s">
        <v>14832</v>
      </c>
    </row>
    <row r="708" customFormat="false" ht="28.35" hidden="false" customHeight="false" outlineLevel="0" collapsed="false">
      <c r="B708" s="19" t="s">
        <v>20742</v>
      </c>
      <c r="C708" s="20" t="n">
        <f aca="false">ROUND(8.29/FX,2)</f>
        <v>1.15</v>
      </c>
      <c r="D708" s="21" t="s">
        <v>6336</v>
      </c>
      <c r="E708" s="21" t="s">
        <v>20628</v>
      </c>
      <c r="F708" s="21" t="s">
        <v>14832</v>
      </c>
    </row>
    <row r="711" customFormat="false" ht="61.5" hidden="false" customHeight="true" outlineLevel="0" collapsed="false">
      <c r="A711" s="9"/>
      <c r="B711" s="10" t="s">
        <v>20743</v>
      </c>
      <c r="C711" s="10"/>
      <c r="D711" s="10"/>
    </row>
    <row r="712" customFormat="false" ht="15" hidden="false" customHeight="false" outlineLevel="0" collapsed="false">
      <c r="A712" s="12" t="s">
        <v>700</v>
      </c>
      <c r="B712" s="13" t="s">
        <v>701</v>
      </c>
      <c r="C712" s="13" t="s">
        <v>702</v>
      </c>
      <c r="D712" s="13" t="s">
        <v>13701</v>
      </c>
    </row>
    <row r="713" customFormat="false" ht="30" hidden="false" customHeight="true" outlineLevel="0" collapsed="false">
      <c r="A713" s="14" t="s">
        <v>706</v>
      </c>
      <c r="B713" s="15" t="str">
        <f aca="false">IF(COUNTIFS($D$716:$D$717,IF(D713="","*",D713))=1,INDEX($B:$B,SUMPRODUCT(((D713="")+($D$716:$D$717=D713)&gt;0)*ROW($B$716:$B$717))),IF(COUNTIFS($D$716:$D$717,IF(D713="","*",D713))=0,"Not available",COUNTIFS($D$716:$D$717,IF(D713="","*",D713))&amp;" match, keep choosing"))</f>
        <v>EG-063-M4x0.7</v>
      </c>
      <c r="C713" s="16" t="n">
        <f aca="false">IF(COUNTIFS($D$716:$D$717,IF(D713="","*",D713))=1,INDEX($C:$C,SUMPRODUCT(((D713="")+($D$716:$D$717=D713)&gt;0)*ROW($B$716:$B$717))),"")</f>
        <v>1.9</v>
      </c>
      <c r="D713" s="17" t="s">
        <v>14979</v>
      </c>
    </row>
    <row r="715" customFormat="false" ht="15" hidden="false" customHeight="false" outlineLevel="0" collapsed="false">
      <c r="B715" s="18" t="s">
        <v>701</v>
      </c>
      <c r="C715" s="18" t="s">
        <v>702</v>
      </c>
      <c r="D715" s="18" t="s">
        <v>13701</v>
      </c>
    </row>
    <row r="716" customFormat="false" ht="15" hidden="false" customHeight="false" outlineLevel="0" collapsed="false">
      <c r="B716" s="19" t="s">
        <v>20744</v>
      </c>
      <c r="C716" s="20" t="n">
        <f aca="false">ROUND(13.65/FX,2)</f>
        <v>1.9</v>
      </c>
      <c r="D716" s="21" t="s">
        <v>14979</v>
      </c>
    </row>
    <row r="717" customFormat="false" ht="15" hidden="false" customHeight="false" outlineLevel="0" collapsed="false">
      <c r="B717" s="19" t="s">
        <v>20745</v>
      </c>
      <c r="C717" s="20" t="n">
        <f aca="false">ROUND(14.95/FX,2)</f>
        <v>2.08</v>
      </c>
      <c r="D717" s="21" t="s">
        <v>14826</v>
      </c>
    </row>
    <row r="720" customFormat="false" ht="61.5" hidden="false" customHeight="true" outlineLevel="0" collapsed="false">
      <c r="A720" s="9"/>
      <c r="B720" s="10" t="s">
        <v>20746</v>
      </c>
      <c r="C720" s="10"/>
      <c r="D720" s="10"/>
      <c r="E720" s="10"/>
      <c r="F720" s="10"/>
      <c r="G720" s="10"/>
    </row>
    <row r="721" customFormat="false" ht="15" hidden="false" customHeight="false" outlineLevel="0" collapsed="false">
      <c r="A721" s="12" t="s">
        <v>700</v>
      </c>
      <c r="B721" s="13" t="s">
        <v>701</v>
      </c>
      <c r="C721" s="13" t="s">
        <v>702</v>
      </c>
      <c r="D721" s="13" t="s">
        <v>6328</v>
      </c>
      <c r="E721" s="13" t="s">
        <v>20747</v>
      </c>
      <c r="F721" s="13" t="s">
        <v>20748</v>
      </c>
      <c r="G721" s="13" t="s">
        <v>20749</v>
      </c>
    </row>
    <row r="722" customFormat="false" ht="30" hidden="false" customHeight="true" outlineLevel="0" collapsed="false">
      <c r="A722" s="14" t="s">
        <v>706</v>
      </c>
      <c r="B722" s="15" t="str">
        <f aca="false">IF(COUNTIFS($D$725:$D$815,IF(D722="","*",D722),$E$725:$E$815,IF(E722="","*",E722),$F$725:$F$815,IF(F722="","*",F722),$G$725:$G$815,IF(G722="","*",G722))=1,INDEX($B:$B,SUMPRODUCT(((D722="")+($D$725:$D$815=D722)&gt;0)*((E722="")+($E$725:$E$815=E722)&gt;0)*((F722="")+($F$725:$F$815=F722)&gt;0)*((G722="")+($G$725:$G$815=G722)&gt;0)*ROW($B$725:$B$815))),IF(COUNTIFS($D$725:$D$815,IF(D722="","*",D722),$E$725:$E$815,IF(E722="","*",E722),$F$725:$F$815,IF(F722="","*",F722),$G$725:$G$815,IF(G722="","*",G722))=0,"Not available",COUNTIFS($D$725:$D$815,IF(D722="","*",D722),$E$725:$E$815,IF(E722="","*",E722),$F$725:$F$815,IF(F722="","*",F722),$G$725:$G$815,IF(G722="","*",G722))&amp;" match, keep choosing"))</f>
        <v>VB-F-S3.175-10-0.1</v>
      </c>
      <c r="C722" s="16" t="n">
        <f aca="false">IF(COUNTIFS($D$725:$D$815,IF(D722="","*",D722),$E$725:$E$815,IF(E722="","*",E722),$F$725:$F$815,IF(F722="","*",F722),$G$725:$G$815,IF(G722="","*",G722))=1,INDEX($C:$C,SUMPRODUCT(((D722="")+($D$725:$D$815=D722)&gt;0)*((E722="")+($E$725:$E$815=E722)&gt;0)*((F722="")+($F$725:$F$815=F722)&gt;0)*((G722="")+($G$725:$G$815=G722)&gt;0)*ROW($B$725:$B$815))),"")</f>
        <v>0.64</v>
      </c>
      <c r="D722" s="17" t="s">
        <v>20750</v>
      </c>
      <c r="E722" s="17" t="s">
        <v>6709</v>
      </c>
      <c r="F722" s="17" t="s">
        <v>20751</v>
      </c>
      <c r="G722" s="17" t="s">
        <v>20752</v>
      </c>
    </row>
    <row r="724" customFormat="false" ht="15" hidden="false" customHeight="false" outlineLevel="0" collapsed="false">
      <c r="B724" s="18" t="s">
        <v>701</v>
      </c>
      <c r="C724" s="18" t="s">
        <v>702</v>
      </c>
      <c r="D724" s="18" t="s">
        <v>6328</v>
      </c>
      <c r="E724" s="18" t="s">
        <v>20747</v>
      </c>
      <c r="F724" s="18" t="s">
        <v>20748</v>
      </c>
      <c r="G724" s="18" t="s">
        <v>20749</v>
      </c>
    </row>
    <row r="725" customFormat="false" ht="15" hidden="false" customHeight="false" outlineLevel="0" collapsed="false">
      <c r="B725" s="19" t="s">
        <v>20753</v>
      </c>
      <c r="C725" s="20" t="n">
        <f aca="false">ROUND(4.58/FX,2)</f>
        <v>0.64</v>
      </c>
      <c r="D725" s="21" t="s">
        <v>20750</v>
      </c>
      <c r="E725" s="21" t="s">
        <v>6709</v>
      </c>
      <c r="F725" s="21" t="s">
        <v>20751</v>
      </c>
      <c r="G725" s="21" t="s">
        <v>20752</v>
      </c>
    </row>
    <row r="726" customFormat="false" ht="15" hidden="false" customHeight="false" outlineLevel="0" collapsed="false">
      <c r="B726" s="19" t="s">
        <v>20754</v>
      </c>
      <c r="C726" s="20" t="n">
        <f aca="false">ROUND(4.58/FX,2)</f>
        <v>0.64</v>
      </c>
      <c r="D726" s="21" t="s">
        <v>20750</v>
      </c>
      <c r="E726" s="21" t="s">
        <v>6709</v>
      </c>
      <c r="F726" s="21" t="s">
        <v>20751</v>
      </c>
      <c r="G726" s="21" t="s">
        <v>20755</v>
      </c>
    </row>
    <row r="727" customFormat="false" ht="15" hidden="false" customHeight="false" outlineLevel="0" collapsed="false">
      <c r="B727" s="19" t="s">
        <v>20756</v>
      </c>
      <c r="C727" s="20" t="n">
        <f aca="false">ROUND(4.58/FX,2)</f>
        <v>0.64</v>
      </c>
      <c r="D727" s="21" t="s">
        <v>20750</v>
      </c>
      <c r="E727" s="21" t="s">
        <v>6709</v>
      </c>
      <c r="F727" s="21" t="s">
        <v>20751</v>
      </c>
      <c r="G727" s="21" t="s">
        <v>20757</v>
      </c>
    </row>
    <row r="728" customFormat="false" ht="15" hidden="false" customHeight="false" outlineLevel="0" collapsed="false">
      <c r="B728" s="19" t="s">
        <v>20758</v>
      </c>
      <c r="C728" s="20" t="n">
        <f aca="false">ROUND(4.58/FX,2)</f>
        <v>0.64</v>
      </c>
      <c r="D728" s="21" t="s">
        <v>20750</v>
      </c>
      <c r="E728" s="21" t="s">
        <v>6709</v>
      </c>
      <c r="F728" s="21" t="s">
        <v>20759</v>
      </c>
      <c r="G728" s="21" t="s">
        <v>20752</v>
      </c>
    </row>
    <row r="729" customFormat="false" ht="15" hidden="false" customHeight="false" outlineLevel="0" collapsed="false">
      <c r="B729" s="19" t="s">
        <v>20760</v>
      </c>
      <c r="C729" s="20" t="n">
        <f aca="false">ROUND(4.58/FX,2)</f>
        <v>0.64</v>
      </c>
      <c r="D729" s="21" t="s">
        <v>20750</v>
      </c>
      <c r="E729" s="21" t="s">
        <v>6709</v>
      </c>
      <c r="F729" s="21" t="s">
        <v>20759</v>
      </c>
      <c r="G729" s="21" t="s">
        <v>20755</v>
      </c>
    </row>
    <row r="730" customFormat="false" ht="15" hidden="false" customHeight="false" outlineLevel="0" collapsed="false">
      <c r="B730" s="19" t="s">
        <v>20761</v>
      </c>
      <c r="C730" s="20" t="n">
        <f aca="false">ROUND(4.58/FX,2)</f>
        <v>0.64</v>
      </c>
      <c r="D730" s="21" t="s">
        <v>20750</v>
      </c>
      <c r="E730" s="21" t="s">
        <v>6709</v>
      </c>
      <c r="F730" s="21" t="s">
        <v>20759</v>
      </c>
      <c r="G730" s="21" t="s">
        <v>20757</v>
      </c>
    </row>
    <row r="731" customFormat="false" ht="15" hidden="false" customHeight="false" outlineLevel="0" collapsed="false">
      <c r="B731" s="19" t="s">
        <v>20762</v>
      </c>
      <c r="C731" s="20" t="n">
        <f aca="false">ROUND(4.58/FX,2)</f>
        <v>0.64</v>
      </c>
      <c r="D731" s="21" t="s">
        <v>20750</v>
      </c>
      <c r="E731" s="21" t="s">
        <v>6709</v>
      </c>
      <c r="F731" s="21" t="s">
        <v>20763</v>
      </c>
      <c r="G731" s="21" t="s">
        <v>20752</v>
      </c>
    </row>
    <row r="732" customFormat="false" ht="15" hidden="false" customHeight="false" outlineLevel="0" collapsed="false">
      <c r="B732" s="19" t="s">
        <v>20764</v>
      </c>
      <c r="C732" s="20" t="n">
        <f aca="false">ROUND(4.58/FX,2)</f>
        <v>0.64</v>
      </c>
      <c r="D732" s="21" t="s">
        <v>20750</v>
      </c>
      <c r="E732" s="21" t="s">
        <v>6709</v>
      </c>
      <c r="F732" s="21" t="s">
        <v>20763</v>
      </c>
      <c r="G732" s="21" t="s">
        <v>20755</v>
      </c>
    </row>
    <row r="733" customFormat="false" ht="15" hidden="false" customHeight="false" outlineLevel="0" collapsed="false">
      <c r="B733" s="19" t="s">
        <v>20765</v>
      </c>
      <c r="C733" s="20" t="n">
        <f aca="false">ROUND(4.58/FX,2)</f>
        <v>0.64</v>
      </c>
      <c r="D733" s="21" t="s">
        <v>20750</v>
      </c>
      <c r="E733" s="21" t="s">
        <v>6709</v>
      </c>
      <c r="F733" s="21" t="s">
        <v>20763</v>
      </c>
      <c r="G733" s="21" t="s">
        <v>20757</v>
      </c>
    </row>
    <row r="734" customFormat="false" ht="15" hidden="false" customHeight="false" outlineLevel="0" collapsed="false">
      <c r="B734" s="19" t="s">
        <v>20766</v>
      </c>
      <c r="C734" s="20" t="n">
        <f aca="false">ROUND(4.58/FX,2)</f>
        <v>0.64</v>
      </c>
      <c r="D734" s="21" t="s">
        <v>20750</v>
      </c>
      <c r="E734" s="21" t="s">
        <v>6709</v>
      </c>
      <c r="F734" s="21" t="s">
        <v>20763</v>
      </c>
      <c r="G734" s="21" t="s">
        <v>20767</v>
      </c>
    </row>
    <row r="735" customFormat="false" ht="15" hidden="false" customHeight="false" outlineLevel="0" collapsed="false">
      <c r="B735" s="19" t="s">
        <v>20768</v>
      </c>
      <c r="C735" s="20" t="n">
        <f aca="false">ROUND(4.58/FX,2)</f>
        <v>0.64</v>
      </c>
      <c r="D735" s="21" t="s">
        <v>20750</v>
      </c>
      <c r="E735" s="21" t="s">
        <v>6709</v>
      </c>
      <c r="F735" s="21" t="s">
        <v>20763</v>
      </c>
      <c r="G735" s="21" t="s">
        <v>20769</v>
      </c>
    </row>
    <row r="736" customFormat="false" ht="15" hidden="false" customHeight="false" outlineLevel="0" collapsed="false">
      <c r="B736" s="19" t="s">
        <v>20770</v>
      </c>
      <c r="C736" s="20" t="n">
        <f aca="false">ROUND(4.58/FX,2)</f>
        <v>0.64</v>
      </c>
      <c r="D736" s="21" t="s">
        <v>20750</v>
      </c>
      <c r="E736" s="21" t="s">
        <v>6709</v>
      </c>
      <c r="F736" s="21" t="s">
        <v>20771</v>
      </c>
      <c r="G736" s="21" t="s">
        <v>20752</v>
      </c>
    </row>
    <row r="737" customFormat="false" ht="15" hidden="false" customHeight="false" outlineLevel="0" collapsed="false">
      <c r="B737" s="19" t="s">
        <v>20772</v>
      </c>
      <c r="C737" s="20" t="n">
        <f aca="false">ROUND(4.58/FX,2)</f>
        <v>0.64</v>
      </c>
      <c r="D737" s="21" t="s">
        <v>20750</v>
      </c>
      <c r="E737" s="21" t="s">
        <v>6709</v>
      </c>
      <c r="F737" s="21" t="s">
        <v>20773</v>
      </c>
      <c r="G737" s="21" t="s">
        <v>20752</v>
      </c>
    </row>
    <row r="738" customFormat="false" ht="15" hidden="false" customHeight="false" outlineLevel="0" collapsed="false">
      <c r="B738" s="19" t="s">
        <v>20774</v>
      </c>
      <c r="C738" s="20" t="n">
        <f aca="false">ROUND(4.58/FX,2)</f>
        <v>0.64</v>
      </c>
      <c r="D738" s="21" t="s">
        <v>20750</v>
      </c>
      <c r="E738" s="21" t="s">
        <v>6709</v>
      </c>
      <c r="F738" s="21" t="s">
        <v>20773</v>
      </c>
      <c r="G738" s="21" t="s">
        <v>20755</v>
      </c>
    </row>
    <row r="739" customFormat="false" ht="15" hidden="false" customHeight="false" outlineLevel="0" collapsed="false">
      <c r="B739" s="19" t="s">
        <v>20775</v>
      </c>
      <c r="C739" s="20" t="n">
        <f aca="false">ROUND(4.58/FX,2)</f>
        <v>0.64</v>
      </c>
      <c r="D739" s="21" t="s">
        <v>20750</v>
      </c>
      <c r="E739" s="21" t="s">
        <v>6709</v>
      </c>
      <c r="F739" s="21" t="s">
        <v>20773</v>
      </c>
      <c r="G739" s="21" t="s">
        <v>20757</v>
      </c>
    </row>
    <row r="740" customFormat="false" ht="15" hidden="false" customHeight="false" outlineLevel="0" collapsed="false">
      <c r="B740" s="19" t="s">
        <v>20776</v>
      </c>
      <c r="C740" s="20" t="n">
        <f aca="false">ROUND(4.58/FX,2)</f>
        <v>0.64</v>
      </c>
      <c r="D740" s="21" t="s">
        <v>20750</v>
      </c>
      <c r="E740" s="21" t="s">
        <v>6709</v>
      </c>
      <c r="F740" s="21" t="s">
        <v>20773</v>
      </c>
      <c r="G740" s="21" t="s">
        <v>20767</v>
      </c>
    </row>
    <row r="741" customFormat="false" ht="15" hidden="false" customHeight="false" outlineLevel="0" collapsed="false">
      <c r="B741" s="19" t="s">
        <v>20777</v>
      </c>
      <c r="C741" s="20" t="n">
        <f aca="false">ROUND(4.58/FX,2)</f>
        <v>0.64</v>
      </c>
      <c r="D741" s="21" t="s">
        <v>20750</v>
      </c>
      <c r="E741" s="21" t="s">
        <v>6709</v>
      </c>
      <c r="F741" s="21" t="s">
        <v>20773</v>
      </c>
      <c r="G741" s="21" t="s">
        <v>20769</v>
      </c>
    </row>
    <row r="742" customFormat="false" ht="15" hidden="false" customHeight="false" outlineLevel="0" collapsed="false">
      <c r="B742" s="19" t="s">
        <v>20778</v>
      </c>
      <c r="C742" s="20" t="n">
        <f aca="false">ROUND(4.58/FX,2)</f>
        <v>0.64</v>
      </c>
      <c r="D742" s="21" t="s">
        <v>20750</v>
      </c>
      <c r="E742" s="21" t="s">
        <v>6709</v>
      </c>
      <c r="F742" s="21" t="s">
        <v>20773</v>
      </c>
      <c r="G742" s="21" t="s">
        <v>20779</v>
      </c>
    </row>
    <row r="743" customFormat="false" ht="15" hidden="false" customHeight="false" outlineLevel="0" collapsed="false">
      <c r="B743" s="19" t="s">
        <v>20780</v>
      </c>
      <c r="C743" s="20" t="n">
        <f aca="false">ROUND(4.58/FX,2)</f>
        <v>0.64</v>
      </c>
      <c r="D743" s="21" t="s">
        <v>20750</v>
      </c>
      <c r="E743" s="21" t="s">
        <v>6709</v>
      </c>
      <c r="F743" s="21" t="s">
        <v>20773</v>
      </c>
      <c r="G743" s="21" t="s">
        <v>20781</v>
      </c>
    </row>
    <row r="744" customFormat="false" ht="15" hidden="false" customHeight="false" outlineLevel="0" collapsed="false">
      <c r="B744" s="19" t="s">
        <v>20782</v>
      </c>
      <c r="C744" s="20" t="n">
        <f aca="false">ROUND(4.58/FX,2)</f>
        <v>0.64</v>
      </c>
      <c r="D744" s="21" t="s">
        <v>20750</v>
      </c>
      <c r="E744" s="21" t="s">
        <v>6709</v>
      </c>
      <c r="F744" s="21" t="s">
        <v>20773</v>
      </c>
      <c r="G744" s="21" t="s">
        <v>20783</v>
      </c>
    </row>
    <row r="745" customFormat="false" ht="15" hidden="false" customHeight="false" outlineLevel="0" collapsed="false">
      <c r="B745" s="19" t="s">
        <v>20784</v>
      </c>
      <c r="C745" s="20" t="n">
        <f aca="false">ROUND(4.58/FX,2)</f>
        <v>0.64</v>
      </c>
      <c r="D745" s="21" t="s">
        <v>20750</v>
      </c>
      <c r="E745" s="21" t="s">
        <v>6709</v>
      </c>
      <c r="F745" s="21" t="s">
        <v>20773</v>
      </c>
      <c r="G745" s="21" t="s">
        <v>20785</v>
      </c>
    </row>
    <row r="746" customFormat="false" ht="15" hidden="false" customHeight="false" outlineLevel="0" collapsed="false">
      <c r="B746" s="19" t="s">
        <v>20786</v>
      </c>
      <c r="C746" s="20" t="n">
        <f aca="false">ROUND(4.58/FX,2)</f>
        <v>0.64</v>
      </c>
      <c r="D746" s="21" t="s">
        <v>20750</v>
      </c>
      <c r="E746" s="21" t="s">
        <v>6709</v>
      </c>
      <c r="F746" s="21" t="s">
        <v>20773</v>
      </c>
      <c r="G746" s="21" t="s">
        <v>20787</v>
      </c>
    </row>
    <row r="747" customFormat="false" ht="15" hidden="false" customHeight="false" outlineLevel="0" collapsed="false">
      <c r="B747" s="19" t="s">
        <v>20788</v>
      </c>
      <c r="C747" s="20" t="n">
        <f aca="false">ROUND(4.58/FX,2)</f>
        <v>0.64</v>
      </c>
      <c r="D747" s="21" t="s">
        <v>20750</v>
      </c>
      <c r="E747" s="21" t="s">
        <v>6709</v>
      </c>
      <c r="F747" s="21" t="s">
        <v>20789</v>
      </c>
      <c r="G747" s="21" t="s">
        <v>20752</v>
      </c>
    </row>
    <row r="748" customFormat="false" ht="15" hidden="false" customHeight="false" outlineLevel="0" collapsed="false">
      <c r="B748" s="19" t="s">
        <v>20790</v>
      </c>
      <c r="C748" s="20" t="n">
        <f aca="false">ROUND(4.58/FX,2)</f>
        <v>0.64</v>
      </c>
      <c r="D748" s="21" t="s">
        <v>20750</v>
      </c>
      <c r="E748" s="21" t="s">
        <v>6709</v>
      </c>
      <c r="F748" s="21" t="s">
        <v>20791</v>
      </c>
      <c r="G748" s="21" t="s">
        <v>20752</v>
      </c>
    </row>
    <row r="749" customFormat="false" ht="15" hidden="false" customHeight="false" outlineLevel="0" collapsed="false">
      <c r="B749" s="19" t="s">
        <v>20792</v>
      </c>
      <c r="C749" s="20" t="n">
        <f aca="false">ROUND(4.58/FX,2)</f>
        <v>0.64</v>
      </c>
      <c r="D749" s="21" t="s">
        <v>20750</v>
      </c>
      <c r="E749" s="21" t="s">
        <v>6709</v>
      </c>
      <c r="F749" s="21" t="s">
        <v>20791</v>
      </c>
      <c r="G749" s="21" t="s">
        <v>20755</v>
      </c>
    </row>
    <row r="750" customFormat="false" ht="15" hidden="false" customHeight="false" outlineLevel="0" collapsed="false">
      <c r="B750" s="19" t="s">
        <v>20793</v>
      </c>
      <c r="C750" s="20" t="n">
        <f aca="false">ROUND(4.58/FX,2)</f>
        <v>0.64</v>
      </c>
      <c r="D750" s="21" t="s">
        <v>20750</v>
      </c>
      <c r="E750" s="21" t="s">
        <v>6709</v>
      </c>
      <c r="F750" s="21" t="s">
        <v>20791</v>
      </c>
      <c r="G750" s="21" t="s">
        <v>20757</v>
      </c>
    </row>
    <row r="751" customFormat="false" ht="15" hidden="false" customHeight="false" outlineLevel="0" collapsed="false">
      <c r="B751" s="19" t="s">
        <v>20794</v>
      </c>
      <c r="C751" s="20" t="n">
        <f aca="false">ROUND(4.58/FX,2)</f>
        <v>0.64</v>
      </c>
      <c r="D751" s="21" t="s">
        <v>20750</v>
      </c>
      <c r="E751" s="21" t="s">
        <v>6709</v>
      </c>
      <c r="F751" s="21" t="s">
        <v>20795</v>
      </c>
      <c r="G751" s="21" t="s">
        <v>20752</v>
      </c>
    </row>
    <row r="752" customFormat="false" ht="15" hidden="false" customHeight="false" outlineLevel="0" collapsed="false">
      <c r="B752" s="19" t="s">
        <v>20796</v>
      </c>
      <c r="C752" s="20" t="n">
        <f aca="false">ROUND(4.58/FX,2)</f>
        <v>0.64</v>
      </c>
      <c r="D752" s="21" t="s">
        <v>20750</v>
      </c>
      <c r="E752" s="21" t="s">
        <v>6709</v>
      </c>
      <c r="F752" s="21" t="s">
        <v>20795</v>
      </c>
      <c r="G752" s="21" t="s">
        <v>20755</v>
      </c>
    </row>
    <row r="753" customFormat="false" ht="15" hidden="false" customHeight="false" outlineLevel="0" collapsed="false">
      <c r="B753" s="19" t="s">
        <v>20797</v>
      </c>
      <c r="C753" s="20" t="n">
        <f aca="false">ROUND(4.58/FX,2)</f>
        <v>0.64</v>
      </c>
      <c r="D753" s="21" t="s">
        <v>20750</v>
      </c>
      <c r="E753" s="21" t="s">
        <v>6709</v>
      </c>
      <c r="F753" s="21" t="s">
        <v>20795</v>
      </c>
      <c r="G753" s="21" t="s">
        <v>20757</v>
      </c>
    </row>
    <row r="754" customFormat="false" ht="15" hidden="false" customHeight="false" outlineLevel="0" collapsed="false">
      <c r="B754" s="19" t="s">
        <v>20798</v>
      </c>
      <c r="C754" s="20" t="n">
        <f aca="false">ROUND(4.58/FX,2)</f>
        <v>0.64</v>
      </c>
      <c r="D754" s="21" t="s">
        <v>20750</v>
      </c>
      <c r="E754" s="21" t="s">
        <v>6709</v>
      </c>
      <c r="F754" s="21" t="s">
        <v>20799</v>
      </c>
      <c r="G754" s="21" t="s">
        <v>20752</v>
      </c>
    </row>
    <row r="755" customFormat="false" ht="15" hidden="false" customHeight="false" outlineLevel="0" collapsed="false">
      <c r="B755" s="19" t="s">
        <v>20800</v>
      </c>
      <c r="C755" s="20" t="n">
        <f aca="false">ROUND(4.58/FX,2)</f>
        <v>0.64</v>
      </c>
      <c r="D755" s="21" t="s">
        <v>20750</v>
      </c>
      <c r="E755" s="21" t="s">
        <v>6709</v>
      </c>
      <c r="F755" s="21" t="s">
        <v>20799</v>
      </c>
      <c r="G755" s="21" t="s">
        <v>20755</v>
      </c>
    </row>
    <row r="756" customFormat="false" ht="15" hidden="false" customHeight="false" outlineLevel="0" collapsed="false">
      <c r="B756" s="19" t="s">
        <v>20801</v>
      </c>
      <c r="C756" s="20" t="n">
        <f aca="false">ROUND(4.58/FX,2)</f>
        <v>0.64</v>
      </c>
      <c r="D756" s="21" t="s">
        <v>20750</v>
      </c>
      <c r="E756" s="21" t="s">
        <v>6709</v>
      </c>
      <c r="F756" s="21" t="s">
        <v>20799</v>
      </c>
      <c r="G756" s="21" t="s">
        <v>20757</v>
      </c>
    </row>
    <row r="757" customFormat="false" ht="15" hidden="false" customHeight="false" outlineLevel="0" collapsed="false">
      <c r="B757" s="19" t="s">
        <v>20802</v>
      </c>
      <c r="C757" s="20" t="n">
        <f aca="false">ROUND(20.7/FX,2)</f>
        <v>2.88</v>
      </c>
      <c r="D757" s="21" t="s">
        <v>20750</v>
      </c>
      <c r="E757" s="21" t="s">
        <v>841</v>
      </c>
      <c r="F757" s="21" t="s">
        <v>20763</v>
      </c>
      <c r="G757" s="21" t="s">
        <v>20752</v>
      </c>
    </row>
    <row r="758" customFormat="false" ht="15" hidden="false" customHeight="false" outlineLevel="0" collapsed="false">
      <c r="B758" s="19" t="s">
        <v>20803</v>
      </c>
      <c r="C758" s="20" t="n">
        <f aca="false">ROUND(20.7/FX,2)</f>
        <v>2.88</v>
      </c>
      <c r="D758" s="21" t="s">
        <v>20750</v>
      </c>
      <c r="E758" s="21" t="s">
        <v>841</v>
      </c>
      <c r="F758" s="21" t="s">
        <v>20773</v>
      </c>
      <c r="G758" s="21" t="s">
        <v>20755</v>
      </c>
    </row>
    <row r="759" customFormat="false" ht="15" hidden="false" customHeight="false" outlineLevel="0" collapsed="false">
      <c r="B759" s="19" t="s">
        <v>20804</v>
      </c>
      <c r="C759" s="20" t="n">
        <f aca="false">ROUND(20.7/FX,2)</f>
        <v>2.88</v>
      </c>
      <c r="D759" s="21" t="s">
        <v>20750</v>
      </c>
      <c r="E759" s="21" t="s">
        <v>841</v>
      </c>
      <c r="F759" s="21" t="s">
        <v>20791</v>
      </c>
      <c r="G759" s="21" t="s">
        <v>20752</v>
      </c>
    </row>
    <row r="760" customFormat="false" ht="15" hidden="false" customHeight="false" outlineLevel="0" collapsed="false">
      <c r="B760" s="19" t="s">
        <v>20805</v>
      </c>
      <c r="C760" s="20" t="n">
        <f aca="false">ROUND(20.7/FX,2)</f>
        <v>2.88</v>
      </c>
      <c r="D760" s="21" t="s">
        <v>20750</v>
      </c>
      <c r="E760" s="21" t="s">
        <v>841</v>
      </c>
      <c r="F760" s="21" t="s">
        <v>20791</v>
      </c>
      <c r="G760" s="21" t="s">
        <v>20767</v>
      </c>
    </row>
    <row r="761" customFormat="false" ht="15" hidden="false" customHeight="false" outlineLevel="0" collapsed="false">
      <c r="B761" s="19" t="s">
        <v>20806</v>
      </c>
      <c r="C761" s="20" t="n">
        <f aca="false">ROUND(20.7/FX,2)</f>
        <v>2.88</v>
      </c>
      <c r="D761" s="21" t="s">
        <v>20750</v>
      </c>
      <c r="E761" s="21" t="s">
        <v>841</v>
      </c>
      <c r="F761" s="21" t="s">
        <v>20795</v>
      </c>
      <c r="G761" s="21" t="s">
        <v>20752</v>
      </c>
    </row>
    <row r="762" customFormat="false" ht="15" hidden="false" customHeight="false" outlineLevel="0" collapsed="false">
      <c r="B762" s="19" t="s">
        <v>20807</v>
      </c>
      <c r="C762" s="20" t="n">
        <f aca="false">ROUND(20.7/FX,2)</f>
        <v>2.88</v>
      </c>
      <c r="D762" s="21" t="s">
        <v>20750</v>
      </c>
      <c r="E762" s="21" t="s">
        <v>841</v>
      </c>
      <c r="F762" s="21" t="s">
        <v>20795</v>
      </c>
      <c r="G762" s="21" t="s">
        <v>20755</v>
      </c>
    </row>
    <row r="763" customFormat="false" ht="15" hidden="false" customHeight="false" outlineLevel="0" collapsed="false">
      <c r="B763" s="19" t="s">
        <v>20808</v>
      </c>
      <c r="C763" s="20" t="n">
        <f aca="false">ROUND(20.7/FX,2)</f>
        <v>2.88</v>
      </c>
      <c r="D763" s="21" t="s">
        <v>20750</v>
      </c>
      <c r="E763" s="21" t="s">
        <v>841</v>
      </c>
      <c r="F763" s="21" t="s">
        <v>20795</v>
      </c>
      <c r="G763" s="21" t="s">
        <v>20757</v>
      </c>
    </row>
    <row r="764" customFormat="false" ht="15" hidden="false" customHeight="false" outlineLevel="0" collapsed="false">
      <c r="B764" s="19" t="s">
        <v>20809</v>
      </c>
      <c r="C764" s="20" t="n">
        <f aca="false">ROUND(38.03/FX,2)</f>
        <v>5.28</v>
      </c>
      <c r="D764" s="21" t="s">
        <v>20750</v>
      </c>
      <c r="E764" s="21" t="s">
        <v>716</v>
      </c>
      <c r="F764" s="21" t="s">
        <v>20763</v>
      </c>
      <c r="G764" s="21" t="s">
        <v>20752</v>
      </c>
    </row>
    <row r="765" customFormat="false" ht="15" hidden="false" customHeight="false" outlineLevel="0" collapsed="false">
      <c r="B765" s="19" t="s">
        <v>20810</v>
      </c>
      <c r="C765" s="20" t="n">
        <f aca="false">ROUND(4.71/FX,2)</f>
        <v>0.65</v>
      </c>
      <c r="D765" s="21" t="s">
        <v>20811</v>
      </c>
      <c r="E765" s="21" t="s">
        <v>6709</v>
      </c>
      <c r="F765" s="21" t="s">
        <v>20751</v>
      </c>
      <c r="G765" s="21" t="s">
        <v>20752</v>
      </c>
    </row>
    <row r="766" customFormat="false" ht="15" hidden="false" customHeight="false" outlineLevel="0" collapsed="false">
      <c r="B766" s="19" t="s">
        <v>20812</v>
      </c>
      <c r="C766" s="20" t="n">
        <f aca="false">ROUND(4.71/FX,2)</f>
        <v>0.65</v>
      </c>
      <c r="D766" s="21" t="s">
        <v>20811</v>
      </c>
      <c r="E766" s="21" t="s">
        <v>6709</v>
      </c>
      <c r="F766" s="21" t="s">
        <v>20751</v>
      </c>
      <c r="G766" s="21" t="s">
        <v>20755</v>
      </c>
    </row>
    <row r="767" customFormat="false" ht="15" hidden="false" customHeight="false" outlineLevel="0" collapsed="false">
      <c r="B767" s="19" t="s">
        <v>20813</v>
      </c>
      <c r="C767" s="20" t="n">
        <f aca="false">ROUND(4.71/FX,2)</f>
        <v>0.65</v>
      </c>
      <c r="D767" s="21" t="s">
        <v>20811</v>
      </c>
      <c r="E767" s="21" t="s">
        <v>6709</v>
      </c>
      <c r="F767" s="21" t="s">
        <v>20751</v>
      </c>
      <c r="G767" s="21" t="s">
        <v>20757</v>
      </c>
    </row>
    <row r="768" customFormat="false" ht="15" hidden="false" customHeight="false" outlineLevel="0" collapsed="false">
      <c r="B768" s="19" t="s">
        <v>20814</v>
      </c>
      <c r="C768" s="20" t="n">
        <f aca="false">ROUND(4.71/FX,2)</f>
        <v>0.65</v>
      </c>
      <c r="D768" s="21" t="s">
        <v>20811</v>
      </c>
      <c r="E768" s="21" t="s">
        <v>6709</v>
      </c>
      <c r="F768" s="21" t="s">
        <v>20759</v>
      </c>
      <c r="G768" s="21" t="s">
        <v>20752</v>
      </c>
    </row>
    <row r="769" customFormat="false" ht="15" hidden="false" customHeight="false" outlineLevel="0" collapsed="false">
      <c r="B769" s="19" t="s">
        <v>20815</v>
      </c>
      <c r="C769" s="20" t="n">
        <f aca="false">ROUND(4.71/FX,2)</f>
        <v>0.65</v>
      </c>
      <c r="D769" s="21" t="s">
        <v>20811</v>
      </c>
      <c r="E769" s="21" t="s">
        <v>6709</v>
      </c>
      <c r="F769" s="21" t="s">
        <v>20759</v>
      </c>
      <c r="G769" s="21" t="s">
        <v>20755</v>
      </c>
    </row>
    <row r="770" customFormat="false" ht="15" hidden="false" customHeight="false" outlineLevel="0" collapsed="false">
      <c r="B770" s="19" t="s">
        <v>20816</v>
      </c>
      <c r="C770" s="20" t="n">
        <f aca="false">ROUND(4.71/FX,2)</f>
        <v>0.65</v>
      </c>
      <c r="D770" s="21" t="s">
        <v>20811</v>
      </c>
      <c r="E770" s="21" t="s">
        <v>6709</v>
      </c>
      <c r="F770" s="21" t="s">
        <v>20759</v>
      </c>
      <c r="G770" s="21" t="s">
        <v>20757</v>
      </c>
    </row>
    <row r="771" customFormat="false" ht="15" hidden="false" customHeight="false" outlineLevel="0" collapsed="false">
      <c r="B771" s="19" t="s">
        <v>20817</v>
      </c>
      <c r="C771" s="20" t="n">
        <f aca="false">ROUND(4.71/FX,2)</f>
        <v>0.65</v>
      </c>
      <c r="D771" s="21" t="s">
        <v>20811</v>
      </c>
      <c r="E771" s="21" t="s">
        <v>6709</v>
      </c>
      <c r="F771" s="21" t="s">
        <v>20759</v>
      </c>
      <c r="G771" s="21" t="s">
        <v>20769</v>
      </c>
    </row>
    <row r="772" customFormat="false" ht="15" hidden="false" customHeight="false" outlineLevel="0" collapsed="false">
      <c r="B772" s="19" t="s">
        <v>20818</v>
      </c>
      <c r="C772" s="20" t="n">
        <f aca="false">ROUND(4.71/FX,2)</f>
        <v>0.65</v>
      </c>
      <c r="D772" s="21" t="s">
        <v>20811</v>
      </c>
      <c r="E772" s="21" t="s">
        <v>6709</v>
      </c>
      <c r="F772" s="21" t="s">
        <v>20763</v>
      </c>
      <c r="G772" s="21" t="s">
        <v>20752</v>
      </c>
    </row>
    <row r="773" customFormat="false" ht="15" hidden="false" customHeight="false" outlineLevel="0" collapsed="false">
      <c r="B773" s="19" t="s">
        <v>20819</v>
      </c>
      <c r="C773" s="20" t="n">
        <f aca="false">ROUND(4.71/FX,2)</f>
        <v>0.65</v>
      </c>
      <c r="D773" s="21" t="s">
        <v>20811</v>
      </c>
      <c r="E773" s="21" t="s">
        <v>6709</v>
      </c>
      <c r="F773" s="21" t="s">
        <v>20763</v>
      </c>
      <c r="G773" s="21" t="s">
        <v>20755</v>
      </c>
    </row>
    <row r="774" customFormat="false" ht="15" hidden="false" customHeight="false" outlineLevel="0" collapsed="false">
      <c r="B774" s="19" t="s">
        <v>20820</v>
      </c>
      <c r="C774" s="20" t="n">
        <f aca="false">ROUND(4.71/FX,2)</f>
        <v>0.65</v>
      </c>
      <c r="D774" s="21" t="s">
        <v>20811</v>
      </c>
      <c r="E774" s="21" t="s">
        <v>6709</v>
      </c>
      <c r="F774" s="21" t="s">
        <v>20763</v>
      </c>
      <c r="G774" s="21" t="s">
        <v>20757</v>
      </c>
    </row>
    <row r="775" customFormat="false" ht="15" hidden="false" customHeight="false" outlineLevel="0" collapsed="false">
      <c r="B775" s="19" t="s">
        <v>20821</v>
      </c>
      <c r="C775" s="20" t="n">
        <f aca="false">ROUND(4.71/FX,2)</f>
        <v>0.65</v>
      </c>
      <c r="D775" s="21" t="s">
        <v>20811</v>
      </c>
      <c r="E775" s="21" t="s">
        <v>6709</v>
      </c>
      <c r="F775" s="21" t="s">
        <v>20763</v>
      </c>
      <c r="G775" s="21" t="s">
        <v>20767</v>
      </c>
    </row>
    <row r="776" customFormat="false" ht="15" hidden="false" customHeight="false" outlineLevel="0" collapsed="false">
      <c r="B776" s="19" t="s">
        <v>20822</v>
      </c>
      <c r="C776" s="20" t="n">
        <f aca="false">ROUND(4.71/FX,2)</f>
        <v>0.65</v>
      </c>
      <c r="D776" s="21" t="s">
        <v>20811</v>
      </c>
      <c r="E776" s="21" t="s">
        <v>6709</v>
      </c>
      <c r="F776" s="21" t="s">
        <v>20771</v>
      </c>
      <c r="G776" s="21" t="s">
        <v>20752</v>
      </c>
    </row>
    <row r="777" customFormat="false" ht="15" hidden="false" customHeight="false" outlineLevel="0" collapsed="false">
      <c r="B777" s="19" t="s">
        <v>20823</v>
      </c>
      <c r="C777" s="20" t="n">
        <f aca="false">ROUND(4.71/FX,2)</f>
        <v>0.65</v>
      </c>
      <c r="D777" s="21" t="s">
        <v>20811</v>
      </c>
      <c r="E777" s="21" t="s">
        <v>6709</v>
      </c>
      <c r="F777" s="21" t="s">
        <v>20771</v>
      </c>
      <c r="G777" s="21" t="s">
        <v>20755</v>
      </c>
    </row>
    <row r="778" customFormat="false" ht="15" hidden="false" customHeight="false" outlineLevel="0" collapsed="false">
      <c r="B778" s="19" t="s">
        <v>20824</v>
      </c>
      <c r="C778" s="20" t="n">
        <f aca="false">ROUND(4.71/FX,2)</f>
        <v>0.65</v>
      </c>
      <c r="D778" s="21" t="s">
        <v>20811</v>
      </c>
      <c r="E778" s="21" t="s">
        <v>6709</v>
      </c>
      <c r="F778" s="21" t="s">
        <v>20773</v>
      </c>
      <c r="G778" s="21" t="s">
        <v>20752</v>
      </c>
    </row>
    <row r="779" customFormat="false" ht="15" hidden="false" customHeight="false" outlineLevel="0" collapsed="false">
      <c r="B779" s="19" t="s">
        <v>20825</v>
      </c>
      <c r="C779" s="20" t="n">
        <f aca="false">ROUND(4.71/FX,2)</f>
        <v>0.65</v>
      </c>
      <c r="D779" s="21" t="s">
        <v>20811</v>
      </c>
      <c r="E779" s="21" t="s">
        <v>6709</v>
      </c>
      <c r="F779" s="21" t="s">
        <v>20773</v>
      </c>
      <c r="G779" s="21" t="s">
        <v>20755</v>
      </c>
    </row>
    <row r="780" customFormat="false" ht="15" hidden="false" customHeight="false" outlineLevel="0" collapsed="false">
      <c r="B780" s="19" t="s">
        <v>20826</v>
      </c>
      <c r="C780" s="20" t="n">
        <f aca="false">ROUND(4.71/FX,2)</f>
        <v>0.65</v>
      </c>
      <c r="D780" s="21" t="s">
        <v>20811</v>
      </c>
      <c r="E780" s="21" t="s">
        <v>6709</v>
      </c>
      <c r="F780" s="21" t="s">
        <v>20773</v>
      </c>
      <c r="G780" s="21" t="s">
        <v>20757</v>
      </c>
    </row>
    <row r="781" customFormat="false" ht="15" hidden="false" customHeight="false" outlineLevel="0" collapsed="false">
      <c r="B781" s="19" t="s">
        <v>20827</v>
      </c>
      <c r="C781" s="20" t="n">
        <f aca="false">ROUND(4.71/FX,2)</f>
        <v>0.65</v>
      </c>
      <c r="D781" s="21" t="s">
        <v>20811</v>
      </c>
      <c r="E781" s="21" t="s">
        <v>6709</v>
      </c>
      <c r="F781" s="21" t="s">
        <v>20773</v>
      </c>
      <c r="G781" s="21" t="s">
        <v>20767</v>
      </c>
    </row>
    <row r="782" customFormat="false" ht="15" hidden="false" customHeight="false" outlineLevel="0" collapsed="false">
      <c r="B782" s="19" t="s">
        <v>20828</v>
      </c>
      <c r="C782" s="20" t="n">
        <f aca="false">ROUND(4.71/FX,2)</f>
        <v>0.65</v>
      </c>
      <c r="D782" s="21" t="s">
        <v>20811</v>
      </c>
      <c r="E782" s="21" t="s">
        <v>6709</v>
      </c>
      <c r="F782" s="21" t="s">
        <v>20773</v>
      </c>
      <c r="G782" s="21" t="s">
        <v>20769</v>
      </c>
    </row>
    <row r="783" customFormat="false" ht="15" hidden="false" customHeight="false" outlineLevel="0" collapsed="false">
      <c r="B783" s="19" t="s">
        <v>20829</v>
      </c>
      <c r="C783" s="20" t="n">
        <f aca="false">ROUND(4.71/FX,2)</f>
        <v>0.65</v>
      </c>
      <c r="D783" s="21" t="s">
        <v>20811</v>
      </c>
      <c r="E783" s="21" t="s">
        <v>6709</v>
      </c>
      <c r="F783" s="21" t="s">
        <v>20773</v>
      </c>
      <c r="G783" s="21" t="s">
        <v>20779</v>
      </c>
    </row>
    <row r="784" customFormat="false" ht="15" hidden="false" customHeight="false" outlineLevel="0" collapsed="false">
      <c r="B784" s="19" t="s">
        <v>20830</v>
      </c>
      <c r="C784" s="20" t="n">
        <f aca="false">ROUND(4.71/FX,2)</f>
        <v>0.65</v>
      </c>
      <c r="D784" s="21" t="s">
        <v>20811</v>
      </c>
      <c r="E784" s="21" t="s">
        <v>6709</v>
      </c>
      <c r="F784" s="21" t="s">
        <v>20773</v>
      </c>
      <c r="G784" s="21" t="s">
        <v>20783</v>
      </c>
    </row>
    <row r="785" customFormat="false" ht="15" hidden="false" customHeight="false" outlineLevel="0" collapsed="false">
      <c r="B785" s="19" t="s">
        <v>20831</v>
      </c>
      <c r="C785" s="20" t="n">
        <f aca="false">ROUND(4.71/FX,2)</f>
        <v>0.65</v>
      </c>
      <c r="D785" s="21" t="s">
        <v>20811</v>
      </c>
      <c r="E785" s="21" t="s">
        <v>6709</v>
      </c>
      <c r="F785" s="21" t="s">
        <v>20773</v>
      </c>
      <c r="G785" s="21" t="s">
        <v>20787</v>
      </c>
    </row>
    <row r="786" customFormat="false" ht="15" hidden="false" customHeight="false" outlineLevel="0" collapsed="false">
      <c r="B786" s="19" t="s">
        <v>20832</v>
      </c>
      <c r="C786" s="20" t="n">
        <f aca="false">ROUND(4.71/FX,2)</f>
        <v>0.65</v>
      </c>
      <c r="D786" s="21" t="s">
        <v>20811</v>
      </c>
      <c r="E786" s="21" t="s">
        <v>6709</v>
      </c>
      <c r="F786" s="21" t="s">
        <v>20789</v>
      </c>
      <c r="G786" s="21" t="s">
        <v>20752</v>
      </c>
    </row>
    <row r="787" customFormat="false" ht="15" hidden="false" customHeight="false" outlineLevel="0" collapsed="false">
      <c r="B787" s="19" t="s">
        <v>20833</v>
      </c>
      <c r="C787" s="20" t="n">
        <f aca="false">ROUND(4.71/FX,2)</f>
        <v>0.65</v>
      </c>
      <c r="D787" s="21" t="s">
        <v>20811</v>
      </c>
      <c r="E787" s="21" t="s">
        <v>6709</v>
      </c>
      <c r="F787" s="21" t="s">
        <v>20791</v>
      </c>
      <c r="G787" s="21" t="s">
        <v>20752</v>
      </c>
    </row>
    <row r="788" customFormat="false" ht="15" hidden="false" customHeight="false" outlineLevel="0" collapsed="false">
      <c r="B788" s="19" t="s">
        <v>20834</v>
      </c>
      <c r="C788" s="20" t="n">
        <f aca="false">ROUND(4.71/FX,2)</f>
        <v>0.65</v>
      </c>
      <c r="D788" s="21" t="s">
        <v>20811</v>
      </c>
      <c r="E788" s="21" t="s">
        <v>6709</v>
      </c>
      <c r="F788" s="21" t="s">
        <v>20791</v>
      </c>
      <c r="G788" s="21" t="s">
        <v>20755</v>
      </c>
    </row>
    <row r="789" customFormat="false" ht="15" hidden="false" customHeight="false" outlineLevel="0" collapsed="false">
      <c r="B789" s="19" t="s">
        <v>20835</v>
      </c>
      <c r="C789" s="20" t="n">
        <f aca="false">ROUND(4.71/FX,2)</f>
        <v>0.65</v>
      </c>
      <c r="D789" s="21" t="s">
        <v>20811</v>
      </c>
      <c r="E789" s="21" t="s">
        <v>6709</v>
      </c>
      <c r="F789" s="21" t="s">
        <v>20791</v>
      </c>
      <c r="G789" s="21" t="s">
        <v>20757</v>
      </c>
    </row>
    <row r="790" customFormat="false" ht="15" hidden="false" customHeight="false" outlineLevel="0" collapsed="false">
      <c r="B790" s="19" t="s">
        <v>20836</v>
      </c>
      <c r="C790" s="20" t="n">
        <f aca="false">ROUND(4.71/FX,2)</f>
        <v>0.65</v>
      </c>
      <c r="D790" s="21" t="s">
        <v>20811</v>
      </c>
      <c r="E790" s="21" t="s">
        <v>6709</v>
      </c>
      <c r="F790" s="21" t="s">
        <v>20795</v>
      </c>
      <c r="G790" s="21" t="s">
        <v>20752</v>
      </c>
    </row>
    <row r="791" customFormat="false" ht="15" hidden="false" customHeight="false" outlineLevel="0" collapsed="false">
      <c r="B791" s="19" t="s">
        <v>20837</v>
      </c>
      <c r="C791" s="20" t="n">
        <f aca="false">ROUND(4.71/FX,2)</f>
        <v>0.65</v>
      </c>
      <c r="D791" s="21" t="s">
        <v>20811</v>
      </c>
      <c r="E791" s="21" t="s">
        <v>6709</v>
      </c>
      <c r="F791" s="21" t="s">
        <v>20795</v>
      </c>
      <c r="G791" s="21" t="s">
        <v>20755</v>
      </c>
    </row>
    <row r="792" customFormat="false" ht="15" hidden="false" customHeight="false" outlineLevel="0" collapsed="false">
      <c r="B792" s="19" t="s">
        <v>20838</v>
      </c>
      <c r="C792" s="20" t="n">
        <f aca="false">ROUND(4.71/FX,2)</f>
        <v>0.65</v>
      </c>
      <c r="D792" s="21" t="s">
        <v>20811</v>
      </c>
      <c r="E792" s="21" t="s">
        <v>6709</v>
      </c>
      <c r="F792" s="21" t="s">
        <v>20795</v>
      </c>
      <c r="G792" s="21" t="s">
        <v>20757</v>
      </c>
    </row>
    <row r="793" customFormat="false" ht="15" hidden="false" customHeight="false" outlineLevel="0" collapsed="false">
      <c r="B793" s="19" t="s">
        <v>20839</v>
      </c>
      <c r="C793" s="20" t="n">
        <f aca="false">ROUND(4.71/FX,2)</f>
        <v>0.65</v>
      </c>
      <c r="D793" s="21" t="s">
        <v>20811</v>
      </c>
      <c r="E793" s="21" t="s">
        <v>6709</v>
      </c>
      <c r="F793" s="21" t="s">
        <v>20840</v>
      </c>
      <c r="G793" s="21" t="s">
        <v>20752</v>
      </c>
    </row>
    <row r="794" customFormat="false" ht="15" hidden="false" customHeight="false" outlineLevel="0" collapsed="false">
      <c r="B794" s="19" t="s">
        <v>20841</v>
      </c>
      <c r="C794" s="20" t="n">
        <f aca="false">ROUND(4.71/FX,2)</f>
        <v>0.65</v>
      </c>
      <c r="D794" s="21" t="s">
        <v>20811</v>
      </c>
      <c r="E794" s="21" t="s">
        <v>6709</v>
      </c>
      <c r="F794" s="21" t="s">
        <v>20799</v>
      </c>
      <c r="G794" s="21" t="s">
        <v>20752</v>
      </c>
    </row>
    <row r="795" customFormat="false" ht="15" hidden="false" customHeight="false" outlineLevel="0" collapsed="false">
      <c r="B795" s="19" t="s">
        <v>20842</v>
      </c>
      <c r="C795" s="20" t="n">
        <f aca="false">ROUND(4.71/FX,2)</f>
        <v>0.65</v>
      </c>
      <c r="D795" s="21" t="s">
        <v>20811</v>
      </c>
      <c r="E795" s="21" t="s">
        <v>6709</v>
      </c>
      <c r="F795" s="21" t="s">
        <v>20799</v>
      </c>
      <c r="G795" s="21" t="s">
        <v>20755</v>
      </c>
    </row>
    <row r="796" customFormat="false" ht="15" hidden="false" customHeight="false" outlineLevel="0" collapsed="false">
      <c r="B796" s="19" t="s">
        <v>20843</v>
      </c>
      <c r="C796" s="20" t="n">
        <f aca="false">ROUND(20.7/FX,2)</f>
        <v>2.88</v>
      </c>
      <c r="D796" s="21" t="s">
        <v>20811</v>
      </c>
      <c r="E796" s="21" t="s">
        <v>841</v>
      </c>
      <c r="F796" s="21" t="s">
        <v>20759</v>
      </c>
      <c r="G796" s="21" t="s">
        <v>20752</v>
      </c>
    </row>
    <row r="797" customFormat="false" ht="15" hidden="false" customHeight="false" outlineLevel="0" collapsed="false">
      <c r="B797" s="19" t="s">
        <v>20844</v>
      </c>
      <c r="C797" s="20" t="n">
        <f aca="false">ROUND(20.7/FX,2)</f>
        <v>2.88</v>
      </c>
      <c r="D797" s="21" t="s">
        <v>20811</v>
      </c>
      <c r="E797" s="21" t="s">
        <v>841</v>
      </c>
      <c r="F797" s="21" t="s">
        <v>20763</v>
      </c>
      <c r="G797" s="21" t="s">
        <v>20752</v>
      </c>
    </row>
    <row r="798" customFormat="false" ht="15" hidden="false" customHeight="false" outlineLevel="0" collapsed="false">
      <c r="B798" s="19" t="s">
        <v>20845</v>
      </c>
      <c r="C798" s="20" t="n">
        <f aca="false">ROUND(20.7/FX,2)</f>
        <v>2.88</v>
      </c>
      <c r="D798" s="21" t="s">
        <v>20811</v>
      </c>
      <c r="E798" s="21" t="s">
        <v>841</v>
      </c>
      <c r="F798" s="21" t="s">
        <v>20763</v>
      </c>
      <c r="G798" s="21" t="s">
        <v>20757</v>
      </c>
    </row>
    <row r="799" customFormat="false" ht="15" hidden="false" customHeight="false" outlineLevel="0" collapsed="false">
      <c r="B799" s="19" t="s">
        <v>20846</v>
      </c>
      <c r="C799" s="20" t="n">
        <f aca="false">ROUND(20.7/FX,2)</f>
        <v>2.88</v>
      </c>
      <c r="D799" s="21" t="s">
        <v>20811</v>
      </c>
      <c r="E799" s="21" t="s">
        <v>841</v>
      </c>
      <c r="F799" s="21" t="s">
        <v>20773</v>
      </c>
      <c r="G799" s="21" t="s">
        <v>20767</v>
      </c>
    </row>
    <row r="800" customFormat="false" ht="15" hidden="false" customHeight="false" outlineLevel="0" collapsed="false">
      <c r="B800" s="19" t="s">
        <v>20847</v>
      </c>
      <c r="C800" s="20" t="n">
        <f aca="false">ROUND(20.7/FX,2)</f>
        <v>2.88</v>
      </c>
      <c r="D800" s="21" t="s">
        <v>20811</v>
      </c>
      <c r="E800" s="21" t="s">
        <v>841</v>
      </c>
      <c r="F800" s="21" t="s">
        <v>20795</v>
      </c>
      <c r="G800" s="21" t="s">
        <v>20752</v>
      </c>
    </row>
    <row r="801" customFormat="false" ht="15" hidden="false" customHeight="false" outlineLevel="0" collapsed="false">
      <c r="B801" s="19" t="s">
        <v>20848</v>
      </c>
      <c r="C801" s="20" t="n">
        <f aca="false">ROUND(20.7/FX,2)</f>
        <v>2.88</v>
      </c>
      <c r="D801" s="21" t="s">
        <v>20811</v>
      </c>
      <c r="E801" s="21" t="s">
        <v>841</v>
      </c>
      <c r="F801" s="21" t="s">
        <v>20795</v>
      </c>
      <c r="G801" s="21" t="s">
        <v>20755</v>
      </c>
    </row>
    <row r="802" customFormat="false" ht="15" hidden="false" customHeight="false" outlineLevel="0" collapsed="false">
      <c r="B802" s="19" t="s">
        <v>20849</v>
      </c>
      <c r="C802" s="20" t="n">
        <f aca="false">ROUND(20.7/FX,2)</f>
        <v>2.88</v>
      </c>
      <c r="D802" s="21" t="s">
        <v>20811</v>
      </c>
      <c r="E802" s="21" t="s">
        <v>841</v>
      </c>
      <c r="F802" s="21" t="s">
        <v>20795</v>
      </c>
      <c r="G802" s="21" t="s">
        <v>20757</v>
      </c>
    </row>
    <row r="803" customFormat="false" ht="15" hidden="false" customHeight="false" outlineLevel="0" collapsed="false">
      <c r="B803" s="19" t="s">
        <v>20850</v>
      </c>
      <c r="C803" s="20" t="n">
        <f aca="false">ROUND(20.7/FX,2)</f>
        <v>2.88</v>
      </c>
      <c r="D803" s="21" t="s">
        <v>20811</v>
      </c>
      <c r="E803" s="21" t="s">
        <v>841</v>
      </c>
      <c r="F803" s="21" t="s">
        <v>20799</v>
      </c>
      <c r="G803" s="21" t="s">
        <v>20752</v>
      </c>
    </row>
    <row r="804" customFormat="false" ht="15" hidden="false" customHeight="false" outlineLevel="0" collapsed="false">
      <c r="B804" s="19" t="s">
        <v>20851</v>
      </c>
      <c r="C804" s="20" t="n">
        <f aca="false">ROUND(38.03/FX,2)</f>
        <v>5.28</v>
      </c>
      <c r="D804" s="21" t="s">
        <v>20811</v>
      </c>
      <c r="E804" s="21" t="s">
        <v>716</v>
      </c>
      <c r="F804" s="21" t="s">
        <v>20763</v>
      </c>
      <c r="G804" s="21" t="s">
        <v>20752</v>
      </c>
    </row>
    <row r="805" customFormat="false" ht="15" hidden="false" customHeight="false" outlineLevel="0" collapsed="false">
      <c r="B805" s="19" t="s">
        <v>20852</v>
      </c>
      <c r="C805" s="20" t="n">
        <f aca="false">ROUND(38.03/FX,2)</f>
        <v>5.28</v>
      </c>
      <c r="D805" s="21" t="s">
        <v>20811</v>
      </c>
      <c r="E805" s="21" t="s">
        <v>716</v>
      </c>
      <c r="F805" s="21" t="s">
        <v>20763</v>
      </c>
      <c r="G805" s="21" t="s">
        <v>20755</v>
      </c>
    </row>
    <row r="806" customFormat="false" ht="15" hidden="false" customHeight="false" outlineLevel="0" collapsed="false">
      <c r="B806" s="19" t="s">
        <v>20853</v>
      </c>
      <c r="C806" s="20" t="n">
        <f aca="false">ROUND(38.03/FX,2)</f>
        <v>5.28</v>
      </c>
      <c r="D806" s="21" t="s">
        <v>20811</v>
      </c>
      <c r="E806" s="21" t="s">
        <v>716</v>
      </c>
      <c r="F806" s="21" t="s">
        <v>20771</v>
      </c>
      <c r="G806" s="21" t="s">
        <v>20752</v>
      </c>
    </row>
    <row r="807" customFormat="false" ht="15" hidden="false" customHeight="false" outlineLevel="0" collapsed="false">
      <c r="B807" s="19" t="s">
        <v>20854</v>
      </c>
      <c r="C807" s="20" t="n">
        <f aca="false">ROUND(38.03/FX,2)</f>
        <v>5.28</v>
      </c>
      <c r="D807" s="21" t="s">
        <v>20811</v>
      </c>
      <c r="E807" s="21" t="s">
        <v>716</v>
      </c>
      <c r="F807" s="21" t="s">
        <v>20771</v>
      </c>
      <c r="G807" s="21" t="s">
        <v>20755</v>
      </c>
    </row>
    <row r="808" customFormat="false" ht="15" hidden="false" customHeight="false" outlineLevel="0" collapsed="false">
      <c r="B808" s="19" t="s">
        <v>20855</v>
      </c>
      <c r="C808" s="20" t="n">
        <f aca="false">ROUND(38.03/FX,2)</f>
        <v>5.28</v>
      </c>
      <c r="D808" s="21" t="s">
        <v>20811</v>
      </c>
      <c r="E808" s="21" t="s">
        <v>716</v>
      </c>
      <c r="F808" s="21" t="s">
        <v>20773</v>
      </c>
      <c r="G808" s="21" t="s">
        <v>20755</v>
      </c>
    </row>
    <row r="809" customFormat="false" ht="15" hidden="false" customHeight="false" outlineLevel="0" collapsed="false">
      <c r="B809" s="19" t="s">
        <v>20856</v>
      </c>
      <c r="C809" s="20" t="n">
        <f aca="false">ROUND(38.03/FX,2)</f>
        <v>5.28</v>
      </c>
      <c r="D809" s="21" t="s">
        <v>20811</v>
      </c>
      <c r="E809" s="21" t="s">
        <v>716</v>
      </c>
      <c r="F809" s="21" t="s">
        <v>20773</v>
      </c>
      <c r="G809" s="21" t="s">
        <v>20767</v>
      </c>
    </row>
    <row r="810" customFormat="false" ht="15" hidden="false" customHeight="false" outlineLevel="0" collapsed="false">
      <c r="B810" s="19" t="s">
        <v>20857</v>
      </c>
      <c r="C810" s="20" t="n">
        <f aca="false">ROUND(38.03/FX,2)</f>
        <v>5.28</v>
      </c>
      <c r="D810" s="21" t="s">
        <v>20811</v>
      </c>
      <c r="E810" s="21" t="s">
        <v>716</v>
      </c>
      <c r="F810" s="21" t="s">
        <v>20773</v>
      </c>
      <c r="G810" s="21" t="s">
        <v>20779</v>
      </c>
    </row>
    <row r="811" customFormat="false" ht="15" hidden="false" customHeight="false" outlineLevel="0" collapsed="false">
      <c r="B811" s="19" t="s">
        <v>20858</v>
      </c>
      <c r="C811" s="20" t="n">
        <f aca="false">ROUND(38.03/FX,2)</f>
        <v>5.28</v>
      </c>
      <c r="D811" s="21" t="s">
        <v>20811</v>
      </c>
      <c r="E811" s="21" t="s">
        <v>716</v>
      </c>
      <c r="F811" s="21" t="s">
        <v>20791</v>
      </c>
      <c r="G811" s="21" t="s">
        <v>20752</v>
      </c>
    </row>
    <row r="812" customFormat="false" ht="15" hidden="false" customHeight="false" outlineLevel="0" collapsed="false">
      <c r="B812" s="19" t="s">
        <v>20859</v>
      </c>
      <c r="C812" s="20" t="n">
        <f aca="false">ROUND(38.03/FX,2)</f>
        <v>5.28</v>
      </c>
      <c r="D812" s="21" t="s">
        <v>20811</v>
      </c>
      <c r="E812" s="21" t="s">
        <v>716</v>
      </c>
      <c r="F812" s="21" t="s">
        <v>20791</v>
      </c>
      <c r="G812" s="21" t="s">
        <v>20755</v>
      </c>
    </row>
    <row r="813" customFormat="false" ht="15" hidden="false" customHeight="false" outlineLevel="0" collapsed="false">
      <c r="B813" s="19" t="s">
        <v>20860</v>
      </c>
      <c r="C813" s="20" t="n">
        <f aca="false">ROUND(38.03/FX,2)</f>
        <v>5.28</v>
      </c>
      <c r="D813" s="21" t="s">
        <v>20811</v>
      </c>
      <c r="E813" s="21" t="s">
        <v>716</v>
      </c>
      <c r="F813" s="21" t="s">
        <v>20795</v>
      </c>
      <c r="G813" s="21" t="s">
        <v>20752</v>
      </c>
    </row>
    <row r="814" customFormat="false" ht="15" hidden="false" customHeight="false" outlineLevel="0" collapsed="false">
      <c r="B814" s="19" t="s">
        <v>20861</v>
      </c>
      <c r="C814" s="20" t="n">
        <f aca="false">ROUND(38.03/FX,2)</f>
        <v>5.28</v>
      </c>
      <c r="D814" s="21" t="s">
        <v>20811</v>
      </c>
      <c r="E814" s="21" t="s">
        <v>716</v>
      </c>
      <c r="F814" s="21" t="s">
        <v>20795</v>
      </c>
      <c r="G814" s="21" t="s">
        <v>20755</v>
      </c>
    </row>
    <row r="815" customFormat="false" ht="15" hidden="false" customHeight="false" outlineLevel="0" collapsed="false">
      <c r="B815" s="19" t="s">
        <v>20862</v>
      </c>
      <c r="C815" s="20" t="n">
        <f aca="false">ROUND(38.03/FX,2)</f>
        <v>5.28</v>
      </c>
      <c r="D815" s="21" t="s">
        <v>20811</v>
      </c>
      <c r="E815" s="21" t="s">
        <v>716</v>
      </c>
      <c r="F815" s="21" t="s">
        <v>20795</v>
      </c>
      <c r="G815" s="21" t="s">
        <v>20757</v>
      </c>
    </row>
    <row r="818" customFormat="false" ht="61.5" hidden="false" customHeight="true" outlineLevel="0" collapsed="false">
      <c r="A818" s="9"/>
      <c r="B818" s="10" t="s">
        <v>20863</v>
      </c>
      <c r="C818" s="10"/>
      <c r="D818" s="10"/>
    </row>
    <row r="819" customFormat="false" ht="15" hidden="false" customHeight="false" outlineLevel="0" collapsed="false">
      <c r="A819" s="12" t="s">
        <v>700</v>
      </c>
      <c r="B819" s="13" t="s">
        <v>701</v>
      </c>
      <c r="C819" s="13" t="s">
        <v>702</v>
      </c>
      <c r="D819" s="13" t="s">
        <v>722</v>
      </c>
    </row>
    <row r="820" customFormat="false" ht="30" hidden="false" customHeight="true" outlineLevel="0" collapsed="false">
      <c r="A820" s="14" t="s">
        <v>706</v>
      </c>
      <c r="B820" s="15" t="str">
        <f aca="false">IF(COUNTIFS($D$823:$D$824,IF(D820="","*",D820))=1,INDEX($B:$B,SUMPRODUCT(((D820="")+($D$823:$D$824=D820)&gt;0)*ROW($B$823:$B$824))),IF(COUNTIFS($D$823:$D$824,IF(D820="","*",D820))=0,"Not available",COUNTIFS($D$823:$D$824,IF(D820="","*",D820))&amp;" match, keep choosing"))</f>
        <v>EG-053-BK</v>
      </c>
      <c r="C820" s="16" t="n">
        <f aca="false">IF(COUNTIFS($D$823:$D$824,IF(D820="","*",D820))=1,INDEX($C:$C,SUMPRODUCT(((D820="")+($D$823:$D$824=D820)&gt;0)*ROW($B$823:$B$824))),"")</f>
        <v>0.89</v>
      </c>
      <c r="D820" s="17" t="s">
        <v>724</v>
      </c>
    </row>
    <row r="822" customFormat="false" ht="15" hidden="false" customHeight="false" outlineLevel="0" collapsed="false">
      <c r="B822" s="18" t="s">
        <v>701</v>
      </c>
      <c r="C822" s="18" t="s">
        <v>702</v>
      </c>
      <c r="D822" s="18" t="s">
        <v>722</v>
      </c>
    </row>
    <row r="823" customFormat="false" ht="15" hidden="false" customHeight="false" outlineLevel="0" collapsed="false">
      <c r="B823" s="19" t="s">
        <v>20864</v>
      </c>
      <c r="C823" s="20" t="n">
        <f aca="false">ROUND(6.42/FX,2)</f>
        <v>0.89</v>
      </c>
      <c r="D823" s="21" t="s">
        <v>724</v>
      </c>
    </row>
    <row r="824" customFormat="false" ht="15" hidden="false" customHeight="false" outlineLevel="0" collapsed="false">
      <c r="B824" s="19" t="s">
        <v>20865</v>
      </c>
      <c r="C824" s="20" t="n">
        <f aca="false">ROUND(5.67/FX,2)</f>
        <v>0.79</v>
      </c>
      <c r="D824" s="21" t="s">
        <v>6362</v>
      </c>
    </row>
    <row r="827" customFormat="false" ht="61.5" hidden="false" customHeight="true" outlineLevel="0" collapsed="false">
      <c r="A827" s="9"/>
      <c r="B827" s="10" t="s">
        <v>20866</v>
      </c>
      <c r="C827" s="10"/>
      <c r="D827" s="10"/>
    </row>
    <row r="828" customFormat="false" ht="15" hidden="false" customHeight="false" outlineLevel="0" collapsed="false">
      <c r="A828" s="12" t="s">
        <v>700</v>
      </c>
      <c r="B828" s="13" t="s">
        <v>701</v>
      </c>
      <c r="C828" s="13" t="s">
        <v>702</v>
      </c>
      <c r="D828" s="13" t="s">
        <v>5610</v>
      </c>
    </row>
    <row r="829" customFormat="false" ht="30" hidden="false" customHeight="true" outlineLevel="0" collapsed="false">
      <c r="A829" s="14" t="s">
        <v>706</v>
      </c>
      <c r="B829" s="15" t="str">
        <f aca="false">IF(COUNTIFS($D$832:$D$836,IF(D829="","*",D829))=1,INDEX($B:$B,SUMPRODUCT(((D829="")+($D$832:$D$836=D829)&gt;0)*ROW($B$832:$B$836))),IF(COUNTIFS($D$832:$D$836,IF(D829="","*",D829))=0,"Not available",COUNTIFS($D$832:$D$836,IF(D829="","*",D829))&amp;" match, keep choosing"))</f>
        <v>EG-067-10</v>
      </c>
      <c r="C829" s="16" t="n">
        <f aca="false">IF(COUNTIFS($D$832:$D$836,IF(D829="","*",D829))=1,INDEX($C:$C,SUMPRODUCT(((D829="")+($D$832:$D$836=D829)&gt;0)*ROW($B$832:$B$836))),"")</f>
        <v>0.27</v>
      </c>
      <c r="D829" s="17" t="s">
        <v>11488</v>
      </c>
    </row>
    <row r="831" customFormat="false" ht="15" hidden="false" customHeight="false" outlineLevel="0" collapsed="false">
      <c r="B831" s="18" t="s">
        <v>701</v>
      </c>
      <c r="C831" s="18" t="s">
        <v>702</v>
      </c>
      <c r="D831" s="18" t="s">
        <v>5610</v>
      </c>
    </row>
    <row r="832" customFormat="false" ht="15" hidden="false" customHeight="false" outlineLevel="0" collapsed="false">
      <c r="B832" s="19" t="s">
        <v>20867</v>
      </c>
      <c r="C832" s="20" t="n">
        <f aca="false">ROUND(1.95/FX,2)</f>
        <v>0.27</v>
      </c>
      <c r="D832" s="21" t="s">
        <v>11488</v>
      </c>
    </row>
    <row r="833" customFormat="false" ht="15" hidden="false" customHeight="false" outlineLevel="0" collapsed="false">
      <c r="B833" s="19" t="s">
        <v>20868</v>
      </c>
      <c r="C833" s="20" t="n">
        <f aca="false">ROUND(1.72/FX,2)</f>
        <v>0.24</v>
      </c>
      <c r="D833" s="21" t="s">
        <v>19991</v>
      </c>
    </row>
    <row r="834" customFormat="false" ht="15" hidden="false" customHeight="false" outlineLevel="0" collapsed="false">
      <c r="B834" s="19" t="s">
        <v>20869</v>
      </c>
      <c r="C834" s="20" t="n">
        <f aca="false">ROUND(1.72/FX,2)</f>
        <v>0.24</v>
      </c>
      <c r="D834" s="21" t="s">
        <v>19994</v>
      </c>
    </row>
    <row r="835" customFormat="false" ht="15" hidden="false" customHeight="false" outlineLevel="0" collapsed="false">
      <c r="B835" s="19" t="s">
        <v>20870</v>
      </c>
      <c r="C835" s="20" t="n">
        <f aca="false">ROUND(1.72/FX,2)</f>
        <v>0.24</v>
      </c>
      <c r="D835" s="21" t="s">
        <v>11434</v>
      </c>
    </row>
    <row r="836" customFormat="false" ht="15" hidden="false" customHeight="false" outlineLevel="0" collapsed="false">
      <c r="B836" s="19" t="s">
        <v>20871</v>
      </c>
      <c r="C836" s="20" t="n">
        <f aca="false">ROUND(1.89/FX,2)</f>
        <v>0.26</v>
      </c>
      <c r="D836" s="21" t="s">
        <v>20872</v>
      </c>
    </row>
    <row r="839" customFormat="false" ht="61.5" hidden="false" customHeight="true" outlineLevel="0" collapsed="false">
      <c r="A839" s="9"/>
      <c r="B839" s="10" t="s">
        <v>20873</v>
      </c>
      <c r="C839" s="10"/>
      <c r="D839" s="10"/>
    </row>
    <row r="840" customFormat="false" ht="15" hidden="false" customHeight="false" outlineLevel="0" collapsed="false">
      <c r="A840" s="12" t="s">
        <v>700</v>
      </c>
      <c r="B840" s="13" t="s">
        <v>701</v>
      </c>
      <c r="C840" s="13" t="s">
        <v>702</v>
      </c>
      <c r="D840" s="13" t="s">
        <v>5610</v>
      </c>
    </row>
    <row r="841" customFormat="false" ht="30" hidden="false" customHeight="true" outlineLevel="0" collapsed="false">
      <c r="A841" s="14" t="s">
        <v>706</v>
      </c>
      <c r="B841" s="15" t="str">
        <f aca="false">IF(COUNTIFS($D$844:$D$847,IF(D841="","*",D841))=1,INDEX($B:$B,SUMPRODUCT(((D841="")+($D$844:$D$847=D841)&gt;0)*ROW($B$844:$B$847))),IF(COUNTIFS($D$844:$D$847,IF(D841="","*",D841))=0,"Not available",COUNTIFS($D$844:$D$847,IF(D841="","*",D841))&amp;" match, keep choosing"))</f>
        <v>EG-081-10</v>
      </c>
      <c r="C841" s="16" t="n">
        <f aca="false">IF(COUNTIFS($D$844:$D$847,IF(D841="","*",D841))=1,INDEX($C:$C,SUMPRODUCT(((D841="")+($D$844:$D$847=D841)&gt;0)*ROW($B$844:$B$847))),"")</f>
        <v>0.02</v>
      </c>
      <c r="D841" s="17" t="s">
        <v>11488</v>
      </c>
    </row>
    <row r="843" customFormat="false" ht="15" hidden="false" customHeight="false" outlineLevel="0" collapsed="false">
      <c r="B843" s="18" t="s">
        <v>701</v>
      </c>
      <c r="C843" s="18" t="s">
        <v>702</v>
      </c>
      <c r="D843" s="18" t="s">
        <v>5610</v>
      </c>
    </row>
    <row r="844" customFormat="false" ht="15" hidden="false" customHeight="false" outlineLevel="0" collapsed="false">
      <c r="B844" s="19" t="s">
        <v>20874</v>
      </c>
      <c r="C844" s="20" t="n">
        <f aca="false">ROUND(0.15/FX,2)</f>
        <v>0.02</v>
      </c>
      <c r="D844" s="21" t="s">
        <v>11488</v>
      </c>
    </row>
    <row r="845" customFormat="false" ht="15" hidden="false" customHeight="false" outlineLevel="0" collapsed="false">
      <c r="B845" s="19" t="s">
        <v>20875</v>
      </c>
      <c r="C845" s="20" t="n">
        <f aca="false">ROUND(0.13/FX,2)</f>
        <v>0.02</v>
      </c>
      <c r="D845" s="21" t="s">
        <v>19991</v>
      </c>
    </row>
    <row r="846" customFormat="false" ht="15" hidden="false" customHeight="false" outlineLevel="0" collapsed="false">
      <c r="B846" s="19" t="s">
        <v>20876</v>
      </c>
      <c r="C846" s="20" t="n">
        <f aca="false">ROUND(0.13/FX,2)</f>
        <v>0.02</v>
      </c>
      <c r="D846" s="21" t="s">
        <v>19994</v>
      </c>
    </row>
    <row r="847" customFormat="false" ht="15" hidden="false" customHeight="false" outlineLevel="0" collapsed="false">
      <c r="B847" s="19" t="s">
        <v>20877</v>
      </c>
      <c r="C847" s="20" t="n">
        <f aca="false">ROUND(0.1/FX,2)</f>
        <v>0.01</v>
      </c>
      <c r="D847" s="21" t="s">
        <v>11434</v>
      </c>
    </row>
    <row r="850" customFormat="false" ht="61.5" hidden="false" customHeight="true" outlineLevel="0" collapsed="false">
      <c r="A850" s="9"/>
      <c r="B850" s="10" t="s">
        <v>20878</v>
      </c>
      <c r="C850" s="10"/>
      <c r="D850" s="10"/>
    </row>
    <row r="851" customFormat="false" ht="15" hidden="false" customHeight="false" outlineLevel="0" collapsed="false">
      <c r="A851" s="12" t="s">
        <v>700</v>
      </c>
      <c r="B851" s="13" t="s">
        <v>701</v>
      </c>
      <c r="C851" s="13" t="s">
        <v>702</v>
      </c>
      <c r="D851" s="13" t="s">
        <v>5610</v>
      </c>
    </row>
    <row r="852" customFormat="false" ht="30" hidden="false" customHeight="true" outlineLevel="0" collapsed="false">
      <c r="A852" s="14" t="s">
        <v>706</v>
      </c>
      <c r="B852" s="15" t="str">
        <f aca="false">IF(COUNTIFS($D$855:$D$857,IF(D852="","*",D852))=1,INDEX($B:$B,SUMPRODUCT(((D852="")+($D$855:$D$857=D852)&gt;0)*ROW($B$855:$B$857))),IF(COUNTIFS($D$855:$D$857,IF(D852="","*",D852))=0,"Not available",COUNTIFS($D$855:$D$857,IF(D852="","*",D852))&amp;" match, keep choosing"))</f>
        <v>EG-003-2</v>
      </c>
      <c r="C852" s="16" t="n">
        <f aca="false">IF(COUNTIFS($D$855:$D$857,IF(D852="","*",D852))=1,INDEX($C:$C,SUMPRODUCT(((D852="")+($D$855:$D$857=D852)&gt;0)*ROW($B$855:$B$857))),"")</f>
        <v>0.04</v>
      </c>
      <c r="D852" s="17" t="s">
        <v>20879</v>
      </c>
    </row>
    <row r="854" customFormat="false" ht="15" hidden="false" customHeight="false" outlineLevel="0" collapsed="false">
      <c r="B854" s="18" t="s">
        <v>701</v>
      </c>
      <c r="C854" s="18" t="s">
        <v>702</v>
      </c>
      <c r="D854" s="18" t="s">
        <v>5610</v>
      </c>
    </row>
    <row r="855" customFormat="false" ht="15" hidden="false" customHeight="false" outlineLevel="0" collapsed="false">
      <c r="B855" s="19" t="s">
        <v>20880</v>
      </c>
      <c r="C855" s="20" t="n">
        <f aca="false">ROUND(0.27/FX,2)</f>
        <v>0.04</v>
      </c>
      <c r="D855" s="21" t="s">
        <v>20879</v>
      </c>
    </row>
    <row r="856" customFormat="false" ht="15" hidden="false" customHeight="false" outlineLevel="0" collapsed="false">
      <c r="B856" s="19" t="s">
        <v>20881</v>
      </c>
      <c r="C856" s="20" t="n">
        <f aca="false">ROUND(0.3/FX,2)</f>
        <v>0.04</v>
      </c>
      <c r="D856" s="21" t="s">
        <v>20882</v>
      </c>
    </row>
    <row r="857" customFormat="false" ht="15" hidden="false" customHeight="false" outlineLevel="0" collapsed="false">
      <c r="B857" s="19" t="s">
        <v>20883</v>
      </c>
      <c r="C857" s="20" t="n">
        <f aca="false">ROUND(0.32/FX,2)</f>
        <v>0.04</v>
      </c>
      <c r="D857" s="21" t="s">
        <v>20884</v>
      </c>
    </row>
    <row r="860" customFormat="false" ht="61.5" hidden="false" customHeight="true" outlineLevel="0" collapsed="false">
      <c r="A860" s="9"/>
      <c r="B860" s="10" t="s">
        <v>20885</v>
      </c>
      <c r="C860" s="10"/>
      <c r="D860" s="10"/>
    </row>
    <row r="861" customFormat="false" ht="15" hidden="false" customHeight="false" outlineLevel="0" collapsed="false">
      <c r="B861" s="18" t="s">
        <v>701</v>
      </c>
      <c r="C861" s="18" t="s">
        <v>702</v>
      </c>
      <c r="D861" s="18" t="s">
        <v>5610</v>
      </c>
    </row>
    <row r="862" customFormat="false" ht="15" hidden="false" customHeight="false" outlineLevel="0" collapsed="false">
      <c r="B862" s="19" t="s">
        <v>20886</v>
      </c>
      <c r="C862" s="20" t="n">
        <f aca="false">ROUND(1.56/FX,2)</f>
        <v>0.22</v>
      </c>
      <c r="D862" s="22" t="s">
        <v>5612</v>
      </c>
    </row>
    <row r="865" customFormat="false" ht="61.5" hidden="false" customHeight="true" outlineLevel="0" collapsed="false">
      <c r="A865" s="9"/>
      <c r="B865" s="10" t="s">
        <v>20887</v>
      </c>
      <c r="C865" s="10"/>
      <c r="D865" s="10"/>
    </row>
    <row r="866" customFormat="false" ht="15" hidden="false" customHeight="false" outlineLevel="0" collapsed="false">
      <c r="B866" s="18" t="s">
        <v>701</v>
      </c>
      <c r="C866" s="18" t="s">
        <v>702</v>
      </c>
      <c r="D866" s="18" t="s">
        <v>5610</v>
      </c>
    </row>
    <row r="867" customFormat="false" ht="15" hidden="false" customHeight="false" outlineLevel="0" collapsed="false">
      <c r="B867" s="19" t="s">
        <v>20888</v>
      </c>
      <c r="C867" s="20" t="n">
        <f aca="false">ROUND(3.38/FX,2)</f>
        <v>0.47</v>
      </c>
      <c r="D867" s="22" t="s">
        <v>5612</v>
      </c>
    </row>
    <row r="870" customFormat="false" ht="61.5" hidden="false" customHeight="true" outlineLevel="0" collapsed="false">
      <c r="A870" s="9"/>
      <c r="B870" s="10" t="s">
        <v>20889</v>
      </c>
      <c r="C870" s="10"/>
      <c r="D870" s="10"/>
    </row>
    <row r="871" customFormat="false" ht="15" hidden="false" customHeight="false" outlineLevel="0" collapsed="false">
      <c r="A871" s="12" t="s">
        <v>700</v>
      </c>
      <c r="B871" s="13" t="s">
        <v>701</v>
      </c>
      <c r="C871" s="13" t="s">
        <v>702</v>
      </c>
      <c r="D871" s="13" t="s">
        <v>723</v>
      </c>
    </row>
    <row r="872" customFormat="false" ht="30" hidden="false" customHeight="true" outlineLevel="0" collapsed="false">
      <c r="A872" s="14" t="s">
        <v>706</v>
      </c>
      <c r="B872" s="15" t="str">
        <f aca="false">IF(COUNTIFS($D$875:$D$876,IF(D872="","*",D872))=1,INDEX($B:$B,SUMPRODUCT(((D872="")+($D$875:$D$876=D872)&gt;0)*ROW($B$875:$B$876))),IF(COUNTIFS($D$875:$D$876,IF(D872="","*",D872))=0,"Not available",COUNTIFS($D$875:$D$876,IF(D872="","*",D872))&amp;" match, keep choosing"))</f>
        <v>EG-091-4C-WD-JGS-QM16100</v>
      </c>
      <c r="C872" s="16" t="n">
        <f aca="false">IF(COUNTIFS($D$875:$D$876,IF(D872="","*",D872))=1,INDEX($C:$C,SUMPRODUCT(((D872="")+($D$875:$D$876=D872)&gt;0)*ROW($B$875:$B$876))),"")</f>
        <v>25.28</v>
      </c>
      <c r="D872" s="17" t="s">
        <v>20890</v>
      </c>
    </row>
    <row r="874" customFormat="false" ht="15" hidden="false" customHeight="false" outlineLevel="0" collapsed="false">
      <c r="B874" s="18" t="s">
        <v>701</v>
      </c>
      <c r="C874" s="18" t="s">
        <v>702</v>
      </c>
      <c r="D874" s="18" t="s">
        <v>723</v>
      </c>
    </row>
    <row r="875" customFormat="false" ht="28.35" hidden="false" customHeight="false" outlineLevel="0" collapsed="false">
      <c r="B875" s="19" t="s">
        <v>20891</v>
      </c>
      <c r="C875" s="20" t="n">
        <f aca="false">ROUND(182/FX,2)</f>
        <v>25.28</v>
      </c>
      <c r="D875" s="21" t="s">
        <v>20890</v>
      </c>
    </row>
    <row r="876" customFormat="false" ht="15" hidden="false" customHeight="false" outlineLevel="0" collapsed="false">
      <c r="B876" s="19" t="s">
        <v>20892</v>
      </c>
      <c r="C876" s="20" t="n">
        <f aca="false">ROUND(221/FX,2)</f>
        <v>30.69</v>
      </c>
      <c r="D876" s="21" t="s">
        <v>20893</v>
      </c>
    </row>
    <row r="879" customFormat="false" ht="61.5" hidden="false" customHeight="true" outlineLevel="0" collapsed="false">
      <c r="A879" s="9"/>
      <c r="B879" s="10" t="s">
        <v>20894</v>
      </c>
      <c r="C879" s="10"/>
      <c r="D879" s="10"/>
    </row>
    <row r="880" customFormat="false" ht="15" hidden="false" customHeight="false" outlineLevel="0" collapsed="false">
      <c r="A880" s="12" t="s">
        <v>700</v>
      </c>
      <c r="B880" s="13" t="s">
        <v>701</v>
      </c>
      <c r="C880" s="13" t="s">
        <v>702</v>
      </c>
      <c r="D880" s="13" t="s">
        <v>723</v>
      </c>
    </row>
    <row r="881" customFormat="false" ht="30" hidden="false" customHeight="true" outlineLevel="0" collapsed="false">
      <c r="A881" s="14" t="s">
        <v>706</v>
      </c>
      <c r="B881" s="15" t="str">
        <f aca="false">IF(COUNTIFS($D$884:$D$895,IF(D881="","*",D881))=1,INDEX($B:$B,SUMPRODUCT(((D881="")+($D$884:$D$895=D881)&gt;0)*ROW($B$884:$B$895))),IF(COUNTIFS($D$884:$D$895,IF(D881="","*",D881))=0,"Not available",COUNTIFS($D$884:$D$895,IF(D881="","*",D881))&amp;" match, keep choosing"))</f>
        <v>EG-043-GH-13005</v>
      </c>
      <c r="C881" s="16" t="n">
        <f aca="false">IF(COUNTIFS($D$884:$D$895,IF(D881="","*",D881))=1,INDEX($C:$C,SUMPRODUCT(((D881="")+($D$884:$D$895=D881)&gt;0)*ROW($B$884:$B$895))),"")</f>
        <v>0.63</v>
      </c>
      <c r="D881" s="17" t="s">
        <v>20895</v>
      </c>
    </row>
    <row r="883" customFormat="false" ht="15" hidden="false" customHeight="false" outlineLevel="0" collapsed="false">
      <c r="B883" s="18" t="s">
        <v>701</v>
      </c>
      <c r="C883" s="18" t="s">
        <v>702</v>
      </c>
      <c r="D883" s="18" t="s">
        <v>723</v>
      </c>
    </row>
    <row r="884" customFormat="false" ht="15" hidden="false" customHeight="false" outlineLevel="0" collapsed="false">
      <c r="B884" s="19" t="s">
        <v>20896</v>
      </c>
      <c r="C884" s="20" t="n">
        <f aca="false">ROUND(4.55/FX,2)</f>
        <v>0.63</v>
      </c>
      <c r="D884" s="21" t="s">
        <v>20895</v>
      </c>
    </row>
    <row r="885" customFormat="false" ht="15" hidden="false" customHeight="false" outlineLevel="0" collapsed="false">
      <c r="B885" s="19" t="s">
        <v>20897</v>
      </c>
      <c r="C885" s="20" t="n">
        <f aca="false">ROUND(3.9/FX,2)</f>
        <v>0.54</v>
      </c>
      <c r="D885" s="21" t="s">
        <v>20898</v>
      </c>
    </row>
    <row r="886" customFormat="false" ht="15" hidden="false" customHeight="false" outlineLevel="0" collapsed="false">
      <c r="B886" s="19" t="s">
        <v>20899</v>
      </c>
      <c r="C886" s="20" t="n">
        <f aca="false">ROUND(6.5/FX,2)</f>
        <v>0.9</v>
      </c>
      <c r="D886" s="21" t="s">
        <v>20900</v>
      </c>
    </row>
    <row r="887" customFormat="false" ht="15" hidden="false" customHeight="false" outlineLevel="0" collapsed="false">
      <c r="B887" s="19" t="s">
        <v>20901</v>
      </c>
      <c r="C887" s="20" t="n">
        <f aca="false">ROUND(3.64/FX,2)</f>
        <v>0.51</v>
      </c>
      <c r="D887" s="21" t="s">
        <v>20902</v>
      </c>
    </row>
    <row r="888" customFormat="false" ht="15" hidden="false" customHeight="false" outlineLevel="0" collapsed="false">
      <c r="B888" s="19" t="s">
        <v>20903</v>
      </c>
      <c r="C888" s="20" t="n">
        <f aca="false">ROUND(7.15/FX,2)</f>
        <v>0.99</v>
      </c>
      <c r="D888" s="21" t="s">
        <v>20904</v>
      </c>
    </row>
    <row r="889" customFormat="false" ht="15" hidden="false" customHeight="false" outlineLevel="0" collapsed="false">
      <c r="B889" s="19" t="s">
        <v>20905</v>
      </c>
      <c r="C889" s="20" t="n">
        <f aca="false">ROUND(1.82/FX,2)</f>
        <v>0.25</v>
      </c>
      <c r="D889" s="21" t="s">
        <v>20906</v>
      </c>
    </row>
    <row r="890" customFormat="false" ht="15" hidden="false" customHeight="false" outlineLevel="0" collapsed="false">
      <c r="B890" s="19" t="s">
        <v>20907</v>
      </c>
      <c r="C890" s="20" t="n">
        <f aca="false">ROUND(2.37/FX,2)</f>
        <v>0.33</v>
      </c>
      <c r="D890" s="21" t="s">
        <v>20908</v>
      </c>
    </row>
    <row r="891" customFormat="false" ht="15" hidden="false" customHeight="false" outlineLevel="0" collapsed="false">
      <c r="B891" s="19" t="s">
        <v>20909</v>
      </c>
      <c r="C891" s="20" t="n">
        <f aca="false">ROUND(2.99/FX,2)</f>
        <v>0.42</v>
      </c>
      <c r="D891" s="21" t="s">
        <v>20910</v>
      </c>
    </row>
    <row r="892" customFormat="false" ht="15" hidden="false" customHeight="false" outlineLevel="0" collapsed="false">
      <c r="B892" s="19" t="s">
        <v>20911</v>
      </c>
      <c r="C892" s="20" t="n">
        <f aca="false">ROUND(5.85/FX,2)</f>
        <v>0.81</v>
      </c>
      <c r="D892" s="21" t="s">
        <v>20912</v>
      </c>
    </row>
    <row r="893" customFormat="false" ht="15" hidden="false" customHeight="false" outlineLevel="0" collapsed="false">
      <c r="B893" s="19" t="s">
        <v>20913</v>
      </c>
      <c r="C893" s="20" t="n">
        <f aca="false">ROUND(3.12/FX,2)</f>
        <v>0.43</v>
      </c>
      <c r="D893" s="21" t="s">
        <v>20914</v>
      </c>
    </row>
    <row r="894" customFormat="false" ht="15" hidden="false" customHeight="false" outlineLevel="0" collapsed="false">
      <c r="B894" s="19" t="s">
        <v>20915</v>
      </c>
      <c r="C894" s="20" t="n">
        <f aca="false">ROUND(10.09/FX,2)</f>
        <v>1.4</v>
      </c>
      <c r="D894" s="21" t="s">
        <v>20916</v>
      </c>
    </row>
    <row r="895" customFormat="false" ht="15" hidden="false" customHeight="false" outlineLevel="0" collapsed="false">
      <c r="B895" s="19" t="s">
        <v>20917</v>
      </c>
      <c r="C895" s="20" t="n">
        <f aca="false">ROUND(1.95/FX,2)</f>
        <v>0.27</v>
      </c>
      <c r="D895" s="21" t="s">
        <v>20918</v>
      </c>
    </row>
    <row r="898" customFormat="false" ht="61.5" hidden="false" customHeight="true" outlineLevel="0" collapsed="false">
      <c r="A898" s="9"/>
      <c r="B898" s="10" t="s">
        <v>20919</v>
      </c>
      <c r="C898" s="10"/>
      <c r="D898" s="10"/>
      <c r="E898" s="10"/>
      <c r="F898" s="10"/>
    </row>
    <row r="899" customFormat="false" ht="15" hidden="false" customHeight="false" outlineLevel="0" collapsed="false">
      <c r="A899" s="12" t="s">
        <v>700</v>
      </c>
      <c r="B899" s="13" t="s">
        <v>701</v>
      </c>
      <c r="C899" s="13" t="s">
        <v>702</v>
      </c>
      <c r="D899" s="13" t="s">
        <v>722</v>
      </c>
      <c r="E899" s="13" t="s">
        <v>705</v>
      </c>
      <c r="F899" s="13" t="s">
        <v>723</v>
      </c>
    </row>
    <row r="900" customFormat="false" ht="30" hidden="false" customHeight="true" outlineLevel="0" collapsed="false">
      <c r="A900" s="14" t="s">
        <v>706</v>
      </c>
      <c r="B900" s="15" t="str">
        <f aca="false">IF(COUNTIFS($D$903:$D$912,IF(D900="","*",D900),$E$903:$E$912,IF(E900="","*",E900),$F$903:$F$912,IF(F900="","*",F900))=1,INDEX($B:$B,SUMPRODUCT(((D900="")+($D$903:$D$912=D900)&gt;0)*((E900="")+($E$903:$E$912=E900)&gt;0)*((F900="")+($F$903:$F$912=F900)&gt;0)*ROW($B$903:$B$912))),IF(COUNTIFS($D$903:$D$912,IF(D900="","*",D900),$E$903:$E$912,IF(E900="","*",E900),$F$903:$F$912,IF(F900="","*",F900))=0,"Not available",COUNTIFS($D$903:$D$912,IF(D900="","*",D900),$E$903:$E$912,IF(E900="","*",E900),$F$903:$F$912,IF(F900="","*",F900))&amp;" match, keep choosing"))</f>
        <v>EG-037-BK-2C-P3</v>
      </c>
      <c r="C900" s="16" t="n">
        <f aca="false">IF(COUNTIFS($D$903:$D$912,IF(D900="","*",D900),$E$903:$E$912,IF(E900="","*",E900),$F$903:$F$912,IF(F900="","*",F900))=1,INDEX($C:$C,SUMPRODUCT(((D900="")+($D$903:$D$912=D900)&gt;0)*((E900="")+($E$903:$E$912=E900)&gt;0)*((F900="")+($F$903:$F$912=F900)&gt;0)*ROW($B$903:$B$912))),"")</f>
        <v>0.19</v>
      </c>
      <c r="D900" s="17" t="s">
        <v>724</v>
      </c>
      <c r="E900" s="17" t="s">
        <v>13751</v>
      </c>
      <c r="F900" s="17" t="s">
        <v>20920</v>
      </c>
    </row>
    <row r="902" customFormat="false" ht="15" hidden="false" customHeight="false" outlineLevel="0" collapsed="false">
      <c r="B902" s="18" t="s">
        <v>701</v>
      </c>
      <c r="C902" s="18" t="s">
        <v>702</v>
      </c>
      <c r="D902" s="18" t="s">
        <v>722</v>
      </c>
      <c r="E902" s="18" t="s">
        <v>705</v>
      </c>
      <c r="F902" s="18" t="s">
        <v>723</v>
      </c>
    </row>
    <row r="903" customFormat="false" ht="15" hidden="false" customHeight="false" outlineLevel="0" collapsed="false">
      <c r="B903" s="19" t="s">
        <v>20921</v>
      </c>
      <c r="C903" s="20" t="n">
        <f aca="false">ROUND(1.38/FX,2)</f>
        <v>0.19</v>
      </c>
      <c r="D903" s="21" t="s">
        <v>724</v>
      </c>
      <c r="E903" s="21" t="s">
        <v>13751</v>
      </c>
      <c r="F903" s="21" t="s">
        <v>20920</v>
      </c>
    </row>
    <row r="904" customFormat="false" ht="15" hidden="false" customHeight="false" outlineLevel="0" collapsed="false">
      <c r="B904" s="19" t="s">
        <v>20922</v>
      </c>
      <c r="C904" s="20" t="n">
        <f aca="false">ROUND(1.17/FX,2)</f>
        <v>0.16</v>
      </c>
      <c r="D904" s="21" t="s">
        <v>724</v>
      </c>
      <c r="E904" s="21" t="s">
        <v>13732</v>
      </c>
      <c r="F904" s="21" t="s">
        <v>20923</v>
      </c>
    </row>
    <row r="905" customFormat="false" ht="15" hidden="false" customHeight="false" outlineLevel="0" collapsed="false">
      <c r="B905" s="19" t="s">
        <v>20924</v>
      </c>
      <c r="C905" s="20" t="n">
        <f aca="false">ROUND(1.52/FX,2)</f>
        <v>0.21</v>
      </c>
      <c r="D905" s="21" t="s">
        <v>724</v>
      </c>
      <c r="E905" s="21" t="s">
        <v>13739</v>
      </c>
      <c r="F905" s="21" t="s">
        <v>20925</v>
      </c>
    </row>
    <row r="906" customFormat="false" ht="15" hidden="false" customHeight="false" outlineLevel="0" collapsed="false">
      <c r="B906" s="19" t="s">
        <v>20926</v>
      </c>
      <c r="C906" s="20" t="n">
        <f aca="false">ROUND(1.02/FX,2)</f>
        <v>0.14</v>
      </c>
      <c r="D906" s="21" t="s">
        <v>724</v>
      </c>
      <c r="E906" s="21" t="s">
        <v>13732</v>
      </c>
      <c r="F906" s="21" t="s">
        <v>20927</v>
      </c>
    </row>
    <row r="907" customFormat="false" ht="15" hidden="false" customHeight="false" outlineLevel="0" collapsed="false">
      <c r="B907" s="19" t="s">
        <v>20928</v>
      </c>
      <c r="C907" s="20" t="n">
        <f aca="false">ROUND(1.52/FX,2)</f>
        <v>0.21</v>
      </c>
      <c r="D907" s="21" t="s">
        <v>724</v>
      </c>
      <c r="E907" s="21" t="s">
        <v>13732</v>
      </c>
      <c r="F907" s="21" t="s">
        <v>20929</v>
      </c>
    </row>
    <row r="908" customFormat="false" ht="15" hidden="false" customHeight="false" outlineLevel="0" collapsed="false">
      <c r="B908" s="19" t="s">
        <v>20930</v>
      </c>
      <c r="C908" s="20" t="n">
        <f aca="false">ROUND(5.07/FX,2)</f>
        <v>0.7</v>
      </c>
      <c r="D908" s="21" t="s">
        <v>724</v>
      </c>
      <c r="E908" s="21" t="s">
        <v>13732</v>
      </c>
      <c r="F908" s="21" t="s">
        <v>20931</v>
      </c>
    </row>
    <row r="909" customFormat="false" ht="15" hidden="false" customHeight="false" outlineLevel="0" collapsed="false">
      <c r="B909" s="19" t="s">
        <v>20932</v>
      </c>
      <c r="C909" s="20" t="n">
        <f aca="false">ROUND(1.38/FX,2)</f>
        <v>0.19</v>
      </c>
      <c r="D909" s="21" t="s">
        <v>7884</v>
      </c>
      <c r="E909" s="21" t="s">
        <v>13751</v>
      </c>
      <c r="F909" s="21" t="s">
        <v>20920</v>
      </c>
    </row>
    <row r="910" customFormat="false" ht="15" hidden="false" customHeight="false" outlineLevel="0" collapsed="false">
      <c r="B910" s="19" t="s">
        <v>20933</v>
      </c>
      <c r="C910" s="20" t="n">
        <f aca="false">ROUND(1.38/FX,2)</f>
        <v>0.19</v>
      </c>
      <c r="D910" s="21" t="s">
        <v>6336</v>
      </c>
      <c r="E910" s="21" t="s">
        <v>13751</v>
      </c>
      <c r="F910" s="21" t="s">
        <v>20934</v>
      </c>
    </row>
    <row r="911" customFormat="false" ht="15" hidden="false" customHeight="false" outlineLevel="0" collapsed="false">
      <c r="B911" s="19" t="s">
        <v>20935</v>
      </c>
      <c r="C911" s="20" t="n">
        <f aca="false">ROUND(1.38/FX,2)</f>
        <v>0.19</v>
      </c>
      <c r="D911" s="21" t="s">
        <v>6362</v>
      </c>
      <c r="E911" s="21" t="s">
        <v>13751</v>
      </c>
      <c r="F911" s="21" t="s">
        <v>20920</v>
      </c>
    </row>
    <row r="912" customFormat="false" ht="15" hidden="false" customHeight="false" outlineLevel="0" collapsed="false">
      <c r="B912" s="19" t="s">
        <v>20936</v>
      </c>
      <c r="C912" s="20" t="n">
        <f aca="false">ROUND(1.38/FX,2)</f>
        <v>0.19</v>
      </c>
      <c r="D912" s="21" t="s">
        <v>18157</v>
      </c>
      <c r="E912" s="21" t="s">
        <v>13751</v>
      </c>
      <c r="F912" s="21" t="s">
        <v>20920</v>
      </c>
    </row>
    <row r="915" customFormat="false" ht="61.5" hidden="false" customHeight="true" outlineLevel="0" collapsed="false">
      <c r="A915" s="9"/>
      <c r="B915" s="10" t="s">
        <v>20937</v>
      </c>
      <c r="C915" s="10"/>
      <c r="D915" s="10"/>
      <c r="E915" s="10"/>
    </row>
    <row r="916" customFormat="false" ht="15" hidden="false" customHeight="false" outlineLevel="0" collapsed="false">
      <c r="A916" s="12" t="s">
        <v>700</v>
      </c>
      <c r="B916" s="13" t="s">
        <v>701</v>
      </c>
      <c r="C916" s="13" t="s">
        <v>702</v>
      </c>
      <c r="D916" s="13" t="s">
        <v>723</v>
      </c>
      <c r="E916" s="13" t="s">
        <v>13701</v>
      </c>
    </row>
    <row r="917" customFormat="false" ht="30" hidden="false" customHeight="true" outlineLevel="0" collapsed="false">
      <c r="A917" s="14" t="s">
        <v>706</v>
      </c>
      <c r="B917" s="15" t="str">
        <f aca="false">IF(COUNTIFS($D$920:$D$925,IF(D917="","*",D917),$E$920:$E$925,IF(E917="","*",E917))=1,INDEX($B:$B,SUMPRODUCT(((D917="")+($D$920:$D$925=D917)&gt;0)*((E917="")+($E$920:$E$925=E917)&gt;0)*ROW($B$920:$B$925))),IF(COUNTIFS($D$920:$D$925,IF(D917="","*",D917),$E$920:$E$925,IF(E917="","*",E917))=0,"Not available",COUNTIFS($D$920:$D$925,IF(D917="","*",D917),$E$920:$E$925,IF(E917="","*",E917))&amp;" match, keep choosing"))</f>
        <v>EG-061-M8x85-TXLS</v>
      </c>
      <c r="C917" s="16" t="n">
        <f aca="false">IF(COUNTIFS($D$920:$D$925,IF(D917="","*",D917),$E$920:$E$925,IF(E917="","*",E917))=1,INDEX($C:$C,SUMPRODUCT(((D917="")+($D$920:$D$925=D917)&gt;0)*((E917="")+($E$920:$E$925=E917)&gt;0)*ROW($B$920:$B$925))),"")</f>
        <v>0.14</v>
      </c>
      <c r="D917" s="17" t="s">
        <v>20938</v>
      </c>
      <c r="E917" s="17" t="s">
        <v>20939</v>
      </c>
    </row>
    <row r="919" customFormat="false" ht="15" hidden="false" customHeight="false" outlineLevel="0" collapsed="false">
      <c r="B919" s="18" t="s">
        <v>701</v>
      </c>
      <c r="C919" s="18" t="s">
        <v>702</v>
      </c>
      <c r="D919" s="18" t="s">
        <v>723</v>
      </c>
      <c r="E919" s="18" t="s">
        <v>13701</v>
      </c>
    </row>
    <row r="920" customFormat="false" ht="15" hidden="false" customHeight="false" outlineLevel="0" collapsed="false">
      <c r="B920" s="19" t="s">
        <v>20940</v>
      </c>
      <c r="C920" s="20" t="n">
        <f aca="false">ROUND(1.04/FX,2)</f>
        <v>0.14</v>
      </c>
      <c r="D920" s="21" t="s">
        <v>20938</v>
      </c>
      <c r="E920" s="21" t="s">
        <v>20939</v>
      </c>
    </row>
    <row r="921" customFormat="false" ht="28.35" hidden="false" customHeight="false" outlineLevel="0" collapsed="false">
      <c r="B921" s="19" t="s">
        <v>20941</v>
      </c>
      <c r="C921" s="20" t="n">
        <f aca="false">ROUND(2.74/FX,2)</f>
        <v>0.38</v>
      </c>
      <c r="D921" s="21" t="s">
        <v>20942</v>
      </c>
      <c r="E921" s="21" t="s">
        <v>6336</v>
      </c>
    </row>
    <row r="922" customFormat="false" ht="28.35" hidden="false" customHeight="false" outlineLevel="0" collapsed="false">
      <c r="B922" s="19" t="s">
        <v>20943</v>
      </c>
      <c r="C922" s="20" t="n">
        <f aca="false">ROUND(3/FX,2)</f>
        <v>0.42</v>
      </c>
      <c r="D922" s="21" t="s">
        <v>20944</v>
      </c>
      <c r="E922" s="21" t="s">
        <v>6336</v>
      </c>
    </row>
    <row r="923" customFormat="false" ht="28.35" hidden="false" customHeight="false" outlineLevel="0" collapsed="false">
      <c r="B923" s="19" t="s">
        <v>20945</v>
      </c>
      <c r="C923" s="20" t="n">
        <f aca="false">ROUND(2.42/FX,2)</f>
        <v>0.34</v>
      </c>
      <c r="D923" s="21" t="s">
        <v>20946</v>
      </c>
      <c r="E923" s="21" t="s">
        <v>6336</v>
      </c>
    </row>
    <row r="924" customFormat="false" ht="28.35" hidden="false" customHeight="false" outlineLevel="0" collapsed="false">
      <c r="B924" s="19" t="s">
        <v>20947</v>
      </c>
      <c r="C924" s="20" t="n">
        <f aca="false">ROUND(2.34/FX,2)</f>
        <v>0.33</v>
      </c>
      <c r="D924" s="21" t="s">
        <v>20948</v>
      </c>
      <c r="E924" s="21" t="s">
        <v>6336</v>
      </c>
    </row>
    <row r="925" customFormat="false" ht="15" hidden="false" customHeight="false" outlineLevel="0" collapsed="false">
      <c r="B925" s="19" t="s">
        <v>20949</v>
      </c>
      <c r="C925" s="20" t="n">
        <f aca="false">ROUND(23.4/FX,2)</f>
        <v>3.25</v>
      </c>
      <c r="D925" s="21" t="s">
        <v>20950</v>
      </c>
      <c r="E925" s="21" t="s">
        <v>6336</v>
      </c>
    </row>
    <row r="928" customFormat="false" ht="61.5" hidden="false" customHeight="true" outlineLevel="0" collapsed="false">
      <c r="A928" s="9"/>
      <c r="B928" s="10" t="s">
        <v>20951</v>
      </c>
      <c r="C928" s="10"/>
      <c r="D928" s="10"/>
    </row>
    <row r="929" customFormat="false" ht="15" hidden="false" customHeight="false" outlineLevel="0" collapsed="false">
      <c r="B929" s="18" t="s">
        <v>701</v>
      </c>
      <c r="C929" s="18" t="s">
        <v>702</v>
      </c>
      <c r="D929" s="18" t="s">
        <v>5610</v>
      </c>
    </row>
    <row r="930" customFormat="false" ht="15" hidden="false" customHeight="false" outlineLevel="0" collapsed="false">
      <c r="B930" s="19" t="s">
        <v>20952</v>
      </c>
      <c r="C930" s="20" t="n">
        <f aca="false">ROUND(13.91/FX,2)</f>
        <v>1.93</v>
      </c>
      <c r="D930" s="22" t="s">
        <v>5612</v>
      </c>
    </row>
    <row r="933" customFormat="false" ht="61.5" hidden="false" customHeight="true" outlineLevel="0" collapsed="false">
      <c r="A933" s="9"/>
      <c r="B933" s="10" t="s">
        <v>20953</v>
      </c>
      <c r="C933" s="10"/>
      <c r="D933" s="10"/>
    </row>
    <row r="934" customFormat="false" ht="15" hidden="false" customHeight="false" outlineLevel="0" collapsed="false">
      <c r="A934" s="12" t="s">
        <v>700</v>
      </c>
      <c r="B934" s="13" t="s">
        <v>701</v>
      </c>
      <c r="C934" s="13" t="s">
        <v>702</v>
      </c>
      <c r="D934" s="13" t="s">
        <v>723</v>
      </c>
    </row>
    <row r="935" customFormat="false" ht="30" hidden="false" customHeight="true" outlineLevel="0" collapsed="false">
      <c r="A935" s="14" t="s">
        <v>706</v>
      </c>
      <c r="B935" s="15" t="str">
        <f aca="false">IF(COUNTIFS($D$938:$D$940,IF(D935="","*",D935))=1,INDEX($B:$B,SUMPRODUCT(((D935="")+($D$938:$D$940=D935)&gt;0)*ROW($B$938:$B$940))),IF(COUNTIFS($D$938:$D$940,IF(D935="","*",D935))=0,"Not available",COUNTIFS($D$938:$D$940,IF(D935="","*",D935))&amp;" match, keep choosing"))</f>
        <v>EG-079-YS1640GXDZZT</v>
      </c>
      <c r="C935" s="16" t="n">
        <f aca="false">IF(COUNTIFS($D$938:$D$940,IF(D935="","*",D935))=1,INDEX($C:$C,SUMPRODUCT(((D935="")+($D$938:$D$940=D935)&gt;0)*ROW($B$938:$B$940))),"")</f>
        <v>6.16</v>
      </c>
      <c r="D935" s="17" t="s">
        <v>20954</v>
      </c>
    </row>
    <row r="937" customFormat="false" ht="15" hidden="false" customHeight="false" outlineLevel="0" collapsed="false">
      <c r="B937" s="18" t="s">
        <v>701</v>
      </c>
      <c r="C937" s="18" t="s">
        <v>702</v>
      </c>
      <c r="D937" s="18" t="s">
        <v>723</v>
      </c>
    </row>
    <row r="938" customFormat="false" ht="28.35" hidden="false" customHeight="false" outlineLevel="0" collapsed="false">
      <c r="B938" s="19" t="s">
        <v>20955</v>
      </c>
      <c r="C938" s="20" t="n">
        <f aca="false">ROUND(44.34/FX,2)</f>
        <v>6.16</v>
      </c>
      <c r="D938" s="21" t="s">
        <v>20954</v>
      </c>
    </row>
    <row r="939" customFormat="false" ht="15" hidden="false" customHeight="false" outlineLevel="0" collapsed="false">
      <c r="B939" s="19" t="s">
        <v>20956</v>
      </c>
      <c r="C939" s="20" t="n">
        <f aca="false">ROUND(85.96/FX,2)</f>
        <v>11.94</v>
      </c>
      <c r="D939" s="21" t="s">
        <v>20957</v>
      </c>
    </row>
    <row r="940" customFormat="false" ht="28.35" hidden="false" customHeight="false" outlineLevel="0" collapsed="false">
      <c r="B940" s="19" t="s">
        <v>20958</v>
      </c>
      <c r="C940" s="20" t="n">
        <f aca="false">ROUND(50.65/FX,2)</f>
        <v>7.03</v>
      </c>
      <c r="D940" s="21" t="s">
        <v>20959</v>
      </c>
    </row>
    <row r="943" customFormat="false" ht="61.5" hidden="false" customHeight="true" outlineLevel="0" collapsed="false">
      <c r="A943" s="9"/>
      <c r="B943" s="10" t="s">
        <v>20960</v>
      </c>
      <c r="C943" s="10"/>
      <c r="D943" s="10"/>
    </row>
    <row r="944" customFormat="false" ht="15" hidden="false" customHeight="false" outlineLevel="0" collapsed="false">
      <c r="B944" s="18" t="s">
        <v>701</v>
      </c>
      <c r="C944" s="18" t="s">
        <v>702</v>
      </c>
      <c r="D944" s="18" t="s">
        <v>5610</v>
      </c>
    </row>
    <row r="945" customFormat="false" ht="15" hidden="false" customHeight="false" outlineLevel="0" collapsed="false">
      <c r="B945" s="19" t="s">
        <v>20961</v>
      </c>
      <c r="C945" s="20" t="n">
        <f aca="false">ROUND(1.56/FX,2)</f>
        <v>0.22</v>
      </c>
      <c r="D945" s="22" t="s">
        <v>5612</v>
      </c>
    </row>
    <row r="948" customFormat="false" ht="61.5" hidden="false" customHeight="true" outlineLevel="0" collapsed="false">
      <c r="A948" s="9"/>
      <c r="B948" s="10" t="s">
        <v>20962</v>
      </c>
      <c r="C948" s="10"/>
      <c r="D948" s="10"/>
      <c r="E948" s="10"/>
      <c r="F948" s="10"/>
    </row>
    <row r="949" customFormat="false" ht="15" hidden="false" customHeight="false" outlineLevel="0" collapsed="false">
      <c r="A949" s="12" t="s">
        <v>700</v>
      </c>
      <c r="B949" s="13" t="s">
        <v>701</v>
      </c>
      <c r="C949" s="13" t="s">
        <v>702</v>
      </c>
      <c r="D949" s="13" t="s">
        <v>705</v>
      </c>
      <c r="E949" s="13" t="s">
        <v>723</v>
      </c>
      <c r="F949" s="13" t="s">
        <v>7711</v>
      </c>
    </row>
    <row r="950" customFormat="false" ht="30" hidden="false" customHeight="true" outlineLevel="0" collapsed="false">
      <c r="A950" s="14" t="s">
        <v>706</v>
      </c>
      <c r="B950" s="15" t="str">
        <f aca="false">IF(COUNTIFS($D$953:$D$1006,IF(D950="","*",D950),$E$953:$E$1006,IF(E950="","*",E950),$F$953:$F$1006,IF(F950="","*",F950))=1,INDEX($B:$B,SUMPRODUCT(((D950="")+($D$953:$D$1006=D950)&gt;0)*((E950="")+($E$953:$E$1006=E950)&gt;0)*((F950="")+($F$953:$F$1006=F950)&gt;0)*ROW($B$953:$B$1006))),IF(COUNTIFS($D$953:$D$1006,IF(D950="","*",D950),$E$953:$E$1006,IF(E950="","*",E950),$F$953:$F$1006,IF(F950="","*",F950))=0,"Not available",COUNTIFS($D$953:$D$1006,IF(D950="","*",D950),$E$953:$E$1006,IF(E950="","*",E950),$F$953:$F$1006,IF(F950="","*",F950))&amp;" match, keep choosing"))</f>
        <v>EG-074-20-LS-P4</v>
      </c>
      <c r="C950" s="16" t="n">
        <f aca="false">IF(COUNTIFS($D$953:$D$1006,IF(D950="","*",D950),$E$953:$E$1006,IF(E950="","*",E950),$F$953:$F$1006,IF(F950="","*",F950))=1,INDEX($C:$C,SUMPRODUCT(((D950="")+($D$953:$D$1006=D950)&gt;0)*((E950="")+($E$953:$E$1006=E950)&gt;0)*((F950="")+($F$953:$F$1006=F950)&gt;0)*ROW($B$953:$B$1006))),"")</f>
        <v>4.51</v>
      </c>
      <c r="D950" s="17" t="s">
        <v>14013</v>
      </c>
      <c r="E950" s="17" t="s">
        <v>19659</v>
      </c>
      <c r="F950" s="17" t="s">
        <v>3247</v>
      </c>
    </row>
    <row r="952" customFormat="false" ht="15" hidden="false" customHeight="false" outlineLevel="0" collapsed="false">
      <c r="B952" s="18" t="s">
        <v>701</v>
      </c>
      <c r="C952" s="18" t="s">
        <v>702</v>
      </c>
      <c r="D952" s="18" t="s">
        <v>705</v>
      </c>
      <c r="E952" s="18" t="s">
        <v>723</v>
      </c>
      <c r="F952" s="18" t="s">
        <v>7711</v>
      </c>
    </row>
    <row r="953" customFormat="false" ht="15" hidden="false" customHeight="false" outlineLevel="0" collapsed="false">
      <c r="B953" s="19" t="s">
        <v>20963</v>
      </c>
      <c r="C953" s="20" t="n">
        <f aca="false">ROUND(32.5/FX,2)</f>
        <v>4.51</v>
      </c>
      <c r="D953" s="21" t="s">
        <v>14013</v>
      </c>
      <c r="E953" s="21" t="s">
        <v>19659</v>
      </c>
      <c r="F953" s="21" t="s">
        <v>3247</v>
      </c>
    </row>
    <row r="954" customFormat="false" ht="15" hidden="false" customHeight="false" outlineLevel="0" collapsed="false">
      <c r="B954" s="19" t="s">
        <v>20964</v>
      </c>
      <c r="C954" s="20" t="n">
        <f aca="false">ROUND(32.5/FX,2)</f>
        <v>4.51</v>
      </c>
      <c r="D954" s="21" t="s">
        <v>14013</v>
      </c>
      <c r="E954" s="21" t="s">
        <v>19659</v>
      </c>
      <c r="F954" s="21" t="s">
        <v>5097</v>
      </c>
    </row>
    <row r="955" customFormat="false" ht="15" hidden="false" customHeight="false" outlineLevel="0" collapsed="false">
      <c r="B955" s="19" t="s">
        <v>20965</v>
      </c>
      <c r="C955" s="20" t="n">
        <f aca="false">ROUND(32.5/FX,2)</f>
        <v>4.51</v>
      </c>
      <c r="D955" s="21" t="s">
        <v>14013</v>
      </c>
      <c r="E955" s="21" t="s">
        <v>19659</v>
      </c>
      <c r="F955" s="21" t="s">
        <v>6723</v>
      </c>
    </row>
    <row r="956" customFormat="false" ht="15" hidden="false" customHeight="false" outlineLevel="0" collapsed="false">
      <c r="B956" s="19" t="s">
        <v>20966</v>
      </c>
      <c r="C956" s="20" t="n">
        <f aca="false">ROUND(32.5/FX,2)</f>
        <v>4.51</v>
      </c>
      <c r="D956" s="21" t="s">
        <v>14013</v>
      </c>
      <c r="E956" s="21" t="s">
        <v>19659</v>
      </c>
      <c r="F956" s="21" t="s">
        <v>7061</v>
      </c>
    </row>
    <row r="957" customFormat="false" ht="15" hidden="false" customHeight="false" outlineLevel="0" collapsed="false">
      <c r="B957" s="19" t="s">
        <v>20967</v>
      </c>
      <c r="C957" s="20" t="n">
        <f aca="false">ROUND(32.5/FX,2)</f>
        <v>4.51</v>
      </c>
      <c r="D957" s="21" t="s">
        <v>14013</v>
      </c>
      <c r="E957" s="21" t="s">
        <v>19659</v>
      </c>
      <c r="F957" s="21" t="s">
        <v>6768</v>
      </c>
    </row>
    <row r="958" customFormat="false" ht="15" hidden="false" customHeight="false" outlineLevel="0" collapsed="false">
      <c r="B958" s="19" t="s">
        <v>20968</v>
      </c>
      <c r="C958" s="20" t="n">
        <f aca="false">ROUND(35.1/FX,2)</f>
        <v>4.88</v>
      </c>
      <c r="D958" s="21" t="s">
        <v>14013</v>
      </c>
      <c r="E958" s="21" t="s">
        <v>19659</v>
      </c>
      <c r="F958" s="21" t="s">
        <v>784</v>
      </c>
    </row>
    <row r="959" customFormat="false" ht="15" hidden="false" customHeight="false" outlineLevel="0" collapsed="false">
      <c r="B959" s="19" t="s">
        <v>20969</v>
      </c>
      <c r="C959" s="20" t="n">
        <f aca="false">ROUND(36.4/FX,2)</f>
        <v>5.06</v>
      </c>
      <c r="D959" s="21" t="s">
        <v>14013</v>
      </c>
      <c r="E959" s="21" t="s">
        <v>19659</v>
      </c>
      <c r="F959" s="21" t="s">
        <v>6244</v>
      </c>
    </row>
    <row r="960" customFormat="false" ht="15" hidden="false" customHeight="false" outlineLevel="0" collapsed="false">
      <c r="B960" s="19" t="s">
        <v>20970</v>
      </c>
      <c r="C960" s="20" t="n">
        <f aca="false">ROUND(35.1/FX,2)</f>
        <v>4.88</v>
      </c>
      <c r="D960" s="21" t="s">
        <v>14013</v>
      </c>
      <c r="E960" s="21" t="s">
        <v>19659</v>
      </c>
      <c r="F960" s="21" t="s">
        <v>6805</v>
      </c>
    </row>
    <row r="961" customFormat="false" ht="15" hidden="false" customHeight="false" outlineLevel="0" collapsed="false">
      <c r="B961" s="19" t="s">
        <v>20971</v>
      </c>
      <c r="C961" s="20" t="n">
        <f aca="false">ROUND(34.45/FX,2)</f>
        <v>4.78</v>
      </c>
      <c r="D961" s="21" t="s">
        <v>14013</v>
      </c>
      <c r="E961" s="21" t="s">
        <v>19659</v>
      </c>
      <c r="F961" s="21" t="s">
        <v>6730</v>
      </c>
    </row>
    <row r="962" customFormat="false" ht="15" hidden="false" customHeight="false" outlineLevel="0" collapsed="false">
      <c r="B962" s="19" t="s">
        <v>20972</v>
      </c>
      <c r="C962" s="20" t="n">
        <f aca="false">ROUND(35.1/FX,2)</f>
        <v>4.88</v>
      </c>
      <c r="D962" s="21" t="s">
        <v>14013</v>
      </c>
      <c r="E962" s="21" t="s">
        <v>19659</v>
      </c>
      <c r="F962" s="21" t="s">
        <v>5496</v>
      </c>
    </row>
    <row r="963" customFormat="false" ht="15" hidden="false" customHeight="false" outlineLevel="0" collapsed="false">
      <c r="B963" s="19" t="s">
        <v>20973</v>
      </c>
      <c r="C963" s="20" t="n">
        <f aca="false">ROUND(18.33/FX,2)</f>
        <v>2.55</v>
      </c>
      <c r="D963" s="21" t="s">
        <v>14013</v>
      </c>
      <c r="E963" s="21" t="s">
        <v>19659</v>
      </c>
      <c r="F963" s="21" t="s">
        <v>6246</v>
      </c>
    </row>
    <row r="964" customFormat="false" ht="15" hidden="false" customHeight="false" outlineLevel="0" collapsed="false">
      <c r="B964" s="19" t="s">
        <v>20974</v>
      </c>
      <c r="C964" s="20" t="n">
        <f aca="false">ROUND(17.55/FX,2)</f>
        <v>2.44</v>
      </c>
      <c r="D964" s="21" t="s">
        <v>13732</v>
      </c>
      <c r="E964" s="21" t="s">
        <v>19321</v>
      </c>
      <c r="F964" s="21" t="s">
        <v>6246</v>
      </c>
    </row>
    <row r="965" customFormat="false" ht="15" hidden="false" customHeight="false" outlineLevel="0" collapsed="false">
      <c r="B965" s="19" t="s">
        <v>20975</v>
      </c>
      <c r="C965" s="20" t="n">
        <f aca="false">ROUND(18.72/FX,2)</f>
        <v>2.6</v>
      </c>
      <c r="D965" s="21" t="s">
        <v>14013</v>
      </c>
      <c r="E965" s="21" t="s">
        <v>19659</v>
      </c>
      <c r="F965" s="21" t="s">
        <v>14100</v>
      </c>
    </row>
    <row r="966" customFormat="false" ht="15" hidden="false" customHeight="false" outlineLevel="0" collapsed="false">
      <c r="B966" s="19" t="s">
        <v>20976</v>
      </c>
      <c r="C966" s="20" t="n">
        <f aca="false">ROUND(18.44/FX,2)</f>
        <v>2.56</v>
      </c>
      <c r="D966" s="21" t="s">
        <v>14013</v>
      </c>
      <c r="E966" s="21" t="s">
        <v>19659</v>
      </c>
      <c r="F966" s="21" t="s">
        <v>14216</v>
      </c>
    </row>
    <row r="967" customFormat="false" ht="15" hidden="false" customHeight="false" outlineLevel="0" collapsed="false">
      <c r="B967" s="19" t="s">
        <v>20977</v>
      </c>
      <c r="C967" s="20" t="n">
        <f aca="false">ROUND(17.55/FX,2)</f>
        <v>2.44</v>
      </c>
      <c r="D967" s="21" t="s">
        <v>13732</v>
      </c>
      <c r="E967" s="21" t="s">
        <v>19321</v>
      </c>
      <c r="F967" s="21" t="s">
        <v>14216</v>
      </c>
    </row>
    <row r="968" customFormat="false" ht="15" hidden="false" customHeight="false" outlineLevel="0" collapsed="false">
      <c r="B968" s="19" t="s">
        <v>20978</v>
      </c>
      <c r="C968" s="20" t="n">
        <f aca="false">ROUND(17.79/FX,2)</f>
        <v>2.47</v>
      </c>
      <c r="D968" s="21" t="s">
        <v>14013</v>
      </c>
      <c r="E968" s="21" t="s">
        <v>19659</v>
      </c>
      <c r="F968" s="21" t="s">
        <v>7358</v>
      </c>
    </row>
    <row r="969" customFormat="false" ht="15" hidden="false" customHeight="false" outlineLevel="0" collapsed="false">
      <c r="B969" s="19" t="s">
        <v>20979</v>
      </c>
      <c r="C969" s="20" t="n">
        <f aca="false">ROUND(35.1/FX,2)</f>
        <v>4.88</v>
      </c>
      <c r="D969" s="21" t="s">
        <v>14013</v>
      </c>
      <c r="E969" s="21" t="s">
        <v>19659</v>
      </c>
      <c r="F969" s="21" t="s">
        <v>13804</v>
      </c>
    </row>
    <row r="970" customFormat="false" ht="15" hidden="false" customHeight="false" outlineLevel="0" collapsed="false">
      <c r="B970" s="19" t="s">
        <v>20980</v>
      </c>
      <c r="C970" s="20" t="n">
        <f aca="false">ROUND(26/FX,2)</f>
        <v>3.61</v>
      </c>
      <c r="D970" s="21" t="s">
        <v>14013</v>
      </c>
      <c r="E970" s="21" t="s">
        <v>19659</v>
      </c>
      <c r="F970" s="21" t="s">
        <v>6742</v>
      </c>
    </row>
    <row r="971" customFormat="false" ht="15" hidden="false" customHeight="false" outlineLevel="0" collapsed="false">
      <c r="B971" s="19" t="s">
        <v>20981</v>
      </c>
      <c r="C971" s="20" t="n">
        <f aca="false">ROUND(23/FX,2)</f>
        <v>3.19</v>
      </c>
      <c r="D971" s="21" t="s">
        <v>14013</v>
      </c>
      <c r="E971" s="21" t="s">
        <v>19659</v>
      </c>
      <c r="F971" s="21" t="s">
        <v>2911</v>
      </c>
    </row>
    <row r="972" customFormat="false" ht="15" hidden="false" customHeight="false" outlineLevel="0" collapsed="false">
      <c r="B972" s="19" t="s">
        <v>20982</v>
      </c>
      <c r="C972" s="20" t="n">
        <f aca="false">ROUND(17.55/FX,2)</f>
        <v>2.44</v>
      </c>
      <c r="D972" s="21" t="s">
        <v>13732</v>
      </c>
      <c r="E972" s="21" t="s">
        <v>19321</v>
      </c>
      <c r="F972" s="21" t="s">
        <v>2911</v>
      </c>
    </row>
    <row r="973" customFormat="false" ht="15" hidden="false" customHeight="false" outlineLevel="0" collapsed="false">
      <c r="B973" s="19" t="s">
        <v>20983</v>
      </c>
      <c r="C973" s="20" t="n">
        <f aca="false">ROUND(24.44/FX,2)</f>
        <v>3.39</v>
      </c>
      <c r="D973" s="21" t="s">
        <v>14013</v>
      </c>
      <c r="E973" s="21" t="s">
        <v>19659</v>
      </c>
      <c r="F973" s="21" t="s">
        <v>2921</v>
      </c>
    </row>
    <row r="974" customFormat="false" ht="15" hidden="false" customHeight="false" outlineLevel="0" collapsed="false">
      <c r="B974" s="19" t="s">
        <v>20984</v>
      </c>
      <c r="C974" s="20" t="n">
        <f aca="false">ROUND(23.4/FX,2)</f>
        <v>3.25</v>
      </c>
      <c r="D974" s="21" t="s">
        <v>13732</v>
      </c>
      <c r="E974" s="21" t="s">
        <v>19321</v>
      </c>
      <c r="F974" s="21" t="s">
        <v>2921</v>
      </c>
    </row>
    <row r="975" customFormat="false" ht="15" hidden="false" customHeight="false" outlineLevel="0" collapsed="false">
      <c r="B975" s="19" t="s">
        <v>20985</v>
      </c>
      <c r="C975" s="20" t="n">
        <f aca="false">ROUND(23.4/FX,2)</f>
        <v>3.25</v>
      </c>
      <c r="D975" s="21" t="s">
        <v>14013</v>
      </c>
      <c r="E975" s="21" t="s">
        <v>19659</v>
      </c>
      <c r="F975" s="21" t="s">
        <v>2931</v>
      </c>
    </row>
    <row r="976" customFormat="false" ht="15" hidden="false" customHeight="false" outlineLevel="0" collapsed="false">
      <c r="B976" s="19" t="s">
        <v>20986</v>
      </c>
      <c r="C976" s="20" t="n">
        <f aca="false">ROUND(24.49/FX,2)</f>
        <v>3.4</v>
      </c>
      <c r="D976" s="21" t="s">
        <v>14013</v>
      </c>
      <c r="E976" s="21" t="s">
        <v>19659</v>
      </c>
      <c r="F976" s="21" t="s">
        <v>2941</v>
      </c>
    </row>
    <row r="977" customFormat="false" ht="15" hidden="false" customHeight="false" outlineLevel="0" collapsed="false">
      <c r="B977" s="19" t="s">
        <v>20987</v>
      </c>
      <c r="C977" s="20" t="n">
        <f aca="false">ROUND(45.5/FX,2)</f>
        <v>6.32</v>
      </c>
      <c r="D977" s="21" t="s">
        <v>14013</v>
      </c>
      <c r="E977" s="21" t="s">
        <v>19659</v>
      </c>
      <c r="F977" s="21" t="s">
        <v>20988</v>
      </c>
    </row>
    <row r="978" customFormat="false" ht="15" hidden="false" customHeight="false" outlineLevel="0" collapsed="false">
      <c r="B978" s="19" t="s">
        <v>20989</v>
      </c>
      <c r="C978" s="20" t="n">
        <f aca="false">ROUND(52/FX,2)</f>
        <v>7.22</v>
      </c>
      <c r="D978" s="21" t="s">
        <v>14013</v>
      </c>
      <c r="E978" s="21" t="s">
        <v>19659</v>
      </c>
      <c r="F978" s="21" t="s">
        <v>2951</v>
      </c>
    </row>
    <row r="979" customFormat="false" ht="15" hidden="false" customHeight="false" outlineLevel="0" collapsed="false">
      <c r="B979" s="19" t="s">
        <v>20990</v>
      </c>
      <c r="C979" s="20" t="n">
        <f aca="false">ROUND(27.15/FX,2)</f>
        <v>3.77</v>
      </c>
      <c r="D979" s="21" t="s">
        <v>14013</v>
      </c>
      <c r="E979" s="21" t="s">
        <v>19659</v>
      </c>
      <c r="F979" s="21" t="s">
        <v>2961</v>
      </c>
    </row>
    <row r="980" customFormat="false" ht="15" hidden="false" customHeight="false" outlineLevel="0" collapsed="false">
      <c r="B980" s="19" t="s">
        <v>20991</v>
      </c>
      <c r="C980" s="20" t="n">
        <f aca="false">ROUND(26/FX,2)</f>
        <v>3.61</v>
      </c>
      <c r="D980" s="21" t="s">
        <v>13732</v>
      </c>
      <c r="E980" s="21" t="s">
        <v>19321</v>
      </c>
      <c r="F980" s="21" t="s">
        <v>2961</v>
      </c>
    </row>
    <row r="981" customFormat="false" ht="15" hidden="false" customHeight="false" outlineLevel="0" collapsed="false">
      <c r="B981" s="19" t="s">
        <v>20992</v>
      </c>
      <c r="C981" s="20" t="n">
        <f aca="false">ROUND(45.5/FX,2)</f>
        <v>6.32</v>
      </c>
      <c r="D981" s="21" t="s">
        <v>14013</v>
      </c>
      <c r="E981" s="21" t="s">
        <v>19659</v>
      </c>
      <c r="F981" s="21" t="s">
        <v>2971</v>
      </c>
    </row>
    <row r="982" customFormat="false" ht="15" hidden="false" customHeight="false" outlineLevel="0" collapsed="false">
      <c r="B982" s="19" t="s">
        <v>20993</v>
      </c>
      <c r="C982" s="20" t="n">
        <f aca="false">ROUND(49.4/FX,2)</f>
        <v>6.86</v>
      </c>
      <c r="D982" s="21" t="s">
        <v>14013</v>
      </c>
      <c r="E982" s="21" t="s">
        <v>19659</v>
      </c>
      <c r="F982" s="21" t="s">
        <v>2981</v>
      </c>
    </row>
    <row r="983" customFormat="false" ht="15" hidden="false" customHeight="false" outlineLevel="0" collapsed="false">
      <c r="B983" s="19" t="s">
        <v>20994</v>
      </c>
      <c r="C983" s="20" t="n">
        <f aca="false">ROUND(29.75/FX,2)</f>
        <v>4.13</v>
      </c>
      <c r="D983" s="21" t="s">
        <v>14013</v>
      </c>
      <c r="E983" s="21" t="s">
        <v>20995</v>
      </c>
      <c r="F983" s="21" t="s">
        <v>13817</v>
      </c>
    </row>
    <row r="984" customFormat="false" ht="15" hidden="false" customHeight="false" outlineLevel="0" collapsed="false">
      <c r="B984" s="19" t="s">
        <v>20996</v>
      </c>
      <c r="C984" s="20" t="n">
        <f aca="false">ROUND(28.6/FX,2)</f>
        <v>3.97</v>
      </c>
      <c r="D984" s="21" t="s">
        <v>13732</v>
      </c>
      <c r="E984" s="21" t="s">
        <v>20997</v>
      </c>
      <c r="F984" s="21" t="s">
        <v>13817</v>
      </c>
    </row>
    <row r="985" customFormat="false" ht="15" hidden="false" customHeight="false" outlineLevel="0" collapsed="false">
      <c r="B985" s="19" t="s">
        <v>20998</v>
      </c>
      <c r="C985" s="20" t="n">
        <f aca="false">ROUND(31.7/FX,2)</f>
        <v>4.4</v>
      </c>
      <c r="D985" s="21" t="s">
        <v>14013</v>
      </c>
      <c r="E985" s="21" t="s">
        <v>20999</v>
      </c>
      <c r="F985" s="21" t="s">
        <v>13817</v>
      </c>
    </row>
    <row r="986" customFormat="false" ht="15" hidden="false" customHeight="false" outlineLevel="0" collapsed="false">
      <c r="B986" s="19" t="s">
        <v>21000</v>
      </c>
      <c r="C986" s="20" t="n">
        <f aca="false">ROUND(30.55/FX,2)</f>
        <v>4.24</v>
      </c>
      <c r="D986" s="21" t="s">
        <v>13732</v>
      </c>
      <c r="E986" s="21" t="s">
        <v>21001</v>
      </c>
      <c r="F986" s="21" t="s">
        <v>13817</v>
      </c>
    </row>
    <row r="987" customFormat="false" ht="15" hidden="false" customHeight="false" outlineLevel="0" collapsed="false">
      <c r="B987" s="19" t="s">
        <v>21002</v>
      </c>
      <c r="C987" s="20" t="n">
        <f aca="false">ROUND(55.9/FX,2)</f>
        <v>7.76</v>
      </c>
      <c r="D987" s="21" t="s">
        <v>14013</v>
      </c>
      <c r="E987" s="21" t="s">
        <v>21003</v>
      </c>
      <c r="F987" s="21" t="s">
        <v>13817</v>
      </c>
    </row>
    <row r="988" customFormat="false" ht="15" hidden="false" customHeight="false" outlineLevel="0" collapsed="false">
      <c r="B988" s="19" t="s">
        <v>21004</v>
      </c>
      <c r="C988" s="20" t="n">
        <f aca="false">ROUND(49.4/FX,2)</f>
        <v>6.86</v>
      </c>
      <c r="D988" s="21" t="s">
        <v>14013</v>
      </c>
      <c r="E988" s="21" t="s">
        <v>19659</v>
      </c>
      <c r="F988" s="21" t="s">
        <v>2991</v>
      </c>
    </row>
    <row r="989" customFormat="false" ht="15" hidden="false" customHeight="false" outlineLevel="0" collapsed="false">
      <c r="B989" s="19" t="s">
        <v>21005</v>
      </c>
      <c r="C989" s="20" t="n">
        <f aca="false">ROUND(49.4/FX,2)</f>
        <v>6.86</v>
      </c>
      <c r="D989" s="21" t="s">
        <v>14013</v>
      </c>
      <c r="E989" s="21" t="s">
        <v>19659</v>
      </c>
      <c r="F989" s="21" t="s">
        <v>3001</v>
      </c>
    </row>
    <row r="990" customFormat="false" ht="15" hidden="false" customHeight="false" outlineLevel="0" collapsed="false">
      <c r="B990" s="19" t="s">
        <v>21006</v>
      </c>
      <c r="C990" s="20" t="n">
        <f aca="false">ROUND(57.2/FX,2)</f>
        <v>7.94</v>
      </c>
      <c r="D990" s="21" t="s">
        <v>14013</v>
      </c>
      <c r="E990" s="21" t="s">
        <v>19659</v>
      </c>
      <c r="F990" s="21" t="s">
        <v>3011</v>
      </c>
    </row>
    <row r="991" customFormat="false" ht="15" hidden="false" customHeight="false" outlineLevel="0" collapsed="false">
      <c r="B991" s="19" t="s">
        <v>21007</v>
      </c>
      <c r="C991" s="20" t="n">
        <f aca="false">ROUND(78/FX,2)</f>
        <v>10.83</v>
      </c>
      <c r="D991" s="21" t="s">
        <v>14013</v>
      </c>
      <c r="E991" s="21" t="s">
        <v>19659</v>
      </c>
      <c r="F991" s="21" t="s">
        <v>3021</v>
      </c>
    </row>
    <row r="992" customFormat="false" ht="15" hidden="false" customHeight="false" outlineLevel="0" collapsed="false">
      <c r="B992" s="19" t="s">
        <v>21008</v>
      </c>
      <c r="C992" s="20" t="n">
        <f aca="false">ROUND(75.4/FX,2)</f>
        <v>10.47</v>
      </c>
      <c r="D992" s="21" t="s">
        <v>14013</v>
      </c>
      <c r="E992" s="21" t="s">
        <v>19659</v>
      </c>
      <c r="F992" s="21" t="s">
        <v>3031</v>
      </c>
    </row>
    <row r="993" customFormat="false" ht="15" hidden="false" customHeight="false" outlineLevel="0" collapsed="false">
      <c r="B993" s="19" t="s">
        <v>21009</v>
      </c>
      <c r="C993" s="20" t="n">
        <f aca="false">ROUND(75.4/FX,2)</f>
        <v>10.47</v>
      </c>
      <c r="D993" s="21" t="s">
        <v>14013</v>
      </c>
      <c r="E993" s="21" t="s">
        <v>19659</v>
      </c>
      <c r="F993" s="21" t="s">
        <v>7396</v>
      </c>
    </row>
    <row r="994" customFormat="false" ht="15" hidden="false" customHeight="false" outlineLevel="0" collapsed="false">
      <c r="B994" s="19" t="s">
        <v>21010</v>
      </c>
      <c r="C994" s="20" t="n">
        <f aca="false">ROUND(78/FX,2)</f>
        <v>10.83</v>
      </c>
      <c r="D994" s="21" t="s">
        <v>14013</v>
      </c>
      <c r="E994" s="21" t="s">
        <v>19659</v>
      </c>
      <c r="F994" s="21" t="s">
        <v>3041</v>
      </c>
    </row>
    <row r="995" customFormat="false" ht="15" hidden="false" customHeight="false" outlineLevel="0" collapsed="false">
      <c r="B995" s="19" t="s">
        <v>21011</v>
      </c>
      <c r="C995" s="20" t="n">
        <f aca="false">ROUND(78/FX,2)</f>
        <v>10.83</v>
      </c>
      <c r="D995" s="21" t="s">
        <v>14013</v>
      </c>
      <c r="E995" s="21" t="s">
        <v>19659</v>
      </c>
      <c r="F995" s="21" t="s">
        <v>3051</v>
      </c>
    </row>
    <row r="996" customFormat="false" ht="15" hidden="false" customHeight="false" outlineLevel="0" collapsed="false">
      <c r="B996" s="19" t="s">
        <v>21012</v>
      </c>
      <c r="C996" s="20" t="n">
        <f aca="false">ROUND(36.77/FX,2)</f>
        <v>5.11</v>
      </c>
      <c r="D996" s="21" t="s">
        <v>14013</v>
      </c>
      <c r="E996" s="21" t="s">
        <v>20995</v>
      </c>
      <c r="F996" s="21" t="s">
        <v>3061</v>
      </c>
    </row>
    <row r="997" customFormat="false" ht="15" hidden="false" customHeight="false" outlineLevel="0" collapsed="false">
      <c r="B997" s="19" t="s">
        <v>21013</v>
      </c>
      <c r="C997" s="20" t="n">
        <f aca="false">ROUND(35.1/FX,2)</f>
        <v>4.88</v>
      </c>
      <c r="D997" s="21" t="s">
        <v>13732</v>
      </c>
      <c r="E997" s="21" t="s">
        <v>20997</v>
      </c>
      <c r="F997" s="21" t="s">
        <v>3061</v>
      </c>
    </row>
    <row r="998" customFormat="false" ht="15" hidden="false" customHeight="false" outlineLevel="0" collapsed="false">
      <c r="B998" s="19" t="s">
        <v>21014</v>
      </c>
      <c r="C998" s="20" t="n">
        <f aca="false">ROUND(51.07/FX,2)</f>
        <v>7.09</v>
      </c>
      <c r="D998" s="21" t="s">
        <v>14013</v>
      </c>
      <c r="E998" s="21" t="s">
        <v>20999</v>
      </c>
      <c r="F998" s="21" t="s">
        <v>3061</v>
      </c>
    </row>
    <row r="999" customFormat="false" ht="15" hidden="false" customHeight="false" outlineLevel="0" collapsed="false">
      <c r="B999" s="19" t="s">
        <v>21015</v>
      </c>
      <c r="C999" s="20" t="n">
        <f aca="false">ROUND(49.4/FX,2)</f>
        <v>6.86</v>
      </c>
      <c r="D999" s="21" t="s">
        <v>13732</v>
      </c>
      <c r="E999" s="21" t="s">
        <v>21001</v>
      </c>
      <c r="F999" s="21" t="s">
        <v>3061</v>
      </c>
    </row>
    <row r="1000" customFormat="false" ht="15" hidden="false" customHeight="false" outlineLevel="0" collapsed="false">
      <c r="B1000" s="19" t="s">
        <v>21016</v>
      </c>
      <c r="C1000" s="20" t="n">
        <f aca="false">ROUND(78/FX,2)</f>
        <v>10.83</v>
      </c>
      <c r="D1000" s="21" t="s">
        <v>14013</v>
      </c>
      <c r="E1000" s="21" t="s">
        <v>19659</v>
      </c>
      <c r="F1000" s="21" t="s">
        <v>3071</v>
      </c>
    </row>
    <row r="1001" customFormat="false" ht="15" hidden="false" customHeight="false" outlineLevel="0" collapsed="false">
      <c r="B1001" s="19" t="s">
        <v>21017</v>
      </c>
      <c r="C1001" s="20" t="n">
        <f aca="false">ROUND(78/FX,2)</f>
        <v>10.83</v>
      </c>
      <c r="D1001" s="21" t="s">
        <v>14013</v>
      </c>
      <c r="E1001" s="21" t="s">
        <v>19659</v>
      </c>
      <c r="F1001" s="21" t="s">
        <v>3081</v>
      </c>
    </row>
    <row r="1002" customFormat="false" ht="15" hidden="false" customHeight="false" outlineLevel="0" collapsed="false">
      <c r="B1002" s="19" t="s">
        <v>21018</v>
      </c>
      <c r="C1002" s="20" t="n">
        <f aca="false">ROUND(78/FX,2)</f>
        <v>10.83</v>
      </c>
      <c r="D1002" s="21" t="s">
        <v>14013</v>
      </c>
      <c r="E1002" s="21" t="s">
        <v>19659</v>
      </c>
      <c r="F1002" s="21" t="s">
        <v>3091</v>
      </c>
    </row>
    <row r="1003" customFormat="false" ht="15" hidden="false" customHeight="false" outlineLevel="0" collapsed="false">
      <c r="B1003" s="19" t="s">
        <v>21019</v>
      </c>
      <c r="C1003" s="20" t="n">
        <f aca="false">ROUND(40.66/FX,2)</f>
        <v>5.65</v>
      </c>
      <c r="D1003" s="21" t="s">
        <v>14013</v>
      </c>
      <c r="E1003" s="21" t="s">
        <v>19659</v>
      </c>
      <c r="F1003" s="21" t="s">
        <v>3101</v>
      </c>
    </row>
    <row r="1004" customFormat="false" ht="15" hidden="false" customHeight="false" outlineLevel="0" collapsed="false">
      <c r="B1004" s="19" t="s">
        <v>21020</v>
      </c>
      <c r="C1004" s="20" t="n">
        <f aca="false">ROUND(39/FX,2)</f>
        <v>5.42</v>
      </c>
      <c r="D1004" s="21" t="s">
        <v>13732</v>
      </c>
      <c r="E1004" s="21" t="s">
        <v>19321</v>
      </c>
      <c r="F1004" s="21" t="s">
        <v>3101</v>
      </c>
    </row>
    <row r="1005" customFormat="false" ht="15" hidden="false" customHeight="false" outlineLevel="0" collapsed="false">
      <c r="B1005" s="19" t="s">
        <v>21021</v>
      </c>
      <c r="C1005" s="20" t="n">
        <f aca="false">ROUND(81.9/FX,2)</f>
        <v>11.38</v>
      </c>
      <c r="D1005" s="21" t="s">
        <v>14013</v>
      </c>
      <c r="E1005" s="21" t="s">
        <v>19659</v>
      </c>
      <c r="F1005" s="21" t="s">
        <v>3111</v>
      </c>
    </row>
    <row r="1006" customFormat="false" ht="15" hidden="false" customHeight="false" outlineLevel="0" collapsed="false">
      <c r="B1006" s="19" t="s">
        <v>21022</v>
      </c>
      <c r="C1006" s="20" t="n">
        <f aca="false">ROUND(16.9/FX,2)</f>
        <v>2.35</v>
      </c>
      <c r="D1006" s="21" t="s">
        <v>13732</v>
      </c>
      <c r="E1006" s="21" t="s">
        <v>21023</v>
      </c>
      <c r="F1006" s="21" t="s">
        <v>6336</v>
      </c>
    </row>
    <row r="1009" customFormat="false" ht="61.5" hidden="false" customHeight="true" outlineLevel="0" collapsed="false">
      <c r="A1009" s="9"/>
      <c r="B1009" s="10" t="s">
        <v>21024</v>
      </c>
      <c r="C1009" s="10"/>
      <c r="D1009" s="10"/>
    </row>
    <row r="1010" customFormat="false" ht="15" hidden="false" customHeight="false" outlineLevel="0" collapsed="false">
      <c r="B1010" s="18" t="s">
        <v>701</v>
      </c>
      <c r="C1010" s="18" t="s">
        <v>702</v>
      </c>
      <c r="D1010" s="18" t="s">
        <v>5610</v>
      </c>
    </row>
    <row r="1011" customFormat="false" ht="15" hidden="false" customHeight="false" outlineLevel="0" collapsed="false">
      <c r="B1011" s="19" t="s">
        <v>21025</v>
      </c>
      <c r="C1011" s="20" t="n">
        <f aca="false">ROUND(31.23/FX,2)</f>
        <v>4.34</v>
      </c>
      <c r="D1011" s="22" t="s">
        <v>5612</v>
      </c>
    </row>
    <row r="1014" customFormat="false" ht="61.5" hidden="false" customHeight="true" outlineLevel="0" collapsed="false">
      <c r="A1014" s="9"/>
      <c r="B1014" s="10" t="s">
        <v>21026</v>
      </c>
      <c r="C1014" s="10"/>
      <c r="D1014" s="10"/>
      <c r="E1014" s="10"/>
    </row>
    <row r="1015" customFormat="false" ht="15" hidden="false" customHeight="false" outlineLevel="0" collapsed="false">
      <c r="A1015" s="12" t="s">
        <v>700</v>
      </c>
      <c r="B1015" s="13" t="s">
        <v>701</v>
      </c>
      <c r="C1015" s="13" t="s">
        <v>702</v>
      </c>
      <c r="D1015" s="13" t="s">
        <v>723</v>
      </c>
      <c r="E1015" s="13" t="s">
        <v>7711</v>
      </c>
    </row>
    <row r="1016" customFormat="false" ht="30" hidden="false" customHeight="true" outlineLevel="0" collapsed="false">
      <c r="A1016" s="14" t="s">
        <v>706</v>
      </c>
      <c r="B1016" s="15" t="str">
        <f aca="false">IF(COUNTIFS($D$1019:$D$1033,IF(D1016="","*",D1016),$E$1019:$E$1033,IF(E1016="","*",E1016))=1,INDEX($B:$B,SUMPRODUCT(((D1016="")+($D$1019:$D$1033=D1016)&gt;0)*((E1016="")+($E$1019:$E$1033=E1016)&gt;0)*ROW($B$1019:$B$1033))),IF(COUNTIFS($D$1019:$D$1033,IF(D1016="","*",D1016),$E$1019:$E$1033,IF(E1016="","*",E1016))=0,"Not available",COUNTIFS($D$1019:$D$1033,IF(D1016="","*",D1016),$E$1019:$E$1033,IF(E1016="","*",E1016))&amp;" match, keep choosing"))</f>
        <v>EG-056-100-YXK</v>
      </c>
      <c r="C1016" s="16" t="n">
        <f aca="false">IF(COUNTIFS($D$1019:$D$1033,IF(D1016="","*",D1016),$E$1019:$E$1033,IF(E1016="","*",E1016))=1,INDEX($C:$C,SUMPRODUCT(((D1016="")+($D$1019:$D$1033=D1016)&gt;0)*((E1016="")+($E$1019:$E$1033=E1016)&gt;0)*ROW($B$1019:$B$1033))),"")</f>
        <v>8.67</v>
      </c>
      <c r="D1016" s="17" t="s">
        <v>21027</v>
      </c>
      <c r="E1016" s="17" t="s">
        <v>2600</v>
      </c>
    </row>
    <row r="1018" customFormat="false" ht="15" hidden="false" customHeight="false" outlineLevel="0" collapsed="false">
      <c r="B1018" s="18" t="s">
        <v>701</v>
      </c>
      <c r="C1018" s="18" t="s">
        <v>702</v>
      </c>
      <c r="D1018" s="18" t="s">
        <v>723</v>
      </c>
      <c r="E1018" s="18" t="s">
        <v>7711</v>
      </c>
    </row>
    <row r="1019" customFormat="false" ht="15" hidden="false" customHeight="false" outlineLevel="0" collapsed="false">
      <c r="B1019" s="19" t="s">
        <v>21028</v>
      </c>
      <c r="C1019" s="20" t="n">
        <f aca="false">ROUND(62.4/FX,2)</f>
        <v>8.67</v>
      </c>
      <c r="D1019" s="21" t="s">
        <v>21027</v>
      </c>
      <c r="E1019" s="21" t="s">
        <v>2600</v>
      </c>
    </row>
    <row r="1020" customFormat="false" ht="15" hidden="false" customHeight="false" outlineLevel="0" collapsed="false">
      <c r="B1020" s="19" t="s">
        <v>21029</v>
      </c>
      <c r="C1020" s="20" t="n">
        <f aca="false">ROUND(84.5/FX,2)</f>
        <v>11.74</v>
      </c>
      <c r="D1020" s="21" t="s">
        <v>21027</v>
      </c>
      <c r="E1020" s="21" t="s">
        <v>12096</v>
      </c>
    </row>
    <row r="1021" customFormat="false" ht="15" hidden="false" customHeight="false" outlineLevel="0" collapsed="false">
      <c r="B1021" s="19" t="s">
        <v>21030</v>
      </c>
      <c r="C1021" s="20" t="n">
        <f aca="false">ROUND(114.4/FX,2)</f>
        <v>15.89</v>
      </c>
      <c r="D1021" s="21" t="s">
        <v>21027</v>
      </c>
      <c r="E1021" s="21" t="s">
        <v>2651</v>
      </c>
    </row>
    <row r="1022" customFormat="false" ht="15" hidden="false" customHeight="false" outlineLevel="0" collapsed="false">
      <c r="B1022" s="19" t="s">
        <v>21031</v>
      </c>
      <c r="C1022" s="20" t="n">
        <f aca="false">ROUND(128.7/FX,2)</f>
        <v>17.88</v>
      </c>
      <c r="D1022" s="21" t="s">
        <v>21032</v>
      </c>
      <c r="E1022" s="21" t="s">
        <v>2701</v>
      </c>
    </row>
    <row r="1023" customFormat="false" ht="15" hidden="false" customHeight="false" outlineLevel="0" collapsed="false">
      <c r="B1023" s="19" t="s">
        <v>21033</v>
      </c>
      <c r="C1023" s="20" t="n">
        <f aca="false">ROUND(128.7/FX,2)</f>
        <v>17.88</v>
      </c>
      <c r="D1023" s="21" t="s">
        <v>21032</v>
      </c>
      <c r="E1023" s="21" t="s">
        <v>11968</v>
      </c>
    </row>
    <row r="1024" customFormat="false" ht="15" hidden="false" customHeight="false" outlineLevel="0" collapsed="false">
      <c r="B1024" s="19" t="s">
        <v>21034</v>
      </c>
      <c r="C1024" s="20" t="n">
        <f aca="false">ROUND(55.9/FX,2)</f>
        <v>7.76</v>
      </c>
      <c r="D1024" s="21" t="s">
        <v>21027</v>
      </c>
      <c r="E1024" s="21" t="s">
        <v>2971</v>
      </c>
    </row>
    <row r="1025" customFormat="false" ht="15" hidden="false" customHeight="false" outlineLevel="0" collapsed="false">
      <c r="B1025" s="19" t="s">
        <v>21035</v>
      </c>
      <c r="C1025" s="20" t="n">
        <f aca="false">ROUND(55.9/FX,2)</f>
        <v>7.76</v>
      </c>
      <c r="D1025" s="21" t="s">
        <v>21036</v>
      </c>
      <c r="E1025" s="21" t="s">
        <v>13817</v>
      </c>
    </row>
    <row r="1026" customFormat="false" ht="15" hidden="false" customHeight="false" outlineLevel="0" collapsed="false">
      <c r="B1026" s="19" t="s">
        <v>21037</v>
      </c>
      <c r="C1026" s="20" t="n">
        <f aca="false">ROUND(45.5/FX,2)</f>
        <v>6.32</v>
      </c>
      <c r="D1026" s="21" t="s">
        <v>21038</v>
      </c>
      <c r="E1026" s="21" t="s">
        <v>13817</v>
      </c>
    </row>
    <row r="1027" customFormat="false" ht="15" hidden="false" customHeight="false" outlineLevel="0" collapsed="false">
      <c r="B1027" s="19" t="s">
        <v>21039</v>
      </c>
      <c r="C1027" s="20" t="n">
        <f aca="false">ROUND(46.8/FX,2)</f>
        <v>6.5</v>
      </c>
      <c r="D1027" s="21" t="s">
        <v>21027</v>
      </c>
      <c r="E1027" s="21" t="s">
        <v>13817</v>
      </c>
    </row>
    <row r="1028" customFormat="false" ht="15" hidden="false" customHeight="false" outlineLevel="0" collapsed="false">
      <c r="B1028" s="19" t="s">
        <v>21040</v>
      </c>
      <c r="C1028" s="20" t="n">
        <f aca="false">ROUND(62.4/FX,2)</f>
        <v>8.67</v>
      </c>
      <c r="D1028" s="21" t="s">
        <v>21036</v>
      </c>
      <c r="E1028" s="21" t="s">
        <v>3061</v>
      </c>
    </row>
    <row r="1029" customFormat="false" ht="15" hidden="false" customHeight="false" outlineLevel="0" collapsed="false">
      <c r="B1029" s="19" t="s">
        <v>21041</v>
      </c>
      <c r="C1029" s="20" t="n">
        <f aca="false">ROUND(52/FX,2)</f>
        <v>7.22</v>
      </c>
      <c r="D1029" s="21" t="s">
        <v>21038</v>
      </c>
      <c r="E1029" s="21" t="s">
        <v>3061</v>
      </c>
    </row>
    <row r="1030" customFormat="false" ht="15" hidden="false" customHeight="false" outlineLevel="0" collapsed="false">
      <c r="B1030" s="19" t="s">
        <v>21042</v>
      </c>
      <c r="C1030" s="20" t="n">
        <f aca="false">ROUND(62.4/FX,2)</f>
        <v>8.67</v>
      </c>
      <c r="D1030" s="21" t="s">
        <v>21027</v>
      </c>
      <c r="E1030" s="21" t="s">
        <v>3061</v>
      </c>
    </row>
    <row r="1031" customFormat="false" ht="15" hidden="false" customHeight="false" outlineLevel="0" collapsed="false">
      <c r="B1031" s="19" t="s">
        <v>21043</v>
      </c>
      <c r="C1031" s="20" t="n">
        <f aca="false">ROUND(54.6/FX,2)</f>
        <v>7.58</v>
      </c>
      <c r="D1031" s="21" t="s">
        <v>21044</v>
      </c>
      <c r="E1031" s="21" t="s">
        <v>3061</v>
      </c>
    </row>
    <row r="1032" customFormat="false" ht="28.35" hidden="false" customHeight="false" outlineLevel="0" collapsed="false">
      <c r="B1032" s="19" t="s">
        <v>21045</v>
      </c>
      <c r="C1032" s="20" t="n">
        <f aca="false">ROUND(84.5/FX,2)</f>
        <v>11.74</v>
      </c>
      <c r="D1032" s="21" t="s">
        <v>21046</v>
      </c>
      <c r="E1032" s="21" t="s">
        <v>3061</v>
      </c>
    </row>
    <row r="1033" customFormat="false" ht="15" hidden="false" customHeight="false" outlineLevel="0" collapsed="false">
      <c r="B1033" s="19" t="s">
        <v>21047</v>
      </c>
      <c r="C1033" s="20" t="n">
        <f aca="false">ROUND(65/FX,2)</f>
        <v>9.03</v>
      </c>
      <c r="D1033" s="21" t="s">
        <v>21027</v>
      </c>
      <c r="E1033" s="21" t="s">
        <v>11870</v>
      </c>
    </row>
    <row r="1036" customFormat="false" ht="61.5" hidden="false" customHeight="true" outlineLevel="0" collapsed="false">
      <c r="A1036" s="9"/>
      <c r="B1036" s="10" t="s">
        <v>21048</v>
      </c>
      <c r="C1036" s="10"/>
      <c r="D1036" s="10"/>
    </row>
    <row r="1037" customFormat="false" ht="15" hidden="false" customHeight="false" outlineLevel="0" collapsed="false">
      <c r="A1037" s="12" t="s">
        <v>700</v>
      </c>
      <c r="B1037" s="13" t="s">
        <v>701</v>
      </c>
      <c r="C1037" s="13" t="s">
        <v>702</v>
      </c>
      <c r="D1037" s="13" t="s">
        <v>723</v>
      </c>
    </row>
    <row r="1038" customFormat="false" ht="30" hidden="false" customHeight="true" outlineLevel="0" collapsed="false">
      <c r="A1038" s="14" t="s">
        <v>706</v>
      </c>
      <c r="B1038" s="15" t="str">
        <f aca="false">IF(COUNTIFS($D$1041:$D$1049,IF(D1038="","*",D1038))=1,INDEX($B:$B,SUMPRODUCT(((D1038="")+($D$1041:$D$1049=D1038)&gt;0)*ROW($B$1041:$B$1049))),IF(COUNTIFS($D$1041:$D$1049,IF(D1038="","*",D1038))=0,"Not available",COUNTIFS($D$1041:$D$1049,IF(D1038="","*",D1038))&amp;" match, keep choosing"))</f>
        <v>EG-030-YSESD-10</v>
      </c>
      <c r="C1038" s="16" t="n">
        <f aca="false">IF(COUNTIFS($D$1041:$D$1049,IF(D1038="","*",D1038))=1,INDEX($C:$C,SUMPRODUCT(((D1038="")+($D$1041:$D$1049=D1038)&gt;0)*ROW($B$1041:$B$1049))),"")</f>
        <v>0.22</v>
      </c>
      <c r="D1038" s="17" t="s">
        <v>21049</v>
      </c>
    </row>
    <row r="1040" customFormat="false" ht="15" hidden="false" customHeight="false" outlineLevel="0" collapsed="false">
      <c r="B1040" s="18" t="s">
        <v>701</v>
      </c>
      <c r="C1040" s="18" t="s">
        <v>702</v>
      </c>
      <c r="D1040" s="18" t="s">
        <v>723</v>
      </c>
    </row>
    <row r="1041" customFormat="false" ht="15" hidden="false" customHeight="false" outlineLevel="0" collapsed="false">
      <c r="B1041" s="19" t="s">
        <v>21050</v>
      </c>
      <c r="C1041" s="20" t="n">
        <f aca="false">ROUND(1.56/FX,2)</f>
        <v>0.22</v>
      </c>
      <c r="D1041" s="21" t="s">
        <v>21049</v>
      </c>
    </row>
    <row r="1042" customFormat="false" ht="15" hidden="false" customHeight="false" outlineLevel="0" collapsed="false">
      <c r="B1042" s="19" t="s">
        <v>21051</v>
      </c>
      <c r="C1042" s="20" t="n">
        <f aca="false">ROUND(1.56/FX,2)</f>
        <v>0.22</v>
      </c>
      <c r="D1042" s="21" t="s">
        <v>21052</v>
      </c>
    </row>
    <row r="1043" customFormat="false" ht="15" hidden="false" customHeight="false" outlineLevel="0" collapsed="false">
      <c r="B1043" s="19" t="s">
        <v>21053</v>
      </c>
      <c r="C1043" s="20" t="n">
        <f aca="false">ROUND(1.56/FX,2)</f>
        <v>0.22</v>
      </c>
      <c r="D1043" s="21" t="s">
        <v>21054</v>
      </c>
    </row>
    <row r="1044" customFormat="false" ht="15" hidden="false" customHeight="false" outlineLevel="0" collapsed="false">
      <c r="B1044" s="19" t="s">
        <v>21055</v>
      </c>
      <c r="C1044" s="20" t="n">
        <f aca="false">ROUND(1.56/FX,2)</f>
        <v>0.22</v>
      </c>
      <c r="D1044" s="21" t="s">
        <v>21056</v>
      </c>
    </row>
    <row r="1045" customFormat="false" ht="15" hidden="false" customHeight="false" outlineLevel="0" collapsed="false">
      <c r="B1045" s="19" t="s">
        <v>21057</v>
      </c>
      <c r="C1045" s="20" t="n">
        <f aca="false">ROUND(1.56/FX,2)</f>
        <v>0.22</v>
      </c>
      <c r="D1045" s="21" t="s">
        <v>21058</v>
      </c>
    </row>
    <row r="1046" customFormat="false" ht="15" hidden="false" customHeight="false" outlineLevel="0" collapsed="false">
      <c r="B1046" s="19" t="s">
        <v>21059</v>
      </c>
      <c r="C1046" s="20" t="n">
        <f aca="false">ROUND(1.56/FX,2)</f>
        <v>0.22</v>
      </c>
      <c r="D1046" s="21" t="s">
        <v>21060</v>
      </c>
    </row>
    <row r="1047" customFormat="false" ht="15" hidden="false" customHeight="false" outlineLevel="0" collapsed="false">
      <c r="B1047" s="19" t="s">
        <v>21061</v>
      </c>
      <c r="C1047" s="20" t="n">
        <f aca="false">ROUND(2.6/FX,2)</f>
        <v>0.36</v>
      </c>
      <c r="D1047" s="21" t="s">
        <v>21062</v>
      </c>
    </row>
    <row r="1048" customFormat="false" ht="15" hidden="false" customHeight="false" outlineLevel="0" collapsed="false">
      <c r="B1048" s="19" t="s">
        <v>21063</v>
      </c>
      <c r="C1048" s="20" t="n">
        <f aca="false">ROUND(1.95/FX,2)</f>
        <v>0.27</v>
      </c>
      <c r="D1048" s="21" t="s">
        <v>21064</v>
      </c>
    </row>
    <row r="1049" customFormat="false" ht="15" hidden="false" customHeight="false" outlineLevel="0" collapsed="false">
      <c r="B1049" s="19" t="s">
        <v>21065</v>
      </c>
      <c r="C1049" s="20" t="n">
        <f aca="false">ROUND(3.25/FX,2)</f>
        <v>0.45</v>
      </c>
      <c r="D1049" s="21" t="s">
        <v>21066</v>
      </c>
    </row>
    <row r="1052" customFormat="false" ht="61.5" hidden="false" customHeight="true" outlineLevel="0" collapsed="false">
      <c r="A1052" s="9"/>
      <c r="B1052" s="10" t="s">
        <v>21067</v>
      </c>
      <c r="C1052" s="10"/>
      <c r="D1052" s="10"/>
      <c r="E1052" s="10"/>
      <c r="F1052" s="10"/>
    </row>
    <row r="1053" customFormat="false" ht="15" hidden="false" customHeight="false" outlineLevel="0" collapsed="false">
      <c r="A1053" s="12" t="s">
        <v>700</v>
      </c>
      <c r="B1053" s="13" t="s">
        <v>701</v>
      </c>
      <c r="C1053" s="13" t="s">
        <v>702</v>
      </c>
      <c r="D1053" s="13" t="s">
        <v>723</v>
      </c>
      <c r="E1053" s="13" t="s">
        <v>6328</v>
      </c>
      <c r="F1053" s="13" t="s">
        <v>16136</v>
      </c>
    </row>
    <row r="1054" customFormat="false" ht="30" hidden="false" customHeight="true" outlineLevel="0" collapsed="false">
      <c r="A1054" s="14" t="s">
        <v>706</v>
      </c>
      <c r="B1054" s="15" t="str">
        <f aca="false">IF(COUNTIFS($D$1057:$D$1059,IF(D1054="","*",D1054),$E$1057:$E$1059,IF(E1054="","*",E1054),$F$1057:$F$1059,IF(F1054="","*",F1054))=1,INDEX($B:$B,SUMPRODUCT(((D1054="")+($D$1057:$D$1059=D1054)&gt;0)*((E1054="")+($E$1057:$E$1059=E1054)&gt;0)*((F1054="")+($F$1057:$F$1059=F1054)&gt;0)*ROW($B$1057:$B$1059))),IF(COUNTIFS($D$1057:$D$1059,IF(D1054="","*",D1054),$E$1057:$E$1059,IF(E1054="","*",E1054),$F$1057:$F$1059,IF(F1054="","*",F1054))=0,"Not available",COUNTIFS($D$1057:$D$1059,IF(D1054="","*",D1054),$E$1057:$E$1059,IF(E1054="","*",E1054),$F$1057:$F$1059,IF(F1054="","*",F1054))&amp;" match, keep choosing"))</f>
        <v>EG-002-CBKG-D1MX-DxH2.54DZ</v>
      </c>
      <c r="C1054" s="16" t="n">
        <f aca="false">IF(COUNTIFS($D$1057:$D$1059,IF(D1054="","*",D1054),$E$1057:$E$1059,IF(E1054="","*",E1054),$F$1057:$F$1059,IF(F1054="","*",F1054))=1,INDEX($C:$C,SUMPRODUCT(((D1054="")+($D$1057:$D$1059=D1054)&gt;0)*((E1054="")+($E$1057:$E$1059=E1054)&gt;0)*((F1054="")+($F$1057:$F$1059=F1054)&gt;0)*ROW($B$1057:$B$1059))),"")</f>
        <v>0.29</v>
      </c>
      <c r="D1054" s="17" t="s">
        <v>21068</v>
      </c>
      <c r="E1054" s="17" t="s">
        <v>21069</v>
      </c>
      <c r="F1054" s="17" t="s">
        <v>21070</v>
      </c>
    </row>
    <row r="1056" customFormat="false" ht="15" hidden="false" customHeight="false" outlineLevel="0" collapsed="false">
      <c r="B1056" s="18" t="s">
        <v>701</v>
      </c>
      <c r="C1056" s="18" t="s">
        <v>702</v>
      </c>
      <c r="D1056" s="18" t="s">
        <v>723</v>
      </c>
      <c r="E1056" s="18" t="s">
        <v>6328</v>
      </c>
      <c r="F1056" s="18" t="s">
        <v>16136</v>
      </c>
    </row>
    <row r="1057" customFormat="false" ht="28.35" hidden="false" customHeight="false" outlineLevel="0" collapsed="false">
      <c r="B1057" s="19" t="s">
        <v>21071</v>
      </c>
      <c r="C1057" s="20" t="n">
        <f aca="false">ROUND(2.08/FX,2)</f>
        <v>0.29</v>
      </c>
      <c r="D1057" s="21" t="s">
        <v>21068</v>
      </c>
      <c r="E1057" s="21" t="s">
        <v>21069</v>
      </c>
      <c r="F1057" s="21" t="s">
        <v>21070</v>
      </c>
    </row>
    <row r="1058" customFormat="false" ht="15" hidden="false" customHeight="false" outlineLevel="0" collapsed="false">
      <c r="B1058" s="19" t="s">
        <v>21072</v>
      </c>
      <c r="C1058" s="20" t="n">
        <f aca="false">ROUND(3.25/FX,2)</f>
        <v>0.45</v>
      </c>
      <c r="D1058" s="21" t="s">
        <v>21073</v>
      </c>
      <c r="E1058" s="21" t="s">
        <v>21069</v>
      </c>
      <c r="F1058" s="21" t="s">
        <v>21074</v>
      </c>
    </row>
    <row r="1059" customFormat="false" ht="15" hidden="false" customHeight="false" outlineLevel="0" collapsed="false">
      <c r="B1059" s="19" t="s">
        <v>21075</v>
      </c>
      <c r="C1059" s="20" t="n">
        <f aca="false">ROUND(1.69/FX,2)</f>
        <v>0.23</v>
      </c>
      <c r="D1059" s="21" t="s">
        <v>21068</v>
      </c>
      <c r="E1059" s="21" t="s">
        <v>21076</v>
      </c>
      <c r="F1059" s="21" t="s">
        <v>21074</v>
      </c>
    </row>
    <row r="1062" customFormat="false" ht="61.5" hidden="false" customHeight="true" outlineLevel="0" collapsed="false">
      <c r="A1062" s="9"/>
      <c r="B1062" s="10" t="s">
        <v>21077</v>
      </c>
      <c r="C1062" s="10"/>
      <c r="D1062" s="10"/>
      <c r="E1062" s="10"/>
    </row>
    <row r="1063" customFormat="false" ht="15" hidden="false" customHeight="false" outlineLevel="0" collapsed="false">
      <c r="A1063" s="12" t="s">
        <v>700</v>
      </c>
      <c r="B1063" s="13" t="s">
        <v>701</v>
      </c>
      <c r="C1063" s="13" t="s">
        <v>702</v>
      </c>
      <c r="D1063" s="13" t="s">
        <v>722</v>
      </c>
      <c r="E1063" s="13" t="s">
        <v>723</v>
      </c>
    </row>
    <row r="1064" customFormat="false" ht="30" hidden="false" customHeight="true" outlineLevel="0" collapsed="false">
      <c r="A1064" s="14" t="s">
        <v>706</v>
      </c>
      <c r="B1064" s="15" t="str">
        <f aca="false">IF(COUNTIFS($D$1067:$D$1073,IF(D1064="","*",D1064),$E$1067:$E$1073,IF(E1064="","*",E1064))=1,INDEX($B:$B,SUMPRODUCT(((D1064="")+($D$1067:$D$1073=D1064)&gt;0)*((E1064="")+($E$1067:$E$1073=E1064)&gt;0)*ROW($B$1067:$B$1073))),IF(COUNTIFS($D$1067:$D$1073,IF(D1064="","*",D1064),$E$1067:$E$1073,IF(E1064="","*",E1064))=0,"Not available",COUNTIFS($D$1067:$D$1073,IF(D1064="","*",D1064),$E$1067:$E$1073,IF(E1064="","*",E1064))&amp;" match, keep choosing"))</f>
        <v>EG-047-BK-AJ-BDB</v>
      </c>
      <c r="C1064" s="16" t="n">
        <f aca="false">IF(COUNTIFS($D$1067:$D$1073,IF(D1064="","*",D1064),$E$1067:$E$1073,IF(E1064="","*",E1064))=1,INDEX($C:$C,SUMPRODUCT(((D1064="")+($D$1067:$D$1073=D1064)&gt;0)*((E1064="")+($E$1067:$E$1073=E1064)&gt;0)*ROW($B$1067:$B$1073))),"")</f>
        <v>0.05</v>
      </c>
      <c r="D1064" s="17" t="s">
        <v>724</v>
      </c>
      <c r="E1064" s="17" t="s">
        <v>21078</v>
      </c>
    </row>
    <row r="1066" customFormat="false" ht="15" hidden="false" customHeight="false" outlineLevel="0" collapsed="false">
      <c r="B1066" s="18" t="s">
        <v>701</v>
      </c>
      <c r="C1066" s="18" t="s">
        <v>702</v>
      </c>
      <c r="D1066" s="18" t="s">
        <v>722</v>
      </c>
      <c r="E1066" s="18" t="s">
        <v>723</v>
      </c>
    </row>
    <row r="1067" customFormat="false" ht="15" hidden="false" customHeight="false" outlineLevel="0" collapsed="false">
      <c r="B1067" s="19" t="s">
        <v>21079</v>
      </c>
      <c r="C1067" s="20" t="n">
        <f aca="false">ROUND(0.33/FX,2)</f>
        <v>0.05</v>
      </c>
      <c r="D1067" s="21" t="s">
        <v>724</v>
      </c>
      <c r="E1067" s="21" t="s">
        <v>21078</v>
      </c>
    </row>
    <row r="1068" customFormat="false" ht="15" hidden="false" customHeight="false" outlineLevel="0" collapsed="false">
      <c r="B1068" s="19" t="s">
        <v>21080</v>
      </c>
      <c r="C1068" s="20" t="n">
        <f aca="false">ROUND(0.44/FX,2)</f>
        <v>0.06</v>
      </c>
      <c r="D1068" s="21" t="s">
        <v>6336</v>
      </c>
      <c r="E1068" s="21" t="s">
        <v>21081</v>
      </c>
    </row>
    <row r="1069" customFormat="false" ht="15" hidden="false" customHeight="false" outlineLevel="0" collapsed="false">
      <c r="B1069" s="19" t="s">
        <v>21082</v>
      </c>
      <c r="C1069" s="20" t="n">
        <f aca="false">ROUND(0.41/FX,2)</f>
        <v>0.06</v>
      </c>
      <c r="D1069" s="21" t="s">
        <v>6336</v>
      </c>
      <c r="E1069" s="21" t="s">
        <v>21083</v>
      </c>
    </row>
    <row r="1070" customFormat="false" ht="15" hidden="false" customHeight="false" outlineLevel="0" collapsed="false">
      <c r="B1070" s="19" t="s">
        <v>21084</v>
      </c>
      <c r="C1070" s="20" t="n">
        <f aca="false">ROUND(0.43/FX,2)</f>
        <v>0.06</v>
      </c>
      <c r="D1070" s="21" t="s">
        <v>6336</v>
      </c>
      <c r="E1070" s="21" t="s">
        <v>21085</v>
      </c>
    </row>
    <row r="1071" customFormat="false" ht="28.35" hidden="false" customHeight="false" outlineLevel="0" collapsed="false">
      <c r="B1071" s="19" t="s">
        <v>21086</v>
      </c>
      <c r="C1071" s="20" t="n">
        <f aca="false">ROUND(0.46/FX,2)</f>
        <v>0.06</v>
      </c>
      <c r="D1071" s="21" t="s">
        <v>6336</v>
      </c>
      <c r="E1071" s="21" t="s">
        <v>21087</v>
      </c>
    </row>
    <row r="1072" customFormat="false" ht="15" hidden="false" customHeight="false" outlineLevel="0" collapsed="false">
      <c r="B1072" s="19" t="s">
        <v>21088</v>
      </c>
      <c r="C1072" s="20" t="n">
        <f aca="false">ROUND(0.33/FX,2)</f>
        <v>0.05</v>
      </c>
      <c r="D1072" s="21" t="s">
        <v>6362</v>
      </c>
      <c r="E1072" s="21" t="s">
        <v>21078</v>
      </c>
    </row>
    <row r="1073" customFormat="false" ht="15" hidden="false" customHeight="false" outlineLevel="0" collapsed="false">
      <c r="B1073" s="19" t="s">
        <v>21089</v>
      </c>
      <c r="C1073" s="20" t="n">
        <f aca="false">ROUND(5/FX,2)</f>
        <v>0.69</v>
      </c>
      <c r="D1073" s="21" t="s">
        <v>6336</v>
      </c>
      <c r="E1073" s="21" t="s">
        <v>21090</v>
      </c>
    </row>
    <row r="1076" customFormat="false" ht="61.5" hidden="false" customHeight="true" outlineLevel="0" collapsed="false">
      <c r="A1076" s="9"/>
      <c r="B1076" s="10" t="s">
        <v>21091</v>
      </c>
      <c r="C1076" s="10"/>
      <c r="D1076" s="10"/>
    </row>
    <row r="1077" customFormat="false" ht="15" hidden="false" customHeight="false" outlineLevel="0" collapsed="false">
      <c r="A1077" s="12" t="s">
        <v>700</v>
      </c>
      <c r="B1077" s="13" t="s">
        <v>701</v>
      </c>
      <c r="C1077" s="13" t="s">
        <v>702</v>
      </c>
      <c r="D1077" s="13" t="s">
        <v>723</v>
      </c>
    </row>
    <row r="1078" customFormat="false" ht="30" hidden="false" customHeight="true" outlineLevel="0" collapsed="false">
      <c r="A1078" s="14" t="s">
        <v>706</v>
      </c>
      <c r="B1078" s="15" t="str">
        <f aca="false">IF(COUNTIFS($D$1081:$D$1082,IF(D1078="","*",D1078))=1,INDEX($B:$B,SUMPRODUCT(((D1078="")+($D$1081:$D$1082=D1078)&gt;0)*ROW($B$1081:$B$1082))),IF(COUNTIFS($D$1081:$D$1082,IF(D1078="","*",D1078))=0,"Not available",COUNTIFS($D$1081:$D$1082,IF(D1078="","*",D1078))&amp;" match, keep choosing"))</f>
        <v>EG-038</v>
      </c>
      <c r="C1078" s="16" t="n">
        <f aca="false">IF(COUNTIFS($D$1081:$D$1082,IF(D1078="","*",D1078))=1,INDEX($C:$C,SUMPRODUCT(((D1078="")+($D$1081:$D$1082=D1078)&gt;0)*ROW($B$1081:$B$1082))),"")</f>
        <v>0.45</v>
      </c>
      <c r="D1078" s="17" t="s">
        <v>21092</v>
      </c>
    </row>
    <row r="1080" customFormat="false" ht="15" hidden="false" customHeight="false" outlineLevel="0" collapsed="false">
      <c r="B1080" s="18" t="s">
        <v>701</v>
      </c>
      <c r="C1080" s="18" t="s">
        <v>702</v>
      </c>
      <c r="D1080" s="18" t="s">
        <v>723</v>
      </c>
    </row>
    <row r="1081" customFormat="false" ht="15" hidden="false" customHeight="false" outlineLevel="0" collapsed="false">
      <c r="B1081" s="19" t="s">
        <v>21093</v>
      </c>
      <c r="C1081" s="20" t="n">
        <f aca="false">ROUND(3.25/FX,2)</f>
        <v>0.45</v>
      </c>
      <c r="D1081" s="21" t="s">
        <v>21092</v>
      </c>
    </row>
    <row r="1082" customFormat="false" ht="15" hidden="false" customHeight="false" outlineLevel="0" collapsed="false">
      <c r="B1082" s="19" t="s">
        <v>21094</v>
      </c>
      <c r="C1082" s="20" t="n">
        <f aca="false">ROUND(3.5/FX,2)</f>
        <v>0.49</v>
      </c>
      <c r="D1082" s="21" t="s">
        <v>21095</v>
      </c>
    </row>
    <row r="1085" customFormat="false" ht="61.5" hidden="false" customHeight="true" outlineLevel="0" collapsed="false">
      <c r="A1085" s="9"/>
      <c r="B1085" s="10" t="s">
        <v>21096</v>
      </c>
      <c r="C1085" s="10"/>
      <c r="D1085" s="10"/>
    </row>
    <row r="1086" customFormat="false" ht="15" hidden="false" customHeight="false" outlineLevel="0" collapsed="false">
      <c r="A1086" s="12" t="s">
        <v>700</v>
      </c>
      <c r="B1086" s="13" t="s">
        <v>701</v>
      </c>
      <c r="C1086" s="13" t="s">
        <v>702</v>
      </c>
      <c r="D1086" s="13" t="s">
        <v>723</v>
      </c>
    </row>
    <row r="1087" customFormat="false" ht="30" hidden="false" customHeight="true" outlineLevel="0" collapsed="false">
      <c r="A1087" s="14" t="s">
        <v>706</v>
      </c>
      <c r="B1087" s="15" t="str">
        <f aca="false">IF(COUNTIFS($D$1090:$D$1091,IF(D1087="","*",D1087))=1,INDEX($B:$B,SUMPRODUCT(((D1087="")+($D$1090:$D$1091=D1087)&gt;0)*ROW($B$1090:$B$1091))),IF(COUNTIFS($D$1090:$D$1091,IF(D1087="","*",D1087))=0,"Not available",COUNTIFS($D$1090:$D$1091,IF(D1087="","*",D1087))&amp;" match, keep choosing"))</f>
        <v>EG-039-K1</v>
      </c>
      <c r="C1087" s="16" t="n">
        <f aca="false">IF(COUNTIFS($D$1090:$D$1091,IF(D1087="","*",D1087))=1,INDEX($C:$C,SUMPRODUCT(((D1087="")+($D$1090:$D$1091=D1087)&gt;0)*ROW($B$1090:$B$1091))),"")</f>
        <v>1.53</v>
      </c>
      <c r="D1087" s="17" t="s">
        <v>21097</v>
      </c>
    </row>
    <row r="1089" customFormat="false" ht="15" hidden="false" customHeight="false" outlineLevel="0" collapsed="false">
      <c r="B1089" s="18" t="s">
        <v>701</v>
      </c>
      <c r="C1089" s="18" t="s">
        <v>702</v>
      </c>
      <c r="D1089" s="18" t="s">
        <v>723</v>
      </c>
    </row>
    <row r="1090" customFormat="false" ht="15" hidden="false" customHeight="false" outlineLevel="0" collapsed="false">
      <c r="B1090" s="19" t="s">
        <v>21098</v>
      </c>
      <c r="C1090" s="20" t="n">
        <f aca="false">ROUND(11.05/FX,2)</f>
        <v>1.53</v>
      </c>
      <c r="D1090" s="21" t="s">
        <v>21097</v>
      </c>
    </row>
    <row r="1091" customFormat="false" ht="15" hidden="false" customHeight="false" outlineLevel="0" collapsed="false">
      <c r="B1091" s="19" t="s">
        <v>21099</v>
      </c>
      <c r="C1091" s="20" t="n">
        <f aca="false">ROUND(17.55/FX,2)</f>
        <v>2.44</v>
      </c>
      <c r="D1091" s="21" t="s">
        <v>21100</v>
      </c>
    </row>
    <row r="1094" customFormat="false" ht="61.5" hidden="false" customHeight="true" outlineLevel="0" collapsed="false">
      <c r="A1094" s="9"/>
      <c r="B1094" s="10" t="s">
        <v>21101</v>
      </c>
      <c r="C1094" s="10"/>
      <c r="D1094" s="10"/>
    </row>
    <row r="1095" customFormat="false" ht="15" hidden="false" customHeight="false" outlineLevel="0" collapsed="false">
      <c r="B1095" s="18" t="s">
        <v>701</v>
      </c>
      <c r="C1095" s="18" t="s">
        <v>702</v>
      </c>
      <c r="D1095" s="18" t="s">
        <v>5610</v>
      </c>
    </row>
    <row r="1096" customFormat="false" ht="15" hidden="false" customHeight="false" outlineLevel="0" collapsed="false">
      <c r="B1096" s="19" t="s">
        <v>21102</v>
      </c>
      <c r="C1096" s="20" t="n">
        <f aca="false">ROUND(2.8/FX,2)</f>
        <v>0.39</v>
      </c>
      <c r="D1096" s="22" t="s">
        <v>5612</v>
      </c>
    </row>
    <row r="1099" customFormat="false" ht="61.5" hidden="false" customHeight="true" outlineLevel="0" collapsed="false">
      <c r="A1099" s="9"/>
      <c r="B1099" s="10" t="s">
        <v>21103</v>
      </c>
      <c r="C1099" s="10"/>
      <c r="D1099" s="10"/>
    </row>
    <row r="1100" customFormat="false" ht="15" hidden="false" customHeight="false" outlineLevel="0" collapsed="false">
      <c r="B1100" s="18" t="s">
        <v>701</v>
      </c>
      <c r="C1100" s="18" t="s">
        <v>702</v>
      </c>
      <c r="D1100" s="18" t="s">
        <v>5610</v>
      </c>
    </row>
    <row r="1101" customFormat="false" ht="15" hidden="false" customHeight="false" outlineLevel="0" collapsed="false">
      <c r="B1101" s="19" t="s">
        <v>21104</v>
      </c>
      <c r="C1101" s="20" t="n">
        <f aca="false">ROUND(4.03/FX,2)</f>
        <v>0.56</v>
      </c>
      <c r="D1101" s="22" t="s">
        <v>5612</v>
      </c>
    </row>
    <row r="1104" customFormat="false" ht="61.5" hidden="false" customHeight="true" outlineLevel="0" collapsed="false">
      <c r="A1104" s="9"/>
      <c r="B1104" s="10" t="s">
        <v>21105</v>
      </c>
      <c r="C1104" s="10"/>
      <c r="D1104" s="10"/>
    </row>
    <row r="1105" customFormat="false" ht="15" hidden="false" customHeight="false" outlineLevel="0" collapsed="false">
      <c r="B1105" s="18" t="s">
        <v>701</v>
      </c>
      <c r="C1105" s="18" t="s">
        <v>702</v>
      </c>
      <c r="D1105" s="18" t="s">
        <v>5610</v>
      </c>
    </row>
    <row r="1106" customFormat="false" ht="15" hidden="false" customHeight="false" outlineLevel="0" collapsed="false">
      <c r="B1106" s="19" t="s">
        <v>21106</v>
      </c>
      <c r="C1106" s="20" t="n">
        <f aca="false">ROUND(0.3/FX,2)</f>
        <v>0.04</v>
      </c>
      <c r="D1106" s="22" t="s">
        <v>5612</v>
      </c>
    </row>
    <row r="1109" customFormat="false" ht="61.5" hidden="false" customHeight="true" outlineLevel="0" collapsed="false">
      <c r="A1109" s="9"/>
      <c r="B1109" s="10" t="s">
        <v>21107</v>
      </c>
      <c r="C1109" s="10"/>
      <c r="D1109" s="10"/>
    </row>
    <row r="1110" customFormat="false" ht="15" hidden="false" customHeight="false" outlineLevel="0" collapsed="false">
      <c r="A1110" s="12" t="s">
        <v>700</v>
      </c>
      <c r="B1110" s="13" t="s">
        <v>701</v>
      </c>
      <c r="C1110" s="13" t="s">
        <v>702</v>
      </c>
      <c r="D1110" s="13" t="s">
        <v>723</v>
      </c>
    </row>
    <row r="1111" customFormat="false" ht="30" hidden="false" customHeight="true" outlineLevel="0" collapsed="false">
      <c r="A1111" s="14" t="s">
        <v>706</v>
      </c>
      <c r="B1111" s="15" t="str">
        <f aca="false">IF(COUNTIFS($D$1114:$D$1115,IF(D1111="","*",D1111))=1,INDEX($B:$B,SUMPRODUCT(((D1111="")+($D$1114:$D$1115=D1111)&gt;0)*ROW($B$1114:$B$1115))),IF(COUNTIFS($D$1114:$D$1115,IF(D1111="","*",D1111))=0,"Not available",COUNTIFS($D$1114:$D$1115,IF(D1111="","*",D1111))&amp;" match, keep choosing"))</f>
        <v>EG-062-CU</v>
      </c>
      <c r="C1111" s="16" t="n">
        <f aca="false">IF(COUNTIFS($D$1114:$D$1115,IF(D1111="","*",D1111))=1,INDEX($C:$C,SUMPRODUCT(((D1111="")+($D$1114:$D$1115=D1111)&gt;0)*ROW($B$1114:$B$1115))),"")</f>
        <v>0.08</v>
      </c>
      <c r="D1111" s="17" t="s">
        <v>21108</v>
      </c>
    </row>
    <row r="1113" customFormat="false" ht="15" hidden="false" customHeight="false" outlineLevel="0" collapsed="false">
      <c r="B1113" s="18" t="s">
        <v>701</v>
      </c>
      <c r="C1113" s="18" t="s">
        <v>702</v>
      </c>
      <c r="D1113" s="18" t="s">
        <v>723</v>
      </c>
    </row>
    <row r="1114" customFormat="false" ht="15" hidden="false" customHeight="false" outlineLevel="0" collapsed="false">
      <c r="B1114" s="19" t="s">
        <v>21109</v>
      </c>
      <c r="C1114" s="20" t="n">
        <f aca="false">ROUND(0.59/FX,2)</f>
        <v>0.08</v>
      </c>
      <c r="D1114" s="21" t="s">
        <v>21108</v>
      </c>
    </row>
    <row r="1115" customFormat="false" ht="15" hidden="false" customHeight="false" outlineLevel="0" collapsed="false">
      <c r="B1115" s="19" t="s">
        <v>21110</v>
      </c>
      <c r="C1115" s="20" t="n">
        <f aca="false">ROUND(0.43/FX,2)</f>
        <v>0.06</v>
      </c>
      <c r="D1115" s="21" t="s">
        <v>21111</v>
      </c>
    </row>
    <row r="1118" customFormat="false" ht="61.5" hidden="false" customHeight="true" outlineLevel="0" collapsed="false">
      <c r="A1118" s="9"/>
      <c r="B1118" s="10" t="s">
        <v>21112</v>
      </c>
      <c r="C1118" s="10"/>
      <c r="D1118" s="10"/>
      <c r="E1118" s="10"/>
      <c r="F1118" s="10"/>
    </row>
    <row r="1119" customFormat="false" ht="15" hidden="false" customHeight="false" outlineLevel="0" collapsed="false">
      <c r="A1119" s="12" t="s">
        <v>700</v>
      </c>
      <c r="B1119" s="13" t="s">
        <v>701</v>
      </c>
      <c r="C1119" s="13" t="s">
        <v>702</v>
      </c>
      <c r="D1119" s="13" t="s">
        <v>722</v>
      </c>
      <c r="E1119" s="13" t="s">
        <v>5610</v>
      </c>
      <c r="F1119" s="13" t="s">
        <v>723</v>
      </c>
    </row>
    <row r="1120" customFormat="false" ht="30" hidden="false" customHeight="true" outlineLevel="0" collapsed="false">
      <c r="A1120" s="14" t="s">
        <v>706</v>
      </c>
      <c r="B1120" s="15" t="str">
        <f aca="false">IF(COUNTIFS($D$1123:$D$1129,IF(D1120="","*",D1120),$E$1123:$E$1129,IF(E1120="","*",E1120),$F$1123:$F$1129,IF(F1120="","*",F1120))=1,INDEX($B:$B,SUMPRODUCT(((D1120="")+($D$1123:$D$1129=D1120)&gt;0)*((E1120="")+($E$1123:$E$1129=E1120)&gt;0)*((F1120="")+($F$1123:$F$1129=F1120)&gt;0)*ROW($B$1123:$B$1129))),IF(COUNTIFS($D$1123:$D$1129,IF(D1120="","*",D1120),$E$1123:$E$1129,IF(E1120="","*",E1120),$F$1123:$F$1129,IF(F1120="","*",F1120))=0,"Not available",COUNTIFS($D$1123:$D$1129,IF(D1120="","*",D1120),$E$1123:$E$1129,IF(E1120="","*",E1120),$F$1123:$F$1129,IF(F1120="","*",F1120))&amp;" match, keep choosing"))</f>
        <v>EG-029-BK-AK-1.75</v>
      </c>
      <c r="C1120" s="16" t="n">
        <f aca="false">IF(COUNTIFS($D$1123:$D$1129,IF(D1120="","*",D1120),$E$1123:$E$1129,IF(E1120="","*",E1120),$F$1123:$F$1129,IF(F1120="","*",F1120))=1,INDEX($C:$C,SUMPRODUCT(((D1120="")+($D$1123:$D$1129=D1120)&gt;0)*((E1120="")+($E$1123:$E$1129=E1120)&gt;0)*((F1120="")+($F$1123:$F$1129=F1120)&gt;0)*ROW($B$1123:$B$1129))),"")</f>
        <v>1.08</v>
      </c>
      <c r="D1120" s="17" t="s">
        <v>724</v>
      </c>
      <c r="E1120" s="17" t="s">
        <v>21113</v>
      </c>
      <c r="F1120" s="17" t="s">
        <v>7941</v>
      </c>
    </row>
    <row r="1122" customFormat="false" ht="15" hidden="false" customHeight="false" outlineLevel="0" collapsed="false">
      <c r="B1122" s="18" t="s">
        <v>701</v>
      </c>
      <c r="C1122" s="18" t="s">
        <v>702</v>
      </c>
      <c r="D1122" s="18" t="s">
        <v>722</v>
      </c>
      <c r="E1122" s="18" t="s">
        <v>5610</v>
      </c>
      <c r="F1122" s="18" t="s">
        <v>723</v>
      </c>
    </row>
    <row r="1123" customFormat="false" ht="15" hidden="false" customHeight="false" outlineLevel="0" collapsed="false">
      <c r="B1123" s="19" t="s">
        <v>21114</v>
      </c>
      <c r="C1123" s="20" t="n">
        <f aca="false">ROUND(7.8/FX,2)</f>
        <v>1.08</v>
      </c>
      <c r="D1123" s="21" t="s">
        <v>724</v>
      </c>
      <c r="E1123" s="21" t="s">
        <v>21113</v>
      </c>
      <c r="F1123" s="21" t="s">
        <v>7941</v>
      </c>
    </row>
    <row r="1124" customFormat="false" ht="15" hidden="false" customHeight="false" outlineLevel="0" collapsed="false">
      <c r="B1124" s="19" t="s">
        <v>21115</v>
      </c>
      <c r="C1124" s="20" t="n">
        <f aca="false">ROUND(7.8/FX,2)</f>
        <v>1.08</v>
      </c>
      <c r="D1124" s="21" t="s">
        <v>724</v>
      </c>
      <c r="E1124" s="21" t="s">
        <v>21116</v>
      </c>
      <c r="F1124" s="21" t="s">
        <v>7941</v>
      </c>
    </row>
    <row r="1125" customFormat="false" ht="15" hidden="false" customHeight="false" outlineLevel="0" collapsed="false">
      <c r="B1125" s="19" t="s">
        <v>21117</v>
      </c>
      <c r="C1125" s="20" t="n">
        <f aca="false">ROUND(5.19/FX,2)</f>
        <v>0.72</v>
      </c>
      <c r="D1125" s="21" t="s">
        <v>724</v>
      </c>
      <c r="E1125" s="21" t="s">
        <v>21113</v>
      </c>
      <c r="F1125" s="21" t="s">
        <v>7939</v>
      </c>
    </row>
    <row r="1126" customFormat="false" ht="15" hidden="false" customHeight="false" outlineLevel="0" collapsed="false">
      <c r="B1126" s="19" t="s">
        <v>21118</v>
      </c>
      <c r="C1126" s="20" t="n">
        <f aca="false">ROUND(6.67/FX,2)</f>
        <v>0.93</v>
      </c>
      <c r="D1126" s="21" t="s">
        <v>6369</v>
      </c>
      <c r="E1126" s="21" t="s">
        <v>21113</v>
      </c>
      <c r="F1126" s="21" t="s">
        <v>7941</v>
      </c>
    </row>
    <row r="1127" customFormat="false" ht="15" hidden="false" customHeight="false" outlineLevel="0" collapsed="false">
      <c r="B1127" s="19" t="s">
        <v>21119</v>
      </c>
      <c r="C1127" s="20" t="n">
        <f aca="false">ROUND(7.8/FX,2)</f>
        <v>1.08</v>
      </c>
      <c r="D1127" s="21" t="s">
        <v>751</v>
      </c>
      <c r="E1127" s="21" t="s">
        <v>21113</v>
      </c>
      <c r="F1127" s="21" t="s">
        <v>7941</v>
      </c>
    </row>
    <row r="1128" customFormat="false" ht="15" hidden="false" customHeight="false" outlineLevel="0" collapsed="false">
      <c r="B1128" s="19" t="s">
        <v>21120</v>
      </c>
      <c r="C1128" s="20" t="n">
        <f aca="false">ROUND(7.8/FX,2)</f>
        <v>1.08</v>
      </c>
      <c r="D1128" s="21" t="s">
        <v>751</v>
      </c>
      <c r="E1128" s="21" t="s">
        <v>21116</v>
      </c>
      <c r="F1128" s="21" t="s">
        <v>7941</v>
      </c>
    </row>
    <row r="1129" customFormat="false" ht="15" hidden="false" customHeight="false" outlineLevel="0" collapsed="false">
      <c r="B1129" s="19" t="s">
        <v>21121</v>
      </c>
      <c r="C1129" s="20" t="n">
        <f aca="false">ROUND(5.72/FX,2)</f>
        <v>0.79</v>
      </c>
      <c r="D1129" s="21" t="s">
        <v>751</v>
      </c>
      <c r="E1129" s="21" t="s">
        <v>21113</v>
      </c>
      <c r="F1129" s="21" t="s">
        <v>7939</v>
      </c>
    </row>
    <row r="1132" customFormat="false" ht="61.5" hidden="false" customHeight="true" outlineLevel="0" collapsed="false">
      <c r="A1132" s="9"/>
      <c r="B1132" s="10" t="s">
        <v>21122</v>
      </c>
      <c r="C1132" s="10"/>
      <c r="D1132" s="10"/>
    </row>
    <row r="1133" customFormat="false" ht="15" hidden="false" customHeight="false" outlineLevel="0" collapsed="false">
      <c r="A1133" s="12" t="s">
        <v>700</v>
      </c>
      <c r="B1133" s="13" t="s">
        <v>701</v>
      </c>
      <c r="C1133" s="13" t="s">
        <v>702</v>
      </c>
      <c r="D1133" s="13" t="s">
        <v>722</v>
      </c>
    </row>
    <row r="1134" customFormat="false" ht="30" hidden="false" customHeight="true" outlineLevel="0" collapsed="false">
      <c r="A1134" s="14" t="s">
        <v>706</v>
      </c>
      <c r="B1134" s="15" t="str">
        <f aca="false">IF(COUNTIFS($D$1137:$D$1138,IF(D1134="","*",D1134))=1,INDEX($B:$B,SUMPRODUCT(((D1134="")+($D$1137:$D$1138=D1134)&gt;0)*ROW($B$1137:$B$1138))),IF(COUNTIFS($D$1137:$D$1138,IF(D1134="","*",D1134))=0,"Not available",COUNTIFS($D$1137:$D$1138,IF(D1134="","*",D1134))&amp;" match, keep choosing"))</f>
        <v>EG-036-BK</v>
      </c>
      <c r="C1134" s="16" t="n">
        <f aca="false">IF(COUNTIFS($D$1137:$D$1138,IF(D1134="","*",D1134))=1,INDEX($C:$C,SUMPRODUCT(((D1134="")+($D$1137:$D$1138=D1134)&gt;0)*ROW($B$1137:$B$1138))),"")</f>
        <v>0.51</v>
      </c>
      <c r="D1134" s="17" t="s">
        <v>724</v>
      </c>
    </row>
    <row r="1136" customFormat="false" ht="15" hidden="false" customHeight="false" outlineLevel="0" collapsed="false">
      <c r="B1136" s="18" t="s">
        <v>701</v>
      </c>
      <c r="C1136" s="18" t="s">
        <v>702</v>
      </c>
      <c r="D1136" s="18" t="s">
        <v>722</v>
      </c>
    </row>
    <row r="1137" customFormat="false" ht="15" hidden="false" customHeight="false" outlineLevel="0" collapsed="false">
      <c r="B1137" s="19" t="s">
        <v>21123</v>
      </c>
      <c r="C1137" s="20" t="n">
        <f aca="false">ROUND(3.64/FX,2)</f>
        <v>0.51</v>
      </c>
      <c r="D1137" s="21" t="s">
        <v>724</v>
      </c>
    </row>
    <row r="1138" customFormat="false" ht="15" hidden="false" customHeight="false" outlineLevel="0" collapsed="false">
      <c r="B1138" s="19" t="s">
        <v>21124</v>
      </c>
      <c r="C1138" s="20" t="n">
        <f aca="false">ROUND(2.1/FX,2)</f>
        <v>0.29</v>
      </c>
      <c r="D1138" s="21" t="s">
        <v>6362</v>
      </c>
    </row>
    <row r="1141" customFormat="false" ht="61.5" hidden="false" customHeight="true" outlineLevel="0" collapsed="false">
      <c r="A1141" s="9"/>
      <c r="B1141" s="10" t="s">
        <v>21125</v>
      </c>
      <c r="C1141" s="10"/>
      <c r="D1141" s="10"/>
    </row>
    <row r="1142" customFormat="false" ht="15" hidden="false" customHeight="false" outlineLevel="0" collapsed="false">
      <c r="A1142" s="12" t="s">
        <v>700</v>
      </c>
      <c r="B1142" s="13" t="s">
        <v>701</v>
      </c>
      <c r="C1142" s="13" t="s">
        <v>702</v>
      </c>
      <c r="D1142" s="13" t="s">
        <v>723</v>
      </c>
    </row>
    <row r="1143" customFormat="false" ht="30" hidden="false" customHeight="true" outlineLevel="0" collapsed="false">
      <c r="A1143" s="14" t="s">
        <v>706</v>
      </c>
      <c r="B1143" s="15" t="str">
        <f aca="false">IF(COUNTIFS($D$1146:$D$1154,IF(D1143="","*",D1143))=1,INDEX($B:$B,SUMPRODUCT(((D1143="")+($D$1146:$D$1154=D1143)&gt;0)*ROW($B$1146:$B$1154))),IF(COUNTIFS($D$1146:$D$1154,IF(D1143="","*",D1143))=0,"Not available",COUNTIFS($D$1146:$D$1154,IF(D1143="","*",D1143))&amp;" match, keep choosing"))</f>
        <v>EG-024-JL-EX-CK-LJ18A3-8-JEZ</v>
      </c>
      <c r="C1143" s="16" t="n">
        <f aca="false">IF(COUNTIFS($D$1146:$D$1154,IF(D1143="","*",D1143))=1,INDEX($C:$C,SUMPRODUCT(((D1143="")+($D$1146:$D$1154=D1143)&gt;0)*ROW($B$1146:$B$1154))),"")</f>
        <v>1.06</v>
      </c>
      <c r="D1143" s="17" t="s">
        <v>21126</v>
      </c>
    </row>
    <row r="1145" customFormat="false" ht="15" hidden="false" customHeight="false" outlineLevel="0" collapsed="false">
      <c r="B1145" s="18" t="s">
        <v>701</v>
      </c>
      <c r="C1145" s="18" t="s">
        <v>702</v>
      </c>
      <c r="D1145" s="18" t="s">
        <v>723</v>
      </c>
    </row>
    <row r="1146" customFormat="false" ht="28.35" hidden="false" customHeight="false" outlineLevel="0" collapsed="false">
      <c r="B1146" s="19" t="s">
        <v>21127</v>
      </c>
      <c r="C1146" s="20" t="n">
        <f aca="false">ROUND(7.61/FX,2)</f>
        <v>1.06</v>
      </c>
      <c r="D1146" s="21" t="s">
        <v>21126</v>
      </c>
    </row>
    <row r="1147" customFormat="false" ht="15" hidden="false" customHeight="false" outlineLevel="0" collapsed="false">
      <c r="B1147" s="19" t="s">
        <v>21128</v>
      </c>
      <c r="C1147" s="20" t="n">
        <f aca="false">ROUND(6.5/FX,2)</f>
        <v>0.9</v>
      </c>
      <c r="D1147" s="21" t="s">
        <v>21129</v>
      </c>
    </row>
    <row r="1148" customFormat="false" ht="15" hidden="false" customHeight="false" outlineLevel="0" collapsed="false">
      <c r="B1148" s="19" t="s">
        <v>21130</v>
      </c>
      <c r="C1148" s="20" t="n">
        <f aca="false">ROUND(6.5/FX,2)</f>
        <v>0.9</v>
      </c>
      <c r="D1148" s="21" t="s">
        <v>21131</v>
      </c>
    </row>
    <row r="1149" customFormat="false" ht="15" hidden="false" customHeight="false" outlineLevel="0" collapsed="false">
      <c r="B1149" s="19" t="s">
        <v>21132</v>
      </c>
      <c r="C1149" s="20" t="n">
        <f aca="false">ROUND(5.85/FX,2)</f>
        <v>0.81</v>
      </c>
      <c r="D1149" s="21" t="s">
        <v>21133</v>
      </c>
    </row>
    <row r="1150" customFormat="false" ht="15" hidden="false" customHeight="false" outlineLevel="0" collapsed="false">
      <c r="B1150" s="19" t="s">
        <v>21134</v>
      </c>
      <c r="C1150" s="20" t="n">
        <f aca="false">ROUND(5.85/FX,2)</f>
        <v>0.81</v>
      </c>
      <c r="D1150" s="21" t="s">
        <v>21135</v>
      </c>
    </row>
    <row r="1151" customFormat="false" ht="15" hidden="false" customHeight="false" outlineLevel="0" collapsed="false">
      <c r="B1151" s="19" t="s">
        <v>21136</v>
      </c>
      <c r="C1151" s="20" t="n">
        <f aca="false">ROUND(5.85/FX,2)</f>
        <v>0.81</v>
      </c>
      <c r="D1151" s="21" t="s">
        <v>21137</v>
      </c>
    </row>
    <row r="1152" customFormat="false" ht="15" hidden="false" customHeight="false" outlineLevel="0" collapsed="false">
      <c r="B1152" s="19" t="s">
        <v>21138</v>
      </c>
      <c r="C1152" s="20" t="n">
        <f aca="false">ROUND(6.5/FX,2)</f>
        <v>0.9</v>
      </c>
      <c r="D1152" s="21" t="s">
        <v>21139</v>
      </c>
    </row>
    <row r="1153" customFormat="false" ht="15" hidden="false" customHeight="false" outlineLevel="0" collapsed="false">
      <c r="B1153" s="19" t="s">
        <v>21140</v>
      </c>
      <c r="C1153" s="20" t="n">
        <f aca="false">ROUND(8.45/FX,2)</f>
        <v>1.17</v>
      </c>
      <c r="D1153" s="21" t="s">
        <v>21141</v>
      </c>
    </row>
    <row r="1154" customFormat="false" ht="15" hidden="false" customHeight="false" outlineLevel="0" collapsed="false">
      <c r="B1154" s="19" t="s">
        <v>21142</v>
      </c>
      <c r="C1154" s="20" t="n">
        <f aca="false">ROUND(7.8/FX,2)</f>
        <v>1.08</v>
      </c>
      <c r="D1154" s="21" t="s">
        <v>21143</v>
      </c>
    </row>
    <row r="1157" customFormat="false" ht="61.5" hidden="false" customHeight="true" outlineLevel="0" collapsed="false">
      <c r="A1157" s="9"/>
      <c r="B1157" s="10" t="s">
        <v>21144</v>
      </c>
      <c r="C1157" s="10"/>
      <c r="D1157" s="10"/>
    </row>
    <row r="1158" customFormat="false" ht="15" hidden="false" customHeight="false" outlineLevel="0" collapsed="false">
      <c r="B1158" s="18" t="s">
        <v>701</v>
      </c>
      <c r="C1158" s="18" t="s">
        <v>702</v>
      </c>
      <c r="D1158" s="18" t="s">
        <v>5610</v>
      </c>
    </row>
    <row r="1159" customFormat="false" ht="15" hidden="false" customHeight="false" outlineLevel="0" collapsed="false">
      <c r="B1159" s="19" t="s">
        <v>21145</v>
      </c>
      <c r="C1159" s="20" t="n">
        <f aca="false">ROUND(3.12/FX,2)</f>
        <v>0.43</v>
      </c>
      <c r="D1159" s="22" t="s">
        <v>5612</v>
      </c>
    </row>
    <row r="1162" customFormat="false" ht="61.5" hidden="false" customHeight="true" outlineLevel="0" collapsed="false">
      <c r="A1162" s="9"/>
      <c r="B1162" s="10" t="s">
        <v>21146</v>
      </c>
      <c r="C1162" s="10"/>
      <c r="D1162" s="10"/>
      <c r="E1162" s="10"/>
    </row>
    <row r="1163" customFormat="false" ht="15" hidden="false" customHeight="false" outlineLevel="0" collapsed="false">
      <c r="A1163" s="12" t="s">
        <v>700</v>
      </c>
      <c r="B1163" s="13" t="s">
        <v>701</v>
      </c>
      <c r="C1163" s="13" t="s">
        <v>702</v>
      </c>
      <c r="D1163" s="13" t="s">
        <v>723</v>
      </c>
      <c r="E1163" s="13" t="s">
        <v>6328</v>
      </c>
    </row>
    <row r="1164" customFormat="false" ht="30" hidden="false" customHeight="true" outlineLevel="0" collapsed="false">
      <c r="A1164" s="14" t="s">
        <v>706</v>
      </c>
      <c r="B1164" s="15" t="str">
        <f aca="false">IF(COUNTIFS($D$1167:$D$1194,IF(D1164="","*",D1164),$E$1167:$E$1194,IF(E1164="","*",E1164))=1,INDEX($B:$B,SUMPRODUCT(((D1164="")+($D$1167:$D$1194=D1164)&gt;0)*((E1164="")+($E$1167:$E$1194=E1164)&gt;0)*ROW($B$1167:$B$1194))),IF(COUNTIFS($D$1167:$D$1194,IF(D1164="","*",D1164),$E$1167:$E$1194,IF(E1164="","*",E1164))=0,"Not available",COUNTIFS($D$1167:$D$1194,IF(D1164="","*",D1164),$E$1167:$E$1194,IF(E1164="","*",E1164))&amp;" match, keep choosing"))</f>
        <v>EG-015-ME-8104-LHJDZ</v>
      </c>
      <c r="C1164" s="16" t="n">
        <f aca="false">IF(COUNTIFS($D$1167:$D$1194,IF(D1164="","*",D1164),$E$1167:$E$1194,IF(E1164="","*",E1164))=1,INDEX($C:$C,SUMPRODUCT(((D1164="")+($D$1167:$D$1194=D1164)&gt;0)*((E1164="")+($E$1167:$E$1194=E1164)&gt;0)*ROW($B$1167:$B$1194))),"")</f>
        <v>0.72</v>
      </c>
      <c r="D1164" s="17" t="s">
        <v>21147</v>
      </c>
      <c r="E1164" s="17" t="s">
        <v>21148</v>
      </c>
    </row>
    <row r="1166" customFormat="false" ht="15" hidden="false" customHeight="false" outlineLevel="0" collapsed="false">
      <c r="B1166" s="18" t="s">
        <v>701</v>
      </c>
      <c r="C1166" s="18" t="s">
        <v>702</v>
      </c>
      <c r="D1166" s="18" t="s">
        <v>723</v>
      </c>
      <c r="E1166" s="18" t="s">
        <v>6328</v>
      </c>
    </row>
    <row r="1167" customFormat="false" ht="15" hidden="false" customHeight="false" outlineLevel="0" collapsed="false">
      <c r="B1167" s="19" t="s">
        <v>21149</v>
      </c>
      <c r="C1167" s="20" t="n">
        <f aca="false">ROUND(5.2/FX,2)</f>
        <v>0.72</v>
      </c>
      <c r="D1167" s="21" t="s">
        <v>21147</v>
      </c>
      <c r="E1167" s="21" t="s">
        <v>21148</v>
      </c>
    </row>
    <row r="1168" customFormat="false" ht="15" hidden="false" customHeight="false" outlineLevel="0" collapsed="false">
      <c r="B1168" s="19" t="s">
        <v>21150</v>
      </c>
      <c r="C1168" s="20" t="n">
        <f aca="false">ROUND(4.42/FX,2)</f>
        <v>0.61</v>
      </c>
      <c r="D1168" s="21" t="s">
        <v>21151</v>
      </c>
      <c r="E1168" s="21" t="s">
        <v>21148</v>
      </c>
    </row>
    <row r="1169" customFormat="false" ht="15" hidden="false" customHeight="false" outlineLevel="0" collapsed="false">
      <c r="B1169" s="19" t="s">
        <v>21152</v>
      </c>
      <c r="C1169" s="20" t="n">
        <f aca="false">ROUND(11.05/FX,2)</f>
        <v>1.53</v>
      </c>
      <c r="D1169" s="21" t="s">
        <v>21153</v>
      </c>
      <c r="E1169" s="21" t="s">
        <v>21148</v>
      </c>
    </row>
    <row r="1170" customFormat="false" ht="15" hidden="false" customHeight="false" outlineLevel="0" collapsed="false">
      <c r="B1170" s="19" t="s">
        <v>21154</v>
      </c>
      <c r="C1170" s="20" t="n">
        <f aca="false">ROUND(5.2/FX,2)</f>
        <v>0.72</v>
      </c>
      <c r="D1170" s="21" t="s">
        <v>21147</v>
      </c>
      <c r="E1170" s="21" t="s">
        <v>21155</v>
      </c>
    </row>
    <row r="1171" customFormat="false" ht="15" hidden="false" customHeight="false" outlineLevel="0" collapsed="false">
      <c r="B1171" s="19" t="s">
        <v>21156</v>
      </c>
      <c r="C1171" s="20" t="n">
        <f aca="false">ROUND(4.42/FX,2)</f>
        <v>0.61</v>
      </c>
      <c r="D1171" s="21" t="s">
        <v>21151</v>
      </c>
      <c r="E1171" s="21" t="s">
        <v>21155</v>
      </c>
    </row>
    <row r="1172" customFormat="false" ht="15" hidden="false" customHeight="false" outlineLevel="0" collapsed="false">
      <c r="B1172" s="19" t="s">
        <v>21157</v>
      </c>
      <c r="C1172" s="20" t="n">
        <f aca="false">ROUND(11.05/FX,2)</f>
        <v>1.53</v>
      </c>
      <c r="D1172" s="21" t="s">
        <v>21153</v>
      </c>
      <c r="E1172" s="21" t="s">
        <v>21155</v>
      </c>
    </row>
    <row r="1173" customFormat="false" ht="15" hidden="false" customHeight="false" outlineLevel="0" collapsed="false">
      <c r="B1173" s="19" t="s">
        <v>21158</v>
      </c>
      <c r="C1173" s="20" t="n">
        <f aca="false">ROUND(5.2/FX,2)</f>
        <v>0.72</v>
      </c>
      <c r="D1173" s="21" t="s">
        <v>21147</v>
      </c>
      <c r="E1173" s="21" t="s">
        <v>21159</v>
      </c>
    </row>
    <row r="1174" customFormat="false" ht="15" hidden="false" customHeight="false" outlineLevel="0" collapsed="false">
      <c r="B1174" s="19" t="s">
        <v>21160</v>
      </c>
      <c r="C1174" s="20" t="n">
        <f aca="false">ROUND(4.42/FX,2)</f>
        <v>0.61</v>
      </c>
      <c r="D1174" s="21" t="s">
        <v>21151</v>
      </c>
      <c r="E1174" s="21" t="s">
        <v>21159</v>
      </c>
    </row>
    <row r="1175" customFormat="false" ht="15" hidden="false" customHeight="false" outlineLevel="0" collapsed="false">
      <c r="B1175" s="19" t="s">
        <v>21161</v>
      </c>
      <c r="C1175" s="20" t="n">
        <f aca="false">ROUND(11.05/FX,2)</f>
        <v>1.53</v>
      </c>
      <c r="D1175" s="21" t="s">
        <v>21153</v>
      </c>
      <c r="E1175" s="21" t="s">
        <v>21159</v>
      </c>
    </row>
    <row r="1176" customFormat="false" ht="15" hidden="false" customHeight="false" outlineLevel="0" collapsed="false">
      <c r="B1176" s="19" t="s">
        <v>21162</v>
      </c>
      <c r="C1176" s="20" t="n">
        <f aca="false">ROUND(4.55/FX,2)</f>
        <v>0.63</v>
      </c>
      <c r="D1176" s="21" t="s">
        <v>21147</v>
      </c>
      <c r="E1176" s="21" t="s">
        <v>21163</v>
      </c>
    </row>
    <row r="1177" customFormat="false" ht="15" hidden="false" customHeight="false" outlineLevel="0" collapsed="false">
      <c r="B1177" s="19" t="s">
        <v>21164</v>
      </c>
      <c r="C1177" s="20" t="n">
        <f aca="false">ROUND(4.03/FX,2)</f>
        <v>0.56</v>
      </c>
      <c r="D1177" s="21" t="s">
        <v>21151</v>
      </c>
      <c r="E1177" s="21" t="s">
        <v>21163</v>
      </c>
    </row>
    <row r="1178" customFormat="false" ht="15" hidden="false" customHeight="false" outlineLevel="0" collapsed="false">
      <c r="B1178" s="19" t="s">
        <v>21165</v>
      </c>
      <c r="C1178" s="20" t="n">
        <f aca="false">ROUND(9.75/FX,2)</f>
        <v>1.35</v>
      </c>
      <c r="D1178" s="21" t="s">
        <v>21153</v>
      </c>
      <c r="E1178" s="21" t="s">
        <v>21163</v>
      </c>
    </row>
    <row r="1179" customFormat="false" ht="15" hidden="false" customHeight="false" outlineLevel="0" collapsed="false">
      <c r="B1179" s="19" t="s">
        <v>21166</v>
      </c>
      <c r="C1179" s="20" t="n">
        <f aca="false">ROUND(4.55/FX,2)</f>
        <v>0.63</v>
      </c>
      <c r="D1179" s="21" t="s">
        <v>21147</v>
      </c>
      <c r="E1179" s="21" t="s">
        <v>21167</v>
      </c>
    </row>
    <row r="1180" customFormat="false" ht="15" hidden="false" customHeight="false" outlineLevel="0" collapsed="false">
      <c r="B1180" s="19" t="s">
        <v>21168</v>
      </c>
      <c r="C1180" s="20" t="n">
        <f aca="false">ROUND(4.03/FX,2)</f>
        <v>0.56</v>
      </c>
      <c r="D1180" s="21" t="s">
        <v>21151</v>
      </c>
      <c r="E1180" s="21" t="s">
        <v>21167</v>
      </c>
    </row>
    <row r="1181" customFormat="false" ht="15" hidden="false" customHeight="false" outlineLevel="0" collapsed="false">
      <c r="B1181" s="19" t="s">
        <v>21169</v>
      </c>
      <c r="C1181" s="20" t="n">
        <f aca="false">ROUND(9.75/FX,2)</f>
        <v>1.35</v>
      </c>
      <c r="D1181" s="21" t="s">
        <v>21153</v>
      </c>
      <c r="E1181" s="21" t="s">
        <v>21167</v>
      </c>
    </row>
    <row r="1182" customFormat="false" ht="15" hidden="false" customHeight="false" outlineLevel="0" collapsed="false">
      <c r="B1182" s="19" t="s">
        <v>21170</v>
      </c>
      <c r="C1182" s="20" t="n">
        <f aca="false">ROUND(4.55/FX,2)</f>
        <v>0.63</v>
      </c>
      <c r="D1182" s="21" t="s">
        <v>21147</v>
      </c>
      <c r="E1182" s="21" t="s">
        <v>21171</v>
      </c>
    </row>
    <row r="1183" customFormat="false" ht="15" hidden="false" customHeight="false" outlineLevel="0" collapsed="false">
      <c r="B1183" s="19" t="s">
        <v>21172</v>
      </c>
      <c r="C1183" s="20" t="n">
        <f aca="false">ROUND(4.03/FX,2)</f>
        <v>0.56</v>
      </c>
      <c r="D1183" s="21" t="s">
        <v>21151</v>
      </c>
      <c r="E1183" s="21" t="s">
        <v>21171</v>
      </c>
    </row>
    <row r="1184" customFormat="false" ht="15" hidden="false" customHeight="false" outlineLevel="0" collapsed="false">
      <c r="B1184" s="19" t="s">
        <v>21173</v>
      </c>
      <c r="C1184" s="20" t="n">
        <f aca="false">ROUND(9.75/FX,2)</f>
        <v>1.35</v>
      </c>
      <c r="D1184" s="21" t="s">
        <v>21153</v>
      </c>
      <c r="E1184" s="21" t="s">
        <v>21171</v>
      </c>
    </row>
    <row r="1185" customFormat="false" ht="15" hidden="false" customHeight="false" outlineLevel="0" collapsed="false">
      <c r="B1185" s="19" t="s">
        <v>21174</v>
      </c>
      <c r="C1185" s="20" t="n">
        <f aca="false">ROUND(4.55/FX,2)</f>
        <v>0.63</v>
      </c>
      <c r="D1185" s="21" t="s">
        <v>21147</v>
      </c>
      <c r="E1185" s="21" t="s">
        <v>21175</v>
      </c>
    </row>
    <row r="1186" customFormat="false" ht="15" hidden="false" customHeight="false" outlineLevel="0" collapsed="false">
      <c r="B1186" s="19" t="s">
        <v>21176</v>
      </c>
      <c r="C1186" s="20" t="n">
        <f aca="false">ROUND(4.03/FX,2)</f>
        <v>0.56</v>
      </c>
      <c r="D1186" s="21" t="s">
        <v>21151</v>
      </c>
      <c r="E1186" s="21" t="s">
        <v>21175</v>
      </c>
    </row>
    <row r="1187" customFormat="false" ht="15" hidden="false" customHeight="false" outlineLevel="0" collapsed="false">
      <c r="B1187" s="19" t="s">
        <v>21177</v>
      </c>
      <c r="C1187" s="20" t="n">
        <f aca="false">ROUND(9.75/FX,2)</f>
        <v>1.35</v>
      </c>
      <c r="D1187" s="21" t="s">
        <v>21153</v>
      </c>
      <c r="E1187" s="21" t="s">
        <v>21175</v>
      </c>
    </row>
    <row r="1188" customFormat="false" ht="15" hidden="false" customHeight="false" outlineLevel="0" collapsed="false">
      <c r="B1188" s="19" t="s">
        <v>21178</v>
      </c>
      <c r="C1188" s="20" t="n">
        <f aca="false">ROUND(9.75/FX,2)</f>
        <v>1.35</v>
      </c>
      <c r="D1188" s="21" t="s">
        <v>21153</v>
      </c>
      <c r="E1188" s="21" t="s">
        <v>21179</v>
      </c>
    </row>
    <row r="1189" customFormat="false" ht="15" hidden="false" customHeight="false" outlineLevel="0" collapsed="false">
      <c r="B1189" s="19" t="s">
        <v>21180</v>
      </c>
      <c r="C1189" s="20" t="n">
        <f aca="false">ROUND(4.55/FX,2)</f>
        <v>0.63</v>
      </c>
      <c r="D1189" s="21" t="s">
        <v>21147</v>
      </c>
      <c r="E1189" s="21" t="s">
        <v>21181</v>
      </c>
    </row>
    <row r="1190" customFormat="false" ht="15" hidden="false" customHeight="false" outlineLevel="0" collapsed="false">
      <c r="B1190" s="19" t="s">
        <v>21182</v>
      </c>
      <c r="C1190" s="20" t="n">
        <f aca="false">ROUND(4.03/FX,2)</f>
        <v>0.56</v>
      </c>
      <c r="D1190" s="21" t="s">
        <v>21151</v>
      </c>
      <c r="E1190" s="21" t="s">
        <v>21181</v>
      </c>
    </row>
    <row r="1191" customFormat="false" ht="15" hidden="false" customHeight="false" outlineLevel="0" collapsed="false">
      <c r="B1191" s="19" t="s">
        <v>21183</v>
      </c>
      <c r="C1191" s="20" t="n">
        <f aca="false">ROUND(9.75/FX,2)</f>
        <v>1.35</v>
      </c>
      <c r="D1191" s="21" t="s">
        <v>21153</v>
      </c>
      <c r="E1191" s="21" t="s">
        <v>21181</v>
      </c>
    </row>
    <row r="1192" customFormat="false" ht="15" hidden="false" customHeight="false" outlineLevel="0" collapsed="false">
      <c r="B1192" s="19" t="s">
        <v>21184</v>
      </c>
      <c r="C1192" s="20" t="n">
        <f aca="false">ROUND(4.55/FX,2)</f>
        <v>0.63</v>
      </c>
      <c r="D1192" s="21" t="s">
        <v>21147</v>
      </c>
      <c r="E1192" s="21" t="s">
        <v>21185</v>
      </c>
    </row>
    <row r="1193" customFormat="false" ht="15" hidden="false" customHeight="false" outlineLevel="0" collapsed="false">
      <c r="B1193" s="19" t="s">
        <v>21186</v>
      </c>
      <c r="C1193" s="20" t="n">
        <f aca="false">ROUND(4.03/FX,2)</f>
        <v>0.56</v>
      </c>
      <c r="D1193" s="21" t="s">
        <v>21151</v>
      </c>
      <c r="E1193" s="21" t="s">
        <v>21185</v>
      </c>
    </row>
    <row r="1194" customFormat="false" ht="15" hidden="false" customHeight="false" outlineLevel="0" collapsed="false">
      <c r="B1194" s="19" t="s">
        <v>21187</v>
      </c>
      <c r="C1194" s="20" t="n">
        <f aca="false">ROUND(9.75/FX,2)</f>
        <v>1.35</v>
      </c>
      <c r="D1194" s="21" t="s">
        <v>21153</v>
      </c>
      <c r="E1194" s="21" t="s">
        <v>21185</v>
      </c>
    </row>
    <row r="1197" customFormat="false" ht="61.5" hidden="false" customHeight="true" outlineLevel="0" collapsed="false">
      <c r="A1197" s="9"/>
      <c r="B1197" s="10" t="s">
        <v>21188</v>
      </c>
      <c r="C1197" s="10"/>
      <c r="D1197" s="10"/>
    </row>
    <row r="1198" customFormat="false" ht="15" hidden="false" customHeight="false" outlineLevel="0" collapsed="false">
      <c r="A1198" s="12" t="s">
        <v>700</v>
      </c>
      <c r="B1198" s="13" t="s">
        <v>701</v>
      </c>
      <c r="C1198" s="13" t="s">
        <v>702</v>
      </c>
      <c r="D1198" s="13" t="s">
        <v>20446</v>
      </c>
    </row>
    <row r="1199" customFormat="false" ht="30" hidden="false" customHeight="true" outlineLevel="0" collapsed="false">
      <c r="A1199" s="14" t="s">
        <v>706</v>
      </c>
      <c r="B1199" s="15" t="str">
        <f aca="false">IF(COUNTIFS($D$1202:$D$1203,IF(D1199="","*",D1199))=1,INDEX($B:$B,SUMPRODUCT(((D1199="")+($D$1202:$D$1203=D1199)&gt;0)*ROW($B$1202:$B$1203))),IF(COUNTIFS($D$1202:$D$1203,IF(D1199="","*",D1199))=0,"Not available",COUNTIFS($D$1202:$D$1203,IF(D1199="","*",D1199))&amp;" match, keep choosing"))</f>
        <v>EG-093-2H</v>
      </c>
      <c r="C1199" s="16" t="n">
        <f aca="false">IF(COUNTIFS($D$1202:$D$1203,IF(D1199="","*",D1199))=1,INDEX($C:$C,SUMPRODUCT(((D1199="")+($D$1202:$D$1203=D1199)&gt;0)*ROW($B$1202:$B$1203))),"")</f>
        <v>1.35</v>
      </c>
      <c r="D1199" s="17" t="s">
        <v>18362</v>
      </c>
    </row>
    <row r="1201" customFormat="false" ht="15" hidden="false" customHeight="false" outlineLevel="0" collapsed="false">
      <c r="B1201" s="18" t="s">
        <v>701</v>
      </c>
      <c r="C1201" s="18" t="s">
        <v>702</v>
      </c>
      <c r="D1201" s="18" t="s">
        <v>20446</v>
      </c>
    </row>
    <row r="1202" customFormat="false" ht="15" hidden="false" customHeight="false" outlineLevel="0" collapsed="false">
      <c r="B1202" s="19" t="s">
        <v>21189</v>
      </c>
      <c r="C1202" s="20" t="n">
        <f aca="false">ROUND(9.72/FX,2)</f>
        <v>1.35</v>
      </c>
      <c r="D1202" s="21" t="s">
        <v>18362</v>
      </c>
    </row>
    <row r="1203" customFormat="false" ht="15" hidden="false" customHeight="false" outlineLevel="0" collapsed="false">
      <c r="B1203" s="19" t="s">
        <v>21190</v>
      </c>
      <c r="C1203" s="20" t="n">
        <f aca="false">ROUND(11.44/FX,2)</f>
        <v>1.59</v>
      </c>
      <c r="D1203" s="21" t="s">
        <v>21191</v>
      </c>
    </row>
    <row r="1206" customFormat="false" ht="61.5" hidden="false" customHeight="true" outlineLevel="0" collapsed="false">
      <c r="A1206" s="9"/>
      <c r="B1206" s="10" t="s">
        <v>21192</v>
      </c>
      <c r="C1206" s="10"/>
      <c r="D1206" s="10"/>
      <c r="E1206" s="10"/>
    </row>
    <row r="1207" customFormat="false" ht="15" hidden="false" customHeight="false" outlineLevel="0" collapsed="false">
      <c r="A1207" s="12" t="s">
        <v>700</v>
      </c>
      <c r="B1207" s="13" t="s">
        <v>701</v>
      </c>
      <c r="C1207" s="13" t="s">
        <v>702</v>
      </c>
      <c r="D1207" s="13" t="s">
        <v>722</v>
      </c>
      <c r="E1207" s="13" t="s">
        <v>723</v>
      </c>
    </row>
    <row r="1208" customFormat="false" ht="30" hidden="false" customHeight="true" outlineLevel="0" collapsed="false">
      <c r="A1208" s="14" t="s">
        <v>706</v>
      </c>
      <c r="B1208" s="15" t="str">
        <f aca="false">IF(COUNTIFS($D$1211:$D$1214,IF(D1208="","*",D1208),$E$1211:$E$1214,IF(E1208="","*",E1208))=1,INDEX($B:$B,SUMPRODUCT(((D1208="")+($D$1211:$D$1214=D1208)&gt;0)*((E1208="")+($E$1211:$E$1214=E1208)&gt;0)*ROW($B$1211:$B$1214))),IF(COUNTIFS($D$1211:$D$1214,IF(D1208="","*",D1208),$E$1211:$E$1214,IF(E1208="","*",E1208))=0,"Not available",COUNTIFS($D$1211:$D$1214,IF(D1208="","*",D1208),$E$1211:$E$1214,IF(E1208="","*",E1208))&amp;" match, keep choosing"))</f>
        <v>EG-075-WH</v>
      </c>
      <c r="C1208" s="16" t="n">
        <f aca="false">IF(COUNTIFS($D$1211:$D$1214,IF(D1208="","*",D1208),$E$1211:$E$1214,IF(E1208="","*",E1208))=1,INDEX($C:$C,SUMPRODUCT(((D1208="")+($D$1211:$D$1214=D1208)&gt;0)*((E1208="")+($E$1211:$E$1214=E1208)&gt;0)*ROW($B$1211:$B$1214))),"")</f>
        <v>0.36</v>
      </c>
      <c r="D1208" s="17" t="s">
        <v>751</v>
      </c>
      <c r="E1208" s="17" t="s">
        <v>15458</v>
      </c>
    </row>
    <row r="1210" customFormat="false" ht="15" hidden="false" customHeight="false" outlineLevel="0" collapsed="false">
      <c r="B1210" s="18" t="s">
        <v>701</v>
      </c>
      <c r="C1210" s="18" t="s">
        <v>702</v>
      </c>
      <c r="D1210" s="18" t="s">
        <v>722</v>
      </c>
      <c r="E1210" s="18" t="s">
        <v>723</v>
      </c>
    </row>
    <row r="1211" customFormat="false" ht="15" hidden="false" customHeight="false" outlineLevel="0" collapsed="false">
      <c r="B1211" s="19" t="s">
        <v>21193</v>
      </c>
      <c r="C1211" s="20" t="n">
        <f aca="false">ROUND(2.6/FX,2)</f>
        <v>0.36</v>
      </c>
      <c r="D1211" s="21" t="s">
        <v>751</v>
      </c>
      <c r="E1211" s="21" t="s">
        <v>15458</v>
      </c>
    </row>
    <row r="1212" customFormat="false" ht="15" hidden="false" customHeight="false" outlineLevel="0" collapsed="false">
      <c r="B1212" s="19" t="s">
        <v>21194</v>
      </c>
      <c r="C1212" s="20" t="n">
        <f aca="false">ROUND(5.07/FX,2)</f>
        <v>0.7</v>
      </c>
      <c r="D1212" s="21" t="s">
        <v>751</v>
      </c>
      <c r="E1212" s="21" t="s">
        <v>21195</v>
      </c>
    </row>
    <row r="1213" customFormat="false" ht="15" hidden="false" customHeight="false" outlineLevel="0" collapsed="false">
      <c r="B1213" s="19" t="s">
        <v>21196</v>
      </c>
      <c r="C1213" s="20" t="n">
        <f aca="false">ROUND(2.6/FX,2)</f>
        <v>0.36</v>
      </c>
      <c r="D1213" s="21" t="s">
        <v>18157</v>
      </c>
      <c r="E1213" s="21" t="s">
        <v>15458</v>
      </c>
    </row>
    <row r="1214" customFormat="false" ht="15" hidden="false" customHeight="false" outlineLevel="0" collapsed="false">
      <c r="B1214" s="19" t="s">
        <v>21197</v>
      </c>
      <c r="C1214" s="20" t="n">
        <f aca="false">ROUND(5.07/FX,2)</f>
        <v>0.7</v>
      </c>
      <c r="D1214" s="21" t="s">
        <v>18157</v>
      </c>
      <c r="E1214" s="21" t="s">
        <v>21195</v>
      </c>
    </row>
    <row r="1217" customFormat="false" ht="61.5" hidden="false" customHeight="true" outlineLevel="0" collapsed="false">
      <c r="A1217" s="9"/>
      <c r="B1217" s="10" t="s">
        <v>21198</v>
      </c>
      <c r="C1217" s="10"/>
      <c r="D1217" s="10"/>
      <c r="E1217" s="10"/>
    </row>
    <row r="1218" customFormat="false" ht="15" hidden="false" customHeight="false" outlineLevel="0" collapsed="false">
      <c r="A1218" s="12" t="s">
        <v>700</v>
      </c>
      <c r="B1218" s="13" t="s">
        <v>701</v>
      </c>
      <c r="C1218" s="13" t="s">
        <v>702</v>
      </c>
      <c r="D1218" s="13" t="s">
        <v>722</v>
      </c>
      <c r="E1218" s="13" t="s">
        <v>723</v>
      </c>
    </row>
    <row r="1219" customFormat="false" ht="30" hidden="false" customHeight="true" outlineLevel="0" collapsed="false">
      <c r="A1219" s="14" t="s">
        <v>706</v>
      </c>
      <c r="B1219" s="15" t="str">
        <f aca="false">IF(COUNTIFS($D$1222:$D$1230,IF(D1219="","*",D1219),$E$1222:$E$1230,IF(E1219="","*",E1219))=1,INDEX($B:$B,SUMPRODUCT(((D1219="")+($D$1222:$D$1230=D1219)&gt;0)*((E1219="")+($E$1222:$E$1230=E1219)&gt;0)*ROW($B$1222:$B$1230))),IF(COUNTIFS($D$1222:$D$1230,IF(D1219="","*",D1219),$E$1222:$E$1230,IF(E1219="","*",E1219))=0,"Not available",COUNTIFS($D$1222:$D$1230,IF(D1219="","*",D1219),$E$1222:$E$1230,IF(E1219="","*",E1219))&amp;" match, keep choosing"))</f>
        <v>EG-010-BL-SN04-N-NPN-CK</v>
      </c>
      <c r="C1219" s="16" t="n">
        <f aca="false">IF(COUNTIFS($D$1222:$D$1230,IF(D1219="","*",D1219),$E$1222:$E$1230,IF(E1219="","*",E1219))=1,INDEX($C:$C,SUMPRODUCT(((D1219="")+($D$1222:$D$1230=D1219)&gt;0)*((E1219="")+($E$1222:$E$1230=E1219)&gt;0)*ROW($B$1222:$B$1230))),"")</f>
        <v>0.81</v>
      </c>
      <c r="D1219" s="17" t="s">
        <v>7884</v>
      </c>
      <c r="E1219" s="17" t="s">
        <v>21199</v>
      </c>
    </row>
    <row r="1221" customFormat="false" ht="15" hidden="false" customHeight="false" outlineLevel="0" collapsed="false">
      <c r="B1221" s="18" t="s">
        <v>701</v>
      </c>
      <c r="C1221" s="18" t="s">
        <v>702</v>
      </c>
      <c r="D1221" s="18" t="s">
        <v>722</v>
      </c>
      <c r="E1221" s="18" t="s">
        <v>723</v>
      </c>
    </row>
    <row r="1222" customFormat="false" ht="15" hidden="false" customHeight="false" outlineLevel="0" collapsed="false">
      <c r="B1222" s="19" t="s">
        <v>21200</v>
      </c>
      <c r="C1222" s="20" t="n">
        <f aca="false">ROUND(5.85/FX,2)</f>
        <v>0.81</v>
      </c>
      <c r="D1222" s="21" t="s">
        <v>7884</v>
      </c>
      <c r="E1222" s="21" t="s">
        <v>21199</v>
      </c>
    </row>
    <row r="1223" customFormat="false" ht="15" hidden="false" customHeight="false" outlineLevel="0" collapsed="false">
      <c r="B1223" s="19" t="s">
        <v>21201</v>
      </c>
      <c r="C1223" s="20" t="n">
        <f aca="false">ROUND(5.85/FX,2)</f>
        <v>0.81</v>
      </c>
      <c r="D1223" s="21" t="s">
        <v>7884</v>
      </c>
      <c r="E1223" s="21" t="s">
        <v>21202</v>
      </c>
    </row>
    <row r="1224" customFormat="false" ht="15" hidden="false" customHeight="false" outlineLevel="0" collapsed="false">
      <c r="B1224" s="19" t="s">
        <v>21203</v>
      </c>
      <c r="C1224" s="20" t="n">
        <f aca="false">ROUND(5.85/FX,2)</f>
        <v>0.81</v>
      </c>
      <c r="D1224" s="21" t="s">
        <v>7884</v>
      </c>
      <c r="E1224" s="21" t="s">
        <v>21204</v>
      </c>
    </row>
    <row r="1225" customFormat="false" ht="15" hidden="false" customHeight="false" outlineLevel="0" collapsed="false">
      <c r="B1225" s="19" t="s">
        <v>21205</v>
      </c>
      <c r="C1225" s="20" t="n">
        <f aca="false">ROUND(5.85/FX,2)</f>
        <v>0.81</v>
      </c>
      <c r="D1225" s="21" t="s">
        <v>7884</v>
      </c>
      <c r="E1225" s="21" t="s">
        <v>21206</v>
      </c>
    </row>
    <row r="1226" customFormat="false" ht="28.35" hidden="false" customHeight="false" outlineLevel="0" collapsed="false">
      <c r="B1226" s="19" t="s">
        <v>21207</v>
      </c>
      <c r="C1226" s="20" t="n">
        <f aca="false">ROUND(5.85/FX,2)</f>
        <v>0.81</v>
      </c>
      <c r="D1226" s="21" t="s">
        <v>6336</v>
      </c>
      <c r="E1226" s="21" t="s">
        <v>21208</v>
      </c>
    </row>
    <row r="1227" customFormat="false" ht="28.35" hidden="false" customHeight="false" outlineLevel="0" collapsed="false">
      <c r="B1227" s="19" t="s">
        <v>21209</v>
      </c>
      <c r="C1227" s="20" t="n">
        <f aca="false">ROUND(5.85/FX,2)</f>
        <v>0.81</v>
      </c>
      <c r="D1227" s="21" t="s">
        <v>6336</v>
      </c>
      <c r="E1227" s="21" t="s">
        <v>21210</v>
      </c>
    </row>
    <row r="1228" customFormat="false" ht="28.35" hidden="false" customHeight="false" outlineLevel="0" collapsed="false">
      <c r="B1228" s="19" t="s">
        <v>21211</v>
      </c>
      <c r="C1228" s="20" t="n">
        <f aca="false">ROUND(5.85/FX,2)</f>
        <v>0.81</v>
      </c>
      <c r="D1228" s="21" t="s">
        <v>6336</v>
      </c>
      <c r="E1228" s="21" t="s">
        <v>21212</v>
      </c>
    </row>
    <row r="1229" customFormat="false" ht="28.35" hidden="false" customHeight="false" outlineLevel="0" collapsed="false">
      <c r="B1229" s="19" t="s">
        <v>21213</v>
      </c>
      <c r="C1229" s="20" t="n">
        <f aca="false">ROUND(5.85/FX,2)</f>
        <v>0.81</v>
      </c>
      <c r="D1229" s="21" t="s">
        <v>6336</v>
      </c>
      <c r="E1229" s="21" t="s">
        <v>21214</v>
      </c>
    </row>
    <row r="1230" customFormat="false" ht="15" hidden="false" customHeight="false" outlineLevel="0" collapsed="false">
      <c r="B1230" s="19" t="s">
        <v>21215</v>
      </c>
      <c r="C1230" s="20" t="n">
        <f aca="false">ROUND(5.72/FX,2)</f>
        <v>0.79</v>
      </c>
      <c r="D1230" s="21" t="s">
        <v>18157</v>
      </c>
      <c r="E1230" s="21" t="s">
        <v>21204</v>
      </c>
    </row>
    <row r="1233" customFormat="false" ht="61.5" hidden="false" customHeight="true" outlineLevel="0" collapsed="false">
      <c r="A1233" s="9"/>
      <c r="B1233" s="10" t="s">
        <v>21216</v>
      </c>
      <c r="C1233" s="10"/>
      <c r="D1233" s="10"/>
    </row>
    <row r="1234" customFormat="false" ht="15" hidden="false" customHeight="false" outlineLevel="0" collapsed="false">
      <c r="B1234" s="18" t="s">
        <v>701</v>
      </c>
      <c r="C1234" s="18" t="s">
        <v>702</v>
      </c>
      <c r="D1234" s="18" t="s">
        <v>5610</v>
      </c>
    </row>
    <row r="1235" customFormat="false" ht="15" hidden="false" customHeight="false" outlineLevel="0" collapsed="false">
      <c r="B1235" s="19" t="s">
        <v>21217</v>
      </c>
      <c r="C1235" s="20" t="n">
        <f aca="false">ROUND(1.77/FX,2)</f>
        <v>0.25</v>
      </c>
      <c r="D1235" s="22" t="s">
        <v>5612</v>
      </c>
    </row>
    <row r="1238" customFormat="false" ht="61.5" hidden="false" customHeight="true" outlineLevel="0" collapsed="false">
      <c r="A1238" s="9"/>
      <c r="B1238" s="10" t="s">
        <v>21218</v>
      </c>
      <c r="C1238" s="10"/>
      <c r="D1238" s="10"/>
      <c r="E1238" s="10"/>
      <c r="F1238" s="10"/>
      <c r="G1238" s="10"/>
    </row>
    <row r="1239" customFormat="false" ht="15" hidden="false" customHeight="false" outlineLevel="0" collapsed="false">
      <c r="A1239" s="12" t="s">
        <v>700</v>
      </c>
      <c r="B1239" s="13" t="s">
        <v>701</v>
      </c>
      <c r="C1239" s="13" t="s">
        <v>702</v>
      </c>
      <c r="D1239" s="13" t="s">
        <v>722</v>
      </c>
      <c r="E1239" s="13" t="s">
        <v>723</v>
      </c>
      <c r="F1239" s="13" t="s">
        <v>21219</v>
      </c>
      <c r="G1239" s="13" t="s">
        <v>20008</v>
      </c>
    </row>
    <row r="1240" customFormat="false" ht="30" hidden="false" customHeight="true" outlineLevel="0" collapsed="false">
      <c r="A1240" s="14" t="s">
        <v>706</v>
      </c>
      <c r="B1240" s="15" t="str">
        <f aca="false">IF(COUNTIFS($D$1243:$D$1244,IF(D1240="","*",D1240),$E$1243:$E$1244,IF(E1240="","*",E1240),$F$1243:$F$1244,IF(F1240="","*",F1240),$G$1243:$G$1244,IF(G1240="","*",G1240))=1,INDEX($B:$B,SUMPRODUCT(((D1240="")+($D$1243:$D$1244=D1240)&gt;0)*((E1240="")+($E$1243:$E$1244=E1240)&gt;0)*((F1240="")+($F$1243:$F$1244=F1240)&gt;0)*((G1240="")+($G$1243:$G$1244=G1240)&gt;0)*ROW($B$1243:$B$1244))),IF(COUNTIFS($D$1243:$D$1244,IF(D1240="","*",D1240),$E$1243:$E$1244,IF(E1240="","*",E1240),$F$1243:$F$1244,IF(F1240="","*",F1240),$G$1243:$G$1244,IF(G1240="","*",G1240))=0,"Not available",COUNTIFS($D$1243:$D$1244,IF(D1240="","*",D1240),$E$1243:$E$1244,IF(E1240="","*",E1240),$F$1243:$F$1244,IF(F1240="","*",F1240),$G$1243:$G$1244,IF(G1240="","*",G1240))&amp;" match, keep choosing"))</f>
        <v>EG-048-45W-YC2.5M-TSZ</v>
      </c>
      <c r="C1240" s="16" t="n">
        <f aca="false">IF(COUNTIFS($D$1243:$D$1244,IF(D1240="","*",D1240),$E$1243:$E$1244,IF(E1240="","*",E1240),$F$1243:$F$1244,IF(F1240="","*",F1240),$G$1243:$G$1244,IF(G1240="","*",G1240))=1,INDEX($C:$C,SUMPRODUCT(((D1240="")+($D$1243:$D$1244=D1240)&gt;0)*((E1240="")+($E$1243:$E$1244=E1240)&gt;0)*((F1240="")+($F$1243:$F$1244=F1240)&gt;0)*((G1240="")+($G$1243:$G$1244=G1240)&gt;0)*ROW($B$1243:$B$1244))),"")</f>
        <v>5.42</v>
      </c>
      <c r="D1240" s="17" t="s">
        <v>6336</v>
      </c>
      <c r="E1240" s="17" t="s">
        <v>21220</v>
      </c>
      <c r="F1240" s="17" t="s">
        <v>6336</v>
      </c>
      <c r="G1240" s="17" t="s">
        <v>21221</v>
      </c>
    </row>
    <row r="1242" customFormat="false" ht="15" hidden="false" customHeight="false" outlineLevel="0" collapsed="false">
      <c r="B1242" s="18" t="s">
        <v>701</v>
      </c>
      <c r="C1242" s="18" t="s">
        <v>702</v>
      </c>
      <c r="D1242" s="18" t="s">
        <v>722</v>
      </c>
      <c r="E1242" s="18" t="s">
        <v>723</v>
      </c>
      <c r="F1242" s="18" t="s">
        <v>21219</v>
      </c>
      <c r="G1242" s="18" t="s">
        <v>20008</v>
      </c>
    </row>
    <row r="1243" customFormat="false" ht="28.35" hidden="false" customHeight="false" outlineLevel="0" collapsed="false">
      <c r="B1243" s="19" t="s">
        <v>21222</v>
      </c>
      <c r="C1243" s="20" t="n">
        <f aca="false">ROUND(39/FX,2)</f>
        <v>5.42</v>
      </c>
      <c r="D1243" s="21" t="s">
        <v>6336</v>
      </c>
      <c r="E1243" s="21" t="s">
        <v>21220</v>
      </c>
      <c r="F1243" s="21" t="s">
        <v>6336</v>
      </c>
      <c r="G1243" s="21" t="s">
        <v>21221</v>
      </c>
    </row>
    <row r="1244" customFormat="false" ht="28.35" hidden="false" customHeight="false" outlineLevel="0" collapsed="false">
      <c r="B1244" s="19" t="s">
        <v>21223</v>
      </c>
      <c r="C1244" s="20" t="n">
        <f aca="false">ROUND(46.8/FX,2)</f>
        <v>6.5</v>
      </c>
      <c r="D1244" s="21" t="s">
        <v>7884</v>
      </c>
      <c r="E1244" s="21" t="s">
        <v>21224</v>
      </c>
      <c r="F1244" s="21" t="s">
        <v>21225</v>
      </c>
      <c r="G1244" s="21" t="s">
        <v>21226</v>
      </c>
    </row>
    <row r="1247" customFormat="false" ht="61.5" hidden="false" customHeight="true" outlineLevel="0" collapsed="false">
      <c r="A1247" s="9"/>
      <c r="B1247" s="10" t="s">
        <v>21227</v>
      </c>
      <c r="C1247" s="10"/>
      <c r="D1247" s="10"/>
      <c r="E1247" s="10"/>
      <c r="F1247" s="10"/>
      <c r="G1247" s="10"/>
    </row>
    <row r="1248" customFormat="false" ht="15" hidden="false" customHeight="false" outlineLevel="0" collapsed="false">
      <c r="A1248" s="12" t="s">
        <v>700</v>
      </c>
      <c r="B1248" s="13" t="s">
        <v>701</v>
      </c>
      <c r="C1248" s="13" t="s">
        <v>702</v>
      </c>
      <c r="D1248" s="13" t="s">
        <v>722</v>
      </c>
      <c r="E1248" s="13" t="s">
        <v>5610</v>
      </c>
      <c r="F1248" s="13" t="s">
        <v>21228</v>
      </c>
      <c r="G1248" s="13" t="s">
        <v>21229</v>
      </c>
    </row>
    <row r="1249" customFormat="false" ht="30" hidden="false" customHeight="true" outlineLevel="0" collapsed="false">
      <c r="A1249" s="14" t="s">
        <v>706</v>
      </c>
      <c r="B1249" s="15" t="str">
        <f aca="false">IF(COUNTIFS($D$1252:$D$1454,IF(D1249="","*",D1249),$E$1252:$E$1454,IF(E1249="","*",E1249),$F$1252:$F$1454,IF(F1249="","*",F1249),$G$1252:$G$1454,IF(G1249="","*",G1249))=1,INDEX($B:$B,SUMPRODUCT(((D1249="")+($D$1252:$D$1454=D1249)&gt;0)*((E1249="")+($E$1252:$E$1454=E1249)&gt;0)*((F1249="")+($F$1252:$F$1454=F1249)&gt;0)*((G1249="")+($G$1252:$G$1454=G1249)&gt;0)*ROW($B$1252:$B$1454))),IF(COUNTIFS($D$1252:$D$1454,IF(D1249="","*",D1249),$E$1252:$E$1454,IF(E1249="","*",E1249),$F$1252:$F$1454,IF(F1249="","*",F1249),$G$1252:$G$1454,IF(G1249="","*",G1249))=0,"Not available",COUNTIFS($D$1252:$D$1454,IF(D1249="","*",D1249),$E$1252:$E$1454,IF(E1249="","*",E1249),$F$1252:$F$1454,IF(F1249="","*",F1249),$G$1252:$G$1454,IF(G1249="","*",G1249))&amp;" match, keep choosing"))</f>
        <v>CH-BI-18x25-L1</v>
      </c>
      <c r="C1249" s="16" t="n">
        <f aca="false">IF(COUNTIFS($D$1252:$D$1454,IF(D1249="","*",D1249),$E$1252:$E$1454,IF(E1249="","*",E1249),$F$1252:$F$1454,IF(F1249="","*",F1249),$G$1252:$G$1454,IF(G1249="","*",G1249))=1,INDEX($C:$C,SUMPRODUCT(((D1249="")+($D$1252:$D$1454=D1249)&gt;0)*((E1249="")+($E$1252:$E$1454=E1249)&gt;0)*((F1249="")+($F$1252:$F$1454=F1249)&gt;0)*((G1249="")+($G$1252:$G$1454=G1249)&gt;0)*ROW($B$1252:$B$1454))),"")</f>
        <v>3.07</v>
      </c>
      <c r="D1249" s="17" t="s">
        <v>21230</v>
      </c>
      <c r="E1249" s="17" t="s">
        <v>9202</v>
      </c>
      <c r="F1249" s="17" t="s">
        <v>21231</v>
      </c>
      <c r="G1249" s="17" t="s">
        <v>709</v>
      </c>
    </row>
    <row r="1251" customFormat="false" ht="15" hidden="false" customHeight="false" outlineLevel="0" collapsed="false">
      <c r="B1251" s="18" t="s">
        <v>701</v>
      </c>
      <c r="C1251" s="18" t="s">
        <v>702</v>
      </c>
      <c r="D1251" s="18" t="s">
        <v>722</v>
      </c>
      <c r="E1251" s="18" t="s">
        <v>5610</v>
      </c>
      <c r="F1251" s="18" t="s">
        <v>21228</v>
      </c>
      <c r="G1251" s="18" t="s">
        <v>21229</v>
      </c>
    </row>
    <row r="1252" customFormat="false" ht="15" hidden="false" customHeight="false" outlineLevel="0" collapsed="false">
      <c r="B1252" s="19" t="s">
        <v>21232</v>
      </c>
      <c r="C1252" s="20" t="n">
        <f aca="false">ROUND(22.1/FX,2)</f>
        <v>3.07</v>
      </c>
      <c r="D1252" s="21" t="s">
        <v>21230</v>
      </c>
      <c r="E1252" s="21" t="s">
        <v>9202</v>
      </c>
      <c r="F1252" s="21" t="s">
        <v>21231</v>
      </c>
      <c r="G1252" s="21" t="s">
        <v>709</v>
      </c>
    </row>
    <row r="1253" customFormat="false" ht="15" hidden="false" customHeight="false" outlineLevel="0" collapsed="false">
      <c r="B1253" s="19" t="s">
        <v>21233</v>
      </c>
      <c r="C1253" s="20" t="n">
        <f aca="false">ROUND(23.4/FX,2)</f>
        <v>3.25</v>
      </c>
      <c r="D1253" s="21" t="s">
        <v>21230</v>
      </c>
      <c r="E1253" s="21" t="s">
        <v>21234</v>
      </c>
      <c r="F1253" s="21" t="s">
        <v>21231</v>
      </c>
      <c r="G1253" s="21" t="s">
        <v>709</v>
      </c>
    </row>
    <row r="1254" customFormat="false" ht="15" hidden="false" customHeight="false" outlineLevel="0" collapsed="false">
      <c r="B1254" s="19" t="s">
        <v>21235</v>
      </c>
      <c r="C1254" s="20" t="n">
        <f aca="false">ROUND(26/FX,2)</f>
        <v>3.61</v>
      </c>
      <c r="D1254" s="21" t="s">
        <v>21230</v>
      </c>
      <c r="E1254" s="21" t="s">
        <v>21236</v>
      </c>
      <c r="F1254" s="21" t="s">
        <v>21231</v>
      </c>
      <c r="G1254" s="21" t="s">
        <v>709</v>
      </c>
    </row>
    <row r="1255" customFormat="false" ht="28.35" hidden="false" customHeight="false" outlineLevel="0" collapsed="false">
      <c r="B1255" s="19" t="s">
        <v>21237</v>
      </c>
      <c r="C1255" s="20" t="n">
        <f aca="false">ROUND(0.65/FX,2)</f>
        <v>0.09</v>
      </c>
      <c r="D1255" s="21" t="s">
        <v>21230</v>
      </c>
      <c r="E1255" s="21" t="s">
        <v>7875</v>
      </c>
      <c r="F1255" s="21" t="s">
        <v>21238</v>
      </c>
      <c r="G1255" s="21" t="s">
        <v>21239</v>
      </c>
    </row>
    <row r="1256" customFormat="false" ht="28.35" hidden="false" customHeight="false" outlineLevel="0" collapsed="false">
      <c r="B1256" s="19" t="s">
        <v>21240</v>
      </c>
      <c r="C1256" s="20" t="n">
        <f aca="false">ROUND(8.45/FX,2)</f>
        <v>1.17</v>
      </c>
      <c r="D1256" s="21" t="s">
        <v>21230</v>
      </c>
      <c r="E1256" s="21" t="s">
        <v>21241</v>
      </c>
      <c r="F1256" s="21" t="s">
        <v>21238</v>
      </c>
      <c r="G1256" s="21" t="s">
        <v>709</v>
      </c>
    </row>
    <row r="1257" customFormat="false" ht="28.35" hidden="false" customHeight="false" outlineLevel="0" collapsed="false">
      <c r="B1257" s="19" t="s">
        <v>21242</v>
      </c>
      <c r="C1257" s="20" t="n">
        <f aca="false">ROUND(9.1/FX,2)</f>
        <v>1.26</v>
      </c>
      <c r="D1257" s="21" t="s">
        <v>21230</v>
      </c>
      <c r="E1257" s="21" t="s">
        <v>21243</v>
      </c>
      <c r="F1257" s="21" t="s">
        <v>21238</v>
      </c>
      <c r="G1257" s="21" t="s">
        <v>709</v>
      </c>
    </row>
    <row r="1258" customFormat="false" ht="28.35" hidden="false" customHeight="false" outlineLevel="0" collapsed="false">
      <c r="B1258" s="19" t="s">
        <v>21244</v>
      </c>
      <c r="C1258" s="20" t="n">
        <f aca="false">ROUND(9.1/FX,2)</f>
        <v>1.26</v>
      </c>
      <c r="D1258" s="21" t="s">
        <v>21230</v>
      </c>
      <c r="E1258" s="21" t="s">
        <v>21245</v>
      </c>
      <c r="F1258" s="21" t="s">
        <v>21238</v>
      </c>
      <c r="G1258" s="21" t="s">
        <v>709</v>
      </c>
    </row>
    <row r="1259" customFormat="false" ht="28.35" hidden="false" customHeight="false" outlineLevel="0" collapsed="false">
      <c r="B1259" s="19" t="s">
        <v>21246</v>
      </c>
      <c r="C1259" s="20" t="n">
        <f aca="false">ROUND(9.1/FX,2)</f>
        <v>1.26</v>
      </c>
      <c r="D1259" s="21" t="s">
        <v>21230</v>
      </c>
      <c r="E1259" s="21" t="s">
        <v>21247</v>
      </c>
      <c r="F1259" s="21" t="s">
        <v>21238</v>
      </c>
      <c r="G1259" s="21" t="s">
        <v>709</v>
      </c>
    </row>
    <row r="1260" customFormat="false" ht="28.35" hidden="false" customHeight="false" outlineLevel="0" collapsed="false">
      <c r="B1260" s="19" t="s">
        <v>21248</v>
      </c>
      <c r="C1260" s="20" t="n">
        <f aca="false">ROUND(10.14/FX,2)</f>
        <v>1.41</v>
      </c>
      <c r="D1260" s="21" t="s">
        <v>21230</v>
      </c>
      <c r="E1260" s="21" t="s">
        <v>21249</v>
      </c>
      <c r="F1260" s="21" t="s">
        <v>21238</v>
      </c>
      <c r="G1260" s="21" t="s">
        <v>709</v>
      </c>
    </row>
    <row r="1261" customFormat="false" ht="28.35" hidden="false" customHeight="false" outlineLevel="0" collapsed="false">
      <c r="B1261" s="19" t="s">
        <v>21250</v>
      </c>
      <c r="C1261" s="20" t="n">
        <f aca="false">ROUND(10.14/FX,2)</f>
        <v>1.41</v>
      </c>
      <c r="D1261" s="21" t="s">
        <v>21230</v>
      </c>
      <c r="E1261" s="21" t="s">
        <v>21251</v>
      </c>
      <c r="F1261" s="21" t="s">
        <v>21238</v>
      </c>
      <c r="G1261" s="21" t="s">
        <v>709</v>
      </c>
    </row>
    <row r="1262" customFormat="false" ht="28.35" hidden="false" customHeight="false" outlineLevel="0" collapsed="false">
      <c r="B1262" s="19" t="s">
        <v>21252</v>
      </c>
      <c r="C1262" s="20" t="n">
        <f aca="false">ROUND(11.05/FX,2)</f>
        <v>1.53</v>
      </c>
      <c r="D1262" s="21" t="s">
        <v>21230</v>
      </c>
      <c r="E1262" s="21" t="s">
        <v>21253</v>
      </c>
      <c r="F1262" s="21" t="s">
        <v>21238</v>
      </c>
      <c r="G1262" s="21" t="s">
        <v>709</v>
      </c>
    </row>
    <row r="1263" customFormat="false" ht="28.35" hidden="false" customHeight="false" outlineLevel="0" collapsed="false">
      <c r="B1263" s="19" t="s">
        <v>21254</v>
      </c>
      <c r="C1263" s="20" t="n">
        <f aca="false">ROUND(11.7/FX,2)</f>
        <v>1.63</v>
      </c>
      <c r="D1263" s="21" t="s">
        <v>21230</v>
      </c>
      <c r="E1263" s="21" t="s">
        <v>21255</v>
      </c>
      <c r="F1263" s="21" t="s">
        <v>21238</v>
      </c>
      <c r="G1263" s="21" t="s">
        <v>709</v>
      </c>
    </row>
    <row r="1264" customFormat="false" ht="28.35" hidden="false" customHeight="false" outlineLevel="0" collapsed="false">
      <c r="B1264" s="19" t="s">
        <v>21256</v>
      </c>
      <c r="C1264" s="20" t="n">
        <f aca="false">ROUND(13/FX,2)</f>
        <v>1.81</v>
      </c>
      <c r="D1264" s="21" t="s">
        <v>21230</v>
      </c>
      <c r="E1264" s="21" t="s">
        <v>21257</v>
      </c>
      <c r="F1264" s="21" t="s">
        <v>21238</v>
      </c>
      <c r="G1264" s="21" t="s">
        <v>709</v>
      </c>
    </row>
    <row r="1265" customFormat="false" ht="28.35" hidden="false" customHeight="false" outlineLevel="0" collapsed="false">
      <c r="B1265" s="19" t="s">
        <v>21258</v>
      </c>
      <c r="C1265" s="20" t="n">
        <f aca="false">ROUND(24.7/FX,2)</f>
        <v>3.43</v>
      </c>
      <c r="D1265" s="21" t="s">
        <v>21230</v>
      </c>
      <c r="E1265" s="21" t="s">
        <v>21259</v>
      </c>
      <c r="F1265" s="21" t="s">
        <v>21238</v>
      </c>
      <c r="G1265" s="21" t="s">
        <v>709</v>
      </c>
    </row>
    <row r="1266" customFormat="false" ht="28.35" hidden="false" customHeight="false" outlineLevel="0" collapsed="false">
      <c r="B1266" s="19" t="s">
        <v>21260</v>
      </c>
      <c r="C1266" s="20" t="n">
        <f aca="false">ROUND(11.05/FX,2)</f>
        <v>1.53</v>
      </c>
      <c r="D1266" s="21" t="s">
        <v>21230</v>
      </c>
      <c r="E1266" s="21" t="s">
        <v>21261</v>
      </c>
      <c r="F1266" s="21" t="s">
        <v>21238</v>
      </c>
      <c r="G1266" s="21" t="s">
        <v>709</v>
      </c>
    </row>
    <row r="1267" customFormat="false" ht="28.35" hidden="false" customHeight="false" outlineLevel="0" collapsed="false">
      <c r="B1267" s="19" t="s">
        <v>21262</v>
      </c>
      <c r="C1267" s="20" t="n">
        <f aca="false">ROUND(11.05/FX,2)</f>
        <v>1.53</v>
      </c>
      <c r="D1267" s="21" t="s">
        <v>21230</v>
      </c>
      <c r="E1267" s="21" t="s">
        <v>21263</v>
      </c>
      <c r="F1267" s="21" t="s">
        <v>21238</v>
      </c>
      <c r="G1267" s="21" t="s">
        <v>709</v>
      </c>
    </row>
    <row r="1268" customFormat="false" ht="28.35" hidden="false" customHeight="false" outlineLevel="0" collapsed="false">
      <c r="B1268" s="19" t="s">
        <v>21264</v>
      </c>
      <c r="C1268" s="20" t="n">
        <f aca="false">ROUND(11.7/FX,2)</f>
        <v>1.63</v>
      </c>
      <c r="D1268" s="21" t="s">
        <v>21230</v>
      </c>
      <c r="E1268" s="21" t="s">
        <v>21265</v>
      </c>
      <c r="F1268" s="21" t="s">
        <v>21238</v>
      </c>
      <c r="G1268" s="21" t="s">
        <v>709</v>
      </c>
    </row>
    <row r="1269" customFormat="false" ht="28.35" hidden="false" customHeight="false" outlineLevel="0" collapsed="false">
      <c r="B1269" s="19" t="s">
        <v>21266</v>
      </c>
      <c r="C1269" s="20" t="n">
        <f aca="false">ROUND(11.7/FX,2)</f>
        <v>1.63</v>
      </c>
      <c r="D1269" s="21" t="s">
        <v>21230</v>
      </c>
      <c r="E1269" s="21" t="s">
        <v>21267</v>
      </c>
      <c r="F1269" s="21" t="s">
        <v>21238</v>
      </c>
      <c r="G1269" s="21" t="s">
        <v>709</v>
      </c>
    </row>
    <row r="1270" customFormat="false" ht="28.35" hidden="false" customHeight="false" outlineLevel="0" collapsed="false">
      <c r="B1270" s="19" t="s">
        <v>21268</v>
      </c>
      <c r="C1270" s="20" t="n">
        <f aca="false">ROUND(12.35/FX,2)</f>
        <v>1.72</v>
      </c>
      <c r="D1270" s="21" t="s">
        <v>21230</v>
      </c>
      <c r="E1270" s="21" t="s">
        <v>21269</v>
      </c>
      <c r="F1270" s="21" t="s">
        <v>21238</v>
      </c>
      <c r="G1270" s="21" t="s">
        <v>709</v>
      </c>
    </row>
    <row r="1271" customFormat="false" ht="28.35" hidden="false" customHeight="false" outlineLevel="0" collapsed="false">
      <c r="B1271" s="19" t="s">
        <v>21270</v>
      </c>
      <c r="C1271" s="20" t="n">
        <f aca="false">ROUND(13/FX,2)</f>
        <v>1.81</v>
      </c>
      <c r="D1271" s="21" t="s">
        <v>21230</v>
      </c>
      <c r="E1271" s="21" t="s">
        <v>21271</v>
      </c>
      <c r="F1271" s="21" t="s">
        <v>21238</v>
      </c>
      <c r="G1271" s="21" t="s">
        <v>709</v>
      </c>
    </row>
    <row r="1272" customFormat="false" ht="28.35" hidden="false" customHeight="false" outlineLevel="0" collapsed="false">
      <c r="B1272" s="19" t="s">
        <v>21272</v>
      </c>
      <c r="C1272" s="20" t="n">
        <f aca="false">ROUND(13/FX,2)</f>
        <v>1.81</v>
      </c>
      <c r="D1272" s="21" t="s">
        <v>21230</v>
      </c>
      <c r="E1272" s="21" t="s">
        <v>21273</v>
      </c>
      <c r="F1272" s="21" t="s">
        <v>21238</v>
      </c>
      <c r="G1272" s="21" t="s">
        <v>709</v>
      </c>
    </row>
    <row r="1273" customFormat="false" ht="28.35" hidden="false" customHeight="false" outlineLevel="0" collapsed="false">
      <c r="B1273" s="19" t="s">
        <v>21274</v>
      </c>
      <c r="C1273" s="20" t="n">
        <f aca="false">ROUND(12.87/FX,2)</f>
        <v>1.79</v>
      </c>
      <c r="D1273" s="21" t="s">
        <v>21230</v>
      </c>
      <c r="E1273" s="21" t="s">
        <v>21275</v>
      </c>
      <c r="F1273" s="21" t="s">
        <v>21238</v>
      </c>
      <c r="G1273" s="21" t="s">
        <v>709</v>
      </c>
    </row>
    <row r="1274" customFormat="false" ht="28.35" hidden="false" customHeight="false" outlineLevel="0" collapsed="false">
      <c r="B1274" s="19" t="s">
        <v>21276</v>
      </c>
      <c r="C1274" s="20" t="n">
        <f aca="false">ROUND(16.38/FX,2)</f>
        <v>2.28</v>
      </c>
      <c r="D1274" s="21" t="s">
        <v>21230</v>
      </c>
      <c r="E1274" s="21" t="s">
        <v>21277</v>
      </c>
      <c r="F1274" s="21" t="s">
        <v>21238</v>
      </c>
      <c r="G1274" s="21" t="s">
        <v>709</v>
      </c>
    </row>
    <row r="1275" customFormat="false" ht="28.35" hidden="false" customHeight="false" outlineLevel="0" collapsed="false">
      <c r="B1275" s="19" t="s">
        <v>21278</v>
      </c>
      <c r="C1275" s="20" t="n">
        <f aca="false">ROUND(11.7/FX,2)</f>
        <v>1.63</v>
      </c>
      <c r="D1275" s="21" t="s">
        <v>21230</v>
      </c>
      <c r="E1275" s="21" t="s">
        <v>9202</v>
      </c>
      <c r="F1275" s="21" t="s">
        <v>21238</v>
      </c>
      <c r="G1275" s="21" t="s">
        <v>709</v>
      </c>
    </row>
    <row r="1276" customFormat="false" ht="28.35" hidden="false" customHeight="false" outlineLevel="0" collapsed="false">
      <c r="B1276" s="19" t="s">
        <v>21279</v>
      </c>
      <c r="C1276" s="20" t="n">
        <f aca="false">ROUND(1.3/FX,2)</f>
        <v>0.18</v>
      </c>
      <c r="D1276" s="21" t="s">
        <v>21230</v>
      </c>
      <c r="E1276" s="21" t="s">
        <v>7829</v>
      </c>
      <c r="F1276" s="21" t="s">
        <v>21238</v>
      </c>
      <c r="G1276" s="21" t="s">
        <v>21239</v>
      </c>
    </row>
    <row r="1277" customFormat="false" ht="28.35" hidden="false" customHeight="false" outlineLevel="0" collapsed="false">
      <c r="B1277" s="19" t="s">
        <v>21280</v>
      </c>
      <c r="C1277" s="20" t="n">
        <f aca="false">ROUND(16.25/FX,2)</f>
        <v>2.26</v>
      </c>
      <c r="D1277" s="21" t="s">
        <v>21230</v>
      </c>
      <c r="E1277" s="21" t="s">
        <v>21281</v>
      </c>
      <c r="F1277" s="21" t="s">
        <v>21238</v>
      </c>
      <c r="G1277" s="21" t="s">
        <v>709</v>
      </c>
    </row>
    <row r="1278" customFormat="false" ht="28.35" hidden="false" customHeight="false" outlineLevel="0" collapsed="false">
      <c r="B1278" s="19" t="s">
        <v>21282</v>
      </c>
      <c r="C1278" s="20" t="n">
        <f aca="false">ROUND(22.75/FX,2)</f>
        <v>3.16</v>
      </c>
      <c r="D1278" s="21" t="s">
        <v>21230</v>
      </c>
      <c r="E1278" s="21" t="s">
        <v>21283</v>
      </c>
      <c r="F1278" s="21" t="s">
        <v>21238</v>
      </c>
      <c r="G1278" s="21" t="s">
        <v>709</v>
      </c>
    </row>
    <row r="1279" customFormat="false" ht="28.35" hidden="false" customHeight="false" outlineLevel="0" collapsed="false">
      <c r="B1279" s="19" t="s">
        <v>21284</v>
      </c>
      <c r="C1279" s="20" t="n">
        <f aca="false">ROUND(22.75/FX,2)</f>
        <v>3.16</v>
      </c>
      <c r="D1279" s="21" t="s">
        <v>21230</v>
      </c>
      <c r="E1279" s="21" t="s">
        <v>21285</v>
      </c>
      <c r="F1279" s="21" t="s">
        <v>21238</v>
      </c>
      <c r="G1279" s="21" t="s">
        <v>709</v>
      </c>
    </row>
    <row r="1280" customFormat="false" ht="28.35" hidden="false" customHeight="false" outlineLevel="0" collapsed="false">
      <c r="B1280" s="19" t="s">
        <v>21286</v>
      </c>
      <c r="C1280" s="20" t="n">
        <f aca="false">ROUND(13/FX,2)</f>
        <v>1.81</v>
      </c>
      <c r="D1280" s="21" t="s">
        <v>21230</v>
      </c>
      <c r="E1280" s="21" t="s">
        <v>21287</v>
      </c>
      <c r="F1280" s="21" t="s">
        <v>21238</v>
      </c>
      <c r="G1280" s="21" t="s">
        <v>709</v>
      </c>
    </row>
    <row r="1281" customFormat="false" ht="28.35" hidden="false" customHeight="false" outlineLevel="0" collapsed="false">
      <c r="B1281" s="19" t="s">
        <v>21288</v>
      </c>
      <c r="C1281" s="20" t="n">
        <f aca="false">ROUND(10.4/FX,2)</f>
        <v>1.44</v>
      </c>
      <c r="D1281" s="21" t="s">
        <v>21230</v>
      </c>
      <c r="E1281" s="21" t="s">
        <v>21289</v>
      </c>
      <c r="F1281" s="21" t="s">
        <v>21238</v>
      </c>
      <c r="G1281" s="21" t="s">
        <v>709</v>
      </c>
    </row>
    <row r="1282" customFormat="false" ht="28.35" hidden="false" customHeight="false" outlineLevel="0" collapsed="false">
      <c r="B1282" s="19" t="s">
        <v>21290</v>
      </c>
      <c r="C1282" s="20" t="n">
        <f aca="false">ROUND(3.9/FX,2)</f>
        <v>0.54</v>
      </c>
      <c r="D1282" s="21" t="s">
        <v>21230</v>
      </c>
      <c r="E1282" s="21" t="s">
        <v>21291</v>
      </c>
      <c r="F1282" s="21" t="s">
        <v>21238</v>
      </c>
      <c r="G1282" s="21" t="s">
        <v>21292</v>
      </c>
    </row>
    <row r="1283" customFormat="false" ht="28.35" hidden="false" customHeight="false" outlineLevel="0" collapsed="false">
      <c r="B1283" s="19" t="s">
        <v>21293</v>
      </c>
      <c r="C1283" s="20" t="n">
        <f aca="false">ROUND(4.55/FX,2)</f>
        <v>0.63</v>
      </c>
      <c r="D1283" s="21" t="s">
        <v>21230</v>
      </c>
      <c r="E1283" s="21" t="s">
        <v>21291</v>
      </c>
      <c r="F1283" s="21" t="s">
        <v>21238</v>
      </c>
      <c r="G1283" s="21" t="s">
        <v>19729</v>
      </c>
    </row>
    <row r="1284" customFormat="false" ht="28.35" hidden="false" customHeight="false" outlineLevel="0" collapsed="false">
      <c r="B1284" s="19" t="s">
        <v>21294</v>
      </c>
      <c r="C1284" s="20" t="n">
        <f aca="false">ROUND(9.1/FX,2)</f>
        <v>1.26</v>
      </c>
      <c r="D1284" s="21" t="s">
        <v>21230</v>
      </c>
      <c r="E1284" s="21" t="s">
        <v>21291</v>
      </c>
      <c r="F1284" s="21" t="s">
        <v>21238</v>
      </c>
      <c r="G1284" s="21" t="s">
        <v>709</v>
      </c>
    </row>
    <row r="1285" customFormat="false" ht="28.35" hidden="false" customHeight="false" outlineLevel="0" collapsed="false">
      <c r="B1285" s="19" t="s">
        <v>21295</v>
      </c>
      <c r="C1285" s="20" t="n">
        <f aca="false">ROUND(9.1/FX,2)</f>
        <v>1.26</v>
      </c>
      <c r="D1285" s="21" t="s">
        <v>21230</v>
      </c>
      <c r="E1285" s="21" t="s">
        <v>21296</v>
      </c>
      <c r="F1285" s="21" t="s">
        <v>21238</v>
      </c>
      <c r="G1285" s="21" t="s">
        <v>709</v>
      </c>
    </row>
    <row r="1286" customFormat="false" ht="28.35" hidden="false" customHeight="false" outlineLevel="0" collapsed="false">
      <c r="B1286" s="19" t="s">
        <v>21297</v>
      </c>
      <c r="C1286" s="20" t="n">
        <f aca="false">ROUND(0.65/FX,2)</f>
        <v>0.09</v>
      </c>
      <c r="D1286" s="21" t="s">
        <v>21230</v>
      </c>
      <c r="E1286" s="21" t="s">
        <v>7866</v>
      </c>
      <c r="F1286" s="21" t="s">
        <v>21238</v>
      </c>
      <c r="G1286" s="21" t="s">
        <v>21239</v>
      </c>
    </row>
    <row r="1287" customFormat="false" ht="28.35" hidden="false" customHeight="false" outlineLevel="0" collapsed="false">
      <c r="B1287" s="19" t="s">
        <v>21298</v>
      </c>
      <c r="C1287" s="20" t="n">
        <f aca="false">ROUND(8.45/FX,2)</f>
        <v>1.17</v>
      </c>
      <c r="D1287" s="21" t="s">
        <v>21230</v>
      </c>
      <c r="E1287" s="21" t="s">
        <v>21299</v>
      </c>
      <c r="F1287" s="21" t="s">
        <v>21238</v>
      </c>
      <c r="G1287" s="21" t="s">
        <v>709</v>
      </c>
    </row>
    <row r="1288" customFormat="false" ht="28.35" hidden="false" customHeight="false" outlineLevel="0" collapsed="false">
      <c r="B1288" s="19" t="s">
        <v>21300</v>
      </c>
      <c r="C1288" s="20" t="n">
        <f aca="false">ROUND(0.65/FX,2)</f>
        <v>0.09</v>
      </c>
      <c r="D1288" s="21" t="s">
        <v>21230</v>
      </c>
      <c r="E1288" s="21" t="s">
        <v>6525</v>
      </c>
      <c r="F1288" s="21" t="s">
        <v>21301</v>
      </c>
      <c r="G1288" s="21" t="s">
        <v>21239</v>
      </c>
    </row>
    <row r="1289" customFormat="false" ht="28.35" hidden="false" customHeight="false" outlineLevel="0" collapsed="false">
      <c r="B1289" s="19" t="s">
        <v>21302</v>
      </c>
      <c r="C1289" s="20" t="n">
        <f aca="false">ROUND(9.1/FX,2)</f>
        <v>1.26</v>
      </c>
      <c r="D1289" s="21" t="s">
        <v>21230</v>
      </c>
      <c r="E1289" s="21" t="s">
        <v>21303</v>
      </c>
      <c r="F1289" s="21" t="s">
        <v>21301</v>
      </c>
      <c r="G1289" s="21" t="s">
        <v>709</v>
      </c>
    </row>
    <row r="1290" customFormat="false" ht="28.35" hidden="false" customHeight="false" outlineLevel="0" collapsed="false">
      <c r="B1290" s="19" t="s">
        <v>21304</v>
      </c>
      <c r="C1290" s="20" t="n">
        <f aca="false">ROUND(1.3/FX,2)</f>
        <v>0.18</v>
      </c>
      <c r="D1290" s="21" t="s">
        <v>21230</v>
      </c>
      <c r="E1290" s="21" t="s">
        <v>7829</v>
      </c>
      <c r="F1290" s="21" t="s">
        <v>21301</v>
      </c>
      <c r="G1290" s="21" t="s">
        <v>21239</v>
      </c>
    </row>
    <row r="1291" customFormat="false" ht="28.35" hidden="false" customHeight="false" outlineLevel="0" collapsed="false">
      <c r="B1291" s="19" t="s">
        <v>21305</v>
      </c>
      <c r="C1291" s="20" t="n">
        <f aca="false">ROUND(17.55/FX,2)</f>
        <v>2.44</v>
      </c>
      <c r="D1291" s="21" t="s">
        <v>21230</v>
      </c>
      <c r="E1291" s="21" t="s">
        <v>21281</v>
      </c>
      <c r="F1291" s="21" t="s">
        <v>21301</v>
      </c>
      <c r="G1291" s="21" t="s">
        <v>709</v>
      </c>
    </row>
    <row r="1292" customFormat="false" ht="28.35" hidden="false" customHeight="false" outlineLevel="0" collapsed="false">
      <c r="B1292" s="19" t="s">
        <v>21306</v>
      </c>
      <c r="C1292" s="20" t="n">
        <f aca="false">ROUND(11.05/FX,2)</f>
        <v>1.53</v>
      </c>
      <c r="D1292" s="21" t="s">
        <v>21230</v>
      </c>
      <c r="E1292" s="21" t="s">
        <v>21243</v>
      </c>
      <c r="F1292" s="21" t="s">
        <v>21307</v>
      </c>
      <c r="G1292" s="21" t="s">
        <v>709</v>
      </c>
    </row>
    <row r="1293" customFormat="false" ht="28.35" hidden="false" customHeight="false" outlineLevel="0" collapsed="false">
      <c r="B1293" s="19" t="s">
        <v>21308</v>
      </c>
      <c r="C1293" s="20" t="n">
        <f aca="false">ROUND(11.05/FX,2)</f>
        <v>1.53</v>
      </c>
      <c r="D1293" s="21" t="s">
        <v>21230</v>
      </c>
      <c r="E1293" s="21" t="s">
        <v>21309</v>
      </c>
      <c r="F1293" s="21" t="s">
        <v>21307</v>
      </c>
      <c r="G1293" s="21" t="s">
        <v>709</v>
      </c>
    </row>
    <row r="1294" customFormat="false" ht="28.35" hidden="false" customHeight="false" outlineLevel="0" collapsed="false">
      <c r="B1294" s="19" t="s">
        <v>21310</v>
      </c>
      <c r="C1294" s="20" t="n">
        <f aca="false">ROUND(15.6/FX,2)</f>
        <v>2.17</v>
      </c>
      <c r="D1294" s="21" t="s">
        <v>21230</v>
      </c>
      <c r="E1294" s="21" t="s">
        <v>21311</v>
      </c>
      <c r="F1294" s="21" t="s">
        <v>21307</v>
      </c>
      <c r="G1294" s="21" t="s">
        <v>709</v>
      </c>
    </row>
    <row r="1295" customFormat="false" ht="28.35" hidden="false" customHeight="false" outlineLevel="0" collapsed="false">
      <c r="B1295" s="19" t="s">
        <v>21312</v>
      </c>
      <c r="C1295" s="20" t="n">
        <f aca="false">ROUND(15.6/FX,2)</f>
        <v>2.17</v>
      </c>
      <c r="D1295" s="21" t="s">
        <v>21230</v>
      </c>
      <c r="E1295" s="21" t="s">
        <v>21255</v>
      </c>
      <c r="F1295" s="21" t="s">
        <v>21307</v>
      </c>
      <c r="G1295" s="21" t="s">
        <v>709</v>
      </c>
    </row>
    <row r="1296" customFormat="false" ht="28.35" hidden="false" customHeight="false" outlineLevel="0" collapsed="false">
      <c r="B1296" s="19" t="s">
        <v>21313</v>
      </c>
      <c r="C1296" s="20" t="n">
        <f aca="false">ROUND(1.3/FX,2)</f>
        <v>0.18</v>
      </c>
      <c r="D1296" s="21" t="s">
        <v>21230</v>
      </c>
      <c r="E1296" s="21" t="s">
        <v>7875</v>
      </c>
      <c r="F1296" s="21" t="s">
        <v>21314</v>
      </c>
      <c r="G1296" s="21" t="s">
        <v>21239</v>
      </c>
    </row>
    <row r="1297" customFormat="false" ht="28.35" hidden="false" customHeight="false" outlineLevel="0" collapsed="false">
      <c r="B1297" s="19" t="s">
        <v>21315</v>
      </c>
      <c r="C1297" s="20" t="n">
        <f aca="false">ROUND(9.1/FX,2)</f>
        <v>1.26</v>
      </c>
      <c r="D1297" s="21" t="s">
        <v>21230</v>
      </c>
      <c r="E1297" s="21" t="s">
        <v>21241</v>
      </c>
      <c r="F1297" s="21" t="s">
        <v>21314</v>
      </c>
      <c r="G1297" s="21" t="s">
        <v>19729</v>
      </c>
    </row>
    <row r="1298" customFormat="false" ht="28.35" hidden="false" customHeight="false" outlineLevel="0" collapsed="false">
      <c r="B1298" s="19" t="s">
        <v>21316</v>
      </c>
      <c r="C1298" s="20" t="n">
        <f aca="false">ROUND(16.9/FX,2)</f>
        <v>2.35</v>
      </c>
      <c r="D1298" s="21" t="s">
        <v>21230</v>
      </c>
      <c r="E1298" s="21" t="s">
        <v>21241</v>
      </c>
      <c r="F1298" s="21" t="s">
        <v>21314</v>
      </c>
      <c r="G1298" s="21" t="s">
        <v>709</v>
      </c>
    </row>
    <row r="1299" customFormat="false" ht="28.35" hidden="false" customHeight="false" outlineLevel="0" collapsed="false">
      <c r="B1299" s="19" t="s">
        <v>21317</v>
      </c>
      <c r="C1299" s="20" t="n">
        <f aca="false">ROUND(16.9/FX,2)</f>
        <v>2.35</v>
      </c>
      <c r="D1299" s="21" t="s">
        <v>21230</v>
      </c>
      <c r="E1299" s="21" t="s">
        <v>21318</v>
      </c>
      <c r="F1299" s="21" t="s">
        <v>21314</v>
      </c>
      <c r="G1299" s="21" t="s">
        <v>709</v>
      </c>
    </row>
    <row r="1300" customFormat="false" ht="28.35" hidden="false" customHeight="false" outlineLevel="0" collapsed="false">
      <c r="B1300" s="19" t="s">
        <v>21319</v>
      </c>
      <c r="C1300" s="20" t="n">
        <f aca="false">ROUND(16.9/FX,2)</f>
        <v>2.35</v>
      </c>
      <c r="D1300" s="21" t="s">
        <v>21230</v>
      </c>
      <c r="E1300" s="21" t="s">
        <v>21309</v>
      </c>
      <c r="F1300" s="21" t="s">
        <v>21314</v>
      </c>
      <c r="G1300" s="21" t="s">
        <v>709</v>
      </c>
    </row>
    <row r="1301" customFormat="false" ht="28.35" hidden="false" customHeight="false" outlineLevel="0" collapsed="false">
      <c r="B1301" s="19" t="s">
        <v>21320</v>
      </c>
      <c r="C1301" s="20" t="n">
        <f aca="false">ROUND(16.9/FX,2)</f>
        <v>2.35</v>
      </c>
      <c r="D1301" s="21" t="s">
        <v>21230</v>
      </c>
      <c r="E1301" s="21" t="s">
        <v>21321</v>
      </c>
      <c r="F1301" s="21" t="s">
        <v>21314</v>
      </c>
      <c r="G1301" s="21" t="s">
        <v>709</v>
      </c>
    </row>
    <row r="1302" customFormat="false" ht="28.35" hidden="false" customHeight="false" outlineLevel="0" collapsed="false">
      <c r="B1302" s="19" t="s">
        <v>21322</v>
      </c>
      <c r="C1302" s="20" t="n">
        <f aca="false">ROUND(0.65/FX,2)</f>
        <v>0.09</v>
      </c>
      <c r="D1302" s="21" t="s">
        <v>21230</v>
      </c>
      <c r="E1302" s="21" t="s">
        <v>8804</v>
      </c>
      <c r="F1302" s="21" t="s">
        <v>21314</v>
      </c>
      <c r="G1302" s="21" t="s">
        <v>21239</v>
      </c>
    </row>
    <row r="1303" customFormat="false" ht="28.35" hidden="false" customHeight="false" outlineLevel="0" collapsed="false">
      <c r="B1303" s="19" t="s">
        <v>21323</v>
      </c>
      <c r="C1303" s="20" t="n">
        <f aca="false">ROUND(19.5/FX,2)</f>
        <v>2.71</v>
      </c>
      <c r="D1303" s="21" t="s">
        <v>21230</v>
      </c>
      <c r="E1303" s="21" t="s">
        <v>21245</v>
      </c>
      <c r="F1303" s="21" t="s">
        <v>21314</v>
      </c>
      <c r="G1303" s="21" t="s">
        <v>709</v>
      </c>
    </row>
    <row r="1304" customFormat="false" ht="28.35" hidden="false" customHeight="false" outlineLevel="0" collapsed="false">
      <c r="B1304" s="19" t="s">
        <v>21324</v>
      </c>
      <c r="C1304" s="20" t="n">
        <f aca="false">ROUND(16.9/FX,2)</f>
        <v>2.35</v>
      </c>
      <c r="D1304" s="21" t="s">
        <v>21230</v>
      </c>
      <c r="E1304" s="21" t="s">
        <v>21247</v>
      </c>
      <c r="F1304" s="21" t="s">
        <v>21314</v>
      </c>
      <c r="G1304" s="21" t="s">
        <v>709</v>
      </c>
    </row>
    <row r="1305" customFormat="false" ht="28.35" hidden="false" customHeight="false" outlineLevel="0" collapsed="false">
      <c r="B1305" s="19" t="s">
        <v>21325</v>
      </c>
      <c r="C1305" s="20" t="n">
        <f aca="false">ROUND(16.9/FX,2)</f>
        <v>2.35</v>
      </c>
      <c r="D1305" s="21" t="s">
        <v>21230</v>
      </c>
      <c r="E1305" s="21" t="s">
        <v>21326</v>
      </c>
      <c r="F1305" s="21" t="s">
        <v>21314</v>
      </c>
      <c r="G1305" s="21" t="s">
        <v>709</v>
      </c>
    </row>
    <row r="1306" customFormat="false" ht="28.35" hidden="false" customHeight="false" outlineLevel="0" collapsed="false">
      <c r="B1306" s="19" t="s">
        <v>21327</v>
      </c>
      <c r="C1306" s="20" t="n">
        <f aca="false">ROUND(1.3/FX,2)</f>
        <v>0.18</v>
      </c>
      <c r="D1306" s="21" t="s">
        <v>21230</v>
      </c>
      <c r="E1306" s="21" t="s">
        <v>9003</v>
      </c>
      <c r="F1306" s="21" t="s">
        <v>21314</v>
      </c>
      <c r="G1306" s="21" t="s">
        <v>21239</v>
      </c>
    </row>
    <row r="1307" customFormat="false" ht="28.35" hidden="false" customHeight="false" outlineLevel="0" collapsed="false">
      <c r="B1307" s="19" t="s">
        <v>21328</v>
      </c>
      <c r="C1307" s="20" t="n">
        <f aca="false">ROUND(19.5/FX,2)</f>
        <v>2.71</v>
      </c>
      <c r="D1307" s="21" t="s">
        <v>21230</v>
      </c>
      <c r="E1307" s="21" t="s">
        <v>21249</v>
      </c>
      <c r="F1307" s="21" t="s">
        <v>21314</v>
      </c>
      <c r="G1307" s="21" t="s">
        <v>709</v>
      </c>
    </row>
    <row r="1308" customFormat="false" ht="28.35" hidden="false" customHeight="false" outlineLevel="0" collapsed="false">
      <c r="B1308" s="19" t="s">
        <v>21329</v>
      </c>
      <c r="C1308" s="20" t="n">
        <f aca="false">ROUND(29.25/FX,2)</f>
        <v>4.06</v>
      </c>
      <c r="D1308" s="21" t="s">
        <v>21230</v>
      </c>
      <c r="E1308" s="21" t="s">
        <v>21249</v>
      </c>
      <c r="F1308" s="21" t="s">
        <v>21314</v>
      </c>
      <c r="G1308" s="21" t="s">
        <v>19735</v>
      </c>
    </row>
    <row r="1309" customFormat="false" ht="28.35" hidden="false" customHeight="false" outlineLevel="0" collapsed="false">
      <c r="B1309" s="19" t="s">
        <v>21330</v>
      </c>
      <c r="C1309" s="20" t="n">
        <f aca="false">ROUND(19.5/FX,2)</f>
        <v>2.71</v>
      </c>
      <c r="D1309" s="21" t="s">
        <v>21230</v>
      </c>
      <c r="E1309" s="21" t="s">
        <v>21251</v>
      </c>
      <c r="F1309" s="21" t="s">
        <v>21314</v>
      </c>
      <c r="G1309" s="21" t="s">
        <v>709</v>
      </c>
    </row>
    <row r="1310" customFormat="false" ht="28.35" hidden="false" customHeight="false" outlineLevel="0" collapsed="false">
      <c r="B1310" s="19" t="s">
        <v>21331</v>
      </c>
      <c r="C1310" s="20" t="n">
        <f aca="false">ROUND(29.25/FX,2)</f>
        <v>4.06</v>
      </c>
      <c r="D1310" s="21" t="s">
        <v>21230</v>
      </c>
      <c r="E1310" s="21" t="s">
        <v>21251</v>
      </c>
      <c r="F1310" s="21" t="s">
        <v>21314</v>
      </c>
      <c r="G1310" s="21" t="s">
        <v>19735</v>
      </c>
    </row>
    <row r="1311" customFormat="false" ht="28.35" hidden="false" customHeight="false" outlineLevel="0" collapsed="false">
      <c r="B1311" s="19" t="s">
        <v>21332</v>
      </c>
      <c r="C1311" s="20" t="n">
        <f aca="false">ROUND(19.5/FX,2)</f>
        <v>2.71</v>
      </c>
      <c r="D1311" s="21" t="s">
        <v>21230</v>
      </c>
      <c r="E1311" s="21" t="s">
        <v>21253</v>
      </c>
      <c r="F1311" s="21" t="s">
        <v>21314</v>
      </c>
      <c r="G1311" s="21" t="s">
        <v>709</v>
      </c>
    </row>
    <row r="1312" customFormat="false" ht="28.35" hidden="false" customHeight="false" outlineLevel="0" collapsed="false">
      <c r="B1312" s="19" t="s">
        <v>21333</v>
      </c>
      <c r="C1312" s="20" t="n">
        <f aca="false">ROUND(29.25/FX,2)</f>
        <v>4.06</v>
      </c>
      <c r="D1312" s="21" t="s">
        <v>21230</v>
      </c>
      <c r="E1312" s="21" t="s">
        <v>21253</v>
      </c>
      <c r="F1312" s="21" t="s">
        <v>21314</v>
      </c>
      <c r="G1312" s="21" t="s">
        <v>19735</v>
      </c>
    </row>
    <row r="1313" customFormat="false" ht="28.35" hidden="false" customHeight="false" outlineLevel="0" collapsed="false">
      <c r="B1313" s="19" t="s">
        <v>21334</v>
      </c>
      <c r="C1313" s="20" t="n">
        <f aca="false">ROUND(0.65/FX,2)</f>
        <v>0.09</v>
      </c>
      <c r="D1313" s="21" t="s">
        <v>21230</v>
      </c>
      <c r="E1313" s="21" t="s">
        <v>21335</v>
      </c>
      <c r="F1313" s="21" t="s">
        <v>21314</v>
      </c>
      <c r="G1313" s="21" t="s">
        <v>21239</v>
      </c>
    </row>
    <row r="1314" customFormat="false" ht="28.35" hidden="false" customHeight="false" outlineLevel="0" collapsed="false">
      <c r="B1314" s="19" t="s">
        <v>21336</v>
      </c>
      <c r="C1314" s="20" t="n">
        <f aca="false">ROUND(20.8/FX,2)</f>
        <v>2.89</v>
      </c>
      <c r="D1314" s="21" t="s">
        <v>21230</v>
      </c>
      <c r="E1314" s="21" t="s">
        <v>21311</v>
      </c>
      <c r="F1314" s="21" t="s">
        <v>21314</v>
      </c>
      <c r="G1314" s="21" t="s">
        <v>709</v>
      </c>
    </row>
    <row r="1315" customFormat="false" ht="28.35" hidden="false" customHeight="false" outlineLevel="0" collapsed="false">
      <c r="B1315" s="19" t="s">
        <v>21337</v>
      </c>
      <c r="C1315" s="20" t="n">
        <f aca="false">ROUND(20.8/FX,2)</f>
        <v>2.89</v>
      </c>
      <c r="D1315" s="21" t="s">
        <v>21230</v>
      </c>
      <c r="E1315" s="21" t="s">
        <v>21255</v>
      </c>
      <c r="F1315" s="21" t="s">
        <v>21314</v>
      </c>
      <c r="G1315" s="21" t="s">
        <v>709</v>
      </c>
    </row>
    <row r="1316" customFormat="false" ht="28.35" hidden="false" customHeight="false" outlineLevel="0" collapsed="false">
      <c r="B1316" s="19" t="s">
        <v>21338</v>
      </c>
      <c r="C1316" s="20" t="n">
        <f aca="false">ROUND(22.1/FX,2)</f>
        <v>3.07</v>
      </c>
      <c r="D1316" s="21" t="s">
        <v>21230</v>
      </c>
      <c r="E1316" s="21" t="s">
        <v>21339</v>
      </c>
      <c r="F1316" s="21" t="s">
        <v>21314</v>
      </c>
      <c r="G1316" s="21" t="s">
        <v>709</v>
      </c>
    </row>
    <row r="1317" customFormat="false" ht="28.35" hidden="false" customHeight="false" outlineLevel="0" collapsed="false">
      <c r="B1317" s="19" t="s">
        <v>21340</v>
      </c>
      <c r="C1317" s="20" t="n">
        <f aca="false">ROUND(20.15/FX,2)</f>
        <v>2.8</v>
      </c>
      <c r="D1317" s="21" t="s">
        <v>21230</v>
      </c>
      <c r="E1317" s="21" t="s">
        <v>21261</v>
      </c>
      <c r="F1317" s="21" t="s">
        <v>21314</v>
      </c>
      <c r="G1317" s="21" t="s">
        <v>709</v>
      </c>
    </row>
    <row r="1318" customFormat="false" ht="28.35" hidden="false" customHeight="false" outlineLevel="0" collapsed="false">
      <c r="B1318" s="19" t="s">
        <v>21341</v>
      </c>
      <c r="C1318" s="20" t="n">
        <f aca="false">ROUND(20.15/FX,2)</f>
        <v>2.8</v>
      </c>
      <c r="D1318" s="21" t="s">
        <v>21230</v>
      </c>
      <c r="E1318" s="21" t="s">
        <v>21342</v>
      </c>
      <c r="F1318" s="21" t="s">
        <v>21314</v>
      </c>
      <c r="G1318" s="21" t="s">
        <v>709</v>
      </c>
    </row>
    <row r="1319" customFormat="false" ht="28.35" hidden="false" customHeight="false" outlineLevel="0" collapsed="false">
      <c r="B1319" s="19" t="s">
        <v>21343</v>
      </c>
      <c r="C1319" s="20" t="n">
        <f aca="false">ROUND(18.2/FX,2)</f>
        <v>2.53</v>
      </c>
      <c r="D1319" s="21" t="s">
        <v>21230</v>
      </c>
      <c r="E1319" s="21" t="s">
        <v>21263</v>
      </c>
      <c r="F1319" s="21" t="s">
        <v>21314</v>
      </c>
      <c r="G1319" s="21" t="s">
        <v>709</v>
      </c>
    </row>
    <row r="1320" customFormat="false" ht="28.35" hidden="false" customHeight="false" outlineLevel="0" collapsed="false">
      <c r="B1320" s="19" t="s">
        <v>21344</v>
      </c>
      <c r="C1320" s="20" t="n">
        <f aca="false">ROUND(18.2/FX,2)</f>
        <v>2.53</v>
      </c>
      <c r="D1320" s="21" t="s">
        <v>21230</v>
      </c>
      <c r="E1320" s="21" t="s">
        <v>21265</v>
      </c>
      <c r="F1320" s="21" t="s">
        <v>21314</v>
      </c>
      <c r="G1320" s="21" t="s">
        <v>709</v>
      </c>
    </row>
    <row r="1321" customFormat="false" ht="28.35" hidden="false" customHeight="false" outlineLevel="0" collapsed="false">
      <c r="B1321" s="19" t="s">
        <v>21345</v>
      </c>
      <c r="C1321" s="20" t="n">
        <f aca="false">ROUND(18.2/FX,2)</f>
        <v>2.53</v>
      </c>
      <c r="D1321" s="21" t="s">
        <v>21230</v>
      </c>
      <c r="E1321" s="21" t="s">
        <v>21267</v>
      </c>
      <c r="F1321" s="21" t="s">
        <v>21314</v>
      </c>
      <c r="G1321" s="21" t="s">
        <v>709</v>
      </c>
    </row>
    <row r="1322" customFormat="false" ht="28.35" hidden="false" customHeight="false" outlineLevel="0" collapsed="false">
      <c r="B1322" s="19" t="s">
        <v>21346</v>
      </c>
      <c r="C1322" s="20" t="n">
        <f aca="false">ROUND(13/FX,2)</f>
        <v>1.81</v>
      </c>
      <c r="D1322" s="21" t="s">
        <v>21230</v>
      </c>
      <c r="E1322" s="21" t="s">
        <v>21347</v>
      </c>
      <c r="F1322" s="21" t="s">
        <v>21314</v>
      </c>
      <c r="G1322" s="21" t="s">
        <v>709</v>
      </c>
    </row>
    <row r="1323" customFormat="false" ht="28.35" hidden="false" customHeight="false" outlineLevel="0" collapsed="false">
      <c r="B1323" s="19" t="s">
        <v>21348</v>
      </c>
      <c r="C1323" s="20" t="n">
        <f aca="false">ROUND(13.65/FX,2)</f>
        <v>1.9</v>
      </c>
      <c r="D1323" s="21" t="s">
        <v>21230</v>
      </c>
      <c r="E1323" s="21" t="s">
        <v>21269</v>
      </c>
      <c r="F1323" s="21" t="s">
        <v>21314</v>
      </c>
      <c r="G1323" s="21" t="s">
        <v>709</v>
      </c>
    </row>
    <row r="1324" customFormat="false" ht="28.35" hidden="false" customHeight="false" outlineLevel="0" collapsed="false">
      <c r="B1324" s="19" t="s">
        <v>21349</v>
      </c>
      <c r="C1324" s="20" t="n">
        <f aca="false">ROUND(18.2/FX,2)</f>
        <v>2.53</v>
      </c>
      <c r="D1324" s="21" t="s">
        <v>21230</v>
      </c>
      <c r="E1324" s="21" t="s">
        <v>21271</v>
      </c>
      <c r="F1324" s="21" t="s">
        <v>21314</v>
      </c>
      <c r="G1324" s="21" t="s">
        <v>709</v>
      </c>
    </row>
    <row r="1325" customFormat="false" ht="28.35" hidden="false" customHeight="false" outlineLevel="0" collapsed="false">
      <c r="B1325" s="19" t="s">
        <v>21350</v>
      </c>
      <c r="C1325" s="20" t="n">
        <f aca="false">ROUND(18.2/FX,2)</f>
        <v>2.53</v>
      </c>
      <c r="D1325" s="21" t="s">
        <v>21230</v>
      </c>
      <c r="E1325" s="21" t="s">
        <v>21273</v>
      </c>
      <c r="F1325" s="21" t="s">
        <v>21314</v>
      </c>
      <c r="G1325" s="21" t="s">
        <v>709</v>
      </c>
    </row>
    <row r="1326" customFormat="false" ht="28.35" hidden="false" customHeight="false" outlineLevel="0" collapsed="false">
      <c r="B1326" s="19" t="s">
        <v>21351</v>
      </c>
      <c r="C1326" s="20" t="n">
        <f aca="false">ROUND(19.5/FX,2)</f>
        <v>2.71</v>
      </c>
      <c r="D1326" s="21" t="s">
        <v>21230</v>
      </c>
      <c r="E1326" s="21" t="s">
        <v>21352</v>
      </c>
      <c r="F1326" s="21" t="s">
        <v>21314</v>
      </c>
      <c r="G1326" s="21" t="s">
        <v>709</v>
      </c>
    </row>
    <row r="1327" customFormat="false" ht="28.35" hidden="false" customHeight="false" outlineLevel="0" collapsed="false">
      <c r="B1327" s="19" t="s">
        <v>21353</v>
      </c>
      <c r="C1327" s="20" t="n">
        <f aca="false">ROUND(18.2/FX,2)</f>
        <v>2.53</v>
      </c>
      <c r="D1327" s="21" t="s">
        <v>21230</v>
      </c>
      <c r="E1327" s="21" t="s">
        <v>21277</v>
      </c>
      <c r="F1327" s="21" t="s">
        <v>21314</v>
      </c>
      <c r="G1327" s="21" t="s">
        <v>709</v>
      </c>
    </row>
    <row r="1328" customFormat="false" ht="28.35" hidden="false" customHeight="false" outlineLevel="0" collapsed="false">
      <c r="B1328" s="19" t="s">
        <v>21354</v>
      </c>
      <c r="C1328" s="20" t="n">
        <f aca="false">ROUND(19.5/FX,2)</f>
        <v>2.71</v>
      </c>
      <c r="D1328" s="21" t="s">
        <v>21230</v>
      </c>
      <c r="E1328" s="21" t="s">
        <v>9166</v>
      </c>
      <c r="F1328" s="21" t="s">
        <v>21314</v>
      </c>
      <c r="G1328" s="21" t="s">
        <v>709</v>
      </c>
    </row>
    <row r="1329" customFormat="false" ht="28.35" hidden="false" customHeight="false" outlineLevel="0" collapsed="false">
      <c r="B1329" s="19" t="s">
        <v>21355</v>
      </c>
      <c r="C1329" s="20" t="n">
        <f aca="false">ROUND(22.1/FX,2)</f>
        <v>3.07</v>
      </c>
      <c r="D1329" s="21" t="s">
        <v>21230</v>
      </c>
      <c r="E1329" s="21" t="s">
        <v>9202</v>
      </c>
      <c r="F1329" s="21" t="s">
        <v>21314</v>
      </c>
      <c r="G1329" s="21" t="s">
        <v>709</v>
      </c>
    </row>
    <row r="1330" customFormat="false" ht="28.35" hidden="false" customHeight="false" outlineLevel="0" collapsed="false">
      <c r="B1330" s="19" t="s">
        <v>21356</v>
      </c>
      <c r="C1330" s="20" t="n">
        <f aca="false">ROUND(23.4/FX,2)</f>
        <v>3.25</v>
      </c>
      <c r="D1330" s="21" t="s">
        <v>21230</v>
      </c>
      <c r="E1330" s="21" t="s">
        <v>21234</v>
      </c>
      <c r="F1330" s="21" t="s">
        <v>21314</v>
      </c>
      <c r="G1330" s="21" t="s">
        <v>709</v>
      </c>
    </row>
    <row r="1331" customFormat="false" ht="28.35" hidden="false" customHeight="false" outlineLevel="0" collapsed="false">
      <c r="B1331" s="19" t="s">
        <v>21357</v>
      </c>
      <c r="C1331" s="20" t="n">
        <f aca="false">ROUND(16.38/FX,2)</f>
        <v>2.28</v>
      </c>
      <c r="D1331" s="21" t="s">
        <v>21230</v>
      </c>
      <c r="E1331" s="21" t="s">
        <v>21358</v>
      </c>
      <c r="F1331" s="21" t="s">
        <v>21359</v>
      </c>
      <c r="G1331" s="21" t="s">
        <v>709</v>
      </c>
    </row>
    <row r="1332" customFormat="false" ht="15" hidden="false" customHeight="false" outlineLevel="0" collapsed="false">
      <c r="B1332" s="19" t="s">
        <v>21360</v>
      </c>
      <c r="C1332" s="20" t="n">
        <f aca="false">ROUND(18.2/FX,2)</f>
        <v>2.53</v>
      </c>
      <c r="D1332" s="21" t="s">
        <v>724</v>
      </c>
      <c r="E1332" s="21" t="s">
        <v>8045</v>
      </c>
      <c r="F1332" s="21" t="s">
        <v>21361</v>
      </c>
      <c r="G1332" s="21" t="s">
        <v>709</v>
      </c>
    </row>
    <row r="1333" customFormat="false" ht="15" hidden="false" customHeight="false" outlineLevel="0" collapsed="false">
      <c r="B1333" s="19" t="s">
        <v>21362</v>
      </c>
      <c r="C1333" s="20" t="n">
        <f aca="false">ROUND(16.5/FX,2)</f>
        <v>2.29</v>
      </c>
      <c r="D1333" s="21" t="s">
        <v>724</v>
      </c>
      <c r="E1333" s="21" t="s">
        <v>21263</v>
      </c>
      <c r="F1333" s="21" t="s">
        <v>21361</v>
      </c>
      <c r="G1333" s="21" t="s">
        <v>709</v>
      </c>
    </row>
    <row r="1334" customFormat="false" ht="15" hidden="false" customHeight="false" outlineLevel="0" collapsed="false">
      <c r="B1334" s="19" t="s">
        <v>21363</v>
      </c>
      <c r="C1334" s="20" t="n">
        <f aca="false">ROUND(36.4/FX,2)</f>
        <v>5.06</v>
      </c>
      <c r="D1334" s="21" t="s">
        <v>751</v>
      </c>
      <c r="E1334" s="21" t="s">
        <v>21263</v>
      </c>
      <c r="F1334" s="21" t="s">
        <v>21361</v>
      </c>
      <c r="G1334" s="21" t="s">
        <v>709</v>
      </c>
    </row>
    <row r="1335" customFormat="false" ht="15" hidden="false" customHeight="false" outlineLevel="0" collapsed="false">
      <c r="B1335" s="19" t="s">
        <v>21364</v>
      </c>
      <c r="C1335" s="20" t="n">
        <f aca="false">ROUND(13/FX,2)</f>
        <v>1.81</v>
      </c>
      <c r="D1335" s="21" t="s">
        <v>724</v>
      </c>
      <c r="E1335" s="21" t="s">
        <v>21265</v>
      </c>
      <c r="F1335" s="21" t="s">
        <v>21361</v>
      </c>
      <c r="G1335" s="21" t="s">
        <v>709</v>
      </c>
    </row>
    <row r="1336" customFormat="false" ht="15" hidden="false" customHeight="false" outlineLevel="0" collapsed="false">
      <c r="B1336" s="19" t="s">
        <v>21365</v>
      </c>
      <c r="C1336" s="20" t="n">
        <f aca="false">ROUND(16.5/FX,2)</f>
        <v>2.29</v>
      </c>
      <c r="D1336" s="21" t="s">
        <v>724</v>
      </c>
      <c r="E1336" s="21" t="s">
        <v>21267</v>
      </c>
      <c r="F1336" s="21" t="s">
        <v>21361</v>
      </c>
      <c r="G1336" s="21" t="s">
        <v>709</v>
      </c>
    </row>
    <row r="1337" customFormat="false" ht="15" hidden="false" customHeight="false" outlineLevel="0" collapsed="false">
      <c r="B1337" s="19" t="s">
        <v>21366</v>
      </c>
      <c r="C1337" s="20" t="n">
        <f aca="false">ROUND(18.03/FX,2)</f>
        <v>2.5</v>
      </c>
      <c r="D1337" s="21" t="s">
        <v>724</v>
      </c>
      <c r="E1337" s="21" t="s">
        <v>21269</v>
      </c>
      <c r="F1337" s="21" t="s">
        <v>21361</v>
      </c>
      <c r="G1337" s="21" t="s">
        <v>709</v>
      </c>
    </row>
    <row r="1338" customFormat="false" ht="15" hidden="false" customHeight="false" outlineLevel="0" collapsed="false">
      <c r="B1338" s="19" t="s">
        <v>21367</v>
      </c>
      <c r="C1338" s="20" t="n">
        <f aca="false">ROUND(18.03/FX,2)</f>
        <v>2.5</v>
      </c>
      <c r="D1338" s="21" t="s">
        <v>724</v>
      </c>
      <c r="E1338" s="21" t="s">
        <v>21271</v>
      </c>
      <c r="F1338" s="21" t="s">
        <v>21361</v>
      </c>
      <c r="G1338" s="21" t="s">
        <v>709</v>
      </c>
    </row>
    <row r="1339" customFormat="false" ht="15" hidden="false" customHeight="false" outlineLevel="0" collapsed="false">
      <c r="B1339" s="19" t="s">
        <v>21368</v>
      </c>
      <c r="C1339" s="20" t="n">
        <f aca="false">ROUND(18.03/FX,2)</f>
        <v>2.5</v>
      </c>
      <c r="D1339" s="21" t="s">
        <v>724</v>
      </c>
      <c r="E1339" s="21" t="s">
        <v>21273</v>
      </c>
      <c r="F1339" s="21" t="s">
        <v>21361</v>
      </c>
      <c r="G1339" s="21" t="s">
        <v>709</v>
      </c>
    </row>
    <row r="1340" customFormat="false" ht="15" hidden="false" customHeight="false" outlineLevel="0" collapsed="false">
      <c r="B1340" s="19" t="s">
        <v>21369</v>
      </c>
      <c r="C1340" s="20" t="n">
        <f aca="false">ROUND(19.3/FX,2)</f>
        <v>2.68</v>
      </c>
      <c r="D1340" s="21" t="s">
        <v>724</v>
      </c>
      <c r="E1340" s="21" t="s">
        <v>21275</v>
      </c>
      <c r="F1340" s="21" t="s">
        <v>21361</v>
      </c>
      <c r="G1340" s="21" t="s">
        <v>709</v>
      </c>
    </row>
    <row r="1341" customFormat="false" ht="15" hidden="false" customHeight="false" outlineLevel="0" collapsed="false">
      <c r="B1341" s="19" t="s">
        <v>21370</v>
      </c>
      <c r="C1341" s="20" t="n">
        <f aca="false">ROUND(19.3/FX,2)</f>
        <v>2.68</v>
      </c>
      <c r="D1341" s="21" t="s">
        <v>724</v>
      </c>
      <c r="E1341" s="21" t="s">
        <v>21371</v>
      </c>
      <c r="F1341" s="21" t="s">
        <v>21361</v>
      </c>
      <c r="G1341" s="21" t="s">
        <v>709</v>
      </c>
    </row>
    <row r="1342" customFormat="false" ht="15" hidden="false" customHeight="false" outlineLevel="0" collapsed="false">
      <c r="B1342" s="19" t="s">
        <v>21372</v>
      </c>
      <c r="C1342" s="20" t="n">
        <f aca="false">ROUND(19.3/FX,2)</f>
        <v>2.68</v>
      </c>
      <c r="D1342" s="21" t="s">
        <v>724</v>
      </c>
      <c r="E1342" s="21" t="s">
        <v>21373</v>
      </c>
      <c r="F1342" s="21" t="s">
        <v>21361</v>
      </c>
      <c r="G1342" s="21" t="s">
        <v>709</v>
      </c>
    </row>
    <row r="1343" customFormat="false" ht="15" hidden="false" customHeight="false" outlineLevel="0" collapsed="false">
      <c r="B1343" s="19" t="s">
        <v>21374</v>
      </c>
      <c r="C1343" s="20" t="n">
        <f aca="false">ROUND(20.82/FX,2)</f>
        <v>2.89</v>
      </c>
      <c r="D1343" s="21" t="s">
        <v>724</v>
      </c>
      <c r="E1343" s="21" t="s">
        <v>21277</v>
      </c>
      <c r="F1343" s="21" t="s">
        <v>21361</v>
      </c>
      <c r="G1343" s="21" t="s">
        <v>709</v>
      </c>
    </row>
    <row r="1344" customFormat="false" ht="15" hidden="false" customHeight="false" outlineLevel="0" collapsed="false">
      <c r="B1344" s="19" t="s">
        <v>21375</v>
      </c>
      <c r="C1344" s="20" t="n">
        <f aca="false">ROUND(20.8/FX,2)</f>
        <v>2.89</v>
      </c>
      <c r="D1344" s="21" t="s">
        <v>724</v>
      </c>
      <c r="E1344" s="21" t="s">
        <v>21376</v>
      </c>
      <c r="F1344" s="21" t="s">
        <v>21361</v>
      </c>
      <c r="G1344" s="21" t="s">
        <v>709</v>
      </c>
    </row>
    <row r="1345" customFormat="false" ht="15" hidden="false" customHeight="false" outlineLevel="0" collapsed="false">
      <c r="B1345" s="19" t="s">
        <v>21377</v>
      </c>
      <c r="C1345" s="20" t="n">
        <f aca="false">ROUND(20.8/FX,2)</f>
        <v>2.89</v>
      </c>
      <c r="D1345" s="21" t="s">
        <v>724</v>
      </c>
      <c r="E1345" s="21" t="s">
        <v>21378</v>
      </c>
      <c r="F1345" s="21" t="s">
        <v>21361</v>
      </c>
      <c r="G1345" s="21" t="s">
        <v>709</v>
      </c>
    </row>
    <row r="1346" customFormat="false" ht="15" hidden="false" customHeight="false" outlineLevel="0" collapsed="false">
      <c r="B1346" s="19" t="s">
        <v>21379</v>
      </c>
      <c r="C1346" s="20" t="n">
        <f aca="false">ROUND(1.3/FX,2)</f>
        <v>0.18</v>
      </c>
      <c r="D1346" s="21" t="s">
        <v>21230</v>
      </c>
      <c r="E1346" s="21" t="s">
        <v>9166</v>
      </c>
      <c r="F1346" s="21" t="s">
        <v>21361</v>
      </c>
      <c r="G1346" s="21" t="s">
        <v>21239</v>
      </c>
    </row>
    <row r="1347" customFormat="false" ht="15" hidden="false" customHeight="false" outlineLevel="0" collapsed="false">
      <c r="B1347" s="19" t="s">
        <v>21380</v>
      </c>
      <c r="C1347" s="20" t="n">
        <f aca="false">ROUND(12.96/FX,2)</f>
        <v>1.8</v>
      </c>
      <c r="D1347" s="21" t="s">
        <v>724</v>
      </c>
      <c r="E1347" s="21" t="s">
        <v>21381</v>
      </c>
      <c r="F1347" s="21" t="s">
        <v>21361</v>
      </c>
      <c r="G1347" s="21" t="s">
        <v>709</v>
      </c>
    </row>
    <row r="1348" customFormat="false" ht="15" hidden="false" customHeight="false" outlineLevel="0" collapsed="false">
      <c r="B1348" s="19" t="s">
        <v>21382</v>
      </c>
      <c r="C1348" s="20" t="n">
        <f aca="false">ROUND(11.7/FX,2)</f>
        <v>1.63</v>
      </c>
      <c r="D1348" s="21" t="s">
        <v>724</v>
      </c>
      <c r="E1348" s="21" t="s">
        <v>21383</v>
      </c>
      <c r="F1348" s="21" t="s">
        <v>21361</v>
      </c>
      <c r="G1348" s="21" t="s">
        <v>709</v>
      </c>
    </row>
    <row r="1349" customFormat="false" ht="15" hidden="false" customHeight="false" outlineLevel="0" collapsed="false">
      <c r="B1349" s="19" t="s">
        <v>21384</v>
      </c>
      <c r="C1349" s="20" t="n">
        <f aca="false">ROUND(11.7/FX,2)</f>
        <v>1.63</v>
      </c>
      <c r="D1349" s="21" t="s">
        <v>724</v>
      </c>
      <c r="E1349" s="21" t="s">
        <v>21385</v>
      </c>
      <c r="F1349" s="21" t="s">
        <v>21361</v>
      </c>
      <c r="G1349" s="21" t="s">
        <v>709</v>
      </c>
    </row>
    <row r="1350" customFormat="false" ht="15" hidden="false" customHeight="false" outlineLevel="0" collapsed="false">
      <c r="B1350" s="19" t="s">
        <v>21386</v>
      </c>
      <c r="C1350" s="20" t="n">
        <f aca="false">ROUND(13/FX,2)</f>
        <v>1.81</v>
      </c>
      <c r="D1350" s="21" t="s">
        <v>724</v>
      </c>
      <c r="E1350" s="21" t="s">
        <v>21387</v>
      </c>
      <c r="F1350" s="21" t="s">
        <v>21361</v>
      </c>
      <c r="G1350" s="21" t="s">
        <v>709</v>
      </c>
    </row>
    <row r="1351" customFormat="false" ht="28.35" hidden="false" customHeight="false" outlineLevel="0" collapsed="false">
      <c r="B1351" s="19" t="s">
        <v>21388</v>
      </c>
      <c r="C1351" s="20" t="n">
        <f aca="false">ROUND(22.1/FX,2)</f>
        <v>3.07</v>
      </c>
      <c r="D1351" s="21" t="s">
        <v>724</v>
      </c>
      <c r="E1351" s="21" t="s">
        <v>21247</v>
      </c>
      <c r="F1351" s="21" t="s">
        <v>21389</v>
      </c>
      <c r="G1351" s="21" t="s">
        <v>709</v>
      </c>
    </row>
    <row r="1352" customFormat="false" ht="28.35" hidden="false" customHeight="false" outlineLevel="0" collapsed="false">
      <c r="B1352" s="19" t="s">
        <v>21390</v>
      </c>
      <c r="C1352" s="20" t="n">
        <f aca="false">ROUND(19.5/FX,2)</f>
        <v>2.71</v>
      </c>
      <c r="D1352" s="21" t="s">
        <v>724</v>
      </c>
      <c r="E1352" s="21" t="s">
        <v>21251</v>
      </c>
      <c r="F1352" s="21" t="s">
        <v>21389</v>
      </c>
      <c r="G1352" s="21" t="s">
        <v>709</v>
      </c>
    </row>
    <row r="1353" customFormat="false" ht="28.35" hidden="false" customHeight="false" outlineLevel="0" collapsed="false">
      <c r="B1353" s="19" t="s">
        <v>21391</v>
      </c>
      <c r="C1353" s="20" t="n">
        <f aca="false">ROUND(22.1/FX,2)</f>
        <v>3.07</v>
      </c>
      <c r="D1353" s="21" t="s">
        <v>724</v>
      </c>
      <c r="E1353" s="21" t="s">
        <v>21255</v>
      </c>
      <c r="F1353" s="21" t="s">
        <v>21389</v>
      </c>
      <c r="G1353" s="21" t="s">
        <v>709</v>
      </c>
    </row>
    <row r="1354" customFormat="false" ht="41.75" hidden="false" customHeight="false" outlineLevel="0" collapsed="false">
      <c r="B1354" s="19" t="s">
        <v>21392</v>
      </c>
      <c r="C1354" s="20" t="n">
        <f aca="false">ROUND(29.04/FX,2)</f>
        <v>4.03</v>
      </c>
      <c r="D1354" s="21" t="s">
        <v>21230</v>
      </c>
      <c r="E1354" s="21" t="s">
        <v>21358</v>
      </c>
      <c r="F1354" s="21" t="s">
        <v>21393</v>
      </c>
      <c r="G1354" s="21" t="s">
        <v>709</v>
      </c>
    </row>
    <row r="1355" customFormat="false" ht="41.75" hidden="false" customHeight="false" outlineLevel="0" collapsed="false">
      <c r="B1355" s="19" t="s">
        <v>21394</v>
      </c>
      <c r="C1355" s="20" t="n">
        <f aca="false">ROUND(27.3/FX,2)</f>
        <v>3.79</v>
      </c>
      <c r="D1355" s="21" t="s">
        <v>21230</v>
      </c>
      <c r="E1355" s="21" t="s">
        <v>21395</v>
      </c>
      <c r="F1355" s="21" t="s">
        <v>21393</v>
      </c>
      <c r="G1355" s="21" t="s">
        <v>709</v>
      </c>
    </row>
    <row r="1356" customFormat="false" ht="41.75" hidden="false" customHeight="false" outlineLevel="0" collapsed="false">
      <c r="B1356" s="19" t="s">
        <v>21396</v>
      </c>
      <c r="C1356" s="20" t="n">
        <f aca="false">ROUND(29.25/FX,2)</f>
        <v>4.06</v>
      </c>
      <c r="D1356" s="21" t="s">
        <v>21230</v>
      </c>
      <c r="E1356" s="21" t="s">
        <v>21397</v>
      </c>
      <c r="F1356" s="21" t="s">
        <v>21393</v>
      </c>
      <c r="G1356" s="21" t="s">
        <v>709</v>
      </c>
    </row>
    <row r="1357" customFormat="false" ht="15" hidden="false" customHeight="false" outlineLevel="0" collapsed="false">
      <c r="B1357" s="19" t="s">
        <v>21398</v>
      </c>
      <c r="C1357" s="20" t="n">
        <f aca="false">ROUND(28.6/FX,2)</f>
        <v>3.97</v>
      </c>
      <c r="D1357" s="21" t="s">
        <v>21230</v>
      </c>
      <c r="E1357" s="21" t="s">
        <v>21381</v>
      </c>
      <c r="F1357" s="21" t="s">
        <v>21399</v>
      </c>
      <c r="G1357" s="21" t="s">
        <v>709</v>
      </c>
    </row>
    <row r="1358" customFormat="false" ht="15" hidden="false" customHeight="false" outlineLevel="0" collapsed="false">
      <c r="B1358" s="19" t="s">
        <v>21400</v>
      </c>
      <c r="C1358" s="20" t="n">
        <f aca="false">ROUND(29.9/FX,2)</f>
        <v>4.15</v>
      </c>
      <c r="D1358" s="21" t="s">
        <v>21230</v>
      </c>
      <c r="E1358" s="21" t="s">
        <v>21383</v>
      </c>
      <c r="F1358" s="21" t="s">
        <v>21399</v>
      </c>
      <c r="G1358" s="21" t="s">
        <v>709</v>
      </c>
    </row>
    <row r="1359" customFormat="false" ht="15" hidden="false" customHeight="false" outlineLevel="0" collapsed="false">
      <c r="B1359" s="19" t="s">
        <v>21401</v>
      </c>
      <c r="C1359" s="20" t="n">
        <f aca="false">ROUND(31.2/FX,2)</f>
        <v>4.33</v>
      </c>
      <c r="D1359" s="21" t="s">
        <v>21230</v>
      </c>
      <c r="E1359" s="21" t="s">
        <v>21385</v>
      </c>
      <c r="F1359" s="21" t="s">
        <v>21399</v>
      </c>
      <c r="G1359" s="21" t="s">
        <v>709</v>
      </c>
    </row>
    <row r="1360" customFormat="false" ht="15" hidden="false" customHeight="false" outlineLevel="0" collapsed="false">
      <c r="B1360" s="19" t="s">
        <v>21402</v>
      </c>
      <c r="C1360" s="20" t="n">
        <f aca="false">ROUND(32.5/FX,2)</f>
        <v>4.51</v>
      </c>
      <c r="D1360" s="21" t="s">
        <v>21230</v>
      </c>
      <c r="E1360" s="21" t="s">
        <v>21387</v>
      </c>
      <c r="F1360" s="21" t="s">
        <v>21399</v>
      </c>
      <c r="G1360" s="21" t="s">
        <v>709</v>
      </c>
    </row>
    <row r="1361" customFormat="false" ht="15" hidden="false" customHeight="false" outlineLevel="0" collapsed="false">
      <c r="B1361" s="19" t="s">
        <v>21403</v>
      </c>
      <c r="C1361" s="20" t="n">
        <f aca="false">ROUND(48.1/FX,2)</f>
        <v>6.68</v>
      </c>
      <c r="D1361" s="21" t="s">
        <v>21230</v>
      </c>
      <c r="E1361" s="21" t="s">
        <v>21404</v>
      </c>
      <c r="F1361" s="21" t="s">
        <v>21399</v>
      </c>
      <c r="G1361" s="21" t="s">
        <v>709</v>
      </c>
    </row>
    <row r="1362" customFormat="false" ht="15" hidden="false" customHeight="false" outlineLevel="0" collapsed="false">
      <c r="B1362" s="19" t="s">
        <v>21405</v>
      </c>
      <c r="C1362" s="20" t="n">
        <f aca="false">ROUND(33.8/FX,2)</f>
        <v>4.69</v>
      </c>
      <c r="D1362" s="21" t="s">
        <v>21230</v>
      </c>
      <c r="E1362" s="21" t="s">
        <v>9183</v>
      </c>
      <c r="F1362" s="21" t="s">
        <v>21399</v>
      </c>
      <c r="G1362" s="21" t="s">
        <v>709</v>
      </c>
    </row>
    <row r="1363" customFormat="false" ht="15" hidden="false" customHeight="false" outlineLevel="0" collapsed="false">
      <c r="B1363" s="19" t="s">
        <v>21406</v>
      </c>
      <c r="C1363" s="20" t="n">
        <f aca="false">ROUND(35.1/FX,2)</f>
        <v>4.88</v>
      </c>
      <c r="D1363" s="21" t="s">
        <v>21230</v>
      </c>
      <c r="E1363" s="21" t="s">
        <v>9207</v>
      </c>
      <c r="F1363" s="21" t="s">
        <v>21399</v>
      </c>
      <c r="G1363" s="21" t="s">
        <v>709</v>
      </c>
    </row>
    <row r="1364" customFormat="false" ht="15" hidden="false" customHeight="false" outlineLevel="0" collapsed="false">
      <c r="B1364" s="19" t="s">
        <v>21407</v>
      </c>
      <c r="C1364" s="20" t="n">
        <f aca="false">ROUND(36.4/FX,2)</f>
        <v>5.06</v>
      </c>
      <c r="D1364" s="21" t="s">
        <v>21230</v>
      </c>
      <c r="E1364" s="21" t="s">
        <v>21408</v>
      </c>
      <c r="F1364" s="21" t="s">
        <v>21399</v>
      </c>
      <c r="G1364" s="21" t="s">
        <v>709</v>
      </c>
    </row>
    <row r="1365" customFormat="false" ht="15" hidden="false" customHeight="false" outlineLevel="0" collapsed="false">
      <c r="B1365" s="19" t="s">
        <v>21409</v>
      </c>
      <c r="C1365" s="20" t="n">
        <f aca="false">ROUND(37.7/FX,2)</f>
        <v>5.24</v>
      </c>
      <c r="D1365" s="21" t="s">
        <v>21230</v>
      </c>
      <c r="E1365" s="21" t="s">
        <v>21410</v>
      </c>
      <c r="F1365" s="21" t="s">
        <v>21399</v>
      </c>
      <c r="G1365" s="21" t="s">
        <v>709</v>
      </c>
    </row>
    <row r="1366" customFormat="false" ht="15" hidden="false" customHeight="false" outlineLevel="0" collapsed="false">
      <c r="B1366" s="19" t="s">
        <v>21411</v>
      </c>
      <c r="C1366" s="20" t="n">
        <f aca="false">ROUND(37.7/FX,2)</f>
        <v>5.24</v>
      </c>
      <c r="D1366" s="21" t="s">
        <v>21230</v>
      </c>
      <c r="E1366" s="21" t="s">
        <v>21412</v>
      </c>
      <c r="F1366" s="21" t="s">
        <v>21399</v>
      </c>
      <c r="G1366" s="21" t="s">
        <v>709</v>
      </c>
    </row>
    <row r="1367" customFormat="false" ht="15" hidden="false" customHeight="false" outlineLevel="0" collapsed="false">
      <c r="B1367" s="19" t="s">
        <v>21413</v>
      </c>
      <c r="C1367" s="20" t="n">
        <f aca="false">ROUND(39/FX,2)</f>
        <v>5.42</v>
      </c>
      <c r="D1367" s="21" t="s">
        <v>21230</v>
      </c>
      <c r="E1367" s="21" t="s">
        <v>21414</v>
      </c>
      <c r="F1367" s="21" t="s">
        <v>21399</v>
      </c>
      <c r="G1367" s="21" t="s">
        <v>709</v>
      </c>
    </row>
    <row r="1368" customFormat="false" ht="15" hidden="false" customHeight="false" outlineLevel="0" collapsed="false">
      <c r="B1368" s="19" t="s">
        <v>21415</v>
      </c>
      <c r="C1368" s="20" t="n">
        <f aca="false">ROUND(39/FX,2)</f>
        <v>5.42</v>
      </c>
      <c r="D1368" s="21" t="s">
        <v>21230</v>
      </c>
      <c r="E1368" s="21" t="s">
        <v>21416</v>
      </c>
      <c r="F1368" s="21" t="s">
        <v>21399</v>
      </c>
      <c r="G1368" s="21" t="s">
        <v>709</v>
      </c>
    </row>
    <row r="1369" customFormat="false" ht="15" hidden="false" customHeight="false" outlineLevel="0" collapsed="false">
      <c r="B1369" s="19" t="s">
        <v>21417</v>
      </c>
      <c r="C1369" s="20" t="n">
        <f aca="false">ROUND(41.6/FX,2)</f>
        <v>5.78</v>
      </c>
      <c r="D1369" s="21" t="s">
        <v>21230</v>
      </c>
      <c r="E1369" s="21" t="s">
        <v>21418</v>
      </c>
      <c r="F1369" s="21" t="s">
        <v>21399</v>
      </c>
      <c r="G1369" s="21" t="s">
        <v>709</v>
      </c>
    </row>
    <row r="1370" customFormat="false" ht="15" hidden="false" customHeight="false" outlineLevel="0" collapsed="false">
      <c r="B1370" s="19" t="s">
        <v>21419</v>
      </c>
      <c r="C1370" s="20" t="n">
        <f aca="false">ROUND(45.5/FX,2)</f>
        <v>6.32</v>
      </c>
      <c r="D1370" s="21" t="s">
        <v>21230</v>
      </c>
      <c r="E1370" s="21" t="s">
        <v>21420</v>
      </c>
      <c r="F1370" s="21" t="s">
        <v>21399</v>
      </c>
      <c r="G1370" s="21" t="s">
        <v>709</v>
      </c>
    </row>
    <row r="1371" customFormat="false" ht="15" hidden="false" customHeight="false" outlineLevel="0" collapsed="false">
      <c r="B1371" s="19" t="s">
        <v>21421</v>
      </c>
      <c r="C1371" s="20" t="n">
        <f aca="false">ROUND(48.1/FX,2)</f>
        <v>6.68</v>
      </c>
      <c r="D1371" s="21" t="s">
        <v>21230</v>
      </c>
      <c r="E1371" s="21" t="s">
        <v>21422</v>
      </c>
      <c r="F1371" s="21" t="s">
        <v>21399</v>
      </c>
      <c r="G1371" s="21" t="s">
        <v>709</v>
      </c>
    </row>
    <row r="1372" customFormat="false" ht="15" hidden="false" customHeight="false" outlineLevel="0" collapsed="false">
      <c r="B1372" s="19" t="s">
        <v>21423</v>
      </c>
      <c r="C1372" s="20" t="n">
        <f aca="false">ROUND(35.1/FX,2)</f>
        <v>4.88</v>
      </c>
      <c r="D1372" s="21" t="s">
        <v>21230</v>
      </c>
      <c r="E1372" s="21" t="s">
        <v>21424</v>
      </c>
      <c r="F1372" s="21" t="s">
        <v>21399</v>
      </c>
      <c r="G1372" s="21" t="s">
        <v>709</v>
      </c>
    </row>
    <row r="1373" customFormat="false" ht="15" hidden="false" customHeight="false" outlineLevel="0" collapsed="false">
      <c r="B1373" s="19" t="s">
        <v>21425</v>
      </c>
      <c r="C1373" s="20" t="n">
        <f aca="false">ROUND(36.4/FX,2)</f>
        <v>5.06</v>
      </c>
      <c r="D1373" s="21" t="s">
        <v>21230</v>
      </c>
      <c r="E1373" s="21" t="s">
        <v>21426</v>
      </c>
      <c r="F1373" s="21" t="s">
        <v>21399</v>
      </c>
      <c r="G1373" s="21" t="s">
        <v>709</v>
      </c>
    </row>
    <row r="1374" customFormat="false" ht="15" hidden="false" customHeight="false" outlineLevel="0" collapsed="false">
      <c r="B1374" s="19" t="s">
        <v>21427</v>
      </c>
      <c r="C1374" s="20" t="n">
        <f aca="false">ROUND(36.4/FX,2)</f>
        <v>5.06</v>
      </c>
      <c r="D1374" s="21" t="s">
        <v>21230</v>
      </c>
      <c r="E1374" s="21" t="s">
        <v>21428</v>
      </c>
      <c r="F1374" s="21" t="s">
        <v>21399</v>
      </c>
      <c r="G1374" s="21" t="s">
        <v>709</v>
      </c>
    </row>
    <row r="1375" customFormat="false" ht="15" hidden="false" customHeight="false" outlineLevel="0" collapsed="false">
      <c r="B1375" s="19" t="s">
        <v>21429</v>
      </c>
      <c r="C1375" s="20" t="n">
        <f aca="false">ROUND(37.7/FX,2)</f>
        <v>5.24</v>
      </c>
      <c r="D1375" s="21" t="s">
        <v>21230</v>
      </c>
      <c r="E1375" s="21" t="s">
        <v>21430</v>
      </c>
      <c r="F1375" s="21" t="s">
        <v>21399</v>
      </c>
      <c r="G1375" s="21" t="s">
        <v>709</v>
      </c>
    </row>
    <row r="1376" customFormat="false" ht="15" hidden="false" customHeight="false" outlineLevel="0" collapsed="false">
      <c r="B1376" s="19" t="s">
        <v>21431</v>
      </c>
      <c r="C1376" s="20" t="n">
        <f aca="false">ROUND(37.7/FX,2)</f>
        <v>5.24</v>
      </c>
      <c r="D1376" s="21" t="s">
        <v>21230</v>
      </c>
      <c r="E1376" s="21" t="s">
        <v>21432</v>
      </c>
      <c r="F1376" s="21" t="s">
        <v>21399</v>
      </c>
      <c r="G1376" s="21" t="s">
        <v>709</v>
      </c>
    </row>
    <row r="1377" customFormat="false" ht="15" hidden="false" customHeight="false" outlineLevel="0" collapsed="false">
      <c r="B1377" s="19" t="s">
        <v>21433</v>
      </c>
      <c r="C1377" s="20" t="n">
        <f aca="false">ROUND(39/FX,2)</f>
        <v>5.42</v>
      </c>
      <c r="D1377" s="21" t="s">
        <v>21230</v>
      </c>
      <c r="E1377" s="21" t="s">
        <v>21434</v>
      </c>
      <c r="F1377" s="21" t="s">
        <v>21399</v>
      </c>
      <c r="G1377" s="21" t="s">
        <v>709</v>
      </c>
    </row>
    <row r="1378" customFormat="false" ht="15" hidden="false" customHeight="false" outlineLevel="0" collapsed="false">
      <c r="B1378" s="19" t="s">
        <v>21435</v>
      </c>
      <c r="C1378" s="20" t="n">
        <f aca="false">ROUND(39/FX,2)</f>
        <v>5.42</v>
      </c>
      <c r="D1378" s="21" t="s">
        <v>21230</v>
      </c>
      <c r="E1378" s="21" t="s">
        <v>21436</v>
      </c>
      <c r="F1378" s="21" t="s">
        <v>21399</v>
      </c>
      <c r="G1378" s="21" t="s">
        <v>709</v>
      </c>
    </row>
    <row r="1379" customFormat="false" ht="15" hidden="false" customHeight="false" outlineLevel="0" collapsed="false">
      <c r="B1379" s="19" t="s">
        <v>21437</v>
      </c>
      <c r="C1379" s="20" t="n">
        <f aca="false">ROUND(41.6/FX,2)</f>
        <v>5.78</v>
      </c>
      <c r="D1379" s="21" t="s">
        <v>21230</v>
      </c>
      <c r="E1379" s="21" t="s">
        <v>21438</v>
      </c>
      <c r="F1379" s="21" t="s">
        <v>21399</v>
      </c>
      <c r="G1379" s="21" t="s">
        <v>709</v>
      </c>
    </row>
    <row r="1380" customFormat="false" ht="15" hidden="false" customHeight="false" outlineLevel="0" collapsed="false">
      <c r="B1380" s="19" t="s">
        <v>21439</v>
      </c>
      <c r="C1380" s="20" t="n">
        <f aca="false">ROUND(45.5/FX,2)</f>
        <v>6.32</v>
      </c>
      <c r="D1380" s="21" t="s">
        <v>21230</v>
      </c>
      <c r="E1380" s="21" t="s">
        <v>21440</v>
      </c>
      <c r="F1380" s="21" t="s">
        <v>21399</v>
      </c>
      <c r="G1380" s="21" t="s">
        <v>709</v>
      </c>
    </row>
    <row r="1381" customFormat="false" ht="15" hidden="false" customHeight="false" outlineLevel="0" collapsed="false">
      <c r="B1381" s="19" t="s">
        <v>21441</v>
      </c>
      <c r="C1381" s="20" t="n">
        <f aca="false">ROUND(68.9/FX,2)</f>
        <v>9.57</v>
      </c>
      <c r="D1381" s="21" t="s">
        <v>21230</v>
      </c>
      <c r="E1381" s="21" t="s">
        <v>21442</v>
      </c>
      <c r="F1381" s="21" t="s">
        <v>21399</v>
      </c>
      <c r="G1381" s="21" t="s">
        <v>709</v>
      </c>
    </row>
    <row r="1382" customFormat="false" ht="15" hidden="false" customHeight="false" outlineLevel="0" collapsed="false">
      <c r="B1382" s="19" t="s">
        <v>21443</v>
      </c>
      <c r="C1382" s="20" t="n">
        <f aca="false">ROUND(45.5/FX,2)</f>
        <v>6.32</v>
      </c>
      <c r="D1382" s="21" t="s">
        <v>21230</v>
      </c>
      <c r="E1382" s="21" t="s">
        <v>21444</v>
      </c>
      <c r="F1382" s="21" t="s">
        <v>21399</v>
      </c>
      <c r="G1382" s="21" t="s">
        <v>709</v>
      </c>
    </row>
    <row r="1383" customFormat="false" ht="15" hidden="false" customHeight="false" outlineLevel="0" collapsed="false">
      <c r="B1383" s="19" t="s">
        <v>21445</v>
      </c>
      <c r="C1383" s="20" t="n">
        <f aca="false">ROUND(48.1/FX,2)</f>
        <v>6.68</v>
      </c>
      <c r="D1383" s="21" t="s">
        <v>21230</v>
      </c>
      <c r="E1383" s="21" t="s">
        <v>21446</v>
      </c>
      <c r="F1383" s="21" t="s">
        <v>21399</v>
      </c>
      <c r="G1383" s="21" t="s">
        <v>709</v>
      </c>
    </row>
    <row r="1384" customFormat="false" ht="15" hidden="false" customHeight="false" outlineLevel="0" collapsed="false">
      <c r="B1384" s="19" t="s">
        <v>21447</v>
      </c>
      <c r="C1384" s="20" t="n">
        <f aca="false">ROUND(52/FX,2)</f>
        <v>7.22</v>
      </c>
      <c r="D1384" s="21" t="s">
        <v>21230</v>
      </c>
      <c r="E1384" s="21" t="s">
        <v>21448</v>
      </c>
      <c r="F1384" s="21" t="s">
        <v>21399</v>
      </c>
      <c r="G1384" s="21" t="s">
        <v>709</v>
      </c>
    </row>
    <row r="1385" customFormat="false" ht="15" hidden="false" customHeight="false" outlineLevel="0" collapsed="false">
      <c r="B1385" s="19" t="s">
        <v>21449</v>
      </c>
      <c r="C1385" s="20" t="n">
        <f aca="false">ROUND(52/FX,2)</f>
        <v>7.22</v>
      </c>
      <c r="D1385" s="21" t="s">
        <v>21230</v>
      </c>
      <c r="E1385" s="21" t="s">
        <v>21450</v>
      </c>
      <c r="F1385" s="21" t="s">
        <v>21399</v>
      </c>
      <c r="G1385" s="21" t="s">
        <v>709</v>
      </c>
    </row>
    <row r="1386" customFormat="false" ht="15" hidden="false" customHeight="false" outlineLevel="0" collapsed="false">
      <c r="B1386" s="19" t="s">
        <v>21451</v>
      </c>
      <c r="C1386" s="20" t="n">
        <f aca="false">ROUND(53.3/FX,2)</f>
        <v>7.4</v>
      </c>
      <c r="D1386" s="21" t="s">
        <v>21230</v>
      </c>
      <c r="E1386" s="21" t="s">
        <v>21452</v>
      </c>
      <c r="F1386" s="21" t="s">
        <v>21399</v>
      </c>
      <c r="G1386" s="21" t="s">
        <v>709</v>
      </c>
    </row>
    <row r="1387" customFormat="false" ht="15" hidden="false" customHeight="false" outlineLevel="0" collapsed="false">
      <c r="B1387" s="19" t="s">
        <v>21453</v>
      </c>
      <c r="C1387" s="20" t="n">
        <f aca="false">ROUND(55.9/FX,2)</f>
        <v>7.76</v>
      </c>
      <c r="D1387" s="21" t="s">
        <v>21230</v>
      </c>
      <c r="E1387" s="21" t="s">
        <v>21454</v>
      </c>
      <c r="F1387" s="21" t="s">
        <v>21399</v>
      </c>
      <c r="G1387" s="21" t="s">
        <v>709</v>
      </c>
    </row>
    <row r="1388" customFormat="false" ht="15" hidden="false" customHeight="false" outlineLevel="0" collapsed="false">
      <c r="B1388" s="19" t="s">
        <v>21455</v>
      </c>
      <c r="C1388" s="20" t="n">
        <f aca="false">ROUND(58.5/FX,2)</f>
        <v>8.13</v>
      </c>
      <c r="D1388" s="21" t="s">
        <v>21230</v>
      </c>
      <c r="E1388" s="21" t="s">
        <v>21456</v>
      </c>
      <c r="F1388" s="21" t="s">
        <v>21399</v>
      </c>
      <c r="G1388" s="21" t="s">
        <v>709</v>
      </c>
    </row>
    <row r="1389" customFormat="false" ht="15" hidden="false" customHeight="false" outlineLevel="0" collapsed="false">
      <c r="B1389" s="19" t="s">
        <v>21457</v>
      </c>
      <c r="C1389" s="20" t="n">
        <f aca="false">ROUND(62.4/FX,2)</f>
        <v>8.67</v>
      </c>
      <c r="D1389" s="21" t="s">
        <v>21230</v>
      </c>
      <c r="E1389" s="21" t="s">
        <v>21458</v>
      </c>
      <c r="F1389" s="21" t="s">
        <v>21399</v>
      </c>
      <c r="G1389" s="21" t="s">
        <v>709</v>
      </c>
    </row>
    <row r="1390" customFormat="false" ht="15" hidden="false" customHeight="false" outlineLevel="0" collapsed="false">
      <c r="B1390" s="19" t="s">
        <v>21459</v>
      </c>
      <c r="C1390" s="20" t="n">
        <f aca="false">ROUND(71.5/FX,2)</f>
        <v>9.93</v>
      </c>
      <c r="D1390" s="21" t="s">
        <v>21230</v>
      </c>
      <c r="E1390" s="21" t="s">
        <v>21460</v>
      </c>
      <c r="F1390" s="21" t="s">
        <v>21399</v>
      </c>
      <c r="G1390" s="21" t="s">
        <v>709</v>
      </c>
    </row>
    <row r="1391" customFormat="false" ht="15" hidden="false" customHeight="false" outlineLevel="0" collapsed="false">
      <c r="B1391" s="19" t="s">
        <v>21461</v>
      </c>
      <c r="C1391" s="20" t="n">
        <f aca="false">ROUND(78/FX,2)</f>
        <v>10.83</v>
      </c>
      <c r="D1391" s="21" t="s">
        <v>21230</v>
      </c>
      <c r="E1391" s="21" t="s">
        <v>21462</v>
      </c>
      <c r="F1391" s="21" t="s">
        <v>21399</v>
      </c>
      <c r="G1391" s="21" t="s">
        <v>709</v>
      </c>
    </row>
    <row r="1392" customFormat="false" ht="15" hidden="false" customHeight="false" outlineLevel="0" collapsed="false">
      <c r="B1392" s="19" t="s">
        <v>21463</v>
      </c>
      <c r="C1392" s="20" t="n">
        <f aca="false">ROUND(61.1/FX,2)</f>
        <v>8.49</v>
      </c>
      <c r="D1392" s="21" t="s">
        <v>21230</v>
      </c>
      <c r="E1392" s="21" t="s">
        <v>21464</v>
      </c>
      <c r="F1392" s="21" t="s">
        <v>21399</v>
      </c>
      <c r="G1392" s="21" t="s">
        <v>709</v>
      </c>
    </row>
    <row r="1393" customFormat="false" ht="15" hidden="false" customHeight="false" outlineLevel="0" collapsed="false">
      <c r="B1393" s="19" t="s">
        <v>21465</v>
      </c>
      <c r="C1393" s="20" t="n">
        <f aca="false">ROUND(65/FX,2)</f>
        <v>9.03</v>
      </c>
      <c r="D1393" s="21" t="s">
        <v>21230</v>
      </c>
      <c r="E1393" s="21" t="s">
        <v>21466</v>
      </c>
      <c r="F1393" s="21" t="s">
        <v>21399</v>
      </c>
      <c r="G1393" s="21" t="s">
        <v>709</v>
      </c>
    </row>
    <row r="1394" customFormat="false" ht="41.75" hidden="false" customHeight="false" outlineLevel="0" collapsed="false">
      <c r="B1394" s="19" t="s">
        <v>21467</v>
      </c>
      <c r="C1394" s="20" t="n">
        <f aca="false">ROUND(20.8/FX,2)</f>
        <v>2.89</v>
      </c>
      <c r="D1394" s="21" t="s">
        <v>21230</v>
      </c>
      <c r="E1394" s="21" t="s">
        <v>21468</v>
      </c>
      <c r="F1394" s="21" t="s">
        <v>21469</v>
      </c>
      <c r="G1394" s="21" t="s">
        <v>709</v>
      </c>
    </row>
    <row r="1395" customFormat="false" ht="41.75" hidden="false" customHeight="false" outlineLevel="0" collapsed="false">
      <c r="B1395" s="19" t="s">
        <v>21470</v>
      </c>
      <c r="C1395" s="20" t="n">
        <f aca="false">ROUND(22.1/FX,2)</f>
        <v>3.07</v>
      </c>
      <c r="D1395" s="21" t="s">
        <v>21230</v>
      </c>
      <c r="E1395" s="21" t="s">
        <v>21471</v>
      </c>
      <c r="F1395" s="21" t="s">
        <v>21469</v>
      </c>
      <c r="G1395" s="21" t="s">
        <v>709</v>
      </c>
    </row>
    <row r="1396" customFormat="false" ht="41.75" hidden="false" customHeight="false" outlineLevel="0" collapsed="false">
      <c r="B1396" s="19" t="s">
        <v>21472</v>
      </c>
      <c r="C1396" s="20" t="n">
        <f aca="false">ROUND(23.4/FX,2)</f>
        <v>3.25</v>
      </c>
      <c r="D1396" s="21" t="s">
        <v>21230</v>
      </c>
      <c r="E1396" s="21" t="s">
        <v>21473</v>
      </c>
      <c r="F1396" s="21" t="s">
        <v>21469</v>
      </c>
      <c r="G1396" s="21" t="s">
        <v>709</v>
      </c>
    </row>
    <row r="1397" customFormat="false" ht="41.75" hidden="false" customHeight="false" outlineLevel="0" collapsed="false">
      <c r="B1397" s="19" t="s">
        <v>21474</v>
      </c>
      <c r="C1397" s="20" t="n">
        <f aca="false">ROUND(26/FX,2)</f>
        <v>3.61</v>
      </c>
      <c r="D1397" s="21" t="s">
        <v>21230</v>
      </c>
      <c r="E1397" s="21" t="s">
        <v>21475</v>
      </c>
      <c r="F1397" s="21" t="s">
        <v>21469</v>
      </c>
      <c r="G1397" s="21" t="s">
        <v>709</v>
      </c>
    </row>
    <row r="1398" customFormat="false" ht="41.75" hidden="false" customHeight="false" outlineLevel="0" collapsed="false">
      <c r="B1398" s="19" t="s">
        <v>21476</v>
      </c>
      <c r="C1398" s="20" t="n">
        <f aca="false">ROUND(35.1/FX,2)</f>
        <v>4.88</v>
      </c>
      <c r="D1398" s="21" t="s">
        <v>21230</v>
      </c>
      <c r="E1398" s="21" t="s">
        <v>21477</v>
      </c>
      <c r="F1398" s="21" t="s">
        <v>21469</v>
      </c>
      <c r="G1398" s="21" t="s">
        <v>709</v>
      </c>
    </row>
    <row r="1399" customFormat="false" ht="41.75" hidden="false" customHeight="false" outlineLevel="0" collapsed="false">
      <c r="B1399" s="19" t="s">
        <v>21478</v>
      </c>
      <c r="C1399" s="20" t="n">
        <f aca="false">ROUND(32.5/FX,2)</f>
        <v>4.51</v>
      </c>
      <c r="D1399" s="21" t="s">
        <v>21230</v>
      </c>
      <c r="E1399" s="21" t="s">
        <v>21395</v>
      </c>
      <c r="F1399" s="21" t="s">
        <v>21469</v>
      </c>
      <c r="G1399" s="21" t="s">
        <v>709</v>
      </c>
    </row>
    <row r="1400" customFormat="false" ht="41.75" hidden="false" customHeight="false" outlineLevel="0" collapsed="false">
      <c r="B1400" s="19" t="s">
        <v>21479</v>
      </c>
      <c r="C1400" s="20" t="n">
        <f aca="false">ROUND(49.4/FX,2)</f>
        <v>6.86</v>
      </c>
      <c r="D1400" s="21" t="s">
        <v>21230</v>
      </c>
      <c r="E1400" s="21" t="s">
        <v>21480</v>
      </c>
      <c r="F1400" s="21" t="s">
        <v>21469</v>
      </c>
      <c r="G1400" s="21" t="s">
        <v>709</v>
      </c>
    </row>
    <row r="1401" customFormat="false" ht="41.75" hidden="false" customHeight="false" outlineLevel="0" collapsed="false">
      <c r="B1401" s="19" t="s">
        <v>21481</v>
      </c>
      <c r="C1401" s="20" t="n">
        <f aca="false">ROUND(45.5/FX,2)</f>
        <v>6.32</v>
      </c>
      <c r="D1401" s="21" t="s">
        <v>21230</v>
      </c>
      <c r="E1401" s="21" t="s">
        <v>21482</v>
      </c>
      <c r="F1401" s="21" t="s">
        <v>21469</v>
      </c>
      <c r="G1401" s="21" t="s">
        <v>709</v>
      </c>
    </row>
    <row r="1402" customFormat="false" ht="41.75" hidden="false" customHeight="false" outlineLevel="0" collapsed="false">
      <c r="B1402" s="19" t="s">
        <v>21483</v>
      </c>
      <c r="C1402" s="20" t="n">
        <f aca="false">ROUND(45.5/FX,2)</f>
        <v>6.32</v>
      </c>
      <c r="D1402" s="21" t="s">
        <v>21230</v>
      </c>
      <c r="E1402" s="21" t="s">
        <v>21484</v>
      </c>
      <c r="F1402" s="21" t="s">
        <v>21469</v>
      </c>
      <c r="G1402" s="21" t="s">
        <v>709</v>
      </c>
    </row>
    <row r="1403" customFormat="false" ht="41.75" hidden="false" customHeight="false" outlineLevel="0" collapsed="false">
      <c r="B1403" s="19" t="s">
        <v>21485</v>
      </c>
      <c r="C1403" s="20" t="n">
        <f aca="false">ROUND(49.4/FX,2)</f>
        <v>6.86</v>
      </c>
      <c r="D1403" s="21" t="s">
        <v>21230</v>
      </c>
      <c r="E1403" s="21" t="s">
        <v>21486</v>
      </c>
      <c r="F1403" s="21" t="s">
        <v>21469</v>
      </c>
      <c r="G1403" s="21" t="s">
        <v>709</v>
      </c>
    </row>
    <row r="1404" customFormat="false" ht="41.75" hidden="false" customHeight="false" outlineLevel="0" collapsed="false">
      <c r="B1404" s="19" t="s">
        <v>21487</v>
      </c>
      <c r="C1404" s="20" t="n">
        <f aca="false">ROUND(49.4/FX,2)</f>
        <v>6.86</v>
      </c>
      <c r="D1404" s="21" t="s">
        <v>21230</v>
      </c>
      <c r="E1404" s="21" t="s">
        <v>21488</v>
      </c>
      <c r="F1404" s="21" t="s">
        <v>21469</v>
      </c>
      <c r="G1404" s="21" t="s">
        <v>709</v>
      </c>
    </row>
    <row r="1405" customFormat="false" ht="41.75" hidden="false" customHeight="false" outlineLevel="0" collapsed="false">
      <c r="B1405" s="19" t="s">
        <v>21489</v>
      </c>
      <c r="C1405" s="20" t="n">
        <f aca="false">ROUND(49.4/FX,2)</f>
        <v>6.86</v>
      </c>
      <c r="D1405" s="21" t="s">
        <v>21230</v>
      </c>
      <c r="E1405" s="21" t="s">
        <v>21490</v>
      </c>
      <c r="F1405" s="21" t="s">
        <v>21469</v>
      </c>
      <c r="G1405" s="21" t="s">
        <v>709</v>
      </c>
    </row>
    <row r="1406" customFormat="false" ht="41.75" hidden="false" customHeight="false" outlineLevel="0" collapsed="false">
      <c r="B1406" s="19" t="s">
        <v>21491</v>
      </c>
      <c r="C1406" s="20" t="n">
        <f aca="false">ROUND(39/FX,2)</f>
        <v>5.42</v>
      </c>
      <c r="D1406" s="21" t="s">
        <v>21230</v>
      </c>
      <c r="E1406" s="21" t="s">
        <v>21492</v>
      </c>
      <c r="F1406" s="21" t="s">
        <v>21493</v>
      </c>
      <c r="G1406" s="21" t="s">
        <v>709</v>
      </c>
    </row>
    <row r="1407" customFormat="false" ht="41.75" hidden="false" customHeight="false" outlineLevel="0" collapsed="false">
      <c r="B1407" s="19" t="s">
        <v>21494</v>
      </c>
      <c r="C1407" s="20" t="n">
        <f aca="false">ROUND(17.55/FX,2)</f>
        <v>2.44</v>
      </c>
      <c r="D1407" s="21" t="s">
        <v>21230</v>
      </c>
      <c r="E1407" s="21" t="s">
        <v>21495</v>
      </c>
      <c r="F1407" s="21" t="s">
        <v>21493</v>
      </c>
      <c r="G1407" s="21" t="s">
        <v>709</v>
      </c>
    </row>
    <row r="1408" customFormat="false" ht="41.75" hidden="false" customHeight="false" outlineLevel="0" collapsed="false">
      <c r="B1408" s="19" t="s">
        <v>21496</v>
      </c>
      <c r="C1408" s="20" t="n">
        <f aca="false">ROUND(28.6/FX,2)</f>
        <v>3.97</v>
      </c>
      <c r="D1408" s="21" t="s">
        <v>21230</v>
      </c>
      <c r="E1408" s="21" t="s">
        <v>21497</v>
      </c>
      <c r="F1408" s="21" t="s">
        <v>21493</v>
      </c>
      <c r="G1408" s="21" t="s">
        <v>709</v>
      </c>
    </row>
    <row r="1409" customFormat="false" ht="41.75" hidden="false" customHeight="false" outlineLevel="0" collapsed="false">
      <c r="B1409" s="19" t="s">
        <v>21498</v>
      </c>
      <c r="C1409" s="20" t="n">
        <f aca="false">ROUND(36.4/FX,2)</f>
        <v>5.06</v>
      </c>
      <c r="D1409" s="21" t="s">
        <v>21230</v>
      </c>
      <c r="E1409" s="21" t="s">
        <v>21499</v>
      </c>
      <c r="F1409" s="21" t="s">
        <v>21493</v>
      </c>
      <c r="G1409" s="21" t="s">
        <v>709</v>
      </c>
    </row>
    <row r="1410" customFormat="false" ht="41.75" hidden="false" customHeight="false" outlineLevel="0" collapsed="false">
      <c r="B1410" s="19" t="s">
        <v>21500</v>
      </c>
      <c r="C1410" s="20" t="n">
        <f aca="false">ROUND(36.4/FX,2)</f>
        <v>5.06</v>
      </c>
      <c r="D1410" s="21" t="s">
        <v>21230</v>
      </c>
      <c r="E1410" s="21" t="s">
        <v>21501</v>
      </c>
      <c r="F1410" s="21" t="s">
        <v>21493</v>
      </c>
      <c r="G1410" s="21" t="s">
        <v>709</v>
      </c>
    </row>
    <row r="1411" customFormat="false" ht="41.75" hidden="false" customHeight="false" outlineLevel="0" collapsed="false">
      <c r="B1411" s="19" t="s">
        <v>21502</v>
      </c>
      <c r="C1411" s="20" t="n">
        <f aca="false">ROUND(20.8/FX,2)</f>
        <v>2.89</v>
      </c>
      <c r="D1411" s="21" t="s">
        <v>21230</v>
      </c>
      <c r="E1411" s="21" t="s">
        <v>21395</v>
      </c>
      <c r="F1411" s="21" t="s">
        <v>21493</v>
      </c>
      <c r="G1411" s="21" t="s">
        <v>709</v>
      </c>
    </row>
    <row r="1412" customFormat="false" ht="41.75" hidden="false" customHeight="false" outlineLevel="0" collapsed="false">
      <c r="B1412" s="19" t="s">
        <v>21503</v>
      </c>
      <c r="C1412" s="20" t="n">
        <f aca="false">ROUND(55/FX,2)</f>
        <v>7.64</v>
      </c>
      <c r="D1412" s="21" t="s">
        <v>21230</v>
      </c>
      <c r="E1412" s="21" t="s">
        <v>21446</v>
      </c>
      <c r="F1412" s="21" t="s">
        <v>21493</v>
      </c>
      <c r="G1412" s="21" t="s">
        <v>709</v>
      </c>
    </row>
    <row r="1413" customFormat="false" ht="41.75" hidden="false" customHeight="false" outlineLevel="0" collapsed="false">
      <c r="B1413" s="19" t="s">
        <v>21504</v>
      </c>
      <c r="C1413" s="20" t="n">
        <f aca="false">ROUND(20.8/FX,2)</f>
        <v>2.89</v>
      </c>
      <c r="D1413" s="21" t="s">
        <v>21230</v>
      </c>
      <c r="E1413" s="21" t="s">
        <v>21505</v>
      </c>
      <c r="F1413" s="21" t="s">
        <v>21506</v>
      </c>
      <c r="G1413" s="21" t="s">
        <v>709</v>
      </c>
    </row>
    <row r="1414" customFormat="false" ht="41.75" hidden="false" customHeight="false" outlineLevel="0" collapsed="false">
      <c r="B1414" s="19" t="s">
        <v>21507</v>
      </c>
      <c r="C1414" s="20" t="n">
        <f aca="false">ROUND(22.1/FX,2)</f>
        <v>3.07</v>
      </c>
      <c r="D1414" s="21" t="s">
        <v>21230</v>
      </c>
      <c r="E1414" s="21" t="s">
        <v>21508</v>
      </c>
      <c r="F1414" s="21" t="s">
        <v>21506</v>
      </c>
      <c r="G1414" s="21" t="s">
        <v>709</v>
      </c>
    </row>
    <row r="1415" customFormat="false" ht="41.75" hidden="false" customHeight="false" outlineLevel="0" collapsed="false">
      <c r="B1415" s="19" t="s">
        <v>21509</v>
      </c>
      <c r="C1415" s="20" t="n">
        <f aca="false">ROUND(23.4/FX,2)</f>
        <v>3.25</v>
      </c>
      <c r="D1415" s="21" t="s">
        <v>21230</v>
      </c>
      <c r="E1415" s="21" t="s">
        <v>21510</v>
      </c>
      <c r="F1415" s="21" t="s">
        <v>21506</v>
      </c>
      <c r="G1415" s="21" t="s">
        <v>709</v>
      </c>
    </row>
    <row r="1416" customFormat="false" ht="41.75" hidden="false" customHeight="false" outlineLevel="0" collapsed="false">
      <c r="B1416" s="19" t="s">
        <v>21511</v>
      </c>
      <c r="C1416" s="20" t="n">
        <f aca="false">ROUND(26/FX,2)</f>
        <v>3.61</v>
      </c>
      <c r="D1416" s="21" t="s">
        <v>21230</v>
      </c>
      <c r="E1416" s="21" t="s">
        <v>21512</v>
      </c>
      <c r="F1416" s="21" t="s">
        <v>21506</v>
      </c>
      <c r="G1416" s="21" t="s">
        <v>709</v>
      </c>
    </row>
    <row r="1417" customFormat="false" ht="41.75" hidden="false" customHeight="false" outlineLevel="0" collapsed="false">
      <c r="B1417" s="19" t="s">
        <v>21513</v>
      </c>
      <c r="C1417" s="20" t="n">
        <f aca="false">ROUND(14.91/FX,2)</f>
        <v>2.07</v>
      </c>
      <c r="D1417" s="21" t="s">
        <v>21230</v>
      </c>
      <c r="E1417" s="21" t="s">
        <v>21381</v>
      </c>
      <c r="F1417" s="21" t="s">
        <v>21514</v>
      </c>
      <c r="G1417" s="21" t="s">
        <v>709</v>
      </c>
    </row>
    <row r="1418" customFormat="false" ht="41.75" hidden="false" customHeight="false" outlineLevel="0" collapsed="false">
      <c r="B1418" s="19" t="s">
        <v>21515</v>
      </c>
      <c r="C1418" s="20" t="n">
        <f aca="false">ROUND(14.17/FX,2)</f>
        <v>1.97</v>
      </c>
      <c r="D1418" s="21" t="s">
        <v>21230</v>
      </c>
      <c r="E1418" s="21" t="s">
        <v>21383</v>
      </c>
      <c r="F1418" s="21" t="s">
        <v>21514</v>
      </c>
      <c r="G1418" s="21" t="s">
        <v>709</v>
      </c>
    </row>
    <row r="1419" customFormat="false" ht="41.75" hidden="false" customHeight="false" outlineLevel="0" collapsed="false">
      <c r="B1419" s="19" t="s">
        <v>21516</v>
      </c>
      <c r="C1419" s="20" t="n">
        <f aca="false">ROUND(14.82/FX,2)</f>
        <v>2.06</v>
      </c>
      <c r="D1419" s="21" t="s">
        <v>21230</v>
      </c>
      <c r="E1419" s="21" t="s">
        <v>21234</v>
      </c>
      <c r="F1419" s="21" t="s">
        <v>21514</v>
      </c>
      <c r="G1419" s="21" t="s">
        <v>709</v>
      </c>
    </row>
    <row r="1420" customFormat="false" ht="41.75" hidden="false" customHeight="false" outlineLevel="0" collapsed="false">
      <c r="B1420" s="19" t="s">
        <v>21517</v>
      </c>
      <c r="C1420" s="20" t="n">
        <f aca="false">ROUND(14.95/FX,2)</f>
        <v>2.08</v>
      </c>
      <c r="D1420" s="21" t="s">
        <v>21230</v>
      </c>
      <c r="E1420" s="21" t="s">
        <v>21518</v>
      </c>
      <c r="F1420" s="21" t="s">
        <v>21514</v>
      </c>
      <c r="G1420" s="21" t="s">
        <v>709</v>
      </c>
    </row>
    <row r="1421" customFormat="false" ht="41.75" hidden="false" customHeight="false" outlineLevel="0" collapsed="false">
      <c r="B1421" s="19" t="s">
        <v>21519</v>
      </c>
      <c r="C1421" s="20" t="n">
        <f aca="false">ROUND(35.1/FX,2)</f>
        <v>4.88</v>
      </c>
      <c r="D1421" s="21" t="s">
        <v>21230</v>
      </c>
      <c r="E1421" s="21" t="s">
        <v>21477</v>
      </c>
      <c r="F1421" s="21" t="s">
        <v>21520</v>
      </c>
      <c r="G1421" s="21" t="s">
        <v>709</v>
      </c>
    </row>
    <row r="1422" customFormat="false" ht="41.75" hidden="false" customHeight="false" outlineLevel="0" collapsed="false">
      <c r="B1422" s="19" t="s">
        <v>21521</v>
      </c>
      <c r="C1422" s="20" t="n">
        <f aca="false">ROUND(32.5/FX,2)</f>
        <v>4.51</v>
      </c>
      <c r="D1422" s="21" t="s">
        <v>21230</v>
      </c>
      <c r="E1422" s="21" t="s">
        <v>21395</v>
      </c>
      <c r="F1422" s="21" t="s">
        <v>21520</v>
      </c>
      <c r="G1422" s="21" t="s">
        <v>709</v>
      </c>
    </row>
    <row r="1423" customFormat="false" ht="41.75" hidden="false" customHeight="false" outlineLevel="0" collapsed="false">
      <c r="B1423" s="19" t="s">
        <v>21522</v>
      </c>
      <c r="C1423" s="20" t="n">
        <f aca="false">ROUND(49.4/FX,2)</f>
        <v>6.86</v>
      </c>
      <c r="D1423" s="21" t="s">
        <v>21230</v>
      </c>
      <c r="E1423" s="21" t="s">
        <v>21480</v>
      </c>
      <c r="F1423" s="21" t="s">
        <v>21520</v>
      </c>
      <c r="G1423" s="21" t="s">
        <v>709</v>
      </c>
    </row>
    <row r="1424" customFormat="false" ht="41.75" hidden="false" customHeight="false" outlineLevel="0" collapsed="false">
      <c r="B1424" s="19" t="s">
        <v>21523</v>
      </c>
      <c r="C1424" s="20" t="n">
        <f aca="false">ROUND(45.5/FX,2)</f>
        <v>6.32</v>
      </c>
      <c r="D1424" s="21" t="s">
        <v>21230</v>
      </c>
      <c r="E1424" s="21" t="s">
        <v>21482</v>
      </c>
      <c r="F1424" s="21" t="s">
        <v>21520</v>
      </c>
      <c r="G1424" s="21" t="s">
        <v>709</v>
      </c>
    </row>
    <row r="1425" customFormat="false" ht="41.75" hidden="false" customHeight="false" outlineLevel="0" collapsed="false">
      <c r="B1425" s="19" t="s">
        <v>21524</v>
      </c>
      <c r="C1425" s="20" t="n">
        <f aca="false">ROUND(45.5/FX,2)</f>
        <v>6.32</v>
      </c>
      <c r="D1425" s="21" t="s">
        <v>21230</v>
      </c>
      <c r="E1425" s="21" t="s">
        <v>21484</v>
      </c>
      <c r="F1425" s="21" t="s">
        <v>21520</v>
      </c>
      <c r="G1425" s="21" t="s">
        <v>709</v>
      </c>
    </row>
    <row r="1426" customFormat="false" ht="41.75" hidden="false" customHeight="false" outlineLevel="0" collapsed="false">
      <c r="B1426" s="19" t="s">
        <v>21525</v>
      </c>
      <c r="C1426" s="20" t="n">
        <f aca="false">ROUND(49.4/FX,2)</f>
        <v>6.86</v>
      </c>
      <c r="D1426" s="21" t="s">
        <v>21230</v>
      </c>
      <c r="E1426" s="21" t="s">
        <v>21486</v>
      </c>
      <c r="F1426" s="21" t="s">
        <v>21520</v>
      </c>
      <c r="G1426" s="21" t="s">
        <v>709</v>
      </c>
    </row>
    <row r="1427" customFormat="false" ht="41.75" hidden="false" customHeight="false" outlineLevel="0" collapsed="false">
      <c r="B1427" s="19" t="s">
        <v>21526</v>
      </c>
      <c r="C1427" s="20" t="n">
        <f aca="false">ROUND(49.4/FX,2)</f>
        <v>6.86</v>
      </c>
      <c r="D1427" s="21" t="s">
        <v>21230</v>
      </c>
      <c r="E1427" s="21" t="s">
        <v>21488</v>
      </c>
      <c r="F1427" s="21" t="s">
        <v>21520</v>
      </c>
      <c r="G1427" s="21" t="s">
        <v>709</v>
      </c>
    </row>
    <row r="1428" customFormat="false" ht="41.75" hidden="false" customHeight="false" outlineLevel="0" collapsed="false">
      <c r="B1428" s="19" t="s">
        <v>21527</v>
      </c>
      <c r="C1428" s="20" t="n">
        <f aca="false">ROUND(49.4/FX,2)</f>
        <v>6.86</v>
      </c>
      <c r="D1428" s="21" t="s">
        <v>21230</v>
      </c>
      <c r="E1428" s="21" t="s">
        <v>21490</v>
      </c>
      <c r="F1428" s="21" t="s">
        <v>21520</v>
      </c>
      <c r="G1428" s="21" t="s">
        <v>709</v>
      </c>
    </row>
    <row r="1429" customFormat="false" ht="28.35" hidden="false" customHeight="false" outlineLevel="0" collapsed="false">
      <c r="B1429" s="19" t="s">
        <v>21528</v>
      </c>
      <c r="C1429" s="20" t="n">
        <f aca="false">ROUND(20.8/FX,2)</f>
        <v>2.89</v>
      </c>
      <c r="D1429" s="21" t="s">
        <v>21230</v>
      </c>
      <c r="E1429" s="21" t="s">
        <v>21505</v>
      </c>
      <c r="F1429" s="21" t="s">
        <v>21529</v>
      </c>
      <c r="G1429" s="21" t="s">
        <v>709</v>
      </c>
    </row>
    <row r="1430" customFormat="false" ht="28.35" hidden="false" customHeight="false" outlineLevel="0" collapsed="false">
      <c r="B1430" s="19" t="s">
        <v>21530</v>
      </c>
      <c r="C1430" s="20" t="n">
        <f aca="false">ROUND(22.1/FX,2)</f>
        <v>3.07</v>
      </c>
      <c r="D1430" s="21" t="s">
        <v>21230</v>
      </c>
      <c r="E1430" s="21" t="s">
        <v>21508</v>
      </c>
      <c r="F1430" s="21" t="s">
        <v>21529</v>
      </c>
      <c r="G1430" s="21" t="s">
        <v>709</v>
      </c>
    </row>
    <row r="1431" customFormat="false" ht="28.35" hidden="false" customHeight="false" outlineLevel="0" collapsed="false">
      <c r="B1431" s="19" t="s">
        <v>21531</v>
      </c>
      <c r="C1431" s="20" t="n">
        <f aca="false">ROUND(23.4/FX,2)</f>
        <v>3.25</v>
      </c>
      <c r="D1431" s="21" t="s">
        <v>21230</v>
      </c>
      <c r="E1431" s="21" t="s">
        <v>21510</v>
      </c>
      <c r="F1431" s="21" t="s">
        <v>21529</v>
      </c>
      <c r="G1431" s="21" t="s">
        <v>709</v>
      </c>
    </row>
    <row r="1432" customFormat="false" ht="28.35" hidden="false" customHeight="false" outlineLevel="0" collapsed="false">
      <c r="B1432" s="19" t="s">
        <v>21532</v>
      </c>
      <c r="C1432" s="20" t="n">
        <f aca="false">ROUND(26/FX,2)</f>
        <v>3.61</v>
      </c>
      <c r="D1432" s="21" t="s">
        <v>21230</v>
      </c>
      <c r="E1432" s="21" t="s">
        <v>21512</v>
      </c>
      <c r="F1432" s="21" t="s">
        <v>21529</v>
      </c>
      <c r="G1432" s="21" t="s">
        <v>709</v>
      </c>
    </row>
    <row r="1433" customFormat="false" ht="28.35" hidden="false" customHeight="false" outlineLevel="0" collapsed="false">
      <c r="B1433" s="19" t="s">
        <v>21533</v>
      </c>
      <c r="C1433" s="20" t="n">
        <f aca="false">ROUND(21.5/FX,2)</f>
        <v>2.99</v>
      </c>
      <c r="D1433" s="21" t="s">
        <v>21230</v>
      </c>
      <c r="E1433" s="21" t="s">
        <v>21534</v>
      </c>
      <c r="F1433" s="21" t="s">
        <v>21529</v>
      </c>
      <c r="G1433" s="21" t="s">
        <v>709</v>
      </c>
    </row>
    <row r="1434" customFormat="false" ht="28.35" hidden="false" customHeight="false" outlineLevel="0" collapsed="false">
      <c r="B1434" s="19" t="s">
        <v>21535</v>
      </c>
      <c r="C1434" s="20" t="n">
        <f aca="false">ROUND(21.5/FX,2)</f>
        <v>2.99</v>
      </c>
      <c r="D1434" s="21" t="s">
        <v>21230</v>
      </c>
      <c r="E1434" s="21" t="s">
        <v>21536</v>
      </c>
      <c r="F1434" s="21" t="s">
        <v>21529</v>
      </c>
      <c r="G1434" s="21" t="s">
        <v>709</v>
      </c>
    </row>
    <row r="1435" customFormat="false" ht="28.35" hidden="false" customHeight="false" outlineLevel="0" collapsed="false">
      <c r="B1435" s="19" t="s">
        <v>21537</v>
      </c>
      <c r="C1435" s="20" t="n">
        <f aca="false">ROUND(21.5/FX,2)</f>
        <v>2.99</v>
      </c>
      <c r="D1435" s="21" t="s">
        <v>21230</v>
      </c>
      <c r="E1435" s="21" t="s">
        <v>21538</v>
      </c>
      <c r="F1435" s="21" t="s">
        <v>21529</v>
      </c>
      <c r="G1435" s="21" t="s">
        <v>709</v>
      </c>
    </row>
    <row r="1436" customFormat="false" ht="28.35" hidden="false" customHeight="false" outlineLevel="0" collapsed="false">
      <c r="B1436" s="19" t="s">
        <v>21539</v>
      </c>
      <c r="C1436" s="20" t="n">
        <f aca="false">ROUND(21.5/FX,2)</f>
        <v>2.99</v>
      </c>
      <c r="D1436" s="21" t="s">
        <v>21230</v>
      </c>
      <c r="E1436" s="21" t="s">
        <v>21540</v>
      </c>
      <c r="F1436" s="21" t="s">
        <v>21529</v>
      </c>
      <c r="G1436" s="21" t="s">
        <v>709</v>
      </c>
    </row>
    <row r="1437" customFormat="false" ht="28.35" hidden="false" customHeight="false" outlineLevel="0" collapsed="false">
      <c r="B1437" s="19" t="s">
        <v>21541</v>
      </c>
      <c r="C1437" s="20" t="n">
        <f aca="false">ROUND(19.5/FX,2)</f>
        <v>2.71</v>
      </c>
      <c r="D1437" s="21" t="s">
        <v>21230</v>
      </c>
      <c r="E1437" s="21" t="s">
        <v>21477</v>
      </c>
      <c r="F1437" s="21" t="s">
        <v>21529</v>
      </c>
      <c r="G1437" s="21" t="s">
        <v>709</v>
      </c>
    </row>
    <row r="1438" customFormat="false" ht="28.35" hidden="false" customHeight="false" outlineLevel="0" collapsed="false">
      <c r="B1438" s="19" t="s">
        <v>21542</v>
      </c>
      <c r="C1438" s="20" t="n">
        <f aca="false">ROUND(21.5/FX,2)</f>
        <v>2.99</v>
      </c>
      <c r="D1438" s="21" t="s">
        <v>21230</v>
      </c>
      <c r="E1438" s="21" t="s">
        <v>21543</v>
      </c>
      <c r="F1438" s="21" t="s">
        <v>21529</v>
      </c>
      <c r="G1438" s="21" t="s">
        <v>709</v>
      </c>
    </row>
    <row r="1439" customFormat="false" ht="28.35" hidden="false" customHeight="false" outlineLevel="0" collapsed="false">
      <c r="B1439" s="19" t="s">
        <v>21544</v>
      </c>
      <c r="C1439" s="20" t="n">
        <f aca="false">ROUND(5.2/FX,2)</f>
        <v>0.72</v>
      </c>
      <c r="D1439" s="21" t="s">
        <v>21230</v>
      </c>
      <c r="E1439" s="21" t="s">
        <v>9207</v>
      </c>
      <c r="F1439" s="21" t="s">
        <v>21529</v>
      </c>
      <c r="G1439" s="21" t="s">
        <v>21239</v>
      </c>
    </row>
    <row r="1440" customFormat="false" ht="28.35" hidden="false" customHeight="false" outlineLevel="0" collapsed="false">
      <c r="B1440" s="19" t="s">
        <v>21545</v>
      </c>
      <c r="C1440" s="20" t="n">
        <f aca="false">ROUND(13/FX,2)</f>
        <v>1.81</v>
      </c>
      <c r="D1440" s="21" t="s">
        <v>21230</v>
      </c>
      <c r="E1440" s="21" t="s">
        <v>21358</v>
      </c>
      <c r="F1440" s="21" t="s">
        <v>21529</v>
      </c>
      <c r="G1440" s="21" t="s">
        <v>709</v>
      </c>
    </row>
    <row r="1441" customFormat="false" ht="28.35" hidden="false" customHeight="false" outlineLevel="0" collapsed="false">
      <c r="B1441" s="19" t="s">
        <v>21546</v>
      </c>
      <c r="C1441" s="20" t="n">
        <f aca="false">ROUND(13/FX,2)</f>
        <v>1.81</v>
      </c>
      <c r="D1441" s="21" t="s">
        <v>21230</v>
      </c>
      <c r="E1441" s="21" t="s">
        <v>21495</v>
      </c>
      <c r="F1441" s="21" t="s">
        <v>21529</v>
      </c>
      <c r="G1441" s="21" t="s">
        <v>709</v>
      </c>
    </row>
    <row r="1442" customFormat="false" ht="28.35" hidden="false" customHeight="false" outlineLevel="0" collapsed="false">
      <c r="B1442" s="19" t="s">
        <v>21547</v>
      </c>
      <c r="C1442" s="20" t="n">
        <f aca="false">ROUND(16.38/FX,2)</f>
        <v>2.28</v>
      </c>
      <c r="D1442" s="21" t="s">
        <v>21230</v>
      </c>
      <c r="E1442" s="21" t="s">
        <v>21497</v>
      </c>
      <c r="F1442" s="21" t="s">
        <v>21529</v>
      </c>
      <c r="G1442" s="21" t="s">
        <v>709</v>
      </c>
    </row>
    <row r="1443" customFormat="false" ht="28.35" hidden="false" customHeight="false" outlineLevel="0" collapsed="false">
      <c r="B1443" s="19" t="s">
        <v>21548</v>
      </c>
      <c r="C1443" s="20" t="n">
        <f aca="false">ROUND(14.3/FX,2)</f>
        <v>1.99</v>
      </c>
      <c r="D1443" s="21" t="s">
        <v>21230</v>
      </c>
      <c r="E1443" s="21" t="s">
        <v>21549</v>
      </c>
      <c r="F1443" s="21" t="s">
        <v>21529</v>
      </c>
      <c r="G1443" s="21" t="s">
        <v>709</v>
      </c>
    </row>
    <row r="1444" customFormat="false" ht="28.35" hidden="false" customHeight="false" outlineLevel="0" collapsed="false">
      <c r="B1444" s="19" t="s">
        <v>21550</v>
      </c>
      <c r="C1444" s="20" t="n">
        <f aca="false">ROUND(26.33/FX,2)</f>
        <v>3.66</v>
      </c>
      <c r="D1444" s="21" t="s">
        <v>21230</v>
      </c>
      <c r="E1444" s="21" t="s">
        <v>21549</v>
      </c>
      <c r="F1444" s="21" t="s">
        <v>21529</v>
      </c>
      <c r="G1444" s="21" t="s">
        <v>19735</v>
      </c>
    </row>
    <row r="1445" customFormat="false" ht="28.35" hidden="false" customHeight="false" outlineLevel="0" collapsed="false">
      <c r="B1445" s="19" t="s">
        <v>21551</v>
      </c>
      <c r="C1445" s="20" t="n">
        <f aca="false">ROUND(33.8/FX,2)</f>
        <v>4.69</v>
      </c>
      <c r="D1445" s="21" t="s">
        <v>21230</v>
      </c>
      <c r="E1445" s="21" t="s">
        <v>21552</v>
      </c>
      <c r="F1445" s="21" t="s">
        <v>21529</v>
      </c>
      <c r="G1445" s="21" t="s">
        <v>709</v>
      </c>
    </row>
    <row r="1446" customFormat="false" ht="28.35" hidden="false" customHeight="false" outlineLevel="0" collapsed="false">
      <c r="B1446" s="19" t="s">
        <v>21553</v>
      </c>
      <c r="C1446" s="20" t="n">
        <f aca="false">ROUND(15.6/FX,2)</f>
        <v>2.17</v>
      </c>
      <c r="D1446" s="21" t="s">
        <v>21230</v>
      </c>
      <c r="E1446" s="21" t="s">
        <v>21499</v>
      </c>
      <c r="F1446" s="21" t="s">
        <v>21529</v>
      </c>
      <c r="G1446" s="21" t="s">
        <v>709</v>
      </c>
    </row>
    <row r="1447" customFormat="false" ht="28.35" hidden="false" customHeight="false" outlineLevel="0" collapsed="false">
      <c r="B1447" s="19" t="s">
        <v>21554</v>
      </c>
      <c r="C1447" s="20" t="n">
        <f aca="false">ROUND(16.85/FX,2)</f>
        <v>2.34</v>
      </c>
      <c r="D1447" s="21" t="s">
        <v>21230</v>
      </c>
      <c r="E1447" s="21" t="s">
        <v>21555</v>
      </c>
      <c r="F1447" s="21" t="s">
        <v>21529</v>
      </c>
      <c r="G1447" s="21" t="s">
        <v>709</v>
      </c>
    </row>
    <row r="1448" customFormat="false" ht="28.35" hidden="false" customHeight="false" outlineLevel="0" collapsed="false">
      <c r="B1448" s="19" t="s">
        <v>21556</v>
      </c>
      <c r="C1448" s="20" t="n">
        <f aca="false">ROUND(4.55/FX,2)</f>
        <v>0.63</v>
      </c>
      <c r="D1448" s="21" t="s">
        <v>21230</v>
      </c>
      <c r="E1448" s="21" t="s">
        <v>21557</v>
      </c>
      <c r="F1448" s="21" t="s">
        <v>21529</v>
      </c>
      <c r="G1448" s="21" t="s">
        <v>21292</v>
      </c>
    </row>
    <row r="1449" customFormat="false" ht="28.35" hidden="false" customHeight="false" outlineLevel="0" collapsed="false">
      <c r="B1449" s="19" t="s">
        <v>21558</v>
      </c>
      <c r="C1449" s="20" t="n">
        <f aca="false">ROUND(16.25/FX,2)</f>
        <v>2.26</v>
      </c>
      <c r="D1449" s="21" t="s">
        <v>21230</v>
      </c>
      <c r="E1449" s="21" t="s">
        <v>21557</v>
      </c>
      <c r="F1449" s="21" t="s">
        <v>21529</v>
      </c>
      <c r="G1449" s="21" t="s">
        <v>709</v>
      </c>
    </row>
    <row r="1450" customFormat="false" ht="28.35" hidden="false" customHeight="false" outlineLevel="0" collapsed="false">
      <c r="B1450" s="19" t="s">
        <v>21559</v>
      </c>
      <c r="C1450" s="20" t="n">
        <f aca="false">ROUND(16.77/FX,2)</f>
        <v>2.33</v>
      </c>
      <c r="D1450" s="21" t="s">
        <v>21230</v>
      </c>
      <c r="E1450" s="21" t="s">
        <v>21395</v>
      </c>
      <c r="F1450" s="21" t="s">
        <v>21529</v>
      </c>
      <c r="G1450" s="21" t="s">
        <v>709</v>
      </c>
    </row>
    <row r="1451" customFormat="false" ht="28.35" hidden="false" customHeight="false" outlineLevel="0" collapsed="false">
      <c r="B1451" s="19" t="s">
        <v>21560</v>
      </c>
      <c r="C1451" s="20" t="n">
        <f aca="false">ROUND(11.7/FX,2)</f>
        <v>1.63</v>
      </c>
      <c r="D1451" s="21" t="s">
        <v>21230</v>
      </c>
      <c r="E1451" s="21" t="s">
        <v>21397</v>
      </c>
      <c r="F1451" s="21" t="s">
        <v>21529</v>
      </c>
      <c r="G1451" s="21" t="s">
        <v>709</v>
      </c>
    </row>
    <row r="1452" customFormat="false" ht="28.35" hidden="false" customHeight="false" outlineLevel="0" collapsed="false">
      <c r="B1452" s="19" t="s">
        <v>21561</v>
      </c>
      <c r="C1452" s="20" t="n">
        <f aca="false">ROUND(33.28/FX,2)</f>
        <v>4.62</v>
      </c>
      <c r="D1452" s="21" t="s">
        <v>21230</v>
      </c>
      <c r="E1452" s="21" t="s">
        <v>21488</v>
      </c>
      <c r="F1452" s="21" t="s">
        <v>21529</v>
      </c>
      <c r="G1452" s="21" t="s">
        <v>709</v>
      </c>
    </row>
    <row r="1453" customFormat="false" ht="28.35" hidden="false" customHeight="false" outlineLevel="0" collapsed="false">
      <c r="B1453" s="19" t="s">
        <v>21562</v>
      </c>
      <c r="C1453" s="20" t="n">
        <f aca="false">ROUND(28.6/FX,2)</f>
        <v>3.97</v>
      </c>
      <c r="D1453" s="21" t="s">
        <v>21230</v>
      </c>
      <c r="E1453" s="21" t="s">
        <v>21563</v>
      </c>
      <c r="F1453" s="21" t="s">
        <v>21529</v>
      </c>
      <c r="G1453" s="21" t="s">
        <v>709</v>
      </c>
    </row>
    <row r="1454" customFormat="false" ht="28.35" hidden="false" customHeight="false" outlineLevel="0" collapsed="false">
      <c r="B1454" s="19" t="s">
        <v>21564</v>
      </c>
      <c r="C1454" s="20" t="n">
        <f aca="false">ROUND(36.4/FX,2)</f>
        <v>5.06</v>
      </c>
      <c r="D1454" s="21" t="s">
        <v>21230</v>
      </c>
      <c r="E1454" s="21" t="s">
        <v>21565</v>
      </c>
      <c r="F1454" s="21" t="s">
        <v>21529</v>
      </c>
      <c r="G1454" s="21" t="s">
        <v>709</v>
      </c>
    </row>
    <row r="1457" customFormat="false" ht="61.5" hidden="false" customHeight="true" outlineLevel="0" collapsed="false">
      <c r="A1457" s="9"/>
      <c r="B1457" s="10" t="s">
        <v>21566</v>
      </c>
      <c r="C1457" s="10"/>
      <c r="D1457" s="10"/>
      <c r="E1457" s="10"/>
    </row>
    <row r="1458" customFormat="false" ht="15" hidden="false" customHeight="false" outlineLevel="0" collapsed="false">
      <c r="A1458" s="12" t="s">
        <v>700</v>
      </c>
      <c r="B1458" s="13" t="s">
        <v>701</v>
      </c>
      <c r="C1458" s="13" t="s">
        <v>702</v>
      </c>
      <c r="D1458" s="13" t="s">
        <v>722</v>
      </c>
      <c r="E1458" s="13" t="s">
        <v>723</v>
      </c>
    </row>
    <row r="1459" customFormat="false" ht="30" hidden="false" customHeight="true" outlineLevel="0" collapsed="false">
      <c r="A1459" s="14" t="s">
        <v>706</v>
      </c>
      <c r="B1459" s="15" t="str">
        <f aca="false">IF(COUNTIFS($D$1462:$D$1467,IF(D1459="","*",D1459),$E$1462:$E$1467,IF(E1459="","*",E1459))=1,INDEX($B:$B,SUMPRODUCT(((D1459="")+($D$1462:$D$1467=D1459)&gt;0)*((E1459="")+($E$1462:$E$1467=E1459)&gt;0)*ROW($B$1462:$B$1467))),IF(COUNTIFS($D$1462:$D$1467,IF(D1459="","*",D1459),$E$1462:$E$1467,IF(E1459="","*",E1459))=0,"Not available",COUNTIFS($D$1462:$D$1467,IF(D1459="","*",D1459),$E$1462:$E$1467,IF(E1459="","*",E1459))&amp;" match, keep choosing"))</f>
        <v>EG-051-BK-FF</v>
      </c>
      <c r="C1459" s="16" t="n">
        <f aca="false">IF(COUNTIFS($D$1462:$D$1467,IF(D1459="","*",D1459),$E$1462:$E$1467,IF(E1459="","*",E1459))=1,INDEX($C:$C,SUMPRODUCT(((D1459="")+($D$1462:$D$1467=D1459)&gt;0)*((E1459="")+($E$1462:$E$1467=E1459)&gt;0)*ROW($B$1462:$B$1467))),"")</f>
        <v>1.99</v>
      </c>
      <c r="D1459" s="17" t="s">
        <v>724</v>
      </c>
      <c r="E1459" s="17" t="s">
        <v>21567</v>
      </c>
    </row>
    <row r="1461" customFormat="false" ht="15" hidden="false" customHeight="false" outlineLevel="0" collapsed="false">
      <c r="B1461" s="18" t="s">
        <v>701</v>
      </c>
      <c r="C1461" s="18" t="s">
        <v>702</v>
      </c>
      <c r="D1461" s="18" t="s">
        <v>722</v>
      </c>
      <c r="E1461" s="18" t="s">
        <v>723</v>
      </c>
    </row>
    <row r="1462" customFormat="false" ht="15" hidden="false" customHeight="false" outlineLevel="0" collapsed="false">
      <c r="B1462" s="19" t="s">
        <v>21568</v>
      </c>
      <c r="C1462" s="20" t="n">
        <f aca="false">ROUND(14.3/FX,2)</f>
        <v>1.99</v>
      </c>
      <c r="D1462" s="21" t="s">
        <v>724</v>
      </c>
      <c r="E1462" s="21" t="s">
        <v>21567</v>
      </c>
    </row>
    <row r="1463" customFormat="false" ht="15" hidden="false" customHeight="false" outlineLevel="0" collapsed="false">
      <c r="B1463" s="19" t="s">
        <v>21569</v>
      </c>
      <c r="C1463" s="20" t="n">
        <f aca="false">ROUND(14.3/FX,2)</f>
        <v>1.99</v>
      </c>
      <c r="D1463" s="21" t="s">
        <v>724</v>
      </c>
      <c r="E1463" s="21" t="s">
        <v>21570</v>
      </c>
    </row>
    <row r="1464" customFormat="false" ht="15" hidden="false" customHeight="false" outlineLevel="0" collapsed="false">
      <c r="B1464" s="19" t="s">
        <v>21571</v>
      </c>
      <c r="C1464" s="20" t="n">
        <f aca="false">ROUND(14.3/FX,2)</f>
        <v>1.99</v>
      </c>
      <c r="D1464" s="21" t="s">
        <v>724</v>
      </c>
      <c r="E1464" s="21" t="s">
        <v>21572</v>
      </c>
    </row>
    <row r="1465" customFormat="false" ht="15" hidden="false" customHeight="false" outlineLevel="0" collapsed="false">
      <c r="B1465" s="19" t="s">
        <v>21573</v>
      </c>
      <c r="C1465" s="20" t="n">
        <f aca="false">ROUND(15.6/FX,2)</f>
        <v>2.17</v>
      </c>
      <c r="D1465" s="21" t="s">
        <v>751</v>
      </c>
      <c r="E1465" s="21" t="s">
        <v>21567</v>
      </c>
    </row>
    <row r="1466" customFormat="false" ht="15" hidden="false" customHeight="false" outlineLevel="0" collapsed="false">
      <c r="B1466" s="19" t="s">
        <v>21574</v>
      </c>
      <c r="C1466" s="20" t="n">
        <f aca="false">ROUND(15.6/FX,2)</f>
        <v>2.17</v>
      </c>
      <c r="D1466" s="21" t="s">
        <v>751</v>
      </c>
      <c r="E1466" s="21" t="s">
        <v>21570</v>
      </c>
    </row>
    <row r="1467" customFormat="false" ht="15" hidden="false" customHeight="false" outlineLevel="0" collapsed="false">
      <c r="B1467" s="19" t="s">
        <v>21575</v>
      </c>
      <c r="C1467" s="20" t="n">
        <f aca="false">ROUND(15.6/FX,2)</f>
        <v>2.17</v>
      </c>
      <c r="D1467" s="21" t="s">
        <v>751</v>
      </c>
      <c r="E1467" s="21" t="s">
        <v>21572</v>
      </c>
    </row>
    <row r="1470" customFormat="false" ht="61.5" hidden="false" customHeight="true" outlineLevel="0" collapsed="false">
      <c r="A1470" s="9"/>
      <c r="B1470" s="10" t="s">
        <v>21576</v>
      </c>
      <c r="C1470" s="10"/>
      <c r="D1470" s="10"/>
    </row>
    <row r="1471" customFormat="false" ht="15" hidden="false" customHeight="false" outlineLevel="0" collapsed="false">
      <c r="B1471" s="18" t="s">
        <v>701</v>
      </c>
      <c r="C1471" s="18" t="s">
        <v>702</v>
      </c>
      <c r="D1471" s="18" t="s">
        <v>5610</v>
      </c>
    </row>
    <row r="1472" customFormat="false" ht="15" hidden="false" customHeight="false" outlineLevel="0" collapsed="false">
      <c r="B1472" s="19" t="s">
        <v>21577</v>
      </c>
      <c r="C1472" s="20" t="n">
        <f aca="false">ROUND(1.3/FX,2)</f>
        <v>0.18</v>
      </c>
      <c r="D1472" s="22" t="s">
        <v>5612</v>
      </c>
    </row>
    <row r="1475" customFormat="false" ht="61.5" hidden="false" customHeight="true" outlineLevel="0" collapsed="false">
      <c r="A1475" s="9"/>
      <c r="B1475" s="10" t="s">
        <v>21578</v>
      </c>
      <c r="C1475" s="10"/>
      <c r="D1475" s="10"/>
    </row>
    <row r="1476" customFormat="false" ht="15" hidden="false" customHeight="false" outlineLevel="0" collapsed="false">
      <c r="A1476" s="12" t="s">
        <v>700</v>
      </c>
      <c r="B1476" s="13" t="s">
        <v>701</v>
      </c>
      <c r="C1476" s="13" t="s">
        <v>702</v>
      </c>
      <c r="D1476" s="13" t="s">
        <v>723</v>
      </c>
    </row>
    <row r="1477" customFormat="false" ht="30" hidden="false" customHeight="true" outlineLevel="0" collapsed="false">
      <c r="A1477" s="14" t="s">
        <v>706</v>
      </c>
      <c r="B1477" s="15" t="str">
        <f aca="false">IF(COUNTIFS($D$1480:$D$1482,IF(D1477="","*",D1477))=1,INDEX($B:$B,SUMPRODUCT(((D1477="")+($D$1480:$D$1482=D1477)&gt;0)*ROW($B$1480:$B$1482))),IF(COUNTIFS($D$1480:$D$1482,IF(D1477="","*",D1477))=0,"Not available",COUNTIFS($D$1480:$D$1482,IF(D1477="","*",D1477))&amp;" match, keep choosing"))</f>
        <v>EG-021-DZJG</v>
      </c>
      <c r="C1477" s="16" t="n">
        <f aca="false">IF(COUNTIFS($D$1480:$D$1482,IF(D1477="","*",D1477))=1,INDEX($C:$C,SUMPRODUCT(((D1477="")+($D$1480:$D$1482=D1477)&gt;0)*ROW($B$1480:$B$1482))),"")</f>
        <v>1.23</v>
      </c>
      <c r="D1477" s="17" t="s">
        <v>21579</v>
      </c>
    </row>
    <row r="1479" customFormat="false" ht="15" hidden="false" customHeight="false" outlineLevel="0" collapsed="false">
      <c r="B1479" s="18" t="s">
        <v>701</v>
      </c>
      <c r="C1479" s="18" t="s">
        <v>702</v>
      </c>
      <c r="D1479" s="18" t="s">
        <v>723</v>
      </c>
    </row>
    <row r="1480" customFormat="false" ht="15" hidden="false" customHeight="false" outlineLevel="0" collapsed="false">
      <c r="B1480" s="19" t="s">
        <v>21580</v>
      </c>
      <c r="C1480" s="20" t="n">
        <f aca="false">ROUND(8.84/FX,2)</f>
        <v>1.23</v>
      </c>
      <c r="D1480" s="21" t="s">
        <v>21579</v>
      </c>
    </row>
    <row r="1481" customFormat="false" ht="15" hidden="false" customHeight="false" outlineLevel="0" collapsed="false">
      <c r="B1481" s="19" t="s">
        <v>21581</v>
      </c>
      <c r="C1481" s="20" t="n">
        <f aca="false">ROUND(8.84/FX,2)</f>
        <v>1.23</v>
      </c>
      <c r="D1481" s="21" t="s">
        <v>21582</v>
      </c>
    </row>
    <row r="1482" customFormat="false" ht="15" hidden="false" customHeight="false" outlineLevel="0" collapsed="false">
      <c r="B1482" s="19" t="s">
        <v>21583</v>
      </c>
      <c r="C1482" s="20" t="n">
        <f aca="false">ROUND(8.84/FX,2)</f>
        <v>1.23</v>
      </c>
      <c r="D1482" s="21" t="s">
        <v>21584</v>
      </c>
    </row>
    <row r="1485" customFormat="false" ht="61.5" hidden="false" customHeight="true" outlineLevel="0" collapsed="false">
      <c r="A1485" s="9"/>
      <c r="B1485" s="10" t="s">
        <v>21585</v>
      </c>
      <c r="C1485" s="10"/>
      <c r="D1485" s="10"/>
    </row>
    <row r="1486" customFormat="false" ht="15" hidden="false" customHeight="false" outlineLevel="0" collapsed="false">
      <c r="A1486" s="12" t="s">
        <v>700</v>
      </c>
      <c r="B1486" s="13" t="s">
        <v>701</v>
      </c>
      <c r="C1486" s="13" t="s">
        <v>702</v>
      </c>
      <c r="D1486" s="13" t="s">
        <v>723</v>
      </c>
    </row>
    <row r="1487" customFormat="false" ht="30" hidden="false" customHeight="true" outlineLevel="0" collapsed="false">
      <c r="A1487" s="14" t="s">
        <v>706</v>
      </c>
      <c r="B1487" s="15" t="str">
        <f aca="false">IF(COUNTIFS($D$1490:$D$1491,IF(D1487="","*",D1487))=1,INDEX($B:$B,SUMPRODUCT(((D1487="")+($D$1490:$D$1491=D1487)&gt;0)*ROW($B$1490:$B$1491))),IF(COUNTIFS($D$1490:$D$1491,IF(D1487="","*",D1487))=0,"Not available",COUNTIFS($D$1490:$D$1491,IF(D1487="","*",D1487))&amp;" match, keep choosing"))</f>
        <v>EG-058-SSR-25DA</v>
      </c>
      <c r="C1487" s="16" t="n">
        <f aca="false">IF(COUNTIFS($D$1490:$D$1491,IF(D1487="","*",D1487))=1,INDEX($C:$C,SUMPRODUCT(((D1487="")+($D$1490:$D$1491=D1487)&gt;0)*ROW($B$1490:$B$1491))),"")</f>
        <v>1.63</v>
      </c>
      <c r="D1487" s="17" t="s">
        <v>21586</v>
      </c>
    </row>
    <row r="1489" customFormat="false" ht="15" hidden="false" customHeight="false" outlineLevel="0" collapsed="false">
      <c r="B1489" s="18" t="s">
        <v>701</v>
      </c>
      <c r="C1489" s="18" t="s">
        <v>702</v>
      </c>
      <c r="D1489" s="18" t="s">
        <v>723</v>
      </c>
    </row>
    <row r="1490" customFormat="false" ht="15" hidden="false" customHeight="false" outlineLevel="0" collapsed="false">
      <c r="B1490" s="19" t="s">
        <v>21587</v>
      </c>
      <c r="C1490" s="20" t="n">
        <f aca="false">ROUND(11.7/FX,2)</f>
        <v>1.63</v>
      </c>
      <c r="D1490" s="21" t="s">
        <v>21586</v>
      </c>
    </row>
    <row r="1491" customFormat="false" ht="15" hidden="false" customHeight="false" outlineLevel="0" collapsed="false">
      <c r="B1491" s="19" t="s">
        <v>21588</v>
      </c>
      <c r="C1491" s="20" t="n">
        <f aca="false">ROUND(15.6/FX,2)</f>
        <v>2.17</v>
      </c>
      <c r="D1491" s="21" t="s">
        <v>21589</v>
      </c>
    </row>
    <row r="1494" customFormat="false" ht="61.5" hidden="false" customHeight="true" outlineLevel="0" collapsed="false">
      <c r="A1494" s="9"/>
      <c r="B1494" s="10" t="s">
        <v>21590</v>
      </c>
      <c r="C1494" s="10"/>
      <c r="D1494" s="10"/>
    </row>
    <row r="1495" customFormat="false" ht="15" hidden="false" customHeight="false" outlineLevel="0" collapsed="false">
      <c r="A1495" s="12" t="s">
        <v>700</v>
      </c>
      <c r="B1495" s="13" t="s">
        <v>701</v>
      </c>
      <c r="C1495" s="13" t="s">
        <v>702</v>
      </c>
      <c r="D1495" s="13" t="s">
        <v>723</v>
      </c>
    </row>
    <row r="1496" customFormat="false" ht="30" hidden="false" customHeight="true" outlineLevel="0" collapsed="false">
      <c r="A1496" s="14" t="s">
        <v>706</v>
      </c>
      <c r="B1496" s="15" t="str">
        <f aca="false">IF(COUNTIFS($D$1499:$D$1504,IF(D1496="","*",D1496))=1,INDEX($B:$B,SUMPRODUCT(((D1496="")+($D$1499:$D$1504=D1496)&gt;0)*ROW($B$1499:$B$1504))),IF(COUNTIFS($D$1499:$D$1504,IF(D1496="","*",D1496))=0,"Not available",COUNTIFS($D$1499:$D$1504,IF(D1496="","*",D1496))&amp;" match, keep choosing"))</f>
        <v>EG-016-2PMDMZ100CM</v>
      </c>
      <c r="C1496" s="16" t="n">
        <f aca="false">IF(COUNTIFS($D$1499:$D$1504,IF(D1496="","*",D1496))=1,INDEX($C:$C,SUMPRODUCT(((D1496="")+($D$1499:$D$1504=D1496)&gt;0)*ROW($B$1499:$B$1504))),"")</f>
        <v>0.08</v>
      </c>
      <c r="D1496" s="17" t="s">
        <v>21591</v>
      </c>
    </row>
    <row r="1498" customFormat="false" ht="15" hidden="false" customHeight="false" outlineLevel="0" collapsed="false">
      <c r="B1498" s="18" t="s">
        <v>701</v>
      </c>
      <c r="C1498" s="18" t="s">
        <v>702</v>
      </c>
      <c r="D1498" s="18" t="s">
        <v>723</v>
      </c>
    </row>
    <row r="1499" customFormat="false" ht="28.35" hidden="false" customHeight="false" outlineLevel="0" collapsed="false">
      <c r="B1499" s="19" t="s">
        <v>21592</v>
      </c>
      <c r="C1499" s="20" t="n">
        <f aca="false">ROUND(0.61/FX,2)</f>
        <v>0.08</v>
      </c>
      <c r="D1499" s="21" t="s">
        <v>21591</v>
      </c>
    </row>
    <row r="1500" customFormat="false" ht="28.35" hidden="false" customHeight="false" outlineLevel="0" collapsed="false">
      <c r="B1500" s="19" t="s">
        <v>21593</v>
      </c>
      <c r="C1500" s="20" t="n">
        <f aca="false">ROUND(0.52/FX,2)</f>
        <v>0.07</v>
      </c>
      <c r="D1500" s="21" t="s">
        <v>21594</v>
      </c>
    </row>
    <row r="1501" customFormat="false" ht="28.35" hidden="false" customHeight="false" outlineLevel="0" collapsed="false">
      <c r="B1501" s="19" t="s">
        <v>21595</v>
      </c>
      <c r="C1501" s="20" t="n">
        <f aca="false">ROUND(1.04/FX,2)</f>
        <v>0.14</v>
      </c>
      <c r="D1501" s="21" t="s">
        <v>21596</v>
      </c>
    </row>
    <row r="1502" customFormat="false" ht="28.35" hidden="false" customHeight="false" outlineLevel="0" collapsed="false">
      <c r="B1502" s="19" t="s">
        <v>21597</v>
      </c>
      <c r="C1502" s="20" t="n">
        <f aca="false">ROUND(0.85/FX,2)</f>
        <v>0.12</v>
      </c>
      <c r="D1502" s="21" t="s">
        <v>21598</v>
      </c>
    </row>
    <row r="1503" customFormat="false" ht="28.35" hidden="false" customHeight="false" outlineLevel="0" collapsed="false">
      <c r="B1503" s="19" t="s">
        <v>21599</v>
      </c>
      <c r="C1503" s="20" t="n">
        <f aca="false">ROUND(1.26/FX,2)</f>
        <v>0.18</v>
      </c>
      <c r="D1503" s="21" t="s">
        <v>21600</v>
      </c>
    </row>
    <row r="1504" customFormat="false" ht="28.35" hidden="false" customHeight="false" outlineLevel="0" collapsed="false">
      <c r="B1504" s="19" t="s">
        <v>21601</v>
      </c>
      <c r="C1504" s="20" t="n">
        <f aca="false">ROUND(1.08/FX,2)</f>
        <v>0.15</v>
      </c>
      <c r="D1504" s="21" t="s">
        <v>21602</v>
      </c>
    </row>
    <row r="1507" customFormat="false" ht="61.5" hidden="false" customHeight="true" outlineLevel="0" collapsed="false">
      <c r="A1507" s="9"/>
      <c r="B1507" s="10" t="s">
        <v>21603</v>
      </c>
      <c r="C1507" s="10"/>
      <c r="D1507" s="10"/>
    </row>
    <row r="1508" customFormat="false" ht="15" hidden="false" customHeight="false" outlineLevel="0" collapsed="false">
      <c r="A1508" s="12" t="s">
        <v>700</v>
      </c>
      <c r="B1508" s="13" t="s">
        <v>701</v>
      </c>
      <c r="C1508" s="13" t="s">
        <v>702</v>
      </c>
      <c r="D1508" s="13" t="s">
        <v>722</v>
      </c>
    </row>
    <row r="1509" customFormat="false" ht="30" hidden="false" customHeight="true" outlineLevel="0" collapsed="false">
      <c r="A1509" s="14" t="s">
        <v>706</v>
      </c>
      <c r="B1509" s="15" t="str">
        <f aca="false">IF(COUNTIFS($D$1512:$D$1513,IF(D1509="","*",D1509))=1,INDEX($B:$B,SUMPRODUCT(((D1509="")+($D$1512:$D$1513=D1509)&gt;0)*ROW($B$1512:$B$1513))),IF(COUNTIFS($D$1512:$D$1513,IF(D1509="","*",D1509))=0,"Not available",COUNTIFS($D$1512:$D$1513,IF(D1509="","*",D1509))&amp;" match, keep choosing"))</f>
        <v>EG-050-BK</v>
      </c>
      <c r="C1509" s="16" t="n">
        <f aca="false">IF(COUNTIFS($D$1512:$D$1513,IF(D1509="","*",D1509))=1,INDEX($C:$C,SUMPRODUCT(((D1509="")+($D$1512:$D$1513=D1509)&gt;0)*ROW($B$1512:$B$1513))),"")</f>
        <v>0.46</v>
      </c>
      <c r="D1509" s="17" t="s">
        <v>724</v>
      </c>
    </row>
    <row r="1511" customFormat="false" ht="15" hidden="false" customHeight="false" outlineLevel="0" collapsed="false">
      <c r="B1511" s="18" t="s">
        <v>701</v>
      </c>
      <c r="C1511" s="18" t="s">
        <v>702</v>
      </c>
      <c r="D1511" s="18" t="s">
        <v>722</v>
      </c>
    </row>
    <row r="1512" customFormat="false" ht="15" hidden="false" customHeight="false" outlineLevel="0" collapsed="false">
      <c r="B1512" s="19" t="s">
        <v>21604</v>
      </c>
      <c r="C1512" s="20" t="n">
        <f aca="false">ROUND(3.3/FX,2)</f>
        <v>0.46</v>
      </c>
      <c r="D1512" s="21" t="s">
        <v>724</v>
      </c>
    </row>
    <row r="1513" customFormat="false" ht="15" hidden="false" customHeight="false" outlineLevel="0" collapsed="false">
      <c r="B1513" s="19" t="s">
        <v>21605</v>
      </c>
      <c r="C1513" s="20" t="n">
        <f aca="false">ROUND(3.3/FX,2)</f>
        <v>0.46</v>
      </c>
      <c r="D1513" s="21" t="s">
        <v>6549</v>
      </c>
    </row>
    <row r="1516" customFormat="false" ht="61.5" hidden="false" customHeight="true" outlineLevel="0" collapsed="false">
      <c r="A1516" s="9"/>
      <c r="B1516" s="10" t="s">
        <v>21606</v>
      </c>
      <c r="C1516" s="10"/>
      <c r="D1516" s="10"/>
      <c r="E1516" s="10"/>
    </row>
    <row r="1517" customFormat="false" ht="15" hidden="false" customHeight="false" outlineLevel="0" collapsed="false">
      <c r="A1517" s="12" t="s">
        <v>700</v>
      </c>
      <c r="B1517" s="13" t="s">
        <v>701</v>
      </c>
      <c r="C1517" s="13" t="s">
        <v>702</v>
      </c>
      <c r="D1517" s="13" t="s">
        <v>722</v>
      </c>
      <c r="E1517" s="13" t="s">
        <v>723</v>
      </c>
    </row>
    <row r="1518" customFormat="false" ht="30" hidden="false" customHeight="true" outlineLevel="0" collapsed="false">
      <c r="A1518" s="14" t="s">
        <v>706</v>
      </c>
      <c r="B1518" s="15" t="str">
        <f aca="false">IF(COUNTIFS($D$1521:$D$1544,IF(D1518="","*",D1518),$E$1521:$E$1544,IF(E1518="","*",E1518))=1,INDEX($B:$B,SUMPRODUCT(((D1518="")+($D$1521:$D$1544=D1518)&gt;0)*((E1518="")+($E$1521:$E$1544=E1518)&gt;0)*ROW($B$1521:$B$1544))),IF(COUNTIFS($D$1521:$D$1544,IF(D1518="","*",D1518),$E$1521:$E$1544,IF(E1518="","*",E1518))=0,"Not available",COUNTIFS($D$1521:$D$1544,IF(D1518="","*",D1518),$E$1521:$E$1544,IF(E1518="","*",E1518))&amp;" match, keep choosing"))</f>
        <v>EG-019-BK-1010M</v>
      </c>
      <c r="C1518" s="16" t="n">
        <f aca="false">IF(COUNTIFS($D$1521:$D$1544,IF(D1518="","*",D1518),$E$1521:$E$1544,IF(E1518="","*",E1518))=1,INDEX($C:$C,SUMPRODUCT(((D1518="")+($D$1521:$D$1544=D1518)&gt;0)*((E1518="")+($E$1521:$E$1544=E1518)&gt;0)*ROW($B$1521:$B$1544))),"")</f>
        <v>0.29</v>
      </c>
      <c r="D1518" s="17" t="s">
        <v>724</v>
      </c>
      <c r="E1518" s="17" t="s">
        <v>21607</v>
      </c>
    </row>
    <row r="1520" customFormat="false" ht="15" hidden="false" customHeight="false" outlineLevel="0" collapsed="false">
      <c r="B1520" s="18" t="s">
        <v>701</v>
      </c>
      <c r="C1520" s="18" t="s">
        <v>702</v>
      </c>
      <c r="D1520" s="18" t="s">
        <v>722</v>
      </c>
      <c r="E1520" s="18" t="s">
        <v>723</v>
      </c>
    </row>
    <row r="1521" customFormat="false" ht="15" hidden="false" customHeight="false" outlineLevel="0" collapsed="false">
      <c r="B1521" s="19" t="s">
        <v>21608</v>
      </c>
      <c r="C1521" s="20" t="n">
        <f aca="false">ROUND(2.11/FX,2)</f>
        <v>0.29</v>
      </c>
      <c r="D1521" s="21" t="s">
        <v>724</v>
      </c>
      <c r="E1521" s="21" t="s">
        <v>21607</v>
      </c>
    </row>
    <row r="1522" customFormat="false" ht="15" hidden="false" customHeight="false" outlineLevel="0" collapsed="false">
      <c r="B1522" s="19" t="s">
        <v>21609</v>
      </c>
      <c r="C1522" s="20" t="n">
        <f aca="false">ROUND(1.96/FX,2)</f>
        <v>0.27</v>
      </c>
      <c r="D1522" s="21" t="s">
        <v>724</v>
      </c>
      <c r="E1522" s="21" t="s">
        <v>21610</v>
      </c>
    </row>
    <row r="1523" customFormat="false" ht="15" hidden="false" customHeight="false" outlineLevel="0" collapsed="false">
      <c r="B1523" s="19" t="s">
        <v>21611</v>
      </c>
      <c r="C1523" s="20" t="n">
        <f aca="false">ROUND(2.28/FX,2)</f>
        <v>0.32</v>
      </c>
      <c r="D1523" s="21" t="s">
        <v>724</v>
      </c>
      <c r="E1523" s="21" t="s">
        <v>21612</v>
      </c>
    </row>
    <row r="1524" customFormat="false" ht="15" hidden="false" customHeight="false" outlineLevel="0" collapsed="false">
      <c r="B1524" s="19" t="s">
        <v>21613</v>
      </c>
      <c r="C1524" s="20" t="n">
        <f aca="false">ROUND(2.28/FX,2)</f>
        <v>0.32</v>
      </c>
      <c r="D1524" s="21" t="s">
        <v>724</v>
      </c>
      <c r="E1524" s="21" t="s">
        <v>21614</v>
      </c>
    </row>
    <row r="1525" customFormat="false" ht="15" hidden="false" customHeight="false" outlineLevel="0" collapsed="false">
      <c r="B1525" s="19" t="s">
        <v>21615</v>
      </c>
      <c r="C1525" s="20" t="n">
        <f aca="false">ROUND(2.28/FX,2)</f>
        <v>0.32</v>
      </c>
      <c r="D1525" s="21" t="s">
        <v>724</v>
      </c>
      <c r="E1525" s="21" t="s">
        <v>21616</v>
      </c>
    </row>
    <row r="1526" customFormat="false" ht="15" hidden="false" customHeight="false" outlineLevel="0" collapsed="false">
      <c r="B1526" s="19" t="s">
        <v>21617</v>
      </c>
      <c r="C1526" s="20" t="n">
        <f aca="false">ROUND(1.93/FX,2)</f>
        <v>0.27</v>
      </c>
      <c r="D1526" s="21" t="s">
        <v>724</v>
      </c>
      <c r="E1526" s="21" t="s">
        <v>21618</v>
      </c>
    </row>
    <row r="1527" customFormat="false" ht="15" hidden="false" customHeight="false" outlineLevel="0" collapsed="false">
      <c r="B1527" s="19" t="s">
        <v>21619</v>
      </c>
      <c r="C1527" s="20" t="n">
        <f aca="false">ROUND(2.28/FX,2)</f>
        <v>0.32</v>
      </c>
      <c r="D1527" s="21" t="s">
        <v>724</v>
      </c>
      <c r="E1527" s="21" t="s">
        <v>21620</v>
      </c>
    </row>
    <row r="1528" customFormat="false" ht="15" hidden="false" customHeight="false" outlineLevel="0" collapsed="false">
      <c r="B1528" s="19" t="s">
        <v>21621</v>
      </c>
      <c r="C1528" s="20" t="n">
        <f aca="false">ROUND(2.28/FX,2)</f>
        <v>0.32</v>
      </c>
      <c r="D1528" s="21" t="s">
        <v>724</v>
      </c>
      <c r="E1528" s="21" t="s">
        <v>21622</v>
      </c>
    </row>
    <row r="1529" customFormat="false" ht="15" hidden="false" customHeight="false" outlineLevel="0" collapsed="false">
      <c r="B1529" s="19" t="s">
        <v>21623</v>
      </c>
      <c r="C1529" s="20" t="n">
        <f aca="false">ROUND(6.85/FX,2)</f>
        <v>0.95</v>
      </c>
      <c r="D1529" s="21" t="s">
        <v>724</v>
      </c>
      <c r="E1529" s="21" t="s">
        <v>21624</v>
      </c>
    </row>
    <row r="1530" customFormat="false" ht="15" hidden="false" customHeight="false" outlineLevel="0" collapsed="false">
      <c r="B1530" s="19" t="s">
        <v>21625</v>
      </c>
      <c r="C1530" s="20" t="n">
        <f aca="false">ROUND(2.95/FX,2)</f>
        <v>0.41</v>
      </c>
      <c r="D1530" s="21" t="s">
        <v>724</v>
      </c>
      <c r="E1530" s="21" t="s">
        <v>21626</v>
      </c>
    </row>
    <row r="1531" customFormat="false" ht="15" hidden="false" customHeight="false" outlineLevel="0" collapsed="false">
      <c r="B1531" s="19" t="s">
        <v>21627</v>
      </c>
      <c r="C1531" s="20" t="n">
        <f aca="false">ROUND(2.11/FX,2)</f>
        <v>0.29</v>
      </c>
      <c r="D1531" s="21" t="s">
        <v>724</v>
      </c>
      <c r="E1531" s="21" t="s">
        <v>21628</v>
      </c>
    </row>
    <row r="1532" customFormat="false" ht="15" hidden="false" customHeight="false" outlineLevel="0" collapsed="false">
      <c r="B1532" s="19" t="s">
        <v>21629</v>
      </c>
      <c r="C1532" s="20" t="n">
        <f aca="false">ROUND(1.96/FX,2)</f>
        <v>0.27</v>
      </c>
      <c r="D1532" s="21" t="s">
        <v>724</v>
      </c>
      <c r="E1532" s="21" t="s">
        <v>21630</v>
      </c>
    </row>
    <row r="1533" customFormat="false" ht="15" hidden="false" customHeight="false" outlineLevel="0" collapsed="false">
      <c r="B1533" s="19" t="s">
        <v>21631</v>
      </c>
      <c r="C1533" s="20" t="n">
        <f aca="false">ROUND(2.03/FX,2)</f>
        <v>0.28</v>
      </c>
      <c r="D1533" s="21" t="s">
        <v>751</v>
      </c>
      <c r="E1533" s="21" t="s">
        <v>21607</v>
      </c>
    </row>
    <row r="1534" customFormat="false" ht="15" hidden="false" customHeight="false" outlineLevel="0" collapsed="false">
      <c r="B1534" s="19" t="s">
        <v>21632</v>
      </c>
      <c r="C1534" s="20" t="n">
        <f aca="false">ROUND(1.96/FX,2)</f>
        <v>0.27</v>
      </c>
      <c r="D1534" s="21" t="s">
        <v>751</v>
      </c>
      <c r="E1534" s="21" t="s">
        <v>21610</v>
      </c>
    </row>
    <row r="1535" customFormat="false" ht="15" hidden="false" customHeight="false" outlineLevel="0" collapsed="false">
      <c r="B1535" s="19" t="s">
        <v>21633</v>
      </c>
      <c r="C1535" s="20" t="n">
        <f aca="false">ROUND(2.32/FX,2)</f>
        <v>0.32</v>
      </c>
      <c r="D1535" s="21" t="s">
        <v>751</v>
      </c>
      <c r="E1535" s="21" t="s">
        <v>21612</v>
      </c>
    </row>
    <row r="1536" customFormat="false" ht="15" hidden="false" customHeight="false" outlineLevel="0" collapsed="false">
      <c r="B1536" s="19" t="s">
        <v>21634</v>
      </c>
      <c r="C1536" s="20" t="n">
        <f aca="false">ROUND(2.28/FX,2)</f>
        <v>0.32</v>
      </c>
      <c r="D1536" s="21" t="s">
        <v>751</v>
      </c>
      <c r="E1536" s="21" t="s">
        <v>21614</v>
      </c>
    </row>
    <row r="1537" customFormat="false" ht="15" hidden="false" customHeight="false" outlineLevel="0" collapsed="false">
      <c r="B1537" s="19" t="s">
        <v>21635</v>
      </c>
      <c r="C1537" s="20" t="n">
        <f aca="false">ROUND(2.32/FX,2)</f>
        <v>0.32</v>
      </c>
      <c r="D1537" s="21" t="s">
        <v>751</v>
      </c>
      <c r="E1537" s="21" t="s">
        <v>21616</v>
      </c>
    </row>
    <row r="1538" customFormat="false" ht="15" hidden="false" customHeight="false" outlineLevel="0" collapsed="false">
      <c r="B1538" s="19" t="s">
        <v>21636</v>
      </c>
      <c r="C1538" s="20" t="n">
        <f aca="false">ROUND(2.28/FX,2)</f>
        <v>0.32</v>
      </c>
      <c r="D1538" s="21" t="s">
        <v>751</v>
      </c>
      <c r="E1538" s="21" t="s">
        <v>21618</v>
      </c>
    </row>
    <row r="1539" customFormat="false" ht="15" hidden="false" customHeight="false" outlineLevel="0" collapsed="false">
      <c r="B1539" s="19" t="s">
        <v>21637</v>
      </c>
      <c r="C1539" s="20" t="n">
        <f aca="false">ROUND(2.32/FX,2)</f>
        <v>0.32</v>
      </c>
      <c r="D1539" s="21" t="s">
        <v>751</v>
      </c>
      <c r="E1539" s="21" t="s">
        <v>21620</v>
      </c>
    </row>
    <row r="1540" customFormat="false" ht="15" hidden="false" customHeight="false" outlineLevel="0" collapsed="false">
      <c r="B1540" s="19" t="s">
        <v>21638</v>
      </c>
      <c r="C1540" s="20" t="n">
        <f aca="false">ROUND(2.28/FX,2)</f>
        <v>0.32</v>
      </c>
      <c r="D1540" s="21" t="s">
        <v>751</v>
      </c>
      <c r="E1540" s="21" t="s">
        <v>21622</v>
      </c>
    </row>
    <row r="1541" customFormat="false" ht="15" hidden="false" customHeight="false" outlineLevel="0" collapsed="false">
      <c r="B1541" s="19" t="s">
        <v>21639</v>
      </c>
      <c r="C1541" s="20" t="n">
        <f aca="false">ROUND(6.85/FX,2)</f>
        <v>0.95</v>
      </c>
      <c r="D1541" s="21" t="s">
        <v>751</v>
      </c>
      <c r="E1541" s="21" t="s">
        <v>21624</v>
      </c>
    </row>
    <row r="1542" customFormat="false" ht="15" hidden="false" customHeight="false" outlineLevel="0" collapsed="false">
      <c r="B1542" s="19" t="s">
        <v>21640</v>
      </c>
      <c r="C1542" s="20" t="n">
        <f aca="false">ROUND(2.95/FX,2)</f>
        <v>0.41</v>
      </c>
      <c r="D1542" s="21" t="s">
        <v>751</v>
      </c>
      <c r="E1542" s="21" t="s">
        <v>21626</v>
      </c>
    </row>
    <row r="1543" customFormat="false" ht="15" hidden="false" customHeight="false" outlineLevel="0" collapsed="false">
      <c r="B1543" s="19" t="s">
        <v>21641</v>
      </c>
      <c r="C1543" s="20" t="n">
        <f aca="false">ROUND(1.96/FX,2)</f>
        <v>0.27</v>
      </c>
      <c r="D1543" s="21" t="s">
        <v>751</v>
      </c>
      <c r="E1543" s="21" t="s">
        <v>21628</v>
      </c>
    </row>
    <row r="1544" customFormat="false" ht="15" hidden="false" customHeight="false" outlineLevel="0" collapsed="false">
      <c r="B1544" s="19" t="s">
        <v>21642</v>
      </c>
      <c r="C1544" s="20" t="n">
        <f aca="false">ROUND(1.96/FX,2)</f>
        <v>0.27</v>
      </c>
      <c r="D1544" s="21" t="s">
        <v>751</v>
      </c>
      <c r="E1544" s="21" t="s">
        <v>21630</v>
      </c>
    </row>
    <row r="1547" customFormat="false" ht="61.5" hidden="false" customHeight="true" outlineLevel="0" collapsed="false">
      <c r="A1547" s="9"/>
      <c r="B1547" s="10" t="s">
        <v>21643</v>
      </c>
      <c r="C1547" s="10"/>
      <c r="D1547" s="10"/>
      <c r="E1547" s="10"/>
      <c r="F1547" s="10"/>
    </row>
    <row r="1548" customFormat="false" ht="15" hidden="false" customHeight="false" outlineLevel="0" collapsed="false">
      <c r="A1548" s="12" t="s">
        <v>700</v>
      </c>
      <c r="B1548" s="13" t="s">
        <v>701</v>
      </c>
      <c r="C1548" s="13" t="s">
        <v>702</v>
      </c>
      <c r="D1548" s="13" t="s">
        <v>722</v>
      </c>
      <c r="E1548" s="13" t="s">
        <v>723</v>
      </c>
      <c r="F1548" s="13" t="s">
        <v>6559</v>
      </c>
    </row>
    <row r="1549" customFormat="false" ht="30" hidden="false" customHeight="true" outlineLevel="0" collapsed="false">
      <c r="A1549" s="14" t="s">
        <v>706</v>
      </c>
      <c r="B1549" s="15" t="str">
        <f aca="false">IF(COUNTIFS($D$1552:$D$1568,IF(D1549="","*",D1549),$E$1552:$E$1568,IF(E1549="","*",E1549),$F$1552:$F$1568,IF(F1549="","*",F1549))=1,INDEX($B:$B,SUMPRODUCT(((D1549="")+($D$1552:$D$1568=D1549)&gt;0)*((E1549="")+($E$1552:$E$1568=E1549)&gt;0)*((F1549="")+($F$1552:$F$1568=F1549)&gt;0)*ROW($B$1552:$B$1568))),IF(COUNTIFS($D$1552:$D$1568,IF(D1549="","*",D1549),$E$1552:$E$1568,IF(E1549="","*",E1549),$F$1552:$F$1568,IF(F1549="","*",F1549))=0,"Not available",COUNTIFS($D$1552:$D$1568,IF(D1549="","*",D1549),$E$1552:$E$1568,IF(E1549="","*",E1549),$F$1552:$F$1568,IF(F1549="","*",F1549))&amp;" match, keep choosing"))</f>
        <v>EG-055-K105-BK-MM1M</v>
      </c>
      <c r="C1549" s="16" t="n">
        <f aca="false">IF(COUNTIFS($D$1552:$D$1568,IF(D1549="","*",D1549),$E$1552:$E$1568,IF(E1549="","*",E1549),$F$1552:$F$1568,IF(F1549="","*",F1549))=1,INDEX($C:$C,SUMPRODUCT(((D1549="")+($D$1552:$D$1568=D1549)&gt;0)*((E1549="")+($E$1552:$E$1568=E1549)&gt;0)*((F1549="")+($F$1552:$F$1568=F1549)&gt;0)*ROW($B$1552:$B$1568))),"")</f>
        <v>0.27</v>
      </c>
      <c r="D1549" s="17" t="s">
        <v>724</v>
      </c>
      <c r="E1549" s="17" t="s">
        <v>21644</v>
      </c>
      <c r="F1549" s="17" t="s">
        <v>21645</v>
      </c>
    </row>
    <row r="1551" customFormat="false" ht="15" hidden="false" customHeight="false" outlineLevel="0" collapsed="false">
      <c r="B1551" s="18" t="s">
        <v>701</v>
      </c>
      <c r="C1551" s="18" t="s">
        <v>702</v>
      </c>
      <c r="D1551" s="18" t="s">
        <v>722</v>
      </c>
      <c r="E1551" s="18" t="s">
        <v>723</v>
      </c>
      <c r="F1551" s="18" t="s">
        <v>6559</v>
      </c>
    </row>
    <row r="1552" customFormat="false" ht="15" hidden="false" customHeight="false" outlineLevel="0" collapsed="false">
      <c r="B1552" s="19" t="s">
        <v>21646</v>
      </c>
      <c r="C1552" s="20" t="n">
        <f aca="false">ROUND(1.95/FX,2)</f>
        <v>0.27</v>
      </c>
      <c r="D1552" s="21" t="s">
        <v>724</v>
      </c>
      <c r="E1552" s="21" t="s">
        <v>21644</v>
      </c>
      <c r="F1552" s="21" t="s">
        <v>21645</v>
      </c>
    </row>
    <row r="1553" customFormat="false" ht="15" hidden="false" customHeight="false" outlineLevel="0" collapsed="false">
      <c r="B1553" s="19" t="s">
        <v>21647</v>
      </c>
      <c r="C1553" s="20" t="n">
        <f aca="false">ROUND(1.51/FX,2)</f>
        <v>0.21</v>
      </c>
      <c r="D1553" s="21" t="s">
        <v>724</v>
      </c>
      <c r="E1553" s="21" t="s">
        <v>21644</v>
      </c>
      <c r="F1553" s="21" t="s">
        <v>21648</v>
      </c>
    </row>
    <row r="1554" customFormat="false" ht="15" hidden="false" customHeight="false" outlineLevel="0" collapsed="false">
      <c r="B1554" s="19" t="s">
        <v>21649</v>
      </c>
      <c r="C1554" s="20" t="n">
        <f aca="false">ROUND(2.6/FX,2)</f>
        <v>0.36</v>
      </c>
      <c r="D1554" s="21" t="s">
        <v>724</v>
      </c>
      <c r="E1554" s="21" t="s">
        <v>21644</v>
      </c>
      <c r="F1554" s="21" t="s">
        <v>21650</v>
      </c>
    </row>
    <row r="1555" customFormat="false" ht="15" hidden="false" customHeight="false" outlineLevel="0" collapsed="false">
      <c r="B1555" s="19" t="s">
        <v>21651</v>
      </c>
      <c r="C1555" s="20" t="n">
        <f aca="false">ROUND(2.6/FX,2)</f>
        <v>0.36</v>
      </c>
      <c r="D1555" s="21" t="s">
        <v>724</v>
      </c>
      <c r="E1555" s="21" t="s">
        <v>21644</v>
      </c>
      <c r="F1555" s="21" t="s">
        <v>21652</v>
      </c>
    </row>
    <row r="1556" customFormat="false" ht="15" hidden="false" customHeight="false" outlineLevel="0" collapsed="false">
      <c r="B1556" s="19" t="s">
        <v>21653</v>
      </c>
      <c r="C1556" s="20" t="n">
        <f aca="false">ROUND(1.6/FX,2)</f>
        <v>0.22</v>
      </c>
      <c r="D1556" s="21" t="s">
        <v>7884</v>
      </c>
      <c r="E1556" s="21" t="s">
        <v>21644</v>
      </c>
      <c r="F1556" s="21" t="s">
        <v>21652</v>
      </c>
    </row>
    <row r="1557" customFormat="false" ht="15" hidden="false" customHeight="false" outlineLevel="0" collapsed="false">
      <c r="B1557" s="19" t="s">
        <v>21654</v>
      </c>
      <c r="C1557" s="20" t="n">
        <f aca="false">ROUND(2/FX,2)</f>
        <v>0.28</v>
      </c>
      <c r="D1557" s="21" t="s">
        <v>7884</v>
      </c>
      <c r="E1557" s="21" t="s">
        <v>21644</v>
      </c>
      <c r="F1557" s="21" t="s">
        <v>21655</v>
      </c>
    </row>
    <row r="1558" customFormat="false" ht="15" hidden="false" customHeight="false" outlineLevel="0" collapsed="false">
      <c r="B1558" s="19" t="s">
        <v>21656</v>
      </c>
      <c r="C1558" s="20" t="n">
        <f aca="false">ROUND(3.25/FX,2)</f>
        <v>0.45</v>
      </c>
      <c r="D1558" s="21" t="s">
        <v>724</v>
      </c>
      <c r="E1558" s="21" t="s">
        <v>21644</v>
      </c>
      <c r="F1558" s="21" t="s">
        <v>21657</v>
      </c>
    </row>
    <row r="1559" customFormat="false" ht="15" hidden="false" customHeight="false" outlineLevel="0" collapsed="false">
      <c r="B1559" s="19" t="s">
        <v>21658</v>
      </c>
      <c r="C1559" s="20" t="n">
        <f aca="false">ROUND(2.3/FX,2)</f>
        <v>0.32</v>
      </c>
      <c r="D1559" s="21" t="s">
        <v>7884</v>
      </c>
      <c r="E1559" s="21" t="s">
        <v>21644</v>
      </c>
      <c r="F1559" s="21" t="s">
        <v>21657</v>
      </c>
    </row>
    <row r="1560" customFormat="false" ht="15" hidden="false" customHeight="false" outlineLevel="0" collapsed="false">
      <c r="B1560" s="19" t="s">
        <v>21659</v>
      </c>
      <c r="C1560" s="20" t="n">
        <f aca="false">ROUND(4.55/FX,2)</f>
        <v>0.63</v>
      </c>
      <c r="D1560" s="21" t="s">
        <v>724</v>
      </c>
      <c r="E1560" s="21" t="s">
        <v>21644</v>
      </c>
      <c r="F1560" s="21" t="s">
        <v>21660</v>
      </c>
    </row>
    <row r="1561" customFormat="false" ht="15" hidden="false" customHeight="false" outlineLevel="0" collapsed="false">
      <c r="B1561" s="19" t="s">
        <v>21661</v>
      </c>
      <c r="C1561" s="20" t="n">
        <f aca="false">ROUND(2.6/FX,2)</f>
        <v>0.36</v>
      </c>
      <c r="D1561" s="21" t="s">
        <v>724</v>
      </c>
      <c r="E1561" s="21" t="s">
        <v>21662</v>
      </c>
      <c r="F1561" s="21" t="s">
        <v>21663</v>
      </c>
    </row>
    <row r="1562" customFormat="false" ht="15" hidden="false" customHeight="false" outlineLevel="0" collapsed="false">
      <c r="B1562" s="19" t="s">
        <v>21664</v>
      </c>
      <c r="C1562" s="20" t="n">
        <f aca="false">ROUND(2/FX,2)</f>
        <v>0.28</v>
      </c>
      <c r="D1562" s="21" t="s">
        <v>7884</v>
      </c>
      <c r="E1562" s="21" t="s">
        <v>21662</v>
      </c>
      <c r="F1562" s="21" t="s">
        <v>21663</v>
      </c>
    </row>
    <row r="1563" customFormat="false" ht="15" hidden="false" customHeight="false" outlineLevel="0" collapsed="false">
      <c r="B1563" s="19" t="s">
        <v>21665</v>
      </c>
      <c r="C1563" s="20" t="n">
        <f aca="false">ROUND(2.6/FX,2)</f>
        <v>0.36</v>
      </c>
      <c r="D1563" s="21" t="s">
        <v>724</v>
      </c>
      <c r="E1563" s="21" t="s">
        <v>21662</v>
      </c>
      <c r="F1563" s="21" t="s">
        <v>6633</v>
      </c>
    </row>
    <row r="1564" customFormat="false" ht="15" hidden="false" customHeight="false" outlineLevel="0" collapsed="false">
      <c r="B1564" s="19" t="s">
        <v>21666</v>
      </c>
      <c r="C1564" s="20" t="n">
        <f aca="false">ROUND(2.1/FX,2)</f>
        <v>0.29</v>
      </c>
      <c r="D1564" s="21" t="s">
        <v>7884</v>
      </c>
      <c r="E1564" s="21" t="s">
        <v>21662</v>
      </c>
      <c r="F1564" s="21" t="s">
        <v>6633</v>
      </c>
    </row>
    <row r="1565" customFormat="false" ht="15" hidden="false" customHeight="false" outlineLevel="0" collapsed="false">
      <c r="B1565" s="19" t="s">
        <v>21667</v>
      </c>
      <c r="C1565" s="20" t="n">
        <f aca="false">ROUND(3/FX,2)</f>
        <v>0.42</v>
      </c>
      <c r="D1565" s="21" t="s">
        <v>7884</v>
      </c>
      <c r="E1565" s="21" t="s">
        <v>21668</v>
      </c>
      <c r="F1565" s="21" t="s">
        <v>6633</v>
      </c>
    </row>
    <row r="1566" customFormat="false" ht="15" hidden="false" customHeight="false" outlineLevel="0" collapsed="false">
      <c r="B1566" s="19" t="s">
        <v>21669</v>
      </c>
      <c r="C1566" s="20" t="n">
        <f aca="false">ROUND(6.5/FX,2)</f>
        <v>0.9</v>
      </c>
      <c r="D1566" s="21" t="s">
        <v>724</v>
      </c>
      <c r="E1566" s="21" t="s">
        <v>21644</v>
      </c>
      <c r="F1566" s="21" t="s">
        <v>21670</v>
      </c>
    </row>
    <row r="1567" customFormat="false" ht="15" hidden="false" customHeight="false" outlineLevel="0" collapsed="false">
      <c r="B1567" s="19" t="s">
        <v>21671</v>
      </c>
      <c r="C1567" s="20" t="n">
        <f aca="false">ROUND(12.35/FX,2)</f>
        <v>1.72</v>
      </c>
      <c r="D1567" s="21" t="s">
        <v>724</v>
      </c>
      <c r="E1567" s="21" t="s">
        <v>21644</v>
      </c>
      <c r="F1567" s="21" t="s">
        <v>21672</v>
      </c>
    </row>
    <row r="1568" customFormat="false" ht="15" hidden="false" customHeight="false" outlineLevel="0" collapsed="false">
      <c r="B1568" s="19" t="s">
        <v>21673</v>
      </c>
      <c r="C1568" s="20" t="n">
        <f aca="false">ROUND(1.3/FX,2)</f>
        <v>0.18</v>
      </c>
      <c r="D1568" s="21" t="s">
        <v>724</v>
      </c>
      <c r="E1568" s="21" t="s">
        <v>21644</v>
      </c>
      <c r="F1568" s="21" t="s">
        <v>21674</v>
      </c>
    </row>
    <row r="1571" customFormat="false" ht="61.5" hidden="false" customHeight="true" outlineLevel="0" collapsed="false">
      <c r="A1571" s="9"/>
      <c r="B1571" s="10" t="s">
        <v>21675</v>
      </c>
      <c r="C1571" s="10"/>
      <c r="D1571" s="10"/>
      <c r="E1571" s="10"/>
      <c r="F1571" s="10"/>
    </row>
    <row r="1572" customFormat="false" ht="15" hidden="false" customHeight="false" outlineLevel="0" collapsed="false">
      <c r="A1572" s="12" t="s">
        <v>700</v>
      </c>
      <c r="B1572" s="13" t="s">
        <v>701</v>
      </c>
      <c r="C1572" s="13" t="s">
        <v>702</v>
      </c>
      <c r="D1572" s="13" t="s">
        <v>723</v>
      </c>
      <c r="E1572" s="13" t="s">
        <v>6328</v>
      </c>
      <c r="F1572" s="13" t="s">
        <v>7711</v>
      </c>
    </row>
    <row r="1573" customFormat="false" ht="30" hidden="false" customHeight="true" outlineLevel="0" collapsed="false">
      <c r="A1573" s="14" t="s">
        <v>706</v>
      </c>
      <c r="B1573" s="15" t="str">
        <f aca="false">IF(COUNTIFS($D$1576:$D$1581,IF(D1573="","*",D1573),$E$1576:$E$1581,IF(E1573="","*",E1573),$F$1576:$F$1581,IF(F1573="","*",F1573))=1,INDEX($B:$B,SUMPRODUCT(((D1573="")+($D$1576:$D$1581=D1573)&gt;0)*((E1573="")+($E$1576:$E$1581=E1573)&gt;0)*((F1573="")+($F$1576:$F$1581=F1573)&gt;0)*ROW($B$1576:$B$1581))),IF(COUNTIFS($D$1576:$D$1581,IF(D1573="","*",D1573),$E$1576:$E$1581,IF(E1573="","*",E1573),$F$1576:$F$1581,IF(F1573="","*",F1573))=0,"Not available",COUNTIFS($D$1576:$D$1581,IF(D1573="","*",D1573),$E$1576:$E$1581,IF(E1573="","*",E1573),$F$1576:$F$1581,IF(F1573="","*",F1573))&amp;" match, keep choosing"))</f>
        <v>EG-085-2.5-WJ4-10M</v>
      </c>
      <c r="C1573" s="16" t="n">
        <f aca="false">IF(COUNTIFS($D$1576:$D$1581,IF(D1573="","*",D1573),$E$1576:$E$1581,IF(E1573="","*",E1573),$F$1576:$F$1581,IF(F1573="","*",F1573))=1,INDEX($C:$C,SUMPRODUCT(((D1573="")+($D$1576:$D$1581=D1573)&gt;0)*((E1573="")+($E$1576:$E$1581=E1573)&gt;0)*((F1573="")+($F$1576:$F$1581=F1573)&gt;0)*ROW($B$1576:$B$1581))),"")</f>
        <v>0.43</v>
      </c>
      <c r="D1573" s="17" t="s">
        <v>21676</v>
      </c>
      <c r="E1573" s="17" t="s">
        <v>21677</v>
      </c>
      <c r="F1573" s="17" t="s">
        <v>6383</v>
      </c>
    </row>
    <row r="1575" customFormat="false" ht="15" hidden="false" customHeight="false" outlineLevel="0" collapsed="false">
      <c r="B1575" s="18" t="s">
        <v>701</v>
      </c>
      <c r="C1575" s="18" t="s">
        <v>702</v>
      </c>
      <c r="D1575" s="18" t="s">
        <v>723</v>
      </c>
      <c r="E1575" s="18" t="s">
        <v>6328</v>
      </c>
      <c r="F1575" s="18" t="s">
        <v>7711</v>
      </c>
    </row>
    <row r="1576" customFormat="false" ht="15" hidden="false" customHeight="false" outlineLevel="0" collapsed="false">
      <c r="B1576" s="19" t="s">
        <v>21678</v>
      </c>
      <c r="C1576" s="20" t="n">
        <f aca="false">ROUND(3.1/FX,2)</f>
        <v>0.43</v>
      </c>
      <c r="D1576" s="21" t="s">
        <v>21676</v>
      </c>
      <c r="E1576" s="21" t="s">
        <v>21677</v>
      </c>
      <c r="F1576" s="21" t="s">
        <v>6383</v>
      </c>
    </row>
    <row r="1577" customFormat="false" ht="15" hidden="false" customHeight="false" outlineLevel="0" collapsed="false">
      <c r="B1577" s="19" t="s">
        <v>21679</v>
      </c>
      <c r="C1577" s="20" t="n">
        <f aca="false">ROUND(30.98/FX,2)</f>
        <v>4.3</v>
      </c>
      <c r="D1577" s="21" t="s">
        <v>739</v>
      </c>
      <c r="E1577" s="21" t="s">
        <v>21677</v>
      </c>
      <c r="F1577" s="21" t="s">
        <v>6383</v>
      </c>
    </row>
    <row r="1578" customFormat="false" ht="15" hidden="false" customHeight="false" outlineLevel="0" collapsed="false">
      <c r="B1578" s="19" t="s">
        <v>21680</v>
      </c>
      <c r="C1578" s="20" t="n">
        <f aca="false">ROUND(6.2/FX,2)</f>
        <v>0.86</v>
      </c>
      <c r="D1578" s="21" t="s">
        <v>21676</v>
      </c>
      <c r="E1578" s="21" t="s">
        <v>21681</v>
      </c>
      <c r="F1578" s="21" t="s">
        <v>841</v>
      </c>
    </row>
    <row r="1579" customFormat="false" ht="15" hidden="false" customHeight="false" outlineLevel="0" collapsed="false">
      <c r="B1579" s="19" t="s">
        <v>21682</v>
      </c>
      <c r="C1579" s="20" t="n">
        <f aca="false">ROUND(61.97/FX,2)</f>
        <v>8.61</v>
      </c>
      <c r="D1579" s="21" t="s">
        <v>739</v>
      </c>
      <c r="E1579" s="21" t="s">
        <v>21681</v>
      </c>
      <c r="F1579" s="21" t="s">
        <v>841</v>
      </c>
    </row>
    <row r="1580" customFormat="false" ht="28.35" hidden="false" customHeight="false" outlineLevel="0" collapsed="false">
      <c r="B1580" s="19" t="s">
        <v>21683</v>
      </c>
      <c r="C1580" s="20" t="n">
        <f aca="false">ROUND(6.5/FX,2)</f>
        <v>0.9</v>
      </c>
      <c r="D1580" s="21" t="s">
        <v>21684</v>
      </c>
      <c r="E1580" s="21" t="s">
        <v>21685</v>
      </c>
      <c r="F1580" s="21" t="s">
        <v>6336</v>
      </c>
    </row>
    <row r="1581" customFormat="false" ht="28.35" hidden="false" customHeight="false" outlineLevel="0" collapsed="false">
      <c r="B1581" s="19" t="s">
        <v>21686</v>
      </c>
      <c r="C1581" s="20" t="n">
        <f aca="false">ROUND(10.4/FX,2)</f>
        <v>1.44</v>
      </c>
      <c r="D1581" s="21" t="s">
        <v>21684</v>
      </c>
      <c r="E1581" s="21" t="s">
        <v>21687</v>
      </c>
      <c r="F1581" s="21" t="s">
        <v>6336</v>
      </c>
    </row>
    <row r="1584" customFormat="false" ht="61.5" hidden="false" customHeight="true" outlineLevel="0" collapsed="false">
      <c r="A1584" s="9"/>
      <c r="B1584" s="10" t="s">
        <v>21688</v>
      </c>
      <c r="C1584" s="10"/>
      <c r="D1584" s="10"/>
    </row>
    <row r="1585" customFormat="false" ht="15" hidden="false" customHeight="false" outlineLevel="0" collapsed="false">
      <c r="B1585" s="18" t="s">
        <v>701</v>
      </c>
      <c r="C1585" s="18" t="s">
        <v>702</v>
      </c>
      <c r="D1585" s="18" t="s">
        <v>5610</v>
      </c>
    </row>
    <row r="1586" customFormat="false" ht="15" hidden="false" customHeight="false" outlineLevel="0" collapsed="false">
      <c r="B1586" s="19" t="s">
        <v>21689</v>
      </c>
      <c r="C1586" s="20" t="n">
        <f aca="false">ROUND(84.5/FX,2)</f>
        <v>11.74</v>
      </c>
      <c r="D1586" s="22" t="s">
        <v>5612</v>
      </c>
    </row>
    <row r="1589" customFormat="false" ht="61.5" hidden="false" customHeight="true" outlineLevel="0" collapsed="false">
      <c r="A1589" s="9"/>
      <c r="B1589" s="10" t="s">
        <v>21690</v>
      </c>
      <c r="C1589" s="10"/>
      <c r="D1589" s="10"/>
      <c r="E1589" s="10"/>
    </row>
    <row r="1590" customFormat="false" ht="15" hidden="false" customHeight="false" outlineLevel="0" collapsed="false">
      <c r="A1590" s="12" t="s">
        <v>700</v>
      </c>
      <c r="B1590" s="13" t="s">
        <v>701</v>
      </c>
      <c r="C1590" s="13" t="s">
        <v>702</v>
      </c>
      <c r="D1590" s="13" t="s">
        <v>723</v>
      </c>
      <c r="E1590" s="13" t="s">
        <v>6559</v>
      </c>
    </row>
    <row r="1591" customFormat="false" ht="30" hidden="false" customHeight="true" outlineLevel="0" collapsed="false">
      <c r="A1591" s="14" t="s">
        <v>706</v>
      </c>
      <c r="B1591" s="15" t="str">
        <f aca="false">IF(COUNTIFS($D$1594:$D$1596,IF(D1591="","*",D1591),$E$1594:$E$1596,IF(E1591="","*",E1591))=1,INDEX($B:$B,SUMPRODUCT(((D1591="")+($D$1594:$D$1596=D1591)&gt;0)*((E1591="")+($E$1594:$E$1596=E1591)&gt;0)*ROW($B$1594:$B$1596))),IF(COUNTIFS($D$1594:$D$1596,IF(D1591="","*",D1591),$E$1594:$E$1596,IF(E1591="","*",E1591))=0,"Not available",COUNTIFS($D$1594:$D$1596,IF(D1591="","*",D1591),$E$1594:$E$1596,IF(E1591="","*",E1591))&amp;" match, keep choosing"))</f>
        <v>EG-004-K8-B-MMZJ100M</v>
      </c>
      <c r="C1591" s="16" t="n">
        <f aca="false">IF(COUNTIFS($D$1594:$D$1596,IF(D1591="","*",D1591),$E$1594:$E$1596,IF(E1591="","*",E1591))=1,INDEX($C:$C,SUMPRODUCT(((D1591="")+($D$1594:$D$1596=D1591)&gt;0)*((E1591="")+($E$1594:$E$1596=E1591)&gt;0)*ROW($B$1594:$B$1596))),"")</f>
        <v>0.42</v>
      </c>
      <c r="D1591" s="17" t="s">
        <v>21691</v>
      </c>
      <c r="E1591" s="17" t="s">
        <v>21692</v>
      </c>
    </row>
    <row r="1593" customFormat="false" ht="15" hidden="false" customHeight="false" outlineLevel="0" collapsed="false">
      <c r="B1593" s="18" t="s">
        <v>701</v>
      </c>
      <c r="C1593" s="18" t="s">
        <v>702</v>
      </c>
      <c r="D1593" s="18" t="s">
        <v>723</v>
      </c>
      <c r="E1593" s="18" t="s">
        <v>6559</v>
      </c>
    </row>
    <row r="1594" customFormat="false" ht="15" hidden="false" customHeight="false" outlineLevel="0" collapsed="false">
      <c r="B1594" s="19" t="s">
        <v>21693</v>
      </c>
      <c r="C1594" s="20" t="n">
        <f aca="false">ROUND(3/FX,2)</f>
        <v>0.42</v>
      </c>
      <c r="D1594" s="21" t="s">
        <v>21691</v>
      </c>
      <c r="E1594" s="21" t="s">
        <v>21692</v>
      </c>
    </row>
    <row r="1595" customFormat="false" ht="15" hidden="false" customHeight="false" outlineLevel="0" collapsed="false">
      <c r="B1595" s="19" t="s">
        <v>21694</v>
      </c>
      <c r="C1595" s="20" t="n">
        <f aca="false">ROUND(3/FX,2)</f>
        <v>0.42</v>
      </c>
      <c r="D1595" s="21" t="s">
        <v>21695</v>
      </c>
      <c r="E1595" s="21" t="s">
        <v>6336</v>
      </c>
    </row>
    <row r="1596" customFormat="false" ht="15" hidden="false" customHeight="false" outlineLevel="0" collapsed="false">
      <c r="B1596" s="19" t="s">
        <v>21696</v>
      </c>
      <c r="C1596" s="20" t="n">
        <f aca="false">ROUND(3/FX,2)</f>
        <v>0.42</v>
      </c>
      <c r="D1596" s="21" t="s">
        <v>21697</v>
      </c>
      <c r="E1596" s="21" t="s">
        <v>6336</v>
      </c>
    </row>
    <row r="1599" customFormat="false" ht="61.5" hidden="false" customHeight="true" outlineLevel="0" collapsed="false">
      <c r="A1599" s="9"/>
      <c r="B1599" s="10" t="s">
        <v>21698</v>
      </c>
      <c r="C1599" s="10"/>
      <c r="D1599" s="10"/>
      <c r="E1599" s="10"/>
      <c r="F1599" s="10"/>
      <c r="G1599" s="10"/>
    </row>
    <row r="1600" customFormat="false" ht="15" hidden="false" customHeight="false" outlineLevel="0" collapsed="false">
      <c r="A1600" s="12" t="s">
        <v>700</v>
      </c>
      <c r="B1600" s="13" t="s">
        <v>701</v>
      </c>
      <c r="C1600" s="13" t="s">
        <v>702</v>
      </c>
      <c r="D1600" s="13" t="s">
        <v>722</v>
      </c>
      <c r="E1600" s="13" t="s">
        <v>705</v>
      </c>
      <c r="F1600" s="13" t="s">
        <v>723</v>
      </c>
      <c r="G1600" s="13" t="s">
        <v>6328</v>
      </c>
    </row>
    <row r="1601" customFormat="false" ht="30" hidden="false" customHeight="true" outlineLevel="0" collapsed="false">
      <c r="A1601" s="14" t="s">
        <v>706</v>
      </c>
      <c r="B1601" s="15" t="str">
        <f aca="false">IF(COUNTIFS($D$1604:$D$1621,IF(D1601="","*",D1601),$E$1604:$E$1621,IF(E1601="","*",E1601),$F$1604:$F$1621,IF(F1601="","*",F1601),$G$1604:$G$1621,IF(G1601="","*",G1601))=1,INDEX($B:$B,SUMPRODUCT(((D1601="")+($D$1604:$D$1621=D1601)&gt;0)*((E1601="")+($E$1604:$E$1621=E1601)&gt;0)*((F1601="")+($F$1604:$F$1621=F1601)&gt;0)*((G1601="")+($G$1604:$G$1621=G1601)&gt;0)*ROW($B$1604:$B$1621))),IF(COUNTIFS($D$1604:$D$1621,IF(D1601="","*",D1601),$E$1604:$E$1621,IF(E1601="","*",E1601),$F$1604:$F$1621,IF(F1601="","*",F1601),$G$1604:$G$1621,IF(G1601="","*",G1601))=0,"Not available",COUNTIFS($D$1604:$D$1621,IF(D1601="","*",D1601),$E$1604:$E$1621,IF(E1601="","*",E1601),$F$1604:$F$1621,IF(F1601="","*",F1601),$G$1604:$G$1621,IF(G1601="","*",G1601))&amp;" match, keep choosing"))</f>
        <v>EG-008-BK-HM-NC-1316</v>
      </c>
      <c r="C1601" s="16" t="n">
        <f aca="false">IF(COUNTIFS($D$1604:$D$1621,IF(D1601="","*",D1601),$E$1604:$E$1621,IF(E1601="","*",E1601),$F$1604:$F$1621,IF(F1601="","*",F1601),$G$1604:$G$1621,IF(G1601="","*",G1601))=1,INDEX($C:$C,SUMPRODUCT(((D1601="")+($D$1604:$D$1621=D1601)&gt;0)*((E1601="")+($E$1604:$E$1621=E1601)&gt;0)*((F1601="")+($F$1604:$F$1621=F1601)&gt;0)*((G1601="")+($G$1604:$G$1621=G1601)&gt;0)*ROW($B$1604:$B$1621))),"")</f>
        <v>16.81</v>
      </c>
      <c r="D1601" s="17" t="s">
        <v>724</v>
      </c>
      <c r="E1601" s="17" t="s">
        <v>13732</v>
      </c>
      <c r="F1601" s="17" t="s">
        <v>21699</v>
      </c>
      <c r="G1601" s="17" t="s">
        <v>21700</v>
      </c>
    </row>
    <row r="1603" customFormat="false" ht="15" hidden="false" customHeight="false" outlineLevel="0" collapsed="false">
      <c r="B1603" s="18" t="s">
        <v>701</v>
      </c>
      <c r="C1603" s="18" t="s">
        <v>702</v>
      </c>
      <c r="D1603" s="18" t="s">
        <v>722</v>
      </c>
      <c r="E1603" s="18" t="s">
        <v>705</v>
      </c>
      <c r="F1603" s="18" t="s">
        <v>723</v>
      </c>
      <c r="G1603" s="18" t="s">
        <v>6328</v>
      </c>
    </row>
    <row r="1604" customFormat="false" ht="15" hidden="false" customHeight="false" outlineLevel="0" collapsed="false">
      <c r="B1604" s="19" t="s">
        <v>21701</v>
      </c>
      <c r="C1604" s="20" t="n">
        <f aca="false">ROUND(121/FX,2)</f>
        <v>16.81</v>
      </c>
      <c r="D1604" s="21" t="s">
        <v>724</v>
      </c>
      <c r="E1604" s="21" t="s">
        <v>13732</v>
      </c>
      <c r="F1604" s="21" t="s">
        <v>21699</v>
      </c>
      <c r="G1604" s="21" t="s">
        <v>21700</v>
      </c>
    </row>
    <row r="1605" customFormat="false" ht="15" hidden="false" customHeight="false" outlineLevel="0" collapsed="false">
      <c r="B1605" s="19" t="s">
        <v>21702</v>
      </c>
      <c r="C1605" s="20" t="n">
        <f aca="false">ROUND(1.09/FX,2)</f>
        <v>0.15</v>
      </c>
      <c r="D1605" s="21" t="s">
        <v>724</v>
      </c>
      <c r="E1605" s="21" t="s">
        <v>14016</v>
      </c>
      <c r="F1605" s="21" t="s">
        <v>21699</v>
      </c>
      <c r="G1605" s="21" t="s">
        <v>21700</v>
      </c>
    </row>
    <row r="1606" customFormat="false" ht="15" hidden="false" customHeight="false" outlineLevel="0" collapsed="false">
      <c r="B1606" s="19" t="s">
        <v>21703</v>
      </c>
      <c r="C1606" s="20" t="n">
        <f aca="false">ROUND(65/FX,2)</f>
        <v>9.03</v>
      </c>
      <c r="D1606" s="21" t="s">
        <v>724</v>
      </c>
      <c r="E1606" s="21" t="s">
        <v>13732</v>
      </c>
      <c r="F1606" s="21" t="s">
        <v>21704</v>
      </c>
      <c r="G1606" s="21" t="s">
        <v>21700</v>
      </c>
    </row>
    <row r="1607" customFormat="false" ht="15" hidden="false" customHeight="false" outlineLevel="0" collapsed="false">
      <c r="B1607" s="19" t="s">
        <v>21705</v>
      </c>
      <c r="C1607" s="20" t="n">
        <f aca="false">ROUND(1.04/FX,2)</f>
        <v>0.14</v>
      </c>
      <c r="D1607" s="21" t="s">
        <v>724</v>
      </c>
      <c r="E1607" s="21" t="s">
        <v>13981</v>
      </c>
      <c r="F1607" s="21" t="s">
        <v>21704</v>
      </c>
      <c r="G1607" s="21" t="s">
        <v>21700</v>
      </c>
    </row>
    <row r="1608" customFormat="false" ht="28.35" hidden="false" customHeight="false" outlineLevel="0" collapsed="false">
      <c r="B1608" s="19" t="s">
        <v>21706</v>
      </c>
      <c r="C1608" s="20" t="n">
        <f aca="false">ROUND(175.5/FX,2)</f>
        <v>24.38</v>
      </c>
      <c r="D1608" s="21" t="s">
        <v>724</v>
      </c>
      <c r="E1608" s="21" t="s">
        <v>13732</v>
      </c>
      <c r="F1608" s="21" t="s">
        <v>21707</v>
      </c>
      <c r="G1608" s="21" t="s">
        <v>21708</v>
      </c>
    </row>
    <row r="1609" customFormat="false" ht="28.35" hidden="false" customHeight="false" outlineLevel="0" collapsed="false">
      <c r="B1609" s="19" t="s">
        <v>21709</v>
      </c>
      <c r="C1609" s="20" t="n">
        <f aca="false">ROUND(1.06/FX,2)</f>
        <v>0.15</v>
      </c>
      <c r="D1609" s="21" t="s">
        <v>724</v>
      </c>
      <c r="E1609" s="21" t="s">
        <v>14007</v>
      </c>
      <c r="F1609" s="21" t="s">
        <v>21707</v>
      </c>
      <c r="G1609" s="21" t="s">
        <v>21708</v>
      </c>
    </row>
    <row r="1610" customFormat="false" ht="28.35" hidden="false" customHeight="false" outlineLevel="0" collapsed="false">
      <c r="B1610" s="19" t="s">
        <v>21710</v>
      </c>
      <c r="C1610" s="20" t="n">
        <f aca="false">ROUND(91/FX,2)</f>
        <v>12.64</v>
      </c>
      <c r="D1610" s="21" t="s">
        <v>724</v>
      </c>
      <c r="E1610" s="21" t="s">
        <v>13732</v>
      </c>
      <c r="F1610" s="21" t="s">
        <v>21711</v>
      </c>
      <c r="G1610" s="21" t="s">
        <v>21708</v>
      </c>
    </row>
    <row r="1611" customFormat="false" ht="28.35" hidden="false" customHeight="false" outlineLevel="0" collapsed="false">
      <c r="B1611" s="19" t="s">
        <v>21712</v>
      </c>
      <c r="C1611" s="20" t="n">
        <f aca="false">ROUND(1/FX,2)</f>
        <v>0.14</v>
      </c>
      <c r="D1611" s="21" t="s">
        <v>724</v>
      </c>
      <c r="E1611" s="21" t="s">
        <v>13988</v>
      </c>
      <c r="F1611" s="21" t="s">
        <v>21711</v>
      </c>
      <c r="G1611" s="21" t="s">
        <v>21708</v>
      </c>
    </row>
    <row r="1612" customFormat="false" ht="28.35" hidden="false" customHeight="false" outlineLevel="0" collapsed="false">
      <c r="B1612" s="19" t="s">
        <v>21713</v>
      </c>
      <c r="C1612" s="20" t="n">
        <f aca="false">ROUND(91/FX,2)</f>
        <v>12.64</v>
      </c>
      <c r="D1612" s="21" t="s">
        <v>751</v>
      </c>
      <c r="E1612" s="21" t="s">
        <v>13732</v>
      </c>
      <c r="F1612" s="21" t="s">
        <v>21714</v>
      </c>
      <c r="G1612" s="21" t="s">
        <v>21708</v>
      </c>
    </row>
    <row r="1613" customFormat="false" ht="28.35" hidden="false" customHeight="false" outlineLevel="0" collapsed="false">
      <c r="B1613" s="19" t="s">
        <v>21715</v>
      </c>
      <c r="C1613" s="20" t="n">
        <f aca="false">ROUND(1/FX,2)</f>
        <v>0.14</v>
      </c>
      <c r="D1613" s="21" t="s">
        <v>751</v>
      </c>
      <c r="E1613" s="21" t="s">
        <v>13988</v>
      </c>
      <c r="F1613" s="21" t="s">
        <v>21714</v>
      </c>
      <c r="G1613" s="21" t="s">
        <v>21708</v>
      </c>
    </row>
    <row r="1614" customFormat="false" ht="28.35" hidden="false" customHeight="false" outlineLevel="0" collapsed="false">
      <c r="B1614" s="19" t="s">
        <v>21716</v>
      </c>
      <c r="C1614" s="20" t="n">
        <f aca="false">ROUND(124.8/FX,2)</f>
        <v>17.33</v>
      </c>
      <c r="D1614" s="21" t="s">
        <v>751</v>
      </c>
      <c r="E1614" s="21" t="s">
        <v>13732</v>
      </c>
      <c r="F1614" s="21" t="s">
        <v>21699</v>
      </c>
      <c r="G1614" s="21" t="s">
        <v>21708</v>
      </c>
    </row>
    <row r="1615" customFormat="false" ht="28.35" hidden="false" customHeight="false" outlineLevel="0" collapsed="false">
      <c r="B1615" s="19" t="s">
        <v>21717</v>
      </c>
      <c r="C1615" s="20" t="n">
        <f aca="false">ROUND(1.13/FX,2)</f>
        <v>0.16</v>
      </c>
      <c r="D1615" s="21" t="s">
        <v>751</v>
      </c>
      <c r="E1615" s="21" t="s">
        <v>14016</v>
      </c>
      <c r="F1615" s="21" t="s">
        <v>21699</v>
      </c>
      <c r="G1615" s="21" t="s">
        <v>21708</v>
      </c>
    </row>
    <row r="1616" customFormat="false" ht="28.35" hidden="false" customHeight="false" outlineLevel="0" collapsed="false">
      <c r="B1616" s="19" t="s">
        <v>21718</v>
      </c>
      <c r="C1616" s="20" t="n">
        <f aca="false">ROUND(175.5/FX,2)</f>
        <v>24.38</v>
      </c>
      <c r="D1616" s="21" t="s">
        <v>751</v>
      </c>
      <c r="E1616" s="21" t="s">
        <v>13732</v>
      </c>
      <c r="F1616" s="21" t="s">
        <v>21707</v>
      </c>
      <c r="G1616" s="21" t="s">
        <v>21708</v>
      </c>
    </row>
    <row r="1617" customFormat="false" ht="28.35" hidden="false" customHeight="false" outlineLevel="0" collapsed="false">
      <c r="B1617" s="19" t="s">
        <v>21719</v>
      </c>
      <c r="C1617" s="20" t="n">
        <f aca="false">ROUND(1.06/FX,2)</f>
        <v>0.15</v>
      </c>
      <c r="D1617" s="21" t="s">
        <v>751</v>
      </c>
      <c r="E1617" s="21" t="s">
        <v>14007</v>
      </c>
      <c r="F1617" s="21" t="s">
        <v>21707</v>
      </c>
      <c r="G1617" s="21" t="s">
        <v>21708</v>
      </c>
    </row>
    <row r="1618" customFormat="false" ht="28.35" hidden="false" customHeight="false" outlineLevel="0" collapsed="false">
      <c r="B1618" s="19" t="s">
        <v>21720</v>
      </c>
      <c r="C1618" s="20" t="n">
        <f aca="false">ROUND(84.5/FX,2)</f>
        <v>11.74</v>
      </c>
      <c r="D1618" s="21" t="s">
        <v>751</v>
      </c>
      <c r="E1618" s="21" t="s">
        <v>13732</v>
      </c>
      <c r="F1618" s="21" t="s">
        <v>21711</v>
      </c>
      <c r="G1618" s="21" t="s">
        <v>21708</v>
      </c>
    </row>
    <row r="1619" customFormat="false" ht="28.35" hidden="false" customHeight="false" outlineLevel="0" collapsed="false">
      <c r="B1619" s="19" t="s">
        <v>21721</v>
      </c>
      <c r="C1619" s="20" t="n">
        <f aca="false">ROUND(1.01/FX,2)</f>
        <v>0.14</v>
      </c>
      <c r="D1619" s="21" t="s">
        <v>751</v>
      </c>
      <c r="E1619" s="21" t="s">
        <v>21722</v>
      </c>
      <c r="F1619" s="21" t="s">
        <v>21711</v>
      </c>
      <c r="G1619" s="21" t="s">
        <v>21708</v>
      </c>
    </row>
    <row r="1620" customFormat="false" ht="28.35" hidden="false" customHeight="false" outlineLevel="0" collapsed="false">
      <c r="B1620" s="19" t="s">
        <v>21723</v>
      </c>
      <c r="C1620" s="20" t="n">
        <f aca="false">ROUND(62.4/FX,2)</f>
        <v>8.67</v>
      </c>
      <c r="D1620" s="21" t="s">
        <v>751</v>
      </c>
      <c r="E1620" s="21" t="s">
        <v>13732</v>
      </c>
      <c r="F1620" s="21" t="s">
        <v>21704</v>
      </c>
      <c r="G1620" s="21" t="s">
        <v>21708</v>
      </c>
    </row>
    <row r="1621" customFormat="false" ht="28.35" hidden="false" customHeight="false" outlineLevel="0" collapsed="false">
      <c r="B1621" s="19" t="s">
        <v>21724</v>
      </c>
      <c r="C1621" s="20" t="n">
        <f aca="false">ROUND(3.12/FX,2)</f>
        <v>0.43</v>
      </c>
      <c r="D1621" s="21" t="s">
        <v>751</v>
      </c>
      <c r="E1621" s="21" t="s">
        <v>21725</v>
      </c>
      <c r="F1621" s="21" t="s">
        <v>21704</v>
      </c>
      <c r="G1621" s="21" t="s">
        <v>21708</v>
      </c>
    </row>
    <row r="1624" customFormat="false" ht="61.5" hidden="false" customHeight="true" outlineLevel="0" collapsed="false">
      <c r="A1624" s="9"/>
      <c r="B1624" s="10" t="s">
        <v>21726</v>
      </c>
      <c r="C1624" s="10"/>
      <c r="D1624" s="10"/>
      <c r="E1624" s="10"/>
      <c r="F1624" s="10"/>
      <c r="G1624" s="10"/>
    </row>
    <row r="1625" customFormat="false" ht="15" hidden="false" customHeight="false" outlineLevel="0" collapsed="false">
      <c r="A1625" s="12" t="s">
        <v>700</v>
      </c>
      <c r="B1625" s="13" t="s">
        <v>701</v>
      </c>
      <c r="C1625" s="13" t="s">
        <v>702</v>
      </c>
      <c r="D1625" s="13" t="s">
        <v>6159</v>
      </c>
      <c r="E1625" s="13" t="s">
        <v>723</v>
      </c>
      <c r="F1625" s="13" t="s">
        <v>6328</v>
      </c>
      <c r="G1625" s="13" t="s">
        <v>21727</v>
      </c>
    </row>
    <row r="1626" customFormat="false" ht="30" hidden="false" customHeight="true" outlineLevel="0" collapsed="false">
      <c r="A1626" s="14" t="s">
        <v>706</v>
      </c>
      <c r="B1626" s="15" t="str">
        <f aca="false">IF(COUNTIFS($D$1629:$D$1667,IF(D1626="","*",D1626),$E$1629:$E$1667,IF(E1626="","*",E1626),$F$1629:$F$1667,IF(F1626="","*",F1626),$G$1629:$G$1667,IF(G1626="","*",G1626))=1,INDEX($B:$B,SUMPRODUCT(((D1626="")+($D$1629:$D$1667=D1626)&gt;0)*((E1626="")+($E$1629:$E$1667=E1626)&gt;0)*((F1626="")+($F$1629:$F$1667=F1626)&gt;0)*((G1626="")+($G$1629:$G$1667=G1626)&gt;0)*ROW($B$1629:$B$1667))),IF(COUNTIFS($D$1629:$D$1667,IF(D1626="","*",D1626),$E$1629:$E$1667,IF(E1626="","*",E1626),$F$1629:$F$1667,IF(F1626="","*",F1626),$G$1629:$G$1667,IF(G1626="","*",G1626))=0,"Not available",COUNTIFS($D$1629:$D$1667,IF(D1626="","*",D1626),$E$1629:$E$1667,IF(E1626="","*",E1626),$F$1629:$F$1667,IF(F1626="","*",F1626),$G$1629:$G$1667,IF(G1626="","*",G1626))&amp;" match, keep choosing"))</f>
        <v>GX12-2P-PS</v>
      </c>
      <c r="C1626" s="16" t="n">
        <f aca="false">IF(COUNTIFS($D$1629:$D$1667,IF(D1626="","*",D1626),$E$1629:$E$1667,IF(E1626="","*",E1626),$F$1629:$F$1667,IF(F1626="","*",F1626),$G$1629:$G$1667,IF(G1626="","*",G1626))=1,INDEX($C:$C,SUMPRODUCT(((D1626="")+($D$1629:$D$1667=D1626)&gt;0)*((E1626="")+($E$1629:$E$1667=E1626)&gt;0)*((F1626="")+($F$1629:$F$1667=F1626)&gt;0)*((G1626="")+($G$1629:$G$1667=G1626)&gt;0)*ROW($B$1629:$B$1667))),"")</f>
        <v>0.23</v>
      </c>
      <c r="D1626" s="17" t="s">
        <v>21728</v>
      </c>
      <c r="E1626" s="17" t="s">
        <v>21729</v>
      </c>
      <c r="F1626" s="17" t="s">
        <v>21730</v>
      </c>
      <c r="G1626" s="17" t="s">
        <v>21731</v>
      </c>
    </row>
    <row r="1628" customFormat="false" ht="15" hidden="false" customHeight="false" outlineLevel="0" collapsed="false">
      <c r="B1628" s="18" t="s">
        <v>701</v>
      </c>
      <c r="C1628" s="18" t="s">
        <v>702</v>
      </c>
      <c r="D1628" s="18" t="s">
        <v>6159</v>
      </c>
      <c r="E1628" s="18" t="s">
        <v>723</v>
      </c>
      <c r="F1628" s="18" t="s">
        <v>6328</v>
      </c>
      <c r="G1628" s="18" t="s">
        <v>21727</v>
      </c>
    </row>
    <row r="1629" customFormat="false" ht="15" hidden="false" customHeight="false" outlineLevel="0" collapsed="false">
      <c r="B1629" s="19" t="s">
        <v>21732</v>
      </c>
      <c r="C1629" s="20" t="n">
        <f aca="false">ROUND(1.63/FX,2)</f>
        <v>0.23</v>
      </c>
      <c r="D1629" s="21" t="s">
        <v>21728</v>
      </c>
      <c r="E1629" s="21" t="s">
        <v>21729</v>
      </c>
      <c r="F1629" s="21" t="s">
        <v>21730</v>
      </c>
      <c r="G1629" s="21" t="s">
        <v>21731</v>
      </c>
    </row>
    <row r="1630" customFormat="false" ht="15" hidden="false" customHeight="false" outlineLevel="0" collapsed="false">
      <c r="B1630" s="19" t="s">
        <v>21733</v>
      </c>
      <c r="C1630" s="20" t="n">
        <f aca="false">ROUND(1.72/FX,2)</f>
        <v>0.24</v>
      </c>
      <c r="D1630" s="21" t="s">
        <v>21728</v>
      </c>
      <c r="E1630" s="21" t="s">
        <v>21729</v>
      </c>
      <c r="F1630" s="21" t="s">
        <v>21730</v>
      </c>
      <c r="G1630" s="21" t="s">
        <v>21734</v>
      </c>
    </row>
    <row r="1631" customFormat="false" ht="15" hidden="false" customHeight="false" outlineLevel="0" collapsed="false">
      <c r="B1631" s="19" t="s">
        <v>21735</v>
      </c>
      <c r="C1631" s="20" t="n">
        <f aca="false">ROUND(1.87/FX,2)</f>
        <v>0.26</v>
      </c>
      <c r="D1631" s="21" t="s">
        <v>21728</v>
      </c>
      <c r="E1631" s="21" t="s">
        <v>21729</v>
      </c>
      <c r="F1631" s="21" t="s">
        <v>21730</v>
      </c>
      <c r="G1631" s="21" t="s">
        <v>21736</v>
      </c>
    </row>
    <row r="1632" customFormat="false" ht="15" hidden="false" customHeight="false" outlineLevel="0" collapsed="false">
      <c r="B1632" s="19" t="s">
        <v>21737</v>
      </c>
      <c r="C1632" s="20" t="n">
        <f aca="false">ROUND(2/FX,2)</f>
        <v>0.28</v>
      </c>
      <c r="D1632" s="21" t="s">
        <v>21728</v>
      </c>
      <c r="E1632" s="21" t="s">
        <v>21729</v>
      </c>
      <c r="F1632" s="21" t="s">
        <v>21730</v>
      </c>
      <c r="G1632" s="21" t="s">
        <v>21738</v>
      </c>
    </row>
    <row r="1633" customFormat="false" ht="15" hidden="false" customHeight="false" outlineLevel="0" collapsed="false">
      <c r="B1633" s="19" t="s">
        <v>21739</v>
      </c>
      <c r="C1633" s="20" t="n">
        <f aca="false">ROUND(2.13/FX,2)</f>
        <v>0.3</v>
      </c>
      <c r="D1633" s="21" t="s">
        <v>21728</v>
      </c>
      <c r="E1633" s="21" t="s">
        <v>21729</v>
      </c>
      <c r="F1633" s="21" t="s">
        <v>21730</v>
      </c>
      <c r="G1633" s="21" t="s">
        <v>21740</v>
      </c>
    </row>
    <row r="1634" customFormat="false" ht="15" hidden="false" customHeight="false" outlineLevel="0" collapsed="false">
      <c r="B1634" s="19" t="s">
        <v>21741</v>
      </c>
      <c r="C1634" s="20" t="n">
        <f aca="false">ROUND(2.3/FX,2)</f>
        <v>0.32</v>
      </c>
      <c r="D1634" s="21" t="s">
        <v>21728</v>
      </c>
      <c r="E1634" s="21" t="s">
        <v>21729</v>
      </c>
      <c r="F1634" s="21" t="s">
        <v>21730</v>
      </c>
      <c r="G1634" s="21" t="s">
        <v>21742</v>
      </c>
    </row>
    <row r="1635" customFormat="false" ht="15" hidden="false" customHeight="false" outlineLevel="0" collapsed="false">
      <c r="B1635" s="19" t="s">
        <v>21743</v>
      </c>
      <c r="C1635" s="20" t="n">
        <f aca="false">ROUND(2.47/FX,2)</f>
        <v>0.34</v>
      </c>
      <c r="D1635" s="21" t="s">
        <v>21728</v>
      </c>
      <c r="E1635" s="21" t="s">
        <v>21729</v>
      </c>
      <c r="F1635" s="21" t="s">
        <v>21744</v>
      </c>
      <c r="G1635" s="21" t="s">
        <v>21731</v>
      </c>
    </row>
    <row r="1636" customFormat="false" ht="15" hidden="false" customHeight="false" outlineLevel="0" collapsed="false">
      <c r="B1636" s="19" t="s">
        <v>21745</v>
      </c>
      <c r="C1636" s="20" t="n">
        <f aca="false">ROUND(2.61/FX,2)</f>
        <v>0.36</v>
      </c>
      <c r="D1636" s="21" t="s">
        <v>21728</v>
      </c>
      <c r="E1636" s="21" t="s">
        <v>21729</v>
      </c>
      <c r="F1636" s="21" t="s">
        <v>21744</v>
      </c>
      <c r="G1636" s="21" t="s">
        <v>21736</v>
      </c>
    </row>
    <row r="1637" customFormat="false" ht="15" hidden="false" customHeight="false" outlineLevel="0" collapsed="false">
      <c r="B1637" s="19" t="s">
        <v>21746</v>
      </c>
      <c r="C1637" s="20" t="n">
        <f aca="false">ROUND(3.21/FX,2)</f>
        <v>0.45</v>
      </c>
      <c r="D1637" s="21" t="s">
        <v>21747</v>
      </c>
      <c r="E1637" s="21" t="s">
        <v>21729</v>
      </c>
      <c r="F1637" s="21" t="s">
        <v>21730</v>
      </c>
      <c r="G1637" s="21" t="s">
        <v>21748</v>
      </c>
    </row>
    <row r="1638" customFormat="false" ht="15" hidden="false" customHeight="false" outlineLevel="0" collapsed="false">
      <c r="B1638" s="19" t="s">
        <v>21749</v>
      </c>
      <c r="C1638" s="20" t="n">
        <f aca="false">ROUND(1.86/FX,2)</f>
        <v>0.26</v>
      </c>
      <c r="D1638" s="21" t="s">
        <v>21747</v>
      </c>
      <c r="E1638" s="21" t="s">
        <v>21729</v>
      </c>
      <c r="F1638" s="21" t="s">
        <v>21730</v>
      </c>
      <c r="G1638" s="21" t="s">
        <v>21731</v>
      </c>
    </row>
    <row r="1639" customFormat="false" ht="15" hidden="false" customHeight="false" outlineLevel="0" collapsed="false">
      <c r="B1639" s="19" t="s">
        <v>21750</v>
      </c>
      <c r="C1639" s="20" t="n">
        <f aca="false">ROUND(2.03/FX,2)</f>
        <v>0.28</v>
      </c>
      <c r="D1639" s="21" t="s">
        <v>21747</v>
      </c>
      <c r="E1639" s="21" t="s">
        <v>21729</v>
      </c>
      <c r="F1639" s="21" t="s">
        <v>21730</v>
      </c>
      <c r="G1639" s="21" t="s">
        <v>21734</v>
      </c>
    </row>
    <row r="1640" customFormat="false" ht="15" hidden="false" customHeight="false" outlineLevel="0" collapsed="false">
      <c r="B1640" s="19" t="s">
        <v>21751</v>
      </c>
      <c r="C1640" s="20" t="n">
        <f aca="false">ROUND(0.82/FX,2)</f>
        <v>0.11</v>
      </c>
      <c r="D1640" s="21" t="s">
        <v>21747</v>
      </c>
      <c r="E1640" s="21" t="s">
        <v>21752</v>
      </c>
      <c r="F1640" s="21" t="s">
        <v>21730</v>
      </c>
      <c r="G1640" s="21" t="s">
        <v>21736</v>
      </c>
    </row>
    <row r="1641" customFormat="false" ht="15" hidden="false" customHeight="false" outlineLevel="0" collapsed="false">
      <c r="B1641" s="19" t="s">
        <v>21753</v>
      </c>
      <c r="C1641" s="20" t="n">
        <f aca="false">ROUND(1.64/FX,2)</f>
        <v>0.23</v>
      </c>
      <c r="D1641" s="21" t="s">
        <v>21747</v>
      </c>
      <c r="E1641" s="21" t="s">
        <v>21729</v>
      </c>
      <c r="F1641" s="21" t="s">
        <v>21730</v>
      </c>
      <c r="G1641" s="21" t="s">
        <v>21736</v>
      </c>
    </row>
    <row r="1642" customFormat="false" ht="15" hidden="false" customHeight="false" outlineLevel="0" collapsed="false">
      <c r="B1642" s="19" t="s">
        <v>21754</v>
      </c>
      <c r="C1642" s="20" t="n">
        <f aca="false">ROUND(0.82/FX,2)</f>
        <v>0.11</v>
      </c>
      <c r="D1642" s="21" t="s">
        <v>21747</v>
      </c>
      <c r="E1642" s="21" t="s">
        <v>21755</v>
      </c>
      <c r="F1642" s="21" t="s">
        <v>21730</v>
      </c>
      <c r="G1642" s="21" t="s">
        <v>21736</v>
      </c>
    </row>
    <row r="1643" customFormat="false" ht="15" hidden="false" customHeight="false" outlineLevel="0" collapsed="false">
      <c r="B1643" s="19" t="s">
        <v>21756</v>
      </c>
      <c r="C1643" s="20" t="n">
        <f aca="false">ROUND(2.37/FX,2)</f>
        <v>0.33</v>
      </c>
      <c r="D1643" s="21" t="s">
        <v>21747</v>
      </c>
      <c r="E1643" s="21" t="s">
        <v>21729</v>
      </c>
      <c r="F1643" s="21" t="s">
        <v>21730</v>
      </c>
      <c r="G1643" s="21" t="s">
        <v>21738</v>
      </c>
    </row>
    <row r="1644" customFormat="false" ht="15" hidden="false" customHeight="false" outlineLevel="0" collapsed="false">
      <c r="B1644" s="19" t="s">
        <v>21757</v>
      </c>
      <c r="C1644" s="20" t="n">
        <f aca="false">ROUND(2.42/FX,2)</f>
        <v>0.34</v>
      </c>
      <c r="D1644" s="21" t="s">
        <v>21747</v>
      </c>
      <c r="E1644" s="21" t="s">
        <v>21729</v>
      </c>
      <c r="F1644" s="21" t="s">
        <v>21730</v>
      </c>
      <c r="G1644" s="21" t="s">
        <v>21740</v>
      </c>
    </row>
    <row r="1645" customFormat="false" ht="15" hidden="false" customHeight="false" outlineLevel="0" collapsed="false">
      <c r="B1645" s="19" t="s">
        <v>21758</v>
      </c>
      <c r="C1645" s="20" t="n">
        <f aca="false">ROUND(2.64/FX,2)</f>
        <v>0.37</v>
      </c>
      <c r="D1645" s="21" t="s">
        <v>21747</v>
      </c>
      <c r="E1645" s="21" t="s">
        <v>21729</v>
      </c>
      <c r="F1645" s="21" t="s">
        <v>21730</v>
      </c>
      <c r="G1645" s="21" t="s">
        <v>21742</v>
      </c>
    </row>
    <row r="1646" customFormat="false" ht="15" hidden="false" customHeight="false" outlineLevel="0" collapsed="false">
      <c r="B1646" s="19" t="s">
        <v>21759</v>
      </c>
      <c r="C1646" s="20" t="n">
        <f aca="false">ROUND(2.11/FX,2)</f>
        <v>0.29</v>
      </c>
      <c r="D1646" s="21" t="s">
        <v>21747</v>
      </c>
      <c r="E1646" s="21" t="s">
        <v>21729</v>
      </c>
      <c r="F1646" s="21" t="s">
        <v>21730</v>
      </c>
      <c r="G1646" s="21" t="s">
        <v>21760</v>
      </c>
    </row>
    <row r="1647" customFormat="false" ht="15" hidden="false" customHeight="false" outlineLevel="0" collapsed="false">
      <c r="B1647" s="19" t="s">
        <v>21761</v>
      </c>
      <c r="C1647" s="20" t="n">
        <f aca="false">ROUND(3.15/FX,2)</f>
        <v>0.44</v>
      </c>
      <c r="D1647" s="21" t="s">
        <v>21747</v>
      </c>
      <c r="E1647" s="21" t="s">
        <v>21729</v>
      </c>
      <c r="F1647" s="21" t="s">
        <v>21730</v>
      </c>
      <c r="G1647" s="21" t="s">
        <v>21762</v>
      </c>
    </row>
    <row r="1648" customFormat="false" ht="15" hidden="false" customHeight="false" outlineLevel="0" collapsed="false">
      <c r="B1648" s="19" t="s">
        <v>21763</v>
      </c>
      <c r="C1648" s="20" t="n">
        <f aca="false">ROUND(4.52/FX,2)</f>
        <v>0.63</v>
      </c>
      <c r="D1648" s="21" t="s">
        <v>21747</v>
      </c>
      <c r="E1648" s="21" t="s">
        <v>21729</v>
      </c>
      <c r="F1648" s="21" t="s">
        <v>21744</v>
      </c>
      <c r="G1648" s="21" t="s">
        <v>21748</v>
      </c>
    </row>
    <row r="1649" customFormat="false" ht="15" hidden="false" customHeight="false" outlineLevel="0" collapsed="false">
      <c r="B1649" s="19" t="s">
        <v>21764</v>
      </c>
      <c r="C1649" s="20" t="n">
        <f aca="false">ROUND(2.76/FX,2)</f>
        <v>0.38</v>
      </c>
      <c r="D1649" s="21" t="s">
        <v>21747</v>
      </c>
      <c r="E1649" s="21" t="s">
        <v>21729</v>
      </c>
      <c r="F1649" s="21" t="s">
        <v>21744</v>
      </c>
      <c r="G1649" s="21" t="s">
        <v>21731</v>
      </c>
    </row>
    <row r="1650" customFormat="false" ht="15" hidden="false" customHeight="false" outlineLevel="0" collapsed="false">
      <c r="B1650" s="19" t="s">
        <v>21765</v>
      </c>
      <c r="C1650" s="20" t="n">
        <f aca="false">ROUND(2.65/FX,2)</f>
        <v>0.37</v>
      </c>
      <c r="D1650" s="21" t="s">
        <v>21747</v>
      </c>
      <c r="E1650" s="21" t="s">
        <v>21729</v>
      </c>
      <c r="F1650" s="21" t="s">
        <v>21744</v>
      </c>
      <c r="G1650" s="21" t="s">
        <v>21734</v>
      </c>
    </row>
    <row r="1651" customFormat="false" ht="15" hidden="false" customHeight="false" outlineLevel="0" collapsed="false">
      <c r="B1651" s="19" t="s">
        <v>21766</v>
      </c>
      <c r="C1651" s="20" t="n">
        <f aca="false">ROUND(3/FX,2)</f>
        <v>0.42</v>
      </c>
      <c r="D1651" s="21" t="s">
        <v>21747</v>
      </c>
      <c r="E1651" s="21" t="s">
        <v>21729</v>
      </c>
      <c r="F1651" s="21" t="s">
        <v>21744</v>
      </c>
      <c r="G1651" s="21" t="s">
        <v>21736</v>
      </c>
    </row>
    <row r="1652" customFormat="false" ht="15" hidden="false" customHeight="false" outlineLevel="0" collapsed="false">
      <c r="B1652" s="19" t="s">
        <v>21767</v>
      </c>
      <c r="C1652" s="20" t="n">
        <f aca="false">ROUND(3.17/FX,2)</f>
        <v>0.44</v>
      </c>
      <c r="D1652" s="21" t="s">
        <v>21747</v>
      </c>
      <c r="E1652" s="21" t="s">
        <v>21729</v>
      </c>
      <c r="F1652" s="21" t="s">
        <v>21744</v>
      </c>
      <c r="G1652" s="21" t="s">
        <v>21738</v>
      </c>
    </row>
    <row r="1653" customFormat="false" ht="15" hidden="false" customHeight="false" outlineLevel="0" collapsed="false">
      <c r="B1653" s="19" t="s">
        <v>21768</v>
      </c>
      <c r="C1653" s="20" t="n">
        <f aca="false">ROUND(3.43/FX,2)</f>
        <v>0.48</v>
      </c>
      <c r="D1653" s="21" t="s">
        <v>21747</v>
      </c>
      <c r="E1653" s="21" t="s">
        <v>21729</v>
      </c>
      <c r="F1653" s="21" t="s">
        <v>21744</v>
      </c>
      <c r="G1653" s="21" t="s">
        <v>21740</v>
      </c>
    </row>
    <row r="1654" customFormat="false" ht="15" hidden="false" customHeight="false" outlineLevel="0" collapsed="false">
      <c r="B1654" s="19" t="s">
        <v>21769</v>
      </c>
      <c r="C1654" s="20" t="n">
        <f aca="false">ROUND(3.7/FX,2)</f>
        <v>0.51</v>
      </c>
      <c r="D1654" s="21" t="s">
        <v>21747</v>
      </c>
      <c r="E1654" s="21" t="s">
        <v>21729</v>
      </c>
      <c r="F1654" s="21" t="s">
        <v>21744</v>
      </c>
      <c r="G1654" s="21" t="s">
        <v>21742</v>
      </c>
    </row>
    <row r="1655" customFormat="false" ht="15" hidden="false" customHeight="false" outlineLevel="0" collapsed="false">
      <c r="B1655" s="19" t="s">
        <v>21770</v>
      </c>
      <c r="C1655" s="20" t="n">
        <f aca="false">ROUND(4/FX,2)</f>
        <v>0.56</v>
      </c>
      <c r="D1655" s="21" t="s">
        <v>21747</v>
      </c>
      <c r="E1655" s="21" t="s">
        <v>21729</v>
      </c>
      <c r="F1655" s="21" t="s">
        <v>21744</v>
      </c>
      <c r="G1655" s="21" t="s">
        <v>21760</v>
      </c>
    </row>
    <row r="1656" customFormat="false" ht="15" hidden="false" customHeight="false" outlineLevel="0" collapsed="false">
      <c r="B1656" s="19" t="s">
        <v>21771</v>
      </c>
      <c r="C1656" s="20" t="n">
        <f aca="false">ROUND(4.26/FX,2)</f>
        <v>0.59</v>
      </c>
      <c r="D1656" s="21" t="s">
        <v>21747</v>
      </c>
      <c r="E1656" s="21" t="s">
        <v>21729</v>
      </c>
      <c r="F1656" s="21" t="s">
        <v>21744</v>
      </c>
      <c r="G1656" s="21" t="s">
        <v>21762</v>
      </c>
    </row>
    <row r="1657" customFormat="false" ht="15" hidden="false" customHeight="false" outlineLevel="0" collapsed="false">
      <c r="B1657" s="19" t="s">
        <v>21772</v>
      </c>
      <c r="C1657" s="20" t="n">
        <f aca="false">ROUND(6.37/FX,2)</f>
        <v>0.88</v>
      </c>
      <c r="D1657" s="21" t="s">
        <v>21773</v>
      </c>
      <c r="E1657" s="21" t="s">
        <v>21729</v>
      </c>
      <c r="F1657" s="21" t="s">
        <v>21730</v>
      </c>
      <c r="G1657" s="21" t="s">
        <v>21748</v>
      </c>
    </row>
    <row r="1658" customFormat="false" ht="15" hidden="false" customHeight="false" outlineLevel="0" collapsed="false">
      <c r="B1658" s="19" t="s">
        <v>21774</v>
      </c>
      <c r="C1658" s="20" t="n">
        <f aca="false">ROUND(5.85/FX,2)</f>
        <v>0.81</v>
      </c>
      <c r="D1658" s="21" t="s">
        <v>21773</v>
      </c>
      <c r="E1658" s="21" t="s">
        <v>21729</v>
      </c>
      <c r="F1658" s="21" t="s">
        <v>21730</v>
      </c>
      <c r="G1658" s="21" t="s">
        <v>21775</v>
      </c>
    </row>
    <row r="1659" customFormat="false" ht="15" hidden="false" customHeight="false" outlineLevel="0" collapsed="false">
      <c r="B1659" s="19" t="s">
        <v>21776</v>
      </c>
      <c r="C1659" s="20" t="n">
        <f aca="false">ROUND(6.8/FX,2)</f>
        <v>0.94</v>
      </c>
      <c r="D1659" s="21" t="s">
        <v>21773</v>
      </c>
      <c r="E1659" s="21" t="s">
        <v>21729</v>
      </c>
      <c r="F1659" s="21" t="s">
        <v>21730</v>
      </c>
      <c r="G1659" s="21" t="s">
        <v>21777</v>
      </c>
    </row>
    <row r="1660" customFormat="false" ht="15" hidden="false" customHeight="false" outlineLevel="0" collapsed="false">
      <c r="B1660" s="19" t="s">
        <v>21778</v>
      </c>
      <c r="C1660" s="20" t="n">
        <f aca="false">ROUND(3.9/FX,2)</f>
        <v>0.54</v>
      </c>
      <c r="D1660" s="21" t="s">
        <v>21773</v>
      </c>
      <c r="E1660" s="21" t="s">
        <v>21729</v>
      </c>
      <c r="F1660" s="21" t="s">
        <v>21730</v>
      </c>
      <c r="G1660" s="21" t="s">
        <v>21731</v>
      </c>
    </row>
    <row r="1661" customFormat="false" ht="15" hidden="false" customHeight="false" outlineLevel="0" collapsed="false">
      <c r="B1661" s="19" t="s">
        <v>21779</v>
      </c>
      <c r="C1661" s="20" t="n">
        <f aca="false">ROUND(4.2/FX,2)</f>
        <v>0.58</v>
      </c>
      <c r="D1661" s="21" t="s">
        <v>21773</v>
      </c>
      <c r="E1661" s="21" t="s">
        <v>21729</v>
      </c>
      <c r="F1661" s="21" t="s">
        <v>21730</v>
      </c>
      <c r="G1661" s="21" t="s">
        <v>21734</v>
      </c>
    </row>
    <row r="1662" customFormat="false" ht="15" hidden="false" customHeight="false" outlineLevel="0" collapsed="false">
      <c r="B1662" s="19" t="s">
        <v>21780</v>
      </c>
      <c r="C1662" s="20" t="n">
        <f aca="false">ROUND(4.5/FX,2)</f>
        <v>0.63</v>
      </c>
      <c r="D1662" s="21" t="s">
        <v>21773</v>
      </c>
      <c r="E1662" s="21" t="s">
        <v>21729</v>
      </c>
      <c r="F1662" s="21" t="s">
        <v>21730</v>
      </c>
      <c r="G1662" s="21" t="s">
        <v>21736</v>
      </c>
    </row>
    <row r="1663" customFormat="false" ht="15" hidden="false" customHeight="false" outlineLevel="0" collapsed="false">
      <c r="B1663" s="19" t="s">
        <v>21781</v>
      </c>
      <c r="C1663" s="20" t="n">
        <f aca="false">ROUND(4.8/FX,2)</f>
        <v>0.67</v>
      </c>
      <c r="D1663" s="21" t="s">
        <v>21773</v>
      </c>
      <c r="E1663" s="21" t="s">
        <v>21729</v>
      </c>
      <c r="F1663" s="21" t="s">
        <v>21730</v>
      </c>
      <c r="G1663" s="21" t="s">
        <v>21738</v>
      </c>
    </row>
    <row r="1664" customFormat="false" ht="15" hidden="false" customHeight="false" outlineLevel="0" collapsed="false">
      <c r="B1664" s="19" t="s">
        <v>21782</v>
      </c>
      <c r="C1664" s="20" t="n">
        <f aca="false">ROUND(5.2/FX,2)</f>
        <v>0.72</v>
      </c>
      <c r="D1664" s="21" t="s">
        <v>21773</v>
      </c>
      <c r="E1664" s="21" t="s">
        <v>21729</v>
      </c>
      <c r="F1664" s="21" t="s">
        <v>21730</v>
      </c>
      <c r="G1664" s="21" t="s">
        <v>21740</v>
      </c>
    </row>
    <row r="1665" customFormat="false" ht="15" hidden="false" customHeight="false" outlineLevel="0" collapsed="false">
      <c r="B1665" s="19" t="s">
        <v>21783</v>
      </c>
      <c r="C1665" s="20" t="n">
        <f aca="false">ROUND(5.5/FX,2)</f>
        <v>0.76</v>
      </c>
      <c r="D1665" s="21" t="s">
        <v>21773</v>
      </c>
      <c r="E1665" s="21" t="s">
        <v>21729</v>
      </c>
      <c r="F1665" s="21" t="s">
        <v>21730</v>
      </c>
      <c r="G1665" s="21" t="s">
        <v>21742</v>
      </c>
    </row>
    <row r="1666" customFormat="false" ht="15" hidden="false" customHeight="false" outlineLevel="0" collapsed="false">
      <c r="B1666" s="19" t="s">
        <v>21784</v>
      </c>
      <c r="C1666" s="20" t="n">
        <f aca="false">ROUND(5.33/FX,2)</f>
        <v>0.74</v>
      </c>
      <c r="D1666" s="21" t="s">
        <v>21773</v>
      </c>
      <c r="E1666" s="21" t="s">
        <v>21729</v>
      </c>
      <c r="F1666" s="21" t="s">
        <v>21730</v>
      </c>
      <c r="G1666" s="21" t="s">
        <v>21760</v>
      </c>
    </row>
    <row r="1667" customFormat="false" ht="15" hidden="false" customHeight="false" outlineLevel="0" collapsed="false">
      <c r="B1667" s="19" t="s">
        <v>21785</v>
      </c>
      <c r="C1667" s="20" t="n">
        <f aca="false">ROUND(6.1/FX,2)</f>
        <v>0.85</v>
      </c>
      <c r="D1667" s="21" t="s">
        <v>21773</v>
      </c>
      <c r="E1667" s="21" t="s">
        <v>21729</v>
      </c>
      <c r="F1667" s="21" t="s">
        <v>21730</v>
      </c>
      <c r="G1667" s="21" t="s">
        <v>21762</v>
      </c>
    </row>
    <row r="1670" customFormat="false" ht="61.5" hidden="false" customHeight="true" outlineLevel="0" collapsed="false">
      <c r="A1670" s="9"/>
      <c r="B1670" s="10" t="s">
        <v>21786</v>
      </c>
      <c r="C1670" s="10"/>
      <c r="D1670" s="10"/>
    </row>
    <row r="1671" customFormat="false" ht="15" hidden="false" customHeight="false" outlineLevel="0" collapsed="false">
      <c r="A1671" s="12" t="s">
        <v>700</v>
      </c>
      <c r="B1671" s="13" t="s">
        <v>701</v>
      </c>
      <c r="C1671" s="13" t="s">
        <v>702</v>
      </c>
      <c r="D1671" s="13" t="s">
        <v>723</v>
      </c>
    </row>
    <row r="1672" customFormat="false" ht="30" hidden="false" customHeight="true" outlineLevel="0" collapsed="false">
      <c r="A1672" s="14" t="s">
        <v>706</v>
      </c>
      <c r="B1672" s="15" t="str">
        <f aca="false">IF(COUNTIFS($D$1675:$D$1677,IF(D1672="","*",D1672))=1,INDEX($B:$B,SUMPRODUCT(((D1672="")+($D$1675:$D$1677=D1672)&gt;0)*ROW($B$1675:$B$1677))),IF(COUNTIFS($D$1675:$D$1677,IF(D1672="","*",D1672))=0,"Not available",COUNTIFS($D$1675:$D$1677,IF(D1672="","*",D1672))&amp;" match, keep choosing"))</f>
        <v>EG-045-Gx12XJFCG</v>
      </c>
      <c r="C1672" s="16" t="n">
        <f aca="false">IF(COUNTIFS($D$1675:$D$1677,IF(D1672="","*",D1672))=1,INDEX($C:$C,SUMPRODUCT(((D1672="")+($D$1675:$D$1677=D1672)&gt;0)*ROW($B$1675:$B$1677))),"")</f>
        <v>0.03</v>
      </c>
      <c r="D1672" s="17" t="s">
        <v>21787</v>
      </c>
    </row>
    <row r="1674" customFormat="false" ht="15" hidden="false" customHeight="false" outlineLevel="0" collapsed="false">
      <c r="B1674" s="18" t="s">
        <v>701</v>
      </c>
      <c r="C1674" s="18" t="s">
        <v>702</v>
      </c>
      <c r="D1674" s="18" t="s">
        <v>723</v>
      </c>
    </row>
    <row r="1675" customFormat="false" ht="28.35" hidden="false" customHeight="false" outlineLevel="0" collapsed="false">
      <c r="B1675" s="19" t="s">
        <v>21788</v>
      </c>
      <c r="C1675" s="20" t="n">
        <f aca="false">ROUND(0.23/FX,2)</f>
        <v>0.03</v>
      </c>
      <c r="D1675" s="21" t="s">
        <v>21787</v>
      </c>
    </row>
    <row r="1676" customFormat="false" ht="28.35" hidden="false" customHeight="false" outlineLevel="0" collapsed="false">
      <c r="B1676" s="19" t="s">
        <v>21789</v>
      </c>
      <c r="C1676" s="20" t="n">
        <f aca="false">ROUND(0.19/FX,2)</f>
        <v>0.03</v>
      </c>
      <c r="D1676" s="21" t="s">
        <v>21790</v>
      </c>
    </row>
    <row r="1677" customFormat="false" ht="28.35" hidden="false" customHeight="false" outlineLevel="0" collapsed="false">
      <c r="B1677" s="19" t="s">
        <v>21791</v>
      </c>
      <c r="C1677" s="20" t="n">
        <f aca="false">ROUND(0.33/FX,2)</f>
        <v>0.05</v>
      </c>
      <c r="D1677" s="21" t="s">
        <v>21792</v>
      </c>
    </row>
    <row r="1680" customFormat="false" ht="61.5" hidden="false" customHeight="true" outlineLevel="0" collapsed="false">
      <c r="A1680" s="9"/>
      <c r="B1680" s="10" t="s">
        <v>21793</v>
      </c>
      <c r="C1680" s="10"/>
      <c r="D1680" s="10"/>
    </row>
    <row r="1681" customFormat="false" ht="15" hidden="false" customHeight="false" outlineLevel="0" collapsed="false">
      <c r="B1681" s="18" t="s">
        <v>701</v>
      </c>
      <c r="C1681" s="18" t="s">
        <v>702</v>
      </c>
      <c r="D1681" s="18" t="s">
        <v>5610</v>
      </c>
    </row>
    <row r="1682" customFormat="false" ht="15" hidden="false" customHeight="false" outlineLevel="0" collapsed="false">
      <c r="B1682" s="19" t="s">
        <v>21794</v>
      </c>
      <c r="C1682" s="20" t="n">
        <f aca="false">ROUND(2.52/FX,2)</f>
        <v>0.35</v>
      </c>
      <c r="D1682" s="22" t="s">
        <v>5612</v>
      </c>
    </row>
    <row r="1685" customFormat="false" ht="61.5" hidden="false" customHeight="true" outlineLevel="0" collapsed="false">
      <c r="A1685" s="9"/>
      <c r="B1685" s="10" t="s">
        <v>21795</v>
      </c>
      <c r="C1685" s="10"/>
      <c r="D1685" s="10"/>
    </row>
    <row r="1686" customFormat="false" ht="15" hidden="false" customHeight="false" outlineLevel="0" collapsed="false">
      <c r="A1686" s="12" t="s">
        <v>700</v>
      </c>
      <c r="B1686" s="13" t="s">
        <v>701</v>
      </c>
      <c r="C1686" s="13" t="s">
        <v>702</v>
      </c>
      <c r="D1686" s="13" t="s">
        <v>723</v>
      </c>
    </row>
    <row r="1687" customFormat="false" ht="30" hidden="false" customHeight="true" outlineLevel="0" collapsed="false">
      <c r="A1687" s="14" t="s">
        <v>706</v>
      </c>
      <c r="B1687" s="15" t="str">
        <f aca="false">IF(COUNTIFS($D$1690:$D$1719,IF(D1687="","*",D1687))=1,INDEX($B:$B,SUMPRODUCT(((D1687="")+($D$1690:$D$1719=D1687)&gt;0)*ROW($B$1690:$B$1719))),IF(COUNTIFS($D$1690:$D$1719,IF(D1687="","*",D1687))=0,"Not available",COUNTIFS($D$1690:$D$1719,IF(D1687="","*",D1687))&amp;" match, keep choosing"))</f>
        <v>EG-007-FZ-YD20-3X-CT</v>
      </c>
      <c r="C1687" s="16" t="n">
        <f aca="false">IF(COUNTIFS($D$1690:$D$1719,IF(D1687="","*",D1687))=1,INDEX($C:$C,SUMPRODUCT(((D1687="")+($D$1690:$D$1719=D1687)&gt;0)*ROW($B$1690:$B$1719))),"")</f>
        <v>1.53</v>
      </c>
      <c r="D1687" s="17" t="s">
        <v>21796</v>
      </c>
    </row>
    <row r="1689" customFormat="false" ht="15" hidden="false" customHeight="false" outlineLevel="0" collapsed="false">
      <c r="B1689" s="18" t="s">
        <v>701</v>
      </c>
      <c r="C1689" s="18" t="s">
        <v>702</v>
      </c>
      <c r="D1689" s="18" t="s">
        <v>723</v>
      </c>
    </row>
    <row r="1690" customFormat="false" ht="28.35" hidden="false" customHeight="false" outlineLevel="0" collapsed="false">
      <c r="B1690" s="19" t="s">
        <v>21797</v>
      </c>
      <c r="C1690" s="20" t="n">
        <f aca="false">ROUND(11.05/FX,2)</f>
        <v>1.53</v>
      </c>
      <c r="D1690" s="21" t="s">
        <v>21796</v>
      </c>
    </row>
    <row r="1691" customFormat="false" ht="28.35" hidden="false" customHeight="false" outlineLevel="0" collapsed="false">
      <c r="B1691" s="19" t="s">
        <v>21798</v>
      </c>
      <c r="C1691" s="20" t="n">
        <f aca="false">ROUND(7.15/FX,2)</f>
        <v>0.99</v>
      </c>
      <c r="D1691" s="21" t="s">
        <v>21799</v>
      </c>
    </row>
    <row r="1692" customFormat="false" ht="28.35" hidden="false" customHeight="false" outlineLevel="0" collapsed="false">
      <c r="B1692" s="19" t="s">
        <v>21800</v>
      </c>
      <c r="C1692" s="20" t="n">
        <f aca="false">ROUND(11.38/FX,2)</f>
        <v>1.58</v>
      </c>
      <c r="D1692" s="21" t="s">
        <v>21801</v>
      </c>
    </row>
    <row r="1693" customFormat="false" ht="28.35" hidden="false" customHeight="false" outlineLevel="0" collapsed="false">
      <c r="B1693" s="19" t="s">
        <v>21802</v>
      </c>
      <c r="C1693" s="20" t="n">
        <f aca="false">ROUND(7.48/FX,2)</f>
        <v>1.04</v>
      </c>
      <c r="D1693" s="21" t="s">
        <v>21803</v>
      </c>
    </row>
    <row r="1694" customFormat="false" ht="28.35" hidden="false" customHeight="false" outlineLevel="0" collapsed="false">
      <c r="B1694" s="19" t="s">
        <v>21804</v>
      </c>
      <c r="C1694" s="20" t="n">
        <f aca="false">ROUND(11.05/FX,2)</f>
        <v>1.53</v>
      </c>
      <c r="D1694" s="21" t="s">
        <v>21805</v>
      </c>
    </row>
    <row r="1695" customFormat="false" ht="28.35" hidden="false" customHeight="false" outlineLevel="0" collapsed="false">
      <c r="B1695" s="19" t="s">
        <v>21806</v>
      </c>
      <c r="C1695" s="20" t="n">
        <f aca="false">ROUND(7.15/FX,2)</f>
        <v>0.99</v>
      </c>
      <c r="D1695" s="21" t="s">
        <v>21807</v>
      </c>
    </row>
    <row r="1696" customFormat="false" ht="28.35" hidden="false" customHeight="false" outlineLevel="0" collapsed="false">
      <c r="B1696" s="19" t="s">
        <v>21808</v>
      </c>
      <c r="C1696" s="20" t="n">
        <f aca="false">ROUND(11.05/FX,2)</f>
        <v>1.53</v>
      </c>
      <c r="D1696" s="21" t="s">
        <v>21809</v>
      </c>
    </row>
    <row r="1697" customFormat="false" ht="28.35" hidden="false" customHeight="false" outlineLevel="0" collapsed="false">
      <c r="B1697" s="19" t="s">
        <v>21810</v>
      </c>
      <c r="C1697" s="20" t="n">
        <f aca="false">ROUND(7.15/FX,2)</f>
        <v>0.99</v>
      </c>
      <c r="D1697" s="21" t="s">
        <v>21811</v>
      </c>
    </row>
    <row r="1698" customFormat="false" ht="41.75" hidden="false" customHeight="false" outlineLevel="0" collapsed="false">
      <c r="B1698" s="19" t="s">
        <v>21812</v>
      </c>
      <c r="C1698" s="20" t="n">
        <f aca="false">ROUND(16.68/FX,2)</f>
        <v>2.32</v>
      </c>
      <c r="D1698" s="21" t="s">
        <v>21813</v>
      </c>
    </row>
    <row r="1699" customFormat="false" ht="41.75" hidden="false" customHeight="false" outlineLevel="0" collapsed="false">
      <c r="B1699" s="19" t="s">
        <v>21814</v>
      </c>
      <c r="C1699" s="20" t="n">
        <f aca="false">ROUND(18.85/FX,2)</f>
        <v>2.62</v>
      </c>
      <c r="D1699" s="21" t="s">
        <v>21815</v>
      </c>
    </row>
    <row r="1700" customFormat="false" ht="41.75" hidden="false" customHeight="false" outlineLevel="0" collapsed="false">
      <c r="B1700" s="19" t="s">
        <v>21816</v>
      </c>
      <c r="C1700" s="20" t="n">
        <f aca="false">ROUND(16.68/FX,2)</f>
        <v>2.32</v>
      </c>
      <c r="D1700" s="21" t="s">
        <v>21817</v>
      </c>
    </row>
    <row r="1701" customFormat="false" ht="41.75" hidden="false" customHeight="false" outlineLevel="0" collapsed="false">
      <c r="B1701" s="19" t="s">
        <v>21818</v>
      </c>
      <c r="C1701" s="20" t="n">
        <f aca="false">ROUND(18.2/FX,2)</f>
        <v>2.53</v>
      </c>
      <c r="D1701" s="21" t="s">
        <v>21819</v>
      </c>
    </row>
    <row r="1702" customFormat="false" ht="28.35" hidden="false" customHeight="false" outlineLevel="0" collapsed="false">
      <c r="B1702" s="19" t="s">
        <v>21820</v>
      </c>
      <c r="C1702" s="20" t="n">
        <f aca="false">ROUND(22.1/FX,2)</f>
        <v>3.07</v>
      </c>
      <c r="D1702" s="21" t="s">
        <v>21821</v>
      </c>
    </row>
    <row r="1703" customFormat="false" ht="28.35" hidden="false" customHeight="false" outlineLevel="0" collapsed="false">
      <c r="B1703" s="19" t="s">
        <v>21822</v>
      </c>
      <c r="C1703" s="20" t="n">
        <f aca="false">ROUND(14.3/FX,2)</f>
        <v>1.99</v>
      </c>
      <c r="D1703" s="21" t="s">
        <v>21823</v>
      </c>
    </row>
    <row r="1704" customFormat="false" ht="41.75" hidden="false" customHeight="false" outlineLevel="0" collapsed="false">
      <c r="B1704" s="19" t="s">
        <v>21824</v>
      </c>
      <c r="C1704" s="20" t="n">
        <f aca="false">ROUND(36.4/FX,2)</f>
        <v>5.06</v>
      </c>
      <c r="D1704" s="21" t="s">
        <v>21825</v>
      </c>
    </row>
    <row r="1705" customFormat="false" ht="28.35" hidden="false" customHeight="false" outlineLevel="0" collapsed="false">
      <c r="B1705" s="19" t="s">
        <v>21826</v>
      </c>
      <c r="C1705" s="20" t="n">
        <f aca="false">ROUND(11.05/FX,2)</f>
        <v>1.53</v>
      </c>
      <c r="D1705" s="21" t="s">
        <v>21827</v>
      </c>
    </row>
    <row r="1706" customFormat="false" ht="28.35" hidden="false" customHeight="false" outlineLevel="0" collapsed="false">
      <c r="B1706" s="19" t="s">
        <v>21828</v>
      </c>
      <c r="C1706" s="20" t="n">
        <f aca="false">ROUND(7.15/FX,2)</f>
        <v>0.99</v>
      </c>
      <c r="D1706" s="21" t="s">
        <v>21829</v>
      </c>
    </row>
    <row r="1707" customFormat="false" ht="28.35" hidden="false" customHeight="false" outlineLevel="0" collapsed="false">
      <c r="B1707" s="19" t="s">
        <v>21830</v>
      </c>
      <c r="C1707" s="20" t="n">
        <f aca="false">ROUND(11.05/FX,2)</f>
        <v>1.53</v>
      </c>
      <c r="D1707" s="21" t="s">
        <v>21831</v>
      </c>
    </row>
    <row r="1708" customFormat="false" ht="28.35" hidden="false" customHeight="false" outlineLevel="0" collapsed="false">
      <c r="B1708" s="19" t="s">
        <v>21832</v>
      </c>
      <c r="C1708" s="20" t="n">
        <f aca="false">ROUND(7.15/FX,2)</f>
        <v>0.99</v>
      </c>
      <c r="D1708" s="21" t="s">
        <v>21833</v>
      </c>
    </row>
    <row r="1709" customFormat="false" ht="28.35" hidden="false" customHeight="false" outlineLevel="0" collapsed="false">
      <c r="B1709" s="19" t="s">
        <v>21834</v>
      </c>
      <c r="C1709" s="20" t="n">
        <f aca="false">ROUND(11.05/FX,2)</f>
        <v>1.53</v>
      </c>
      <c r="D1709" s="21" t="s">
        <v>21835</v>
      </c>
    </row>
    <row r="1710" customFormat="false" ht="28.35" hidden="false" customHeight="false" outlineLevel="0" collapsed="false">
      <c r="B1710" s="19" t="s">
        <v>21836</v>
      </c>
      <c r="C1710" s="20" t="n">
        <f aca="false">ROUND(7.15/FX,2)</f>
        <v>0.99</v>
      </c>
      <c r="D1710" s="21" t="s">
        <v>21837</v>
      </c>
    </row>
    <row r="1711" customFormat="false" ht="28.35" hidden="false" customHeight="false" outlineLevel="0" collapsed="false">
      <c r="B1711" s="19" t="s">
        <v>21838</v>
      </c>
      <c r="C1711" s="20" t="n">
        <f aca="false">ROUND(11.05/FX,2)</f>
        <v>1.53</v>
      </c>
      <c r="D1711" s="21" t="s">
        <v>21839</v>
      </c>
    </row>
    <row r="1712" customFormat="false" ht="28.35" hidden="false" customHeight="false" outlineLevel="0" collapsed="false">
      <c r="B1712" s="19" t="s">
        <v>21840</v>
      </c>
      <c r="C1712" s="20" t="n">
        <f aca="false">ROUND(7.15/FX,2)</f>
        <v>0.99</v>
      </c>
      <c r="D1712" s="21" t="s">
        <v>21841</v>
      </c>
    </row>
    <row r="1713" customFormat="false" ht="41.75" hidden="false" customHeight="false" outlineLevel="0" collapsed="false">
      <c r="B1713" s="19" t="s">
        <v>21842</v>
      </c>
      <c r="C1713" s="20" t="n">
        <f aca="false">ROUND(16.68/FX,2)</f>
        <v>2.32</v>
      </c>
      <c r="D1713" s="21" t="s">
        <v>21843</v>
      </c>
    </row>
    <row r="1714" customFormat="false" ht="41.75" hidden="false" customHeight="false" outlineLevel="0" collapsed="false">
      <c r="B1714" s="19" t="s">
        <v>21844</v>
      </c>
      <c r="C1714" s="20" t="n">
        <f aca="false">ROUND(16.68/FX,2)</f>
        <v>2.32</v>
      </c>
      <c r="D1714" s="21" t="s">
        <v>21845</v>
      </c>
    </row>
    <row r="1715" customFormat="false" ht="41.75" hidden="false" customHeight="false" outlineLevel="0" collapsed="false">
      <c r="B1715" s="19" t="s">
        <v>21846</v>
      </c>
      <c r="C1715" s="20" t="n">
        <f aca="false">ROUND(16.68/FX,2)</f>
        <v>2.32</v>
      </c>
      <c r="D1715" s="21" t="s">
        <v>21847</v>
      </c>
    </row>
    <row r="1716" customFormat="false" ht="41.75" hidden="false" customHeight="false" outlineLevel="0" collapsed="false">
      <c r="B1716" s="19" t="s">
        <v>21848</v>
      </c>
      <c r="C1716" s="20" t="n">
        <f aca="false">ROUND(16.68/FX,2)</f>
        <v>2.32</v>
      </c>
      <c r="D1716" s="21" t="s">
        <v>21849</v>
      </c>
    </row>
    <row r="1717" customFormat="false" ht="28.35" hidden="false" customHeight="false" outlineLevel="0" collapsed="false">
      <c r="B1717" s="19" t="s">
        <v>21850</v>
      </c>
      <c r="C1717" s="20" t="n">
        <f aca="false">ROUND(22.1/FX,2)</f>
        <v>3.07</v>
      </c>
      <c r="D1717" s="21" t="s">
        <v>21851</v>
      </c>
    </row>
    <row r="1718" customFormat="false" ht="41.75" hidden="false" customHeight="false" outlineLevel="0" collapsed="false">
      <c r="B1718" s="19" t="s">
        <v>21852</v>
      </c>
      <c r="C1718" s="20" t="n">
        <f aca="false">ROUND(14.3/FX,2)</f>
        <v>1.99</v>
      </c>
      <c r="D1718" s="21" t="s">
        <v>21853</v>
      </c>
    </row>
    <row r="1719" customFormat="false" ht="41.75" hidden="false" customHeight="false" outlineLevel="0" collapsed="false">
      <c r="B1719" s="19" t="s">
        <v>21854</v>
      </c>
      <c r="C1719" s="20" t="n">
        <f aca="false">ROUND(36.4/FX,2)</f>
        <v>5.06</v>
      </c>
      <c r="D1719" s="21" t="s">
        <v>21855</v>
      </c>
    </row>
    <row r="1722" customFormat="false" ht="61.5" hidden="false" customHeight="true" outlineLevel="0" collapsed="false">
      <c r="A1722" s="9"/>
      <c r="B1722" s="10" t="s">
        <v>21856</v>
      </c>
      <c r="C1722" s="10"/>
      <c r="D1722" s="10"/>
    </row>
    <row r="1723" customFormat="false" ht="15" hidden="false" customHeight="false" outlineLevel="0" collapsed="false">
      <c r="A1723" s="12" t="s">
        <v>700</v>
      </c>
      <c r="B1723" s="13" t="s">
        <v>701</v>
      </c>
      <c r="C1723" s="13" t="s">
        <v>702</v>
      </c>
      <c r="D1723" s="13" t="s">
        <v>5610</v>
      </c>
    </row>
    <row r="1724" customFormat="false" ht="30" hidden="false" customHeight="true" outlineLevel="0" collapsed="false">
      <c r="A1724" s="14" t="s">
        <v>706</v>
      </c>
      <c r="B1724" s="15" t="str">
        <f aca="false">IF(COUNTIFS($D$1727:$D$1728,IF(D1724="","*",D1724))=1,INDEX($B:$B,SUMPRODUCT(((D1724="")+($D$1727:$D$1728=D1724)&gt;0)*ROW($B$1727:$B$1728))),IF(COUNTIFS($D$1727:$D$1728,IF(D1724="","*",D1724))=0,"Not available",COUNTIFS($D$1727:$D$1728,IF(D1724="","*",D1724))&amp;" match, keep choosing"))</f>
        <v>EG-068-3J</v>
      </c>
      <c r="C1724" s="16" t="n">
        <f aca="false">IF(COUNTIFS($D$1727:$D$1728,IF(D1724="","*",D1724))=1,INDEX($C:$C,SUMPRODUCT(((D1724="")+($D$1727:$D$1728=D1724)&gt;0)*ROW($B$1727:$B$1728))),"")</f>
        <v>1.17</v>
      </c>
      <c r="D1724" s="17" t="s">
        <v>21857</v>
      </c>
    </row>
    <row r="1726" customFormat="false" ht="15" hidden="false" customHeight="false" outlineLevel="0" collapsed="false">
      <c r="B1726" s="18" t="s">
        <v>701</v>
      </c>
      <c r="C1726" s="18" t="s">
        <v>702</v>
      </c>
      <c r="D1726" s="18" t="s">
        <v>5610</v>
      </c>
    </row>
    <row r="1727" customFormat="false" ht="15" hidden="false" customHeight="false" outlineLevel="0" collapsed="false">
      <c r="B1727" s="19" t="s">
        <v>21858</v>
      </c>
      <c r="C1727" s="20" t="n">
        <f aca="false">ROUND(8.45/FX,2)</f>
        <v>1.17</v>
      </c>
      <c r="D1727" s="21" t="s">
        <v>21857</v>
      </c>
    </row>
    <row r="1728" customFormat="false" ht="15" hidden="false" customHeight="false" outlineLevel="0" collapsed="false">
      <c r="B1728" s="19" t="s">
        <v>21859</v>
      </c>
      <c r="C1728" s="20" t="n">
        <f aca="false">ROUND(2.34/FX,2)</f>
        <v>0.33</v>
      </c>
      <c r="D1728" s="21" t="s">
        <v>21860</v>
      </c>
    </row>
    <row r="1731" customFormat="false" ht="61.5" hidden="false" customHeight="true" outlineLevel="0" collapsed="false">
      <c r="A1731" s="9"/>
      <c r="B1731" s="10" t="s">
        <v>21861</v>
      </c>
      <c r="C1731" s="10"/>
      <c r="D1731" s="10"/>
    </row>
    <row r="1732" customFormat="false" ht="15" hidden="false" customHeight="true" outlineLevel="0" collapsed="false">
      <c r="B1732" s="11" t="s">
        <v>21862</v>
      </c>
      <c r="C1732" s="11"/>
      <c r="D1732" s="11"/>
    </row>
    <row r="1733" customFormat="false" ht="15" hidden="false" customHeight="false" outlineLevel="0" collapsed="false">
      <c r="A1733" s="12" t="s">
        <v>700</v>
      </c>
      <c r="B1733" s="13" t="s">
        <v>701</v>
      </c>
      <c r="C1733" s="13" t="s">
        <v>702</v>
      </c>
      <c r="D1733" s="13" t="s">
        <v>6523</v>
      </c>
    </row>
    <row r="1734" customFormat="false" ht="30" hidden="false" customHeight="true" outlineLevel="0" collapsed="false">
      <c r="A1734" s="14" t="s">
        <v>706</v>
      </c>
      <c r="B1734" s="15" t="str">
        <f aca="false">IF(COUNTIFS($D$1737:$D$1740,IF(D1734="","*",D1734))=1,INDEX($B:$B,SUMPRODUCT(((D1734="")+($D$1737:$D$1740=D1734)&gt;0)*ROW($B$1737:$B$1740))),IF(COUNTIFS($D$1737:$D$1740,IF(D1734="","*",D1734))=0,"Not available",COUNTIFS($D$1737:$D$1740,IF(D1734="","*",D1734))&amp;" match, keep choosing"))</f>
        <v>EG-012-1500x150x30</v>
      </c>
      <c r="C1734" s="16" t="n">
        <f aca="false">IF(COUNTIFS($D$1737:$D$1740,IF(D1734="","*",D1734))=1,INDEX($C:$C,SUMPRODUCT(((D1734="")+($D$1737:$D$1740=D1734)&gt;0)*ROW($B$1737:$B$1740))),"")</f>
        <v>3.61</v>
      </c>
      <c r="D1734" s="17" t="s">
        <v>21863</v>
      </c>
    </row>
    <row r="1736" customFormat="false" ht="15" hidden="false" customHeight="false" outlineLevel="0" collapsed="false">
      <c r="B1736" s="18" t="s">
        <v>701</v>
      </c>
      <c r="C1736" s="18" t="s">
        <v>702</v>
      </c>
      <c r="D1736" s="18" t="s">
        <v>6523</v>
      </c>
    </row>
    <row r="1737" customFormat="false" ht="15" hidden="false" customHeight="false" outlineLevel="0" collapsed="false">
      <c r="B1737" s="19" t="s">
        <v>21864</v>
      </c>
      <c r="C1737" s="20" t="n">
        <f aca="false">ROUND(26/FX,2)</f>
        <v>3.61</v>
      </c>
      <c r="D1737" s="21" t="s">
        <v>21863</v>
      </c>
    </row>
    <row r="1738" customFormat="false" ht="15" hidden="false" customHeight="false" outlineLevel="0" collapsed="false">
      <c r="B1738" s="19" t="s">
        <v>21865</v>
      </c>
      <c r="C1738" s="20" t="n">
        <f aca="false">ROUND(32.5/FX,2)</f>
        <v>4.51</v>
      </c>
      <c r="D1738" s="21" t="s">
        <v>21866</v>
      </c>
    </row>
    <row r="1739" customFormat="false" ht="15" hidden="false" customHeight="false" outlineLevel="0" collapsed="false">
      <c r="B1739" s="19" t="s">
        <v>21867</v>
      </c>
      <c r="C1739" s="20" t="n">
        <f aca="false">ROUND(39/FX,2)</f>
        <v>5.42</v>
      </c>
      <c r="D1739" s="21" t="s">
        <v>21868</v>
      </c>
    </row>
    <row r="1740" customFormat="false" ht="15" hidden="false" customHeight="false" outlineLevel="0" collapsed="false">
      <c r="B1740" s="19" t="s">
        <v>21869</v>
      </c>
      <c r="C1740" s="20" t="n">
        <f aca="false">ROUND(39/FX,2)</f>
        <v>5.42</v>
      </c>
      <c r="D1740" s="21" t="s">
        <v>21870</v>
      </c>
    </row>
    <row r="1743" customFormat="false" ht="61.5" hidden="false" customHeight="true" outlineLevel="0" collapsed="false">
      <c r="A1743" s="9"/>
      <c r="B1743" s="10" t="s">
        <v>21871</v>
      </c>
      <c r="C1743" s="10"/>
      <c r="D1743" s="10"/>
      <c r="E1743" s="10"/>
    </row>
    <row r="1744" customFormat="false" ht="15" hidden="false" customHeight="false" outlineLevel="0" collapsed="false">
      <c r="A1744" s="12" t="s">
        <v>700</v>
      </c>
      <c r="B1744" s="13" t="s">
        <v>701</v>
      </c>
      <c r="C1744" s="13" t="s">
        <v>702</v>
      </c>
      <c r="D1744" s="13" t="s">
        <v>723</v>
      </c>
      <c r="E1744" s="13" t="s">
        <v>6328</v>
      </c>
    </row>
    <row r="1745" customFormat="false" ht="30" hidden="false" customHeight="true" outlineLevel="0" collapsed="false">
      <c r="A1745" s="14" t="s">
        <v>706</v>
      </c>
      <c r="B1745" s="15" t="str">
        <f aca="false">IF(COUNTIFS($D$1748:$D$1753,IF(D1745="","*",D1745),$E$1748:$E$1753,IF(E1745="","*",E1745))=1,INDEX($B:$B,SUMPRODUCT(((D1745="")+($D$1748:$D$1753=D1745)&gt;0)*((E1745="")+($E$1748:$E$1753=E1745)&gt;0)*ROW($B$1748:$B$1753))),IF(COUNTIFS($D$1748:$D$1753,IF(D1745="","*",D1745),$E$1748:$E$1753,IF(E1745="","*",E1745))=0,"Not available",COUNTIFS($D$1748:$D$1753,IF(D1745="","*",D1745),$E$1748:$E$1753,IF(E1745="","*",E1745))&amp;" match, keep choosing"))</f>
        <v>EG-092-FCZR-HGR15</v>
      </c>
      <c r="C1745" s="16" t="n">
        <f aca="false">IF(COUNTIFS($D$1748:$D$1753,IF(D1745="","*",D1745),$E$1748:$E$1753,IF(E1745="","*",E1745))=1,INDEX($C:$C,SUMPRODUCT(((D1745="")+($D$1748:$D$1753=D1745)&gt;0)*((E1745="")+($E$1748:$E$1753=E1745)&gt;0)*ROW($B$1748:$B$1753))),"")</f>
        <v>13.54</v>
      </c>
      <c r="D1745" s="17" t="s">
        <v>17056</v>
      </c>
      <c r="E1745" s="17" t="s">
        <v>21872</v>
      </c>
    </row>
    <row r="1747" customFormat="false" ht="15" hidden="false" customHeight="false" outlineLevel="0" collapsed="false">
      <c r="B1747" s="18" t="s">
        <v>701</v>
      </c>
      <c r="C1747" s="18" t="s">
        <v>702</v>
      </c>
      <c r="D1747" s="18" t="s">
        <v>723</v>
      </c>
      <c r="E1747" s="18" t="s">
        <v>6328</v>
      </c>
    </row>
    <row r="1748" customFormat="false" ht="28.35" hidden="false" customHeight="false" outlineLevel="0" collapsed="false">
      <c r="B1748" s="19" t="s">
        <v>21873</v>
      </c>
      <c r="C1748" s="20" t="n">
        <f aca="false">ROUND(97.5/FX,2)</f>
        <v>13.54</v>
      </c>
      <c r="D1748" s="21" t="s">
        <v>17056</v>
      </c>
      <c r="E1748" s="21" t="s">
        <v>21872</v>
      </c>
    </row>
    <row r="1749" customFormat="false" ht="28.35" hidden="false" customHeight="false" outlineLevel="0" collapsed="false">
      <c r="B1749" s="19" t="s">
        <v>21874</v>
      </c>
      <c r="C1749" s="20" t="n">
        <f aca="false">ROUND(97.5/FX,2)</f>
        <v>13.54</v>
      </c>
      <c r="D1749" s="21" t="s">
        <v>17068</v>
      </c>
      <c r="E1749" s="21" t="s">
        <v>21872</v>
      </c>
    </row>
    <row r="1750" customFormat="false" ht="15" hidden="false" customHeight="false" outlineLevel="0" collapsed="false">
      <c r="B1750" s="19" t="s">
        <v>21875</v>
      </c>
      <c r="C1750" s="20" t="n">
        <f aca="false">ROUND(39/FX,2)</f>
        <v>5.42</v>
      </c>
      <c r="D1750" s="21" t="s">
        <v>17056</v>
      </c>
      <c r="E1750" s="21" t="s">
        <v>21876</v>
      </c>
    </row>
    <row r="1751" customFormat="false" ht="15" hidden="false" customHeight="false" outlineLevel="0" collapsed="false">
      <c r="B1751" s="19" t="s">
        <v>21877</v>
      </c>
      <c r="C1751" s="20" t="n">
        <f aca="false">ROUND(39/FX,2)</f>
        <v>5.42</v>
      </c>
      <c r="D1751" s="21" t="s">
        <v>17068</v>
      </c>
      <c r="E1751" s="21" t="s">
        <v>21876</v>
      </c>
    </row>
    <row r="1752" customFormat="false" ht="28.35" hidden="false" customHeight="false" outlineLevel="0" collapsed="false">
      <c r="B1752" s="19" t="s">
        <v>21878</v>
      </c>
      <c r="C1752" s="20" t="n">
        <f aca="false">ROUND(74.1/FX,2)</f>
        <v>10.29</v>
      </c>
      <c r="D1752" s="21" t="s">
        <v>17056</v>
      </c>
      <c r="E1752" s="21" t="s">
        <v>21879</v>
      </c>
    </row>
    <row r="1753" customFormat="false" ht="28.35" hidden="false" customHeight="false" outlineLevel="0" collapsed="false">
      <c r="B1753" s="19" t="s">
        <v>21880</v>
      </c>
      <c r="C1753" s="20" t="n">
        <f aca="false">ROUND(74.1/FX,2)</f>
        <v>10.29</v>
      </c>
      <c r="D1753" s="21" t="s">
        <v>17068</v>
      </c>
      <c r="E1753" s="21" t="s">
        <v>21879</v>
      </c>
    </row>
    <row r="1756" customFormat="false" ht="61.5" hidden="false" customHeight="true" outlineLevel="0" collapsed="false">
      <c r="A1756" s="9"/>
      <c r="B1756" s="10" t="s">
        <v>21881</v>
      </c>
      <c r="C1756" s="10"/>
      <c r="D1756" s="10"/>
    </row>
    <row r="1757" customFormat="false" ht="15" hidden="false" customHeight="false" outlineLevel="0" collapsed="false">
      <c r="B1757" s="18" t="s">
        <v>701</v>
      </c>
      <c r="C1757" s="18" t="s">
        <v>702</v>
      </c>
      <c r="D1757" s="18" t="s">
        <v>5610</v>
      </c>
    </row>
    <row r="1758" customFormat="false" ht="15" hidden="false" customHeight="false" outlineLevel="0" collapsed="false">
      <c r="B1758" s="19" t="s">
        <v>21882</v>
      </c>
      <c r="C1758" s="20" t="n">
        <f aca="false">ROUND(63.7/FX,2)</f>
        <v>8.85</v>
      </c>
      <c r="D1758" s="22" t="s">
        <v>5612</v>
      </c>
    </row>
    <row r="1761" customFormat="false" ht="61.5" hidden="false" customHeight="true" outlineLevel="0" collapsed="false">
      <c r="A1761" s="9"/>
      <c r="B1761" s="10" t="s">
        <v>21883</v>
      </c>
      <c r="C1761" s="10"/>
      <c r="D1761" s="10"/>
    </row>
    <row r="1762" customFormat="false" ht="15" hidden="false" customHeight="false" outlineLevel="0" collapsed="false">
      <c r="A1762" s="12" t="s">
        <v>700</v>
      </c>
      <c r="B1762" s="13" t="s">
        <v>701</v>
      </c>
      <c r="C1762" s="13" t="s">
        <v>702</v>
      </c>
      <c r="D1762" s="13" t="s">
        <v>723</v>
      </c>
    </row>
    <row r="1763" customFormat="false" ht="30" hidden="false" customHeight="true" outlineLevel="0" collapsed="false">
      <c r="A1763" s="14" t="s">
        <v>706</v>
      </c>
      <c r="B1763" s="15" t="str">
        <f aca="false">IF(COUNTIFS($D$1766:$D$1770,IF(D1763="","*",D1763))=1,INDEX($B:$B,SUMPRODUCT(((D1763="")+($D$1766:$D$1770=D1763)&gt;0)*ROW($B$1766:$B$1770))),IF(COUNTIFS($D$1766:$D$1770,IF(D1763="","*",D1763))=0,"Not available",COUNTIFS($D$1766:$D$1770,IF(D1763="","*",D1763))&amp;" match, keep choosing"))</f>
        <v>EG-066-ZZK100-XCK100</v>
      </c>
      <c r="C1763" s="16" t="n">
        <f aca="false">IF(COUNTIFS($D$1766:$D$1770,IF(D1763="","*",D1763))=1,INDEX($C:$C,SUMPRODUCT(((D1763="")+($D$1766:$D$1770=D1763)&gt;0)*ROW($B$1766:$B$1770))),"")</f>
        <v>4.88</v>
      </c>
      <c r="D1763" s="17" t="s">
        <v>21884</v>
      </c>
    </row>
    <row r="1765" customFormat="false" ht="15" hidden="false" customHeight="false" outlineLevel="0" collapsed="false">
      <c r="B1765" s="18" t="s">
        <v>701</v>
      </c>
      <c r="C1765" s="18" t="s">
        <v>702</v>
      </c>
      <c r="D1765" s="18" t="s">
        <v>723</v>
      </c>
    </row>
    <row r="1766" customFormat="false" ht="41.75" hidden="false" customHeight="false" outlineLevel="0" collapsed="false">
      <c r="B1766" s="19" t="s">
        <v>21885</v>
      </c>
      <c r="C1766" s="20" t="n">
        <f aca="false">ROUND(35.1/FX,2)</f>
        <v>4.88</v>
      </c>
      <c r="D1766" s="21" t="s">
        <v>21884</v>
      </c>
    </row>
    <row r="1767" customFormat="false" ht="41.75" hidden="false" customHeight="false" outlineLevel="0" collapsed="false">
      <c r="B1767" s="19" t="s">
        <v>21886</v>
      </c>
      <c r="C1767" s="20" t="n">
        <f aca="false">ROUND(41.6/FX,2)</f>
        <v>5.78</v>
      </c>
      <c r="D1767" s="21" t="s">
        <v>21887</v>
      </c>
    </row>
    <row r="1768" customFormat="false" ht="28.35" hidden="false" customHeight="false" outlineLevel="0" collapsed="false">
      <c r="B1768" s="19" t="s">
        <v>21888</v>
      </c>
      <c r="C1768" s="20" t="n">
        <f aca="false">ROUND(45.5/FX,2)</f>
        <v>6.32</v>
      </c>
      <c r="D1768" s="21" t="s">
        <v>21889</v>
      </c>
    </row>
    <row r="1769" customFormat="false" ht="28.35" hidden="false" customHeight="false" outlineLevel="0" collapsed="false">
      <c r="B1769" s="19" t="s">
        <v>21890</v>
      </c>
      <c r="C1769" s="20" t="n">
        <f aca="false">ROUND(35.1/FX,2)</f>
        <v>4.88</v>
      </c>
      <c r="D1769" s="21" t="s">
        <v>21891</v>
      </c>
    </row>
    <row r="1770" customFormat="false" ht="28.35" hidden="false" customHeight="false" outlineLevel="0" collapsed="false">
      <c r="B1770" s="19" t="s">
        <v>21892</v>
      </c>
      <c r="C1770" s="20" t="n">
        <f aca="false">ROUND(35.1/FX,2)</f>
        <v>4.88</v>
      </c>
      <c r="D1770" s="21" t="s">
        <v>21893</v>
      </c>
    </row>
    <row r="1773" customFormat="false" ht="61.5" hidden="false" customHeight="true" outlineLevel="0" collapsed="false">
      <c r="A1773" s="9"/>
      <c r="B1773" s="10" t="s">
        <v>21894</v>
      </c>
      <c r="C1773" s="10"/>
      <c r="D1773" s="10"/>
    </row>
    <row r="1774" customFormat="false" ht="15" hidden="false" customHeight="false" outlineLevel="0" collapsed="false">
      <c r="B1774" s="18" t="s">
        <v>701</v>
      </c>
      <c r="C1774" s="18" t="s">
        <v>702</v>
      </c>
      <c r="D1774" s="18" t="s">
        <v>5610</v>
      </c>
    </row>
    <row r="1775" customFormat="false" ht="15" hidden="false" customHeight="false" outlineLevel="0" collapsed="false">
      <c r="B1775" s="19" t="s">
        <v>21895</v>
      </c>
      <c r="C1775" s="20" t="n">
        <f aca="false">ROUND(18.59/FX,2)</f>
        <v>2.58</v>
      </c>
      <c r="D1775" s="22" t="s">
        <v>5612</v>
      </c>
    </row>
    <row r="1778" customFormat="false" ht="61.5" hidden="false" customHeight="true" outlineLevel="0" collapsed="false">
      <c r="A1778" s="9"/>
      <c r="B1778" s="10" t="s">
        <v>21896</v>
      </c>
      <c r="C1778" s="10"/>
      <c r="D1778" s="10"/>
      <c r="E1778" s="10"/>
    </row>
    <row r="1779" customFormat="false" ht="15" hidden="false" customHeight="false" outlineLevel="0" collapsed="false">
      <c r="A1779" s="12" t="s">
        <v>700</v>
      </c>
      <c r="B1779" s="13" t="s">
        <v>701</v>
      </c>
      <c r="C1779" s="13" t="s">
        <v>702</v>
      </c>
      <c r="D1779" s="13" t="s">
        <v>722</v>
      </c>
      <c r="E1779" s="13" t="s">
        <v>723</v>
      </c>
    </row>
    <row r="1780" customFormat="false" ht="30" hidden="false" customHeight="true" outlineLevel="0" collapsed="false">
      <c r="A1780" s="14" t="s">
        <v>706</v>
      </c>
      <c r="B1780" s="15" t="str">
        <f aca="false">IF(COUNTIFS($D$1783:$D$1784,IF(D1780="","*",D1780),$E$1783:$E$1784,IF(E1780="","*",E1780))=1,INDEX($B:$B,SUMPRODUCT(((D1780="")+($D$1783:$D$1784=D1780)&gt;0)*((E1780="")+($E$1783:$E$1784=E1780)&gt;0)*ROW($B$1783:$B$1784))),IF(COUNTIFS($D$1783:$D$1784,IF(D1780="","*",D1780),$E$1783:$E$1784,IF(E1780="","*",E1780))=0,"Not available",COUNTIFS($D$1783:$D$1784,IF(D1780="","*",D1780),$E$1783:$E$1784,IF(E1780="","*",E1780))&amp;" match, keep choosing"))</f>
        <v>EG-020-BHX</v>
      </c>
      <c r="C1780" s="16" t="n">
        <f aca="false">IF(COUNTIFS($D$1783:$D$1784,IF(D1780="","*",D1780),$E$1783:$E$1784,IF(E1780="","*",E1780))=1,INDEX($C:$C,SUMPRODUCT(((D1780="")+($D$1783:$D$1784=D1780)&gt;0)*((E1780="")+($E$1783:$E$1784=E1780)&gt;0)*ROW($B$1783:$B$1784))),"")</f>
        <v>1.2</v>
      </c>
      <c r="D1780" s="17" t="s">
        <v>6336</v>
      </c>
      <c r="E1780" s="17" t="s">
        <v>21897</v>
      </c>
    </row>
    <row r="1782" customFormat="false" ht="15" hidden="false" customHeight="false" outlineLevel="0" collapsed="false">
      <c r="B1782" s="18" t="s">
        <v>701</v>
      </c>
      <c r="C1782" s="18" t="s">
        <v>702</v>
      </c>
      <c r="D1782" s="18" t="s">
        <v>722</v>
      </c>
      <c r="E1782" s="18" t="s">
        <v>723</v>
      </c>
    </row>
    <row r="1783" customFormat="false" ht="15" hidden="false" customHeight="false" outlineLevel="0" collapsed="false">
      <c r="B1783" s="19" t="s">
        <v>21898</v>
      </c>
      <c r="C1783" s="20" t="n">
        <f aca="false">ROUND(8.65/FX,2)</f>
        <v>1.2</v>
      </c>
      <c r="D1783" s="21" t="s">
        <v>6336</v>
      </c>
      <c r="E1783" s="21" t="s">
        <v>21897</v>
      </c>
    </row>
    <row r="1784" customFormat="false" ht="15" hidden="false" customHeight="false" outlineLevel="0" collapsed="false">
      <c r="B1784" s="19" t="s">
        <v>21899</v>
      </c>
      <c r="C1784" s="20" t="n">
        <f aca="false">ROUND(10.4/FX,2)</f>
        <v>1.44</v>
      </c>
      <c r="D1784" s="21" t="s">
        <v>17591</v>
      </c>
      <c r="E1784" s="21" t="s">
        <v>21900</v>
      </c>
    </row>
    <row r="1787" customFormat="false" ht="61.5" hidden="false" customHeight="true" outlineLevel="0" collapsed="false">
      <c r="A1787" s="9"/>
      <c r="B1787" s="10" t="s">
        <v>21901</v>
      </c>
      <c r="C1787" s="10"/>
      <c r="D1787" s="10"/>
    </row>
    <row r="1788" customFormat="false" ht="15" hidden="false" customHeight="false" outlineLevel="0" collapsed="false">
      <c r="B1788" s="18" t="s">
        <v>701</v>
      </c>
      <c r="C1788" s="18" t="s">
        <v>702</v>
      </c>
      <c r="D1788" s="18" t="s">
        <v>5610</v>
      </c>
    </row>
    <row r="1789" customFormat="false" ht="15" hidden="false" customHeight="false" outlineLevel="0" collapsed="false">
      <c r="B1789" s="19" t="s">
        <v>21902</v>
      </c>
      <c r="C1789" s="20" t="n">
        <f aca="false">ROUND(58.5/FX,2)</f>
        <v>8.13</v>
      </c>
      <c r="D1789" s="22" t="s">
        <v>5612</v>
      </c>
    </row>
    <row r="1792" customFormat="false" ht="61.5" hidden="false" customHeight="true" outlineLevel="0" collapsed="false">
      <c r="A1792" s="9"/>
      <c r="B1792" s="10" t="s">
        <v>21903</v>
      </c>
      <c r="C1792" s="10"/>
      <c r="D1792" s="10"/>
      <c r="E1792" s="10"/>
      <c r="F1792" s="10"/>
    </row>
    <row r="1793" customFormat="false" ht="15" hidden="false" customHeight="false" outlineLevel="0" collapsed="false">
      <c r="A1793" s="12" t="s">
        <v>700</v>
      </c>
      <c r="B1793" s="13" t="s">
        <v>701</v>
      </c>
      <c r="C1793" s="13" t="s">
        <v>702</v>
      </c>
      <c r="D1793" s="13" t="s">
        <v>722</v>
      </c>
      <c r="E1793" s="13" t="s">
        <v>723</v>
      </c>
      <c r="F1793" s="13" t="s">
        <v>7711</v>
      </c>
    </row>
    <row r="1794" customFormat="false" ht="30" hidden="false" customHeight="true" outlineLevel="0" collapsed="false">
      <c r="A1794" s="14" t="s">
        <v>706</v>
      </c>
      <c r="B1794" s="15" t="str">
        <f aca="false">IF(COUNTIFS($D$1797:$D$1808,IF(D1794="","*",D1794),$E$1797:$E$1808,IF(E1794="","*",E1794),$F$1797:$F$1808,IF(F1794="","*",F1794))=1,INDEX($B:$B,SUMPRODUCT(((D1794="")+($D$1797:$D$1808=D1794)&gt;0)*((E1794="")+($E$1797:$E$1808=E1794)&gt;0)*((F1794="")+($F$1797:$F$1808=F1794)&gt;0)*ROW($B$1797:$B$1808))),IF(COUNTIFS($D$1797:$D$1808,IF(D1794="","*",D1794),$E$1797:$E$1808,IF(E1794="","*",E1794),$F$1797:$F$1808,IF(F1794="","*",F1794))=0,"Not available",COUNTIFS($D$1797:$D$1808,IF(D1794="","*",D1794),$E$1797:$E$1808,IF(E1794="","*",E1794),$F$1797:$F$1808,IF(F1794="","*",F1794))&amp;" match, keep choosing"))</f>
        <v>EG-044-14-BK-AK</v>
      </c>
      <c r="C1794" s="16" t="n">
        <f aca="false">IF(COUNTIFS($D$1797:$D$1808,IF(D1794="","*",D1794),$E$1797:$E$1808,IF(E1794="","*",E1794),$F$1797:$F$1808,IF(F1794="","*",F1794))=1,INDEX($C:$C,SUMPRODUCT(((D1794="")+($D$1797:$D$1808=D1794)&gt;0)*((E1794="")+($E$1797:$E$1808=E1794)&gt;0)*((F1794="")+($F$1797:$F$1808=F1794)&gt;0)*ROW($B$1797:$B$1808))),"")</f>
        <v>1.53</v>
      </c>
      <c r="D1794" s="17" t="s">
        <v>724</v>
      </c>
      <c r="E1794" s="17" t="s">
        <v>7941</v>
      </c>
      <c r="F1794" s="17" t="s">
        <v>4721</v>
      </c>
    </row>
    <row r="1796" customFormat="false" ht="15" hidden="false" customHeight="false" outlineLevel="0" collapsed="false">
      <c r="B1796" s="18" t="s">
        <v>701</v>
      </c>
      <c r="C1796" s="18" t="s">
        <v>702</v>
      </c>
      <c r="D1796" s="18" t="s">
        <v>722</v>
      </c>
      <c r="E1796" s="18" t="s">
        <v>723</v>
      </c>
      <c r="F1796" s="18" t="s">
        <v>7711</v>
      </c>
    </row>
    <row r="1797" customFormat="false" ht="15" hidden="false" customHeight="false" outlineLevel="0" collapsed="false">
      <c r="B1797" s="19" t="s">
        <v>21904</v>
      </c>
      <c r="C1797" s="20" t="n">
        <f aca="false">ROUND(11/FX,2)</f>
        <v>1.53</v>
      </c>
      <c r="D1797" s="21" t="s">
        <v>724</v>
      </c>
      <c r="E1797" s="21" t="s">
        <v>7941</v>
      </c>
      <c r="F1797" s="21" t="s">
        <v>4721</v>
      </c>
    </row>
    <row r="1798" customFormat="false" ht="15" hidden="false" customHeight="false" outlineLevel="0" collapsed="false">
      <c r="B1798" s="19" t="s">
        <v>21905</v>
      </c>
      <c r="C1798" s="20" t="n">
        <f aca="false">ROUND(11/FX,2)</f>
        <v>1.53</v>
      </c>
      <c r="D1798" s="21" t="s">
        <v>6549</v>
      </c>
      <c r="E1798" s="21" t="s">
        <v>7941</v>
      </c>
      <c r="F1798" s="21" t="s">
        <v>4721</v>
      </c>
    </row>
    <row r="1799" customFormat="false" ht="15" hidden="false" customHeight="false" outlineLevel="0" collapsed="false">
      <c r="B1799" s="19" t="s">
        <v>21906</v>
      </c>
      <c r="C1799" s="20" t="n">
        <f aca="false">ROUND(7/FX,2)</f>
        <v>0.97</v>
      </c>
      <c r="D1799" s="21" t="s">
        <v>724</v>
      </c>
      <c r="E1799" s="21" t="s">
        <v>7941</v>
      </c>
      <c r="F1799" s="21" t="s">
        <v>789</v>
      </c>
    </row>
    <row r="1800" customFormat="false" ht="15" hidden="false" customHeight="false" outlineLevel="0" collapsed="false">
      <c r="B1800" s="19" t="s">
        <v>21907</v>
      </c>
      <c r="C1800" s="20" t="n">
        <f aca="false">ROUND(7/FX,2)</f>
        <v>0.97</v>
      </c>
      <c r="D1800" s="21" t="s">
        <v>6549</v>
      </c>
      <c r="E1800" s="21" t="s">
        <v>7941</v>
      </c>
      <c r="F1800" s="21" t="s">
        <v>789</v>
      </c>
    </row>
    <row r="1801" customFormat="false" ht="15" hidden="false" customHeight="false" outlineLevel="0" collapsed="false">
      <c r="B1801" s="19" t="s">
        <v>21908</v>
      </c>
      <c r="C1801" s="20" t="n">
        <f aca="false">ROUND(7/FX,2)</f>
        <v>0.97</v>
      </c>
      <c r="D1801" s="21" t="s">
        <v>6549</v>
      </c>
      <c r="E1801" s="21" t="s">
        <v>7941</v>
      </c>
      <c r="F1801" s="21" t="s">
        <v>716</v>
      </c>
    </row>
    <row r="1802" customFormat="false" ht="15" hidden="false" customHeight="false" outlineLevel="0" collapsed="false">
      <c r="B1802" s="19" t="s">
        <v>21909</v>
      </c>
      <c r="C1802" s="20" t="n">
        <f aca="false">ROUND(7/FX,2)</f>
        <v>0.97</v>
      </c>
      <c r="D1802" s="21" t="s">
        <v>724</v>
      </c>
      <c r="E1802" s="21" t="s">
        <v>7941</v>
      </c>
      <c r="F1802" s="21" t="s">
        <v>6740</v>
      </c>
    </row>
    <row r="1803" customFormat="false" ht="15" hidden="false" customHeight="false" outlineLevel="0" collapsed="false">
      <c r="B1803" s="19" t="s">
        <v>21910</v>
      </c>
      <c r="C1803" s="20" t="n">
        <f aca="false">ROUND(7/FX,2)</f>
        <v>0.97</v>
      </c>
      <c r="D1803" s="21" t="s">
        <v>6549</v>
      </c>
      <c r="E1803" s="21" t="s">
        <v>7941</v>
      </c>
      <c r="F1803" s="21" t="s">
        <v>6740</v>
      </c>
    </row>
    <row r="1804" customFormat="false" ht="15" hidden="false" customHeight="false" outlineLevel="0" collapsed="false">
      <c r="B1804" s="19" t="s">
        <v>21911</v>
      </c>
      <c r="C1804" s="20" t="n">
        <f aca="false">ROUND(7/FX,2)</f>
        <v>0.97</v>
      </c>
      <c r="D1804" s="21" t="s">
        <v>724</v>
      </c>
      <c r="E1804" s="21" t="s">
        <v>7941</v>
      </c>
      <c r="F1804" s="21" t="s">
        <v>847</v>
      </c>
    </row>
    <row r="1805" customFormat="false" ht="15" hidden="false" customHeight="false" outlineLevel="0" collapsed="false">
      <c r="B1805" s="19" t="s">
        <v>21912</v>
      </c>
      <c r="C1805" s="20" t="n">
        <f aca="false">ROUND(7/FX,2)</f>
        <v>0.97</v>
      </c>
      <c r="D1805" s="21" t="s">
        <v>7884</v>
      </c>
      <c r="E1805" s="21" t="s">
        <v>21913</v>
      </c>
      <c r="F1805" s="21" t="s">
        <v>847</v>
      </c>
    </row>
    <row r="1806" customFormat="false" ht="15" hidden="false" customHeight="false" outlineLevel="0" collapsed="false">
      <c r="B1806" s="19" t="s">
        <v>21914</v>
      </c>
      <c r="C1806" s="20" t="n">
        <f aca="false">ROUND(7/FX,2)</f>
        <v>0.97</v>
      </c>
      <c r="D1806" s="21" t="s">
        <v>7884</v>
      </c>
      <c r="E1806" s="21" t="s">
        <v>21915</v>
      </c>
      <c r="F1806" s="21" t="s">
        <v>847</v>
      </c>
    </row>
    <row r="1807" customFormat="false" ht="15" hidden="false" customHeight="false" outlineLevel="0" collapsed="false">
      <c r="B1807" s="19" t="s">
        <v>21916</v>
      </c>
      <c r="C1807" s="20" t="n">
        <f aca="false">ROUND(7/FX,2)</f>
        <v>0.97</v>
      </c>
      <c r="D1807" s="21" t="s">
        <v>6549</v>
      </c>
      <c r="E1807" s="21" t="s">
        <v>7941</v>
      </c>
      <c r="F1807" s="21" t="s">
        <v>847</v>
      </c>
    </row>
    <row r="1808" customFormat="false" ht="15" hidden="false" customHeight="false" outlineLevel="0" collapsed="false">
      <c r="B1808" s="19" t="s">
        <v>21917</v>
      </c>
      <c r="C1808" s="20" t="n">
        <f aca="false">ROUND(7/FX,2)</f>
        <v>0.97</v>
      </c>
      <c r="D1808" s="21" t="s">
        <v>6549</v>
      </c>
      <c r="E1808" s="21" t="s">
        <v>7939</v>
      </c>
      <c r="F1808" s="21" t="s">
        <v>847</v>
      </c>
    </row>
    <row r="1811" customFormat="false" ht="61.5" hidden="false" customHeight="true" outlineLevel="0" collapsed="false">
      <c r="A1811" s="9"/>
      <c r="B1811" s="10" t="s">
        <v>21918</v>
      </c>
      <c r="C1811" s="10"/>
      <c r="D1811" s="10"/>
      <c r="E1811" s="10"/>
    </row>
    <row r="1812" customFormat="false" ht="15" hidden="false" customHeight="true" outlineLevel="0" collapsed="false">
      <c r="B1812" s="11" t="s">
        <v>21919</v>
      </c>
      <c r="C1812" s="11"/>
      <c r="D1812" s="11"/>
      <c r="E1812" s="11"/>
    </row>
    <row r="1813" customFormat="false" ht="15" hidden="false" customHeight="false" outlineLevel="0" collapsed="false">
      <c r="A1813" s="12" t="s">
        <v>700</v>
      </c>
      <c r="B1813" s="13" t="s">
        <v>701</v>
      </c>
      <c r="C1813" s="13" t="s">
        <v>702</v>
      </c>
      <c r="D1813" s="13" t="s">
        <v>6328</v>
      </c>
      <c r="E1813" s="13" t="s">
        <v>7763</v>
      </c>
    </row>
    <row r="1814" customFormat="false" ht="30" hidden="false" customHeight="true" outlineLevel="0" collapsed="false">
      <c r="A1814" s="14" t="s">
        <v>706</v>
      </c>
      <c r="B1814" s="15" t="str">
        <f aca="false">IF(COUNTIFS($D$1817:$D$1818,IF(D1814="","*",D1814),$E$1817:$E$1818,IF(E1814="","*",E1814))=1,INDEX($B:$B,SUMPRODUCT(((D1814="")+($D$1817:$D$1818=D1814)&gt;0)*((E1814="")+($E$1817:$E$1818=E1814)&gt;0)*ROW($B$1817:$B$1818))),IF(COUNTIFS($D$1817:$D$1818,IF(D1814="","*",D1814),$E$1817:$E$1818,IF(E1814="","*",E1814))=0,"Not available",COUNTIFS($D$1817:$D$1818,IF(D1814="","*",D1814),$E$1817:$E$1818,IF(E1814="","*",E1814))&amp;" match, keep choosing"))</f>
        <v>EG-071-AK-GD25</v>
      </c>
      <c r="C1814" s="16" t="n">
        <f aca="false">IF(COUNTIFS($D$1817:$D$1818,IF(D1814="","*",D1814),$E$1817:$E$1818,IF(E1814="","*",E1814))=1,INDEX($C:$C,SUMPRODUCT(((D1814="")+($D$1817:$D$1818=D1814)&gt;0)*((E1814="")+($E$1817:$E$1818=E1814)&gt;0)*ROW($B$1817:$B$1818))),"")</f>
        <v>5.6</v>
      </c>
      <c r="D1814" s="17" t="s">
        <v>7941</v>
      </c>
      <c r="E1814" s="17" t="s">
        <v>3317</v>
      </c>
    </row>
    <row r="1816" customFormat="false" ht="15" hidden="false" customHeight="false" outlineLevel="0" collapsed="false">
      <c r="B1816" s="18" t="s">
        <v>701</v>
      </c>
      <c r="C1816" s="18" t="s">
        <v>702</v>
      </c>
      <c r="D1816" s="18" t="s">
        <v>6328</v>
      </c>
      <c r="E1816" s="18" t="s">
        <v>7763</v>
      </c>
    </row>
    <row r="1817" customFormat="false" ht="15" hidden="false" customHeight="false" outlineLevel="0" collapsed="false">
      <c r="B1817" s="19" t="s">
        <v>21920</v>
      </c>
      <c r="C1817" s="20" t="n">
        <f aca="false">ROUND(40.3/FX,2)</f>
        <v>5.6</v>
      </c>
      <c r="D1817" s="21" t="s">
        <v>7941</v>
      </c>
      <c r="E1817" s="21" t="s">
        <v>3317</v>
      </c>
    </row>
    <row r="1818" customFormat="false" ht="15" hidden="false" customHeight="false" outlineLevel="0" collapsed="false">
      <c r="B1818" s="19" t="s">
        <v>21921</v>
      </c>
      <c r="C1818" s="20" t="n">
        <f aca="false">ROUND(40.3/FX,2)</f>
        <v>5.6</v>
      </c>
      <c r="D1818" s="21" t="s">
        <v>7939</v>
      </c>
      <c r="E1818" s="21" t="s">
        <v>784</v>
      </c>
    </row>
    <row r="1821" customFormat="false" ht="61.5" hidden="false" customHeight="true" outlineLevel="0" collapsed="false">
      <c r="A1821" s="9"/>
      <c r="B1821" s="10" t="s">
        <v>21922</v>
      </c>
      <c r="C1821" s="10"/>
      <c r="D1821" s="10"/>
    </row>
    <row r="1822" customFormat="false" ht="15" hidden="false" customHeight="false" outlineLevel="0" collapsed="false">
      <c r="B1822" s="18" t="s">
        <v>701</v>
      </c>
      <c r="C1822" s="18" t="s">
        <v>702</v>
      </c>
      <c r="D1822" s="18" t="s">
        <v>5610</v>
      </c>
    </row>
    <row r="1823" customFormat="false" ht="15" hidden="false" customHeight="false" outlineLevel="0" collapsed="false">
      <c r="B1823" s="19" t="s">
        <v>21923</v>
      </c>
      <c r="C1823" s="20" t="n">
        <f aca="false">ROUND(88.27/FX,2)</f>
        <v>12.26</v>
      </c>
      <c r="D1823" s="22" t="s">
        <v>5612</v>
      </c>
    </row>
    <row r="1826" customFormat="false" ht="61.5" hidden="false" customHeight="true" outlineLevel="0" collapsed="false">
      <c r="A1826" s="9"/>
      <c r="B1826" s="10" t="s">
        <v>21924</v>
      </c>
      <c r="C1826" s="10"/>
      <c r="D1826" s="10"/>
      <c r="E1826" s="10"/>
    </row>
    <row r="1827" customFormat="false" ht="15" hidden="false" customHeight="true" outlineLevel="0" collapsed="false">
      <c r="B1827" s="11" t="s">
        <v>21925</v>
      </c>
      <c r="C1827" s="11"/>
      <c r="D1827" s="11"/>
      <c r="E1827" s="11"/>
    </row>
    <row r="1828" customFormat="false" ht="15" hidden="false" customHeight="false" outlineLevel="0" collapsed="false">
      <c r="A1828" s="12" t="s">
        <v>700</v>
      </c>
      <c r="B1828" s="13" t="s">
        <v>701</v>
      </c>
      <c r="C1828" s="13" t="s">
        <v>702</v>
      </c>
      <c r="D1828" s="13" t="s">
        <v>723</v>
      </c>
      <c r="E1828" s="13" t="s">
        <v>6523</v>
      </c>
    </row>
    <row r="1829" customFormat="false" ht="30" hidden="false" customHeight="true" outlineLevel="0" collapsed="false">
      <c r="A1829" s="14" t="s">
        <v>706</v>
      </c>
      <c r="B1829" s="15" t="str">
        <f aca="false">IF(COUNTIFS($D$1832:$D$1840,IF(D1829="","*",D1829),$E$1832:$E$1840,IF(E1829="","*",E1829))=1,INDEX($B:$B,SUMPRODUCT(((D1829="")+($D$1832:$D$1840=D1829)&gt;0)*((E1829="")+($E$1832:$E$1840=E1829)&gt;0)*ROW($B$1832:$B$1840))),IF(COUNTIFS($D$1832:$D$1840,IF(D1829="","*",D1829),$E$1832:$E$1840,IF(E1829="","*",E1829))=0,"Not available",COUNTIFS($D$1832:$D$1840,IF(D1829="","*",D1829),$E$1832:$E$1840,IF(E1829="","*",E1829))&amp;" match, keep choosing"))</f>
        <v>EG-026-20x20x1500-1M-BO-ZCT</v>
      </c>
      <c r="C1829" s="16" t="n">
        <f aca="false">IF(COUNTIFS($D$1832:$D$1840,IF(D1829="","*",D1829),$E$1832:$E$1840,IF(E1829="","*",E1829))=1,INDEX($C:$C,SUMPRODUCT(((D1829="")+($D$1832:$D$1840=D1829)&gt;0)*((E1829="")+($E$1832:$E$1840=E1829)&gt;0)*ROW($B$1832:$B$1840))),"")</f>
        <v>13.19</v>
      </c>
      <c r="D1829" s="17" t="s">
        <v>21926</v>
      </c>
      <c r="E1829" s="17" t="s">
        <v>21927</v>
      </c>
    </row>
    <row r="1831" customFormat="false" ht="15" hidden="false" customHeight="false" outlineLevel="0" collapsed="false">
      <c r="B1831" s="18" t="s">
        <v>701</v>
      </c>
      <c r="C1831" s="18" t="s">
        <v>702</v>
      </c>
      <c r="D1831" s="18" t="s">
        <v>723</v>
      </c>
      <c r="E1831" s="18" t="s">
        <v>6523</v>
      </c>
    </row>
    <row r="1832" customFormat="false" ht="28.35" hidden="false" customHeight="false" outlineLevel="0" collapsed="false">
      <c r="B1832" s="19" t="s">
        <v>21928</v>
      </c>
      <c r="C1832" s="20" t="n">
        <f aca="false">ROUND(95/FX,2)</f>
        <v>13.19</v>
      </c>
      <c r="D1832" s="21" t="s">
        <v>21926</v>
      </c>
      <c r="E1832" s="21" t="s">
        <v>21927</v>
      </c>
    </row>
    <row r="1833" customFormat="false" ht="28.35" hidden="false" customHeight="false" outlineLevel="0" collapsed="false">
      <c r="B1833" s="19" t="s">
        <v>21929</v>
      </c>
      <c r="C1833" s="20" t="n">
        <f aca="false">ROUND(160/FX,2)</f>
        <v>22.22</v>
      </c>
      <c r="D1833" s="21" t="s">
        <v>21930</v>
      </c>
      <c r="E1833" s="21" t="s">
        <v>21931</v>
      </c>
    </row>
    <row r="1834" customFormat="false" ht="28.35" hidden="false" customHeight="false" outlineLevel="0" collapsed="false">
      <c r="B1834" s="19" t="s">
        <v>21932</v>
      </c>
      <c r="C1834" s="20" t="n">
        <f aca="false">ROUND(160/FX,2)</f>
        <v>22.22</v>
      </c>
      <c r="D1834" s="21" t="s">
        <v>21933</v>
      </c>
      <c r="E1834" s="21" t="s">
        <v>21931</v>
      </c>
    </row>
    <row r="1835" customFormat="false" ht="28.35" hidden="false" customHeight="false" outlineLevel="0" collapsed="false">
      <c r="B1835" s="19" t="s">
        <v>21934</v>
      </c>
      <c r="C1835" s="20" t="n">
        <f aca="false">ROUND(48.1/FX,2)</f>
        <v>6.68</v>
      </c>
      <c r="D1835" s="21" t="s">
        <v>21935</v>
      </c>
      <c r="E1835" s="21" t="s">
        <v>21936</v>
      </c>
    </row>
    <row r="1836" customFormat="false" ht="28.35" hidden="false" customHeight="false" outlineLevel="0" collapsed="false">
      <c r="B1836" s="19" t="s">
        <v>21937</v>
      </c>
      <c r="C1836" s="20" t="n">
        <f aca="false">ROUND(40.3/FX,2)</f>
        <v>5.6</v>
      </c>
      <c r="D1836" s="21" t="s">
        <v>21930</v>
      </c>
      <c r="E1836" s="21" t="s">
        <v>21936</v>
      </c>
    </row>
    <row r="1837" customFormat="false" ht="28.35" hidden="false" customHeight="false" outlineLevel="0" collapsed="false">
      <c r="B1837" s="19" t="s">
        <v>21938</v>
      </c>
      <c r="C1837" s="20" t="n">
        <f aca="false">ROUND(67/FX,2)</f>
        <v>9.31</v>
      </c>
      <c r="D1837" s="21" t="s">
        <v>21933</v>
      </c>
      <c r="E1837" s="21" t="s">
        <v>21936</v>
      </c>
    </row>
    <row r="1838" customFormat="false" ht="28.35" hidden="false" customHeight="false" outlineLevel="0" collapsed="false">
      <c r="B1838" s="19" t="s">
        <v>21939</v>
      </c>
      <c r="C1838" s="20" t="n">
        <f aca="false">ROUND(84.5/FX,2)</f>
        <v>11.74</v>
      </c>
      <c r="D1838" s="21" t="s">
        <v>21940</v>
      </c>
      <c r="E1838" s="21" t="s">
        <v>21936</v>
      </c>
    </row>
    <row r="1839" customFormat="false" ht="28.35" hidden="false" customHeight="false" outlineLevel="0" collapsed="false">
      <c r="B1839" s="19" t="s">
        <v>21941</v>
      </c>
      <c r="C1839" s="20" t="n">
        <f aca="false">ROUND(42.25/FX,2)</f>
        <v>5.87</v>
      </c>
      <c r="D1839" s="21" t="s">
        <v>21942</v>
      </c>
      <c r="E1839" s="21" t="s">
        <v>21936</v>
      </c>
    </row>
    <row r="1840" customFormat="false" ht="28.35" hidden="false" customHeight="false" outlineLevel="0" collapsed="false">
      <c r="B1840" s="19" t="s">
        <v>21943</v>
      </c>
      <c r="C1840" s="20" t="n">
        <f aca="false">ROUND(58.5/FX,2)</f>
        <v>8.13</v>
      </c>
      <c r="D1840" s="21" t="s">
        <v>21944</v>
      </c>
      <c r="E1840" s="21" t="s">
        <v>21936</v>
      </c>
    </row>
    <row r="1843" customFormat="false" ht="61.5" hidden="false" customHeight="true" outlineLevel="0" collapsed="false">
      <c r="A1843" s="9"/>
      <c r="B1843" s="10" t="s">
        <v>21945</v>
      </c>
      <c r="C1843" s="10"/>
      <c r="D1843" s="10"/>
      <c r="E1843" s="10"/>
      <c r="F1843" s="10"/>
    </row>
    <row r="1844" customFormat="false" ht="15" hidden="false" customHeight="false" outlineLevel="0" collapsed="false">
      <c r="A1844" s="12" t="s">
        <v>700</v>
      </c>
      <c r="B1844" s="13" t="s">
        <v>701</v>
      </c>
      <c r="C1844" s="13" t="s">
        <v>702</v>
      </c>
      <c r="D1844" s="13" t="s">
        <v>722</v>
      </c>
      <c r="E1844" s="13" t="s">
        <v>723</v>
      </c>
      <c r="F1844" s="13" t="s">
        <v>13701</v>
      </c>
    </row>
    <row r="1845" customFormat="false" ht="30" hidden="false" customHeight="true" outlineLevel="0" collapsed="false">
      <c r="A1845" s="14" t="s">
        <v>706</v>
      </c>
      <c r="B1845" s="15" t="str">
        <f aca="false">IF(COUNTIFS($D$1848:$D$1895,IF(D1845="","*",D1845),$E$1848:$E$1895,IF(E1845="","*",E1845),$F$1848:$F$1895,IF(F1845="","*",F1845))=1,INDEX($B:$B,SUMPRODUCT(((D1845="")+($D$1848:$D$1895=D1845)&gt;0)*((E1845="")+($E$1848:$E$1895=E1845)&gt;0)*((F1845="")+($F$1848:$F$1895=F1845)&gt;0)*ROW($B$1848:$B$1895))),IF(COUNTIFS($D$1848:$D$1895,IF(D1845="","*",D1845),$E$1848:$E$1895,IF(E1845="","*",E1845),$F$1848:$F$1895,IF(F1845="","*",F1845))=0,"Not available",COUNTIFS($D$1848:$D$1895,IF(D1845="","*",D1845),$E$1848:$E$1895,IF(E1845="","*",E1845),$F$1848:$F$1895,IF(F1845="","*",F1845))&amp;" match, keep choosing"))</f>
        <v>EG-052-M5x34-SBLS</v>
      </c>
      <c r="C1845" s="16" t="n">
        <f aca="false">IF(COUNTIFS($D$1848:$D$1895,IF(D1845="","*",D1845),$E$1848:$E$1895,IF(E1845="","*",E1845),$F$1848:$F$1895,IF(F1845="","*",F1845))=1,INDEX($C:$C,SUMPRODUCT(((D1845="")+($D$1848:$D$1895=D1845)&gt;0)*((E1845="")+($E$1848:$E$1895=E1845)&gt;0)*((F1845="")+($F$1848:$F$1895=F1845)&gt;0)*ROW($B$1848:$B$1895))),"")</f>
        <v>0.26</v>
      </c>
      <c r="D1845" s="17" t="s">
        <v>6336</v>
      </c>
      <c r="E1845" s="17" t="s">
        <v>21946</v>
      </c>
      <c r="F1845" s="17" t="s">
        <v>21947</v>
      </c>
    </row>
    <row r="1847" customFormat="false" ht="15" hidden="false" customHeight="false" outlineLevel="0" collapsed="false">
      <c r="B1847" s="18" t="s">
        <v>701</v>
      </c>
      <c r="C1847" s="18" t="s">
        <v>702</v>
      </c>
      <c r="D1847" s="18" t="s">
        <v>722</v>
      </c>
      <c r="E1847" s="18" t="s">
        <v>723</v>
      </c>
      <c r="F1847" s="18" t="s">
        <v>13701</v>
      </c>
    </row>
    <row r="1848" customFormat="false" ht="15" hidden="false" customHeight="false" outlineLevel="0" collapsed="false">
      <c r="B1848" s="19" t="s">
        <v>21948</v>
      </c>
      <c r="C1848" s="20" t="n">
        <f aca="false">ROUND(1.85/FX,2)</f>
        <v>0.26</v>
      </c>
      <c r="D1848" s="21" t="s">
        <v>6336</v>
      </c>
      <c r="E1848" s="21" t="s">
        <v>21946</v>
      </c>
      <c r="F1848" s="21" t="s">
        <v>21947</v>
      </c>
    </row>
    <row r="1849" customFormat="false" ht="15" hidden="false" customHeight="false" outlineLevel="0" collapsed="false">
      <c r="B1849" s="19" t="s">
        <v>21949</v>
      </c>
      <c r="C1849" s="20" t="n">
        <f aca="false">ROUND(1.85/FX,2)</f>
        <v>0.26</v>
      </c>
      <c r="D1849" s="21" t="s">
        <v>6336</v>
      </c>
      <c r="E1849" s="21" t="s">
        <v>21946</v>
      </c>
      <c r="F1849" s="21" t="s">
        <v>21950</v>
      </c>
    </row>
    <row r="1850" customFormat="false" ht="28.35" hidden="false" customHeight="false" outlineLevel="0" collapsed="false">
      <c r="B1850" s="19" t="s">
        <v>21951</v>
      </c>
      <c r="C1850" s="20" t="n">
        <f aca="false">ROUND(7.17/FX,2)</f>
        <v>1</v>
      </c>
      <c r="D1850" s="21" t="s">
        <v>751</v>
      </c>
      <c r="E1850" s="21" t="s">
        <v>21952</v>
      </c>
      <c r="F1850" s="21" t="s">
        <v>6336</v>
      </c>
    </row>
    <row r="1851" customFormat="false" ht="28.35" hidden="false" customHeight="false" outlineLevel="0" collapsed="false">
      <c r="B1851" s="19" t="s">
        <v>21953</v>
      </c>
      <c r="C1851" s="20" t="n">
        <f aca="false">ROUND(7.15/FX,2)</f>
        <v>0.99</v>
      </c>
      <c r="D1851" s="21" t="s">
        <v>751</v>
      </c>
      <c r="E1851" s="21" t="s">
        <v>21954</v>
      </c>
      <c r="F1851" s="21" t="s">
        <v>6336</v>
      </c>
    </row>
    <row r="1852" customFormat="false" ht="28.35" hidden="false" customHeight="false" outlineLevel="0" collapsed="false">
      <c r="B1852" s="19" t="s">
        <v>21955</v>
      </c>
      <c r="C1852" s="20" t="n">
        <f aca="false">ROUND(7.8/FX,2)</f>
        <v>1.08</v>
      </c>
      <c r="D1852" s="21" t="s">
        <v>751</v>
      </c>
      <c r="E1852" s="21" t="s">
        <v>21956</v>
      </c>
      <c r="F1852" s="21" t="s">
        <v>6336</v>
      </c>
    </row>
    <row r="1853" customFormat="false" ht="28.35" hidden="false" customHeight="false" outlineLevel="0" collapsed="false">
      <c r="B1853" s="19" t="s">
        <v>21957</v>
      </c>
      <c r="C1853" s="20" t="n">
        <f aca="false">ROUND(13.98/FX,2)</f>
        <v>1.94</v>
      </c>
      <c r="D1853" s="21" t="s">
        <v>751</v>
      </c>
      <c r="E1853" s="21" t="s">
        <v>21958</v>
      </c>
      <c r="F1853" s="21" t="s">
        <v>6336</v>
      </c>
    </row>
    <row r="1854" customFormat="false" ht="28.35" hidden="false" customHeight="false" outlineLevel="0" collapsed="false">
      <c r="B1854" s="19" t="s">
        <v>21959</v>
      </c>
      <c r="C1854" s="20" t="n">
        <f aca="false">ROUND(11.05/FX,2)</f>
        <v>1.53</v>
      </c>
      <c r="D1854" s="21" t="s">
        <v>751</v>
      </c>
      <c r="E1854" s="21" t="s">
        <v>21960</v>
      </c>
      <c r="F1854" s="21" t="s">
        <v>6336</v>
      </c>
    </row>
    <row r="1855" customFormat="false" ht="28.35" hidden="false" customHeight="false" outlineLevel="0" collapsed="false">
      <c r="B1855" s="19" t="s">
        <v>21961</v>
      </c>
      <c r="C1855" s="20" t="n">
        <f aca="false">ROUND(7.15/FX,2)</f>
        <v>0.99</v>
      </c>
      <c r="D1855" s="21" t="s">
        <v>751</v>
      </c>
      <c r="E1855" s="21" t="s">
        <v>21962</v>
      </c>
      <c r="F1855" s="21" t="s">
        <v>6336</v>
      </c>
    </row>
    <row r="1856" customFormat="false" ht="28.35" hidden="false" customHeight="false" outlineLevel="0" collapsed="false">
      <c r="B1856" s="19" t="s">
        <v>21963</v>
      </c>
      <c r="C1856" s="20" t="n">
        <f aca="false">ROUND(5.59/FX,2)</f>
        <v>0.78</v>
      </c>
      <c r="D1856" s="21" t="s">
        <v>751</v>
      </c>
      <c r="E1856" s="21" t="s">
        <v>21964</v>
      </c>
      <c r="F1856" s="21" t="s">
        <v>6336</v>
      </c>
    </row>
    <row r="1857" customFormat="false" ht="28.35" hidden="false" customHeight="false" outlineLevel="0" collapsed="false">
      <c r="B1857" s="19" t="s">
        <v>21965</v>
      </c>
      <c r="C1857" s="20" t="n">
        <f aca="false">ROUND(8.84/FX,2)</f>
        <v>1.23</v>
      </c>
      <c r="D1857" s="21" t="s">
        <v>751</v>
      </c>
      <c r="E1857" s="21" t="s">
        <v>21966</v>
      </c>
      <c r="F1857" s="21" t="s">
        <v>6336</v>
      </c>
    </row>
    <row r="1858" customFormat="false" ht="28.35" hidden="false" customHeight="false" outlineLevel="0" collapsed="false">
      <c r="B1858" s="19" t="s">
        <v>21967</v>
      </c>
      <c r="C1858" s="20" t="n">
        <f aca="false">ROUND(9.1/FX,2)</f>
        <v>1.26</v>
      </c>
      <c r="D1858" s="21" t="s">
        <v>751</v>
      </c>
      <c r="E1858" s="21" t="s">
        <v>21968</v>
      </c>
      <c r="F1858" s="21" t="s">
        <v>6336</v>
      </c>
    </row>
    <row r="1859" customFormat="false" ht="28.35" hidden="false" customHeight="false" outlineLevel="0" collapsed="false">
      <c r="B1859" s="19" t="s">
        <v>21969</v>
      </c>
      <c r="C1859" s="20" t="n">
        <f aca="false">ROUND(5.85/FX,2)</f>
        <v>0.81</v>
      </c>
      <c r="D1859" s="21" t="s">
        <v>751</v>
      </c>
      <c r="E1859" s="21" t="s">
        <v>21970</v>
      </c>
      <c r="F1859" s="21" t="s">
        <v>6336</v>
      </c>
    </row>
    <row r="1860" customFormat="false" ht="28.35" hidden="false" customHeight="false" outlineLevel="0" collapsed="false">
      <c r="B1860" s="19" t="s">
        <v>21971</v>
      </c>
      <c r="C1860" s="20" t="n">
        <f aca="false">ROUND(5.85/FX,2)</f>
        <v>0.81</v>
      </c>
      <c r="D1860" s="21" t="s">
        <v>751</v>
      </c>
      <c r="E1860" s="21" t="s">
        <v>21972</v>
      </c>
      <c r="F1860" s="21" t="s">
        <v>6336</v>
      </c>
    </row>
    <row r="1861" customFormat="false" ht="28.35" hidden="false" customHeight="false" outlineLevel="0" collapsed="false">
      <c r="B1861" s="19" t="s">
        <v>21973</v>
      </c>
      <c r="C1861" s="20" t="n">
        <f aca="false">ROUND(10.4/FX,2)</f>
        <v>1.44</v>
      </c>
      <c r="D1861" s="21" t="s">
        <v>751</v>
      </c>
      <c r="E1861" s="21" t="s">
        <v>21974</v>
      </c>
      <c r="F1861" s="21" t="s">
        <v>6336</v>
      </c>
    </row>
    <row r="1862" customFormat="false" ht="28.35" hidden="false" customHeight="false" outlineLevel="0" collapsed="false">
      <c r="B1862" s="19" t="s">
        <v>21975</v>
      </c>
      <c r="C1862" s="20" t="n">
        <f aca="false">ROUND(9.49/FX,2)</f>
        <v>1.32</v>
      </c>
      <c r="D1862" s="21" t="s">
        <v>751</v>
      </c>
      <c r="E1862" s="21" t="s">
        <v>21976</v>
      </c>
      <c r="F1862" s="21" t="s">
        <v>6336</v>
      </c>
    </row>
    <row r="1863" customFormat="false" ht="28.35" hidden="false" customHeight="false" outlineLevel="0" collapsed="false">
      <c r="B1863" s="19" t="s">
        <v>21977</v>
      </c>
      <c r="C1863" s="20" t="n">
        <f aca="false">ROUND(12.74/FX,2)</f>
        <v>1.77</v>
      </c>
      <c r="D1863" s="21" t="s">
        <v>751</v>
      </c>
      <c r="E1863" s="21" t="s">
        <v>21978</v>
      </c>
      <c r="F1863" s="21" t="s">
        <v>6336</v>
      </c>
    </row>
    <row r="1864" customFormat="false" ht="28.35" hidden="false" customHeight="false" outlineLevel="0" collapsed="false">
      <c r="B1864" s="19" t="s">
        <v>21979</v>
      </c>
      <c r="C1864" s="20" t="n">
        <f aca="false">ROUND(8.47/FX,2)</f>
        <v>1.18</v>
      </c>
      <c r="D1864" s="21" t="s">
        <v>751</v>
      </c>
      <c r="E1864" s="21" t="s">
        <v>21980</v>
      </c>
      <c r="F1864" s="21" t="s">
        <v>6336</v>
      </c>
    </row>
    <row r="1865" customFormat="false" ht="28.35" hidden="false" customHeight="false" outlineLevel="0" collapsed="false">
      <c r="B1865" s="19" t="s">
        <v>21981</v>
      </c>
      <c r="C1865" s="20" t="n">
        <f aca="false">ROUND(10.79/FX,2)</f>
        <v>1.5</v>
      </c>
      <c r="D1865" s="21" t="s">
        <v>751</v>
      </c>
      <c r="E1865" s="21" t="s">
        <v>21982</v>
      </c>
      <c r="F1865" s="21" t="s">
        <v>6336</v>
      </c>
    </row>
    <row r="1866" customFormat="false" ht="28.35" hidden="false" customHeight="false" outlineLevel="0" collapsed="false">
      <c r="B1866" s="19" t="s">
        <v>21983</v>
      </c>
      <c r="C1866" s="20" t="n">
        <f aca="false">ROUND(15.34/FX,2)</f>
        <v>2.13</v>
      </c>
      <c r="D1866" s="21" t="s">
        <v>751</v>
      </c>
      <c r="E1866" s="21" t="s">
        <v>21984</v>
      </c>
      <c r="F1866" s="21" t="s">
        <v>6336</v>
      </c>
    </row>
    <row r="1867" customFormat="false" ht="28.35" hidden="false" customHeight="false" outlineLevel="0" collapsed="false">
      <c r="B1867" s="19" t="s">
        <v>21985</v>
      </c>
      <c r="C1867" s="20" t="n">
        <f aca="false">ROUND(9.1/FX,2)</f>
        <v>1.26</v>
      </c>
      <c r="D1867" s="21" t="s">
        <v>751</v>
      </c>
      <c r="E1867" s="21" t="s">
        <v>21986</v>
      </c>
      <c r="F1867" s="21" t="s">
        <v>6336</v>
      </c>
    </row>
    <row r="1868" customFormat="false" ht="28.35" hidden="false" customHeight="false" outlineLevel="0" collapsed="false">
      <c r="B1868" s="19" t="s">
        <v>21987</v>
      </c>
      <c r="C1868" s="20" t="n">
        <f aca="false">ROUND(9.49/FX,2)</f>
        <v>1.32</v>
      </c>
      <c r="D1868" s="21" t="s">
        <v>751</v>
      </c>
      <c r="E1868" s="21" t="s">
        <v>21988</v>
      </c>
      <c r="F1868" s="21" t="s">
        <v>6336</v>
      </c>
    </row>
    <row r="1869" customFormat="false" ht="28.35" hidden="false" customHeight="false" outlineLevel="0" collapsed="false">
      <c r="B1869" s="19" t="s">
        <v>21989</v>
      </c>
      <c r="C1869" s="20" t="n">
        <f aca="false">ROUND(10.79/FX,2)</f>
        <v>1.5</v>
      </c>
      <c r="D1869" s="21" t="s">
        <v>751</v>
      </c>
      <c r="E1869" s="21" t="s">
        <v>21990</v>
      </c>
      <c r="F1869" s="21" t="s">
        <v>6336</v>
      </c>
    </row>
    <row r="1870" customFormat="false" ht="28.35" hidden="false" customHeight="false" outlineLevel="0" collapsed="false">
      <c r="B1870" s="19" t="s">
        <v>21991</v>
      </c>
      <c r="C1870" s="20" t="n">
        <f aca="false">ROUND(12.74/FX,2)</f>
        <v>1.77</v>
      </c>
      <c r="D1870" s="21" t="s">
        <v>751</v>
      </c>
      <c r="E1870" s="21" t="s">
        <v>21992</v>
      </c>
      <c r="F1870" s="21" t="s">
        <v>6336</v>
      </c>
    </row>
    <row r="1871" customFormat="false" ht="28.35" hidden="false" customHeight="false" outlineLevel="0" collapsed="false">
      <c r="B1871" s="19" t="s">
        <v>21993</v>
      </c>
      <c r="C1871" s="20" t="n">
        <f aca="false">ROUND(7.35/FX,2)</f>
        <v>1.02</v>
      </c>
      <c r="D1871" s="21" t="s">
        <v>751</v>
      </c>
      <c r="E1871" s="21" t="s">
        <v>21994</v>
      </c>
      <c r="F1871" s="21" t="s">
        <v>6336</v>
      </c>
    </row>
    <row r="1872" customFormat="false" ht="28.35" hidden="false" customHeight="false" outlineLevel="0" collapsed="false">
      <c r="B1872" s="19" t="s">
        <v>21995</v>
      </c>
      <c r="C1872" s="20" t="n">
        <f aca="false">ROUND(18.59/FX,2)</f>
        <v>2.58</v>
      </c>
      <c r="D1872" s="21" t="s">
        <v>751</v>
      </c>
      <c r="E1872" s="21" t="s">
        <v>21996</v>
      </c>
      <c r="F1872" s="21" t="s">
        <v>6336</v>
      </c>
    </row>
    <row r="1873" customFormat="false" ht="28.35" hidden="false" customHeight="false" outlineLevel="0" collapsed="false">
      <c r="B1873" s="19" t="s">
        <v>21997</v>
      </c>
      <c r="C1873" s="20" t="n">
        <f aca="false">ROUND(23.14/FX,2)</f>
        <v>3.21</v>
      </c>
      <c r="D1873" s="21" t="s">
        <v>751</v>
      </c>
      <c r="E1873" s="21" t="s">
        <v>21998</v>
      </c>
      <c r="F1873" s="21" t="s">
        <v>6336</v>
      </c>
    </row>
    <row r="1874" customFormat="false" ht="28.35" hidden="false" customHeight="false" outlineLevel="0" collapsed="false">
      <c r="B1874" s="19" t="s">
        <v>21999</v>
      </c>
      <c r="C1874" s="20" t="n">
        <f aca="false">ROUND(25.35/FX,2)</f>
        <v>3.52</v>
      </c>
      <c r="D1874" s="21" t="s">
        <v>751</v>
      </c>
      <c r="E1874" s="21" t="s">
        <v>22000</v>
      </c>
      <c r="F1874" s="21" t="s">
        <v>6336</v>
      </c>
    </row>
    <row r="1875" customFormat="false" ht="28.35" hidden="false" customHeight="false" outlineLevel="0" collapsed="false">
      <c r="B1875" s="19" t="s">
        <v>22001</v>
      </c>
      <c r="C1875" s="20" t="n">
        <f aca="false">ROUND(11.05/FX,2)</f>
        <v>1.53</v>
      </c>
      <c r="D1875" s="21" t="s">
        <v>751</v>
      </c>
      <c r="E1875" s="21" t="s">
        <v>22002</v>
      </c>
      <c r="F1875" s="21" t="s">
        <v>6336</v>
      </c>
    </row>
    <row r="1876" customFormat="false" ht="28.35" hidden="false" customHeight="false" outlineLevel="0" collapsed="false">
      <c r="B1876" s="19" t="s">
        <v>22003</v>
      </c>
      <c r="C1876" s="20" t="n">
        <f aca="false">ROUND(20.54/FX,2)</f>
        <v>2.85</v>
      </c>
      <c r="D1876" s="21" t="s">
        <v>751</v>
      </c>
      <c r="E1876" s="21" t="s">
        <v>22004</v>
      </c>
      <c r="F1876" s="21" t="s">
        <v>6336</v>
      </c>
    </row>
    <row r="1877" customFormat="false" ht="28.35" hidden="false" customHeight="false" outlineLevel="0" collapsed="false">
      <c r="B1877" s="19" t="s">
        <v>22005</v>
      </c>
      <c r="C1877" s="20" t="n">
        <f aca="false">ROUND(20.8/FX,2)</f>
        <v>2.89</v>
      </c>
      <c r="D1877" s="21" t="s">
        <v>751</v>
      </c>
      <c r="E1877" s="21" t="s">
        <v>22006</v>
      </c>
      <c r="F1877" s="21" t="s">
        <v>6336</v>
      </c>
    </row>
    <row r="1878" customFormat="false" ht="28.35" hidden="false" customHeight="false" outlineLevel="0" collapsed="false">
      <c r="B1878" s="19" t="s">
        <v>22007</v>
      </c>
      <c r="C1878" s="20" t="n">
        <f aca="false">ROUND(17.29/FX,2)</f>
        <v>2.4</v>
      </c>
      <c r="D1878" s="21" t="s">
        <v>751</v>
      </c>
      <c r="E1878" s="21" t="s">
        <v>22008</v>
      </c>
      <c r="F1878" s="21" t="s">
        <v>6336</v>
      </c>
    </row>
    <row r="1879" customFormat="false" ht="28.35" hidden="false" customHeight="false" outlineLevel="0" collapsed="false">
      <c r="B1879" s="19" t="s">
        <v>22009</v>
      </c>
      <c r="C1879" s="20" t="n">
        <f aca="false">ROUND(20.54/FX,2)</f>
        <v>2.85</v>
      </c>
      <c r="D1879" s="21" t="s">
        <v>751</v>
      </c>
      <c r="E1879" s="21" t="s">
        <v>22010</v>
      </c>
      <c r="F1879" s="21" t="s">
        <v>6336</v>
      </c>
    </row>
    <row r="1880" customFormat="false" ht="28.35" hidden="false" customHeight="false" outlineLevel="0" collapsed="false">
      <c r="B1880" s="19" t="s">
        <v>22011</v>
      </c>
      <c r="C1880" s="20" t="n">
        <f aca="false">ROUND(33.8/FX,2)</f>
        <v>4.69</v>
      </c>
      <c r="D1880" s="21" t="s">
        <v>751</v>
      </c>
      <c r="E1880" s="21" t="s">
        <v>22012</v>
      </c>
      <c r="F1880" s="21" t="s">
        <v>6336</v>
      </c>
    </row>
    <row r="1881" customFormat="false" ht="28.35" hidden="false" customHeight="false" outlineLevel="0" collapsed="false">
      <c r="B1881" s="19" t="s">
        <v>22013</v>
      </c>
      <c r="C1881" s="20" t="n">
        <f aca="false">ROUND(32.24/FX,2)</f>
        <v>4.48</v>
      </c>
      <c r="D1881" s="21" t="s">
        <v>751</v>
      </c>
      <c r="E1881" s="21" t="s">
        <v>22014</v>
      </c>
      <c r="F1881" s="21" t="s">
        <v>6336</v>
      </c>
    </row>
    <row r="1882" customFormat="false" ht="28.35" hidden="false" customHeight="false" outlineLevel="0" collapsed="false">
      <c r="B1882" s="19" t="s">
        <v>22015</v>
      </c>
      <c r="C1882" s="20" t="n">
        <f aca="false">ROUND(25.74/FX,2)</f>
        <v>3.58</v>
      </c>
      <c r="D1882" s="21" t="s">
        <v>751</v>
      </c>
      <c r="E1882" s="21" t="s">
        <v>22016</v>
      </c>
      <c r="F1882" s="21" t="s">
        <v>6336</v>
      </c>
    </row>
    <row r="1883" customFormat="false" ht="28.35" hidden="false" customHeight="false" outlineLevel="0" collapsed="false">
      <c r="B1883" s="19" t="s">
        <v>22017</v>
      </c>
      <c r="C1883" s="20" t="n">
        <f aca="false">ROUND(36.4/FX,2)</f>
        <v>5.06</v>
      </c>
      <c r="D1883" s="21" t="s">
        <v>751</v>
      </c>
      <c r="E1883" s="21" t="s">
        <v>22018</v>
      </c>
      <c r="F1883" s="21" t="s">
        <v>6336</v>
      </c>
    </row>
    <row r="1884" customFormat="false" ht="28.35" hidden="false" customHeight="false" outlineLevel="0" collapsed="false">
      <c r="B1884" s="19" t="s">
        <v>22019</v>
      </c>
      <c r="C1884" s="20" t="n">
        <f aca="false">ROUND(27.04/FX,2)</f>
        <v>3.76</v>
      </c>
      <c r="D1884" s="21" t="s">
        <v>751</v>
      </c>
      <c r="E1884" s="21" t="s">
        <v>22020</v>
      </c>
      <c r="F1884" s="21" t="s">
        <v>6336</v>
      </c>
    </row>
    <row r="1885" customFormat="false" ht="28.35" hidden="false" customHeight="false" outlineLevel="0" collapsed="false">
      <c r="B1885" s="19" t="s">
        <v>22021</v>
      </c>
      <c r="C1885" s="20" t="n">
        <f aca="false">ROUND(37.44/FX,2)</f>
        <v>5.2</v>
      </c>
      <c r="D1885" s="21" t="s">
        <v>751</v>
      </c>
      <c r="E1885" s="21" t="s">
        <v>22022</v>
      </c>
      <c r="F1885" s="21" t="s">
        <v>6336</v>
      </c>
    </row>
    <row r="1886" customFormat="false" ht="28.35" hidden="false" customHeight="false" outlineLevel="0" collapsed="false">
      <c r="B1886" s="19" t="s">
        <v>22023</v>
      </c>
      <c r="C1886" s="20" t="n">
        <f aca="false">ROUND(43.94/FX,2)</f>
        <v>6.1</v>
      </c>
      <c r="D1886" s="21" t="s">
        <v>751</v>
      </c>
      <c r="E1886" s="21" t="s">
        <v>22024</v>
      </c>
      <c r="F1886" s="21" t="s">
        <v>6336</v>
      </c>
    </row>
    <row r="1887" customFormat="false" ht="28.35" hidden="false" customHeight="false" outlineLevel="0" collapsed="false">
      <c r="B1887" s="19" t="s">
        <v>22025</v>
      </c>
      <c r="C1887" s="20" t="n">
        <f aca="false">ROUND(6.26/FX,2)</f>
        <v>0.87</v>
      </c>
      <c r="D1887" s="21" t="s">
        <v>751</v>
      </c>
      <c r="E1887" s="21" t="s">
        <v>22026</v>
      </c>
      <c r="F1887" s="21" t="s">
        <v>6336</v>
      </c>
    </row>
    <row r="1888" customFormat="false" ht="28.35" hidden="false" customHeight="false" outlineLevel="0" collapsed="false">
      <c r="B1888" s="19" t="s">
        <v>22027</v>
      </c>
      <c r="C1888" s="20" t="n">
        <f aca="false">ROUND(5.2/FX,2)</f>
        <v>0.72</v>
      </c>
      <c r="D1888" s="21" t="s">
        <v>751</v>
      </c>
      <c r="E1888" s="21" t="s">
        <v>22028</v>
      </c>
      <c r="F1888" s="21" t="s">
        <v>6336</v>
      </c>
    </row>
    <row r="1889" customFormat="false" ht="28.35" hidden="false" customHeight="false" outlineLevel="0" collapsed="false">
      <c r="B1889" s="19" t="s">
        <v>22029</v>
      </c>
      <c r="C1889" s="20" t="n">
        <f aca="false">ROUND(8.84/FX,2)</f>
        <v>1.23</v>
      </c>
      <c r="D1889" s="21" t="s">
        <v>751</v>
      </c>
      <c r="E1889" s="21" t="s">
        <v>22030</v>
      </c>
      <c r="F1889" s="21" t="s">
        <v>6336</v>
      </c>
    </row>
    <row r="1890" customFormat="false" ht="28.35" hidden="false" customHeight="false" outlineLevel="0" collapsed="false">
      <c r="B1890" s="19" t="s">
        <v>22031</v>
      </c>
      <c r="C1890" s="20" t="n">
        <f aca="false">ROUND(6.52/FX,2)</f>
        <v>0.91</v>
      </c>
      <c r="D1890" s="21" t="s">
        <v>751</v>
      </c>
      <c r="E1890" s="21" t="s">
        <v>22032</v>
      </c>
      <c r="F1890" s="21" t="s">
        <v>6336</v>
      </c>
    </row>
    <row r="1891" customFormat="false" ht="28.35" hidden="false" customHeight="false" outlineLevel="0" collapsed="false">
      <c r="B1891" s="19" t="s">
        <v>22033</v>
      </c>
      <c r="C1891" s="20" t="n">
        <f aca="false">ROUND(8.84/FX,2)</f>
        <v>1.23</v>
      </c>
      <c r="D1891" s="21" t="s">
        <v>751</v>
      </c>
      <c r="E1891" s="21" t="s">
        <v>22034</v>
      </c>
      <c r="F1891" s="21" t="s">
        <v>6336</v>
      </c>
    </row>
    <row r="1892" customFormat="false" ht="28.35" hidden="false" customHeight="false" outlineLevel="0" collapsed="false">
      <c r="B1892" s="19" t="s">
        <v>22035</v>
      </c>
      <c r="C1892" s="20" t="n">
        <f aca="false">ROUND(7.15/FX,2)</f>
        <v>0.99</v>
      </c>
      <c r="D1892" s="21" t="s">
        <v>18157</v>
      </c>
      <c r="E1892" s="21" t="s">
        <v>21954</v>
      </c>
      <c r="F1892" s="21" t="s">
        <v>6336</v>
      </c>
    </row>
    <row r="1893" customFormat="false" ht="28.35" hidden="false" customHeight="false" outlineLevel="0" collapsed="false">
      <c r="B1893" s="19" t="s">
        <v>22036</v>
      </c>
      <c r="C1893" s="20" t="n">
        <f aca="false">ROUND(6.63/FX,2)</f>
        <v>0.92</v>
      </c>
      <c r="D1893" s="21" t="s">
        <v>18157</v>
      </c>
      <c r="E1893" s="21" t="s">
        <v>22037</v>
      </c>
      <c r="F1893" s="21" t="s">
        <v>6336</v>
      </c>
    </row>
    <row r="1894" customFormat="false" ht="28.35" hidden="false" customHeight="false" outlineLevel="0" collapsed="false">
      <c r="B1894" s="19" t="s">
        <v>22038</v>
      </c>
      <c r="C1894" s="20" t="n">
        <f aca="false">ROUND(9.27/FX,2)</f>
        <v>1.29</v>
      </c>
      <c r="D1894" s="21" t="s">
        <v>18157</v>
      </c>
      <c r="E1894" s="21" t="s">
        <v>22039</v>
      </c>
      <c r="F1894" s="21" t="s">
        <v>6336</v>
      </c>
    </row>
    <row r="1895" customFormat="false" ht="28.35" hidden="false" customHeight="false" outlineLevel="0" collapsed="false">
      <c r="B1895" s="19" t="s">
        <v>22040</v>
      </c>
      <c r="C1895" s="20" t="n">
        <f aca="false">ROUND(5.2/FX,2)</f>
        <v>0.72</v>
      </c>
      <c r="D1895" s="21" t="s">
        <v>18157</v>
      </c>
      <c r="E1895" s="21" t="s">
        <v>22028</v>
      </c>
      <c r="F1895" s="21" t="s">
        <v>6336</v>
      </c>
    </row>
    <row r="1898" customFormat="false" ht="61.5" hidden="false" customHeight="true" outlineLevel="0" collapsed="false">
      <c r="A1898" s="9"/>
      <c r="B1898" s="10" t="s">
        <v>22041</v>
      </c>
      <c r="C1898" s="10"/>
      <c r="D1898" s="10"/>
    </row>
    <row r="1899" customFormat="false" ht="15" hidden="false" customHeight="false" outlineLevel="0" collapsed="false">
      <c r="B1899" s="18" t="s">
        <v>701</v>
      </c>
      <c r="C1899" s="18" t="s">
        <v>702</v>
      </c>
      <c r="D1899" s="18" t="s">
        <v>5610</v>
      </c>
    </row>
    <row r="1900" customFormat="false" ht="15" hidden="false" customHeight="false" outlineLevel="0" collapsed="false">
      <c r="B1900" s="19" t="s">
        <v>22042</v>
      </c>
      <c r="C1900" s="20" t="n">
        <f aca="false">ROUND(9.12/FX,2)</f>
        <v>1.27</v>
      </c>
      <c r="D1900" s="22" t="s">
        <v>5612</v>
      </c>
    </row>
    <row r="1903" customFormat="false" ht="61.5" hidden="false" customHeight="true" outlineLevel="0" collapsed="false">
      <c r="A1903" s="9"/>
      <c r="B1903" s="10" t="s">
        <v>22043</v>
      </c>
      <c r="C1903" s="10"/>
      <c r="D1903" s="10"/>
      <c r="E1903" s="10"/>
    </row>
    <row r="1904" customFormat="false" ht="15" hidden="false" customHeight="false" outlineLevel="0" collapsed="false">
      <c r="A1904" s="12" t="s">
        <v>700</v>
      </c>
      <c r="B1904" s="13" t="s">
        <v>701</v>
      </c>
      <c r="C1904" s="13" t="s">
        <v>702</v>
      </c>
      <c r="D1904" s="13" t="s">
        <v>722</v>
      </c>
      <c r="E1904" s="13" t="s">
        <v>723</v>
      </c>
    </row>
    <row r="1905" customFormat="false" ht="30" hidden="false" customHeight="true" outlineLevel="0" collapsed="false">
      <c r="A1905" s="14" t="s">
        <v>706</v>
      </c>
      <c r="B1905" s="15" t="str">
        <f aca="false">IF(COUNTIFS($D$1908:$D$1986,IF(D1905="","*",D1905),$E$1908:$E$1986,IF(E1905="","*",E1905))=1,INDEX($B:$B,SUMPRODUCT(((D1905="")+($D$1908:$D$1986=D1905)&gt;0)*((E1905="")+($E$1908:$E$1986=E1905)&gt;0)*ROW($B$1908:$B$1986))),IF(COUNTIFS($D$1908:$D$1986,IF(D1905="","*",D1905),$E$1908:$E$1986,IF(E1905="","*",E1905))=0,"Not available",COUNTIFS($D$1908:$D$1986,IF(D1905="","*",D1905),$E$1908:$E$1986,IF(E1905="","*",E1905))&amp;" match, keep choosing"))</f>
        <v>EG-069-BK-RFT-DCR-C10-100M</v>
      </c>
      <c r="C1905" s="16" t="n">
        <f aca="false">IF(COUNTIFS($D$1908:$D$1986,IF(D1905="","*",D1905),$E$1908:$E$1986,IF(E1905="","*",E1905))=1,INDEX($C:$C,SUMPRODUCT(((D1905="")+($D$1908:$D$1986=D1905)&gt;0)*((E1905="")+($E$1908:$E$1986=E1905)&gt;0)*ROW($B$1908:$B$1986))),"")</f>
        <v>16.25</v>
      </c>
      <c r="D1905" s="17" t="s">
        <v>724</v>
      </c>
      <c r="E1905" s="17" t="s">
        <v>22044</v>
      </c>
    </row>
    <row r="1907" customFormat="false" ht="15" hidden="false" customHeight="false" outlineLevel="0" collapsed="false">
      <c r="B1907" s="18" t="s">
        <v>701</v>
      </c>
      <c r="C1907" s="18" t="s">
        <v>702</v>
      </c>
      <c r="D1907" s="18" t="s">
        <v>722</v>
      </c>
      <c r="E1907" s="18" t="s">
        <v>723</v>
      </c>
    </row>
    <row r="1908" customFormat="false" ht="28.35" hidden="false" customHeight="false" outlineLevel="0" collapsed="false">
      <c r="B1908" s="19" t="s">
        <v>22045</v>
      </c>
      <c r="C1908" s="20" t="n">
        <f aca="false">ROUND(117/FX,2)</f>
        <v>16.25</v>
      </c>
      <c r="D1908" s="21" t="s">
        <v>724</v>
      </c>
      <c r="E1908" s="21" t="s">
        <v>22044</v>
      </c>
    </row>
    <row r="1909" customFormat="false" ht="28.35" hidden="false" customHeight="false" outlineLevel="0" collapsed="false">
      <c r="B1909" s="19" t="s">
        <v>22046</v>
      </c>
      <c r="C1909" s="20" t="n">
        <f aca="false">ROUND(234/FX,2)</f>
        <v>32.5</v>
      </c>
      <c r="D1909" s="21" t="s">
        <v>724</v>
      </c>
      <c r="E1909" s="21" t="s">
        <v>22047</v>
      </c>
    </row>
    <row r="1910" customFormat="false" ht="28.35" hidden="false" customHeight="false" outlineLevel="0" collapsed="false">
      <c r="B1910" s="19" t="s">
        <v>22048</v>
      </c>
      <c r="C1910" s="20" t="n">
        <f aca="false">ROUND(1.2/FX,2)</f>
        <v>0.17</v>
      </c>
      <c r="D1910" s="21" t="s">
        <v>724</v>
      </c>
      <c r="E1910" s="21" t="s">
        <v>22049</v>
      </c>
    </row>
    <row r="1911" customFormat="false" ht="28.35" hidden="false" customHeight="false" outlineLevel="0" collapsed="false">
      <c r="B1911" s="19" t="s">
        <v>22050</v>
      </c>
      <c r="C1911" s="20" t="n">
        <f aca="false">ROUND(61.1/FX,2)</f>
        <v>8.49</v>
      </c>
      <c r="D1911" s="21" t="s">
        <v>724</v>
      </c>
      <c r="E1911" s="21" t="s">
        <v>22051</v>
      </c>
    </row>
    <row r="1912" customFormat="false" ht="28.35" hidden="false" customHeight="false" outlineLevel="0" collapsed="false">
      <c r="B1912" s="19" t="s">
        <v>22052</v>
      </c>
      <c r="C1912" s="20" t="n">
        <f aca="false">ROUND(0.8/FX,2)</f>
        <v>0.11</v>
      </c>
      <c r="D1912" s="21" t="s">
        <v>724</v>
      </c>
      <c r="E1912" s="21" t="s">
        <v>22053</v>
      </c>
    </row>
    <row r="1913" customFormat="false" ht="28.35" hidden="false" customHeight="false" outlineLevel="0" collapsed="false">
      <c r="B1913" s="19" t="s">
        <v>22054</v>
      </c>
      <c r="C1913" s="20" t="n">
        <f aca="false">ROUND(88.4/FX,2)</f>
        <v>12.28</v>
      </c>
      <c r="D1913" s="21" t="s">
        <v>724</v>
      </c>
      <c r="E1913" s="21" t="s">
        <v>22055</v>
      </c>
    </row>
    <row r="1914" customFormat="false" ht="28.35" hidden="false" customHeight="false" outlineLevel="0" collapsed="false">
      <c r="B1914" s="19" t="s">
        <v>22056</v>
      </c>
      <c r="C1914" s="20" t="n">
        <f aca="false">ROUND(1.37/FX,2)</f>
        <v>0.19</v>
      </c>
      <c r="D1914" s="21" t="s">
        <v>724</v>
      </c>
      <c r="E1914" s="21" t="s">
        <v>22057</v>
      </c>
    </row>
    <row r="1915" customFormat="false" ht="28.35" hidden="false" customHeight="false" outlineLevel="0" collapsed="false">
      <c r="B1915" s="19" t="s">
        <v>22058</v>
      </c>
      <c r="C1915" s="20" t="n">
        <f aca="false">ROUND(1/FX,2)</f>
        <v>0.14</v>
      </c>
      <c r="D1915" s="21" t="s">
        <v>724</v>
      </c>
      <c r="E1915" s="21" t="s">
        <v>22059</v>
      </c>
    </row>
    <row r="1916" customFormat="false" ht="28.35" hidden="false" customHeight="false" outlineLevel="0" collapsed="false">
      <c r="B1916" s="19" t="s">
        <v>22060</v>
      </c>
      <c r="C1916" s="20" t="n">
        <f aca="false">ROUND(0.6/FX,2)</f>
        <v>0.08</v>
      </c>
      <c r="D1916" s="21" t="s">
        <v>724</v>
      </c>
      <c r="E1916" s="21" t="s">
        <v>22061</v>
      </c>
    </row>
    <row r="1917" customFormat="false" ht="41.75" hidden="false" customHeight="false" outlineLevel="0" collapsed="false">
      <c r="B1917" s="19" t="s">
        <v>22062</v>
      </c>
      <c r="C1917" s="20" t="n">
        <f aca="false">ROUND(1.17/FX,2)</f>
        <v>0.16</v>
      </c>
      <c r="D1917" s="21" t="s">
        <v>724</v>
      </c>
      <c r="E1917" s="21" t="s">
        <v>22063</v>
      </c>
    </row>
    <row r="1918" customFormat="false" ht="41.75" hidden="false" customHeight="false" outlineLevel="0" collapsed="false">
      <c r="B1918" s="19" t="s">
        <v>22064</v>
      </c>
      <c r="C1918" s="20" t="n">
        <f aca="false">ROUND(1.17/FX,2)</f>
        <v>0.16</v>
      </c>
      <c r="D1918" s="21" t="s">
        <v>724</v>
      </c>
      <c r="E1918" s="21" t="s">
        <v>22065</v>
      </c>
    </row>
    <row r="1919" customFormat="false" ht="41.75" hidden="false" customHeight="false" outlineLevel="0" collapsed="false">
      <c r="B1919" s="19" t="s">
        <v>22066</v>
      </c>
      <c r="C1919" s="20" t="n">
        <f aca="false">ROUND(1.85/FX,2)</f>
        <v>0.26</v>
      </c>
      <c r="D1919" s="21" t="s">
        <v>724</v>
      </c>
      <c r="E1919" s="21" t="s">
        <v>22067</v>
      </c>
    </row>
    <row r="1920" customFormat="false" ht="28.35" hidden="false" customHeight="false" outlineLevel="0" collapsed="false">
      <c r="B1920" s="19" t="s">
        <v>22068</v>
      </c>
      <c r="C1920" s="20" t="n">
        <f aca="false">ROUND(1.17/FX,2)</f>
        <v>0.16</v>
      </c>
      <c r="D1920" s="21" t="s">
        <v>724</v>
      </c>
      <c r="E1920" s="21" t="s">
        <v>22069</v>
      </c>
    </row>
    <row r="1921" customFormat="false" ht="28.35" hidden="false" customHeight="false" outlineLevel="0" collapsed="false">
      <c r="B1921" s="19" t="s">
        <v>22070</v>
      </c>
      <c r="C1921" s="20" t="n">
        <f aca="false">ROUND(2.34/FX,2)</f>
        <v>0.33</v>
      </c>
      <c r="D1921" s="21" t="s">
        <v>724</v>
      </c>
      <c r="E1921" s="21" t="s">
        <v>22071</v>
      </c>
    </row>
    <row r="1922" customFormat="false" ht="28.35" hidden="false" customHeight="false" outlineLevel="0" collapsed="false">
      <c r="B1922" s="19" t="s">
        <v>22072</v>
      </c>
      <c r="C1922" s="20" t="n">
        <f aca="false">ROUND(1.11/FX,2)</f>
        <v>0.15</v>
      </c>
      <c r="D1922" s="21" t="s">
        <v>724</v>
      </c>
      <c r="E1922" s="21" t="s">
        <v>22073</v>
      </c>
    </row>
    <row r="1923" customFormat="false" ht="28.35" hidden="false" customHeight="false" outlineLevel="0" collapsed="false">
      <c r="B1923" s="19" t="s">
        <v>22074</v>
      </c>
      <c r="C1923" s="20" t="n">
        <f aca="false">ROUND(0.53/FX,2)</f>
        <v>0.07</v>
      </c>
      <c r="D1923" s="21" t="s">
        <v>724</v>
      </c>
      <c r="E1923" s="21" t="s">
        <v>22075</v>
      </c>
    </row>
    <row r="1924" customFormat="false" ht="28.35" hidden="false" customHeight="false" outlineLevel="0" collapsed="false">
      <c r="B1924" s="19" t="s">
        <v>22076</v>
      </c>
      <c r="C1924" s="20" t="n">
        <f aca="false">ROUND(1.06/FX,2)</f>
        <v>0.15</v>
      </c>
      <c r="D1924" s="21" t="s">
        <v>724</v>
      </c>
      <c r="E1924" s="21" t="s">
        <v>22077</v>
      </c>
    </row>
    <row r="1925" customFormat="false" ht="28.35" hidden="false" customHeight="false" outlineLevel="0" collapsed="false">
      <c r="B1925" s="19" t="s">
        <v>22078</v>
      </c>
      <c r="C1925" s="20" t="n">
        <f aca="false">ROUND(0.38/FX,2)</f>
        <v>0.05</v>
      </c>
      <c r="D1925" s="21" t="s">
        <v>724</v>
      </c>
      <c r="E1925" s="21" t="s">
        <v>22079</v>
      </c>
    </row>
    <row r="1926" customFormat="false" ht="28.35" hidden="false" customHeight="false" outlineLevel="0" collapsed="false">
      <c r="B1926" s="19" t="s">
        <v>22080</v>
      </c>
      <c r="C1926" s="20" t="n">
        <f aca="false">ROUND(0.76/FX,2)</f>
        <v>0.11</v>
      </c>
      <c r="D1926" s="21" t="s">
        <v>724</v>
      </c>
      <c r="E1926" s="21" t="s">
        <v>22081</v>
      </c>
    </row>
    <row r="1927" customFormat="false" ht="28.35" hidden="false" customHeight="false" outlineLevel="0" collapsed="false">
      <c r="B1927" s="19" t="s">
        <v>22082</v>
      </c>
      <c r="C1927" s="20" t="n">
        <f aca="false">ROUND(0.46/FX,2)</f>
        <v>0.06</v>
      </c>
      <c r="D1927" s="21" t="s">
        <v>724</v>
      </c>
      <c r="E1927" s="21" t="s">
        <v>22083</v>
      </c>
    </row>
    <row r="1928" customFormat="false" ht="28.35" hidden="false" customHeight="false" outlineLevel="0" collapsed="false">
      <c r="B1928" s="19" t="s">
        <v>22084</v>
      </c>
      <c r="C1928" s="20" t="n">
        <f aca="false">ROUND(0.92/FX,2)</f>
        <v>0.13</v>
      </c>
      <c r="D1928" s="21" t="s">
        <v>724</v>
      </c>
      <c r="E1928" s="21" t="s">
        <v>22085</v>
      </c>
    </row>
    <row r="1929" customFormat="false" ht="28.35" hidden="false" customHeight="false" outlineLevel="0" collapsed="false">
      <c r="B1929" s="19" t="s">
        <v>22086</v>
      </c>
      <c r="C1929" s="20" t="n">
        <f aca="false">ROUND(1.56/FX,2)</f>
        <v>0.22</v>
      </c>
      <c r="D1929" s="21" t="s">
        <v>7884</v>
      </c>
      <c r="E1929" s="21" t="s">
        <v>22049</v>
      </c>
    </row>
    <row r="1930" customFormat="false" ht="28.35" hidden="false" customHeight="false" outlineLevel="0" collapsed="false">
      <c r="B1930" s="19" t="s">
        <v>22087</v>
      </c>
      <c r="C1930" s="20" t="n">
        <f aca="false">ROUND(0.8/FX,2)</f>
        <v>0.11</v>
      </c>
      <c r="D1930" s="21" t="s">
        <v>7884</v>
      </c>
      <c r="E1930" s="21" t="s">
        <v>22053</v>
      </c>
    </row>
    <row r="1931" customFormat="false" ht="28.35" hidden="false" customHeight="false" outlineLevel="0" collapsed="false">
      <c r="B1931" s="19" t="s">
        <v>22088</v>
      </c>
      <c r="C1931" s="20" t="n">
        <f aca="false">ROUND(88.4/FX,2)</f>
        <v>12.28</v>
      </c>
      <c r="D1931" s="21" t="s">
        <v>7884</v>
      </c>
      <c r="E1931" s="21" t="s">
        <v>22055</v>
      </c>
    </row>
    <row r="1932" customFormat="false" ht="28.35" hidden="false" customHeight="false" outlineLevel="0" collapsed="false">
      <c r="B1932" s="19" t="s">
        <v>22089</v>
      </c>
      <c r="C1932" s="20" t="n">
        <f aca="false">ROUND(0.9/FX,2)</f>
        <v>0.13</v>
      </c>
      <c r="D1932" s="21" t="s">
        <v>7884</v>
      </c>
      <c r="E1932" s="21" t="s">
        <v>22057</v>
      </c>
    </row>
    <row r="1933" customFormat="false" ht="28.35" hidden="false" customHeight="false" outlineLevel="0" collapsed="false">
      <c r="B1933" s="19" t="s">
        <v>22090</v>
      </c>
      <c r="C1933" s="20" t="n">
        <f aca="false">ROUND(0.6/FX,2)</f>
        <v>0.08</v>
      </c>
      <c r="D1933" s="21" t="s">
        <v>7884</v>
      </c>
      <c r="E1933" s="21" t="s">
        <v>22061</v>
      </c>
    </row>
    <row r="1934" customFormat="false" ht="28.35" hidden="false" customHeight="false" outlineLevel="0" collapsed="false">
      <c r="B1934" s="19" t="s">
        <v>22091</v>
      </c>
      <c r="C1934" s="20" t="n">
        <f aca="false">ROUND(0.8/FX,2)</f>
        <v>0.11</v>
      </c>
      <c r="D1934" s="21" t="s">
        <v>7884</v>
      </c>
      <c r="E1934" s="21" t="s">
        <v>22092</v>
      </c>
    </row>
    <row r="1935" customFormat="false" ht="28.35" hidden="false" customHeight="false" outlineLevel="0" collapsed="false">
      <c r="B1935" s="19" t="s">
        <v>22093</v>
      </c>
      <c r="C1935" s="20" t="n">
        <f aca="false">ROUND(0.53/FX,2)</f>
        <v>0.07</v>
      </c>
      <c r="D1935" s="21" t="s">
        <v>7884</v>
      </c>
      <c r="E1935" s="21" t="s">
        <v>22075</v>
      </c>
    </row>
    <row r="1936" customFormat="false" ht="28.35" hidden="false" customHeight="false" outlineLevel="0" collapsed="false">
      <c r="B1936" s="19" t="s">
        <v>22094</v>
      </c>
      <c r="C1936" s="20" t="n">
        <f aca="false">ROUND(1.06/FX,2)</f>
        <v>0.15</v>
      </c>
      <c r="D1936" s="21" t="s">
        <v>7884</v>
      </c>
      <c r="E1936" s="21" t="s">
        <v>22077</v>
      </c>
    </row>
    <row r="1937" customFormat="false" ht="28.35" hidden="false" customHeight="false" outlineLevel="0" collapsed="false">
      <c r="B1937" s="19" t="s">
        <v>22095</v>
      </c>
      <c r="C1937" s="20" t="n">
        <f aca="false">ROUND(0.38/FX,2)</f>
        <v>0.05</v>
      </c>
      <c r="D1937" s="21" t="s">
        <v>7884</v>
      </c>
      <c r="E1937" s="21" t="s">
        <v>22079</v>
      </c>
    </row>
    <row r="1938" customFormat="false" ht="28.35" hidden="false" customHeight="false" outlineLevel="0" collapsed="false">
      <c r="B1938" s="19" t="s">
        <v>22096</v>
      </c>
      <c r="C1938" s="20" t="n">
        <f aca="false">ROUND(0.76/FX,2)</f>
        <v>0.11</v>
      </c>
      <c r="D1938" s="21" t="s">
        <v>7884</v>
      </c>
      <c r="E1938" s="21" t="s">
        <v>22081</v>
      </c>
    </row>
    <row r="1939" customFormat="false" ht="28.35" hidden="false" customHeight="false" outlineLevel="0" collapsed="false">
      <c r="B1939" s="19" t="s">
        <v>22097</v>
      </c>
      <c r="C1939" s="20" t="n">
        <f aca="false">ROUND(0.8/FX,2)</f>
        <v>0.11</v>
      </c>
      <c r="D1939" s="21" t="s">
        <v>7884</v>
      </c>
      <c r="E1939" s="21" t="s">
        <v>22083</v>
      </c>
    </row>
    <row r="1940" customFormat="false" ht="28.35" hidden="false" customHeight="false" outlineLevel="0" collapsed="false">
      <c r="B1940" s="19" t="s">
        <v>22098</v>
      </c>
      <c r="C1940" s="20" t="n">
        <f aca="false">ROUND(0.92/FX,2)</f>
        <v>0.13</v>
      </c>
      <c r="D1940" s="21" t="s">
        <v>7884</v>
      </c>
      <c r="E1940" s="21" t="s">
        <v>22085</v>
      </c>
    </row>
    <row r="1941" customFormat="false" ht="28.35" hidden="false" customHeight="false" outlineLevel="0" collapsed="false">
      <c r="B1941" s="19" t="s">
        <v>22099</v>
      </c>
      <c r="C1941" s="20" t="n">
        <f aca="false">ROUND(0.8/FX,2)</f>
        <v>0.11</v>
      </c>
      <c r="D1941" s="21" t="s">
        <v>18154</v>
      </c>
      <c r="E1941" s="21" t="s">
        <v>22053</v>
      </c>
    </row>
    <row r="1942" customFormat="false" ht="28.35" hidden="false" customHeight="false" outlineLevel="0" collapsed="false">
      <c r="B1942" s="19" t="s">
        <v>22100</v>
      </c>
      <c r="C1942" s="20" t="n">
        <f aca="false">ROUND(1.3/FX,2)</f>
        <v>0.18</v>
      </c>
      <c r="D1942" s="21" t="s">
        <v>18154</v>
      </c>
      <c r="E1942" s="21" t="s">
        <v>22057</v>
      </c>
    </row>
    <row r="1943" customFormat="false" ht="28.35" hidden="false" customHeight="false" outlineLevel="0" collapsed="false">
      <c r="B1943" s="19" t="s">
        <v>22101</v>
      </c>
      <c r="C1943" s="20" t="n">
        <f aca="false">ROUND(1/FX,2)</f>
        <v>0.14</v>
      </c>
      <c r="D1943" s="21" t="s">
        <v>18154</v>
      </c>
      <c r="E1943" s="21" t="s">
        <v>22059</v>
      </c>
    </row>
    <row r="1944" customFormat="false" ht="28.35" hidden="false" customHeight="false" outlineLevel="0" collapsed="false">
      <c r="B1944" s="19" t="s">
        <v>22102</v>
      </c>
      <c r="C1944" s="20" t="n">
        <f aca="false">ROUND(0.6/FX,2)</f>
        <v>0.08</v>
      </c>
      <c r="D1944" s="21" t="s">
        <v>18154</v>
      </c>
      <c r="E1944" s="21" t="s">
        <v>22061</v>
      </c>
    </row>
    <row r="1945" customFormat="false" ht="28.35" hidden="false" customHeight="false" outlineLevel="0" collapsed="false">
      <c r="B1945" s="19" t="s">
        <v>22103</v>
      </c>
      <c r="C1945" s="20" t="n">
        <f aca="false">ROUND(0.8/FX,2)</f>
        <v>0.11</v>
      </c>
      <c r="D1945" s="21" t="s">
        <v>18154</v>
      </c>
      <c r="E1945" s="21" t="s">
        <v>22092</v>
      </c>
    </row>
    <row r="1946" customFormat="false" ht="28.35" hidden="false" customHeight="false" outlineLevel="0" collapsed="false">
      <c r="B1946" s="19" t="s">
        <v>22104</v>
      </c>
      <c r="C1946" s="20" t="n">
        <f aca="false">ROUND(0.38/FX,2)</f>
        <v>0.05</v>
      </c>
      <c r="D1946" s="21" t="s">
        <v>18154</v>
      </c>
      <c r="E1946" s="21" t="s">
        <v>22079</v>
      </c>
    </row>
    <row r="1947" customFormat="false" ht="28.35" hidden="false" customHeight="false" outlineLevel="0" collapsed="false">
      <c r="B1947" s="19" t="s">
        <v>22105</v>
      </c>
      <c r="C1947" s="20" t="n">
        <f aca="false">ROUND(0.76/FX,2)</f>
        <v>0.11</v>
      </c>
      <c r="D1947" s="21" t="s">
        <v>18154</v>
      </c>
      <c r="E1947" s="21" t="s">
        <v>22081</v>
      </c>
    </row>
    <row r="1948" customFormat="false" ht="28.35" hidden="false" customHeight="false" outlineLevel="0" collapsed="false">
      <c r="B1948" s="19" t="s">
        <v>22106</v>
      </c>
      <c r="C1948" s="20" t="n">
        <f aca="false">ROUND(0.46/FX,2)</f>
        <v>0.06</v>
      </c>
      <c r="D1948" s="21" t="s">
        <v>18154</v>
      </c>
      <c r="E1948" s="21" t="s">
        <v>22083</v>
      </c>
    </row>
    <row r="1949" customFormat="false" ht="28.35" hidden="false" customHeight="false" outlineLevel="0" collapsed="false">
      <c r="B1949" s="19" t="s">
        <v>22107</v>
      </c>
      <c r="C1949" s="20" t="n">
        <f aca="false">ROUND(0.92/FX,2)</f>
        <v>0.13</v>
      </c>
      <c r="D1949" s="21" t="s">
        <v>18154</v>
      </c>
      <c r="E1949" s="21" t="s">
        <v>22085</v>
      </c>
    </row>
    <row r="1950" customFormat="false" ht="28.35" hidden="false" customHeight="false" outlineLevel="0" collapsed="false">
      <c r="B1950" s="19" t="s">
        <v>22108</v>
      </c>
      <c r="C1950" s="20" t="n">
        <f aca="false">ROUND(1.2/FX,2)</f>
        <v>0.17</v>
      </c>
      <c r="D1950" s="21" t="s">
        <v>6362</v>
      </c>
      <c r="E1950" s="21" t="s">
        <v>22049</v>
      </c>
    </row>
    <row r="1951" customFormat="false" ht="28.35" hidden="false" customHeight="false" outlineLevel="0" collapsed="false">
      <c r="B1951" s="19" t="s">
        <v>22109</v>
      </c>
      <c r="C1951" s="20" t="n">
        <f aca="false">ROUND(0.65/FX,2)</f>
        <v>0.09</v>
      </c>
      <c r="D1951" s="21" t="s">
        <v>6362</v>
      </c>
      <c r="E1951" s="21" t="s">
        <v>22053</v>
      </c>
    </row>
    <row r="1952" customFormat="false" ht="28.35" hidden="false" customHeight="false" outlineLevel="0" collapsed="false">
      <c r="B1952" s="19" t="s">
        <v>22110</v>
      </c>
      <c r="C1952" s="20" t="n">
        <f aca="false">ROUND(0.9/FX,2)</f>
        <v>0.13</v>
      </c>
      <c r="D1952" s="21" t="s">
        <v>6362</v>
      </c>
      <c r="E1952" s="21" t="s">
        <v>22057</v>
      </c>
    </row>
    <row r="1953" customFormat="false" ht="28.35" hidden="false" customHeight="false" outlineLevel="0" collapsed="false">
      <c r="B1953" s="19" t="s">
        <v>22111</v>
      </c>
      <c r="C1953" s="20" t="n">
        <f aca="false">ROUND(0.53/FX,2)</f>
        <v>0.07</v>
      </c>
      <c r="D1953" s="21" t="s">
        <v>6362</v>
      </c>
      <c r="E1953" s="21" t="s">
        <v>22075</v>
      </c>
    </row>
    <row r="1954" customFormat="false" ht="28.35" hidden="false" customHeight="false" outlineLevel="0" collapsed="false">
      <c r="B1954" s="19" t="s">
        <v>22112</v>
      </c>
      <c r="C1954" s="20" t="n">
        <f aca="false">ROUND(1.06/FX,2)</f>
        <v>0.15</v>
      </c>
      <c r="D1954" s="21" t="s">
        <v>6362</v>
      </c>
      <c r="E1954" s="21" t="s">
        <v>22077</v>
      </c>
    </row>
    <row r="1955" customFormat="false" ht="28.35" hidden="false" customHeight="false" outlineLevel="0" collapsed="false">
      <c r="B1955" s="19" t="s">
        <v>22113</v>
      </c>
      <c r="C1955" s="20" t="n">
        <f aca="false">ROUND(0.38/FX,2)</f>
        <v>0.05</v>
      </c>
      <c r="D1955" s="21" t="s">
        <v>6362</v>
      </c>
      <c r="E1955" s="21" t="s">
        <v>22079</v>
      </c>
    </row>
    <row r="1956" customFormat="false" ht="28.35" hidden="false" customHeight="false" outlineLevel="0" collapsed="false">
      <c r="B1956" s="19" t="s">
        <v>22114</v>
      </c>
      <c r="C1956" s="20" t="n">
        <f aca="false">ROUND(0.76/FX,2)</f>
        <v>0.11</v>
      </c>
      <c r="D1956" s="21" t="s">
        <v>6362</v>
      </c>
      <c r="E1956" s="21" t="s">
        <v>22081</v>
      </c>
    </row>
    <row r="1957" customFormat="false" ht="28.35" hidden="false" customHeight="false" outlineLevel="0" collapsed="false">
      <c r="B1957" s="19" t="s">
        <v>22115</v>
      </c>
      <c r="C1957" s="20" t="n">
        <f aca="false">ROUND(0.46/FX,2)</f>
        <v>0.06</v>
      </c>
      <c r="D1957" s="21" t="s">
        <v>6362</v>
      </c>
      <c r="E1957" s="21" t="s">
        <v>22083</v>
      </c>
    </row>
    <row r="1958" customFormat="false" ht="28.35" hidden="false" customHeight="false" outlineLevel="0" collapsed="false">
      <c r="B1958" s="19" t="s">
        <v>22116</v>
      </c>
      <c r="C1958" s="20" t="n">
        <f aca="false">ROUND(0.92/FX,2)</f>
        <v>0.13</v>
      </c>
      <c r="D1958" s="21" t="s">
        <v>6362</v>
      </c>
      <c r="E1958" s="21" t="s">
        <v>22085</v>
      </c>
    </row>
    <row r="1959" customFormat="false" ht="41.75" hidden="false" customHeight="false" outlineLevel="0" collapsed="false">
      <c r="B1959" s="19" t="s">
        <v>22117</v>
      </c>
      <c r="C1959" s="20" t="n">
        <f aca="false">ROUND(0.9/FX,2)</f>
        <v>0.13</v>
      </c>
      <c r="D1959" s="21" t="s">
        <v>6336</v>
      </c>
      <c r="E1959" s="21" t="s">
        <v>22118</v>
      </c>
    </row>
    <row r="1960" customFormat="false" ht="28.35" hidden="false" customHeight="false" outlineLevel="0" collapsed="false">
      <c r="B1960" s="19" t="s">
        <v>22119</v>
      </c>
      <c r="C1960" s="20" t="n">
        <f aca="false">ROUND(117/FX,2)</f>
        <v>16.25</v>
      </c>
      <c r="D1960" s="21" t="s">
        <v>6549</v>
      </c>
      <c r="E1960" s="21" t="s">
        <v>22044</v>
      </c>
    </row>
    <row r="1961" customFormat="false" ht="28.35" hidden="false" customHeight="false" outlineLevel="0" collapsed="false">
      <c r="B1961" s="19" t="s">
        <v>22120</v>
      </c>
      <c r="C1961" s="20" t="n">
        <f aca="false">ROUND(61.1/FX,2)</f>
        <v>8.49</v>
      </c>
      <c r="D1961" s="21" t="s">
        <v>6549</v>
      </c>
      <c r="E1961" s="21" t="s">
        <v>22051</v>
      </c>
    </row>
    <row r="1962" customFormat="false" ht="28.35" hidden="false" customHeight="false" outlineLevel="0" collapsed="false">
      <c r="B1962" s="19" t="s">
        <v>22121</v>
      </c>
      <c r="C1962" s="20" t="n">
        <f aca="false">ROUND(88.4/FX,2)</f>
        <v>12.28</v>
      </c>
      <c r="D1962" s="21" t="s">
        <v>6549</v>
      </c>
      <c r="E1962" s="21" t="s">
        <v>22055</v>
      </c>
    </row>
    <row r="1963" customFormat="false" ht="28.35" hidden="false" customHeight="false" outlineLevel="0" collapsed="false">
      <c r="B1963" s="19" t="s">
        <v>22122</v>
      </c>
      <c r="C1963" s="20" t="n">
        <f aca="false">ROUND(0.89/FX,2)</f>
        <v>0.12</v>
      </c>
      <c r="D1963" s="21" t="s">
        <v>6549</v>
      </c>
      <c r="E1963" s="21" t="s">
        <v>22057</v>
      </c>
    </row>
    <row r="1964" customFormat="false" ht="28.35" hidden="false" customHeight="false" outlineLevel="0" collapsed="false">
      <c r="B1964" s="19" t="s">
        <v>22123</v>
      </c>
      <c r="C1964" s="20" t="n">
        <f aca="false">ROUND(0.8/FX,2)</f>
        <v>0.11</v>
      </c>
      <c r="D1964" s="21" t="s">
        <v>6369</v>
      </c>
      <c r="E1964" s="21" t="s">
        <v>22124</v>
      </c>
    </row>
    <row r="1965" customFormat="false" ht="41.75" hidden="false" customHeight="false" outlineLevel="0" collapsed="false">
      <c r="B1965" s="19" t="s">
        <v>22125</v>
      </c>
      <c r="C1965" s="20" t="n">
        <f aca="false">ROUND(0.53/FX,2)</f>
        <v>0.07</v>
      </c>
      <c r="D1965" s="21" t="s">
        <v>6369</v>
      </c>
      <c r="E1965" s="21" t="s">
        <v>22126</v>
      </c>
    </row>
    <row r="1966" customFormat="false" ht="41.75" hidden="false" customHeight="false" outlineLevel="0" collapsed="false">
      <c r="B1966" s="19" t="s">
        <v>22127</v>
      </c>
      <c r="C1966" s="20" t="n">
        <f aca="false">ROUND(1.06/FX,2)</f>
        <v>0.15</v>
      </c>
      <c r="D1966" s="21" t="s">
        <v>6369</v>
      </c>
      <c r="E1966" s="21" t="s">
        <v>22128</v>
      </c>
    </row>
    <row r="1967" customFormat="false" ht="41.75" hidden="false" customHeight="false" outlineLevel="0" collapsed="false">
      <c r="B1967" s="19" t="s">
        <v>22129</v>
      </c>
      <c r="C1967" s="20" t="n">
        <f aca="false">ROUND(0.38/FX,2)</f>
        <v>0.05</v>
      </c>
      <c r="D1967" s="21" t="s">
        <v>6369</v>
      </c>
      <c r="E1967" s="21" t="s">
        <v>22130</v>
      </c>
    </row>
    <row r="1968" customFormat="false" ht="41.75" hidden="false" customHeight="false" outlineLevel="0" collapsed="false">
      <c r="B1968" s="19" t="s">
        <v>22131</v>
      </c>
      <c r="C1968" s="20" t="n">
        <f aca="false">ROUND(0.76/FX,2)</f>
        <v>0.11</v>
      </c>
      <c r="D1968" s="21" t="s">
        <v>6369</v>
      </c>
      <c r="E1968" s="21" t="s">
        <v>22132</v>
      </c>
    </row>
    <row r="1969" customFormat="false" ht="41.75" hidden="false" customHeight="false" outlineLevel="0" collapsed="false">
      <c r="B1969" s="19" t="s">
        <v>22133</v>
      </c>
      <c r="C1969" s="20" t="n">
        <f aca="false">ROUND(0.46/FX,2)</f>
        <v>0.06</v>
      </c>
      <c r="D1969" s="21" t="s">
        <v>6369</v>
      </c>
      <c r="E1969" s="21" t="s">
        <v>22134</v>
      </c>
    </row>
    <row r="1970" customFormat="false" ht="41.75" hidden="false" customHeight="false" outlineLevel="0" collapsed="false">
      <c r="B1970" s="19" t="s">
        <v>22135</v>
      </c>
      <c r="C1970" s="20" t="n">
        <f aca="false">ROUND(0.92/FX,2)</f>
        <v>0.13</v>
      </c>
      <c r="D1970" s="21" t="s">
        <v>6369</v>
      </c>
      <c r="E1970" s="21" t="s">
        <v>22136</v>
      </c>
    </row>
    <row r="1971" customFormat="false" ht="41.75" hidden="false" customHeight="false" outlineLevel="0" collapsed="false">
      <c r="B1971" s="19" t="s">
        <v>22137</v>
      </c>
      <c r="C1971" s="20" t="n">
        <f aca="false">ROUND(120.9/FX,2)</f>
        <v>16.79</v>
      </c>
      <c r="D1971" s="21" t="s">
        <v>751</v>
      </c>
      <c r="E1971" s="21" t="s">
        <v>22138</v>
      </c>
    </row>
    <row r="1972" customFormat="false" ht="41.75" hidden="false" customHeight="false" outlineLevel="0" collapsed="false">
      <c r="B1972" s="19" t="s">
        <v>22139</v>
      </c>
      <c r="C1972" s="20" t="n">
        <f aca="false">ROUND(234/FX,2)</f>
        <v>32.5</v>
      </c>
      <c r="D1972" s="21" t="s">
        <v>751</v>
      </c>
      <c r="E1972" s="21" t="s">
        <v>22140</v>
      </c>
    </row>
    <row r="1973" customFormat="false" ht="41.75" hidden="false" customHeight="false" outlineLevel="0" collapsed="false">
      <c r="B1973" s="19" t="s">
        <v>22141</v>
      </c>
      <c r="C1973" s="20" t="n">
        <f aca="false">ROUND(1.6/FX,2)</f>
        <v>0.22</v>
      </c>
      <c r="D1973" s="21" t="s">
        <v>751</v>
      </c>
      <c r="E1973" s="21" t="s">
        <v>22142</v>
      </c>
    </row>
    <row r="1974" customFormat="false" ht="41.75" hidden="false" customHeight="false" outlineLevel="0" collapsed="false">
      <c r="B1974" s="19" t="s">
        <v>22143</v>
      </c>
      <c r="C1974" s="20" t="n">
        <f aca="false">ROUND(1/FX,2)</f>
        <v>0.14</v>
      </c>
      <c r="D1974" s="21" t="s">
        <v>751</v>
      </c>
      <c r="E1974" s="21" t="s">
        <v>22144</v>
      </c>
    </row>
    <row r="1975" customFormat="false" ht="28.35" hidden="false" customHeight="false" outlineLevel="0" collapsed="false">
      <c r="B1975" s="19" t="s">
        <v>22145</v>
      </c>
      <c r="C1975" s="20" t="n">
        <f aca="false">ROUND(0.6/FX,2)</f>
        <v>0.08</v>
      </c>
      <c r="D1975" s="21" t="s">
        <v>751</v>
      </c>
      <c r="E1975" s="21" t="s">
        <v>22146</v>
      </c>
    </row>
    <row r="1976" customFormat="false" ht="28.35" hidden="false" customHeight="false" outlineLevel="0" collapsed="false">
      <c r="B1976" s="19" t="s">
        <v>22147</v>
      </c>
      <c r="C1976" s="20" t="n">
        <f aca="false">ROUND(0.8/FX,2)</f>
        <v>0.11</v>
      </c>
      <c r="D1976" s="21" t="s">
        <v>751</v>
      </c>
      <c r="E1976" s="21" t="s">
        <v>22148</v>
      </c>
    </row>
    <row r="1977" customFormat="false" ht="41.75" hidden="false" customHeight="false" outlineLevel="0" collapsed="false">
      <c r="B1977" s="19" t="s">
        <v>22149</v>
      </c>
      <c r="C1977" s="20" t="n">
        <f aca="false">ROUND(0.53/FX,2)</f>
        <v>0.07</v>
      </c>
      <c r="D1977" s="21" t="s">
        <v>751</v>
      </c>
      <c r="E1977" s="21" t="s">
        <v>22150</v>
      </c>
    </row>
    <row r="1978" customFormat="false" ht="41.75" hidden="false" customHeight="false" outlineLevel="0" collapsed="false">
      <c r="B1978" s="19" t="s">
        <v>22151</v>
      </c>
      <c r="C1978" s="20" t="n">
        <f aca="false">ROUND(1.06/FX,2)</f>
        <v>0.15</v>
      </c>
      <c r="D1978" s="21" t="s">
        <v>751</v>
      </c>
      <c r="E1978" s="21" t="s">
        <v>22152</v>
      </c>
    </row>
    <row r="1979" customFormat="false" ht="28.35" hidden="false" customHeight="false" outlineLevel="0" collapsed="false">
      <c r="B1979" s="19" t="s">
        <v>22153</v>
      </c>
      <c r="C1979" s="20" t="n">
        <f aca="false">ROUND(1.2/FX,2)</f>
        <v>0.17</v>
      </c>
      <c r="D1979" s="21" t="s">
        <v>18157</v>
      </c>
      <c r="E1979" s="21" t="s">
        <v>22049</v>
      </c>
    </row>
    <row r="1980" customFormat="false" ht="28.35" hidden="false" customHeight="false" outlineLevel="0" collapsed="false">
      <c r="B1980" s="19" t="s">
        <v>22154</v>
      </c>
      <c r="C1980" s="20" t="n">
        <f aca="false">ROUND(0.61/FX,2)</f>
        <v>0.08</v>
      </c>
      <c r="D1980" s="21" t="s">
        <v>18157</v>
      </c>
      <c r="E1980" s="21" t="s">
        <v>22053</v>
      </c>
    </row>
    <row r="1981" customFormat="false" ht="28.35" hidden="false" customHeight="false" outlineLevel="0" collapsed="false">
      <c r="B1981" s="19" t="s">
        <v>22155</v>
      </c>
      <c r="C1981" s="20" t="n">
        <f aca="false">ROUND(1.6/FX,2)</f>
        <v>0.22</v>
      </c>
      <c r="D1981" s="21" t="s">
        <v>18157</v>
      </c>
      <c r="E1981" s="21" t="s">
        <v>22057</v>
      </c>
    </row>
    <row r="1982" customFormat="false" ht="28.35" hidden="false" customHeight="false" outlineLevel="0" collapsed="false">
      <c r="B1982" s="19" t="s">
        <v>22156</v>
      </c>
      <c r="C1982" s="20" t="n">
        <f aca="false">ROUND(0.8/FX,2)</f>
        <v>0.11</v>
      </c>
      <c r="D1982" s="21" t="s">
        <v>18157</v>
      </c>
      <c r="E1982" s="21" t="s">
        <v>22092</v>
      </c>
    </row>
    <row r="1983" customFormat="false" ht="28.35" hidden="false" customHeight="false" outlineLevel="0" collapsed="false">
      <c r="B1983" s="19" t="s">
        <v>22157</v>
      </c>
      <c r="C1983" s="20" t="n">
        <f aca="false">ROUND(0.53/FX,2)</f>
        <v>0.07</v>
      </c>
      <c r="D1983" s="21" t="s">
        <v>18157</v>
      </c>
      <c r="E1983" s="21" t="s">
        <v>22075</v>
      </c>
    </row>
    <row r="1984" customFormat="false" ht="28.35" hidden="false" customHeight="false" outlineLevel="0" collapsed="false">
      <c r="B1984" s="19" t="s">
        <v>22158</v>
      </c>
      <c r="C1984" s="20" t="n">
        <f aca="false">ROUND(1.06/FX,2)</f>
        <v>0.15</v>
      </c>
      <c r="D1984" s="21" t="s">
        <v>18157</v>
      </c>
      <c r="E1984" s="21" t="s">
        <v>22077</v>
      </c>
    </row>
    <row r="1985" customFormat="false" ht="28.35" hidden="false" customHeight="false" outlineLevel="0" collapsed="false">
      <c r="B1985" s="19" t="s">
        <v>22159</v>
      </c>
      <c r="C1985" s="20" t="n">
        <f aca="false">ROUND(0.46/FX,2)</f>
        <v>0.06</v>
      </c>
      <c r="D1985" s="21" t="s">
        <v>18157</v>
      </c>
      <c r="E1985" s="21" t="s">
        <v>22083</v>
      </c>
    </row>
    <row r="1986" customFormat="false" ht="28.35" hidden="false" customHeight="false" outlineLevel="0" collapsed="false">
      <c r="B1986" s="19" t="s">
        <v>22160</v>
      </c>
      <c r="C1986" s="20" t="n">
        <f aca="false">ROUND(0.92/FX,2)</f>
        <v>0.13</v>
      </c>
      <c r="D1986" s="21" t="s">
        <v>18157</v>
      </c>
      <c r="E1986" s="21" t="s">
        <v>22085</v>
      </c>
    </row>
    <row r="1989" customFormat="false" ht="61.5" hidden="false" customHeight="true" outlineLevel="0" collapsed="false">
      <c r="A1989" s="9"/>
      <c r="B1989" s="10" t="s">
        <v>22161</v>
      </c>
      <c r="C1989" s="10"/>
      <c r="D1989" s="10"/>
      <c r="E1989" s="10"/>
    </row>
    <row r="1990" customFormat="false" ht="15" hidden="false" customHeight="false" outlineLevel="0" collapsed="false">
      <c r="A1990" s="12" t="s">
        <v>700</v>
      </c>
      <c r="B1990" s="13" t="s">
        <v>701</v>
      </c>
      <c r="C1990" s="13" t="s">
        <v>702</v>
      </c>
      <c r="D1990" s="13" t="s">
        <v>723</v>
      </c>
      <c r="E1990" s="13" t="s">
        <v>20008</v>
      </c>
    </row>
    <row r="1991" customFormat="false" ht="30" hidden="false" customHeight="true" outlineLevel="0" collapsed="false">
      <c r="A1991" s="14" t="s">
        <v>706</v>
      </c>
      <c r="B1991" s="15" t="str">
        <f aca="false">IF(COUNTIFS($D$1994:$D$1997,IF(D1991="","*",D1991),$E$1994:$E$1997,IF(E1991="","*",E1991))=1,INDEX($B:$B,SUMPRODUCT(((D1991="")+($D$1994:$D$1997=D1991)&gt;0)*((E1991="")+($E$1994:$E$1997=E1991)&gt;0)*ROW($B$1994:$B$1997))),IF(COUNTIFS($D$1994:$D$1997,IF(D1991="","*",D1991),$E$1994:$E$1997,IF(E1991="","*",E1991))=0,"Not available",COUNTIFS($D$1994:$D$1997,IF(D1991="","*",D1991),$E$1994:$E$1997,IF(E1991="","*",E1991))&amp;" match, keep choosing"))</f>
        <v>EG-076-400W-ZZDJ</v>
      </c>
      <c r="C1991" s="16" t="n">
        <f aca="false">IF(COUNTIFS($D$1994:$D$1997,IF(D1991="","*",D1991),$E$1994:$E$1997,IF(E1991="","*",E1991))=1,INDEX($C:$C,SUMPRODUCT(((D1991="")+($D$1994:$D$1997=D1991)&gt;0)*((E1991="")+($E$1994:$E$1997=E1991)&gt;0)*ROW($B$1994:$B$1997))),"")</f>
        <v>43.33</v>
      </c>
      <c r="D1991" s="17" t="s">
        <v>22162</v>
      </c>
      <c r="E1991" s="17" t="s">
        <v>20016</v>
      </c>
    </row>
    <row r="1993" customFormat="false" ht="15" hidden="false" customHeight="false" outlineLevel="0" collapsed="false">
      <c r="B1993" s="18" t="s">
        <v>701</v>
      </c>
      <c r="C1993" s="18" t="s">
        <v>702</v>
      </c>
      <c r="D1993" s="18" t="s">
        <v>723</v>
      </c>
      <c r="E1993" s="18" t="s">
        <v>20008</v>
      </c>
    </row>
    <row r="1994" customFormat="false" ht="15" hidden="false" customHeight="false" outlineLevel="0" collapsed="false">
      <c r="B1994" s="19" t="s">
        <v>22163</v>
      </c>
      <c r="C1994" s="20" t="n">
        <f aca="false">ROUND(312/FX,2)</f>
        <v>43.33</v>
      </c>
      <c r="D1994" s="21" t="s">
        <v>22162</v>
      </c>
      <c r="E1994" s="21" t="s">
        <v>20016</v>
      </c>
    </row>
    <row r="1995" customFormat="false" ht="15" hidden="false" customHeight="false" outlineLevel="0" collapsed="false">
      <c r="B1995" s="19" t="s">
        <v>22164</v>
      </c>
      <c r="C1995" s="20" t="n">
        <f aca="false">ROUND(260/FX,2)</f>
        <v>36.11</v>
      </c>
      <c r="D1995" s="21" t="s">
        <v>22165</v>
      </c>
      <c r="E1995" s="21" t="s">
        <v>22166</v>
      </c>
    </row>
    <row r="1996" customFormat="false" ht="15" hidden="false" customHeight="false" outlineLevel="0" collapsed="false">
      <c r="B1996" s="19" t="s">
        <v>22167</v>
      </c>
      <c r="C1996" s="20" t="n">
        <f aca="false">ROUND(24.44/FX,2)</f>
        <v>3.39</v>
      </c>
      <c r="D1996" s="21" t="s">
        <v>22168</v>
      </c>
      <c r="E1996" s="21" t="s">
        <v>6336</v>
      </c>
    </row>
    <row r="1997" customFormat="false" ht="41.75" hidden="false" customHeight="false" outlineLevel="0" collapsed="false">
      <c r="B1997" s="19" t="s">
        <v>22169</v>
      </c>
      <c r="C1997" s="20" t="n">
        <f aca="false">ROUND(596.44/FX,2)</f>
        <v>82.84</v>
      </c>
      <c r="D1997" s="21" t="s">
        <v>22170</v>
      </c>
      <c r="E1997" s="21" t="s">
        <v>6336</v>
      </c>
    </row>
  </sheetData>
  <mergeCells count="102">
    <mergeCell ref="B1:D1"/>
    <mergeCell ref="B6:D6"/>
    <mergeCell ref="B15:D15"/>
    <mergeCell ref="B20:F20"/>
    <mergeCell ref="B34:D34"/>
    <mergeCell ref="B48:D48"/>
    <mergeCell ref="B64:D64"/>
    <mergeCell ref="B75:F75"/>
    <mergeCell ref="B109:F109"/>
    <mergeCell ref="B139:D139"/>
    <mergeCell ref="B154:D154"/>
    <mergeCell ref="B159:F159"/>
    <mergeCell ref="B353:D353"/>
    <mergeCell ref="B362:D362"/>
    <mergeCell ref="B367:H367"/>
    <mergeCell ref="B427:E427"/>
    <mergeCell ref="B438:E438"/>
    <mergeCell ref="B476:D476"/>
    <mergeCell ref="B481:E481"/>
    <mergeCell ref="B491:E491"/>
    <mergeCell ref="B508:D508"/>
    <mergeCell ref="B523:D523"/>
    <mergeCell ref="B528:F528"/>
    <mergeCell ref="B540:E540"/>
    <mergeCell ref="B551:D551"/>
    <mergeCell ref="B556:E556"/>
    <mergeCell ref="B565:D565"/>
    <mergeCell ref="B570:E570"/>
    <mergeCell ref="B593:F593"/>
    <mergeCell ref="B711:D711"/>
    <mergeCell ref="B720:G720"/>
    <mergeCell ref="B818:D818"/>
    <mergeCell ref="B827:D827"/>
    <mergeCell ref="B839:D839"/>
    <mergeCell ref="B850:D850"/>
    <mergeCell ref="B860:D860"/>
    <mergeCell ref="B865:D865"/>
    <mergeCell ref="B870:D870"/>
    <mergeCell ref="B879:D879"/>
    <mergeCell ref="B898:F898"/>
    <mergeCell ref="B915:E915"/>
    <mergeCell ref="B928:D928"/>
    <mergeCell ref="B933:D933"/>
    <mergeCell ref="B943:D943"/>
    <mergeCell ref="B948:F948"/>
    <mergeCell ref="B1009:D1009"/>
    <mergeCell ref="B1014:E1014"/>
    <mergeCell ref="B1036:D1036"/>
    <mergeCell ref="B1052:F1052"/>
    <mergeCell ref="B1062:E1062"/>
    <mergeCell ref="B1076:D1076"/>
    <mergeCell ref="B1085:D1085"/>
    <mergeCell ref="B1094:D1094"/>
    <mergeCell ref="B1099:D1099"/>
    <mergeCell ref="B1104:D1104"/>
    <mergeCell ref="B1109:D1109"/>
    <mergeCell ref="B1118:F1118"/>
    <mergeCell ref="B1132:D1132"/>
    <mergeCell ref="B1141:D1141"/>
    <mergeCell ref="B1157:D1157"/>
    <mergeCell ref="B1162:E1162"/>
    <mergeCell ref="B1197:D1197"/>
    <mergeCell ref="B1206:E1206"/>
    <mergeCell ref="B1217:E1217"/>
    <mergeCell ref="B1233:D1233"/>
    <mergeCell ref="B1238:G1238"/>
    <mergeCell ref="B1247:G1247"/>
    <mergeCell ref="B1457:E1457"/>
    <mergeCell ref="B1470:D1470"/>
    <mergeCell ref="B1475:D1475"/>
    <mergeCell ref="B1485:D1485"/>
    <mergeCell ref="B1494:D1494"/>
    <mergeCell ref="B1507:D1507"/>
    <mergeCell ref="B1516:E1516"/>
    <mergeCell ref="B1547:F1547"/>
    <mergeCell ref="B1571:F1571"/>
    <mergeCell ref="B1584:D1584"/>
    <mergeCell ref="B1589:E1589"/>
    <mergeCell ref="B1599:G1599"/>
    <mergeCell ref="B1624:G1624"/>
    <mergeCell ref="B1670:D1670"/>
    <mergeCell ref="B1680:D1680"/>
    <mergeCell ref="B1685:D1685"/>
    <mergeCell ref="B1722:D1722"/>
    <mergeCell ref="B1731:D1731"/>
    <mergeCell ref="B1732:D1732"/>
    <mergeCell ref="B1743:E1743"/>
    <mergeCell ref="B1756:D1756"/>
    <mergeCell ref="B1761:D1761"/>
    <mergeCell ref="B1773:D1773"/>
    <mergeCell ref="B1778:E1778"/>
    <mergeCell ref="B1787:D1787"/>
    <mergeCell ref="B1792:F1792"/>
    <mergeCell ref="B1811:E1811"/>
    <mergeCell ref="B1812:E1812"/>
    <mergeCell ref="B1821:D1821"/>
    <mergeCell ref="B1826:E1826"/>
    <mergeCell ref="B1827:E1827"/>
    <mergeCell ref="B1843:F1843"/>
    <mergeCell ref="B1898:D1898"/>
    <mergeCell ref="B1903:E1903"/>
    <mergeCell ref="B1989:E1989"/>
  </mergeCells>
  <dataValidations count="142">
    <dataValidation allowBlank="true" error="Please choose from the list" errorStyle="stop" errorTitle="▶ Quick quote" operator="between" showDropDown="false" showErrorMessage="false" showInputMessage="false" sqref="D8" type="list">
      <formula1>_lists!$RT$1:$RT$2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" type="list">
      <formula1>_lists!$RU$1:$RU$7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" type="list">
      <formula1>_lists!$RV$1:$RV$3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2" type="list">
      <formula1>_lists!$RW$1:$RW$2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" type="list">
      <formula1>_lists!$RX$1:$RX$7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0" type="list">
      <formula1>_lists!$RY$1:$RY$9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6" type="list">
      <formula1>_lists!$RZ$1:$RZ$4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7" type="list">
      <formula1>_lists!$SA$1:$SA$2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7" type="list">
      <formula1>_lists!$SB$1:$SB$27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77" type="list">
      <formula1>_lists!$SC$1:$SC$3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1" type="list">
      <formula1>_lists!$SD$1:$SD$2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1" type="list">
      <formula1>_lists!$SE$1:$SE$12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11" type="list">
      <formula1>_lists!$SF$1:$SF$12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1" type="list">
      <formula1>_lists!$SG$1:$SG$8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1" type="list">
      <formula1>_lists!$SH$1:$SH$7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61" type="list">
      <formula1>_lists!$SI$1:$SI$65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61" type="list">
      <formula1>_lists!$SJ$1:$SJ$3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55" type="list">
      <formula1>_lists!$SK$1:$SK$2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9" type="list">
      <formula1>_lists!$SL$1:$SL$21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9" type="list">
      <formula1>_lists!$SM$1:$SM$2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69" type="list">
      <formula1>_lists!$SN$1:$SN$2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69" type="list">
      <formula1>_lists!$SO$1:$SO$2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369" type="list">
      <formula1>_lists!$SP$1:$SP$3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29" type="list">
      <formula1>_lists!$SQ$1:$SQ$4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29" type="list">
      <formula1>_lists!$SR$1:$SR$2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40" type="list">
      <formula1>_lists!$SS$1:$SS$20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40" type="list">
      <formula1>_lists!$ST$1:$ST$2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83" type="list">
      <formula1>_lists!$SU$1:$SU$2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83" type="list">
      <formula1>_lists!$SV$1:$SV$3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93" type="list">
      <formula1>_lists!$SW$1:$SW$6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93" type="list">
      <formula1>_lists!$SX$1:$SX$3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0" type="list">
      <formula1>_lists!$SY$1:$SY$8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30" type="list">
      <formula1>_lists!$SZ$1:$SZ$2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30" type="list">
      <formula1>_lists!$TA$1:$TA$4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30" type="list">
      <formula1>_lists!$TB$1:$TB$2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42" type="list">
      <formula1>_lists!$TC$1:$TC$2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42" type="list">
      <formula1>_lists!$TD$1:$TD$2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58" type="list">
      <formula1>_lists!$TE$1:$TE$2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58" type="list">
      <formula1>_lists!$TF$1:$TF$2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72" type="list">
      <formula1>_lists!$TG$1:$TG$13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72" type="list">
      <formula1>_lists!$TH$1:$TH$6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95" type="list">
      <formula1>_lists!$TI$1:$TI$2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95" type="list">
      <formula1>_lists!$TJ$1:$TJ$8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95" type="list">
      <formula1>_lists!$TK$1:$TK$43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13" type="list">
      <formula1>_lists!$TL$1:$TL$2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22" type="list">
      <formula1>_lists!$TM$1:$TM$2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22" type="list">
      <formula1>_lists!$TN$1:$TN$3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722" type="list">
      <formula1>_lists!$TO$1:$TO$10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722" type="list">
      <formula1>_lists!$TP$1:$TP$10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20" type="list">
      <formula1>_lists!$TQ$1:$TQ$2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29" type="list">
      <formula1>_lists!$TR$1:$TR$5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41" type="list">
      <formula1>_lists!$TS$1:$TS$4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52" type="list">
      <formula1>_lists!$TT$1:$TT$3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72" type="list">
      <formula1>_lists!$TU$1:$TU$2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81" type="list">
      <formula1>_lists!$TV$1:$TV$12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00" type="list">
      <formula1>_lists!$TW$1:$TW$5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00" type="list">
      <formula1>_lists!$TX$1:$TX$3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00" type="list">
      <formula1>_lists!$TY$1:$TY$7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17" type="list">
      <formula1>_lists!$TZ$1:$TZ$6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17" type="list">
      <formula1>_lists!$UA$1:$UA$2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35" type="list">
      <formula1>_lists!$UB$1:$UB$3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50" type="list">
      <formula1>_lists!$UC$1:$UC$2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50" type="list">
      <formula1>_lists!$UD$1:$UD$8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50" type="list">
      <formula1>_lists!$UE$1:$UE$41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16" type="list">
      <formula1>_lists!$UF$1:$UF$6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16" type="list">
      <formula1>_lists!$UG$1:$UG$9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38" type="list">
      <formula1>_lists!$UH$1:$UH$9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54" type="list">
      <formula1>_lists!$UI$1:$UI$2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54" type="list">
      <formula1>_lists!$UJ$1:$UJ$2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54" type="list">
      <formula1>_lists!$UK$1:$UK$2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64" type="list">
      <formula1>_lists!$UL$1:$UL$3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64" type="list">
      <formula1>_lists!$UM$1:$UM$6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78" type="list">
      <formula1>_lists!$UN$1:$UN$2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87" type="list">
      <formula1>_lists!$UO$1:$UO$2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11" type="list">
      <formula1>_lists!$UP$1:$UP$2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20" type="list">
      <formula1>_lists!$UQ$1:$UQ$3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20" type="list">
      <formula1>_lists!$UR$1:$UR$2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120" type="list">
      <formula1>_lists!$US$1:$US$2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34" type="list">
      <formula1>_lists!$UT$1:$UT$2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43" type="list">
      <formula1>_lists!$UU$1:$UU$9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64" type="list">
      <formula1>_lists!$UV$1:$UV$3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64" type="list">
      <formula1>_lists!$UW$1:$UW$10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99" type="list">
      <formula1>_lists!$UX$1:$UX$2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08" type="list">
      <formula1>_lists!$UY$1:$UY$2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08" type="list">
      <formula1>_lists!$UZ$1:$UZ$2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19" type="list">
      <formula1>_lists!$VA$1:$VA$3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19" type="list">
      <formula1>_lists!$VB$1:$VB$8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40" type="list">
      <formula1>_lists!$VC$1:$VC$2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40" type="list">
      <formula1>_lists!$VD$1:$VD$2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40" type="list">
      <formula1>_lists!$VE$1:$VE$2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240" type="list">
      <formula1>_lists!$VF$1:$VF$2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49" type="list">
      <formula1>_lists!$VG$1:$VG$3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49" type="list">
      <formula1>_lists!$VH$1:$VH$125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49" type="list">
      <formula1>_lists!$VI$1:$VI$16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249" type="list">
      <formula1>_lists!$VJ$1:$VJ$5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59" type="list">
      <formula1>_lists!$VK$1:$VK$2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59" type="list">
      <formula1>_lists!$VL$1:$VL$3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77" type="list">
      <formula1>_lists!$VM$1:$VM$3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87" type="list">
      <formula1>_lists!$VN$1:$VN$2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96" type="list">
      <formula1>_lists!$VO$1:$VO$6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09" type="list">
      <formula1>_lists!$VP$1:$VP$2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18" type="list">
      <formula1>_lists!$VQ$1:$VQ$2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18" type="list">
      <formula1>_lists!$VR$1:$VR$12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49" type="list">
      <formula1>_lists!$VS$1:$VS$2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49" type="list">
      <formula1>_lists!$VT$1:$VT$3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549" type="list">
      <formula1>_lists!$VU$1:$VU$12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73" type="list">
      <formula1>_lists!$VV$1:$VV$3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73" type="list">
      <formula1>_lists!$VW$1:$VW$4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573" type="list">
      <formula1>_lists!$VX$1:$VX$3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91" type="list">
      <formula1>_lists!$VY$1:$VY$3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91" type="list">
      <formula1>_lists!$VZ$1:$VZ$2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01" type="list">
      <formula1>_lists!$WA$1:$WA$2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601" type="list">
      <formula1>_lists!$WB$1:$WB$7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601" type="list">
      <formula1>_lists!$WC$1:$WC$5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601" type="list">
      <formula1>_lists!$WD$1:$WD$2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26" type="list">
      <formula1>_lists!$WE$1:$WE$3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626" type="list">
      <formula1>_lists!$WF$1:$WF$3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626" type="list">
      <formula1>_lists!$WG$1:$WG$2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626" type="list">
      <formula1>_lists!$WH$1:$WH$11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72" type="list">
      <formula1>_lists!$WI$1:$WI$3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687" type="list">
      <formula1>_lists!$WJ$1:$WJ$30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24" type="list">
      <formula1>_lists!$WK$1:$WK$2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34" type="list">
      <formula1>_lists!$WL$1:$WL$4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45" type="list">
      <formula1>_lists!$WM$1:$WM$2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45" type="list">
      <formula1>_lists!$WN$1:$WN$3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63" type="list">
      <formula1>_lists!$WO$1:$WO$5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80" type="list">
      <formula1>_lists!$WP$1:$WP$2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80" type="list">
      <formula1>_lists!$WQ$1:$WQ$2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94" type="list">
      <formula1>_lists!$WR$1:$WR$3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94" type="list">
      <formula1>_lists!$WS$1:$WS$4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794" type="list">
      <formula1>_lists!$WT$1:$WT$5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14" type="list">
      <formula1>_lists!$WU$1:$WU$2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14" type="list">
      <formula1>_lists!$WV$1:$WV$2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29" type="list">
      <formula1>_lists!$WW$1:$WW$7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29" type="list">
      <formula1>_lists!$WX$1:$WX$3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45" type="list">
      <formula1>_lists!$WY$1:$WY$3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45" type="list">
      <formula1>_lists!$WZ$1:$WZ$45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845" type="list">
      <formula1>_lists!$XA$1:$XA$3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05" type="list">
      <formula1>_lists!$XB$1:$XB$9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05" type="list">
      <formula1>_lists!$XC$1:$XC$38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91" type="list">
      <formula1>_lists!$XD$1:$XD$4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91" type="list">
      <formula1>_lists!$XE$1:$XE$3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6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22171</v>
      </c>
      <c r="C1" s="10"/>
      <c r="D1" s="10"/>
    </row>
    <row r="2" customFormat="false" ht="15" hidden="false" customHeight="false" outlineLevel="0" collapsed="false">
      <c r="B2" s="18" t="s">
        <v>701</v>
      </c>
      <c r="C2" s="18" t="s">
        <v>702</v>
      </c>
      <c r="D2" s="18" t="s">
        <v>5610</v>
      </c>
    </row>
    <row r="3" customFormat="false" ht="15" hidden="false" customHeight="false" outlineLevel="0" collapsed="false">
      <c r="B3" s="19" t="s">
        <v>22172</v>
      </c>
      <c r="C3" s="20" t="n">
        <f aca="false">ROUND(36.4/FX,2)</f>
        <v>5.06</v>
      </c>
      <c r="D3" s="22" t="s">
        <v>5612</v>
      </c>
    </row>
    <row r="6" customFormat="false" ht="61.5" hidden="false" customHeight="true" outlineLevel="0" collapsed="false">
      <c r="A6" s="9"/>
      <c r="B6" s="10" t="s">
        <v>22173</v>
      </c>
      <c r="C6" s="10"/>
      <c r="D6" s="10"/>
      <c r="E6" s="10"/>
    </row>
    <row r="7" customFormat="false" ht="15" hidden="false" customHeight="false" outlineLevel="0" collapsed="false">
      <c r="A7" s="12" t="s">
        <v>700</v>
      </c>
      <c r="B7" s="13" t="s">
        <v>701</v>
      </c>
      <c r="C7" s="13" t="s">
        <v>702</v>
      </c>
      <c r="D7" s="13" t="s">
        <v>723</v>
      </c>
      <c r="E7" s="13" t="s">
        <v>6523</v>
      </c>
    </row>
    <row r="8" customFormat="false" ht="30" hidden="false" customHeight="true" outlineLevel="0" collapsed="false">
      <c r="A8" s="14" t="s">
        <v>706</v>
      </c>
      <c r="B8" s="15" t="str">
        <f aca="false">IF(COUNTIFS($D$11:$D$12,IF(D8="","*",D8),$E$11:$E$12,IF(E8="","*",E8))=1,INDEX($B:$B,SUMPRODUCT(((D8="")+($D$11:$D$12=D8)&gt;0)*((E8="")+($E$11:$E$12=E8)&gt;0)*ROW($B$11:$B$12))),IF(COUNTIFS($D$11:$D$12,IF(D8="","*",D8),$E$11:$E$12,IF(E8="","*",E8))=0,"Not available",COUNTIFS($D$11:$D$12,IF(D8="","*",D8),$E$11:$E$12,IF(E8="","*",E8))&amp;" match, keep choosing"))</f>
        <v>AL-038-3050FG</v>
      </c>
      <c r="C8" s="16" t="n">
        <f aca="false">IF(COUNTIFS($D$11:$D$12,IF(D8="","*",D8),$E$11:$E$12,IF(E8="","*",E8))=1,INDEX($C:$C,SUMPRODUCT(((D8="")+($D$11:$D$12=D8)&gt;0)*((E8="")+($E$11:$E$12=E8)&gt;0)*ROW($B$11:$B$12))),"")</f>
        <v>0.09</v>
      </c>
      <c r="D8" s="17" t="s">
        <v>22174</v>
      </c>
      <c r="E8" s="17" t="s">
        <v>6336</v>
      </c>
    </row>
    <row r="10" customFormat="false" ht="15" hidden="false" customHeight="false" outlineLevel="0" collapsed="false">
      <c r="B10" s="18" t="s">
        <v>701</v>
      </c>
      <c r="C10" s="18" t="s">
        <v>702</v>
      </c>
      <c r="D10" s="18" t="s">
        <v>723</v>
      </c>
      <c r="E10" s="18" t="s">
        <v>6523</v>
      </c>
    </row>
    <row r="11" customFormat="false" ht="15" hidden="false" customHeight="false" outlineLevel="0" collapsed="false">
      <c r="B11" s="19" t="s">
        <v>22175</v>
      </c>
      <c r="C11" s="20" t="n">
        <f aca="false">ROUND(0.65/FX,2)</f>
        <v>0.09</v>
      </c>
      <c r="D11" s="21" t="s">
        <v>22174</v>
      </c>
      <c r="E11" s="21" t="s">
        <v>6336</v>
      </c>
    </row>
    <row r="12" customFormat="false" ht="15" hidden="false" customHeight="false" outlineLevel="0" collapsed="false">
      <c r="B12" s="19" t="s">
        <v>22176</v>
      </c>
      <c r="C12" s="20" t="n">
        <f aca="false">ROUND(0.22/FX,2)</f>
        <v>0.03</v>
      </c>
      <c r="D12" s="21" t="s">
        <v>22177</v>
      </c>
      <c r="E12" s="21" t="s">
        <v>14652</v>
      </c>
    </row>
    <row r="15" customFormat="false" ht="61.5" hidden="false" customHeight="true" outlineLevel="0" collapsed="false">
      <c r="A15" s="9"/>
      <c r="B15" s="10" t="s">
        <v>22178</v>
      </c>
      <c r="C15" s="10"/>
      <c r="D15" s="10"/>
    </row>
    <row r="16" customFormat="false" ht="15" hidden="false" customHeight="false" outlineLevel="0" collapsed="false">
      <c r="B16" s="18" t="s">
        <v>701</v>
      </c>
      <c r="C16" s="18" t="s">
        <v>702</v>
      </c>
      <c r="D16" s="18" t="s">
        <v>5610</v>
      </c>
    </row>
    <row r="17" customFormat="false" ht="15" hidden="false" customHeight="false" outlineLevel="0" collapsed="false">
      <c r="B17" s="19" t="s">
        <v>22179</v>
      </c>
      <c r="C17" s="20" t="n">
        <f aca="false">ROUND(11.7/FX,2)</f>
        <v>1.63</v>
      </c>
      <c r="D17" s="22" t="s">
        <v>5612</v>
      </c>
    </row>
    <row r="20" customFormat="false" ht="61.5" hidden="false" customHeight="true" outlineLevel="0" collapsed="false">
      <c r="A20" s="9"/>
      <c r="B20" s="10" t="s">
        <v>22180</v>
      </c>
      <c r="C20" s="10"/>
      <c r="D20" s="10"/>
    </row>
    <row r="21" customFormat="false" ht="15" hidden="false" customHeight="false" outlineLevel="0" collapsed="false">
      <c r="B21" s="18" t="s">
        <v>701</v>
      </c>
      <c r="C21" s="18" t="s">
        <v>702</v>
      </c>
      <c r="D21" s="18" t="s">
        <v>5610</v>
      </c>
    </row>
    <row r="22" customFormat="false" ht="15" hidden="false" customHeight="false" outlineLevel="0" collapsed="false">
      <c r="B22" s="19" t="s">
        <v>22181</v>
      </c>
      <c r="C22" s="20" t="n">
        <f aca="false">ROUND(3.57/FX,2)</f>
        <v>0.5</v>
      </c>
      <c r="D22" s="22" t="s">
        <v>5612</v>
      </c>
    </row>
    <row r="25" customFormat="false" ht="61.5" hidden="false" customHeight="true" outlineLevel="0" collapsed="false">
      <c r="A25" s="9"/>
      <c r="B25" s="10" t="s">
        <v>22182</v>
      </c>
      <c r="C25" s="10"/>
      <c r="D25" s="10"/>
      <c r="E25" s="10"/>
    </row>
    <row r="26" customFormat="false" ht="15" hidden="false" customHeight="false" outlineLevel="0" collapsed="false">
      <c r="A26" s="12" t="s">
        <v>700</v>
      </c>
      <c r="B26" s="13" t="s">
        <v>701</v>
      </c>
      <c r="C26" s="13" t="s">
        <v>702</v>
      </c>
      <c r="D26" s="13" t="s">
        <v>723</v>
      </c>
      <c r="E26" s="13" t="s">
        <v>13701</v>
      </c>
    </row>
    <row r="27" customFormat="false" ht="30" hidden="false" customHeight="true" outlineLevel="0" collapsed="false">
      <c r="A27" s="14" t="s">
        <v>706</v>
      </c>
      <c r="B27" s="15" t="str">
        <f aca="false">IF(COUNTIFS($D$30:$D$74,IF(D27="","*",D27),$E$30:$E$74,IF(E27="","*",E27))=1,INDEX($B:$B,SUMPRODUCT(((D27="")+($D$30:$D$74=D27)&gt;0)*((E27="")+($E$30:$E$74=E27)&gt;0)*ROW($B$30:$B$74))),IF(COUNTIFS($D$30:$D$74,IF(D27="","*",D27),$E$30:$E$74,IF(E27="","*",E27))=0,"Not available",COUNTIFS($D$30:$D$74,IF(D27="","*",D27),$E$30:$E$74,IF(E27="","*",E27))&amp;" match, keep choosing"))</f>
        <v>AL-045-M10x100-DP40</v>
      </c>
      <c r="C27" s="16" t="n">
        <f aca="false">IF(COUNTIFS($D$30:$D$74,IF(D27="","*",D27),$E$30:$E$74,IF(E27="","*",E27))=1,INDEX($C:$C,SUMPRODUCT(((D27="")+($D$30:$D$74=D27)&gt;0)*((E27="")+($E$30:$E$74=E27)&gt;0)*ROW($B$30:$B$74))),"")</f>
        <v>0.67</v>
      </c>
      <c r="D27" s="17" t="s">
        <v>22183</v>
      </c>
      <c r="E27" s="17" t="s">
        <v>22184</v>
      </c>
    </row>
    <row r="29" customFormat="false" ht="15" hidden="false" customHeight="false" outlineLevel="0" collapsed="false">
      <c r="B29" s="18" t="s">
        <v>701</v>
      </c>
      <c r="C29" s="18" t="s">
        <v>702</v>
      </c>
      <c r="D29" s="18" t="s">
        <v>723</v>
      </c>
      <c r="E29" s="18" t="s">
        <v>13701</v>
      </c>
    </row>
    <row r="30" customFormat="false" ht="15" hidden="false" customHeight="false" outlineLevel="0" collapsed="false">
      <c r="B30" s="19" t="s">
        <v>22185</v>
      </c>
      <c r="C30" s="20" t="n">
        <f aca="false">ROUND(4.81/FX,2)</f>
        <v>0.67</v>
      </c>
      <c r="D30" s="21" t="s">
        <v>22183</v>
      </c>
      <c r="E30" s="21" t="s">
        <v>22184</v>
      </c>
    </row>
    <row r="31" customFormat="false" ht="15" hidden="false" customHeight="false" outlineLevel="0" collapsed="false">
      <c r="B31" s="19" t="s">
        <v>22186</v>
      </c>
      <c r="C31" s="20" t="n">
        <f aca="false">ROUND(4.81/FX,2)</f>
        <v>0.67</v>
      </c>
      <c r="D31" s="21" t="s">
        <v>22187</v>
      </c>
      <c r="E31" s="21" t="s">
        <v>22184</v>
      </c>
    </row>
    <row r="32" customFormat="false" ht="15" hidden="false" customHeight="false" outlineLevel="0" collapsed="false">
      <c r="B32" s="19" t="s">
        <v>22188</v>
      </c>
      <c r="C32" s="20" t="n">
        <f aca="false">ROUND(6.76/FX,2)</f>
        <v>0.94</v>
      </c>
      <c r="D32" s="21" t="s">
        <v>22189</v>
      </c>
      <c r="E32" s="21" t="s">
        <v>22184</v>
      </c>
    </row>
    <row r="33" customFormat="false" ht="15" hidden="false" customHeight="false" outlineLevel="0" collapsed="false">
      <c r="B33" s="19" t="s">
        <v>22190</v>
      </c>
      <c r="C33" s="20" t="n">
        <f aca="false">ROUND(4.55/FX,2)</f>
        <v>0.63</v>
      </c>
      <c r="D33" s="21" t="s">
        <v>22183</v>
      </c>
      <c r="E33" s="21" t="s">
        <v>22191</v>
      </c>
    </row>
    <row r="34" customFormat="false" ht="15" hidden="false" customHeight="false" outlineLevel="0" collapsed="false">
      <c r="B34" s="19" t="s">
        <v>22192</v>
      </c>
      <c r="C34" s="20" t="n">
        <f aca="false">ROUND(4.68/FX,2)</f>
        <v>0.65</v>
      </c>
      <c r="D34" s="21" t="s">
        <v>22187</v>
      </c>
      <c r="E34" s="21" t="s">
        <v>22191</v>
      </c>
    </row>
    <row r="35" customFormat="false" ht="15" hidden="false" customHeight="false" outlineLevel="0" collapsed="false">
      <c r="B35" s="19" t="s">
        <v>22193</v>
      </c>
      <c r="C35" s="20" t="n">
        <f aca="false">ROUND(6.5/FX,2)</f>
        <v>0.9</v>
      </c>
      <c r="D35" s="21" t="s">
        <v>22189</v>
      </c>
      <c r="E35" s="21" t="s">
        <v>22191</v>
      </c>
    </row>
    <row r="36" customFormat="false" ht="15" hidden="false" customHeight="false" outlineLevel="0" collapsed="false">
      <c r="B36" s="19" t="s">
        <v>22194</v>
      </c>
      <c r="C36" s="20" t="n">
        <f aca="false">ROUND(4.68/FX,2)</f>
        <v>0.65</v>
      </c>
      <c r="D36" s="21" t="s">
        <v>22183</v>
      </c>
      <c r="E36" s="21" t="s">
        <v>22195</v>
      </c>
    </row>
    <row r="37" customFormat="false" ht="15" hidden="false" customHeight="false" outlineLevel="0" collapsed="false">
      <c r="B37" s="19" t="s">
        <v>22196</v>
      </c>
      <c r="C37" s="20" t="n">
        <f aca="false">ROUND(4.81/FX,2)</f>
        <v>0.67</v>
      </c>
      <c r="D37" s="21" t="s">
        <v>22187</v>
      </c>
      <c r="E37" s="21" t="s">
        <v>22195</v>
      </c>
    </row>
    <row r="38" customFormat="false" ht="15" hidden="false" customHeight="false" outlineLevel="0" collapsed="false">
      <c r="B38" s="19" t="s">
        <v>22197</v>
      </c>
      <c r="C38" s="20" t="n">
        <f aca="false">ROUND(6.63/FX,2)</f>
        <v>0.92</v>
      </c>
      <c r="D38" s="21" t="s">
        <v>22189</v>
      </c>
      <c r="E38" s="21" t="s">
        <v>22195</v>
      </c>
    </row>
    <row r="39" customFormat="false" ht="15" hidden="false" customHeight="false" outlineLevel="0" collapsed="false">
      <c r="B39" s="19" t="s">
        <v>22198</v>
      </c>
      <c r="C39" s="20" t="n">
        <f aca="false">ROUND(5.05/FX,2)</f>
        <v>0.7</v>
      </c>
      <c r="D39" s="21" t="s">
        <v>22183</v>
      </c>
      <c r="E39" s="21" t="s">
        <v>22199</v>
      </c>
    </row>
    <row r="40" customFormat="false" ht="15" hidden="false" customHeight="false" outlineLevel="0" collapsed="false">
      <c r="B40" s="19" t="s">
        <v>22200</v>
      </c>
      <c r="C40" s="20" t="n">
        <f aca="false">ROUND(5.2/FX,2)</f>
        <v>0.72</v>
      </c>
      <c r="D40" s="21" t="s">
        <v>22187</v>
      </c>
      <c r="E40" s="21" t="s">
        <v>22199</v>
      </c>
    </row>
    <row r="41" customFormat="false" ht="15" hidden="false" customHeight="false" outlineLevel="0" collapsed="false">
      <c r="B41" s="19" t="s">
        <v>22201</v>
      </c>
      <c r="C41" s="20" t="n">
        <f aca="false">ROUND(7.15/FX,2)</f>
        <v>0.99</v>
      </c>
      <c r="D41" s="21" t="s">
        <v>22189</v>
      </c>
      <c r="E41" s="21" t="s">
        <v>22199</v>
      </c>
    </row>
    <row r="42" customFormat="false" ht="15" hidden="false" customHeight="false" outlineLevel="0" collapsed="false">
      <c r="B42" s="19" t="s">
        <v>22202</v>
      </c>
      <c r="C42" s="20" t="n">
        <f aca="false">ROUND(5.59/FX,2)</f>
        <v>0.78</v>
      </c>
      <c r="D42" s="21" t="s">
        <v>22183</v>
      </c>
      <c r="E42" s="21" t="s">
        <v>22203</v>
      </c>
    </row>
    <row r="43" customFormat="false" ht="15" hidden="false" customHeight="false" outlineLevel="0" collapsed="false">
      <c r="B43" s="19" t="s">
        <v>22204</v>
      </c>
      <c r="C43" s="20" t="n">
        <f aca="false">ROUND(5.33/FX,2)</f>
        <v>0.74</v>
      </c>
      <c r="D43" s="21" t="s">
        <v>22187</v>
      </c>
      <c r="E43" s="21" t="s">
        <v>22203</v>
      </c>
    </row>
    <row r="44" customFormat="false" ht="15" hidden="false" customHeight="false" outlineLevel="0" collapsed="false">
      <c r="B44" s="19" t="s">
        <v>22205</v>
      </c>
      <c r="C44" s="20" t="n">
        <f aca="false">ROUND(7.28/FX,2)</f>
        <v>1.01</v>
      </c>
      <c r="D44" s="21" t="s">
        <v>22189</v>
      </c>
      <c r="E44" s="21" t="s">
        <v>22203</v>
      </c>
    </row>
    <row r="45" customFormat="false" ht="15" hidden="false" customHeight="false" outlineLevel="0" collapsed="false">
      <c r="B45" s="19" t="s">
        <v>22206</v>
      </c>
      <c r="C45" s="20" t="n">
        <f aca="false">ROUND(5.59/FX,2)</f>
        <v>0.78</v>
      </c>
      <c r="D45" s="21" t="s">
        <v>22183</v>
      </c>
      <c r="E45" s="21" t="s">
        <v>22207</v>
      </c>
    </row>
    <row r="46" customFormat="false" ht="15" hidden="false" customHeight="false" outlineLevel="0" collapsed="false">
      <c r="B46" s="19" t="s">
        <v>22208</v>
      </c>
      <c r="C46" s="20" t="n">
        <f aca="false">ROUND(5.59/FX,2)</f>
        <v>0.78</v>
      </c>
      <c r="D46" s="21" t="s">
        <v>22187</v>
      </c>
      <c r="E46" s="21" t="s">
        <v>22207</v>
      </c>
    </row>
    <row r="47" customFormat="false" ht="15" hidden="false" customHeight="false" outlineLevel="0" collapsed="false">
      <c r="B47" s="19" t="s">
        <v>22209</v>
      </c>
      <c r="C47" s="20" t="n">
        <f aca="false">ROUND(7.41/FX,2)</f>
        <v>1.03</v>
      </c>
      <c r="D47" s="21" t="s">
        <v>22189</v>
      </c>
      <c r="E47" s="21" t="s">
        <v>22207</v>
      </c>
    </row>
    <row r="48" customFormat="false" ht="15" hidden="false" customHeight="false" outlineLevel="0" collapsed="false">
      <c r="B48" s="19" t="s">
        <v>22210</v>
      </c>
      <c r="C48" s="20" t="n">
        <f aca="false">ROUND(4.81/FX,2)</f>
        <v>0.67</v>
      </c>
      <c r="D48" s="21" t="s">
        <v>22183</v>
      </c>
      <c r="E48" s="21" t="s">
        <v>22211</v>
      </c>
    </row>
    <row r="49" customFormat="false" ht="15" hidden="false" customHeight="false" outlineLevel="0" collapsed="false">
      <c r="B49" s="19" t="s">
        <v>22212</v>
      </c>
      <c r="C49" s="20" t="n">
        <f aca="false">ROUND(4.81/FX,2)</f>
        <v>0.67</v>
      </c>
      <c r="D49" s="21" t="s">
        <v>22187</v>
      </c>
      <c r="E49" s="21" t="s">
        <v>22211</v>
      </c>
    </row>
    <row r="50" customFormat="false" ht="15" hidden="false" customHeight="false" outlineLevel="0" collapsed="false">
      <c r="B50" s="19" t="s">
        <v>22213</v>
      </c>
      <c r="C50" s="20" t="n">
        <f aca="false">ROUND(6.89/FX,2)</f>
        <v>0.96</v>
      </c>
      <c r="D50" s="21" t="s">
        <v>22189</v>
      </c>
      <c r="E50" s="21" t="s">
        <v>22211</v>
      </c>
    </row>
    <row r="51" customFormat="false" ht="15" hidden="false" customHeight="false" outlineLevel="0" collapsed="false">
      <c r="B51" s="19" t="s">
        <v>22214</v>
      </c>
      <c r="C51" s="20" t="n">
        <f aca="false">ROUND(4.81/FX,2)</f>
        <v>0.67</v>
      </c>
      <c r="D51" s="21" t="s">
        <v>22183</v>
      </c>
      <c r="E51" s="21" t="s">
        <v>22215</v>
      </c>
    </row>
    <row r="52" customFormat="false" ht="15" hidden="false" customHeight="false" outlineLevel="0" collapsed="false">
      <c r="B52" s="19" t="s">
        <v>22216</v>
      </c>
      <c r="C52" s="20" t="n">
        <f aca="false">ROUND(4.81/FX,2)</f>
        <v>0.67</v>
      </c>
      <c r="D52" s="21" t="s">
        <v>22187</v>
      </c>
      <c r="E52" s="21" t="s">
        <v>22215</v>
      </c>
    </row>
    <row r="53" customFormat="false" ht="15" hidden="false" customHeight="false" outlineLevel="0" collapsed="false">
      <c r="B53" s="19" t="s">
        <v>22217</v>
      </c>
      <c r="C53" s="20" t="n">
        <f aca="false">ROUND(7.02/FX,2)</f>
        <v>0.98</v>
      </c>
      <c r="D53" s="21" t="s">
        <v>22189</v>
      </c>
      <c r="E53" s="21" t="s">
        <v>22215</v>
      </c>
    </row>
    <row r="54" customFormat="false" ht="15" hidden="false" customHeight="false" outlineLevel="0" collapsed="false">
      <c r="B54" s="19" t="s">
        <v>22218</v>
      </c>
      <c r="C54" s="20" t="n">
        <f aca="false">ROUND(7.54/FX,2)</f>
        <v>1.05</v>
      </c>
      <c r="D54" s="21" t="s">
        <v>22187</v>
      </c>
      <c r="E54" s="21" t="s">
        <v>22219</v>
      </c>
    </row>
    <row r="55" customFormat="false" ht="15" hidden="false" customHeight="false" outlineLevel="0" collapsed="false">
      <c r="B55" s="19" t="s">
        <v>22220</v>
      </c>
      <c r="C55" s="20" t="n">
        <f aca="false">ROUND(9.1/FX,2)</f>
        <v>1.26</v>
      </c>
      <c r="D55" s="21" t="s">
        <v>22189</v>
      </c>
      <c r="E55" s="21" t="s">
        <v>22219</v>
      </c>
    </row>
    <row r="56" customFormat="false" ht="15" hidden="false" customHeight="false" outlineLevel="0" collapsed="false">
      <c r="B56" s="19" t="s">
        <v>22221</v>
      </c>
      <c r="C56" s="20" t="n">
        <f aca="false">ROUND(7.93/FX,2)</f>
        <v>1.1</v>
      </c>
      <c r="D56" s="21" t="s">
        <v>22187</v>
      </c>
      <c r="E56" s="21" t="s">
        <v>22222</v>
      </c>
    </row>
    <row r="57" customFormat="false" ht="15" hidden="false" customHeight="false" outlineLevel="0" collapsed="false">
      <c r="B57" s="19" t="s">
        <v>22223</v>
      </c>
      <c r="C57" s="20" t="n">
        <f aca="false">ROUND(9.62/FX,2)</f>
        <v>1.34</v>
      </c>
      <c r="D57" s="21" t="s">
        <v>22189</v>
      </c>
      <c r="E57" s="21" t="s">
        <v>22222</v>
      </c>
    </row>
    <row r="58" customFormat="false" ht="15" hidden="false" customHeight="false" outlineLevel="0" collapsed="false">
      <c r="B58" s="19" t="s">
        <v>22224</v>
      </c>
      <c r="C58" s="20" t="n">
        <f aca="false">ROUND(8.45/FX,2)</f>
        <v>1.17</v>
      </c>
      <c r="D58" s="21" t="s">
        <v>22187</v>
      </c>
      <c r="E58" s="21" t="s">
        <v>22225</v>
      </c>
    </row>
    <row r="59" customFormat="false" ht="15" hidden="false" customHeight="false" outlineLevel="0" collapsed="false">
      <c r="B59" s="19" t="s">
        <v>22226</v>
      </c>
      <c r="C59" s="20" t="n">
        <f aca="false">ROUND(10.01/FX,2)</f>
        <v>1.39</v>
      </c>
      <c r="D59" s="21" t="s">
        <v>22189</v>
      </c>
      <c r="E59" s="21" t="s">
        <v>22225</v>
      </c>
    </row>
    <row r="60" customFormat="false" ht="15" hidden="false" customHeight="false" outlineLevel="0" collapsed="false">
      <c r="B60" s="19" t="s">
        <v>22227</v>
      </c>
      <c r="C60" s="20" t="n">
        <f aca="false">ROUND(6.89/FX,2)</f>
        <v>0.96</v>
      </c>
      <c r="D60" s="21" t="s">
        <v>22187</v>
      </c>
      <c r="E60" s="21" t="s">
        <v>22228</v>
      </c>
    </row>
    <row r="61" customFormat="false" ht="15" hidden="false" customHeight="false" outlineLevel="0" collapsed="false">
      <c r="B61" s="19" t="s">
        <v>22229</v>
      </c>
      <c r="C61" s="20" t="n">
        <f aca="false">ROUND(8.45/FX,2)</f>
        <v>1.17</v>
      </c>
      <c r="D61" s="21" t="s">
        <v>22189</v>
      </c>
      <c r="E61" s="21" t="s">
        <v>22228</v>
      </c>
    </row>
    <row r="62" customFormat="false" ht="15" hidden="false" customHeight="false" outlineLevel="0" collapsed="false">
      <c r="B62" s="19" t="s">
        <v>22230</v>
      </c>
      <c r="C62" s="20" t="n">
        <f aca="false">ROUND(7.15/FX,2)</f>
        <v>0.99</v>
      </c>
      <c r="D62" s="21" t="s">
        <v>22187</v>
      </c>
      <c r="E62" s="21" t="s">
        <v>22231</v>
      </c>
    </row>
    <row r="63" customFormat="false" ht="15" hidden="false" customHeight="false" outlineLevel="0" collapsed="false">
      <c r="B63" s="19" t="s">
        <v>22232</v>
      </c>
      <c r="C63" s="20" t="n">
        <f aca="false">ROUND(8.71/FX,2)</f>
        <v>1.21</v>
      </c>
      <c r="D63" s="21" t="s">
        <v>22189</v>
      </c>
      <c r="E63" s="21" t="s">
        <v>22231</v>
      </c>
    </row>
    <row r="64" customFormat="false" ht="15" hidden="false" customHeight="false" outlineLevel="0" collapsed="false">
      <c r="B64" s="19" t="s">
        <v>22233</v>
      </c>
      <c r="C64" s="20" t="n">
        <f aca="false">ROUND(10.66/FX,2)</f>
        <v>1.48</v>
      </c>
      <c r="D64" s="21" t="s">
        <v>22189</v>
      </c>
      <c r="E64" s="21" t="s">
        <v>22234</v>
      </c>
    </row>
    <row r="65" customFormat="false" ht="15" hidden="false" customHeight="false" outlineLevel="0" collapsed="false">
      <c r="B65" s="19" t="s">
        <v>22235</v>
      </c>
      <c r="C65" s="20" t="n">
        <f aca="false">ROUND(11.05/FX,2)</f>
        <v>1.53</v>
      </c>
      <c r="D65" s="21" t="s">
        <v>22189</v>
      </c>
      <c r="E65" s="21" t="s">
        <v>22236</v>
      </c>
    </row>
    <row r="66" customFormat="false" ht="15" hidden="false" customHeight="false" outlineLevel="0" collapsed="false">
      <c r="B66" s="19" t="s">
        <v>22237</v>
      </c>
      <c r="C66" s="20" t="n">
        <f aca="false">ROUND(12.74/FX,2)</f>
        <v>1.77</v>
      </c>
      <c r="D66" s="21" t="s">
        <v>22189</v>
      </c>
      <c r="E66" s="21" t="s">
        <v>22238</v>
      </c>
    </row>
    <row r="67" customFormat="false" ht="15" hidden="false" customHeight="false" outlineLevel="0" collapsed="false">
      <c r="B67" s="19" t="s">
        <v>22239</v>
      </c>
      <c r="C67" s="20" t="n">
        <f aca="false">ROUND(10.14/FX,2)</f>
        <v>1.41</v>
      </c>
      <c r="D67" s="21" t="s">
        <v>22189</v>
      </c>
      <c r="E67" s="21" t="s">
        <v>22240</v>
      </c>
    </row>
    <row r="68" customFormat="false" ht="15" hidden="false" customHeight="false" outlineLevel="0" collapsed="false">
      <c r="B68" s="19" t="s">
        <v>22241</v>
      </c>
      <c r="C68" s="20" t="n">
        <f aca="false">ROUND(10.14/FX,2)</f>
        <v>1.41</v>
      </c>
      <c r="D68" s="21" t="s">
        <v>22189</v>
      </c>
      <c r="E68" s="21" t="s">
        <v>22242</v>
      </c>
    </row>
    <row r="69" customFormat="false" ht="15" hidden="false" customHeight="false" outlineLevel="0" collapsed="false">
      <c r="B69" s="19" t="s">
        <v>22243</v>
      </c>
      <c r="C69" s="20" t="n">
        <f aca="false">ROUND(4.68/FX,2)</f>
        <v>0.65</v>
      </c>
      <c r="D69" s="21" t="s">
        <v>22183</v>
      </c>
      <c r="E69" s="21" t="s">
        <v>22244</v>
      </c>
    </row>
    <row r="70" customFormat="false" ht="15" hidden="false" customHeight="false" outlineLevel="0" collapsed="false">
      <c r="B70" s="19" t="s">
        <v>22245</v>
      </c>
      <c r="C70" s="20" t="n">
        <f aca="false">ROUND(4.68/FX,2)</f>
        <v>0.65</v>
      </c>
      <c r="D70" s="21" t="s">
        <v>22187</v>
      </c>
      <c r="E70" s="21" t="s">
        <v>22244</v>
      </c>
    </row>
    <row r="71" customFormat="false" ht="15" hidden="false" customHeight="false" outlineLevel="0" collapsed="false">
      <c r="B71" s="19" t="s">
        <v>22246</v>
      </c>
      <c r="C71" s="20" t="n">
        <f aca="false">ROUND(4.42/FX,2)</f>
        <v>0.61</v>
      </c>
      <c r="D71" s="21" t="s">
        <v>22183</v>
      </c>
      <c r="E71" s="21" t="s">
        <v>22247</v>
      </c>
    </row>
    <row r="72" customFormat="false" ht="15" hidden="false" customHeight="false" outlineLevel="0" collapsed="false">
      <c r="B72" s="19" t="s">
        <v>22248</v>
      </c>
      <c r="C72" s="20" t="n">
        <f aca="false">ROUND(4.55/FX,2)</f>
        <v>0.63</v>
      </c>
      <c r="D72" s="21" t="s">
        <v>22187</v>
      </c>
      <c r="E72" s="21" t="s">
        <v>22247</v>
      </c>
    </row>
    <row r="73" customFormat="false" ht="15" hidden="false" customHeight="false" outlineLevel="0" collapsed="false">
      <c r="B73" s="19" t="s">
        <v>22249</v>
      </c>
      <c r="C73" s="20" t="n">
        <f aca="false">ROUND(4.55/FX,2)</f>
        <v>0.63</v>
      </c>
      <c r="D73" s="21" t="s">
        <v>22183</v>
      </c>
      <c r="E73" s="21" t="s">
        <v>22250</v>
      </c>
    </row>
    <row r="74" customFormat="false" ht="15" hidden="false" customHeight="false" outlineLevel="0" collapsed="false">
      <c r="B74" s="19" t="s">
        <v>22251</v>
      </c>
      <c r="C74" s="20" t="n">
        <f aca="false">ROUND(4.68/FX,2)</f>
        <v>0.65</v>
      </c>
      <c r="D74" s="21" t="s">
        <v>22187</v>
      </c>
      <c r="E74" s="21" t="s">
        <v>22250</v>
      </c>
    </row>
    <row r="77" customFormat="false" ht="61.5" hidden="false" customHeight="true" outlineLevel="0" collapsed="false">
      <c r="A77" s="9"/>
      <c r="B77" s="10" t="s">
        <v>22252</v>
      </c>
      <c r="C77" s="10"/>
      <c r="D77" s="10"/>
      <c r="E77" s="10"/>
    </row>
    <row r="78" customFormat="false" ht="15" hidden="false" customHeight="false" outlineLevel="0" collapsed="false">
      <c r="A78" s="12" t="s">
        <v>700</v>
      </c>
      <c r="B78" s="13" t="s">
        <v>701</v>
      </c>
      <c r="C78" s="13" t="s">
        <v>702</v>
      </c>
      <c r="D78" s="13" t="s">
        <v>722</v>
      </c>
      <c r="E78" s="13" t="s">
        <v>723</v>
      </c>
    </row>
    <row r="79" customFormat="false" ht="30" hidden="false" customHeight="true" outlineLevel="0" collapsed="false">
      <c r="A79" s="14" t="s">
        <v>706</v>
      </c>
      <c r="B79" s="15" t="str">
        <f aca="false">IF(COUNTIFS($D$82:$D$103,IF(D79="","*",D79),$E$82:$E$103,IF(E79="","*",E79))=1,INDEX($B:$B,SUMPRODUCT(((D79="")+($D$82:$D$103=D79)&gt;0)*((E79="")+($E$82:$E$103=E79)&gt;0)*ROW($B$82:$B$103))),IF(COUNTIFS($D$82:$D$103,IF(D79="","*",D79),$E$82:$E$103,IF(E79="","*",E79))=0,"Not available",COUNTIFS($D$82:$D$103,IF(D79="","*",D79),$E$82:$E$103,IF(E79="","*",E79))&amp;" match, keep choosing"))</f>
        <v>AL-062-GD-100F-PBK</v>
      </c>
      <c r="C79" s="16" t="n">
        <f aca="false">IF(COUNTIFS($D$82:$D$103,IF(D79="","*",D79),$E$82:$E$103,IF(E79="","*",E79))=1,INDEX($C:$C,SUMPRODUCT(((D79="")+($D$82:$D$103=D79)&gt;0)*((E79="")+($E$82:$E$103=E79)&gt;0)*ROW($B$82:$B$103))),"")</f>
        <v>3.99</v>
      </c>
      <c r="D79" s="17" t="s">
        <v>6336</v>
      </c>
      <c r="E79" s="17" t="s">
        <v>22253</v>
      </c>
    </row>
    <row r="81" customFormat="false" ht="15" hidden="false" customHeight="false" outlineLevel="0" collapsed="false">
      <c r="B81" s="18" t="s">
        <v>701</v>
      </c>
      <c r="C81" s="18" t="s">
        <v>702</v>
      </c>
      <c r="D81" s="18" t="s">
        <v>722</v>
      </c>
      <c r="E81" s="18" t="s">
        <v>723</v>
      </c>
    </row>
    <row r="82" customFormat="false" ht="15" hidden="false" customHeight="false" outlineLevel="0" collapsed="false">
      <c r="B82" s="19" t="s">
        <v>22254</v>
      </c>
      <c r="C82" s="20" t="n">
        <f aca="false">ROUND(28.72/FX,2)</f>
        <v>3.99</v>
      </c>
      <c r="D82" s="21" t="s">
        <v>6336</v>
      </c>
      <c r="E82" s="21" t="s">
        <v>22253</v>
      </c>
    </row>
    <row r="83" customFormat="false" ht="28.35" hidden="false" customHeight="false" outlineLevel="0" collapsed="false">
      <c r="B83" s="19" t="s">
        <v>22255</v>
      </c>
      <c r="C83" s="20" t="n">
        <f aca="false">ROUND(48.1/FX,2)</f>
        <v>6.68</v>
      </c>
      <c r="D83" s="21" t="s">
        <v>6336</v>
      </c>
      <c r="E83" s="21" t="s">
        <v>22256</v>
      </c>
    </row>
    <row r="84" customFormat="false" ht="28.35" hidden="false" customHeight="false" outlineLevel="0" collapsed="false">
      <c r="B84" s="19" t="s">
        <v>22257</v>
      </c>
      <c r="C84" s="20" t="n">
        <f aca="false">ROUND(52/FX,2)</f>
        <v>7.22</v>
      </c>
      <c r="D84" s="21" t="s">
        <v>6336</v>
      </c>
      <c r="E84" s="21" t="s">
        <v>22258</v>
      </c>
    </row>
    <row r="85" customFormat="false" ht="15" hidden="false" customHeight="false" outlineLevel="0" collapsed="false">
      <c r="B85" s="19" t="s">
        <v>22259</v>
      </c>
      <c r="C85" s="20" t="n">
        <f aca="false">ROUND(49.4/FX,2)</f>
        <v>6.86</v>
      </c>
      <c r="D85" s="21" t="s">
        <v>6336</v>
      </c>
      <c r="E85" s="21" t="s">
        <v>22260</v>
      </c>
    </row>
    <row r="86" customFormat="false" ht="28.35" hidden="false" customHeight="false" outlineLevel="0" collapsed="false">
      <c r="B86" s="19" t="s">
        <v>22261</v>
      </c>
      <c r="C86" s="20" t="n">
        <f aca="false">ROUND(52/FX,2)</f>
        <v>7.22</v>
      </c>
      <c r="D86" s="21" t="s">
        <v>6336</v>
      </c>
      <c r="E86" s="21" t="s">
        <v>22262</v>
      </c>
    </row>
    <row r="87" customFormat="false" ht="15" hidden="false" customHeight="false" outlineLevel="0" collapsed="false">
      <c r="B87" s="19" t="s">
        <v>22263</v>
      </c>
      <c r="C87" s="20" t="n">
        <f aca="false">ROUND(117/FX,2)</f>
        <v>16.25</v>
      </c>
      <c r="D87" s="21" t="s">
        <v>6336</v>
      </c>
      <c r="E87" s="21" t="s">
        <v>22264</v>
      </c>
    </row>
    <row r="88" customFormat="false" ht="15" hidden="false" customHeight="false" outlineLevel="0" collapsed="false">
      <c r="B88" s="19" t="s">
        <v>22265</v>
      </c>
      <c r="C88" s="20" t="n">
        <f aca="false">ROUND(10.09/FX,2)</f>
        <v>1.4</v>
      </c>
      <c r="D88" s="21" t="s">
        <v>6336</v>
      </c>
      <c r="E88" s="21" t="s">
        <v>22266</v>
      </c>
    </row>
    <row r="89" customFormat="false" ht="15" hidden="false" customHeight="false" outlineLevel="0" collapsed="false">
      <c r="B89" s="19" t="s">
        <v>22267</v>
      </c>
      <c r="C89" s="20" t="n">
        <f aca="false">ROUND(16.25/FX,2)</f>
        <v>2.26</v>
      </c>
      <c r="D89" s="21" t="s">
        <v>6336</v>
      </c>
      <c r="E89" s="21" t="s">
        <v>22268</v>
      </c>
    </row>
    <row r="90" customFormat="false" ht="15" hidden="false" customHeight="false" outlineLevel="0" collapsed="false">
      <c r="B90" s="19" t="s">
        <v>22269</v>
      </c>
      <c r="C90" s="20" t="n">
        <f aca="false">ROUND(22.1/FX,2)</f>
        <v>3.07</v>
      </c>
      <c r="D90" s="21" t="s">
        <v>6336</v>
      </c>
      <c r="E90" s="21" t="s">
        <v>22270</v>
      </c>
    </row>
    <row r="91" customFormat="false" ht="15" hidden="false" customHeight="false" outlineLevel="0" collapsed="false">
      <c r="B91" s="19" t="s">
        <v>22271</v>
      </c>
      <c r="C91" s="20" t="n">
        <f aca="false">ROUND(23.4/FX,2)</f>
        <v>3.25</v>
      </c>
      <c r="D91" s="21" t="s">
        <v>6336</v>
      </c>
      <c r="E91" s="21" t="s">
        <v>22272</v>
      </c>
    </row>
    <row r="92" customFormat="false" ht="28.35" hidden="false" customHeight="false" outlineLevel="0" collapsed="false">
      <c r="B92" s="19" t="s">
        <v>22273</v>
      </c>
      <c r="C92" s="20" t="n">
        <f aca="false">ROUND(32.5/FX,2)</f>
        <v>4.51</v>
      </c>
      <c r="D92" s="21" t="s">
        <v>6336</v>
      </c>
      <c r="E92" s="21" t="s">
        <v>22274</v>
      </c>
    </row>
    <row r="93" customFormat="false" ht="15" hidden="false" customHeight="false" outlineLevel="0" collapsed="false">
      <c r="B93" s="19" t="s">
        <v>22275</v>
      </c>
      <c r="C93" s="20" t="n">
        <f aca="false">ROUND(32.5/FX,2)</f>
        <v>4.51</v>
      </c>
      <c r="D93" s="21" t="s">
        <v>6336</v>
      </c>
      <c r="E93" s="21" t="s">
        <v>22276</v>
      </c>
    </row>
    <row r="94" customFormat="false" ht="15" hidden="false" customHeight="false" outlineLevel="0" collapsed="false">
      <c r="B94" s="19" t="s">
        <v>22277</v>
      </c>
      <c r="C94" s="20" t="n">
        <f aca="false">ROUND(33.8/FX,2)</f>
        <v>4.69</v>
      </c>
      <c r="D94" s="21" t="s">
        <v>6336</v>
      </c>
      <c r="E94" s="21" t="s">
        <v>22278</v>
      </c>
    </row>
    <row r="95" customFormat="false" ht="28.35" hidden="false" customHeight="false" outlineLevel="0" collapsed="false">
      <c r="B95" s="19" t="s">
        <v>22279</v>
      </c>
      <c r="C95" s="20" t="n">
        <f aca="false">ROUND(45.5/FX,2)</f>
        <v>6.32</v>
      </c>
      <c r="D95" s="21" t="s">
        <v>6336</v>
      </c>
      <c r="E95" s="21" t="s">
        <v>22280</v>
      </c>
    </row>
    <row r="96" customFormat="false" ht="28.35" hidden="false" customHeight="false" outlineLevel="0" collapsed="false">
      <c r="B96" s="19" t="s">
        <v>22281</v>
      </c>
      <c r="C96" s="20" t="n">
        <f aca="false">ROUND(84.5/FX,2)</f>
        <v>11.74</v>
      </c>
      <c r="D96" s="21" t="s">
        <v>6549</v>
      </c>
      <c r="E96" s="21" t="s">
        <v>22282</v>
      </c>
    </row>
    <row r="97" customFormat="false" ht="28.35" hidden="false" customHeight="false" outlineLevel="0" collapsed="false">
      <c r="B97" s="19" t="s">
        <v>22283</v>
      </c>
      <c r="C97" s="20" t="n">
        <f aca="false">ROUND(84.5/FX,2)</f>
        <v>11.74</v>
      </c>
      <c r="D97" s="21" t="s">
        <v>6549</v>
      </c>
      <c r="E97" s="21" t="s">
        <v>22284</v>
      </c>
    </row>
    <row r="98" customFormat="false" ht="28.35" hidden="false" customHeight="false" outlineLevel="0" collapsed="false">
      <c r="B98" s="19" t="s">
        <v>22285</v>
      </c>
      <c r="C98" s="20" t="n">
        <f aca="false">ROUND(97.5/FX,2)</f>
        <v>13.54</v>
      </c>
      <c r="D98" s="21" t="s">
        <v>6549</v>
      </c>
      <c r="E98" s="21" t="s">
        <v>22286</v>
      </c>
    </row>
    <row r="99" customFormat="false" ht="28.35" hidden="false" customHeight="false" outlineLevel="0" collapsed="false">
      <c r="B99" s="19" t="s">
        <v>22287</v>
      </c>
      <c r="C99" s="20" t="n">
        <f aca="false">ROUND(97.5/FX,2)</f>
        <v>13.54</v>
      </c>
      <c r="D99" s="21" t="s">
        <v>6549</v>
      </c>
      <c r="E99" s="21" t="s">
        <v>22288</v>
      </c>
    </row>
    <row r="100" customFormat="false" ht="15" hidden="false" customHeight="false" outlineLevel="0" collapsed="false">
      <c r="B100" s="19" t="s">
        <v>22289</v>
      </c>
      <c r="C100" s="20" t="n">
        <f aca="false">ROUND(52.5/FX,2)</f>
        <v>7.29</v>
      </c>
      <c r="D100" s="21" t="s">
        <v>6549</v>
      </c>
      <c r="E100" s="21" t="s">
        <v>22290</v>
      </c>
    </row>
    <row r="101" customFormat="false" ht="15" hidden="false" customHeight="false" outlineLevel="0" collapsed="false">
      <c r="B101" s="19" t="s">
        <v>22291</v>
      </c>
      <c r="C101" s="20" t="n">
        <f aca="false">ROUND(58.5/FX,2)</f>
        <v>8.13</v>
      </c>
      <c r="D101" s="21" t="s">
        <v>6549</v>
      </c>
      <c r="E101" s="21" t="s">
        <v>22292</v>
      </c>
    </row>
    <row r="102" customFormat="false" ht="15" hidden="false" customHeight="false" outlineLevel="0" collapsed="false">
      <c r="B102" s="19" t="s">
        <v>22293</v>
      </c>
      <c r="C102" s="20" t="n">
        <f aca="false">ROUND(71.5/FX,2)</f>
        <v>9.93</v>
      </c>
      <c r="D102" s="21" t="s">
        <v>6549</v>
      </c>
      <c r="E102" s="21" t="s">
        <v>22294</v>
      </c>
    </row>
    <row r="103" customFormat="false" ht="15" hidden="false" customHeight="false" outlineLevel="0" collapsed="false">
      <c r="B103" s="19" t="s">
        <v>22295</v>
      </c>
      <c r="C103" s="20" t="n">
        <f aca="false">ROUND(71.5/FX,2)</f>
        <v>9.93</v>
      </c>
      <c r="D103" s="21" t="s">
        <v>6549</v>
      </c>
      <c r="E103" s="21" t="s">
        <v>22296</v>
      </c>
    </row>
    <row r="106" customFormat="false" ht="61.5" hidden="false" customHeight="true" outlineLevel="0" collapsed="false">
      <c r="A106" s="9"/>
      <c r="B106" s="10" t="s">
        <v>22297</v>
      </c>
      <c r="C106" s="10"/>
      <c r="D106" s="10"/>
    </row>
    <row r="107" customFormat="false" ht="15" hidden="false" customHeight="false" outlineLevel="0" collapsed="false">
      <c r="A107" s="12" t="s">
        <v>700</v>
      </c>
      <c r="B107" s="13" t="s">
        <v>701</v>
      </c>
      <c r="C107" s="13" t="s">
        <v>702</v>
      </c>
      <c r="D107" s="13" t="s">
        <v>723</v>
      </c>
    </row>
    <row r="108" customFormat="false" ht="30" hidden="false" customHeight="true" outlineLevel="0" collapsed="false">
      <c r="A108" s="14" t="s">
        <v>706</v>
      </c>
      <c r="B108" s="15" t="str">
        <f aca="false">IF(COUNTIFS($D$111:$D$143,IF(D108="","*",D108))=1,INDEX($B:$B,SUMPRODUCT(((D108="")+($D$111:$D$143=D108)&gt;0)*ROW($B$111:$B$143))),IF(COUNTIFS($D$111:$D$143,IF(D108="","*",D108))=0,"Not available",COUNTIFS($D$111:$D$143,IF(D108="","*",D108))&amp;" match, keep choosing"))</f>
        <v>AL-063-3C-MD-BRK</v>
      </c>
      <c r="C108" s="16" t="n">
        <f aca="false">IF(COUNTIFS($D$111:$D$143,IF(D108="","*",D108))=1,INDEX($C:$C,SUMPRODUCT(((D108="")+($D$111:$D$143=D108)&gt;0)*ROW($B$111:$B$143))),"")</f>
        <v>1.53</v>
      </c>
      <c r="D108" s="17" t="s">
        <v>22298</v>
      </c>
    </row>
    <row r="110" customFormat="false" ht="15" hidden="false" customHeight="false" outlineLevel="0" collapsed="false">
      <c r="B110" s="18" t="s">
        <v>701</v>
      </c>
      <c r="C110" s="18" t="s">
        <v>702</v>
      </c>
      <c r="D110" s="18" t="s">
        <v>723</v>
      </c>
    </row>
    <row r="111" customFormat="false" ht="15" hidden="false" customHeight="false" outlineLevel="0" collapsed="false">
      <c r="B111" s="19" t="s">
        <v>22299</v>
      </c>
      <c r="C111" s="20" t="n">
        <f aca="false">ROUND(11.05/FX,2)</f>
        <v>1.53</v>
      </c>
      <c r="D111" s="21" t="s">
        <v>22298</v>
      </c>
    </row>
    <row r="112" customFormat="false" ht="15" hidden="false" customHeight="false" outlineLevel="0" collapsed="false">
      <c r="B112" s="19" t="s">
        <v>22300</v>
      </c>
      <c r="C112" s="20" t="n">
        <f aca="false">ROUND(7.15/FX,2)</f>
        <v>0.99</v>
      </c>
      <c r="D112" s="21" t="s">
        <v>22301</v>
      </c>
    </row>
    <row r="113" customFormat="false" ht="15" hidden="false" customHeight="false" outlineLevel="0" collapsed="false">
      <c r="B113" s="19" t="s">
        <v>22302</v>
      </c>
      <c r="C113" s="20" t="n">
        <f aca="false">ROUND(8.45/FX,2)</f>
        <v>1.17</v>
      </c>
      <c r="D113" s="21" t="s">
        <v>22303</v>
      </c>
    </row>
    <row r="114" customFormat="false" ht="28.35" hidden="false" customHeight="false" outlineLevel="0" collapsed="false">
      <c r="B114" s="19" t="s">
        <v>22304</v>
      </c>
      <c r="C114" s="20" t="n">
        <f aca="false">ROUND(31.2/FX,2)</f>
        <v>4.33</v>
      </c>
      <c r="D114" s="21" t="s">
        <v>22305</v>
      </c>
    </row>
    <row r="115" customFormat="false" ht="28.35" hidden="false" customHeight="false" outlineLevel="0" collapsed="false">
      <c r="B115" s="19" t="s">
        <v>22306</v>
      </c>
      <c r="C115" s="20" t="n">
        <f aca="false">ROUND(20.8/FX,2)</f>
        <v>2.89</v>
      </c>
      <c r="D115" s="21" t="s">
        <v>22307</v>
      </c>
    </row>
    <row r="116" customFormat="false" ht="28.35" hidden="false" customHeight="false" outlineLevel="0" collapsed="false">
      <c r="B116" s="19" t="s">
        <v>22308</v>
      </c>
      <c r="C116" s="20" t="n">
        <f aca="false">ROUND(42.9/FX,2)</f>
        <v>5.96</v>
      </c>
      <c r="D116" s="21" t="s">
        <v>22309</v>
      </c>
    </row>
    <row r="117" customFormat="false" ht="28.35" hidden="false" customHeight="false" outlineLevel="0" collapsed="false">
      <c r="B117" s="19" t="s">
        <v>22310</v>
      </c>
      <c r="C117" s="20" t="n">
        <f aca="false">ROUND(23.4/FX,2)</f>
        <v>3.25</v>
      </c>
      <c r="D117" s="21" t="s">
        <v>22311</v>
      </c>
    </row>
    <row r="118" customFormat="false" ht="41.75" hidden="false" customHeight="false" outlineLevel="0" collapsed="false">
      <c r="B118" s="19" t="s">
        <v>22312</v>
      </c>
      <c r="C118" s="20" t="n">
        <f aca="false">ROUND(57.98/FX,2)</f>
        <v>8.05</v>
      </c>
      <c r="D118" s="21" t="s">
        <v>22313</v>
      </c>
    </row>
    <row r="119" customFormat="false" ht="28.35" hidden="false" customHeight="false" outlineLevel="0" collapsed="false">
      <c r="B119" s="19" t="s">
        <v>22314</v>
      </c>
      <c r="C119" s="20" t="n">
        <f aca="false">ROUND(50.18/FX,2)</f>
        <v>6.97</v>
      </c>
      <c r="D119" s="21" t="s">
        <v>22315</v>
      </c>
    </row>
    <row r="120" customFormat="false" ht="15" hidden="false" customHeight="false" outlineLevel="0" collapsed="false">
      <c r="B120" s="19" t="s">
        <v>22316</v>
      </c>
      <c r="C120" s="20" t="n">
        <f aca="false">ROUND(12.61/FX,2)</f>
        <v>1.75</v>
      </c>
      <c r="D120" s="21" t="s">
        <v>22317</v>
      </c>
    </row>
    <row r="121" customFormat="false" ht="15" hidden="false" customHeight="false" outlineLevel="0" collapsed="false">
      <c r="B121" s="19" t="s">
        <v>22318</v>
      </c>
      <c r="C121" s="20" t="n">
        <f aca="false">ROUND(8.71/FX,2)</f>
        <v>1.21</v>
      </c>
      <c r="D121" s="21" t="s">
        <v>22319</v>
      </c>
    </row>
    <row r="122" customFormat="false" ht="15" hidden="false" customHeight="false" outlineLevel="0" collapsed="false">
      <c r="B122" s="19" t="s">
        <v>22320</v>
      </c>
      <c r="C122" s="20" t="n">
        <f aca="false">ROUND(10.1/FX,2)</f>
        <v>1.4</v>
      </c>
      <c r="D122" s="21" t="s">
        <v>22321</v>
      </c>
    </row>
    <row r="123" customFormat="false" ht="28.35" hidden="false" customHeight="false" outlineLevel="0" collapsed="false">
      <c r="B123" s="19" t="s">
        <v>22322</v>
      </c>
      <c r="C123" s="20" t="n">
        <f aca="false">ROUND(32.5/FX,2)</f>
        <v>4.51</v>
      </c>
      <c r="D123" s="21" t="s">
        <v>22323</v>
      </c>
    </row>
    <row r="124" customFormat="false" ht="28.35" hidden="false" customHeight="false" outlineLevel="0" collapsed="false">
      <c r="B124" s="19" t="s">
        <v>22324</v>
      </c>
      <c r="C124" s="20" t="n">
        <f aca="false">ROUND(23.4/FX,2)</f>
        <v>3.25</v>
      </c>
      <c r="D124" s="21" t="s">
        <v>22325</v>
      </c>
    </row>
    <row r="125" customFormat="false" ht="28.35" hidden="false" customHeight="false" outlineLevel="0" collapsed="false">
      <c r="B125" s="19" t="s">
        <v>22326</v>
      </c>
      <c r="C125" s="20" t="n">
        <f aca="false">ROUND(46.28/FX,2)</f>
        <v>6.43</v>
      </c>
      <c r="D125" s="21" t="s">
        <v>22327</v>
      </c>
    </row>
    <row r="126" customFormat="false" ht="28.35" hidden="false" customHeight="false" outlineLevel="0" collapsed="false">
      <c r="B126" s="19" t="s">
        <v>22328</v>
      </c>
      <c r="C126" s="20" t="n">
        <f aca="false">ROUND(26/FX,2)</f>
        <v>3.61</v>
      </c>
      <c r="D126" s="21" t="s">
        <v>22329</v>
      </c>
    </row>
    <row r="127" customFormat="false" ht="41.75" hidden="false" customHeight="false" outlineLevel="0" collapsed="false">
      <c r="B127" s="19" t="s">
        <v>22330</v>
      </c>
      <c r="C127" s="20" t="n">
        <f aca="false">ROUND(60.58/FX,2)</f>
        <v>8.41</v>
      </c>
      <c r="D127" s="21" t="s">
        <v>22331</v>
      </c>
    </row>
    <row r="128" customFormat="false" ht="28.35" hidden="false" customHeight="false" outlineLevel="0" collapsed="false">
      <c r="B128" s="19" t="s">
        <v>22332</v>
      </c>
      <c r="C128" s="20" t="n">
        <f aca="false">ROUND(52.78/FX,2)</f>
        <v>7.33</v>
      </c>
      <c r="D128" s="21" t="s">
        <v>22333</v>
      </c>
    </row>
    <row r="129" customFormat="false" ht="15" hidden="false" customHeight="false" outlineLevel="0" collapsed="false">
      <c r="B129" s="19" t="s">
        <v>22334</v>
      </c>
      <c r="C129" s="20" t="n">
        <f aca="false">ROUND(14.3/FX,2)</f>
        <v>1.99</v>
      </c>
      <c r="D129" s="21" t="s">
        <v>22335</v>
      </c>
    </row>
    <row r="130" customFormat="false" ht="15" hidden="false" customHeight="false" outlineLevel="0" collapsed="false">
      <c r="B130" s="19" t="s">
        <v>22336</v>
      </c>
      <c r="C130" s="20" t="n">
        <f aca="false">ROUND(10.4/FX,2)</f>
        <v>1.44</v>
      </c>
      <c r="D130" s="21" t="s">
        <v>22337</v>
      </c>
    </row>
    <row r="131" customFormat="false" ht="15" hidden="false" customHeight="false" outlineLevel="0" collapsed="false">
      <c r="B131" s="19" t="s">
        <v>22338</v>
      </c>
      <c r="C131" s="20" t="n">
        <f aca="false">ROUND(11.7/FX,2)</f>
        <v>1.63</v>
      </c>
      <c r="D131" s="21" t="s">
        <v>22339</v>
      </c>
    </row>
    <row r="132" customFormat="false" ht="28.35" hidden="false" customHeight="false" outlineLevel="0" collapsed="false">
      <c r="B132" s="19" t="s">
        <v>22340</v>
      </c>
      <c r="C132" s="20" t="n">
        <f aca="false">ROUND(33.8/FX,2)</f>
        <v>4.69</v>
      </c>
      <c r="D132" s="21" t="s">
        <v>22341</v>
      </c>
    </row>
    <row r="133" customFormat="false" ht="28.35" hidden="false" customHeight="false" outlineLevel="0" collapsed="false">
      <c r="B133" s="19" t="s">
        <v>22342</v>
      </c>
      <c r="C133" s="20" t="n">
        <f aca="false">ROUND(26/FX,2)</f>
        <v>3.61</v>
      </c>
      <c r="D133" s="21" t="s">
        <v>22343</v>
      </c>
    </row>
    <row r="134" customFormat="false" ht="28.35" hidden="false" customHeight="false" outlineLevel="0" collapsed="false">
      <c r="B134" s="19" t="s">
        <v>22344</v>
      </c>
      <c r="C134" s="20" t="n">
        <f aca="false">ROUND(47.58/FX,2)</f>
        <v>6.61</v>
      </c>
      <c r="D134" s="21" t="s">
        <v>22345</v>
      </c>
    </row>
    <row r="135" customFormat="false" ht="28.35" hidden="false" customHeight="false" outlineLevel="0" collapsed="false">
      <c r="B135" s="19" t="s">
        <v>22346</v>
      </c>
      <c r="C135" s="20" t="n">
        <f aca="false">ROUND(28.6/FX,2)</f>
        <v>3.97</v>
      </c>
      <c r="D135" s="21" t="s">
        <v>22347</v>
      </c>
    </row>
    <row r="136" customFormat="false" ht="41.75" hidden="false" customHeight="false" outlineLevel="0" collapsed="false">
      <c r="B136" s="19" t="s">
        <v>22348</v>
      </c>
      <c r="C136" s="20" t="n">
        <f aca="false">ROUND(62.14/FX,2)</f>
        <v>8.63</v>
      </c>
      <c r="D136" s="21" t="s">
        <v>22349</v>
      </c>
    </row>
    <row r="137" customFormat="false" ht="28.35" hidden="false" customHeight="false" outlineLevel="0" collapsed="false">
      <c r="B137" s="19" t="s">
        <v>22350</v>
      </c>
      <c r="C137" s="20" t="n">
        <f aca="false">ROUND(50.2/FX,2)</f>
        <v>6.97</v>
      </c>
      <c r="D137" s="21" t="s">
        <v>22351</v>
      </c>
    </row>
    <row r="138" customFormat="false" ht="28.35" hidden="false" customHeight="false" outlineLevel="0" collapsed="false">
      <c r="B138" s="19" t="s">
        <v>22352</v>
      </c>
      <c r="C138" s="20" t="n">
        <f aca="false">ROUND(48.1/FX,2)</f>
        <v>6.68</v>
      </c>
      <c r="D138" s="21" t="s">
        <v>22353</v>
      </c>
    </row>
    <row r="139" customFormat="false" ht="28.35" hidden="false" customHeight="false" outlineLevel="0" collapsed="false">
      <c r="B139" s="19" t="s">
        <v>22354</v>
      </c>
      <c r="C139" s="20" t="n">
        <f aca="false">ROUND(39.7/FX,2)</f>
        <v>5.51</v>
      </c>
      <c r="D139" s="21" t="s">
        <v>22355</v>
      </c>
    </row>
    <row r="140" customFormat="false" ht="28.35" hidden="false" customHeight="false" outlineLevel="0" collapsed="false">
      <c r="B140" s="19" t="s">
        <v>22356</v>
      </c>
      <c r="C140" s="20" t="n">
        <f aca="false">ROUND(60.16/FX,2)</f>
        <v>8.36</v>
      </c>
      <c r="D140" s="21" t="s">
        <v>22357</v>
      </c>
    </row>
    <row r="141" customFormat="false" ht="28.35" hidden="false" customHeight="false" outlineLevel="0" collapsed="false">
      <c r="B141" s="19" t="s">
        <v>22358</v>
      </c>
      <c r="C141" s="20" t="n">
        <f aca="false">ROUND(40.3/FX,2)</f>
        <v>5.6</v>
      </c>
      <c r="D141" s="21" t="s">
        <v>22359</v>
      </c>
    </row>
    <row r="142" customFormat="false" ht="41.75" hidden="false" customHeight="false" outlineLevel="0" collapsed="false">
      <c r="B142" s="19" t="s">
        <v>22360</v>
      </c>
      <c r="C142" s="20" t="n">
        <f aca="false">ROUND(78.6/FX,2)</f>
        <v>10.92</v>
      </c>
      <c r="D142" s="21" t="s">
        <v>22361</v>
      </c>
    </row>
    <row r="143" customFormat="false" ht="28.35" hidden="false" customHeight="false" outlineLevel="0" collapsed="false">
      <c r="B143" s="19" t="s">
        <v>22362</v>
      </c>
      <c r="C143" s="20" t="n">
        <f aca="false">ROUND(74.75/FX,2)</f>
        <v>10.38</v>
      </c>
      <c r="D143" s="21" t="s">
        <v>22363</v>
      </c>
    </row>
    <row r="146" customFormat="false" ht="61.5" hidden="false" customHeight="true" outlineLevel="0" collapsed="false">
      <c r="A146" s="9"/>
      <c r="B146" s="10" t="s">
        <v>22364</v>
      </c>
      <c r="C146" s="10"/>
      <c r="D146" s="10"/>
      <c r="E146" s="10"/>
    </row>
    <row r="147" customFormat="false" ht="15" hidden="false" customHeight="false" outlineLevel="0" collapsed="false">
      <c r="A147" s="12" t="s">
        <v>700</v>
      </c>
      <c r="B147" s="13" t="s">
        <v>701</v>
      </c>
      <c r="C147" s="13" t="s">
        <v>702</v>
      </c>
      <c r="D147" s="13" t="s">
        <v>723</v>
      </c>
      <c r="E147" s="13" t="s">
        <v>13701</v>
      </c>
    </row>
    <row r="148" customFormat="false" ht="30" hidden="false" customHeight="true" outlineLevel="0" collapsed="false">
      <c r="A148" s="14" t="s">
        <v>706</v>
      </c>
      <c r="B148" s="15" t="str">
        <f aca="false">IF(COUNTIFS($D$151:$D$188,IF(D148="","*",D148),$E$151:$E$188,IF(E148="","*",E148))=1,INDEX($B:$B,SUMPRODUCT(((D148="")+($D$151:$D$188=D148)&gt;0)*((E148="")+($E$151:$E$188=E148)&gt;0)*ROW($B$151:$B$188))),IF(COUNTIFS($D$151:$D$188,IF(D148="","*",D148),$E$151:$E$188,IF(E148="","*",E148))=0,"Not available",COUNTIFS($D$151:$D$188,IF(D148="","*",D148),$E$151:$E$188,IF(E148="","*",E148))&amp;" match, keep choosing"))</f>
        <v>AL-059-1.5C-M10SG-BRK-WN</v>
      </c>
      <c r="C148" s="16" t="n">
        <f aca="false">IF(COUNTIFS($D$151:$D$188,IF(D148="","*",D148),$E$151:$E$188,IF(E148="","*",E148))=1,INDEX($C:$C,SUMPRODUCT(((D148="")+($D$151:$D$188=D148)&gt;0)*((E148="")+($E$151:$E$188=E148)&gt;0)*ROW($B$151:$B$188))),"")</f>
        <v>0.49</v>
      </c>
      <c r="D148" s="17" t="s">
        <v>22365</v>
      </c>
      <c r="E148" s="17" t="s">
        <v>6336</v>
      </c>
    </row>
    <row r="150" customFormat="false" ht="15" hidden="false" customHeight="false" outlineLevel="0" collapsed="false">
      <c r="B150" s="18" t="s">
        <v>701</v>
      </c>
      <c r="C150" s="18" t="s">
        <v>702</v>
      </c>
      <c r="D150" s="18" t="s">
        <v>723</v>
      </c>
      <c r="E150" s="18" t="s">
        <v>13701</v>
      </c>
    </row>
    <row r="151" customFormat="false" ht="28.35" hidden="false" customHeight="false" outlineLevel="0" collapsed="false">
      <c r="B151" s="19" t="s">
        <v>22366</v>
      </c>
      <c r="C151" s="20" t="n">
        <f aca="false">ROUND(3.55/FX,2)</f>
        <v>0.49</v>
      </c>
      <c r="D151" s="21" t="s">
        <v>22365</v>
      </c>
      <c r="E151" s="21" t="s">
        <v>6336</v>
      </c>
    </row>
    <row r="152" customFormat="false" ht="28.35" hidden="false" customHeight="false" outlineLevel="0" collapsed="false">
      <c r="B152" s="19" t="s">
        <v>22367</v>
      </c>
      <c r="C152" s="20" t="n">
        <f aca="false">ROUND(3.12/FX,2)</f>
        <v>0.43</v>
      </c>
      <c r="D152" s="21" t="s">
        <v>22368</v>
      </c>
      <c r="E152" s="21" t="s">
        <v>6336</v>
      </c>
    </row>
    <row r="153" customFormat="false" ht="28.35" hidden="false" customHeight="false" outlineLevel="0" collapsed="false">
      <c r="B153" s="19" t="s">
        <v>22369</v>
      </c>
      <c r="C153" s="20" t="n">
        <f aca="false">ROUND(3.9/FX,2)</f>
        <v>0.54</v>
      </c>
      <c r="D153" s="21" t="s">
        <v>22370</v>
      </c>
      <c r="E153" s="21" t="s">
        <v>6336</v>
      </c>
    </row>
    <row r="154" customFormat="false" ht="28.35" hidden="false" customHeight="false" outlineLevel="0" collapsed="false">
      <c r="B154" s="19" t="s">
        <v>22371</v>
      </c>
      <c r="C154" s="20" t="n">
        <f aca="false">ROUND(3.12/FX,2)</f>
        <v>0.43</v>
      </c>
      <c r="D154" s="21" t="s">
        <v>22372</v>
      </c>
      <c r="E154" s="21" t="s">
        <v>6336</v>
      </c>
    </row>
    <row r="155" customFormat="false" ht="28.35" hidden="false" customHeight="false" outlineLevel="0" collapsed="false">
      <c r="B155" s="19" t="s">
        <v>22373</v>
      </c>
      <c r="C155" s="20" t="n">
        <f aca="false">ROUND(3.43/FX,2)</f>
        <v>0.48</v>
      </c>
      <c r="D155" s="21" t="s">
        <v>22374</v>
      </c>
      <c r="E155" s="21" t="s">
        <v>6336</v>
      </c>
    </row>
    <row r="156" customFormat="false" ht="28.35" hidden="false" customHeight="false" outlineLevel="0" collapsed="false">
      <c r="B156" s="19" t="s">
        <v>22375</v>
      </c>
      <c r="C156" s="20" t="n">
        <f aca="false">ROUND(4.29/FX,2)</f>
        <v>0.6</v>
      </c>
      <c r="D156" s="21" t="s">
        <v>22376</v>
      </c>
      <c r="E156" s="21" t="s">
        <v>6336</v>
      </c>
    </row>
    <row r="157" customFormat="false" ht="28.35" hidden="false" customHeight="false" outlineLevel="0" collapsed="false">
      <c r="B157" s="19" t="s">
        <v>22377</v>
      </c>
      <c r="C157" s="20" t="n">
        <f aca="false">ROUND(1.65/FX,2)</f>
        <v>0.23</v>
      </c>
      <c r="D157" s="21" t="s">
        <v>22378</v>
      </c>
      <c r="E157" s="21" t="s">
        <v>6336</v>
      </c>
    </row>
    <row r="158" customFormat="false" ht="28.35" hidden="false" customHeight="false" outlineLevel="0" collapsed="false">
      <c r="B158" s="19" t="s">
        <v>22379</v>
      </c>
      <c r="C158" s="20" t="n">
        <f aca="false">ROUND(2.34/FX,2)</f>
        <v>0.33</v>
      </c>
      <c r="D158" s="21" t="s">
        <v>22380</v>
      </c>
      <c r="E158" s="21" t="s">
        <v>6336</v>
      </c>
    </row>
    <row r="159" customFormat="false" ht="28.35" hidden="false" customHeight="false" outlineLevel="0" collapsed="false">
      <c r="B159" s="19" t="s">
        <v>22381</v>
      </c>
      <c r="C159" s="20" t="n">
        <f aca="false">ROUND(2.87/FX,2)</f>
        <v>0.4</v>
      </c>
      <c r="D159" s="21" t="s">
        <v>22382</v>
      </c>
      <c r="E159" s="21" t="s">
        <v>6336</v>
      </c>
    </row>
    <row r="160" customFormat="false" ht="28.35" hidden="false" customHeight="false" outlineLevel="0" collapsed="false">
      <c r="B160" s="19" t="s">
        <v>22383</v>
      </c>
      <c r="C160" s="20" t="n">
        <f aca="false">ROUND(3.64/FX,2)</f>
        <v>0.51</v>
      </c>
      <c r="D160" s="21" t="s">
        <v>22384</v>
      </c>
      <c r="E160" s="21" t="s">
        <v>6336</v>
      </c>
    </row>
    <row r="161" customFormat="false" ht="28.35" hidden="false" customHeight="false" outlineLevel="0" collapsed="false">
      <c r="B161" s="19" t="s">
        <v>22385</v>
      </c>
      <c r="C161" s="20" t="n">
        <f aca="false">ROUND(10.92/FX,2)</f>
        <v>1.52</v>
      </c>
      <c r="D161" s="21" t="s">
        <v>22386</v>
      </c>
      <c r="E161" s="21" t="s">
        <v>6336</v>
      </c>
    </row>
    <row r="162" customFormat="false" ht="28.35" hidden="false" customHeight="false" outlineLevel="0" collapsed="false">
      <c r="B162" s="19" t="s">
        <v>22387</v>
      </c>
      <c r="C162" s="20" t="n">
        <f aca="false">ROUND(8.58/FX,2)</f>
        <v>1.19</v>
      </c>
      <c r="D162" s="21" t="s">
        <v>22388</v>
      </c>
      <c r="E162" s="21" t="s">
        <v>6336</v>
      </c>
    </row>
    <row r="163" customFormat="false" ht="28.35" hidden="false" customHeight="false" outlineLevel="0" collapsed="false">
      <c r="B163" s="19" t="s">
        <v>22389</v>
      </c>
      <c r="C163" s="20" t="n">
        <f aca="false">ROUND(11.57/FX,2)</f>
        <v>1.61</v>
      </c>
      <c r="D163" s="21" t="s">
        <v>22390</v>
      </c>
      <c r="E163" s="21" t="s">
        <v>6336</v>
      </c>
    </row>
    <row r="164" customFormat="false" ht="28.35" hidden="false" customHeight="false" outlineLevel="0" collapsed="false">
      <c r="B164" s="19" t="s">
        <v>22391</v>
      </c>
      <c r="C164" s="20" t="n">
        <f aca="false">ROUND(11.44/FX,2)</f>
        <v>1.59</v>
      </c>
      <c r="D164" s="21" t="s">
        <v>22392</v>
      </c>
      <c r="E164" s="21" t="s">
        <v>6336</v>
      </c>
    </row>
    <row r="165" customFormat="false" ht="28.35" hidden="false" customHeight="false" outlineLevel="0" collapsed="false">
      <c r="B165" s="19" t="s">
        <v>22393</v>
      </c>
      <c r="C165" s="20" t="n">
        <f aca="false">ROUND(7.67/FX,2)</f>
        <v>1.07</v>
      </c>
      <c r="D165" s="21" t="s">
        <v>22394</v>
      </c>
      <c r="E165" s="21" t="s">
        <v>6336</v>
      </c>
    </row>
    <row r="166" customFormat="false" ht="28.35" hidden="false" customHeight="false" outlineLevel="0" collapsed="false">
      <c r="B166" s="19" t="s">
        <v>22395</v>
      </c>
      <c r="C166" s="20" t="n">
        <f aca="false">ROUND(7.67/FX,2)</f>
        <v>1.07</v>
      </c>
      <c r="D166" s="21" t="s">
        <v>22396</v>
      </c>
      <c r="E166" s="21" t="s">
        <v>6336</v>
      </c>
    </row>
    <row r="167" customFormat="false" ht="28.35" hidden="false" customHeight="false" outlineLevel="0" collapsed="false">
      <c r="B167" s="19" t="s">
        <v>22397</v>
      </c>
      <c r="C167" s="20" t="n">
        <f aca="false">ROUND(8.97/FX,2)</f>
        <v>1.25</v>
      </c>
      <c r="D167" s="21" t="s">
        <v>22398</v>
      </c>
      <c r="E167" s="21" t="s">
        <v>6336</v>
      </c>
    </row>
    <row r="168" customFormat="false" ht="28.35" hidden="false" customHeight="false" outlineLevel="0" collapsed="false">
      <c r="B168" s="19" t="s">
        <v>22399</v>
      </c>
      <c r="C168" s="20" t="n">
        <f aca="false">ROUND(8.97/FX,2)</f>
        <v>1.25</v>
      </c>
      <c r="D168" s="21" t="s">
        <v>22400</v>
      </c>
      <c r="E168" s="21" t="s">
        <v>6336</v>
      </c>
    </row>
    <row r="169" customFormat="false" ht="28.35" hidden="false" customHeight="false" outlineLevel="0" collapsed="false">
      <c r="B169" s="19" t="s">
        <v>22401</v>
      </c>
      <c r="C169" s="20" t="n">
        <f aca="false">ROUND(4.68/FX,2)</f>
        <v>0.65</v>
      </c>
      <c r="D169" s="21" t="s">
        <v>22402</v>
      </c>
      <c r="E169" s="21" t="s">
        <v>6336</v>
      </c>
    </row>
    <row r="170" customFormat="false" ht="28.35" hidden="false" customHeight="false" outlineLevel="0" collapsed="false">
      <c r="B170" s="19" t="s">
        <v>22403</v>
      </c>
      <c r="C170" s="20" t="n">
        <f aca="false">ROUND(3.64/FX,2)</f>
        <v>0.51</v>
      </c>
      <c r="D170" s="21" t="s">
        <v>22404</v>
      </c>
      <c r="E170" s="21" t="s">
        <v>6336</v>
      </c>
    </row>
    <row r="171" customFormat="false" ht="28.35" hidden="false" customHeight="false" outlineLevel="0" collapsed="false">
      <c r="B171" s="19" t="s">
        <v>22405</v>
      </c>
      <c r="C171" s="20" t="n">
        <f aca="false">ROUND(4.06/FX,2)</f>
        <v>0.56</v>
      </c>
      <c r="D171" s="21" t="s">
        <v>22406</v>
      </c>
      <c r="E171" s="21" t="s">
        <v>6336</v>
      </c>
    </row>
    <row r="172" customFormat="false" ht="28.35" hidden="false" customHeight="false" outlineLevel="0" collapsed="false">
      <c r="B172" s="19" t="s">
        <v>22407</v>
      </c>
      <c r="C172" s="20" t="n">
        <f aca="false">ROUND(3.25/FX,2)</f>
        <v>0.45</v>
      </c>
      <c r="D172" s="21" t="s">
        <v>22408</v>
      </c>
      <c r="E172" s="21" t="s">
        <v>6336</v>
      </c>
    </row>
    <row r="173" customFormat="false" ht="28.35" hidden="false" customHeight="false" outlineLevel="0" collapsed="false">
      <c r="B173" s="19" t="s">
        <v>22409</v>
      </c>
      <c r="C173" s="20" t="n">
        <f aca="false">ROUND(4.55/FX,2)</f>
        <v>0.63</v>
      </c>
      <c r="D173" s="21" t="s">
        <v>22410</v>
      </c>
      <c r="E173" s="21" t="s">
        <v>6336</v>
      </c>
    </row>
    <row r="174" customFormat="false" ht="28.35" hidden="false" customHeight="false" outlineLevel="0" collapsed="false">
      <c r="B174" s="19" t="s">
        <v>22411</v>
      </c>
      <c r="C174" s="20" t="n">
        <f aca="false">ROUND(3.64/FX,2)</f>
        <v>0.51</v>
      </c>
      <c r="D174" s="21" t="s">
        <v>22412</v>
      </c>
      <c r="E174" s="21" t="s">
        <v>6336</v>
      </c>
    </row>
    <row r="175" customFormat="false" ht="28.35" hidden="false" customHeight="false" outlineLevel="0" collapsed="false">
      <c r="B175" s="19" t="s">
        <v>22413</v>
      </c>
      <c r="C175" s="20" t="n">
        <f aca="false">ROUND(4.36/FX,2)</f>
        <v>0.61</v>
      </c>
      <c r="D175" s="21" t="s">
        <v>22414</v>
      </c>
      <c r="E175" s="21" t="s">
        <v>6336</v>
      </c>
    </row>
    <row r="176" customFormat="false" ht="28.35" hidden="false" customHeight="false" outlineLevel="0" collapsed="false">
      <c r="B176" s="19" t="s">
        <v>22415</v>
      </c>
      <c r="C176" s="20" t="n">
        <f aca="false">ROUND(5.2/FX,2)</f>
        <v>0.72</v>
      </c>
      <c r="D176" s="21" t="s">
        <v>22416</v>
      </c>
      <c r="E176" s="21" t="s">
        <v>6336</v>
      </c>
    </row>
    <row r="177" customFormat="false" ht="28.35" hidden="false" customHeight="false" outlineLevel="0" collapsed="false">
      <c r="B177" s="19" t="s">
        <v>22417</v>
      </c>
      <c r="C177" s="20" t="n">
        <f aca="false">ROUND(2.99/FX,2)</f>
        <v>0.42</v>
      </c>
      <c r="D177" s="21" t="s">
        <v>22418</v>
      </c>
      <c r="E177" s="21" t="s">
        <v>6336</v>
      </c>
    </row>
    <row r="178" customFormat="false" ht="28.35" hidden="false" customHeight="false" outlineLevel="0" collapsed="false">
      <c r="B178" s="19" t="s">
        <v>22419</v>
      </c>
      <c r="C178" s="20" t="n">
        <f aca="false">ROUND(3.77/FX,2)</f>
        <v>0.52</v>
      </c>
      <c r="D178" s="21" t="s">
        <v>22420</v>
      </c>
      <c r="E178" s="21" t="s">
        <v>6336</v>
      </c>
    </row>
    <row r="179" customFormat="false" ht="28.35" hidden="false" customHeight="false" outlineLevel="0" collapsed="false">
      <c r="B179" s="19" t="s">
        <v>22421</v>
      </c>
      <c r="C179" s="20" t="n">
        <f aca="false">ROUND(3.12/FX,2)</f>
        <v>0.43</v>
      </c>
      <c r="D179" s="21" t="s">
        <v>22422</v>
      </c>
      <c r="E179" s="21" t="s">
        <v>6336</v>
      </c>
    </row>
    <row r="180" customFormat="false" ht="28.35" hidden="false" customHeight="false" outlineLevel="0" collapsed="false">
      <c r="B180" s="19" t="s">
        <v>22423</v>
      </c>
      <c r="C180" s="20" t="n">
        <f aca="false">ROUND(4.03/FX,2)</f>
        <v>0.56</v>
      </c>
      <c r="D180" s="21" t="s">
        <v>22424</v>
      </c>
      <c r="E180" s="21" t="s">
        <v>6336</v>
      </c>
    </row>
    <row r="181" customFormat="false" ht="41.75" hidden="false" customHeight="false" outlineLevel="0" collapsed="false">
      <c r="B181" s="19" t="s">
        <v>22425</v>
      </c>
      <c r="C181" s="20" t="n">
        <f aca="false">ROUND(5.59/FX,2)</f>
        <v>0.78</v>
      </c>
      <c r="D181" s="21" t="s">
        <v>22426</v>
      </c>
      <c r="E181" s="21" t="s">
        <v>22427</v>
      </c>
    </row>
    <row r="182" customFormat="false" ht="41.75" hidden="false" customHeight="false" outlineLevel="0" collapsed="false">
      <c r="B182" s="19" t="s">
        <v>22428</v>
      </c>
      <c r="C182" s="20" t="n">
        <f aca="false">ROUND(4.94/FX,2)</f>
        <v>0.69</v>
      </c>
      <c r="D182" s="21" t="s">
        <v>22429</v>
      </c>
      <c r="E182" s="21" t="s">
        <v>22427</v>
      </c>
    </row>
    <row r="183" customFormat="false" ht="28.35" hidden="false" customHeight="false" outlineLevel="0" collapsed="false">
      <c r="B183" s="19" t="s">
        <v>22430</v>
      </c>
      <c r="C183" s="20" t="n">
        <f aca="false">ROUND(4.94/FX,2)</f>
        <v>0.69</v>
      </c>
      <c r="D183" s="21" t="s">
        <v>22431</v>
      </c>
      <c r="E183" s="21" t="s">
        <v>22427</v>
      </c>
    </row>
    <row r="184" customFormat="false" ht="28.35" hidden="false" customHeight="false" outlineLevel="0" collapsed="false">
      <c r="B184" s="19" t="s">
        <v>22432</v>
      </c>
      <c r="C184" s="20" t="n">
        <f aca="false">ROUND(4.29/FX,2)</f>
        <v>0.6</v>
      </c>
      <c r="D184" s="21" t="s">
        <v>22433</v>
      </c>
      <c r="E184" s="21" t="s">
        <v>22427</v>
      </c>
    </row>
    <row r="185" customFormat="false" ht="41.75" hidden="false" customHeight="false" outlineLevel="0" collapsed="false">
      <c r="B185" s="19" t="s">
        <v>22434</v>
      </c>
      <c r="C185" s="20" t="n">
        <f aca="false">ROUND(6.24/FX,2)</f>
        <v>0.87</v>
      </c>
      <c r="D185" s="21" t="s">
        <v>22435</v>
      </c>
      <c r="E185" s="21" t="s">
        <v>22436</v>
      </c>
    </row>
    <row r="186" customFormat="false" ht="41.75" hidden="false" customHeight="false" outlineLevel="0" collapsed="false">
      <c r="B186" s="19" t="s">
        <v>22437</v>
      </c>
      <c r="C186" s="20" t="n">
        <f aca="false">ROUND(5.59/FX,2)</f>
        <v>0.78</v>
      </c>
      <c r="D186" s="21" t="s">
        <v>22438</v>
      </c>
      <c r="E186" s="21" t="s">
        <v>22436</v>
      </c>
    </row>
    <row r="187" customFormat="false" ht="28.35" hidden="false" customHeight="false" outlineLevel="0" collapsed="false">
      <c r="B187" s="19" t="s">
        <v>22439</v>
      </c>
      <c r="C187" s="20" t="n">
        <f aca="false">ROUND(6.89/FX,2)</f>
        <v>0.96</v>
      </c>
      <c r="D187" s="21" t="s">
        <v>22440</v>
      </c>
      <c r="E187" s="21" t="s">
        <v>22436</v>
      </c>
    </row>
    <row r="188" customFormat="false" ht="28.35" hidden="false" customHeight="false" outlineLevel="0" collapsed="false">
      <c r="B188" s="19" t="s">
        <v>22441</v>
      </c>
      <c r="C188" s="20" t="n">
        <f aca="false">ROUND(6.24/FX,2)</f>
        <v>0.87</v>
      </c>
      <c r="D188" s="21" t="s">
        <v>22442</v>
      </c>
      <c r="E188" s="21" t="s">
        <v>22436</v>
      </c>
    </row>
    <row r="191" customFormat="false" ht="61.5" hidden="false" customHeight="true" outlineLevel="0" collapsed="false">
      <c r="A191" s="9"/>
      <c r="B191" s="10" t="s">
        <v>22443</v>
      </c>
      <c r="C191" s="10"/>
      <c r="D191" s="10"/>
      <c r="E191" s="10"/>
    </row>
    <row r="192" customFormat="false" ht="15" hidden="false" customHeight="false" outlineLevel="0" collapsed="false">
      <c r="A192" s="12" t="s">
        <v>700</v>
      </c>
      <c r="B192" s="13" t="s">
        <v>701</v>
      </c>
      <c r="C192" s="13" t="s">
        <v>702</v>
      </c>
      <c r="D192" s="13" t="s">
        <v>722</v>
      </c>
      <c r="E192" s="13" t="s">
        <v>723</v>
      </c>
    </row>
    <row r="193" customFormat="false" ht="30" hidden="false" customHeight="true" outlineLevel="0" collapsed="false">
      <c r="A193" s="14" t="s">
        <v>706</v>
      </c>
      <c r="B193" s="15" t="str">
        <f aca="false">IF(COUNTIFS($D$196:$D$208,IF(D193="","*",D193),$E$196:$E$208,IF(E193="","*",E193))=1,INDEX($B:$B,SUMPRODUCT(((D193="")+($D$196:$D$208=D193)&gt;0)*((E193="")+($E$196:$E$208=E193)&gt;0)*ROW($B$196:$B$208))),IF(COUNTIFS($D$196:$D$208,IF(D193="","*",D193),$E$196:$E$208,IF(E193="","*",E193))=0,"Not available",COUNTIFS($D$196:$D$208,IF(D193="","*",D193),$E$196:$E$208,IF(E193="","*",E193))&amp;" match, keep choosing"))</f>
        <v>AL-053-BK-3060SC</v>
      </c>
      <c r="C193" s="16" t="n">
        <f aca="false">IF(COUNTIFS($D$196:$D$208,IF(D193="","*",D193),$E$196:$E$208,IF(E193="","*",E193))=1,INDEX($C:$C,SUMPRODUCT(((D193="")+($D$196:$D$208=D193)&gt;0)*((E193="")+($E$196:$E$208=E193)&gt;0)*ROW($B$196:$B$208))),"")</f>
        <v>2.35</v>
      </c>
      <c r="D193" s="17" t="s">
        <v>724</v>
      </c>
      <c r="E193" s="17" t="s">
        <v>22444</v>
      </c>
    </row>
    <row r="195" customFormat="false" ht="15" hidden="false" customHeight="false" outlineLevel="0" collapsed="false">
      <c r="B195" s="18" t="s">
        <v>701</v>
      </c>
      <c r="C195" s="18" t="s">
        <v>702</v>
      </c>
      <c r="D195" s="18" t="s">
        <v>722</v>
      </c>
      <c r="E195" s="18" t="s">
        <v>723</v>
      </c>
    </row>
    <row r="196" customFormat="false" ht="15" hidden="false" customHeight="false" outlineLevel="0" collapsed="false">
      <c r="B196" s="19" t="s">
        <v>22445</v>
      </c>
      <c r="C196" s="20" t="n">
        <f aca="false">ROUND(16.9/FX,2)</f>
        <v>2.35</v>
      </c>
      <c r="D196" s="21" t="s">
        <v>724</v>
      </c>
      <c r="E196" s="21" t="s">
        <v>22444</v>
      </c>
    </row>
    <row r="197" customFormat="false" ht="28.35" hidden="false" customHeight="false" outlineLevel="0" collapsed="false">
      <c r="B197" s="19" t="s">
        <v>22446</v>
      </c>
      <c r="C197" s="20" t="n">
        <f aca="false">ROUND(10.4/FX,2)</f>
        <v>1.44</v>
      </c>
      <c r="D197" s="21" t="s">
        <v>724</v>
      </c>
      <c r="E197" s="21" t="s">
        <v>22447</v>
      </c>
    </row>
    <row r="198" customFormat="false" ht="15" hidden="false" customHeight="false" outlineLevel="0" collapsed="false">
      <c r="B198" s="19" t="s">
        <v>22448</v>
      </c>
      <c r="C198" s="20" t="n">
        <f aca="false">ROUND(9.1/FX,2)</f>
        <v>1.26</v>
      </c>
      <c r="D198" s="21" t="s">
        <v>6549</v>
      </c>
      <c r="E198" s="21" t="s">
        <v>22449</v>
      </c>
    </row>
    <row r="199" customFormat="false" ht="15" hidden="false" customHeight="false" outlineLevel="0" collapsed="false">
      <c r="B199" s="19" t="s">
        <v>22450</v>
      </c>
      <c r="C199" s="20" t="n">
        <f aca="false">ROUND(12.74/FX,2)</f>
        <v>1.77</v>
      </c>
      <c r="D199" s="21" t="s">
        <v>6549</v>
      </c>
      <c r="E199" s="21" t="s">
        <v>22451</v>
      </c>
    </row>
    <row r="200" customFormat="false" ht="15" hidden="false" customHeight="false" outlineLevel="0" collapsed="false">
      <c r="B200" s="19" t="s">
        <v>22452</v>
      </c>
      <c r="C200" s="20" t="n">
        <f aca="false">ROUND(10.4/FX,2)</f>
        <v>1.44</v>
      </c>
      <c r="D200" s="21" t="s">
        <v>6549</v>
      </c>
      <c r="E200" s="21" t="s">
        <v>22453</v>
      </c>
    </row>
    <row r="201" customFormat="false" ht="15" hidden="false" customHeight="false" outlineLevel="0" collapsed="false">
      <c r="B201" s="19" t="s">
        <v>22454</v>
      </c>
      <c r="C201" s="20" t="n">
        <f aca="false">ROUND(16.9/FX,2)</f>
        <v>2.35</v>
      </c>
      <c r="D201" s="21" t="s">
        <v>6549</v>
      </c>
      <c r="E201" s="21" t="s">
        <v>22455</v>
      </c>
    </row>
    <row r="202" customFormat="false" ht="15" hidden="false" customHeight="false" outlineLevel="0" collapsed="false">
      <c r="B202" s="19" t="s">
        <v>22456</v>
      </c>
      <c r="C202" s="20" t="n">
        <f aca="false">ROUND(14.3/FX,2)</f>
        <v>1.99</v>
      </c>
      <c r="D202" s="21" t="s">
        <v>6549</v>
      </c>
      <c r="E202" s="21" t="s">
        <v>22457</v>
      </c>
    </row>
    <row r="203" customFormat="false" ht="15" hidden="false" customHeight="false" outlineLevel="0" collapsed="false">
      <c r="B203" s="19" t="s">
        <v>22458</v>
      </c>
      <c r="C203" s="20" t="n">
        <f aca="false">ROUND(23.4/FX,2)</f>
        <v>3.25</v>
      </c>
      <c r="D203" s="21" t="s">
        <v>6549</v>
      </c>
      <c r="E203" s="21" t="s">
        <v>22459</v>
      </c>
    </row>
    <row r="204" customFormat="false" ht="15" hidden="false" customHeight="false" outlineLevel="0" collapsed="false">
      <c r="B204" s="19" t="s">
        <v>22460</v>
      </c>
      <c r="C204" s="20" t="n">
        <f aca="false">ROUND(16.9/FX,2)</f>
        <v>2.35</v>
      </c>
      <c r="D204" s="21" t="s">
        <v>6549</v>
      </c>
      <c r="E204" s="21" t="s">
        <v>22461</v>
      </c>
    </row>
    <row r="205" customFormat="false" ht="15" hidden="false" customHeight="false" outlineLevel="0" collapsed="false">
      <c r="B205" s="19" t="s">
        <v>22462</v>
      </c>
      <c r="C205" s="20" t="n">
        <f aca="false">ROUND(24.7/FX,2)</f>
        <v>3.43</v>
      </c>
      <c r="D205" s="21" t="s">
        <v>6549</v>
      </c>
      <c r="E205" s="21" t="s">
        <v>22463</v>
      </c>
    </row>
    <row r="206" customFormat="false" ht="15" hidden="false" customHeight="false" outlineLevel="0" collapsed="false">
      <c r="B206" s="19" t="s">
        <v>22464</v>
      </c>
      <c r="C206" s="20" t="n">
        <f aca="false">ROUND(28.6/FX,2)</f>
        <v>3.97</v>
      </c>
      <c r="D206" s="21" t="s">
        <v>6549</v>
      </c>
      <c r="E206" s="21" t="s">
        <v>22465</v>
      </c>
    </row>
    <row r="207" customFormat="false" ht="15" hidden="false" customHeight="false" outlineLevel="0" collapsed="false">
      <c r="B207" s="19" t="s">
        <v>22466</v>
      </c>
      <c r="C207" s="20" t="n">
        <f aca="false">ROUND(17.16/FX,2)</f>
        <v>2.38</v>
      </c>
      <c r="D207" s="21" t="s">
        <v>6549</v>
      </c>
      <c r="E207" s="21" t="s">
        <v>22467</v>
      </c>
    </row>
    <row r="208" customFormat="false" ht="15" hidden="false" customHeight="false" outlineLevel="0" collapsed="false">
      <c r="B208" s="19" t="s">
        <v>22468</v>
      </c>
      <c r="C208" s="20" t="n">
        <f aca="false">ROUND(19.5/FX,2)</f>
        <v>2.71</v>
      </c>
      <c r="D208" s="21" t="s">
        <v>6549</v>
      </c>
      <c r="E208" s="21" t="s">
        <v>22469</v>
      </c>
    </row>
    <row r="211" customFormat="false" ht="61.5" hidden="false" customHeight="true" outlineLevel="0" collapsed="false">
      <c r="A211" s="9"/>
      <c r="B211" s="10" t="s">
        <v>22470</v>
      </c>
      <c r="C211" s="10"/>
      <c r="D211" s="10"/>
      <c r="E211" s="10"/>
      <c r="F211" s="10"/>
      <c r="G211" s="10"/>
    </row>
    <row r="212" customFormat="false" ht="15" hidden="false" customHeight="false" outlineLevel="0" collapsed="false">
      <c r="A212" s="12" t="s">
        <v>700</v>
      </c>
      <c r="B212" s="13" t="s">
        <v>701</v>
      </c>
      <c r="C212" s="13" t="s">
        <v>702</v>
      </c>
      <c r="D212" s="13" t="s">
        <v>704</v>
      </c>
      <c r="E212" s="13" t="s">
        <v>6328</v>
      </c>
      <c r="F212" s="13" t="s">
        <v>22471</v>
      </c>
      <c r="G212" s="13" t="s">
        <v>22472</v>
      </c>
    </row>
    <row r="213" customFormat="false" ht="30" hidden="false" customHeight="true" outlineLevel="0" collapsed="false">
      <c r="A213" s="14" t="s">
        <v>706</v>
      </c>
      <c r="B213" s="15" t="str">
        <f aca="false">IF(COUNTIFS($D$216:$D$448,IF(D213="","*",D213),$E$216:$E$448,IF(E213="","*",E213),$F$216:$F$448,IF(F213="","*",F213),$G$216:$G$448,IF(G213="","*",G213))=1,INDEX($B:$B,SUMPRODUCT(((D213="")+($D$216:$D$448=D213)&gt;0)*((E213="")+($E$216:$E$448=E213)&gt;0)*((F213="")+($F$216:$F$448=F213)&gt;0)*((G213="")+($G$216:$G$448=G213)&gt;0)*ROW($B$216:$B$448))),IF(COUNTIFS($D$216:$D$448,IF(D213="","*",D213),$E$216:$E$448,IF(E213="","*",E213),$F$216:$F$448,IF(F213="","*",F213),$G$216:$G$448,IF(G213="","*",G213))=0,"Not available",COUNTIFS($D$216:$D$448,IF(D213="","*",D213),$E$216:$E$448,IF(E213="","*",E213),$F$216:$F$448,IF(F213="","*",F213),$G$216:$G$448,IF(G213="","*",G213))&amp;" match, keep choosing"))</f>
        <v>FOOT-F-NI-D30-M5x30</v>
      </c>
      <c r="C213" s="16" t="n">
        <f aca="false">IF(COUNTIFS($D$216:$D$448,IF(D213="","*",D213),$E$216:$E$448,IF(E213="","*",E213),$F$216:$F$448,IF(F213="","*",F213),$G$216:$G$448,IF(G213="","*",G213))=1,INDEX($C:$C,SUMPRODUCT(((D213="")+($D$216:$D$448=D213)&gt;0)*((E213="")+($E$216:$E$448=E213)&gt;0)*((F213="")+($F$216:$F$448=F213)&gt;0)*((G213="")+($G$216:$G$448=G213)&gt;0)*ROW($B$216:$B$448))),"")</f>
        <v>0.1</v>
      </c>
      <c r="D213" s="17" t="s">
        <v>19357</v>
      </c>
      <c r="E213" s="17" t="s">
        <v>22473</v>
      </c>
      <c r="F213" s="17" t="s">
        <v>22474</v>
      </c>
      <c r="G213" s="17" t="s">
        <v>22475</v>
      </c>
    </row>
    <row r="215" customFormat="false" ht="15" hidden="false" customHeight="false" outlineLevel="0" collapsed="false">
      <c r="B215" s="18" t="s">
        <v>701</v>
      </c>
      <c r="C215" s="18" t="s">
        <v>702</v>
      </c>
      <c r="D215" s="18" t="s">
        <v>704</v>
      </c>
      <c r="E215" s="18" t="s">
        <v>6328</v>
      </c>
      <c r="F215" s="18" t="s">
        <v>22471</v>
      </c>
      <c r="G215" s="18" t="s">
        <v>22472</v>
      </c>
    </row>
    <row r="216" customFormat="false" ht="15" hidden="false" customHeight="false" outlineLevel="0" collapsed="false">
      <c r="B216" s="19" t="s">
        <v>22476</v>
      </c>
      <c r="C216" s="20" t="n">
        <f aca="false">ROUND(0.72/FX,2)</f>
        <v>0.1</v>
      </c>
      <c r="D216" s="21" t="s">
        <v>19357</v>
      </c>
      <c r="E216" s="21" t="s">
        <v>22473</v>
      </c>
      <c r="F216" s="21" t="s">
        <v>22474</v>
      </c>
      <c r="G216" s="21" t="s">
        <v>22475</v>
      </c>
    </row>
    <row r="217" customFormat="false" ht="15" hidden="false" customHeight="false" outlineLevel="0" collapsed="false">
      <c r="B217" s="19" t="s">
        <v>22477</v>
      </c>
      <c r="C217" s="20" t="n">
        <f aca="false">ROUND(1.48/FX,2)</f>
        <v>0.21</v>
      </c>
      <c r="D217" s="21" t="s">
        <v>19357</v>
      </c>
      <c r="E217" s="21" t="s">
        <v>22473</v>
      </c>
      <c r="F217" s="21" t="s">
        <v>22478</v>
      </c>
      <c r="G217" s="21" t="s">
        <v>22184</v>
      </c>
    </row>
    <row r="218" customFormat="false" ht="15" hidden="false" customHeight="false" outlineLevel="0" collapsed="false">
      <c r="B218" s="19" t="s">
        <v>22479</v>
      </c>
      <c r="C218" s="20" t="n">
        <f aca="false">ROUND(1.24/FX,2)</f>
        <v>0.17</v>
      </c>
      <c r="D218" s="21" t="s">
        <v>19357</v>
      </c>
      <c r="E218" s="21" t="s">
        <v>22473</v>
      </c>
      <c r="F218" s="21" t="s">
        <v>22478</v>
      </c>
      <c r="G218" s="21" t="s">
        <v>22480</v>
      </c>
    </row>
    <row r="219" customFormat="false" ht="15" hidden="false" customHeight="false" outlineLevel="0" collapsed="false">
      <c r="B219" s="19" t="s">
        <v>22481</v>
      </c>
      <c r="C219" s="20" t="n">
        <f aca="false">ROUND(1.24/FX,2)</f>
        <v>0.17</v>
      </c>
      <c r="D219" s="21" t="s">
        <v>19357</v>
      </c>
      <c r="E219" s="21" t="s">
        <v>22473</v>
      </c>
      <c r="F219" s="21" t="s">
        <v>22478</v>
      </c>
      <c r="G219" s="21" t="s">
        <v>22191</v>
      </c>
    </row>
    <row r="220" customFormat="false" ht="15" hidden="false" customHeight="false" outlineLevel="0" collapsed="false">
      <c r="B220" s="19" t="s">
        <v>22482</v>
      </c>
      <c r="C220" s="20" t="n">
        <f aca="false">ROUND(1.37/FX,2)</f>
        <v>0.19</v>
      </c>
      <c r="D220" s="21" t="s">
        <v>19357</v>
      </c>
      <c r="E220" s="21" t="s">
        <v>22473</v>
      </c>
      <c r="F220" s="21" t="s">
        <v>22478</v>
      </c>
      <c r="G220" s="21" t="s">
        <v>22195</v>
      </c>
    </row>
    <row r="221" customFormat="false" ht="15" hidden="false" customHeight="false" outlineLevel="0" collapsed="false">
      <c r="B221" s="19" t="s">
        <v>22483</v>
      </c>
      <c r="C221" s="20" t="n">
        <f aca="false">ROUND(1.98/FX,2)</f>
        <v>0.28</v>
      </c>
      <c r="D221" s="21" t="s">
        <v>19357</v>
      </c>
      <c r="E221" s="21" t="s">
        <v>22473</v>
      </c>
      <c r="F221" s="21" t="s">
        <v>22478</v>
      </c>
      <c r="G221" s="21" t="s">
        <v>22199</v>
      </c>
    </row>
    <row r="222" customFormat="false" ht="15" hidden="false" customHeight="false" outlineLevel="0" collapsed="false">
      <c r="B222" s="19" t="s">
        <v>22484</v>
      </c>
      <c r="C222" s="20" t="n">
        <f aca="false">ROUND(2.85/FX,2)</f>
        <v>0.4</v>
      </c>
      <c r="D222" s="21" t="s">
        <v>19357</v>
      </c>
      <c r="E222" s="21" t="s">
        <v>22473</v>
      </c>
      <c r="F222" s="21" t="s">
        <v>22478</v>
      </c>
      <c r="G222" s="21" t="s">
        <v>22207</v>
      </c>
    </row>
    <row r="223" customFormat="false" ht="15" hidden="false" customHeight="false" outlineLevel="0" collapsed="false">
      <c r="B223" s="19" t="s">
        <v>22485</v>
      </c>
      <c r="C223" s="20" t="n">
        <f aca="false">ROUND(1.48/FX,2)</f>
        <v>0.21</v>
      </c>
      <c r="D223" s="21" t="s">
        <v>19357</v>
      </c>
      <c r="E223" s="21" t="s">
        <v>22473</v>
      </c>
      <c r="F223" s="21" t="s">
        <v>22478</v>
      </c>
      <c r="G223" s="21" t="s">
        <v>22486</v>
      </c>
    </row>
    <row r="224" customFormat="false" ht="15" hidden="false" customHeight="false" outlineLevel="0" collapsed="false">
      <c r="B224" s="19" t="s">
        <v>22487</v>
      </c>
      <c r="C224" s="20" t="n">
        <f aca="false">ROUND(1.48/FX,2)</f>
        <v>0.21</v>
      </c>
      <c r="D224" s="21" t="s">
        <v>19357</v>
      </c>
      <c r="E224" s="21" t="s">
        <v>22473</v>
      </c>
      <c r="F224" s="21" t="s">
        <v>22478</v>
      </c>
      <c r="G224" s="21" t="s">
        <v>22211</v>
      </c>
    </row>
    <row r="225" customFormat="false" ht="15" hidden="false" customHeight="false" outlineLevel="0" collapsed="false">
      <c r="B225" s="19" t="s">
        <v>22488</v>
      </c>
      <c r="C225" s="20" t="n">
        <f aca="false">ROUND(1.69/FX,2)</f>
        <v>0.23</v>
      </c>
      <c r="D225" s="21" t="s">
        <v>19357</v>
      </c>
      <c r="E225" s="21" t="s">
        <v>22473</v>
      </c>
      <c r="F225" s="21" t="s">
        <v>22478</v>
      </c>
      <c r="G225" s="21" t="s">
        <v>22215</v>
      </c>
    </row>
    <row r="226" customFormat="false" ht="15" hidden="false" customHeight="false" outlineLevel="0" collapsed="false">
      <c r="B226" s="19" t="s">
        <v>22489</v>
      </c>
      <c r="C226" s="20" t="n">
        <f aca="false">ROUND(0.99/FX,2)</f>
        <v>0.14</v>
      </c>
      <c r="D226" s="21" t="s">
        <v>19357</v>
      </c>
      <c r="E226" s="21" t="s">
        <v>22473</v>
      </c>
      <c r="F226" s="21" t="s">
        <v>22478</v>
      </c>
      <c r="G226" s="21" t="s">
        <v>22490</v>
      </c>
    </row>
    <row r="227" customFormat="false" ht="15" hidden="false" customHeight="false" outlineLevel="0" collapsed="false">
      <c r="B227" s="19" t="s">
        <v>22491</v>
      </c>
      <c r="C227" s="20" t="n">
        <f aca="false">ROUND(0.99/FX,2)</f>
        <v>0.14</v>
      </c>
      <c r="D227" s="21" t="s">
        <v>19357</v>
      </c>
      <c r="E227" s="21" t="s">
        <v>22473</v>
      </c>
      <c r="F227" s="21" t="s">
        <v>22478</v>
      </c>
      <c r="G227" s="21" t="s">
        <v>22247</v>
      </c>
    </row>
    <row r="228" customFormat="false" ht="15" hidden="false" customHeight="false" outlineLevel="0" collapsed="false">
      <c r="B228" s="19" t="s">
        <v>22492</v>
      </c>
      <c r="C228" s="20" t="n">
        <f aca="false">ROUND(1.24/FX,2)</f>
        <v>0.17</v>
      </c>
      <c r="D228" s="21" t="s">
        <v>19357</v>
      </c>
      <c r="E228" s="21" t="s">
        <v>22473</v>
      </c>
      <c r="F228" s="21" t="s">
        <v>22478</v>
      </c>
      <c r="G228" s="21" t="s">
        <v>22250</v>
      </c>
    </row>
    <row r="229" customFormat="false" ht="15" hidden="false" customHeight="false" outlineLevel="0" collapsed="false">
      <c r="B229" s="19" t="s">
        <v>22493</v>
      </c>
      <c r="C229" s="20" t="n">
        <f aca="false">ROUND(1.52/FX,2)</f>
        <v>0.21</v>
      </c>
      <c r="D229" s="21" t="s">
        <v>19357</v>
      </c>
      <c r="E229" s="21" t="s">
        <v>22473</v>
      </c>
      <c r="F229" s="21" t="s">
        <v>22494</v>
      </c>
      <c r="G229" s="21" t="s">
        <v>22184</v>
      </c>
    </row>
    <row r="230" customFormat="false" ht="15" hidden="false" customHeight="false" outlineLevel="0" collapsed="false">
      <c r="B230" s="19" t="s">
        <v>22495</v>
      </c>
      <c r="C230" s="20" t="n">
        <f aca="false">ROUND(1.37/FX,2)</f>
        <v>0.19</v>
      </c>
      <c r="D230" s="21" t="s">
        <v>19357</v>
      </c>
      <c r="E230" s="21" t="s">
        <v>22473</v>
      </c>
      <c r="F230" s="21" t="s">
        <v>22494</v>
      </c>
      <c r="G230" s="21" t="s">
        <v>22480</v>
      </c>
    </row>
    <row r="231" customFormat="false" ht="15" hidden="false" customHeight="false" outlineLevel="0" collapsed="false">
      <c r="B231" s="19" t="s">
        <v>22496</v>
      </c>
      <c r="C231" s="20" t="n">
        <f aca="false">ROUND(1.37/FX,2)</f>
        <v>0.19</v>
      </c>
      <c r="D231" s="21" t="s">
        <v>19357</v>
      </c>
      <c r="E231" s="21" t="s">
        <v>22473</v>
      </c>
      <c r="F231" s="21" t="s">
        <v>22494</v>
      </c>
      <c r="G231" s="21" t="s">
        <v>22191</v>
      </c>
    </row>
    <row r="232" customFormat="false" ht="15" hidden="false" customHeight="false" outlineLevel="0" collapsed="false">
      <c r="B232" s="19" t="s">
        <v>22497</v>
      </c>
      <c r="C232" s="20" t="n">
        <f aca="false">ROUND(1.48/FX,2)</f>
        <v>0.21</v>
      </c>
      <c r="D232" s="21" t="s">
        <v>19357</v>
      </c>
      <c r="E232" s="21" t="s">
        <v>22473</v>
      </c>
      <c r="F232" s="21" t="s">
        <v>22494</v>
      </c>
      <c r="G232" s="21" t="s">
        <v>22195</v>
      </c>
    </row>
    <row r="233" customFormat="false" ht="15" hidden="false" customHeight="false" outlineLevel="0" collapsed="false">
      <c r="B233" s="19" t="s">
        <v>22498</v>
      </c>
      <c r="C233" s="20" t="n">
        <f aca="false">ROUND(1.99/FX,2)</f>
        <v>0.28</v>
      </c>
      <c r="D233" s="21" t="s">
        <v>19357</v>
      </c>
      <c r="E233" s="21" t="s">
        <v>22473</v>
      </c>
      <c r="F233" s="21" t="s">
        <v>22494</v>
      </c>
      <c r="G233" s="21" t="s">
        <v>22199</v>
      </c>
    </row>
    <row r="234" customFormat="false" ht="15" hidden="false" customHeight="false" outlineLevel="0" collapsed="false">
      <c r="B234" s="19" t="s">
        <v>22499</v>
      </c>
      <c r="C234" s="20" t="n">
        <f aca="false">ROUND(2.85/FX,2)</f>
        <v>0.4</v>
      </c>
      <c r="D234" s="21" t="s">
        <v>19357</v>
      </c>
      <c r="E234" s="21" t="s">
        <v>22473</v>
      </c>
      <c r="F234" s="21" t="s">
        <v>22494</v>
      </c>
      <c r="G234" s="21" t="s">
        <v>22207</v>
      </c>
    </row>
    <row r="235" customFormat="false" ht="15" hidden="false" customHeight="false" outlineLevel="0" collapsed="false">
      <c r="B235" s="19" t="s">
        <v>22500</v>
      </c>
      <c r="C235" s="20" t="n">
        <f aca="false">ROUND(1.61/FX,2)</f>
        <v>0.22</v>
      </c>
      <c r="D235" s="21" t="s">
        <v>19357</v>
      </c>
      <c r="E235" s="21" t="s">
        <v>22473</v>
      </c>
      <c r="F235" s="21" t="s">
        <v>22494</v>
      </c>
      <c r="G235" s="21" t="s">
        <v>22486</v>
      </c>
    </row>
    <row r="236" customFormat="false" ht="15" hidden="false" customHeight="false" outlineLevel="0" collapsed="false">
      <c r="B236" s="19" t="s">
        <v>22501</v>
      </c>
      <c r="C236" s="20" t="n">
        <f aca="false">ROUND(1.61/FX,2)</f>
        <v>0.22</v>
      </c>
      <c r="D236" s="21" t="s">
        <v>19357</v>
      </c>
      <c r="E236" s="21" t="s">
        <v>22473</v>
      </c>
      <c r="F236" s="21" t="s">
        <v>22494</v>
      </c>
      <c r="G236" s="21" t="s">
        <v>22211</v>
      </c>
    </row>
    <row r="237" customFormat="false" ht="15" hidden="false" customHeight="false" outlineLevel="0" collapsed="false">
      <c r="B237" s="19" t="s">
        <v>22502</v>
      </c>
      <c r="C237" s="20" t="n">
        <f aca="false">ROUND(1.73/FX,2)</f>
        <v>0.24</v>
      </c>
      <c r="D237" s="21" t="s">
        <v>19357</v>
      </c>
      <c r="E237" s="21" t="s">
        <v>22473</v>
      </c>
      <c r="F237" s="21" t="s">
        <v>22494</v>
      </c>
      <c r="G237" s="21" t="s">
        <v>22215</v>
      </c>
    </row>
    <row r="238" customFormat="false" ht="15" hidden="false" customHeight="false" outlineLevel="0" collapsed="false">
      <c r="B238" s="19" t="s">
        <v>22503</v>
      </c>
      <c r="C238" s="20" t="n">
        <f aca="false">ROUND(1.01/FX,2)</f>
        <v>0.14</v>
      </c>
      <c r="D238" s="21" t="s">
        <v>19357</v>
      </c>
      <c r="E238" s="21" t="s">
        <v>22473</v>
      </c>
      <c r="F238" s="21" t="s">
        <v>22494</v>
      </c>
      <c r="G238" s="21" t="s">
        <v>22490</v>
      </c>
    </row>
    <row r="239" customFormat="false" ht="15" hidden="false" customHeight="false" outlineLevel="0" collapsed="false">
      <c r="B239" s="19" t="s">
        <v>22504</v>
      </c>
      <c r="C239" s="20" t="n">
        <f aca="false">ROUND(1.01/FX,2)</f>
        <v>0.14</v>
      </c>
      <c r="D239" s="21" t="s">
        <v>19357</v>
      </c>
      <c r="E239" s="21" t="s">
        <v>22473</v>
      </c>
      <c r="F239" s="21" t="s">
        <v>22494</v>
      </c>
      <c r="G239" s="21" t="s">
        <v>22247</v>
      </c>
    </row>
    <row r="240" customFormat="false" ht="15" hidden="false" customHeight="false" outlineLevel="0" collapsed="false">
      <c r="B240" s="19" t="s">
        <v>22505</v>
      </c>
      <c r="C240" s="20" t="n">
        <f aca="false">ROUND(1.37/FX,2)</f>
        <v>0.19</v>
      </c>
      <c r="D240" s="21" t="s">
        <v>19357</v>
      </c>
      <c r="E240" s="21" t="s">
        <v>22473</v>
      </c>
      <c r="F240" s="21" t="s">
        <v>22494</v>
      </c>
      <c r="G240" s="21" t="s">
        <v>22250</v>
      </c>
    </row>
    <row r="241" customFormat="false" ht="15" hidden="false" customHeight="false" outlineLevel="0" collapsed="false">
      <c r="B241" s="19" t="s">
        <v>22506</v>
      </c>
      <c r="C241" s="20" t="n">
        <f aca="false">ROUND(1.86/FX,2)</f>
        <v>0.26</v>
      </c>
      <c r="D241" s="21" t="s">
        <v>19357</v>
      </c>
      <c r="E241" s="21" t="s">
        <v>22473</v>
      </c>
      <c r="F241" s="21" t="s">
        <v>22507</v>
      </c>
      <c r="G241" s="21" t="s">
        <v>22184</v>
      </c>
    </row>
    <row r="242" customFormat="false" ht="15" hidden="false" customHeight="false" outlineLevel="0" collapsed="false">
      <c r="B242" s="19" t="s">
        <v>22508</v>
      </c>
      <c r="C242" s="20" t="n">
        <f aca="false">ROUND(1.55/FX,2)</f>
        <v>0.22</v>
      </c>
      <c r="D242" s="21" t="s">
        <v>19357</v>
      </c>
      <c r="E242" s="21" t="s">
        <v>22473</v>
      </c>
      <c r="F242" s="21" t="s">
        <v>22507</v>
      </c>
      <c r="G242" s="21" t="s">
        <v>22480</v>
      </c>
    </row>
    <row r="243" customFormat="false" ht="15" hidden="false" customHeight="false" outlineLevel="0" collapsed="false">
      <c r="B243" s="19" t="s">
        <v>22509</v>
      </c>
      <c r="C243" s="20" t="n">
        <f aca="false">ROUND(1.61/FX,2)</f>
        <v>0.22</v>
      </c>
      <c r="D243" s="21" t="s">
        <v>19357</v>
      </c>
      <c r="E243" s="21" t="s">
        <v>22473</v>
      </c>
      <c r="F243" s="21" t="s">
        <v>22507</v>
      </c>
      <c r="G243" s="21" t="s">
        <v>22191</v>
      </c>
    </row>
    <row r="244" customFormat="false" ht="15" hidden="false" customHeight="false" outlineLevel="0" collapsed="false">
      <c r="B244" s="19" t="s">
        <v>22510</v>
      </c>
      <c r="C244" s="20" t="n">
        <f aca="false">ROUND(1.73/FX,2)</f>
        <v>0.24</v>
      </c>
      <c r="D244" s="21" t="s">
        <v>19357</v>
      </c>
      <c r="E244" s="21" t="s">
        <v>22473</v>
      </c>
      <c r="F244" s="21" t="s">
        <v>22507</v>
      </c>
      <c r="G244" s="21" t="s">
        <v>22195</v>
      </c>
    </row>
    <row r="245" customFormat="false" ht="15" hidden="false" customHeight="false" outlineLevel="0" collapsed="false">
      <c r="B245" s="19" t="s">
        <v>22511</v>
      </c>
      <c r="C245" s="20" t="n">
        <f aca="false">ROUND(2.47/FX,2)</f>
        <v>0.34</v>
      </c>
      <c r="D245" s="21" t="s">
        <v>19357</v>
      </c>
      <c r="E245" s="21" t="s">
        <v>22473</v>
      </c>
      <c r="F245" s="21" t="s">
        <v>22507</v>
      </c>
      <c r="G245" s="21" t="s">
        <v>22199</v>
      </c>
    </row>
    <row r="246" customFormat="false" ht="15" hidden="false" customHeight="false" outlineLevel="0" collapsed="false">
      <c r="B246" s="19" t="s">
        <v>22512</v>
      </c>
      <c r="C246" s="20" t="n">
        <f aca="false">ROUND(3.34/FX,2)</f>
        <v>0.46</v>
      </c>
      <c r="D246" s="21" t="s">
        <v>19357</v>
      </c>
      <c r="E246" s="21" t="s">
        <v>22473</v>
      </c>
      <c r="F246" s="21" t="s">
        <v>22507</v>
      </c>
      <c r="G246" s="21" t="s">
        <v>22207</v>
      </c>
    </row>
    <row r="247" customFormat="false" ht="15" hidden="false" customHeight="false" outlineLevel="0" collapsed="false">
      <c r="B247" s="19" t="s">
        <v>22513</v>
      </c>
      <c r="C247" s="20" t="n">
        <f aca="false">ROUND(1.8/FX,2)</f>
        <v>0.25</v>
      </c>
      <c r="D247" s="21" t="s">
        <v>19357</v>
      </c>
      <c r="E247" s="21" t="s">
        <v>22473</v>
      </c>
      <c r="F247" s="21" t="s">
        <v>22507</v>
      </c>
      <c r="G247" s="21" t="s">
        <v>22486</v>
      </c>
    </row>
    <row r="248" customFormat="false" ht="15" hidden="false" customHeight="false" outlineLevel="0" collapsed="false">
      <c r="B248" s="19" t="s">
        <v>22514</v>
      </c>
      <c r="C248" s="20" t="n">
        <f aca="false">ROUND(1.86/FX,2)</f>
        <v>0.26</v>
      </c>
      <c r="D248" s="21" t="s">
        <v>19357</v>
      </c>
      <c r="E248" s="21" t="s">
        <v>22473</v>
      </c>
      <c r="F248" s="21" t="s">
        <v>22507</v>
      </c>
      <c r="G248" s="21" t="s">
        <v>22211</v>
      </c>
    </row>
    <row r="249" customFormat="false" ht="15" hidden="false" customHeight="false" outlineLevel="0" collapsed="false">
      <c r="B249" s="19" t="s">
        <v>22515</v>
      </c>
      <c r="C249" s="20" t="n">
        <f aca="false">ROUND(2.22/FX,2)</f>
        <v>0.31</v>
      </c>
      <c r="D249" s="21" t="s">
        <v>19357</v>
      </c>
      <c r="E249" s="21" t="s">
        <v>22473</v>
      </c>
      <c r="F249" s="21" t="s">
        <v>22507</v>
      </c>
      <c r="G249" s="21" t="s">
        <v>22215</v>
      </c>
    </row>
    <row r="250" customFormat="false" ht="15" hidden="false" customHeight="false" outlineLevel="0" collapsed="false">
      <c r="B250" s="19" t="s">
        <v>22516</v>
      </c>
      <c r="C250" s="20" t="n">
        <f aca="false">ROUND(2.97/FX,2)</f>
        <v>0.41</v>
      </c>
      <c r="D250" s="21" t="s">
        <v>19357</v>
      </c>
      <c r="E250" s="21" t="s">
        <v>22473</v>
      </c>
      <c r="F250" s="21" t="s">
        <v>22507</v>
      </c>
      <c r="G250" s="21" t="s">
        <v>22517</v>
      </c>
    </row>
    <row r="251" customFormat="false" ht="15" hidden="false" customHeight="false" outlineLevel="0" collapsed="false">
      <c r="B251" s="19" t="s">
        <v>22518</v>
      </c>
      <c r="C251" s="20" t="n">
        <f aca="false">ROUND(3.59/FX,2)</f>
        <v>0.5</v>
      </c>
      <c r="D251" s="21" t="s">
        <v>19357</v>
      </c>
      <c r="E251" s="21" t="s">
        <v>22473</v>
      </c>
      <c r="F251" s="21" t="s">
        <v>22507</v>
      </c>
      <c r="G251" s="21" t="s">
        <v>22519</v>
      </c>
    </row>
    <row r="252" customFormat="false" ht="15" hidden="false" customHeight="false" outlineLevel="0" collapsed="false">
      <c r="B252" s="19" t="s">
        <v>22520</v>
      </c>
      <c r="C252" s="20" t="n">
        <f aca="false">ROUND(3.1/FX,2)</f>
        <v>0.43</v>
      </c>
      <c r="D252" s="21" t="s">
        <v>19357</v>
      </c>
      <c r="E252" s="21" t="s">
        <v>22473</v>
      </c>
      <c r="F252" s="21" t="s">
        <v>22507</v>
      </c>
      <c r="G252" s="21" t="s">
        <v>22219</v>
      </c>
    </row>
    <row r="253" customFormat="false" ht="15" hidden="false" customHeight="false" outlineLevel="0" collapsed="false">
      <c r="B253" s="19" t="s">
        <v>22521</v>
      </c>
      <c r="C253" s="20" t="n">
        <f aca="false">ROUND(3.34/FX,2)</f>
        <v>0.46</v>
      </c>
      <c r="D253" s="21" t="s">
        <v>19357</v>
      </c>
      <c r="E253" s="21" t="s">
        <v>22473</v>
      </c>
      <c r="F253" s="21" t="s">
        <v>22507</v>
      </c>
      <c r="G253" s="21" t="s">
        <v>22222</v>
      </c>
    </row>
    <row r="254" customFormat="false" ht="15" hidden="false" customHeight="false" outlineLevel="0" collapsed="false">
      <c r="B254" s="19" t="s">
        <v>22522</v>
      </c>
      <c r="C254" s="20" t="n">
        <f aca="false">ROUND(3.71/FX,2)</f>
        <v>0.52</v>
      </c>
      <c r="D254" s="21" t="s">
        <v>19357</v>
      </c>
      <c r="E254" s="21" t="s">
        <v>22473</v>
      </c>
      <c r="F254" s="21" t="s">
        <v>22507</v>
      </c>
      <c r="G254" s="21" t="s">
        <v>22225</v>
      </c>
    </row>
    <row r="255" customFormat="false" ht="15" hidden="false" customHeight="false" outlineLevel="0" collapsed="false">
      <c r="B255" s="19" t="s">
        <v>22523</v>
      </c>
      <c r="C255" s="20" t="n">
        <f aca="false">ROUND(4.33/FX,2)</f>
        <v>0.6</v>
      </c>
      <c r="D255" s="21" t="s">
        <v>19357</v>
      </c>
      <c r="E255" s="21" t="s">
        <v>22473</v>
      </c>
      <c r="F255" s="21" t="s">
        <v>22507</v>
      </c>
      <c r="G255" s="21" t="s">
        <v>22524</v>
      </c>
    </row>
    <row r="256" customFormat="false" ht="15" hidden="false" customHeight="false" outlineLevel="0" collapsed="false">
      <c r="B256" s="19" t="s">
        <v>22525</v>
      </c>
      <c r="C256" s="20" t="n">
        <f aca="false">ROUND(2.85/FX,2)</f>
        <v>0.4</v>
      </c>
      <c r="D256" s="21" t="s">
        <v>19357</v>
      </c>
      <c r="E256" s="21" t="s">
        <v>22473</v>
      </c>
      <c r="F256" s="21" t="s">
        <v>22507</v>
      </c>
      <c r="G256" s="21" t="s">
        <v>22228</v>
      </c>
    </row>
    <row r="257" customFormat="false" ht="15" hidden="false" customHeight="false" outlineLevel="0" collapsed="false">
      <c r="B257" s="19" t="s">
        <v>22526</v>
      </c>
      <c r="C257" s="20" t="n">
        <f aca="false">ROUND(2.97/FX,2)</f>
        <v>0.41</v>
      </c>
      <c r="D257" s="21" t="s">
        <v>19357</v>
      </c>
      <c r="E257" s="21" t="s">
        <v>22473</v>
      </c>
      <c r="F257" s="21" t="s">
        <v>22507</v>
      </c>
      <c r="G257" s="21" t="s">
        <v>22231</v>
      </c>
    </row>
    <row r="258" customFormat="false" ht="15" hidden="false" customHeight="false" outlineLevel="0" collapsed="false">
      <c r="B258" s="19" t="s">
        <v>22527</v>
      </c>
      <c r="C258" s="20" t="n">
        <f aca="false">ROUND(4.2/FX,2)</f>
        <v>0.58</v>
      </c>
      <c r="D258" s="21" t="s">
        <v>19357</v>
      </c>
      <c r="E258" s="21" t="s">
        <v>22473</v>
      </c>
      <c r="F258" s="21" t="s">
        <v>22507</v>
      </c>
      <c r="G258" s="21" t="s">
        <v>22234</v>
      </c>
    </row>
    <row r="259" customFormat="false" ht="15" hidden="false" customHeight="false" outlineLevel="0" collapsed="false">
      <c r="B259" s="19" t="s">
        <v>22528</v>
      </c>
      <c r="C259" s="20" t="n">
        <f aca="false">ROUND(4.7/FX,2)</f>
        <v>0.65</v>
      </c>
      <c r="D259" s="21" t="s">
        <v>19357</v>
      </c>
      <c r="E259" s="21" t="s">
        <v>22473</v>
      </c>
      <c r="F259" s="21" t="s">
        <v>22507</v>
      </c>
      <c r="G259" s="21" t="s">
        <v>22236</v>
      </c>
    </row>
    <row r="260" customFormat="false" ht="15" hidden="false" customHeight="false" outlineLevel="0" collapsed="false">
      <c r="B260" s="19" t="s">
        <v>22529</v>
      </c>
      <c r="C260" s="20" t="n">
        <f aca="false">ROUND(5.19/FX,2)</f>
        <v>0.72</v>
      </c>
      <c r="D260" s="21" t="s">
        <v>19357</v>
      </c>
      <c r="E260" s="21" t="s">
        <v>22473</v>
      </c>
      <c r="F260" s="21" t="s">
        <v>22507</v>
      </c>
      <c r="G260" s="21" t="s">
        <v>22238</v>
      </c>
    </row>
    <row r="261" customFormat="false" ht="15" hidden="false" customHeight="false" outlineLevel="0" collapsed="false">
      <c r="B261" s="19" t="s">
        <v>22530</v>
      </c>
      <c r="C261" s="20" t="n">
        <f aca="false">ROUND(6.18/FX,2)</f>
        <v>0.86</v>
      </c>
      <c r="D261" s="21" t="s">
        <v>19357</v>
      </c>
      <c r="E261" s="21" t="s">
        <v>22473</v>
      </c>
      <c r="F261" s="21" t="s">
        <v>22507</v>
      </c>
      <c r="G261" s="21" t="s">
        <v>22531</v>
      </c>
    </row>
    <row r="262" customFormat="false" ht="15" hidden="false" customHeight="false" outlineLevel="0" collapsed="false">
      <c r="B262" s="19" t="s">
        <v>22532</v>
      </c>
      <c r="C262" s="20" t="n">
        <f aca="false">ROUND(1.24/FX,2)</f>
        <v>0.17</v>
      </c>
      <c r="D262" s="21" t="s">
        <v>19357</v>
      </c>
      <c r="E262" s="21" t="s">
        <v>22473</v>
      </c>
      <c r="F262" s="21" t="s">
        <v>22507</v>
      </c>
      <c r="G262" s="21" t="s">
        <v>22490</v>
      </c>
    </row>
    <row r="263" customFormat="false" ht="15" hidden="false" customHeight="false" outlineLevel="0" collapsed="false">
      <c r="B263" s="19" t="s">
        <v>22533</v>
      </c>
      <c r="C263" s="20" t="n">
        <f aca="false">ROUND(1.37/FX,2)</f>
        <v>0.19</v>
      </c>
      <c r="D263" s="21" t="s">
        <v>19357</v>
      </c>
      <c r="E263" s="21" t="s">
        <v>22473</v>
      </c>
      <c r="F263" s="21" t="s">
        <v>22507</v>
      </c>
      <c r="G263" s="21" t="s">
        <v>22247</v>
      </c>
    </row>
    <row r="264" customFormat="false" ht="15" hidden="false" customHeight="false" outlineLevel="0" collapsed="false">
      <c r="B264" s="19" t="s">
        <v>22534</v>
      </c>
      <c r="C264" s="20" t="n">
        <f aca="false">ROUND(1.48/FX,2)</f>
        <v>0.21</v>
      </c>
      <c r="D264" s="21" t="s">
        <v>19357</v>
      </c>
      <c r="E264" s="21" t="s">
        <v>22473</v>
      </c>
      <c r="F264" s="21" t="s">
        <v>22507</v>
      </c>
      <c r="G264" s="21" t="s">
        <v>22250</v>
      </c>
    </row>
    <row r="265" customFormat="false" ht="15" hidden="false" customHeight="false" outlineLevel="0" collapsed="false">
      <c r="B265" s="19" t="s">
        <v>22535</v>
      </c>
      <c r="C265" s="20" t="n">
        <f aca="false">ROUND(3.51/FX,2)</f>
        <v>0.49</v>
      </c>
      <c r="D265" s="21" t="s">
        <v>19357</v>
      </c>
      <c r="E265" s="21" t="s">
        <v>22473</v>
      </c>
      <c r="F265" s="21" t="s">
        <v>22536</v>
      </c>
      <c r="G265" s="21" t="s">
        <v>22184</v>
      </c>
    </row>
    <row r="266" customFormat="false" ht="15" hidden="false" customHeight="false" outlineLevel="0" collapsed="false">
      <c r="B266" s="19" t="s">
        <v>22537</v>
      </c>
      <c r="C266" s="20" t="n">
        <f aca="false">ROUND(2.11/FX,2)</f>
        <v>0.29</v>
      </c>
      <c r="D266" s="21" t="s">
        <v>19357</v>
      </c>
      <c r="E266" s="21" t="s">
        <v>22473</v>
      </c>
      <c r="F266" s="21" t="s">
        <v>22536</v>
      </c>
      <c r="G266" s="21" t="s">
        <v>22480</v>
      </c>
    </row>
    <row r="267" customFormat="false" ht="15" hidden="false" customHeight="false" outlineLevel="0" collapsed="false">
      <c r="B267" s="19" t="s">
        <v>22538</v>
      </c>
      <c r="C267" s="20" t="n">
        <f aca="false">ROUND(2.22/FX,2)</f>
        <v>0.31</v>
      </c>
      <c r="D267" s="21" t="s">
        <v>19357</v>
      </c>
      <c r="E267" s="21" t="s">
        <v>22473</v>
      </c>
      <c r="F267" s="21" t="s">
        <v>22536</v>
      </c>
      <c r="G267" s="21" t="s">
        <v>22191</v>
      </c>
    </row>
    <row r="268" customFormat="false" ht="15" hidden="false" customHeight="false" outlineLevel="0" collapsed="false">
      <c r="B268" s="19" t="s">
        <v>22539</v>
      </c>
      <c r="C268" s="20" t="n">
        <f aca="false">ROUND(2.35/FX,2)</f>
        <v>0.33</v>
      </c>
      <c r="D268" s="21" t="s">
        <v>19357</v>
      </c>
      <c r="E268" s="21" t="s">
        <v>22473</v>
      </c>
      <c r="F268" s="21" t="s">
        <v>22536</v>
      </c>
      <c r="G268" s="21" t="s">
        <v>22195</v>
      </c>
    </row>
    <row r="269" customFormat="false" ht="15" hidden="false" customHeight="false" outlineLevel="0" collapsed="false">
      <c r="B269" s="19" t="s">
        <v>22540</v>
      </c>
      <c r="C269" s="20" t="n">
        <f aca="false">ROUND(3.9/FX,2)</f>
        <v>0.54</v>
      </c>
      <c r="D269" s="21" t="s">
        <v>19357</v>
      </c>
      <c r="E269" s="21" t="s">
        <v>22473</v>
      </c>
      <c r="F269" s="21" t="s">
        <v>22536</v>
      </c>
      <c r="G269" s="21" t="s">
        <v>22199</v>
      </c>
    </row>
    <row r="270" customFormat="false" ht="15" hidden="false" customHeight="false" outlineLevel="0" collapsed="false">
      <c r="B270" s="19" t="s">
        <v>22541</v>
      </c>
      <c r="C270" s="20" t="n">
        <f aca="false">ROUND(3.21/FX,2)</f>
        <v>0.45</v>
      </c>
      <c r="D270" s="21" t="s">
        <v>19357</v>
      </c>
      <c r="E270" s="21" t="s">
        <v>22473</v>
      </c>
      <c r="F270" s="21" t="s">
        <v>22536</v>
      </c>
      <c r="G270" s="21" t="s">
        <v>22207</v>
      </c>
    </row>
    <row r="271" customFormat="false" ht="15" hidden="false" customHeight="false" outlineLevel="0" collapsed="false">
      <c r="B271" s="19" t="s">
        <v>22542</v>
      </c>
      <c r="C271" s="20" t="n">
        <f aca="false">ROUND(2.29/FX,2)</f>
        <v>0.32</v>
      </c>
      <c r="D271" s="21" t="s">
        <v>19357</v>
      </c>
      <c r="E271" s="21" t="s">
        <v>22473</v>
      </c>
      <c r="F271" s="21" t="s">
        <v>22536</v>
      </c>
      <c r="G271" s="21" t="s">
        <v>22486</v>
      </c>
    </row>
    <row r="272" customFormat="false" ht="15" hidden="false" customHeight="false" outlineLevel="0" collapsed="false">
      <c r="B272" s="19" t="s">
        <v>22543</v>
      </c>
      <c r="C272" s="20" t="n">
        <f aca="false">ROUND(2.35/FX,2)</f>
        <v>0.33</v>
      </c>
      <c r="D272" s="21" t="s">
        <v>19357</v>
      </c>
      <c r="E272" s="21" t="s">
        <v>22473</v>
      </c>
      <c r="F272" s="21" t="s">
        <v>22536</v>
      </c>
      <c r="G272" s="21" t="s">
        <v>22211</v>
      </c>
    </row>
    <row r="273" customFormat="false" ht="15" hidden="false" customHeight="false" outlineLevel="0" collapsed="false">
      <c r="B273" s="19" t="s">
        <v>22544</v>
      </c>
      <c r="C273" s="20" t="n">
        <f aca="false">ROUND(2.47/FX,2)</f>
        <v>0.34</v>
      </c>
      <c r="D273" s="21" t="s">
        <v>19357</v>
      </c>
      <c r="E273" s="21" t="s">
        <v>22473</v>
      </c>
      <c r="F273" s="21" t="s">
        <v>22536</v>
      </c>
      <c r="G273" s="21" t="s">
        <v>22215</v>
      </c>
    </row>
    <row r="274" customFormat="false" ht="15" hidden="false" customHeight="false" outlineLevel="0" collapsed="false">
      <c r="B274" s="19" t="s">
        <v>22545</v>
      </c>
      <c r="C274" s="20" t="n">
        <f aca="false">ROUND(3.34/FX,2)</f>
        <v>0.46</v>
      </c>
      <c r="D274" s="21" t="s">
        <v>19357</v>
      </c>
      <c r="E274" s="21" t="s">
        <v>22473</v>
      </c>
      <c r="F274" s="21" t="s">
        <v>22536</v>
      </c>
      <c r="G274" s="21" t="s">
        <v>22517</v>
      </c>
    </row>
    <row r="275" customFormat="false" ht="15" hidden="false" customHeight="false" outlineLevel="0" collapsed="false">
      <c r="B275" s="19" t="s">
        <v>22546</v>
      </c>
      <c r="C275" s="20" t="n">
        <f aca="false">ROUND(4.08/FX,2)</f>
        <v>0.57</v>
      </c>
      <c r="D275" s="21" t="s">
        <v>19357</v>
      </c>
      <c r="E275" s="21" t="s">
        <v>22473</v>
      </c>
      <c r="F275" s="21" t="s">
        <v>22536</v>
      </c>
      <c r="G275" s="21" t="s">
        <v>22519</v>
      </c>
    </row>
    <row r="276" customFormat="false" ht="15" hidden="false" customHeight="false" outlineLevel="0" collapsed="false">
      <c r="B276" s="19" t="s">
        <v>22547</v>
      </c>
      <c r="C276" s="20" t="n">
        <f aca="false">ROUND(4.94/FX,2)</f>
        <v>0.69</v>
      </c>
      <c r="D276" s="21" t="s">
        <v>19357</v>
      </c>
      <c r="E276" s="21" t="s">
        <v>22473</v>
      </c>
      <c r="F276" s="21" t="s">
        <v>22536</v>
      </c>
      <c r="G276" s="21" t="s">
        <v>22219</v>
      </c>
    </row>
    <row r="277" customFormat="false" ht="15" hidden="false" customHeight="false" outlineLevel="0" collapsed="false">
      <c r="B277" s="19" t="s">
        <v>22548</v>
      </c>
      <c r="C277" s="20" t="n">
        <f aca="false">ROUND(3.95/FX,2)</f>
        <v>0.55</v>
      </c>
      <c r="D277" s="21" t="s">
        <v>19357</v>
      </c>
      <c r="E277" s="21" t="s">
        <v>22473</v>
      </c>
      <c r="F277" s="21" t="s">
        <v>22536</v>
      </c>
      <c r="G277" s="21" t="s">
        <v>22222</v>
      </c>
    </row>
    <row r="278" customFormat="false" ht="15" hidden="false" customHeight="false" outlineLevel="0" collapsed="false">
      <c r="B278" s="19" t="s">
        <v>22549</v>
      </c>
      <c r="C278" s="20" t="n">
        <f aca="false">ROUND(4.2/FX,2)</f>
        <v>0.58</v>
      </c>
      <c r="D278" s="21" t="s">
        <v>19357</v>
      </c>
      <c r="E278" s="21" t="s">
        <v>22473</v>
      </c>
      <c r="F278" s="21" t="s">
        <v>22536</v>
      </c>
      <c r="G278" s="21" t="s">
        <v>22225</v>
      </c>
    </row>
    <row r="279" customFormat="false" ht="15" hidden="false" customHeight="false" outlineLevel="0" collapsed="false">
      <c r="B279" s="19" t="s">
        <v>22550</v>
      </c>
      <c r="C279" s="20" t="n">
        <f aca="false">ROUND(5.16/FX,2)</f>
        <v>0.72</v>
      </c>
      <c r="D279" s="21" t="s">
        <v>19357</v>
      </c>
      <c r="E279" s="21" t="s">
        <v>22473</v>
      </c>
      <c r="F279" s="21" t="s">
        <v>22536</v>
      </c>
      <c r="G279" s="21" t="s">
        <v>22524</v>
      </c>
    </row>
    <row r="280" customFormat="false" ht="15" hidden="false" customHeight="false" outlineLevel="0" collapsed="false">
      <c r="B280" s="19" t="s">
        <v>22551</v>
      </c>
      <c r="C280" s="20" t="n">
        <f aca="false">ROUND(3.21/FX,2)</f>
        <v>0.45</v>
      </c>
      <c r="D280" s="21" t="s">
        <v>19357</v>
      </c>
      <c r="E280" s="21" t="s">
        <v>22473</v>
      </c>
      <c r="F280" s="21" t="s">
        <v>22536</v>
      </c>
      <c r="G280" s="21" t="s">
        <v>22228</v>
      </c>
    </row>
    <row r="281" customFormat="false" ht="15" hidden="false" customHeight="false" outlineLevel="0" collapsed="false">
      <c r="B281" s="19" t="s">
        <v>22552</v>
      </c>
      <c r="C281" s="20" t="n">
        <f aca="false">ROUND(3.34/FX,2)</f>
        <v>0.46</v>
      </c>
      <c r="D281" s="21" t="s">
        <v>19357</v>
      </c>
      <c r="E281" s="21" t="s">
        <v>22473</v>
      </c>
      <c r="F281" s="21" t="s">
        <v>22536</v>
      </c>
      <c r="G281" s="21" t="s">
        <v>22231</v>
      </c>
    </row>
    <row r="282" customFormat="false" ht="15" hidden="false" customHeight="false" outlineLevel="0" collapsed="false">
      <c r="B282" s="19" t="s">
        <v>22553</v>
      </c>
      <c r="C282" s="20" t="n">
        <f aca="false">ROUND(4.69/FX,2)</f>
        <v>0.65</v>
      </c>
      <c r="D282" s="21" t="s">
        <v>19357</v>
      </c>
      <c r="E282" s="21" t="s">
        <v>22473</v>
      </c>
      <c r="F282" s="21" t="s">
        <v>22536</v>
      </c>
      <c r="G282" s="21" t="s">
        <v>22234</v>
      </c>
    </row>
    <row r="283" customFormat="false" ht="15" hidden="false" customHeight="false" outlineLevel="0" collapsed="false">
      <c r="B283" s="19" t="s">
        <v>22554</v>
      </c>
      <c r="C283" s="20" t="n">
        <f aca="false">ROUND(5.32/FX,2)</f>
        <v>0.74</v>
      </c>
      <c r="D283" s="21" t="s">
        <v>19357</v>
      </c>
      <c r="E283" s="21" t="s">
        <v>22473</v>
      </c>
      <c r="F283" s="21" t="s">
        <v>22536</v>
      </c>
      <c r="G283" s="21" t="s">
        <v>22236</v>
      </c>
    </row>
    <row r="284" customFormat="false" ht="15" hidden="false" customHeight="false" outlineLevel="0" collapsed="false">
      <c r="B284" s="19" t="s">
        <v>22555</v>
      </c>
      <c r="C284" s="20" t="n">
        <f aca="false">ROUND(5.68/FX,2)</f>
        <v>0.79</v>
      </c>
      <c r="D284" s="21" t="s">
        <v>19357</v>
      </c>
      <c r="E284" s="21" t="s">
        <v>22473</v>
      </c>
      <c r="F284" s="21" t="s">
        <v>22536</v>
      </c>
      <c r="G284" s="21" t="s">
        <v>22238</v>
      </c>
    </row>
    <row r="285" customFormat="false" ht="15" hidden="false" customHeight="false" outlineLevel="0" collapsed="false">
      <c r="B285" s="19" t="s">
        <v>22556</v>
      </c>
      <c r="C285" s="20" t="n">
        <f aca="false">ROUND(6.42/FX,2)</f>
        <v>0.89</v>
      </c>
      <c r="D285" s="21" t="s">
        <v>19357</v>
      </c>
      <c r="E285" s="21" t="s">
        <v>22473</v>
      </c>
      <c r="F285" s="21" t="s">
        <v>22536</v>
      </c>
      <c r="G285" s="21" t="s">
        <v>22531</v>
      </c>
    </row>
    <row r="286" customFormat="false" ht="15" hidden="false" customHeight="false" outlineLevel="0" collapsed="false">
      <c r="B286" s="19" t="s">
        <v>22557</v>
      </c>
      <c r="C286" s="20" t="n">
        <f aca="false">ROUND(5.68/FX,2)</f>
        <v>0.79</v>
      </c>
      <c r="D286" s="21" t="s">
        <v>19357</v>
      </c>
      <c r="E286" s="21" t="s">
        <v>22473</v>
      </c>
      <c r="F286" s="21" t="s">
        <v>22536</v>
      </c>
      <c r="G286" s="21" t="s">
        <v>22558</v>
      </c>
    </row>
    <row r="287" customFormat="false" ht="15" hidden="false" customHeight="false" outlineLevel="0" collapsed="false">
      <c r="B287" s="19" t="s">
        <v>22559</v>
      </c>
      <c r="C287" s="20" t="n">
        <f aca="false">ROUND(7.16/FX,2)</f>
        <v>0.99</v>
      </c>
      <c r="D287" s="21" t="s">
        <v>19357</v>
      </c>
      <c r="E287" s="21" t="s">
        <v>22473</v>
      </c>
      <c r="F287" s="21" t="s">
        <v>22536</v>
      </c>
      <c r="G287" s="21" t="s">
        <v>22560</v>
      </c>
    </row>
    <row r="288" customFormat="false" ht="15" hidden="false" customHeight="false" outlineLevel="0" collapsed="false">
      <c r="B288" s="19" t="s">
        <v>22561</v>
      </c>
      <c r="C288" s="20" t="n">
        <f aca="false">ROUND(8.65/FX,2)</f>
        <v>1.2</v>
      </c>
      <c r="D288" s="21" t="s">
        <v>19357</v>
      </c>
      <c r="E288" s="21" t="s">
        <v>22473</v>
      </c>
      <c r="F288" s="21" t="s">
        <v>22536</v>
      </c>
      <c r="G288" s="21" t="s">
        <v>22562</v>
      </c>
    </row>
    <row r="289" customFormat="false" ht="15" hidden="false" customHeight="false" outlineLevel="0" collapsed="false">
      <c r="B289" s="19" t="s">
        <v>22563</v>
      </c>
      <c r="C289" s="20" t="n">
        <f aca="false">ROUND(3.38/FX,2)</f>
        <v>0.47</v>
      </c>
      <c r="D289" s="21" t="s">
        <v>19357</v>
      </c>
      <c r="E289" s="21" t="s">
        <v>22473</v>
      </c>
      <c r="F289" s="21" t="s">
        <v>22536</v>
      </c>
      <c r="G289" s="21" t="s">
        <v>22244</v>
      </c>
    </row>
    <row r="290" customFormat="false" ht="15" hidden="false" customHeight="false" outlineLevel="0" collapsed="false">
      <c r="B290" s="19" t="s">
        <v>22564</v>
      </c>
      <c r="C290" s="20" t="n">
        <f aca="false">ROUND(1.61/FX,2)</f>
        <v>0.22</v>
      </c>
      <c r="D290" s="21" t="s">
        <v>19357</v>
      </c>
      <c r="E290" s="21" t="s">
        <v>22473</v>
      </c>
      <c r="F290" s="21" t="s">
        <v>22536</v>
      </c>
      <c r="G290" s="21" t="s">
        <v>22490</v>
      </c>
    </row>
    <row r="291" customFormat="false" ht="15" hidden="false" customHeight="false" outlineLevel="0" collapsed="false">
      <c r="B291" s="19" t="s">
        <v>22565</v>
      </c>
      <c r="C291" s="20" t="n">
        <f aca="false">ROUND(1.72/FX,2)</f>
        <v>0.24</v>
      </c>
      <c r="D291" s="21" t="s">
        <v>19357</v>
      </c>
      <c r="E291" s="21" t="s">
        <v>22473</v>
      </c>
      <c r="F291" s="21" t="s">
        <v>22536</v>
      </c>
      <c r="G291" s="21" t="s">
        <v>22247</v>
      </c>
    </row>
    <row r="292" customFormat="false" ht="15" hidden="false" customHeight="false" outlineLevel="0" collapsed="false">
      <c r="B292" s="19" t="s">
        <v>22566</v>
      </c>
      <c r="C292" s="20" t="n">
        <f aca="false">ROUND(1.86/FX,2)</f>
        <v>0.26</v>
      </c>
      <c r="D292" s="21" t="s">
        <v>19357</v>
      </c>
      <c r="E292" s="21" t="s">
        <v>22473</v>
      </c>
      <c r="F292" s="21" t="s">
        <v>22536</v>
      </c>
      <c r="G292" s="21" t="s">
        <v>22250</v>
      </c>
    </row>
    <row r="293" customFormat="false" ht="15" hidden="false" customHeight="false" outlineLevel="0" collapsed="false">
      <c r="B293" s="19" t="s">
        <v>22567</v>
      </c>
      <c r="C293" s="20" t="n">
        <f aca="false">ROUND(1.95/FX,2)</f>
        <v>0.27</v>
      </c>
      <c r="D293" s="21" t="s">
        <v>8669</v>
      </c>
      <c r="E293" s="21" t="s">
        <v>22473</v>
      </c>
      <c r="F293" s="21" t="s">
        <v>22494</v>
      </c>
      <c r="G293" s="21" t="s">
        <v>22490</v>
      </c>
    </row>
    <row r="294" customFormat="false" ht="15" hidden="false" customHeight="false" outlineLevel="0" collapsed="false">
      <c r="B294" s="19" t="s">
        <v>22568</v>
      </c>
      <c r="C294" s="20" t="n">
        <f aca="false">ROUND(1.76/FX,2)</f>
        <v>0.24</v>
      </c>
      <c r="D294" s="21" t="s">
        <v>8669</v>
      </c>
      <c r="E294" s="21" t="s">
        <v>22473</v>
      </c>
      <c r="F294" s="21" t="s">
        <v>22494</v>
      </c>
      <c r="G294" s="21" t="s">
        <v>22247</v>
      </c>
    </row>
    <row r="295" customFormat="false" ht="15" hidden="false" customHeight="false" outlineLevel="0" collapsed="false">
      <c r="B295" s="19" t="s">
        <v>22569</v>
      </c>
      <c r="C295" s="20" t="n">
        <f aca="false">ROUND(1.3/FX,2)</f>
        <v>0.18</v>
      </c>
      <c r="D295" s="21" t="s">
        <v>22570</v>
      </c>
      <c r="E295" s="21" t="s">
        <v>22473</v>
      </c>
      <c r="F295" s="21" t="s">
        <v>22474</v>
      </c>
      <c r="G295" s="21" t="s">
        <v>22475</v>
      </c>
    </row>
    <row r="296" customFormat="false" ht="15" hidden="false" customHeight="false" outlineLevel="0" collapsed="false">
      <c r="B296" s="19" t="s">
        <v>22571</v>
      </c>
      <c r="C296" s="20" t="n">
        <f aca="false">ROUND(1.04/FX,2)</f>
        <v>0.14</v>
      </c>
      <c r="D296" s="21" t="s">
        <v>22570</v>
      </c>
      <c r="E296" s="21" t="s">
        <v>22473</v>
      </c>
      <c r="F296" s="21" t="s">
        <v>22478</v>
      </c>
      <c r="G296" s="21" t="s">
        <v>22195</v>
      </c>
    </row>
    <row r="297" customFormat="false" ht="15" hidden="false" customHeight="false" outlineLevel="0" collapsed="false">
      <c r="B297" s="19" t="s">
        <v>22572</v>
      </c>
      <c r="C297" s="20" t="n">
        <f aca="false">ROUND(1.17/FX,2)</f>
        <v>0.16</v>
      </c>
      <c r="D297" s="21" t="s">
        <v>22570</v>
      </c>
      <c r="E297" s="21" t="s">
        <v>22473</v>
      </c>
      <c r="F297" s="21" t="s">
        <v>22478</v>
      </c>
      <c r="G297" s="21" t="s">
        <v>22215</v>
      </c>
    </row>
    <row r="298" customFormat="false" ht="15" hidden="false" customHeight="false" outlineLevel="0" collapsed="false">
      <c r="B298" s="19" t="s">
        <v>22573</v>
      </c>
      <c r="C298" s="20" t="n">
        <f aca="false">ROUND(0.85/FX,2)</f>
        <v>0.12</v>
      </c>
      <c r="D298" s="21" t="s">
        <v>22570</v>
      </c>
      <c r="E298" s="21" t="s">
        <v>22473</v>
      </c>
      <c r="F298" s="21" t="s">
        <v>22478</v>
      </c>
      <c r="G298" s="21" t="s">
        <v>22475</v>
      </c>
    </row>
    <row r="299" customFormat="false" ht="15" hidden="false" customHeight="false" outlineLevel="0" collapsed="false">
      <c r="B299" s="19" t="s">
        <v>22574</v>
      </c>
      <c r="C299" s="20" t="n">
        <f aca="false">ROUND(2.6/FX,2)</f>
        <v>0.36</v>
      </c>
      <c r="D299" s="21" t="s">
        <v>22570</v>
      </c>
      <c r="E299" s="21" t="s">
        <v>22473</v>
      </c>
      <c r="F299" s="21" t="s">
        <v>22478</v>
      </c>
      <c r="G299" s="21" t="s">
        <v>22575</v>
      </c>
    </row>
    <row r="300" customFormat="false" ht="15" hidden="false" customHeight="false" outlineLevel="0" collapsed="false">
      <c r="B300" s="19" t="s">
        <v>22576</v>
      </c>
      <c r="C300" s="20" t="n">
        <f aca="false">ROUND(0.59/FX,2)</f>
        <v>0.08</v>
      </c>
      <c r="D300" s="21" t="s">
        <v>22570</v>
      </c>
      <c r="E300" s="21" t="s">
        <v>22473</v>
      </c>
      <c r="F300" s="21" t="s">
        <v>22478</v>
      </c>
      <c r="G300" s="21" t="s">
        <v>22577</v>
      </c>
    </row>
    <row r="301" customFormat="false" ht="15" hidden="false" customHeight="false" outlineLevel="0" collapsed="false">
      <c r="B301" s="19" t="s">
        <v>22578</v>
      </c>
      <c r="C301" s="20" t="n">
        <f aca="false">ROUND(0.91/FX,2)</f>
        <v>0.13</v>
      </c>
      <c r="D301" s="21" t="s">
        <v>22570</v>
      </c>
      <c r="E301" s="21" t="s">
        <v>22473</v>
      </c>
      <c r="F301" s="21" t="s">
        <v>22478</v>
      </c>
      <c r="G301" s="21" t="s">
        <v>22579</v>
      </c>
    </row>
    <row r="302" customFormat="false" ht="15" hidden="false" customHeight="false" outlineLevel="0" collapsed="false">
      <c r="B302" s="19" t="s">
        <v>22580</v>
      </c>
      <c r="C302" s="20" t="n">
        <f aca="false">ROUND(0.74/FX,2)</f>
        <v>0.1</v>
      </c>
      <c r="D302" s="21" t="s">
        <v>22570</v>
      </c>
      <c r="E302" s="21" t="s">
        <v>22473</v>
      </c>
      <c r="F302" s="21" t="s">
        <v>22478</v>
      </c>
      <c r="G302" s="21" t="s">
        <v>22490</v>
      </c>
    </row>
    <row r="303" customFormat="false" ht="15" hidden="false" customHeight="false" outlineLevel="0" collapsed="false">
      <c r="B303" s="19" t="s">
        <v>22581</v>
      </c>
      <c r="C303" s="20" t="n">
        <f aca="false">ROUND(1.04/FX,2)</f>
        <v>0.14</v>
      </c>
      <c r="D303" s="21" t="s">
        <v>22570</v>
      </c>
      <c r="E303" s="21" t="s">
        <v>22473</v>
      </c>
      <c r="F303" s="21" t="s">
        <v>22494</v>
      </c>
      <c r="G303" s="21" t="s">
        <v>22579</v>
      </c>
    </row>
    <row r="304" customFormat="false" ht="15" hidden="false" customHeight="false" outlineLevel="0" collapsed="false">
      <c r="B304" s="19" t="s">
        <v>22582</v>
      </c>
      <c r="C304" s="20" t="n">
        <f aca="false">ROUND(1.95/FX,2)</f>
        <v>0.27</v>
      </c>
      <c r="D304" s="21" t="s">
        <v>22570</v>
      </c>
      <c r="E304" s="21" t="s">
        <v>22473</v>
      </c>
      <c r="F304" s="21" t="s">
        <v>22507</v>
      </c>
      <c r="G304" s="21" t="s">
        <v>22199</v>
      </c>
    </row>
    <row r="305" customFormat="false" ht="15" hidden="false" customHeight="false" outlineLevel="0" collapsed="false">
      <c r="B305" s="19" t="s">
        <v>22583</v>
      </c>
      <c r="C305" s="20" t="n">
        <f aca="false">ROUND(2.34/FX,2)</f>
        <v>0.33</v>
      </c>
      <c r="D305" s="21" t="s">
        <v>22570</v>
      </c>
      <c r="E305" s="21" t="s">
        <v>22473</v>
      </c>
      <c r="F305" s="21" t="s">
        <v>22536</v>
      </c>
      <c r="G305" s="21" t="s">
        <v>22199</v>
      </c>
    </row>
    <row r="306" customFormat="false" ht="15" hidden="false" customHeight="false" outlineLevel="0" collapsed="false">
      <c r="B306" s="19" t="s">
        <v>22584</v>
      </c>
      <c r="C306" s="20" t="n">
        <f aca="false">ROUND(4.94/FX,2)</f>
        <v>0.69</v>
      </c>
      <c r="D306" s="21" t="s">
        <v>22570</v>
      </c>
      <c r="E306" s="21" t="s">
        <v>22473</v>
      </c>
      <c r="F306" s="21" t="s">
        <v>22536</v>
      </c>
      <c r="G306" s="21" t="s">
        <v>22219</v>
      </c>
    </row>
    <row r="307" customFormat="false" ht="15" hidden="false" customHeight="false" outlineLevel="0" collapsed="false">
      <c r="B307" s="19" t="s">
        <v>22585</v>
      </c>
      <c r="C307" s="20" t="n">
        <f aca="false">ROUND(3.34/FX,2)</f>
        <v>0.46</v>
      </c>
      <c r="D307" s="21" t="s">
        <v>19357</v>
      </c>
      <c r="E307" s="21" t="s">
        <v>22586</v>
      </c>
      <c r="F307" s="21" t="s">
        <v>22587</v>
      </c>
      <c r="G307" s="21" t="s">
        <v>22184</v>
      </c>
    </row>
    <row r="308" customFormat="false" ht="15" hidden="false" customHeight="false" outlineLevel="0" collapsed="false">
      <c r="B308" s="19" t="s">
        <v>22588</v>
      </c>
      <c r="C308" s="20" t="n">
        <f aca="false">ROUND(2.72/FX,2)</f>
        <v>0.38</v>
      </c>
      <c r="D308" s="21" t="s">
        <v>19357</v>
      </c>
      <c r="E308" s="21" t="s">
        <v>22586</v>
      </c>
      <c r="F308" s="21" t="s">
        <v>22587</v>
      </c>
      <c r="G308" s="21" t="s">
        <v>22480</v>
      </c>
    </row>
    <row r="309" customFormat="false" ht="15" hidden="false" customHeight="false" outlineLevel="0" collapsed="false">
      <c r="B309" s="19" t="s">
        <v>22589</v>
      </c>
      <c r="C309" s="20" t="n">
        <f aca="false">ROUND(2.85/FX,2)</f>
        <v>0.4</v>
      </c>
      <c r="D309" s="21" t="s">
        <v>19357</v>
      </c>
      <c r="E309" s="21" t="s">
        <v>22586</v>
      </c>
      <c r="F309" s="21" t="s">
        <v>22587</v>
      </c>
      <c r="G309" s="21" t="s">
        <v>22191</v>
      </c>
    </row>
    <row r="310" customFormat="false" ht="15" hidden="false" customHeight="false" outlineLevel="0" collapsed="false">
      <c r="B310" s="19" t="s">
        <v>22590</v>
      </c>
      <c r="C310" s="20" t="n">
        <f aca="false">ROUND(2.96/FX,2)</f>
        <v>0.41</v>
      </c>
      <c r="D310" s="21" t="s">
        <v>19357</v>
      </c>
      <c r="E310" s="21" t="s">
        <v>22586</v>
      </c>
      <c r="F310" s="21" t="s">
        <v>22587</v>
      </c>
      <c r="G310" s="21" t="s">
        <v>22195</v>
      </c>
    </row>
    <row r="311" customFormat="false" ht="15" hidden="false" customHeight="false" outlineLevel="0" collapsed="false">
      <c r="B311" s="19" t="s">
        <v>22591</v>
      </c>
      <c r="C311" s="20" t="n">
        <f aca="false">ROUND(3.34/FX,2)</f>
        <v>0.46</v>
      </c>
      <c r="D311" s="21" t="s">
        <v>19357</v>
      </c>
      <c r="E311" s="21" t="s">
        <v>22586</v>
      </c>
      <c r="F311" s="21" t="s">
        <v>22587</v>
      </c>
      <c r="G311" s="21" t="s">
        <v>22199</v>
      </c>
    </row>
    <row r="312" customFormat="false" ht="15" hidden="false" customHeight="false" outlineLevel="0" collapsed="false">
      <c r="B312" s="19" t="s">
        <v>22592</v>
      </c>
      <c r="C312" s="20" t="n">
        <f aca="false">ROUND(3.95/FX,2)</f>
        <v>0.55</v>
      </c>
      <c r="D312" s="21" t="s">
        <v>19357</v>
      </c>
      <c r="E312" s="21" t="s">
        <v>22586</v>
      </c>
      <c r="F312" s="21" t="s">
        <v>22587</v>
      </c>
      <c r="G312" s="21" t="s">
        <v>22207</v>
      </c>
    </row>
    <row r="313" customFormat="false" ht="15" hidden="false" customHeight="false" outlineLevel="0" collapsed="false">
      <c r="B313" s="19" t="s">
        <v>22593</v>
      </c>
      <c r="C313" s="20" t="n">
        <f aca="false">ROUND(4.94/FX,2)</f>
        <v>0.69</v>
      </c>
      <c r="D313" s="21" t="s">
        <v>19357</v>
      </c>
      <c r="E313" s="21" t="s">
        <v>22586</v>
      </c>
      <c r="F313" s="21" t="s">
        <v>22587</v>
      </c>
      <c r="G313" s="21" t="s">
        <v>22594</v>
      </c>
    </row>
    <row r="314" customFormat="false" ht="15" hidden="false" customHeight="false" outlineLevel="0" collapsed="false">
      <c r="B314" s="19" t="s">
        <v>22595</v>
      </c>
      <c r="C314" s="20" t="n">
        <f aca="false">ROUND(2.96/FX,2)</f>
        <v>0.41</v>
      </c>
      <c r="D314" s="21" t="s">
        <v>19357</v>
      </c>
      <c r="E314" s="21" t="s">
        <v>22586</v>
      </c>
      <c r="F314" s="21" t="s">
        <v>22587</v>
      </c>
      <c r="G314" s="21" t="s">
        <v>22486</v>
      </c>
    </row>
    <row r="315" customFormat="false" ht="15" hidden="false" customHeight="false" outlineLevel="0" collapsed="false">
      <c r="B315" s="19" t="s">
        <v>22596</v>
      </c>
      <c r="C315" s="20" t="n">
        <f aca="false">ROUND(2.96/FX,2)</f>
        <v>0.41</v>
      </c>
      <c r="D315" s="21" t="s">
        <v>19357</v>
      </c>
      <c r="E315" s="21" t="s">
        <v>22586</v>
      </c>
      <c r="F315" s="21" t="s">
        <v>22587</v>
      </c>
      <c r="G315" s="21" t="s">
        <v>22211</v>
      </c>
    </row>
    <row r="316" customFormat="false" ht="15" hidden="false" customHeight="false" outlineLevel="0" collapsed="false">
      <c r="B316" s="19" t="s">
        <v>22597</v>
      </c>
      <c r="C316" s="20" t="n">
        <f aca="false">ROUND(3.21/FX,2)</f>
        <v>0.45</v>
      </c>
      <c r="D316" s="21" t="s">
        <v>19357</v>
      </c>
      <c r="E316" s="21" t="s">
        <v>22586</v>
      </c>
      <c r="F316" s="21" t="s">
        <v>22587</v>
      </c>
      <c r="G316" s="21" t="s">
        <v>22215</v>
      </c>
    </row>
    <row r="317" customFormat="false" ht="15" hidden="false" customHeight="false" outlineLevel="0" collapsed="false">
      <c r="B317" s="19" t="s">
        <v>22598</v>
      </c>
      <c r="C317" s="20" t="n">
        <f aca="false">ROUND(4.69/FX,2)</f>
        <v>0.65</v>
      </c>
      <c r="D317" s="21" t="s">
        <v>19357</v>
      </c>
      <c r="E317" s="21" t="s">
        <v>22586</v>
      </c>
      <c r="F317" s="21" t="s">
        <v>22587</v>
      </c>
      <c r="G317" s="21" t="s">
        <v>22517</v>
      </c>
    </row>
    <row r="318" customFormat="false" ht="15" hidden="false" customHeight="false" outlineLevel="0" collapsed="false">
      <c r="B318" s="19" t="s">
        <v>22599</v>
      </c>
      <c r="C318" s="20" t="n">
        <f aca="false">ROUND(5.43/FX,2)</f>
        <v>0.75</v>
      </c>
      <c r="D318" s="21" t="s">
        <v>19357</v>
      </c>
      <c r="E318" s="21" t="s">
        <v>22586</v>
      </c>
      <c r="F318" s="21" t="s">
        <v>22587</v>
      </c>
      <c r="G318" s="21" t="s">
        <v>22519</v>
      </c>
    </row>
    <row r="319" customFormat="false" ht="15" hidden="false" customHeight="false" outlineLevel="0" collapsed="false">
      <c r="B319" s="19" t="s">
        <v>22600</v>
      </c>
      <c r="C319" s="20" t="n">
        <f aca="false">ROUND(4.45/FX,2)</f>
        <v>0.62</v>
      </c>
      <c r="D319" s="21" t="s">
        <v>19357</v>
      </c>
      <c r="E319" s="21" t="s">
        <v>22586</v>
      </c>
      <c r="F319" s="21" t="s">
        <v>22587</v>
      </c>
      <c r="G319" s="21" t="s">
        <v>22601</v>
      </c>
    </row>
    <row r="320" customFormat="false" ht="15" hidden="false" customHeight="false" outlineLevel="0" collapsed="false">
      <c r="B320" s="19" t="s">
        <v>22602</v>
      </c>
      <c r="C320" s="20" t="n">
        <f aca="false">ROUND(4.69/FX,2)</f>
        <v>0.65</v>
      </c>
      <c r="D320" s="21" t="s">
        <v>19357</v>
      </c>
      <c r="E320" s="21" t="s">
        <v>22586</v>
      </c>
      <c r="F320" s="21" t="s">
        <v>22587</v>
      </c>
      <c r="G320" s="21" t="s">
        <v>22219</v>
      </c>
    </row>
    <row r="321" customFormat="false" ht="15" hidden="false" customHeight="false" outlineLevel="0" collapsed="false">
      <c r="B321" s="19" t="s">
        <v>22603</v>
      </c>
      <c r="C321" s="20" t="n">
        <f aca="false">ROUND(5.19/FX,2)</f>
        <v>0.72</v>
      </c>
      <c r="D321" s="21" t="s">
        <v>19357</v>
      </c>
      <c r="E321" s="21" t="s">
        <v>22586</v>
      </c>
      <c r="F321" s="21" t="s">
        <v>22587</v>
      </c>
      <c r="G321" s="21" t="s">
        <v>22222</v>
      </c>
    </row>
    <row r="322" customFormat="false" ht="15" hidden="false" customHeight="false" outlineLevel="0" collapsed="false">
      <c r="B322" s="19" t="s">
        <v>22604</v>
      </c>
      <c r="C322" s="20" t="n">
        <f aca="false">ROUND(5.56/FX,2)</f>
        <v>0.77</v>
      </c>
      <c r="D322" s="21" t="s">
        <v>19357</v>
      </c>
      <c r="E322" s="21" t="s">
        <v>22586</v>
      </c>
      <c r="F322" s="21" t="s">
        <v>22587</v>
      </c>
      <c r="G322" s="21" t="s">
        <v>22225</v>
      </c>
    </row>
    <row r="323" customFormat="false" ht="15" hidden="false" customHeight="false" outlineLevel="0" collapsed="false">
      <c r="B323" s="19" t="s">
        <v>22605</v>
      </c>
      <c r="C323" s="20" t="n">
        <f aca="false">ROUND(6.67/FX,2)</f>
        <v>0.93</v>
      </c>
      <c r="D323" s="21" t="s">
        <v>19357</v>
      </c>
      <c r="E323" s="21" t="s">
        <v>22586</v>
      </c>
      <c r="F323" s="21" t="s">
        <v>22587</v>
      </c>
      <c r="G323" s="21" t="s">
        <v>22524</v>
      </c>
    </row>
    <row r="324" customFormat="false" ht="15" hidden="false" customHeight="false" outlineLevel="0" collapsed="false">
      <c r="B324" s="19" t="s">
        <v>22606</v>
      </c>
      <c r="C324" s="20" t="n">
        <f aca="false">ROUND(7.9/FX,2)</f>
        <v>1.1</v>
      </c>
      <c r="D324" s="21" t="s">
        <v>19357</v>
      </c>
      <c r="E324" s="21" t="s">
        <v>22586</v>
      </c>
      <c r="F324" s="21" t="s">
        <v>22587</v>
      </c>
      <c r="G324" s="21" t="s">
        <v>22607</v>
      </c>
    </row>
    <row r="325" customFormat="false" ht="15" hidden="false" customHeight="false" outlineLevel="0" collapsed="false">
      <c r="B325" s="19" t="s">
        <v>22608</v>
      </c>
      <c r="C325" s="20" t="n">
        <f aca="false">ROUND(4.2/FX,2)</f>
        <v>0.58</v>
      </c>
      <c r="D325" s="21" t="s">
        <v>19357</v>
      </c>
      <c r="E325" s="21" t="s">
        <v>22586</v>
      </c>
      <c r="F325" s="21" t="s">
        <v>22587</v>
      </c>
      <c r="G325" s="21" t="s">
        <v>22228</v>
      </c>
    </row>
    <row r="326" customFormat="false" ht="15" hidden="false" customHeight="false" outlineLevel="0" collapsed="false">
      <c r="B326" s="19" t="s">
        <v>22609</v>
      </c>
      <c r="C326" s="20" t="n">
        <f aca="false">ROUND(4.45/FX,2)</f>
        <v>0.62</v>
      </c>
      <c r="D326" s="21" t="s">
        <v>19357</v>
      </c>
      <c r="E326" s="21" t="s">
        <v>22586</v>
      </c>
      <c r="F326" s="21" t="s">
        <v>22587</v>
      </c>
      <c r="G326" s="21" t="s">
        <v>22231</v>
      </c>
    </row>
    <row r="327" customFormat="false" ht="15" hidden="false" customHeight="false" outlineLevel="0" collapsed="false">
      <c r="B327" s="19" t="s">
        <v>22610</v>
      </c>
      <c r="C327" s="20" t="n">
        <f aca="false">ROUND(6.31/FX,2)</f>
        <v>0.88</v>
      </c>
      <c r="D327" s="21" t="s">
        <v>19357</v>
      </c>
      <c r="E327" s="21" t="s">
        <v>22586</v>
      </c>
      <c r="F327" s="21" t="s">
        <v>22587</v>
      </c>
      <c r="G327" s="21" t="s">
        <v>22234</v>
      </c>
    </row>
    <row r="328" customFormat="false" ht="15" hidden="false" customHeight="false" outlineLevel="0" collapsed="false">
      <c r="B328" s="19" t="s">
        <v>22611</v>
      </c>
      <c r="C328" s="20" t="n">
        <f aca="false">ROUND(7.41/FX,2)</f>
        <v>1.03</v>
      </c>
      <c r="D328" s="21" t="s">
        <v>19357</v>
      </c>
      <c r="E328" s="21" t="s">
        <v>22586</v>
      </c>
      <c r="F328" s="21" t="s">
        <v>22587</v>
      </c>
      <c r="G328" s="21" t="s">
        <v>22238</v>
      </c>
    </row>
    <row r="329" customFormat="false" ht="15" hidden="false" customHeight="false" outlineLevel="0" collapsed="false">
      <c r="B329" s="19" t="s">
        <v>22612</v>
      </c>
      <c r="C329" s="20" t="n">
        <f aca="false">ROUND(9.02/FX,2)</f>
        <v>1.25</v>
      </c>
      <c r="D329" s="21" t="s">
        <v>19357</v>
      </c>
      <c r="E329" s="21" t="s">
        <v>22586</v>
      </c>
      <c r="F329" s="21" t="s">
        <v>22587</v>
      </c>
      <c r="G329" s="21" t="s">
        <v>22531</v>
      </c>
    </row>
    <row r="330" customFormat="false" ht="15" hidden="false" customHeight="false" outlineLevel="0" collapsed="false">
      <c r="B330" s="19" t="s">
        <v>22613</v>
      </c>
      <c r="C330" s="20" t="n">
        <f aca="false">ROUND(10.5/FX,2)</f>
        <v>1.46</v>
      </c>
      <c r="D330" s="21" t="s">
        <v>19357</v>
      </c>
      <c r="E330" s="21" t="s">
        <v>22586</v>
      </c>
      <c r="F330" s="21" t="s">
        <v>22587</v>
      </c>
      <c r="G330" s="21" t="s">
        <v>22614</v>
      </c>
    </row>
    <row r="331" customFormat="false" ht="15" hidden="false" customHeight="false" outlineLevel="0" collapsed="false">
      <c r="B331" s="19" t="s">
        <v>22615</v>
      </c>
      <c r="C331" s="20" t="n">
        <f aca="false">ROUND(5.43/FX,2)</f>
        <v>0.75</v>
      </c>
      <c r="D331" s="21" t="s">
        <v>19357</v>
      </c>
      <c r="E331" s="21" t="s">
        <v>22586</v>
      </c>
      <c r="F331" s="21" t="s">
        <v>22587</v>
      </c>
      <c r="G331" s="21" t="s">
        <v>22240</v>
      </c>
    </row>
    <row r="332" customFormat="false" ht="15" hidden="false" customHeight="false" outlineLevel="0" collapsed="false">
      <c r="B332" s="19" t="s">
        <v>22616</v>
      </c>
      <c r="C332" s="20" t="n">
        <f aca="false">ROUND(5.93/FX,2)</f>
        <v>0.82</v>
      </c>
      <c r="D332" s="21" t="s">
        <v>19357</v>
      </c>
      <c r="E332" s="21" t="s">
        <v>22586</v>
      </c>
      <c r="F332" s="21" t="s">
        <v>22587</v>
      </c>
      <c r="G332" s="21" t="s">
        <v>22242</v>
      </c>
    </row>
    <row r="333" customFormat="false" ht="15" hidden="false" customHeight="false" outlineLevel="0" collapsed="false">
      <c r="B333" s="19" t="s">
        <v>22617</v>
      </c>
      <c r="C333" s="20" t="n">
        <f aca="false">ROUND(8.65/FX,2)</f>
        <v>1.2</v>
      </c>
      <c r="D333" s="21" t="s">
        <v>19357</v>
      </c>
      <c r="E333" s="21" t="s">
        <v>22586</v>
      </c>
      <c r="F333" s="21" t="s">
        <v>22587</v>
      </c>
      <c r="G333" s="21" t="s">
        <v>22558</v>
      </c>
    </row>
    <row r="334" customFormat="false" ht="15" hidden="false" customHeight="false" outlineLevel="0" collapsed="false">
      <c r="B334" s="19" t="s">
        <v>22618</v>
      </c>
      <c r="C334" s="20" t="n">
        <f aca="false">ROUND(10.13/FX,2)</f>
        <v>1.41</v>
      </c>
      <c r="D334" s="21" t="s">
        <v>19357</v>
      </c>
      <c r="E334" s="21" t="s">
        <v>22586</v>
      </c>
      <c r="F334" s="21" t="s">
        <v>22587</v>
      </c>
      <c r="G334" s="21" t="s">
        <v>22560</v>
      </c>
    </row>
    <row r="335" customFormat="false" ht="15" hidden="false" customHeight="false" outlineLevel="0" collapsed="false">
      <c r="B335" s="19" t="s">
        <v>22619</v>
      </c>
      <c r="C335" s="20" t="n">
        <f aca="false">ROUND(11.86/FX,2)</f>
        <v>1.65</v>
      </c>
      <c r="D335" s="21" t="s">
        <v>19357</v>
      </c>
      <c r="E335" s="21" t="s">
        <v>22586</v>
      </c>
      <c r="F335" s="21" t="s">
        <v>22587</v>
      </c>
      <c r="G335" s="21" t="s">
        <v>22562</v>
      </c>
    </row>
    <row r="336" customFormat="false" ht="15" hidden="false" customHeight="false" outlineLevel="0" collapsed="false">
      <c r="B336" s="19" t="s">
        <v>22620</v>
      </c>
      <c r="C336" s="20" t="n">
        <f aca="false">ROUND(2.85/FX,2)</f>
        <v>0.4</v>
      </c>
      <c r="D336" s="21" t="s">
        <v>19357</v>
      </c>
      <c r="E336" s="21" t="s">
        <v>22586</v>
      </c>
      <c r="F336" s="21" t="s">
        <v>22587</v>
      </c>
      <c r="G336" s="21" t="s">
        <v>22244</v>
      </c>
    </row>
    <row r="337" customFormat="false" ht="15" hidden="false" customHeight="false" outlineLevel="0" collapsed="false">
      <c r="B337" s="19" t="s">
        <v>22621</v>
      </c>
      <c r="C337" s="20" t="n">
        <f aca="false">ROUND(2.6/FX,2)</f>
        <v>0.36</v>
      </c>
      <c r="D337" s="21" t="s">
        <v>19357</v>
      </c>
      <c r="E337" s="21" t="s">
        <v>22586</v>
      </c>
      <c r="F337" s="21" t="s">
        <v>22587</v>
      </c>
      <c r="G337" s="21" t="s">
        <v>22490</v>
      </c>
    </row>
    <row r="338" customFormat="false" ht="15" hidden="false" customHeight="false" outlineLevel="0" collapsed="false">
      <c r="B338" s="19" t="s">
        <v>22622</v>
      </c>
      <c r="C338" s="20" t="n">
        <f aca="false">ROUND(2.6/FX,2)</f>
        <v>0.36</v>
      </c>
      <c r="D338" s="21" t="s">
        <v>19357</v>
      </c>
      <c r="E338" s="21" t="s">
        <v>22586</v>
      </c>
      <c r="F338" s="21" t="s">
        <v>22587</v>
      </c>
      <c r="G338" s="21" t="s">
        <v>22247</v>
      </c>
    </row>
    <row r="339" customFormat="false" ht="15" hidden="false" customHeight="false" outlineLevel="0" collapsed="false">
      <c r="B339" s="19" t="s">
        <v>22623</v>
      </c>
      <c r="C339" s="20" t="n">
        <f aca="false">ROUND(2.72/FX,2)</f>
        <v>0.38</v>
      </c>
      <c r="D339" s="21" t="s">
        <v>19357</v>
      </c>
      <c r="E339" s="21" t="s">
        <v>22586</v>
      </c>
      <c r="F339" s="21" t="s">
        <v>22587</v>
      </c>
      <c r="G339" s="21" t="s">
        <v>22250</v>
      </c>
    </row>
    <row r="340" customFormat="false" ht="15" hidden="false" customHeight="false" outlineLevel="0" collapsed="false">
      <c r="B340" s="19" t="s">
        <v>22624</v>
      </c>
      <c r="C340" s="20" t="n">
        <f aca="false">ROUND(6.55/FX,2)</f>
        <v>0.91</v>
      </c>
      <c r="D340" s="21" t="s">
        <v>19357</v>
      </c>
      <c r="E340" s="21" t="s">
        <v>22586</v>
      </c>
      <c r="F340" s="21" t="s">
        <v>22625</v>
      </c>
      <c r="G340" s="21" t="s">
        <v>22517</v>
      </c>
    </row>
    <row r="341" customFormat="false" ht="15" hidden="false" customHeight="false" outlineLevel="0" collapsed="false">
      <c r="B341" s="19" t="s">
        <v>22626</v>
      </c>
      <c r="C341" s="20" t="n">
        <f aca="false">ROUND(7.16/FX,2)</f>
        <v>0.99</v>
      </c>
      <c r="D341" s="21" t="s">
        <v>19357</v>
      </c>
      <c r="E341" s="21" t="s">
        <v>22586</v>
      </c>
      <c r="F341" s="21" t="s">
        <v>22625</v>
      </c>
      <c r="G341" s="21" t="s">
        <v>22519</v>
      </c>
    </row>
    <row r="342" customFormat="false" ht="15" hidden="false" customHeight="false" outlineLevel="0" collapsed="false">
      <c r="B342" s="19" t="s">
        <v>22627</v>
      </c>
      <c r="C342" s="20" t="n">
        <f aca="false">ROUND(6.31/FX,2)</f>
        <v>0.88</v>
      </c>
      <c r="D342" s="21" t="s">
        <v>19357</v>
      </c>
      <c r="E342" s="21" t="s">
        <v>22586</v>
      </c>
      <c r="F342" s="21" t="s">
        <v>22625</v>
      </c>
      <c r="G342" s="21" t="s">
        <v>22601</v>
      </c>
    </row>
    <row r="343" customFormat="false" ht="15" hidden="false" customHeight="false" outlineLevel="0" collapsed="false">
      <c r="B343" s="19" t="s">
        <v>22628</v>
      </c>
      <c r="C343" s="20" t="n">
        <f aca="false">ROUND(6.55/FX,2)</f>
        <v>0.91</v>
      </c>
      <c r="D343" s="21" t="s">
        <v>19357</v>
      </c>
      <c r="E343" s="21" t="s">
        <v>22586</v>
      </c>
      <c r="F343" s="21" t="s">
        <v>22625</v>
      </c>
      <c r="G343" s="21" t="s">
        <v>22219</v>
      </c>
    </row>
    <row r="344" customFormat="false" ht="15" hidden="false" customHeight="false" outlineLevel="0" collapsed="false">
      <c r="B344" s="19" t="s">
        <v>22629</v>
      </c>
      <c r="C344" s="20" t="n">
        <f aca="false">ROUND(7.05/FX,2)</f>
        <v>0.98</v>
      </c>
      <c r="D344" s="21" t="s">
        <v>19357</v>
      </c>
      <c r="E344" s="21" t="s">
        <v>22586</v>
      </c>
      <c r="F344" s="21" t="s">
        <v>22625</v>
      </c>
      <c r="G344" s="21" t="s">
        <v>22222</v>
      </c>
    </row>
    <row r="345" customFormat="false" ht="15" hidden="false" customHeight="false" outlineLevel="0" collapsed="false">
      <c r="B345" s="19" t="s">
        <v>22630</v>
      </c>
      <c r="C345" s="20" t="n">
        <f aca="false">ROUND(7.41/FX,2)</f>
        <v>1.03</v>
      </c>
      <c r="D345" s="21" t="s">
        <v>19357</v>
      </c>
      <c r="E345" s="21" t="s">
        <v>22586</v>
      </c>
      <c r="F345" s="21" t="s">
        <v>22625</v>
      </c>
      <c r="G345" s="21" t="s">
        <v>22225</v>
      </c>
    </row>
    <row r="346" customFormat="false" ht="15" hidden="false" customHeight="false" outlineLevel="0" collapsed="false">
      <c r="B346" s="19" t="s">
        <v>22631</v>
      </c>
      <c r="C346" s="20" t="n">
        <f aca="false">ROUND(8.53/FX,2)</f>
        <v>1.18</v>
      </c>
      <c r="D346" s="21" t="s">
        <v>19357</v>
      </c>
      <c r="E346" s="21" t="s">
        <v>22586</v>
      </c>
      <c r="F346" s="21" t="s">
        <v>22625</v>
      </c>
      <c r="G346" s="21" t="s">
        <v>22524</v>
      </c>
    </row>
    <row r="347" customFormat="false" ht="15" hidden="false" customHeight="false" outlineLevel="0" collapsed="false">
      <c r="B347" s="19" t="s">
        <v>22632</v>
      </c>
      <c r="C347" s="20" t="n">
        <f aca="false">ROUND(9.76/FX,2)</f>
        <v>1.36</v>
      </c>
      <c r="D347" s="21" t="s">
        <v>19357</v>
      </c>
      <c r="E347" s="21" t="s">
        <v>22586</v>
      </c>
      <c r="F347" s="21" t="s">
        <v>22625</v>
      </c>
      <c r="G347" s="21" t="s">
        <v>22607</v>
      </c>
    </row>
    <row r="348" customFormat="false" ht="15" hidden="false" customHeight="false" outlineLevel="0" collapsed="false">
      <c r="B348" s="19" t="s">
        <v>22633</v>
      </c>
      <c r="C348" s="20" t="n">
        <f aca="false">ROUND(6.06/FX,2)</f>
        <v>0.84</v>
      </c>
      <c r="D348" s="21" t="s">
        <v>19357</v>
      </c>
      <c r="E348" s="21" t="s">
        <v>22586</v>
      </c>
      <c r="F348" s="21" t="s">
        <v>22625</v>
      </c>
      <c r="G348" s="21" t="s">
        <v>22228</v>
      </c>
    </row>
    <row r="349" customFormat="false" ht="15" hidden="false" customHeight="false" outlineLevel="0" collapsed="false">
      <c r="B349" s="19" t="s">
        <v>22634</v>
      </c>
      <c r="C349" s="20" t="n">
        <f aca="false">ROUND(6.31/FX,2)</f>
        <v>0.88</v>
      </c>
      <c r="D349" s="21" t="s">
        <v>19357</v>
      </c>
      <c r="E349" s="21" t="s">
        <v>22586</v>
      </c>
      <c r="F349" s="21" t="s">
        <v>22625</v>
      </c>
      <c r="G349" s="21" t="s">
        <v>22231</v>
      </c>
    </row>
    <row r="350" customFormat="false" ht="15" hidden="false" customHeight="false" outlineLevel="0" collapsed="false">
      <c r="B350" s="19" t="s">
        <v>22635</v>
      </c>
      <c r="C350" s="20" t="n">
        <f aca="false">ROUND(8.15/FX,2)</f>
        <v>1.13</v>
      </c>
      <c r="D350" s="21" t="s">
        <v>19357</v>
      </c>
      <c r="E350" s="21" t="s">
        <v>22586</v>
      </c>
      <c r="F350" s="21" t="s">
        <v>22625</v>
      </c>
      <c r="G350" s="21" t="s">
        <v>22234</v>
      </c>
    </row>
    <row r="351" customFormat="false" ht="15" hidden="false" customHeight="false" outlineLevel="0" collapsed="false">
      <c r="B351" s="19" t="s">
        <v>22636</v>
      </c>
      <c r="C351" s="20" t="n">
        <f aca="false">ROUND(9.27/FX,2)</f>
        <v>1.29</v>
      </c>
      <c r="D351" s="21" t="s">
        <v>19357</v>
      </c>
      <c r="E351" s="21" t="s">
        <v>22586</v>
      </c>
      <c r="F351" s="21" t="s">
        <v>22625</v>
      </c>
      <c r="G351" s="21" t="s">
        <v>22238</v>
      </c>
    </row>
    <row r="352" customFormat="false" ht="15" hidden="false" customHeight="false" outlineLevel="0" collapsed="false">
      <c r="B352" s="19" t="s">
        <v>22637</v>
      </c>
      <c r="C352" s="20" t="n">
        <f aca="false">ROUND(10.87/FX,2)</f>
        <v>1.51</v>
      </c>
      <c r="D352" s="21" t="s">
        <v>19357</v>
      </c>
      <c r="E352" s="21" t="s">
        <v>22586</v>
      </c>
      <c r="F352" s="21" t="s">
        <v>22625</v>
      </c>
      <c r="G352" s="21" t="s">
        <v>22531</v>
      </c>
    </row>
    <row r="353" customFormat="false" ht="15" hidden="false" customHeight="false" outlineLevel="0" collapsed="false">
      <c r="B353" s="19" t="s">
        <v>22638</v>
      </c>
      <c r="C353" s="20" t="n">
        <f aca="false">ROUND(12.35/FX,2)</f>
        <v>1.72</v>
      </c>
      <c r="D353" s="21" t="s">
        <v>19357</v>
      </c>
      <c r="E353" s="21" t="s">
        <v>22586</v>
      </c>
      <c r="F353" s="21" t="s">
        <v>22625</v>
      </c>
      <c r="G353" s="21" t="s">
        <v>22614</v>
      </c>
    </row>
    <row r="354" customFormat="false" ht="15" hidden="false" customHeight="false" outlineLevel="0" collapsed="false">
      <c r="B354" s="19" t="s">
        <v>22639</v>
      </c>
      <c r="C354" s="20" t="n">
        <f aca="false">ROUND(7.29/FX,2)</f>
        <v>1.01</v>
      </c>
      <c r="D354" s="21" t="s">
        <v>19357</v>
      </c>
      <c r="E354" s="21" t="s">
        <v>22586</v>
      </c>
      <c r="F354" s="21" t="s">
        <v>22625</v>
      </c>
      <c r="G354" s="21" t="s">
        <v>22240</v>
      </c>
    </row>
    <row r="355" customFormat="false" ht="15" hidden="false" customHeight="false" outlineLevel="0" collapsed="false">
      <c r="B355" s="19" t="s">
        <v>22640</v>
      </c>
      <c r="C355" s="20" t="n">
        <f aca="false">ROUND(7.79/FX,2)</f>
        <v>1.08</v>
      </c>
      <c r="D355" s="21" t="s">
        <v>19357</v>
      </c>
      <c r="E355" s="21" t="s">
        <v>22586</v>
      </c>
      <c r="F355" s="21" t="s">
        <v>22625</v>
      </c>
      <c r="G355" s="21" t="s">
        <v>22242</v>
      </c>
    </row>
    <row r="356" customFormat="false" ht="15" hidden="false" customHeight="false" outlineLevel="0" collapsed="false">
      <c r="B356" s="19" t="s">
        <v>22641</v>
      </c>
      <c r="C356" s="20" t="n">
        <f aca="false">ROUND(10.5/FX,2)</f>
        <v>1.46</v>
      </c>
      <c r="D356" s="21" t="s">
        <v>19357</v>
      </c>
      <c r="E356" s="21" t="s">
        <v>22586</v>
      </c>
      <c r="F356" s="21" t="s">
        <v>22625</v>
      </c>
      <c r="G356" s="21" t="s">
        <v>22558</v>
      </c>
    </row>
    <row r="357" customFormat="false" ht="15" hidden="false" customHeight="false" outlineLevel="0" collapsed="false">
      <c r="B357" s="19" t="s">
        <v>22642</v>
      </c>
      <c r="C357" s="20" t="n">
        <f aca="false">ROUND(11.99/FX,2)</f>
        <v>1.67</v>
      </c>
      <c r="D357" s="21" t="s">
        <v>19357</v>
      </c>
      <c r="E357" s="21" t="s">
        <v>22586</v>
      </c>
      <c r="F357" s="21" t="s">
        <v>22625</v>
      </c>
      <c r="G357" s="21" t="s">
        <v>22560</v>
      </c>
    </row>
    <row r="358" customFormat="false" ht="15" hidden="false" customHeight="false" outlineLevel="0" collapsed="false">
      <c r="B358" s="19" t="s">
        <v>22643</v>
      </c>
      <c r="C358" s="20" t="n">
        <f aca="false">ROUND(13.72/FX,2)</f>
        <v>1.91</v>
      </c>
      <c r="D358" s="21" t="s">
        <v>19357</v>
      </c>
      <c r="E358" s="21" t="s">
        <v>22586</v>
      </c>
      <c r="F358" s="21" t="s">
        <v>22625</v>
      </c>
      <c r="G358" s="21" t="s">
        <v>22562</v>
      </c>
    </row>
    <row r="359" customFormat="false" ht="15" hidden="false" customHeight="false" outlineLevel="0" collapsed="false">
      <c r="B359" s="19" t="s">
        <v>22644</v>
      </c>
      <c r="C359" s="20" t="n">
        <f aca="false">ROUND(1.91/FX,2)</f>
        <v>0.27</v>
      </c>
      <c r="D359" s="21" t="s">
        <v>19357</v>
      </c>
      <c r="E359" s="21" t="s">
        <v>22586</v>
      </c>
      <c r="F359" s="21" t="s">
        <v>22478</v>
      </c>
      <c r="G359" s="21" t="s">
        <v>22184</v>
      </c>
    </row>
    <row r="360" customFormat="false" ht="15" hidden="false" customHeight="false" outlineLevel="0" collapsed="false">
      <c r="B360" s="19" t="s">
        <v>22645</v>
      </c>
      <c r="C360" s="20" t="n">
        <f aca="false">ROUND(1.66/FX,2)</f>
        <v>0.23</v>
      </c>
      <c r="D360" s="21" t="s">
        <v>19357</v>
      </c>
      <c r="E360" s="21" t="s">
        <v>22586</v>
      </c>
      <c r="F360" s="21" t="s">
        <v>22478</v>
      </c>
      <c r="G360" s="21" t="s">
        <v>22480</v>
      </c>
    </row>
    <row r="361" customFormat="false" ht="15" hidden="false" customHeight="false" outlineLevel="0" collapsed="false">
      <c r="B361" s="19" t="s">
        <v>22646</v>
      </c>
      <c r="C361" s="20" t="n">
        <f aca="false">ROUND(1.66/FX,2)</f>
        <v>0.23</v>
      </c>
      <c r="D361" s="21" t="s">
        <v>19357</v>
      </c>
      <c r="E361" s="21" t="s">
        <v>22586</v>
      </c>
      <c r="F361" s="21" t="s">
        <v>22478</v>
      </c>
      <c r="G361" s="21" t="s">
        <v>22191</v>
      </c>
    </row>
    <row r="362" customFormat="false" ht="15" hidden="false" customHeight="false" outlineLevel="0" collapsed="false">
      <c r="B362" s="19" t="s">
        <v>22647</v>
      </c>
      <c r="C362" s="20" t="n">
        <f aca="false">ROUND(1.8/FX,2)</f>
        <v>0.25</v>
      </c>
      <c r="D362" s="21" t="s">
        <v>19357</v>
      </c>
      <c r="E362" s="21" t="s">
        <v>22586</v>
      </c>
      <c r="F362" s="21" t="s">
        <v>22478</v>
      </c>
      <c r="G362" s="21" t="s">
        <v>22195</v>
      </c>
    </row>
    <row r="363" customFormat="false" ht="15" hidden="false" customHeight="false" outlineLevel="0" collapsed="false">
      <c r="B363" s="19" t="s">
        <v>22648</v>
      </c>
      <c r="C363" s="20" t="n">
        <f aca="false">ROUND(2.04/FX,2)</f>
        <v>0.28</v>
      </c>
      <c r="D363" s="21" t="s">
        <v>19357</v>
      </c>
      <c r="E363" s="21" t="s">
        <v>22586</v>
      </c>
      <c r="F363" s="21" t="s">
        <v>22478</v>
      </c>
      <c r="G363" s="21" t="s">
        <v>22199</v>
      </c>
    </row>
    <row r="364" customFormat="false" ht="15" hidden="false" customHeight="false" outlineLevel="0" collapsed="false">
      <c r="B364" s="19" t="s">
        <v>22649</v>
      </c>
      <c r="C364" s="20" t="n">
        <f aca="false">ROUND(2.94/FX,2)</f>
        <v>0.41</v>
      </c>
      <c r="D364" s="21" t="s">
        <v>19357</v>
      </c>
      <c r="E364" s="21" t="s">
        <v>22586</v>
      </c>
      <c r="F364" s="21" t="s">
        <v>22478</v>
      </c>
      <c r="G364" s="21" t="s">
        <v>22207</v>
      </c>
    </row>
    <row r="365" customFormat="false" ht="15" hidden="false" customHeight="false" outlineLevel="0" collapsed="false">
      <c r="B365" s="19" t="s">
        <v>22650</v>
      </c>
      <c r="C365" s="20" t="n">
        <f aca="false">ROUND(4.33/FX,2)</f>
        <v>0.6</v>
      </c>
      <c r="D365" s="21" t="s">
        <v>19357</v>
      </c>
      <c r="E365" s="21" t="s">
        <v>22586</v>
      </c>
      <c r="F365" s="21" t="s">
        <v>22478</v>
      </c>
      <c r="G365" s="21" t="s">
        <v>22594</v>
      </c>
    </row>
    <row r="366" customFormat="false" ht="15" hidden="false" customHeight="false" outlineLevel="0" collapsed="false">
      <c r="B366" s="19" t="s">
        <v>22651</v>
      </c>
      <c r="C366" s="20" t="n">
        <f aca="false">ROUND(1.8/FX,2)</f>
        <v>0.25</v>
      </c>
      <c r="D366" s="21" t="s">
        <v>19357</v>
      </c>
      <c r="E366" s="21" t="s">
        <v>22586</v>
      </c>
      <c r="F366" s="21" t="s">
        <v>22478</v>
      </c>
      <c r="G366" s="21" t="s">
        <v>22486</v>
      </c>
    </row>
    <row r="367" customFormat="false" ht="15" hidden="false" customHeight="false" outlineLevel="0" collapsed="false">
      <c r="B367" s="19" t="s">
        <v>22652</v>
      </c>
      <c r="C367" s="20" t="n">
        <f aca="false">ROUND(1.91/FX,2)</f>
        <v>0.27</v>
      </c>
      <c r="D367" s="21" t="s">
        <v>19357</v>
      </c>
      <c r="E367" s="21" t="s">
        <v>22586</v>
      </c>
      <c r="F367" s="21" t="s">
        <v>22478</v>
      </c>
      <c r="G367" s="21" t="s">
        <v>22211</v>
      </c>
    </row>
    <row r="368" customFormat="false" ht="15" hidden="false" customHeight="false" outlineLevel="0" collapsed="false">
      <c r="B368" s="19" t="s">
        <v>22653</v>
      </c>
      <c r="C368" s="20" t="n">
        <f aca="false">ROUND(1.91/FX,2)</f>
        <v>0.27</v>
      </c>
      <c r="D368" s="21" t="s">
        <v>19357</v>
      </c>
      <c r="E368" s="21" t="s">
        <v>22586</v>
      </c>
      <c r="F368" s="21" t="s">
        <v>22478</v>
      </c>
      <c r="G368" s="21" t="s">
        <v>22215</v>
      </c>
    </row>
    <row r="369" customFormat="false" ht="15" hidden="false" customHeight="false" outlineLevel="0" collapsed="false">
      <c r="B369" s="19" t="s">
        <v>22654</v>
      </c>
      <c r="C369" s="20" t="n">
        <f aca="false">ROUND(1.73/FX,2)</f>
        <v>0.24</v>
      </c>
      <c r="D369" s="21" t="s">
        <v>19357</v>
      </c>
      <c r="E369" s="21" t="s">
        <v>22586</v>
      </c>
      <c r="F369" s="21" t="s">
        <v>22478</v>
      </c>
      <c r="G369" s="21" t="s">
        <v>22244</v>
      </c>
    </row>
    <row r="370" customFormat="false" ht="15" hidden="false" customHeight="false" outlineLevel="0" collapsed="false">
      <c r="B370" s="19" t="s">
        <v>22655</v>
      </c>
      <c r="C370" s="20" t="n">
        <f aca="false">ROUND(1.37/FX,2)</f>
        <v>0.19</v>
      </c>
      <c r="D370" s="21" t="s">
        <v>19357</v>
      </c>
      <c r="E370" s="21" t="s">
        <v>22586</v>
      </c>
      <c r="F370" s="21" t="s">
        <v>22478</v>
      </c>
      <c r="G370" s="21" t="s">
        <v>22490</v>
      </c>
    </row>
    <row r="371" customFormat="false" ht="15" hidden="false" customHeight="false" outlineLevel="0" collapsed="false">
      <c r="B371" s="19" t="s">
        <v>22656</v>
      </c>
      <c r="C371" s="20" t="n">
        <f aca="false">ROUND(1.29/FX,2)</f>
        <v>0.18</v>
      </c>
      <c r="D371" s="21" t="s">
        <v>19357</v>
      </c>
      <c r="E371" s="21" t="s">
        <v>22586</v>
      </c>
      <c r="F371" s="21" t="s">
        <v>22478</v>
      </c>
      <c r="G371" s="21" t="s">
        <v>22247</v>
      </c>
    </row>
    <row r="372" customFormat="false" ht="15" hidden="false" customHeight="false" outlineLevel="0" collapsed="false">
      <c r="B372" s="19" t="s">
        <v>22657</v>
      </c>
      <c r="C372" s="20" t="n">
        <f aca="false">ROUND(1.55/FX,2)</f>
        <v>0.22</v>
      </c>
      <c r="D372" s="21" t="s">
        <v>19357</v>
      </c>
      <c r="E372" s="21" t="s">
        <v>22586</v>
      </c>
      <c r="F372" s="21" t="s">
        <v>22478</v>
      </c>
      <c r="G372" s="21" t="s">
        <v>22250</v>
      </c>
    </row>
    <row r="373" customFormat="false" ht="15" hidden="false" customHeight="false" outlineLevel="0" collapsed="false">
      <c r="B373" s="19" t="s">
        <v>22658</v>
      </c>
      <c r="C373" s="20" t="n">
        <f aca="false">ROUND(2.11/FX,2)</f>
        <v>0.29</v>
      </c>
      <c r="D373" s="21" t="s">
        <v>19357</v>
      </c>
      <c r="E373" s="21" t="s">
        <v>22586</v>
      </c>
      <c r="F373" s="21" t="s">
        <v>22494</v>
      </c>
      <c r="G373" s="21" t="s">
        <v>22184</v>
      </c>
    </row>
    <row r="374" customFormat="false" ht="15" hidden="false" customHeight="false" outlineLevel="0" collapsed="false">
      <c r="B374" s="19" t="s">
        <v>22659</v>
      </c>
      <c r="C374" s="20" t="n">
        <f aca="false">ROUND(1.86/FX,2)</f>
        <v>0.26</v>
      </c>
      <c r="D374" s="21" t="s">
        <v>19357</v>
      </c>
      <c r="E374" s="21" t="s">
        <v>22586</v>
      </c>
      <c r="F374" s="21" t="s">
        <v>22494</v>
      </c>
      <c r="G374" s="21" t="s">
        <v>22480</v>
      </c>
    </row>
    <row r="375" customFormat="false" ht="15" hidden="false" customHeight="false" outlineLevel="0" collapsed="false">
      <c r="B375" s="19" t="s">
        <v>22660</v>
      </c>
      <c r="C375" s="20" t="n">
        <f aca="false">ROUND(1.86/FX,2)</f>
        <v>0.26</v>
      </c>
      <c r="D375" s="21" t="s">
        <v>19357</v>
      </c>
      <c r="E375" s="21" t="s">
        <v>22586</v>
      </c>
      <c r="F375" s="21" t="s">
        <v>22494</v>
      </c>
      <c r="G375" s="21" t="s">
        <v>22191</v>
      </c>
    </row>
    <row r="376" customFormat="false" ht="15" hidden="false" customHeight="false" outlineLevel="0" collapsed="false">
      <c r="B376" s="19" t="s">
        <v>22661</v>
      </c>
      <c r="C376" s="20" t="n">
        <f aca="false">ROUND(1.98/FX,2)</f>
        <v>0.28</v>
      </c>
      <c r="D376" s="21" t="s">
        <v>19357</v>
      </c>
      <c r="E376" s="21" t="s">
        <v>22586</v>
      </c>
      <c r="F376" s="21" t="s">
        <v>22494</v>
      </c>
      <c r="G376" s="21" t="s">
        <v>22195</v>
      </c>
    </row>
    <row r="377" customFormat="false" ht="15" hidden="false" customHeight="false" outlineLevel="0" collapsed="false">
      <c r="B377" s="19" t="s">
        <v>22662</v>
      </c>
      <c r="C377" s="20" t="n">
        <f aca="false">ROUND(2.22/FX,2)</f>
        <v>0.31</v>
      </c>
      <c r="D377" s="21" t="s">
        <v>19357</v>
      </c>
      <c r="E377" s="21" t="s">
        <v>22586</v>
      </c>
      <c r="F377" s="21" t="s">
        <v>22494</v>
      </c>
      <c r="G377" s="21" t="s">
        <v>22199</v>
      </c>
    </row>
    <row r="378" customFormat="false" ht="15" hidden="false" customHeight="false" outlineLevel="0" collapsed="false">
      <c r="B378" s="19" t="s">
        <v>22663</v>
      </c>
      <c r="C378" s="20" t="n">
        <f aca="false">ROUND(2.85/FX,2)</f>
        <v>0.4</v>
      </c>
      <c r="D378" s="21" t="s">
        <v>19357</v>
      </c>
      <c r="E378" s="21" t="s">
        <v>22586</v>
      </c>
      <c r="F378" s="21" t="s">
        <v>22494</v>
      </c>
      <c r="G378" s="21" t="s">
        <v>22207</v>
      </c>
    </row>
    <row r="379" customFormat="false" ht="15" hidden="false" customHeight="false" outlineLevel="0" collapsed="false">
      <c r="B379" s="19" t="s">
        <v>22664</v>
      </c>
      <c r="C379" s="20" t="n">
        <f aca="false">ROUND(3.59/FX,2)</f>
        <v>0.5</v>
      </c>
      <c r="D379" s="21" t="s">
        <v>19357</v>
      </c>
      <c r="E379" s="21" t="s">
        <v>22586</v>
      </c>
      <c r="F379" s="21" t="s">
        <v>22494</v>
      </c>
      <c r="G379" s="21" t="s">
        <v>22594</v>
      </c>
    </row>
    <row r="380" customFormat="false" ht="15" hidden="false" customHeight="false" outlineLevel="0" collapsed="false">
      <c r="B380" s="19" t="s">
        <v>22665</v>
      </c>
      <c r="C380" s="20" t="n">
        <f aca="false">ROUND(1.98/FX,2)</f>
        <v>0.28</v>
      </c>
      <c r="D380" s="21" t="s">
        <v>19357</v>
      </c>
      <c r="E380" s="21" t="s">
        <v>22586</v>
      </c>
      <c r="F380" s="21" t="s">
        <v>22494</v>
      </c>
      <c r="G380" s="21" t="s">
        <v>22486</v>
      </c>
    </row>
    <row r="381" customFormat="false" ht="15" hidden="false" customHeight="false" outlineLevel="0" collapsed="false">
      <c r="B381" s="19" t="s">
        <v>22666</v>
      </c>
      <c r="C381" s="20" t="n">
        <f aca="false">ROUND(2.11/FX,2)</f>
        <v>0.29</v>
      </c>
      <c r="D381" s="21" t="s">
        <v>19357</v>
      </c>
      <c r="E381" s="21" t="s">
        <v>22586</v>
      </c>
      <c r="F381" s="21" t="s">
        <v>22494</v>
      </c>
      <c r="G381" s="21" t="s">
        <v>22211</v>
      </c>
    </row>
    <row r="382" customFormat="false" ht="15" hidden="false" customHeight="false" outlineLevel="0" collapsed="false">
      <c r="B382" s="19" t="s">
        <v>22667</v>
      </c>
      <c r="C382" s="20" t="n">
        <f aca="false">ROUND(2.11/FX,2)</f>
        <v>0.29</v>
      </c>
      <c r="D382" s="21" t="s">
        <v>19357</v>
      </c>
      <c r="E382" s="21" t="s">
        <v>22586</v>
      </c>
      <c r="F382" s="21" t="s">
        <v>22494</v>
      </c>
      <c r="G382" s="21" t="s">
        <v>22215</v>
      </c>
    </row>
    <row r="383" customFormat="false" ht="15" hidden="false" customHeight="false" outlineLevel="0" collapsed="false">
      <c r="B383" s="19" t="s">
        <v>22668</v>
      </c>
      <c r="C383" s="20" t="n">
        <f aca="false">ROUND(1.73/FX,2)</f>
        <v>0.24</v>
      </c>
      <c r="D383" s="21" t="s">
        <v>19357</v>
      </c>
      <c r="E383" s="21" t="s">
        <v>22586</v>
      </c>
      <c r="F383" s="21" t="s">
        <v>22494</v>
      </c>
      <c r="G383" s="21" t="s">
        <v>22244</v>
      </c>
    </row>
    <row r="384" customFormat="false" ht="15" hidden="false" customHeight="false" outlineLevel="0" collapsed="false">
      <c r="B384" s="19" t="s">
        <v>22669</v>
      </c>
      <c r="C384" s="20" t="n">
        <f aca="false">ROUND(1.48/FX,2)</f>
        <v>0.21</v>
      </c>
      <c r="D384" s="21" t="s">
        <v>19357</v>
      </c>
      <c r="E384" s="21" t="s">
        <v>22586</v>
      </c>
      <c r="F384" s="21" t="s">
        <v>22494</v>
      </c>
      <c r="G384" s="21" t="s">
        <v>22490</v>
      </c>
    </row>
    <row r="385" customFormat="false" ht="15" hidden="false" customHeight="false" outlineLevel="0" collapsed="false">
      <c r="B385" s="19" t="s">
        <v>22670</v>
      </c>
      <c r="C385" s="20" t="n">
        <f aca="false">ROUND(1.61/FX,2)</f>
        <v>0.22</v>
      </c>
      <c r="D385" s="21" t="s">
        <v>19357</v>
      </c>
      <c r="E385" s="21" t="s">
        <v>22586</v>
      </c>
      <c r="F385" s="21" t="s">
        <v>22494</v>
      </c>
      <c r="G385" s="21" t="s">
        <v>22247</v>
      </c>
    </row>
    <row r="386" customFormat="false" ht="15" hidden="false" customHeight="false" outlineLevel="0" collapsed="false">
      <c r="B386" s="19" t="s">
        <v>22671</v>
      </c>
      <c r="C386" s="20" t="n">
        <f aca="false">ROUND(1.61/FX,2)</f>
        <v>0.22</v>
      </c>
      <c r="D386" s="21" t="s">
        <v>19357</v>
      </c>
      <c r="E386" s="21" t="s">
        <v>22586</v>
      </c>
      <c r="F386" s="21" t="s">
        <v>22494</v>
      </c>
      <c r="G386" s="21" t="s">
        <v>22250</v>
      </c>
    </row>
    <row r="387" customFormat="false" ht="15" hidden="false" customHeight="false" outlineLevel="0" collapsed="false">
      <c r="B387" s="19" t="s">
        <v>22672</v>
      </c>
      <c r="C387" s="20" t="n">
        <f aca="false">ROUND(2.2/FX,2)</f>
        <v>0.31</v>
      </c>
      <c r="D387" s="21" t="s">
        <v>19357</v>
      </c>
      <c r="E387" s="21" t="s">
        <v>22586</v>
      </c>
      <c r="F387" s="21" t="s">
        <v>22507</v>
      </c>
      <c r="G387" s="21" t="s">
        <v>22184</v>
      </c>
    </row>
    <row r="388" customFormat="false" ht="15" hidden="false" customHeight="false" outlineLevel="0" collapsed="false">
      <c r="B388" s="19" t="s">
        <v>22673</v>
      </c>
      <c r="C388" s="20" t="n">
        <f aca="false">ROUND(1.91/FX,2)</f>
        <v>0.27</v>
      </c>
      <c r="D388" s="21" t="s">
        <v>19357</v>
      </c>
      <c r="E388" s="21" t="s">
        <v>22586</v>
      </c>
      <c r="F388" s="21" t="s">
        <v>22507</v>
      </c>
      <c r="G388" s="21" t="s">
        <v>22480</v>
      </c>
    </row>
    <row r="389" customFormat="false" ht="15" hidden="false" customHeight="false" outlineLevel="0" collapsed="false">
      <c r="B389" s="19" t="s">
        <v>22674</v>
      </c>
      <c r="C389" s="20" t="n">
        <f aca="false">ROUND(1.95/FX,2)</f>
        <v>0.27</v>
      </c>
      <c r="D389" s="21" t="s">
        <v>19357</v>
      </c>
      <c r="E389" s="21" t="s">
        <v>22586</v>
      </c>
      <c r="F389" s="21" t="s">
        <v>22507</v>
      </c>
      <c r="G389" s="21" t="s">
        <v>22191</v>
      </c>
    </row>
    <row r="390" customFormat="false" ht="15" hidden="false" customHeight="false" outlineLevel="0" collapsed="false">
      <c r="B390" s="19" t="s">
        <v>22675</v>
      </c>
      <c r="C390" s="20" t="n">
        <f aca="false">ROUND(2.08/FX,2)</f>
        <v>0.29</v>
      </c>
      <c r="D390" s="21" t="s">
        <v>19357</v>
      </c>
      <c r="E390" s="21" t="s">
        <v>22586</v>
      </c>
      <c r="F390" s="21" t="s">
        <v>22507</v>
      </c>
      <c r="G390" s="21" t="s">
        <v>22195</v>
      </c>
    </row>
    <row r="391" customFormat="false" ht="15" hidden="false" customHeight="false" outlineLevel="0" collapsed="false">
      <c r="B391" s="19" t="s">
        <v>22676</v>
      </c>
      <c r="C391" s="20" t="n">
        <f aca="false">ROUND(2.35/FX,2)</f>
        <v>0.33</v>
      </c>
      <c r="D391" s="21" t="s">
        <v>19357</v>
      </c>
      <c r="E391" s="21" t="s">
        <v>22586</v>
      </c>
      <c r="F391" s="21" t="s">
        <v>22507</v>
      </c>
      <c r="G391" s="21" t="s">
        <v>22199</v>
      </c>
    </row>
    <row r="392" customFormat="false" ht="15" hidden="false" customHeight="false" outlineLevel="0" collapsed="false">
      <c r="B392" s="19" t="s">
        <v>22677</v>
      </c>
      <c r="C392" s="20" t="n">
        <f aca="false">ROUND(3/FX,2)</f>
        <v>0.42</v>
      </c>
      <c r="D392" s="21" t="s">
        <v>19357</v>
      </c>
      <c r="E392" s="21" t="s">
        <v>22586</v>
      </c>
      <c r="F392" s="21" t="s">
        <v>22507</v>
      </c>
      <c r="G392" s="21" t="s">
        <v>22207</v>
      </c>
    </row>
    <row r="393" customFormat="false" ht="15" hidden="false" customHeight="false" outlineLevel="0" collapsed="false">
      <c r="B393" s="19" t="s">
        <v>22678</v>
      </c>
      <c r="C393" s="20" t="n">
        <f aca="false">ROUND(3.71/FX,2)</f>
        <v>0.52</v>
      </c>
      <c r="D393" s="21" t="s">
        <v>19357</v>
      </c>
      <c r="E393" s="21" t="s">
        <v>22586</v>
      </c>
      <c r="F393" s="21" t="s">
        <v>22507</v>
      </c>
      <c r="G393" s="21" t="s">
        <v>22594</v>
      </c>
    </row>
    <row r="394" customFormat="false" ht="15" hidden="false" customHeight="false" outlineLevel="0" collapsed="false">
      <c r="B394" s="19" t="s">
        <v>22679</v>
      </c>
      <c r="C394" s="20" t="n">
        <f aca="false">ROUND(1.98/FX,2)</f>
        <v>0.28</v>
      </c>
      <c r="D394" s="21" t="s">
        <v>19357</v>
      </c>
      <c r="E394" s="21" t="s">
        <v>22586</v>
      </c>
      <c r="F394" s="21" t="s">
        <v>22507</v>
      </c>
      <c r="G394" s="21" t="s">
        <v>22486</v>
      </c>
    </row>
    <row r="395" customFormat="false" ht="15" hidden="false" customHeight="false" outlineLevel="0" collapsed="false">
      <c r="B395" s="19" t="s">
        <v>22680</v>
      </c>
      <c r="C395" s="20" t="n">
        <f aca="false">ROUND(2.11/FX,2)</f>
        <v>0.29</v>
      </c>
      <c r="D395" s="21" t="s">
        <v>19357</v>
      </c>
      <c r="E395" s="21" t="s">
        <v>22586</v>
      </c>
      <c r="F395" s="21" t="s">
        <v>22507</v>
      </c>
      <c r="G395" s="21" t="s">
        <v>22211</v>
      </c>
    </row>
    <row r="396" customFormat="false" ht="15" hidden="false" customHeight="false" outlineLevel="0" collapsed="false">
      <c r="B396" s="19" t="s">
        <v>22681</v>
      </c>
      <c r="C396" s="20" t="n">
        <f aca="false">ROUND(1.69/FX,2)</f>
        <v>0.23</v>
      </c>
      <c r="D396" s="21" t="s">
        <v>19357</v>
      </c>
      <c r="E396" s="21" t="s">
        <v>22586</v>
      </c>
      <c r="F396" s="21" t="s">
        <v>22507</v>
      </c>
      <c r="G396" s="21" t="s">
        <v>22215</v>
      </c>
    </row>
    <row r="397" customFormat="false" ht="15" hidden="false" customHeight="false" outlineLevel="0" collapsed="false">
      <c r="B397" s="19" t="s">
        <v>22682</v>
      </c>
      <c r="C397" s="20" t="n">
        <f aca="false">ROUND(4.2/FX,2)</f>
        <v>0.58</v>
      </c>
      <c r="D397" s="21" t="s">
        <v>19357</v>
      </c>
      <c r="E397" s="21" t="s">
        <v>22586</v>
      </c>
      <c r="F397" s="21" t="s">
        <v>22507</v>
      </c>
      <c r="G397" s="21" t="s">
        <v>22517</v>
      </c>
    </row>
    <row r="398" customFormat="false" ht="15" hidden="false" customHeight="false" outlineLevel="0" collapsed="false">
      <c r="B398" s="19" t="s">
        <v>22683</v>
      </c>
      <c r="C398" s="20" t="n">
        <f aca="false">ROUND(3.09/FX,2)</f>
        <v>0.43</v>
      </c>
      <c r="D398" s="21" t="s">
        <v>19357</v>
      </c>
      <c r="E398" s="21" t="s">
        <v>22586</v>
      </c>
      <c r="F398" s="21" t="s">
        <v>22507</v>
      </c>
      <c r="G398" s="21" t="s">
        <v>22519</v>
      </c>
    </row>
    <row r="399" customFormat="false" ht="15" hidden="false" customHeight="false" outlineLevel="0" collapsed="false">
      <c r="B399" s="19" t="s">
        <v>22684</v>
      </c>
      <c r="C399" s="20" t="n">
        <f aca="false">ROUND(3.21/FX,2)</f>
        <v>0.45</v>
      </c>
      <c r="D399" s="21" t="s">
        <v>19357</v>
      </c>
      <c r="E399" s="21" t="s">
        <v>22586</v>
      </c>
      <c r="F399" s="21" t="s">
        <v>22507</v>
      </c>
      <c r="G399" s="21" t="s">
        <v>22601</v>
      </c>
    </row>
    <row r="400" customFormat="false" ht="15" hidden="false" customHeight="false" outlineLevel="0" collapsed="false">
      <c r="B400" s="19" t="s">
        <v>22685</v>
      </c>
      <c r="C400" s="20" t="n">
        <f aca="false">ROUND(3.84/FX,2)</f>
        <v>0.53</v>
      </c>
      <c r="D400" s="21" t="s">
        <v>19357</v>
      </c>
      <c r="E400" s="21" t="s">
        <v>22586</v>
      </c>
      <c r="F400" s="21" t="s">
        <v>22507</v>
      </c>
      <c r="G400" s="21" t="s">
        <v>22219</v>
      </c>
    </row>
    <row r="401" customFormat="false" ht="15" hidden="false" customHeight="false" outlineLevel="0" collapsed="false">
      <c r="B401" s="19" t="s">
        <v>22686</v>
      </c>
      <c r="C401" s="20" t="n">
        <f aca="false">ROUND(4.08/FX,2)</f>
        <v>0.57</v>
      </c>
      <c r="D401" s="21" t="s">
        <v>19357</v>
      </c>
      <c r="E401" s="21" t="s">
        <v>22586</v>
      </c>
      <c r="F401" s="21" t="s">
        <v>22507</v>
      </c>
      <c r="G401" s="21" t="s">
        <v>22222</v>
      </c>
    </row>
    <row r="402" customFormat="false" ht="15" hidden="false" customHeight="false" outlineLevel="0" collapsed="false">
      <c r="B402" s="19" t="s">
        <v>22687</v>
      </c>
      <c r="C402" s="20" t="n">
        <f aca="false">ROUND(4.45/FX,2)</f>
        <v>0.62</v>
      </c>
      <c r="D402" s="21" t="s">
        <v>19357</v>
      </c>
      <c r="E402" s="21" t="s">
        <v>22586</v>
      </c>
      <c r="F402" s="21" t="s">
        <v>22507</v>
      </c>
      <c r="G402" s="21" t="s">
        <v>22225</v>
      </c>
    </row>
    <row r="403" customFormat="false" ht="15" hidden="false" customHeight="false" outlineLevel="0" collapsed="false">
      <c r="B403" s="19" t="s">
        <v>22688</v>
      </c>
      <c r="C403" s="20" t="n">
        <f aca="false">ROUND(5.56/FX,2)</f>
        <v>0.77</v>
      </c>
      <c r="D403" s="21" t="s">
        <v>19357</v>
      </c>
      <c r="E403" s="21" t="s">
        <v>22586</v>
      </c>
      <c r="F403" s="21" t="s">
        <v>22507</v>
      </c>
      <c r="G403" s="21" t="s">
        <v>22524</v>
      </c>
    </row>
    <row r="404" customFormat="false" ht="15" hidden="false" customHeight="false" outlineLevel="0" collapsed="false">
      <c r="B404" s="19" t="s">
        <v>22689</v>
      </c>
      <c r="C404" s="20" t="n">
        <f aca="false">ROUND(6.8/FX,2)</f>
        <v>0.94</v>
      </c>
      <c r="D404" s="21" t="s">
        <v>19357</v>
      </c>
      <c r="E404" s="21" t="s">
        <v>22586</v>
      </c>
      <c r="F404" s="21" t="s">
        <v>22507</v>
      </c>
      <c r="G404" s="21" t="s">
        <v>22607</v>
      </c>
    </row>
    <row r="405" customFormat="false" ht="15" hidden="false" customHeight="false" outlineLevel="0" collapsed="false">
      <c r="B405" s="19" t="s">
        <v>22690</v>
      </c>
      <c r="C405" s="20" t="n">
        <f aca="false">ROUND(3.09/FX,2)</f>
        <v>0.43</v>
      </c>
      <c r="D405" s="21" t="s">
        <v>19357</v>
      </c>
      <c r="E405" s="21" t="s">
        <v>22586</v>
      </c>
      <c r="F405" s="21" t="s">
        <v>22507</v>
      </c>
      <c r="G405" s="21" t="s">
        <v>22228</v>
      </c>
    </row>
    <row r="406" customFormat="false" ht="15" hidden="false" customHeight="false" outlineLevel="0" collapsed="false">
      <c r="B406" s="19" t="s">
        <v>22691</v>
      </c>
      <c r="C406" s="20" t="n">
        <f aca="false">ROUND(3.46/FX,2)</f>
        <v>0.48</v>
      </c>
      <c r="D406" s="21" t="s">
        <v>19357</v>
      </c>
      <c r="E406" s="21" t="s">
        <v>22586</v>
      </c>
      <c r="F406" s="21" t="s">
        <v>22507</v>
      </c>
      <c r="G406" s="21" t="s">
        <v>22231</v>
      </c>
    </row>
    <row r="407" customFormat="false" ht="15" hidden="false" customHeight="false" outlineLevel="0" collapsed="false">
      <c r="B407" s="19" t="s">
        <v>22692</v>
      </c>
      <c r="C407" s="20" t="n">
        <f aca="false">ROUND(5.32/FX,2)</f>
        <v>0.74</v>
      </c>
      <c r="D407" s="21" t="s">
        <v>19357</v>
      </c>
      <c r="E407" s="21" t="s">
        <v>22586</v>
      </c>
      <c r="F407" s="21" t="s">
        <v>22507</v>
      </c>
      <c r="G407" s="21" t="s">
        <v>22234</v>
      </c>
    </row>
    <row r="408" customFormat="false" ht="15" hidden="false" customHeight="false" outlineLevel="0" collapsed="false">
      <c r="B408" s="19" t="s">
        <v>22693</v>
      </c>
      <c r="C408" s="20" t="n">
        <f aca="false">ROUND(6.42/FX,2)</f>
        <v>0.89</v>
      </c>
      <c r="D408" s="21" t="s">
        <v>19357</v>
      </c>
      <c r="E408" s="21" t="s">
        <v>22586</v>
      </c>
      <c r="F408" s="21" t="s">
        <v>22507</v>
      </c>
      <c r="G408" s="21" t="s">
        <v>22238</v>
      </c>
    </row>
    <row r="409" customFormat="false" ht="15" hidden="false" customHeight="false" outlineLevel="0" collapsed="false">
      <c r="B409" s="19" t="s">
        <v>22694</v>
      </c>
      <c r="C409" s="20" t="n">
        <f aca="false">ROUND(9.63/FX,2)</f>
        <v>1.34</v>
      </c>
      <c r="D409" s="21" t="s">
        <v>19357</v>
      </c>
      <c r="E409" s="21" t="s">
        <v>22586</v>
      </c>
      <c r="F409" s="21" t="s">
        <v>22507</v>
      </c>
      <c r="G409" s="21" t="s">
        <v>22614</v>
      </c>
    </row>
    <row r="410" customFormat="false" ht="15" hidden="false" customHeight="false" outlineLevel="0" collapsed="false">
      <c r="B410" s="19" t="s">
        <v>22695</v>
      </c>
      <c r="C410" s="20" t="n">
        <f aca="false">ROUND(4.45/FX,2)</f>
        <v>0.62</v>
      </c>
      <c r="D410" s="21" t="s">
        <v>19357</v>
      </c>
      <c r="E410" s="21" t="s">
        <v>22586</v>
      </c>
      <c r="F410" s="21" t="s">
        <v>22507</v>
      </c>
      <c r="G410" s="21" t="s">
        <v>22240</v>
      </c>
    </row>
    <row r="411" customFormat="false" ht="15" hidden="false" customHeight="false" outlineLevel="0" collapsed="false">
      <c r="B411" s="19" t="s">
        <v>22696</v>
      </c>
      <c r="C411" s="20" t="n">
        <f aca="false">ROUND(4.94/FX,2)</f>
        <v>0.69</v>
      </c>
      <c r="D411" s="21" t="s">
        <v>19357</v>
      </c>
      <c r="E411" s="21" t="s">
        <v>22586</v>
      </c>
      <c r="F411" s="21" t="s">
        <v>22507</v>
      </c>
      <c r="G411" s="21" t="s">
        <v>22242</v>
      </c>
    </row>
    <row r="412" customFormat="false" ht="15" hidden="false" customHeight="false" outlineLevel="0" collapsed="false">
      <c r="B412" s="19" t="s">
        <v>22697</v>
      </c>
      <c r="C412" s="20" t="n">
        <f aca="false">ROUND(1.95/FX,2)</f>
        <v>0.27</v>
      </c>
      <c r="D412" s="21" t="s">
        <v>19357</v>
      </c>
      <c r="E412" s="21" t="s">
        <v>22586</v>
      </c>
      <c r="F412" s="21" t="s">
        <v>22507</v>
      </c>
      <c r="G412" s="21" t="s">
        <v>22244</v>
      </c>
    </row>
    <row r="413" customFormat="false" ht="15" hidden="false" customHeight="false" outlineLevel="0" collapsed="false">
      <c r="B413" s="19" t="s">
        <v>22698</v>
      </c>
      <c r="C413" s="20" t="n">
        <f aca="false">ROUND(1.5/FX,2)</f>
        <v>0.21</v>
      </c>
      <c r="D413" s="21" t="s">
        <v>19357</v>
      </c>
      <c r="E413" s="21" t="s">
        <v>22586</v>
      </c>
      <c r="F413" s="21" t="s">
        <v>22507</v>
      </c>
      <c r="G413" s="21" t="s">
        <v>22490</v>
      </c>
    </row>
    <row r="414" customFormat="false" ht="15" hidden="false" customHeight="false" outlineLevel="0" collapsed="false">
      <c r="B414" s="19" t="s">
        <v>22699</v>
      </c>
      <c r="C414" s="20" t="n">
        <f aca="false">ROUND(1.64/FX,2)</f>
        <v>0.23</v>
      </c>
      <c r="D414" s="21" t="s">
        <v>19357</v>
      </c>
      <c r="E414" s="21" t="s">
        <v>22586</v>
      </c>
      <c r="F414" s="21" t="s">
        <v>22507</v>
      </c>
      <c r="G414" s="21" t="s">
        <v>22247</v>
      </c>
    </row>
    <row r="415" customFormat="false" ht="15" hidden="false" customHeight="false" outlineLevel="0" collapsed="false">
      <c r="B415" s="19" t="s">
        <v>22700</v>
      </c>
      <c r="C415" s="20" t="n">
        <f aca="false">ROUND(1.83/FX,2)</f>
        <v>0.25</v>
      </c>
      <c r="D415" s="21" t="s">
        <v>19357</v>
      </c>
      <c r="E415" s="21" t="s">
        <v>22586</v>
      </c>
      <c r="F415" s="21" t="s">
        <v>22507</v>
      </c>
      <c r="G415" s="21" t="s">
        <v>22250</v>
      </c>
    </row>
    <row r="416" customFormat="false" ht="15" hidden="false" customHeight="false" outlineLevel="0" collapsed="false">
      <c r="B416" s="19" t="s">
        <v>22701</v>
      </c>
      <c r="C416" s="20" t="n">
        <f aca="false">ROUND(2.65/FX,2)</f>
        <v>0.37</v>
      </c>
      <c r="D416" s="21" t="s">
        <v>19357</v>
      </c>
      <c r="E416" s="21" t="s">
        <v>22586</v>
      </c>
      <c r="F416" s="21" t="s">
        <v>22536</v>
      </c>
      <c r="G416" s="21" t="s">
        <v>22184</v>
      </c>
    </row>
    <row r="417" customFormat="false" ht="15" hidden="false" customHeight="false" outlineLevel="0" collapsed="false">
      <c r="B417" s="19" t="s">
        <v>22702</v>
      </c>
      <c r="C417" s="20" t="n">
        <f aca="false">ROUND(2.22/FX,2)</f>
        <v>0.31</v>
      </c>
      <c r="D417" s="21" t="s">
        <v>19357</v>
      </c>
      <c r="E417" s="21" t="s">
        <v>22586</v>
      </c>
      <c r="F417" s="21" t="s">
        <v>22536</v>
      </c>
      <c r="G417" s="21" t="s">
        <v>22480</v>
      </c>
    </row>
    <row r="418" customFormat="false" ht="15" hidden="false" customHeight="false" outlineLevel="0" collapsed="false">
      <c r="B418" s="19" t="s">
        <v>22703</v>
      </c>
      <c r="C418" s="20" t="n">
        <f aca="false">ROUND(2.35/FX,2)</f>
        <v>0.33</v>
      </c>
      <c r="D418" s="21" t="s">
        <v>19357</v>
      </c>
      <c r="E418" s="21" t="s">
        <v>22586</v>
      </c>
      <c r="F418" s="21" t="s">
        <v>22536</v>
      </c>
      <c r="G418" s="21" t="s">
        <v>22191</v>
      </c>
    </row>
    <row r="419" customFormat="false" ht="15" hidden="false" customHeight="false" outlineLevel="0" collapsed="false">
      <c r="B419" s="19" t="s">
        <v>22704</v>
      </c>
      <c r="C419" s="20" t="n">
        <f aca="false">ROUND(2.47/FX,2)</f>
        <v>0.34</v>
      </c>
      <c r="D419" s="21" t="s">
        <v>19357</v>
      </c>
      <c r="E419" s="21" t="s">
        <v>22586</v>
      </c>
      <c r="F419" s="21" t="s">
        <v>22536</v>
      </c>
      <c r="G419" s="21" t="s">
        <v>22195</v>
      </c>
    </row>
    <row r="420" customFormat="false" ht="15" hidden="false" customHeight="false" outlineLevel="0" collapsed="false">
      <c r="B420" s="19" t="s">
        <v>22705</v>
      </c>
      <c r="C420" s="20" t="n">
        <f aca="false">ROUND(2.85/FX,2)</f>
        <v>0.4</v>
      </c>
      <c r="D420" s="21" t="s">
        <v>19357</v>
      </c>
      <c r="E420" s="21" t="s">
        <v>22586</v>
      </c>
      <c r="F420" s="21" t="s">
        <v>22536</v>
      </c>
      <c r="G420" s="21" t="s">
        <v>22199</v>
      </c>
    </row>
    <row r="421" customFormat="false" ht="15" hidden="false" customHeight="false" outlineLevel="0" collapsed="false">
      <c r="B421" s="19" t="s">
        <v>22706</v>
      </c>
      <c r="C421" s="20" t="n">
        <f aca="false">ROUND(3.46/FX,2)</f>
        <v>0.48</v>
      </c>
      <c r="D421" s="21" t="s">
        <v>19357</v>
      </c>
      <c r="E421" s="21" t="s">
        <v>22586</v>
      </c>
      <c r="F421" s="21" t="s">
        <v>22536</v>
      </c>
      <c r="G421" s="21" t="s">
        <v>22207</v>
      </c>
    </row>
    <row r="422" customFormat="false" ht="15" hidden="false" customHeight="false" outlineLevel="0" collapsed="false">
      <c r="B422" s="19" t="s">
        <v>22707</v>
      </c>
      <c r="C422" s="20" t="n">
        <f aca="false">ROUND(4.33/FX,2)</f>
        <v>0.6</v>
      </c>
      <c r="D422" s="21" t="s">
        <v>19357</v>
      </c>
      <c r="E422" s="21" t="s">
        <v>22586</v>
      </c>
      <c r="F422" s="21" t="s">
        <v>22536</v>
      </c>
      <c r="G422" s="21" t="s">
        <v>22594</v>
      </c>
    </row>
    <row r="423" customFormat="false" ht="15" hidden="false" customHeight="false" outlineLevel="0" collapsed="false">
      <c r="B423" s="19" t="s">
        <v>22708</v>
      </c>
      <c r="C423" s="20" t="n">
        <f aca="false">ROUND(2.47/FX,2)</f>
        <v>0.34</v>
      </c>
      <c r="D423" s="21" t="s">
        <v>19357</v>
      </c>
      <c r="E423" s="21" t="s">
        <v>22586</v>
      </c>
      <c r="F423" s="21" t="s">
        <v>22536</v>
      </c>
      <c r="G423" s="21" t="s">
        <v>22486</v>
      </c>
    </row>
    <row r="424" customFormat="false" ht="15" hidden="false" customHeight="false" outlineLevel="0" collapsed="false">
      <c r="B424" s="19" t="s">
        <v>22709</v>
      </c>
      <c r="C424" s="20" t="n">
        <f aca="false">ROUND(2.47/FX,2)</f>
        <v>0.34</v>
      </c>
      <c r="D424" s="21" t="s">
        <v>19357</v>
      </c>
      <c r="E424" s="21" t="s">
        <v>22586</v>
      </c>
      <c r="F424" s="21" t="s">
        <v>22536</v>
      </c>
      <c r="G424" s="21" t="s">
        <v>22211</v>
      </c>
    </row>
    <row r="425" customFormat="false" ht="15" hidden="false" customHeight="false" outlineLevel="0" collapsed="false">
      <c r="B425" s="19" t="s">
        <v>22710</v>
      </c>
      <c r="C425" s="20" t="n">
        <f aca="false">ROUND(2.72/FX,2)</f>
        <v>0.38</v>
      </c>
      <c r="D425" s="21" t="s">
        <v>19357</v>
      </c>
      <c r="E425" s="21" t="s">
        <v>22586</v>
      </c>
      <c r="F425" s="21" t="s">
        <v>22536</v>
      </c>
      <c r="G425" s="21" t="s">
        <v>22215</v>
      </c>
    </row>
    <row r="426" customFormat="false" ht="15" hidden="false" customHeight="false" outlineLevel="0" collapsed="false">
      <c r="B426" s="19" t="s">
        <v>22711</v>
      </c>
      <c r="C426" s="20" t="n">
        <f aca="false">ROUND(4.08/FX,2)</f>
        <v>0.57</v>
      </c>
      <c r="D426" s="21" t="s">
        <v>19357</v>
      </c>
      <c r="E426" s="21" t="s">
        <v>22586</v>
      </c>
      <c r="F426" s="21" t="s">
        <v>22536</v>
      </c>
      <c r="G426" s="21" t="s">
        <v>22517</v>
      </c>
    </row>
    <row r="427" customFormat="false" ht="15" hidden="false" customHeight="false" outlineLevel="0" collapsed="false">
      <c r="B427" s="19" t="s">
        <v>22712</v>
      </c>
      <c r="C427" s="20" t="n">
        <f aca="false">ROUND(4.82/FX,2)</f>
        <v>0.67</v>
      </c>
      <c r="D427" s="21" t="s">
        <v>19357</v>
      </c>
      <c r="E427" s="21" t="s">
        <v>22586</v>
      </c>
      <c r="F427" s="21" t="s">
        <v>22536</v>
      </c>
      <c r="G427" s="21" t="s">
        <v>22519</v>
      </c>
    </row>
    <row r="428" customFormat="false" ht="15" hidden="false" customHeight="false" outlineLevel="0" collapsed="false">
      <c r="B428" s="19" t="s">
        <v>22713</v>
      </c>
      <c r="C428" s="20" t="n">
        <f aca="false">ROUND(3.95/FX,2)</f>
        <v>0.55</v>
      </c>
      <c r="D428" s="21" t="s">
        <v>19357</v>
      </c>
      <c r="E428" s="21" t="s">
        <v>22586</v>
      </c>
      <c r="F428" s="21" t="s">
        <v>22536</v>
      </c>
      <c r="G428" s="21" t="s">
        <v>22601</v>
      </c>
    </row>
    <row r="429" customFormat="false" ht="15" hidden="false" customHeight="false" outlineLevel="0" collapsed="false">
      <c r="B429" s="19" t="s">
        <v>22714</v>
      </c>
      <c r="C429" s="20" t="n">
        <f aca="false">ROUND(4.2/FX,2)</f>
        <v>0.58</v>
      </c>
      <c r="D429" s="21" t="s">
        <v>19357</v>
      </c>
      <c r="E429" s="21" t="s">
        <v>22586</v>
      </c>
      <c r="F429" s="21" t="s">
        <v>22536</v>
      </c>
      <c r="G429" s="21" t="s">
        <v>22219</v>
      </c>
    </row>
    <row r="430" customFormat="false" ht="15" hidden="false" customHeight="false" outlineLevel="0" collapsed="false">
      <c r="B430" s="19" t="s">
        <v>22715</v>
      </c>
      <c r="C430" s="20" t="n">
        <f aca="false">ROUND(4.69/FX,2)</f>
        <v>0.65</v>
      </c>
      <c r="D430" s="21" t="s">
        <v>19357</v>
      </c>
      <c r="E430" s="21" t="s">
        <v>22586</v>
      </c>
      <c r="F430" s="21" t="s">
        <v>22536</v>
      </c>
      <c r="G430" s="21" t="s">
        <v>22222</v>
      </c>
    </row>
    <row r="431" customFormat="false" ht="15" hidden="false" customHeight="false" outlineLevel="0" collapsed="false">
      <c r="B431" s="19" t="s">
        <v>22716</v>
      </c>
      <c r="C431" s="20" t="n">
        <f aca="false">ROUND(5.19/FX,2)</f>
        <v>0.72</v>
      </c>
      <c r="D431" s="21" t="s">
        <v>19357</v>
      </c>
      <c r="E431" s="21" t="s">
        <v>22586</v>
      </c>
      <c r="F431" s="21" t="s">
        <v>22536</v>
      </c>
      <c r="G431" s="21" t="s">
        <v>22225</v>
      </c>
    </row>
    <row r="432" customFormat="false" ht="15" hidden="false" customHeight="false" outlineLevel="0" collapsed="false">
      <c r="B432" s="19" t="s">
        <v>22717</v>
      </c>
      <c r="C432" s="20" t="n">
        <f aca="false">ROUND(5.93/FX,2)</f>
        <v>0.82</v>
      </c>
      <c r="D432" s="21" t="s">
        <v>19357</v>
      </c>
      <c r="E432" s="21" t="s">
        <v>22586</v>
      </c>
      <c r="F432" s="21" t="s">
        <v>22536</v>
      </c>
      <c r="G432" s="21" t="s">
        <v>22524</v>
      </c>
    </row>
    <row r="433" customFormat="false" ht="15" hidden="false" customHeight="false" outlineLevel="0" collapsed="false">
      <c r="B433" s="19" t="s">
        <v>22718</v>
      </c>
      <c r="C433" s="20" t="n">
        <f aca="false">ROUND(7.16/FX,2)</f>
        <v>0.99</v>
      </c>
      <c r="D433" s="21" t="s">
        <v>19357</v>
      </c>
      <c r="E433" s="21" t="s">
        <v>22586</v>
      </c>
      <c r="F433" s="21" t="s">
        <v>22536</v>
      </c>
      <c r="G433" s="21" t="s">
        <v>22607</v>
      </c>
    </row>
    <row r="434" customFormat="false" ht="15" hidden="false" customHeight="false" outlineLevel="0" collapsed="false">
      <c r="B434" s="19" t="s">
        <v>22719</v>
      </c>
      <c r="C434" s="20" t="n">
        <f aca="false">ROUND(3.84/FX,2)</f>
        <v>0.53</v>
      </c>
      <c r="D434" s="21" t="s">
        <v>19357</v>
      </c>
      <c r="E434" s="21" t="s">
        <v>22586</v>
      </c>
      <c r="F434" s="21" t="s">
        <v>22536</v>
      </c>
      <c r="G434" s="21" t="s">
        <v>22228</v>
      </c>
    </row>
    <row r="435" customFormat="false" ht="15" hidden="false" customHeight="false" outlineLevel="0" collapsed="false">
      <c r="B435" s="19" t="s">
        <v>22720</v>
      </c>
      <c r="C435" s="20" t="n">
        <f aca="false">ROUND(4.08/FX,2)</f>
        <v>0.57</v>
      </c>
      <c r="D435" s="21" t="s">
        <v>19357</v>
      </c>
      <c r="E435" s="21" t="s">
        <v>22586</v>
      </c>
      <c r="F435" s="21" t="s">
        <v>22536</v>
      </c>
      <c r="G435" s="21" t="s">
        <v>22231</v>
      </c>
    </row>
    <row r="436" customFormat="false" ht="15" hidden="false" customHeight="false" outlineLevel="0" collapsed="false">
      <c r="B436" s="19" t="s">
        <v>22721</v>
      </c>
      <c r="C436" s="20" t="n">
        <f aca="false">ROUND(5.68/FX,2)</f>
        <v>0.79</v>
      </c>
      <c r="D436" s="21" t="s">
        <v>19357</v>
      </c>
      <c r="E436" s="21" t="s">
        <v>22586</v>
      </c>
      <c r="F436" s="21" t="s">
        <v>22536</v>
      </c>
      <c r="G436" s="21" t="s">
        <v>22234</v>
      </c>
    </row>
    <row r="437" customFormat="false" ht="15" hidden="false" customHeight="false" outlineLevel="0" collapsed="false">
      <c r="B437" s="19" t="s">
        <v>22722</v>
      </c>
      <c r="C437" s="20" t="n">
        <f aca="false">ROUND(6.8/FX,2)</f>
        <v>0.94</v>
      </c>
      <c r="D437" s="21" t="s">
        <v>19357</v>
      </c>
      <c r="E437" s="21" t="s">
        <v>22586</v>
      </c>
      <c r="F437" s="21" t="s">
        <v>22536</v>
      </c>
      <c r="G437" s="21" t="s">
        <v>22238</v>
      </c>
    </row>
    <row r="438" customFormat="false" ht="15" hidden="false" customHeight="false" outlineLevel="0" collapsed="false">
      <c r="B438" s="19" t="s">
        <v>22723</v>
      </c>
      <c r="C438" s="20" t="n">
        <f aca="false">ROUND(8.65/FX,2)</f>
        <v>1.2</v>
      </c>
      <c r="D438" s="21" t="s">
        <v>19357</v>
      </c>
      <c r="E438" s="21" t="s">
        <v>22586</v>
      </c>
      <c r="F438" s="21" t="s">
        <v>22536</v>
      </c>
      <c r="G438" s="21" t="s">
        <v>22531</v>
      </c>
    </row>
    <row r="439" customFormat="false" ht="15" hidden="false" customHeight="false" outlineLevel="0" collapsed="false">
      <c r="B439" s="19" t="s">
        <v>22724</v>
      </c>
      <c r="C439" s="20" t="n">
        <f aca="false">ROUND(9.88/FX,2)</f>
        <v>1.37</v>
      </c>
      <c r="D439" s="21" t="s">
        <v>19357</v>
      </c>
      <c r="E439" s="21" t="s">
        <v>22586</v>
      </c>
      <c r="F439" s="21" t="s">
        <v>22536</v>
      </c>
      <c r="G439" s="21" t="s">
        <v>22614</v>
      </c>
    </row>
    <row r="440" customFormat="false" ht="15" hidden="false" customHeight="false" outlineLevel="0" collapsed="false">
      <c r="B440" s="19" t="s">
        <v>22725</v>
      </c>
      <c r="C440" s="20" t="n">
        <f aca="false">ROUND(5.19/FX,2)</f>
        <v>0.72</v>
      </c>
      <c r="D440" s="21" t="s">
        <v>19357</v>
      </c>
      <c r="E440" s="21" t="s">
        <v>22586</v>
      </c>
      <c r="F440" s="21" t="s">
        <v>22536</v>
      </c>
      <c r="G440" s="21" t="s">
        <v>22240</v>
      </c>
    </row>
    <row r="441" customFormat="false" ht="15" hidden="false" customHeight="false" outlineLevel="0" collapsed="false">
      <c r="B441" s="19" t="s">
        <v>22726</v>
      </c>
      <c r="C441" s="20" t="n">
        <f aca="false">ROUND(5.43/FX,2)</f>
        <v>0.75</v>
      </c>
      <c r="D441" s="21" t="s">
        <v>19357</v>
      </c>
      <c r="E441" s="21" t="s">
        <v>22586</v>
      </c>
      <c r="F441" s="21" t="s">
        <v>22536</v>
      </c>
      <c r="G441" s="21" t="s">
        <v>22242</v>
      </c>
    </row>
    <row r="442" customFormat="false" ht="15" hidden="false" customHeight="false" outlineLevel="0" collapsed="false">
      <c r="B442" s="19" t="s">
        <v>22727</v>
      </c>
      <c r="C442" s="20" t="n">
        <f aca="false">ROUND(7.66/FX,2)</f>
        <v>1.06</v>
      </c>
      <c r="D442" s="21" t="s">
        <v>19357</v>
      </c>
      <c r="E442" s="21" t="s">
        <v>22586</v>
      </c>
      <c r="F442" s="21" t="s">
        <v>22536</v>
      </c>
      <c r="G442" s="21" t="s">
        <v>22558</v>
      </c>
    </row>
    <row r="443" customFormat="false" ht="15" hidden="false" customHeight="false" outlineLevel="0" collapsed="false">
      <c r="B443" s="19" t="s">
        <v>22728</v>
      </c>
      <c r="C443" s="20" t="n">
        <f aca="false">ROUND(9.14/FX,2)</f>
        <v>1.27</v>
      </c>
      <c r="D443" s="21" t="s">
        <v>19357</v>
      </c>
      <c r="E443" s="21" t="s">
        <v>22586</v>
      </c>
      <c r="F443" s="21" t="s">
        <v>22536</v>
      </c>
      <c r="G443" s="21" t="s">
        <v>22560</v>
      </c>
    </row>
    <row r="444" customFormat="false" ht="15" hidden="false" customHeight="false" outlineLevel="0" collapsed="false">
      <c r="B444" s="19" t="s">
        <v>22729</v>
      </c>
      <c r="C444" s="20" t="n">
        <f aca="false">ROUND(10.87/FX,2)</f>
        <v>1.51</v>
      </c>
      <c r="D444" s="21" t="s">
        <v>19357</v>
      </c>
      <c r="E444" s="21" t="s">
        <v>22586</v>
      </c>
      <c r="F444" s="21" t="s">
        <v>22536</v>
      </c>
      <c r="G444" s="21" t="s">
        <v>22562</v>
      </c>
    </row>
    <row r="445" customFormat="false" ht="15" hidden="false" customHeight="false" outlineLevel="0" collapsed="false">
      <c r="B445" s="19" t="s">
        <v>22730</v>
      </c>
      <c r="C445" s="20" t="n">
        <f aca="false">ROUND(2.35/FX,2)</f>
        <v>0.33</v>
      </c>
      <c r="D445" s="21" t="s">
        <v>19357</v>
      </c>
      <c r="E445" s="21" t="s">
        <v>22586</v>
      </c>
      <c r="F445" s="21" t="s">
        <v>22536</v>
      </c>
      <c r="G445" s="21" t="s">
        <v>22244</v>
      </c>
    </row>
    <row r="446" customFormat="false" ht="15" hidden="false" customHeight="false" outlineLevel="0" collapsed="false">
      <c r="B446" s="19" t="s">
        <v>22731</v>
      </c>
      <c r="C446" s="20" t="n">
        <f aca="false">ROUND(2.11/FX,2)</f>
        <v>0.29</v>
      </c>
      <c r="D446" s="21" t="s">
        <v>19357</v>
      </c>
      <c r="E446" s="21" t="s">
        <v>22586</v>
      </c>
      <c r="F446" s="21" t="s">
        <v>22536</v>
      </c>
      <c r="G446" s="21" t="s">
        <v>22490</v>
      </c>
    </row>
    <row r="447" customFormat="false" ht="15" hidden="false" customHeight="false" outlineLevel="0" collapsed="false">
      <c r="B447" s="19" t="s">
        <v>22732</v>
      </c>
      <c r="C447" s="20" t="n">
        <f aca="false">ROUND(2.11/FX,2)</f>
        <v>0.29</v>
      </c>
      <c r="D447" s="21" t="s">
        <v>19357</v>
      </c>
      <c r="E447" s="21" t="s">
        <v>22586</v>
      </c>
      <c r="F447" s="21" t="s">
        <v>22536</v>
      </c>
      <c r="G447" s="21" t="s">
        <v>22247</v>
      </c>
    </row>
    <row r="448" customFormat="false" ht="15" hidden="false" customHeight="false" outlineLevel="0" collapsed="false">
      <c r="B448" s="19" t="s">
        <v>22733</v>
      </c>
      <c r="C448" s="20" t="n">
        <f aca="false">ROUND(2.22/FX,2)</f>
        <v>0.31</v>
      </c>
      <c r="D448" s="21" t="s">
        <v>19357</v>
      </c>
      <c r="E448" s="21" t="s">
        <v>22586</v>
      </c>
      <c r="F448" s="21" t="s">
        <v>22536</v>
      </c>
      <c r="G448" s="21" t="s">
        <v>22250</v>
      </c>
    </row>
    <row r="451" customFormat="false" ht="61.5" hidden="false" customHeight="true" outlineLevel="0" collapsed="false">
      <c r="A451" s="9"/>
      <c r="B451" s="10" t="s">
        <v>22734</v>
      </c>
      <c r="C451" s="10"/>
      <c r="D451" s="10"/>
      <c r="E451" s="10"/>
    </row>
    <row r="452" customFormat="false" ht="15" hidden="false" customHeight="false" outlineLevel="0" collapsed="false">
      <c r="A452" s="12" t="s">
        <v>700</v>
      </c>
      <c r="B452" s="13" t="s">
        <v>701</v>
      </c>
      <c r="C452" s="13" t="s">
        <v>702</v>
      </c>
      <c r="D452" s="13" t="s">
        <v>6159</v>
      </c>
      <c r="E452" s="13" t="s">
        <v>22735</v>
      </c>
    </row>
    <row r="453" customFormat="false" ht="30" hidden="false" customHeight="true" outlineLevel="0" collapsed="false">
      <c r="A453" s="14" t="s">
        <v>706</v>
      </c>
      <c r="B453" s="15" t="str">
        <f aca="false">IF(COUNTIFS($D$456:$D$461,IF(D453="","*",D453),$E$456:$E$461,IF(E453="","*",E453))=1,INDEX($B:$B,SUMPRODUCT(((D453="")+($D$456:$D$461=D453)&gt;0)*((E453="")+($E$456:$E$461=E453)&gt;0)*ROW($B$456:$B$461))),IF(COUNTIFS($D$456:$D$461,IF(D453="","*",D453),$E$456:$E$461,IF(E453="","*",E453))=0,"Not available",COUNTIFS($D$456:$D$461,IF(D453="","*",D453),$E$456:$E$461,IF(E453="","*",E453))&amp;" match, keep choosing"))</f>
        <v>PUL-25</v>
      </c>
      <c r="C453" s="16" t="n">
        <f aca="false">IF(COUNTIFS($D$456:$D$461,IF(D453="","*",D453),$E$456:$E$461,IF(E453="","*",E453))=1,INDEX($C:$C,SUMPRODUCT(((D453="")+($D$456:$D$461=D453)&gt;0)*((E453="")+($E$456:$E$461=E453)&gt;0)*ROW($B$456:$B$461))),"")</f>
        <v>4.36</v>
      </c>
      <c r="D453" s="17" t="s">
        <v>22736</v>
      </c>
      <c r="E453" s="17" t="s">
        <v>6336</v>
      </c>
    </row>
    <row r="455" customFormat="false" ht="15" hidden="false" customHeight="false" outlineLevel="0" collapsed="false">
      <c r="B455" s="18" t="s">
        <v>701</v>
      </c>
      <c r="C455" s="18" t="s">
        <v>702</v>
      </c>
      <c r="D455" s="18" t="s">
        <v>6159</v>
      </c>
      <c r="E455" s="18" t="s">
        <v>22735</v>
      </c>
    </row>
    <row r="456" customFormat="false" ht="15" hidden="false" customHeight="false" outlineLevel="0" collapsed="false">
      <c r="B456" s="19" t="s">
        <v>22737</v>
      </c>
      <c r="C456" s="20" t="n">
        <f aca="false">ROUND(31.37/FX,2)</f>
        <v>4.36</v>
      </c>
      <c r="D456" s="21" t="s">
        <v>22736</v>
      </c>
      <c r="E456" s="21" t="s">
        <v>6336</v>
      </c>
    </row>
    <row r="457" customFormat="false" ht="28.35" hidden="false" customHeight="false" outlineLevel="0" collapsed="false">
      <c r="B457" s="19" t="s">
        <v>22738</v>
      </c>
      <c r="C457" s="20" t="n">
        <f aca="false">ROUND(32.5/FX,2)</f>
        <v>4.51</v>
      </c>
      <c r="D457" s="21" t="s">
        <v>22739</v>
      </c>
      <c r="E457" s="21" t="s">
        <v>6336</v>
      </c>
    </row>
    <row r="458" customFormat="false" ht="15" hidden="false" customHeight="false" outlineLevel="0" collapsed="false">
      <c r="B458" s="19" t="s">
        <v>22740</v>
      </c>
      <c r="C458" s="20" t="n">
        <f aca="false">ROUND(39/FX,2)</f>
        <v>5.42</v>
      </c>
      <c r="D458" s="21" t="s">
        <v>22741</v>
      </c>
      <c r="E458" s="21" t="s">
        <v>6336</v>
      </c>
    </row>
    <row r="459" customFormat="false" ht="28.35" hidden="false" customHeight="false" outlineLevel="0" collapsed="false">
      <c r="B459" s="19" t="s">
        <v>22742</v>
      </c>
      <c r="C459" s="20" t="n">
        <f aca="false">ROUND(46.8/FX,2)</f>
        <v>6.5</v>
      </c>
      <c r="D459" s="21" t="s">
        <v>22743</v>
      </c>
      <c r="E459" s="21" t="s">
        <v>6336</v>
      </c>
    </row>
    <row r="460" customFormat="false" ht="28.35" hidden="false" customHeight="false" outlineLevel="0" collapsed="false">
      <c r="B460" s="19" t="s">
        <v>22744</v>
      </c>
      <c r="C460" s="20" t="n">
        <f aca="false">ROUND(4.68/FX,2)</f>
        <v>0.65</v>
      </c>
      <c r="D460" s="21" t="s">
        <v>22745</v>
      </c>
      <c r="E460" s="21" t="s">
        <v>22746</v>
      </c>
    </row>
    <row r="461" customFormat="false" ht="28.35" hidden="false" customHeight="false" outlineLevel="0" collapsed="false">
      <c r="B461" s="19" t="s">
        <v>22747</v>
      </c>
      <c r="C461" s="20" t="n">
        <f aca="false">ROUND(5.46/FX,2)</f>
        <v>0.76</v>
      </c>
      <c r="D461" s="21" t="s">
        <v>22745</v>
      </c>
      <c r="E461" s="21" t="s">
        <v>22748</v>
      </c>
    </row>
    <row r="464" customFormat="false" ht="61.5" hidden="false" customHeight="true" outlineLevel="0" collapsed="false">
      <c r="A464" s="9"/>
      <c r="B464" s="10" t="s">
        <v>22749</v>
      </c>
      <c r="C464" s="10"/>
      <c r="D464" s="10"/>
      <c r="E464" s="10"/>
      <c r="F464" s="10"/>
    </row>
    <row r="465" customFormat="false" ht="15" hidden="false" customHeight="false" outlineLevel="0" collapsed="false">
      <c r="A465" s="12" t="s">
        <v>700</v>
      </c>
      <c r="B465" s="13" t="s">
        <v>701</v>
      </c>
      <c r="C465" s="13" t="s">
        <v>702</v>
      </c>
      <c r="D465" s="13" t="s">
        <v>722</v>
      </c>
      <c r="E465" s="13" t="s">
        <v>704</v>
      </c>
      <c r="F465" s="13" t="s">
        <v>723</v>
      </c>
    </row>
    <row r="466" customFormat="false" ht="30" hidden="false" customHeight="true" outlineLevel="0" collapsed="false">
      <c r="A466" s="14" t="s">
        <v>706</v>
      </c>
      <c r="B466" s="15" t="str">
        <f aca="false">IF(COUNTIFS($D$469:$D$512,IF(D466="","*",D466),$E$469:$E$512,IF(E466="","*",E466),$F$469:$F$512,IF(F466="","*",F466))=1,INDEX($B:$B,SUMPRODUCT(((D466="")+($D$469:$D$512=D466)&gt;0)*((E466="")+($E$469:$E$512=E466)&gt;0)*((F466="")+($F$469:$F$512=F466)&gt;0)*ROW($B$469:$B$512))),IF(COUNTIFS($D$469:$D$512,IF(D466="","*",D466),$E$469:$E$512,IF(E466="","*",E466),$F$469:$F$512,IF(F466="","*",F466))=0,"Not available",COUNTIFS($D$469:$D$512,IF(D466="","*",D466),$E$469:$E$512,IF(E466="","*",E466),$F$469:$F$512,IF(F466="","*",F466))&amp;" match, keep choosing"))</f>
        <v>AL-010-BK-AL-YH-2040-M8</v>
      </c>
      <c r="C466" s="16" t="n">
        <f aca="false">IF(COUNTIFS($D$469:$D$512,IF(D466="","*",D466),$E$469:$E$512,IF(E466="","*",E466),$F$469:$F$512,IF(F466="","*",F466))=1,INDEX($C:$C,SUMPRODUCT(((D466="")+($D$469:$D$512=D466)&gt;0)*((E466="")+($E$469:$E$512=E466)&gt;0)*((F466="")+($F$469:$F$512=F466)&gt;0)*ROW($B$469:$B$512))),"")</f>
        <v>0.54</v>
      </c>
      <c r="D466" s="17" t="s">
        <v>724</v>
      </c>
      <c r="E466" s="17" t="s">
        <v>6550</v>
      </c>
      <c r="F466" s="17" t="s">
        <v>22750</v>
      </c>
    </row>
    <row r="468" customFormat="false" ht="15" hidden="false" customHeight="false" outlineLevel="0" collapsed="false">
      <c r="B468" s="18" t="s">
        <v>701</v>
      </c>
      <c r="C468" s="18" t="s">
        <v>702</v>
      </c>
      <c r="D468" s="18" t="s">
        <v>722</v>
      </c>
      <c r="E468" s="18" t="s">
        <v>704</v>
      </c>
      <c r="F468" s="18" t="s">
        <v>723</v>
      </c>
    </row>
    <row r="469" customFormat="false" ht="15" hidden="false" customHeight="false" outlineLevel="0" collapsed="false">
      <c r="B469" s="19" t="s">
        <v>22751</v>
      </c>
      <c r="C469" s="20" t="n">
        <f aca="false">ROUND(3.9/FX,2)</f>
        <v>0.54</v>
      </c>
      <c r="D469" s="21" t="s">
        <v>724</v>
      </c>
      <c r="E469" s="21" t="s">
        <v>6550</v>
      </c>
      <c r="F469" s="21" t="s">
        <v>22750</v>
      </c>
    </row>
    <row r="470" customFormat="false" ht="28.35" hidden="false" customHeight="false" outlineLevel="0" collapsed="false">
      <c r="B470" s="19" t="s">
        <v>22752</v>
      </c>
      <c r="C470" s="20" t="n">
        <f aca="false">ROUND(45.5/FX,2)</f>
        <v>6.32</v>
      </c>
      <c r="D470" s="21" t="s">
        <v>6336</v>
      </c>
      <c r="E470" s="21" t="s">
        <v>10100</v>
      </c>
      <c r="F470" s="21" t="s">
        <v>22753</v>
      </c>
    </row>
    <row r="471" customFormat="false" ht="28.35" hidden="false" customHeight="false" outlineLevel="0" collapsed="false">
      <c r="B471" s="19" t="s">
        <v>22754</v>
      </c>
      <c r="C471" s="20" t="n">
        <f aca="false">ROUND(6.5/FX,2)</f>
        <v>0.9</v>
      </c>
      <c r="D471" s="21" t="s">
        <v>6336</v>
      </c>
      <c r="E471" s="21" t="s">
        <v>10100</v>
      </c>
      <c r="F471" s="21" t="s">
        <v>22755</v>
      </c>
    </row>
    <row r="472" customFormat="false" ht="28.35" hidden="false" customHeight="false" outlineLevel="0" collapsed="false">
      <c r="B472" s="19" t="s">
        <v>22756</v>
      </c>
      <c r="C472" s="20" t="n">
        <f aca="false">ROUND(7.15/FX,2)</f>
        <v>0.99</v>
      </c>
      <c r="D472" s="21" t="s">
        <v>6336</v>
      </c>
      <c r="E472" s="21" t="s">
        <v>10100</v>
      </c>
      <c r="F472" s="21" t="s">
        <v>22757</v>
      </c>
    </row>
    <row r="473" customFormat="false" ht="28.35" hidden="false" customHeight="false" outlineLevel="0" collapsed="false">
      <c r="B473" s="19" t="s">
        <v>22758</v>
      </c>
      <c r="C473" s="20" t="n">
        <f aca="false">ROUND(7.15/FX,2)</f>
        <v>0.99</v>
      </c>
      <c r="D473" s="21" t="s">
        <v>6336</v>
      </c>
      <c r="E473" s="21" t="s">
        <v>10100</v>
      </c>
      <c r="F473" s="21" t="s">
        <v>22759</v>
      </c>
    </row>
    <row r="474" customFormat="false" ht="28.35" hidden="false" customHeight="false" outlineLevel="0" collapsed="false">
      <c r="B474" s="19" t="s">
        <v>22760</v>
      </c>
      <c r="C474" s="20" t="n">
        <f aca="false">ROUND(16.25/FX,2)</f>
        <v>2.26</v>
      </c>
      <c r="D474" s="21" t="s">
        <v>6336</v>
      </c>
      <c r="E474" s="21" t="s">
        <v>10100</v>
      </c>
      <c r="F474" s="21" t="s">
        <v>22761</v>
      </c>
    </row>
    <row r="475" customFormat="false" ht="28.35" hidden="false" customHeight="false" outlineLevel="0" collapsed="false">
      <c r="B475" s="19" t="s">
        <v>22762</v>
      </c>
      <c r="C475" s="20" t="n">
        <f aca="false">ROUND(17.55/FX,2)</f>
        <v>2.44</v>
      </c>
      <c r="D475" s="21" t="s">
        <v>6336</v>
      </c>
      <c r="E475" s="21" t="s">
        <v>10100</v>
      </c>
      <c r="F475" s="21" t="s">
        <v>22763</v>
      </c>
    </row>
    <row r="476" customFormat="false" ht="28.35" hidden="false" customHeight="false" outlineLevel="0" collapsed="false">
      <c r="B476" s="19" t="s">
        <v>22764</v>
      </c>
      <c r="C476" s="20" t="n">
        <f aca="false">ROUND(12.74/FX,2)</f>
        <v>1.77</v>
      </c>
      <c r="D476" s="21" t="s">
        <v>6336</v>
      </c>
      <c r="E476" s="21" t="s">
        <v>10100</v>
      </c>
      <c r="F476" s="21" t="s">
        <v>22765</v>
      </c>
    </row>
    <row r="477" customFormat="false" ht="28.35" hidden="false" customHeight="false" outlineLevel="0" collapsed="false">
      <c r="B477" s="19" t="s">
        <v>22766</v>
      </c>
      <c r="C477" s="20" t="n">
        <f aca="false">ROUND(12.74/FX,2)</f>
        <v>1.77</v>
      </c>
      <c r="D477" s="21" t="s">
        <v>6336</v>
      </c>
      <c r="E477" s="21" t="s">
        <v>10100</v>
      </c>
      <c r="F477" s="21" t="s">
        <v>22767</v>
      </c>
    </row>
    <row r="478" customFormat="false" ht="28.35" hidden="false" customHeight="false" outlineLevel="0" collapsed="false">
      <c r="B478" s="19" t="s">
        <v>22768</v>
      </c>
      <c r="C478" s="20" t="n">
        <f aca="false">ROUND(17.55/FX,2)</f>
        <v>2.44</v>
      </c>
      <c r="D478" s="21" t="s">
        <v>6336</v>
      </c>
      <c r="E478" s="21" t="s">
        <v>10100</v>
      </c>
      <c r="F478" s="21" t="s">
        <v>22769</v>
      </c>
    </row>
    <row r="479" customFormat="false" ht="28.35" hidden="false" customHeight="false" outlineLevel="0" collapsed="false">
      <c r="B479" s="19" t="s">
        <v>22770</v>
      </c>
      <c r="C479" s="20" t="n">
        <f aca="false">ROUND(17.55/FX,2)</f>
        <v>2.44</v>
      </c>
      <c r="D479" s="21" t="s">
        <v>6336</v>
      </c>
      <c r="E479" s="21" t="s">
        <v>10100</v>
      </c>
      <c r="F479" s="21" t="s">
        <v>22771</v>
      </c>
    </row>
    <row r="480" customFormat="false" ht="28.35" hidden="false" customHeight="false" outlineLevel="0" collapsed="false">
      <c r="B480" s="19" t="s">
        <v>22772</v>
      </c>
      <c r="C480" s="20" t="n">
        <f aca="false">ROUND(41.6/FX,2)</f>
        <v>5.78</v>
      </c>
      <c r="D480" s="21" t="s">
        <v>6336</v>
      </c>
      <c r="E480" s="21" t="s">
        <v>10100</v>
      </c>
      <c r="F480" s="21" t="s">
        <v>22773</v>
      </c>
    </row>
    <row r="481" customFormat="false" ht="28.35" hidden="false" customHeight="false" outlineLevel="0" collapsed="false">
      <c r="B481" s="19" t="s">
        <v>22774</v>
      </c>
      <c r="C481" s="20" t="n">
        <f aca="false">ROUND(4.55/FX,2)</f>
        <v>0.63</v>
      </c>
      <c r="D481" s="21" t="s">
        <v>6336</v>
      </c>
      <c r="E481" s="21" t="s">
        <v>10100</v>
      </c>
      <c r="F481" s="21" t="s">
        <v>22775</v>
      </c>
    </row>
    <row r="482" customFormat="false" ht="28.35" hidden="false" customHeight="false" outlineLevel="0" collapsed="false">
      <c r="B482" s="19" t="s">
        <v>22776</v>
      </c>
      <c r="C482" s="20" t="n">
        <f aca="false">ROUND(5.85/FX,2)</f>
        <v>0.81</v>
      </c>
      <c r="D482" s="21" t="s">
        <v>6336</v>
      </c>
      <c r="E482" s="21" t="s">
        <v>10100</v>
      </c>
      <c r="F482" s="21" t="s">
        <v>22777</v>
      </c>
    </row>
    <row r="483" customFormat="false" ht="28.35" hidden="false" customHeight="false" outlineLevel="0" collapsed="false">
      <c r="B483" s="19" t="s">
        <v>22778</v>
      </c>
      <c r="C483" s="20" t="n">
        <f aca="false">ROUND(5.85/FX,2)</f>
        <v>0.81</v>
      </c>
      <c r="D483" s="21" t="s">
        <v>6336</v>
      </c>
      <c r="E483" s="21" t="s">
        <v>10100</v>
      </c>
      <c r="F483" s="21" t="s">
        <v>22779</v>
      </c>
    </row>
    <row r="484" customFormat="false" ht="28.35" hidden="false" customHeight="false" outlineLevel="0" collapsed="false">
      <c r="B484" s="19" t="s">
        <v>22780</v>
      </c>
      <c r="C484" s="20" t="n">
        <f aca="false">ROUND(3.1/FX,2)</f>
        <v>0.43</v>
      </c>
      <c r="D484" s="21" t="s">
        <v>6336</v>
      </c>
      <c r="E484" s="21" t="s">
        <v>6336</v>
      </c>
      <c r="F484" s="21" t="s">
        <v>22781</v>
      </c>
    </row>
    <row r="485" customFormat="false" ht="28.35" hidden="false" customHeight="false" outlineLevel="0" collapsed="false">
      <c r="B485" s="19" t="s">
        <v>22782</v>
      </c>
      <c r="C485" s="20" t="n">
        <f aca="false">ROUND(3.1/FX,2)</f>
        <v>0.43</v>
      </c>
      <c r="D485" s="21" t="s">
        <v>6336</v>
      </c>
      <c r="E485" s="21" t="s">
        <v>6336</v>
      </c>
      <c r="F485" s="21" t="s">
        <v>22783</v>
      </c>
    </row>
    <row r="486" customFormat="false" ht="28.35" hidden="false" customHeight="false" outlineLevel="0" collapsed="false">
      <c r="B486" s="19" t="s">
        <v>22784</v>
      </c>
      <c r="C486" s="20" t="n">
        <f aca="false">ROUND(3.1/FX,2)</f>
        <v>0.43</v>
      </c>
      <c r="D486" s="21" t="s">
        <v>6336</v>
      </c>
      <c r="E486" s="21" t="s">
        <v>6336</v>
      </c>
      <c r="F486" s="21" t="s">
        <v>22785</v>
      </c>
    </row>
    <row r="487" customFormat="false" ht="28.35" hidden="false" customHeight="false" outlineLevel="0" collapsed="false">
      <c r="B487" s="19" t="s">
        <v>22786</v>
      </c>
      <c r="C487" s="20" t="n">
        <f aca="false">ROUND(2.34/FX,2)</f>
        <v>0.33</v>
      </c>
      <c r="D487" s="21" t="s">
        <v>6336</v>
      </c>
      <c r="E487" s="21" t="s">
        <v>6336</v>
      </c>
      <c r="F487" s="21" t="s">
        <v>22787</v>
      </c>
    </row>
    <row r="488" customFormat="false" ht="28.35" hidden="false" customHeight="false" outlineLevel="0" collapsed="false">
      <c r="B488" s="19" t="s">
        <v>22788</v>
      </c>
      <c r="C488" s="20" t="n">
        <f aca="false">ROUND(2.86/FX,2)</f>
        <v>0.4</v>
      </c>
      <c r="D488" s="21" t="s">
        <v>6336</v>
      </c>
      <c r="E488" s="21" t="s">
        <v>6336</v>
      </c>
      <c r="F488" s="21" t="s">
        <v>22789</v>
      </c>
    </row>
    <row r="489" customFormat="false" ht="28.35" hidden="false" customHeight="false" outlineLevel="0" collapsed="false">
      <c r="B489" s="19" t="s">
        <v>22790</v>
      </c>
      <c r="C489" s="20" t="n">
        <f aca="false">ROUND(4.22/FX,2)</f>
        <v>0.59</v>
      </c>
      <c r="D489" s="21" t="s">
        <v>6336</v>
      </c>
      <c r="E489" s="21" t="s">
        <v>6336</v>
      </c>
      <c r="F489" s="21" t="s">
        <v>22791</v>
      </c>
    </row>
    <row r="490" customFormat="false" ht="28.35" hidden="false" customHeight="false" outlineLevel="0" collapsed="false">
      <c r="B490" s="19" t="s">
        <v>22792</v>
      </c>
      <c r="C490" s="20" t="n">
        <f aca="false">ROUND(4.22/FX,2)</f>
        <v>0.59</v>
      </c>
      <c r="D490" s="21" t="s">
        <v>6336</v>
      </c>
      <c r="E490" s="21" t="s">
        <v>6336</v>
      </c>
      <c r="F490" s="21" t="s">
        <v>22793</v>
      </c>
    </row>
    <row r="491" customFormat="false" ht="28.35" hidden="false" customHeight="false" outlineLevel="0" collapsed="false">
      <c r="B491" s="19" t="s">
        <v>22794</v>
      </c>
      <c r="C491" s="20" t="n">
        <f aca="false">ROUND(3.25/FX,2)</f>
        <v>0.45</v>
      </c>
      <c r="D491" s="21" t="s">
        <v>6336</v>
      </c>
      <c r="E491" s="21" t="s">
        <v>6336</v>
      </c>
      <c r="F491" s="21" t="s">
        <v>22795</v>
      </c>
    </row>
    <row r="492" customFormat="false" ht="28.35" hidden="false" customHeight="false" outlineLevel="0" collapsed="false">
      <c r="B492" s="19" t="s">
        <v>22796</v>
      </c>
      <c r="C492" s="20" t="n">
        <f aca="false">ROUND(6.24/FX,2)</f>
        <v>0.87</v>
      </c>
      <c r="D492" s="21" t="s">
        <v>6336</v>
      </c>
      <c r="E492" s="21" t="s">
        <v>6336</v>
      </c>
      <c r="F492" s="21" t="s">
        <v>22797</v>
      </c>
    </row>
    <row r="493" customFormat="false" ht="28.35" hidden="false" customHeight="false" outlineLevel="0" collapsed="false">
      <c r="B493" s="19" t="s">
        <v>22798</v>
      </c>
      <c r="C493" s="20" t="n">
        <f aca="false">ROUND(6.24/FX,2)</f>
        <v>0.87</v>
      </c>
      <c r="D493" s="21" t="s">
        <v>6336</v>
      </c>
      <c r="E493" s="21" t="s">
        <v>6336</v>
      </c>
      <c r="F493" s="21" t="s">
        <v>22799</v>
      </c>
    </row>
    <row r="494" customFormat="false" ht="28.35" hidden="false" customHeight="false" outlineLevel="0" collapsed="false">
      <c r="B494" s="19" t="s">
        <v>22800</v>
      </c>
      <c r="C494" s="20" t="n">
        <f aca="false">ROUND(4.55/FX,2)</f>
        <v>0.63</v>
      </c>
      <c r="D494" s="21" t="s">
        <v>6336</v>
      </c>
      <c r="E494" s="21" t="s">
        <v>6336</v>
      </c>
      <c r="F494" s="21" t="s">
        <v>22801</v>
      </c>
    </row>
    <row r="495" customFormat="false" ht="28.35" hidden="false" customHeight="false" outlineLevel="0" collapsed="false">
      <c r="B495" s="19" t="s">
        <v>22802</v>
      </c>
      <c r="C495" s="20" t="n">
        <f aca="false">ROUND(3.19/FX,2)</f>
        <v>0.44</v>
      </c>
      <c r="D495" s="21" t="s">
        <v>6336</v>
      </c>
      <c r="E495" s="21" t="s">
        <v>6336</v>
      </c>
      <c r="F495" s="21" t="s">
        <v>22803</v>
      </c>
    </row>
    <row r="496" customFormat="false" ht="28.35" hidden="false" customHeight="false" outlineLevel="0" collapsed="false">
      <c r="B496" s="19" t="s">
        <v>22804</v>
      </c>
      <c r="C496" s="20" t="n">
        <f aca="false">ROUND(3.19/FX,2)</f>
        <v>0.44</v>
      </c>
      <c r="D496" s="21" t="s">
        <v>6336</v>
      </c>
      <c r="E496" s="21" t="s">
        <v>6336</v>
      </c>
      <c r="F496" s="21" t="s">
        <v>22805</v>
      </c>
    </row>
    <row r="497" customFormat="false" ht="28.35" hidden="false" customHeight="false" outlineLevel="0" collapsed="false">
      <c r="B497" s="19" t="s">
        <v>22806</v>
      </c>
      <c r="C497" s="20" t="n">
        <f aca="false">ROUND(6.24/FX,2)</f>
        <v>0.87</v>
      </c>
      <c r="D497" s="21" t="s">
        <v>6336</v>
      </c>
      <c r="E497" s="21" t="s">
        <v>6336</v>
      </c>
      <c r="F497" s="21" t="s">
        <v>22807</v>
      </c>
    </row>
    <row r="498" customFormat="false" ht="28.35" hidden="false" customHeight="false" outlineLevel="0" collapsed="false">
      <c r="B498" s="19" t="s">
        <v>22808</v>
      </c>
      <c r="C498" s="20" t="n">
        <f aca="false">ROUND(6.24/FX,2)</f>
        <v>0.87</v>
      </c>
      <c r="D498" s="21" t="s">
        <v>6336</v>
      </c>
      <c r="E498" s="21" t="s">
        <v>6336</v>
      </c>
      <c r="F498" s="21" t="s">
        <v>22809</v>
      </c>
    </row>
    <row r="499" customFormat="false" ht="28.35" hidden="false" customHeight="false" outlineLevel="0" collapsed="false">
      <c r="B499" s="19" t="s">
        <v>22810</v>
      </c>
      <c r="C499" s="20" t="n">
        <f aca="false">ROUND(6.24/FX,2)</f>
        <v>0.87</v>
      </c>
      <c r="D499" s="21" t="s">
        <v>6336</v>
      </c>
      <c r="E499" s="21" t="s">
        <v>6336</v>
      </c>
      <c r="F499" s="21" t="s">
        <v>22811</v>
      </c>
    </row>
    <row r="500" customFormat="false" ht="28.35" hidden="false" customHeight="false" outlineLevel="0" collapsed="false">
      <c r="B500" s="19" t="s">
        <v>22812</v>
      </c>
      <c r="C500" s="20" t="n">
        <f aca="false">ROUND(6.24/FX,2)</f>
        <v>0.87</v>
      </c>
      <c r="D500" s="21" t="s">
        <v>6336</v>
      </c>
      <c r="E500" s="21" t="s">
        <v>6336</v>
      </c>
      <c r="F500" s="21" t="s">
        <v>22813</v>
      </c>
    </row>
    <row r="501" customFormat="false" ht="28.35" hidden="false" customHeight="false" outlineLevel="0" collapsed="false">
      <c r="B501" s="19" t="s">
        <v>22814</v>
      </c>
      <c r="C501" s="20" t="n">
        <f aca="false">ROUND(9.75/FX,2)</f>
        <v>1.35</v>
      </c>
      <c r="D501" s="21" t="s">
        <v>6336</v>
      </c>
      <c r="E501" s="21" t="s">
        <v>6336</v>
      </c>
      <c r="F501" s="21" t="s">
        <v>22815</v>
      </c>
    </row>
    <row r="502" customFormat="false" ht="28.35" hidden="false" customHeight="false" outlineLevel="0" collapsed="false">
      <c r="B502" s="19" t="s">
        <v>22816</v>
      </c>
      <c r="C502" s="20" t="n">
        <f aca="false">ROUND(2.6/FX,2)</f>
        <v>0.36</v>
      </c>
      <c r="D502" s="21" t="s">
        <v>6336</v>
      </c>
      <c r="E502" s="21" t="s">
        <v>6336</v>
      </c>
      <c r="F502" s="21" t="s">
        <v>22817</v>
      </c>
    </row>
    <row r="503" customFormat="false" ht="28.35" hidden="false" customHeight="false" outlineLevel="0" collapsed="false">
      <c r="B503" s="19" t="s">
        <v>22818</v>
      </c>
      <c r="C503" s="20" t="n">
        <f aca="false">ROUND(3.51/FX,2)</f>
        <v>0.49</v>
      </c>
      <c r="D503" s="21" t="s">
        <v>6336</v>
      </c>
      <c r="E503" s="21" t="s">
        <v>6336</v>
      </c>
      <c r="F503" s="21" t="s">
        <v>22819</v>
      </c>
    </row>
    <row r="504" customFormat="false" ht="28.35" hidden="false" customHeight="false" outlineLevel="0" collapsed="false">
      <c r="B504" s="19" t="s">
        <v>22820</v>
      </c>
      <c r="C504" s="20" t="n">
        <f aca="false">ROUND(3.51/FX,2)</f>
        <v>0.49</v>
      </c>
      <c r="D504" s="21" t="s">
        <v>6336</v>
      </c>
      <c r="E504" s="21" t="s">
        <v>6336</v>
      </c>
      <c r="F504" s="21" t="s">
        <v>22821</v>
      </c>
    </row>
    <row r="505" customFormat="false" ht="28.35" hidden="false" customHeight="false" outlineLevel="0" collapsed="false">
      <c r="B505" s="19" t="s">
        <v>22822</v>
      </c>
      <c r="C505" s="20" t="n">
        <f aca="false">ROUND(3.51/FX,2)</f>
        <v>0.49</v>
      </c>
      <c r="D505" s="21" t="s">
        <v>6336</v>
      </c>
      <c r="E505" s="21" t="s">
        <v>6336</v>
      </c>
      <c r="F505" s="21" t="s">
        <v>22823</v>
      </c>
    </row>
    <row r="506" customFormat="false" ht="28.35" hidden="false" customHeight="false" outlineLevel="0" collapsed="false">
      <c r="B506" s="19" t="s">
        <v>22824</v>
      </c>
      <c r="C506" s="20" t="n">
        <f aca="false">ROUND(4.55/FX,2)</f>
        <v>0.63</v>
      </c>
      <c r="D506" s="21" t="s">
        <v>6336</v>
      </c>
      <c r="E506" s="21" t="s">
        <v>6336</v>
      </c>
      <c r="F506" s="21" t="s">
        <v>22825</v>
      </c>
    </row>
    <row r="507" customFormat="false" ht="28.35" hidden="false" customHeight="false" outlineLevel="0" collapsed="false">
      <c r="B507" s="19" t="s">
        <v>22826</v>
      </c>
      <c r="C507" s="20" t="n">
        <f aca="false">ROUND(5.2/FX,2)</f>
        <v>0.72</v>
      </c>
      <c r="D507" s="21" t="s">
        <v>6336</v>
      </c>
      <c r="E507" s="21" t="s">
        <v>6336</v>
      </c>
      <c r="F507" s="21" t="s">
        <v>22827</v>
      </c>
    </row>
    <row r="508" customFormat="false" ht="28.35" hidden="false" customHeight="false" outlineLevel="0" collapsed="false">
      <c r="B508" s="19" t="s">
        <v>22828</v>
      </c>
      <c r="C508" s="20" t="n">
        <f aca="false">ROUND(5.2/FX,2)</f>
        <v>0.72</v>
      </c>
      <c r="D508" s="21" t="s">
        <v>6336</v>
      </c>
      <c r="E508" s="21" t="s">
        <v>6336</v>
      </c>
      <c r="F508" s="21" t="s">
        <v>22829</v>
      </c>
    </row>
    <row r="509" customFormat="false" ht="28.35" hidden="false" customHeight="false" outlineLevel="0" collapsed="false">
      <c r="B509" s="19" t="s">
        <v>22830</v>
      </c>
      <c r="C509" s="20" t="n">
        <f aca="false">ROUND(7.8/FX,2)</f>
        <v>1.08</v>
      </c>
      <c r="D509" s="21" t="s">
        <v>6336</v>
      </c>
      <c r="E509" s="21" t="s">
        <v>6336</v>
      </c>
      <c r="F509" s="21" t="s">
        <v>22831</v>
      </c>
    </row>
    <row r="510" customFormat="false" ht="28.35" hidden="false" customHeight="false" outlineLevel="0" collapsed="false">
      <c r="B510" s="19" t="s">
        <v>22832</v>
      </c>
      <c r="C510" s="20" t="n">
        <f aca="false">ROUND(7.8/FX,2)</f>
        <v>1.08</v>
      </c>
      <c r="D510" s="21" t="s">
        <v>6336</v>
      </c>
      <c r="E510" s="21" t="s">
        <v>6336</v>
      </c>
      <c r="F510" s="21" t="s">
        <v>22833</v>
      </c>
    </row>
    <row r="511" customFormat="false" ht="28.35" hidden="false" customHeight="false" outlineLevel="0" collapsed="false">
      <c r="B511" s="19" t="s">
        <v>22834</v>
      </c>
      <c r="C511" s="20" t="n">
        <f aca="false">ROUND(7.15/FX,2)</f>
        <v>0.99</v>
      </c>
      <c r="D511" s="21" t="s">
        <v>6336</v>
      </c>
      <c r="E511" s="21" t="s">
        <v>6336</v>
      </c>
      <c r="F511" s="21" t="s">
        <v>22835</v>
      </c>
    </row>
    <row r="512" customFormat="false" ht="28.35" hidden="false" customHeight="false" outlineLevel="0" collapsed="false">
      <c r="B512" s="19" t="s">
        <v>22836</v>
      </c>
      <c r="C512" s="20" t="n">
        <f aca="false">ROUND(7.15/FX,2)</f>
        <v>0.99</v>
      </c>
      <c r="D512" s="21" t="s">
        <v>6336</v>
      </c>
      <c r="E512" s="21" t="s">
        <v>6336</v>
      </c>
      <c r="F512" s="21" t="s">
        <v>22837</v>
      </c>
    </row>
    <row r="515" customFormat="false" ht="61.5" hidden="false" customHeight="true" outlineLevel="0" collapsed="false">
      <c r="A515" s="9"/>
      <c r="B515" s="10" t="s">
        <v>22838</v>
      </c>
      <c r="C515" s="10"/>
      <c r="D515" s="10"/>
      <c r="E515" s="10"/>
      <c r="F515" s="10"/>
    </row>
    <row r="516" customFormat="false" ht="15" hidden="false" customHeight="false" outlineLevel="0" collapsed="false">
      <c r="A516" s="12" t="s">
        <v>700</v>
      </c>
      <c r="B516" s="13" t="s">
        <v>701</v>
      </c>
      <c r="C516" s="13" t="s">
        <v>702</v>
      </c>
      <c r="D516" s="13" t="s">
        <v>5610</v>
      </c>
      <c r="E516" s="13" t="s">
        <v>6328</v>
      </c>
      <c r="F516" s="13" t="s">
        <v>13701</v>
      </c>
    </row>
    <row r="517" customFormat="false" ht="30" hidden="false" customHeight="true" outlineLevel="0" collapsed="false">
      <c r="A517" s="14" t="s">
        <v>706</v>
      </c>
      <c r="B517" s="15" t="str">
        <f aca="false">IF(COUNTIFS($D$520:$D$530,IF(D517="","*",D517),$E$520:$E$530,IF(E517="","*",E517),$F$520:$F$530,IF(F517="","*",F517))=1,INDEX($B:$B,SUMPRODUCT(((D517="")+($D$520:$D$530=D517)&gt;0)*((E517="")+($E$520:$E$530=E517)&gt;0)*((F517="")+($F$520:$F$530=F517)&gt;0)*ROW($B$520:$B$530))),IF(COUNTIFS($D$520:$D$530,IF(D517="","*",D517),$E$520:$E$530,IF(E517="","*",E517),$F$520:$F$530,IF(F517="","*",F517))=0,"Not available",COUNTIFS($D$520:$D$530,IF(D517="","*",D517),$E$520:$E$530,IF(E517="","*",E517),$F$520:$F$530,IF(F517="","*",F517))&amp;" match, keep choosing"))</f>
        <v>AL-030-LY-3030-M10</v>
      </c>
      <c r="C517" s="16" t="n">
        <f aca="false">IF(COUNTIFS($D$520:$D$530,IF(D517="","*",D517),$E$520:$E$530,IF(E517="","*",E517),$F$520:$F$530,IF(F517="","*",F517))=1,INDEX($C:$C,SUMPRODUCT(((D517="")+($D$520:$D$530=D517)&gt;0)*((E517="")+($E$520:$E$530=E517)&gt;0)*((F517="")+($F$520:$F$530=F517)&gt;0)*ROW($B$520:$B$530))),"")</f>
        <v>0.42</v>
      </c>
      <c r="D517" s="17" t="s">
        <v>22839</v>
      </c>
      <c r="E517" s="17" t="s">
        <v>22840</v>
      </c>
      <c r="F517" s="17" t="s">
        <v>22841</v>
      </c>
    </row>
    <row r="519" customFormat="false" ht="15" hidden="false" customHeight="false" outlineLevel="0" collapsed="false">
      <c r="B519" s="18" t="s">
        <v>701</v>
      </c>
      <c r="C519" s="18" t="s">
        <v>702</v>
      </c>
      <c r="D519" s="18" t="s">
        <v>5610</v>
      </c>
      <c r="E519" s="18" t="s">
        <v>6328</v>
      </c>
      <c r="F519" s="18" t="s">
        <v>13701</v>
      </c>
    </row>
    <row r="520" customFormat="false" ht="15" hidden="false" customHeight="false" outlineLevel="0" collapsed="false">
      <c r="B520" s="19" t="s">
        <v>22842</v>
      </c>
      <c r="C520" s="20" t="n">
        <f aca="false">ROUND(2.99/FX,2)</f>
        <v>0.42</v>
      </c>
      <c r="D520" s="21" t="s">
        <v>22839</v>
      </c>
      <c r="E520" s="21" t="s">
        <v>22840</v>
      </c>
      <c r="F520" s="21" t="s">
        <v>22841</v>
      </c>
    </row>
    <row r="521" customFormat="false" ht="15" hidden="false" customHeight="false" outlineLevel="0" collapsed="false">
      <c r="B521" s="19" t="s">
        <v>22843</v>
      </c>
      <c r="C521" s="20" t="n">
        <f aca="false">ROUND(2.99/FX,2)</f>
        <v>0.42</v>
      </c>
      <c r="D521" s="21" t="s">
        <v>22839</v>
      </c>
      <c r="E521" s="21" t="s">
        <v>22840</v>
      </c>
      <c r="F521" s="21" t="s">
        <v>22844</v>
      </c>
    </row>
    <row r="522" customFormat="false" ht="15" hidden="false" customHeight="false" outlineLevel="0" collapsed="false">
      <c r="B522" s="19" t="s">
        <v>22845</v>
      </c>
      <c r="C522" s="20" t="n">
        <f aca="false">ROUND(2.99/FX,2)</f>
        <v>0.42</v>
      </c>
      <c r="D522" s="21" t="s">
        <v>22839</v>
      </c>
      <c r="E522" s="21" t="s">
        <v>22840</v>
      </c>
      <c r="F522" s="21" t="s">
        <v>11415</v>
      </c>
    </row>
    <row r="523" customFormat="false" ht="15" hidden="false" customHeight="false" outlineLevel="0" collapsed="false">
      <c r="B523" s="19" t="s">
        <v>22846</v>
      </c>
      <c r="C523" s="20" t="n">
        <f aca="false">ROUND(3.38/FX,2)</f>
        <v>0.47</v>
      </c>
      <c r="D523" s="21" t="s">
        <v>16919</v>
      </c>
      <c r="E523" s="21" t="s">
        <v>22840</v>
      </c>
      <c r="F523" s="21" t="s">
        <v>22841</v>
      </c>
    </row>
    <row r="524" customFormat="false" ht="15" hidden="false" customHeight="false" outlineLevel="0" collapsed="false">
      <c r="B524" s="19" t="s">
        <v>22847</v>
      </c>
      <c r="C524" s="20" t="n">
        <f aca="false">ROUND(3.38/FX,2)</f>
        <v>0.47</v>
      </c>
      <c r="D524" s="21" t="s">
        <v>16919</v>
      </c>
      <c r="E524" s="21" t="s">
        <v>22840</v>
      </c>
      <c r="F524" s="21" t="s">
        <v>22844</v>
      </c>
    </row>
    <row r="525" customFormat="false" ht="15" hidden="false" customHeight="false" outlineLevel="0" collapsed="false">
      <c r="B525" s="19" t="s">
        <v>22848</v>
      </c>
      <c r="C525" s="20" t="n">
        <f aca="false">ROUND(3.38/FX,2)</f>
        <v>0.47</v>
      </c>
      <c r="D525" s="21" t="s">
        <v>16919</v>
      </c>
      <c r="E525" s="21" t="s">
        <v>22840</v>
      </c>
      <c r="F525" s="21" t="s">
        <v>11415</v>
      </c>
    </row>
    <row r="526" customFormat="false" ht="15" hidden="false" customHeight="false" outlineLevel="0" collapsed="false">
      <c r="B526" s="19" t="s">
        <v>22849</v>
      </c>
      <c r="C526" s="20" t="n">
        <f aca="false">ROUND(4.16/FX,2)</f>
        <v>0.58</v>
      </c>
      <c r="D526" s="21" t="s">
        <v>22850</v>
      </c>
      <c r="E526" s="21" t="s">
        <v>22840</v>
      </c>
      <c r="F526" s="21" t="s">
        <v>22841</v>
      </c>
    </row>
    <row r="527" customFormat="false" ht="15" hidden="false" customHeight="false" outlineLevel="0" collapsed="false">
      <c r="B527" s="19" t="s">
        <v>22851</v>
      </c>
      <c r="C527" s="20" t="n">
        <f aca="false">ROUND(4.16/FX,2)</f>
        <v>0.58</v>
      </c>
      <c r="D527" s="21" t="s">
        <v>22850</v>
      </c>
      <c r="E527" s="21" t="s">
        <v>22840</v>
      </c>
      <c r="F527" s="21" t="s">
        <v>22844</v>
      </c>
    </row>
    <row r="528" customFormat="false" ht="15" hidden="false" customHeight="false" outlineLevel="0" collapsed="false">
      <c r="B528" s="19" t="s">
        <v>22852</v>
      </c>
      <c r="C528" s="20" t="n">
        <f aca="false">ROUND(3.38/FX,2)</f>
        <v>0.47</v>
      </c>
      <c r="D528" s="21" t="s">
        <v>16919</v>
      </c>
      <c r="E528" s="21" t="s">
        <v>22853</v>
      </c>
      <c r="F528" s="21" t="s">
        <v>22841</v>
      </c>
    </row>
    <row r="529" customFormat="false" ht="15" hidden="false" customHeight="false" outlineLevel="0" collapsed="false">
      <c r="B529" s="19" t="s">
        <v>22854</v>
      </c>
      <c r="C529" s="20" t="n">
        <f aca="false">ROUND(3.38/FX,2)</f>
        <v>0.47</v>
      </c>
      <c r="D529" s="21" t="s">
        <v>16919</v>
      </c>
      <c r="E529" s="21" t="s">
        <v>22853</v>
      </c>
      <c r="F529" s="21" t="s">
        <v>22844</v>
      </c>
    </row>
    <row r="530" customFormat="false" ht="15" hidden="false" customHeight="false" outlineLevel="0" collapsed="false">
      <c r="B530" s="19" t="s">
        <v>22855</v>
      </c>
      <c r="C530" s="20" t="n">
        <f aca="false">ROUND(3.38/FX,2)</f>
        <v>0.47</v>
      </c>
      <c r="D530" s="21" t="s">
        <v>16919</v>
      </c>
      <c r="E530" s="21" t="s">
        <v>22853</v>
      </c>
      <c r="F530" s="21" t="s">
        <v>11415</v>
      </c>
    </row>
    <row r="533" customFormat="false" ht="61.5" hidden="false" customHeight="true" outlineLevel="0" collapsed="false">
      <c r="A533" s="9"/>
      <c r="B533" s="10" t="s">
        <v>22856</v>
      </c>
      <c r="C533" s="10"/>
      <c r="D533" s="10"/>
    </row>
    <row r="534" customFormat="false" ht="15" hidden="false" customHeight="false" outlineLevel="0" collapsed="false">
      <c r="A534" s="12" t="s">
        <v>700</v>
      </c>
      <c r="B534" s="13" t="s">
        <v>701</v>
      </c>
      <c r="C534" s="13" t="s">
        <v>702</v>
      </c>
      <c r="D534" s="13" t="s">
        <v>13701</v>
      </c>
    </row>
    <row r="535" customFormat="false" ht="30" hidden="false" customHeight="true" outlineLevel="0" collapsed="false">
      <c r="A535" s="14" t="s">
        <v>706</v>
      </c>
      <c r="B535" s="15" t="str">
        <f aca="false">IF(COUNTIFS($D$538:$D$540,IF(D535="","*",D535))=1,INDEX($B:$B,SUMPRODUCT(((D535="")+($D$538:$D$540=D535)&gt;0)*ROW($B$538:$B$540))),IF(COUNTIFS($D$538:$D$540,IF(D535="","*",D535))=0,"Not available",COUNTIFS($D$538:$D$540,IF(D535="","*",D535))&amp;" match, keep choosing"))</f>
        <v>AL-043-M10</v>
      </c>
      <c r="C535" s="16" t="n">
        <f aca="false">IF(COUNTIFS($D$538:$D$540,IF(D535="","*",D535))=1,INDEX($C:$C,SUMPRODUCT(((D535="")+($D$538:$D$540=D535)&gt;0)*ROW($B$538:$B$540))),"")</f>
        <v>2.35</v>
      </c>
      <c r="D535" s="17" t="s">
        <v>22841</v>
      </c>
    </row>
    <row r="537" customFormat="false" ht="15" hidden="false" customHeight="false" outlineLevel="0" collapsed="false">
      <c r="B537" s="18" t="s">
        <v>701</v>
      </c>
      <c r="C537" s="18" t="s">
        <v>702</v>
      </c>
      <c r="D537" s="18" t="s">
        <v>13701</v>
      </c>
    </row>
    <row r="538" customFormat="false" ht="15" hidden="false" customHeight="false" outlineLevel="0" collapsed="false">
      <c r="B538" s="19" t="s">
        <v>22857</v>
      </c>
      <c r="C538" s="20" t="n">
        <f aca="false">ROUND(16.9/FX,2)</f>
        <v>2.35</v>
      </c>
      <c r="D538" s="21" t="s">
        <v>22841</v>
      </c>
    </row>
    <row r="539" customFormat="false" ht="15" hidden="false" customHeight="false" outlineLevel="0" collapsed="false">
      <c r="B539" s="19" t="s">
        <v>22858</v>
      </c>
      <c r="C539" s="20" t="n">
        <f aca="false">ROUND(16.9/FX,2)</f>
        <v>2.35</v>
      </c>
      <c r="D539" s="21" t="s">
        <v>22844</v>
      </c>
    </row>
    <row r="540" customFormat="false" ht="15" hidden="false" customHeight="false" outlineLevel="0" collapsed="false">
      <c r="B540" s="19" t="s">
        <v>22859</v>
      </c>
      <c r="C540" s="20" t="n">
        <f aca="false">ROUND(16.9/FX,2)</f>
        <v>2.35</v>
      </c>
      <c r="D540" s="21" t="s">
        <v>11415</v>
      </c>
    </row>
    <row r="543" customFormat="false" ht="61.5" hidden="false" customHeight="true" outlineLevel="0" collapsed="false">
      <c r="A543" s="9"/>
      <c r="B543" s="10" t="s">
        <v>22860</v>
      </c>
      <c r="C543" s="10"/>
      <c r="D543" s="10"/>
      <c r="E543" s="10"/>
      <c r="F543" s="10"/>
      <c r="G543" s="10"/>
    </row>
    <row r="544" customFormat="false" ht="15" hidden="false" customHeight="false" outlineLevel="0" collapsed="false">
      <c r="A544" s="12" t="s">
        <v>700</v>
      </c>
      <c r="B544" s="13" t="s">
        <v>701</v>
      </c>
      <c r="C544" s="13" t="s">
        <v>702</v>
      </c>
      <c r="D544" s="13" t="s">
        <v>722</v>
      </c>
      <c r="E544" s="13" t="s">
        <v>705</v>
      </c>
      <c r="F544" s="13" t="s">
        <v>723</v>
      </c>
      <c r="G544" s="13" t="s">
        <v>6523</v>
      </c>
    </row>
    <row r="545" customFormat="false" ht="30" hidden="false" customHeight="true" outlineLevel="0" collapsed="false">
      <c r="A545" s="14" t="s">
        <v>706</v>
      </c>
      <c r="B545" s="15" t="str">
        <f aca="false">IF(COUNTIFS($D$548:$D$597,IF(D545="","*",D545),$E$548:$E$597,IF(E545="","*",E545),$F$548:$F$597,IF(F545="","*",F545),$G$548:$G$597,IF(G545="","*",G545))=1,INDEX($B:$B,SUMPRODUCT(((D545="")+($D$548:$D$597=D545)&gt;0)*((E545="")+($E$548:$E$597=E545)&gt;0)*((F545="")+($F$548:$F$597=F545)&gt;0)*((G545="")+($G$548:$G$597=G545)&gt;0)*ROW($B$548:$B$597))),IF(COUNTIFS($D$548:$D$597,IF(D545="","*",D545),$E$548:$E$597,IF(E545="","*",E545),$F$548:$F$597,IF(F545="","*",F545),$G$548:$G$597,IF(G545="","*",G545))=0,"Not available",COUNTIFS($D$548:$D$597,IF(D545="","*",D545),$E$548:$E$597,IF(E545="","*",E545),$F$548:$F$597,IF(F545="","*",F545),$G$548:$G$597,IF(G545="","*",G545))&amp;" match, keep choosing"))</f>
        <v>AL-055-11x9x6-BK-DDP-P10</v>
      </c>
      <c r="C545" s="16" t="n">
        <f aca="false">IF(COUNTIFS($D$548:$D$597,IF(D545="","*",D545),$E$548:$E$597,IF(E545="","*",E545),$F$548:$F$597,IF(F545="","*",F545),$G$548:$G$597,IF(G545="","*",G545))=1,INDEX($C:$C,SUMPRODUCT(((D545="")+($D$548:$D$597=D545)&gt;0)*((E545="")+($E$548:$E$597=E545)&gt;0)*((F545="")+($F$548:$F$597=F545)&gt;0)*((G545="")+($G$548:$G$597=G545)&gt;0)*ROW($B$548:$B$597))),"")</f>
        <v>0.16</v>
      </c>
      <c r="D545" s="17" t="s">
        <v>724</v>
      </c>
      <c r="E545" s="17" t="s">
        <v>13997</v>
      </c>
      <c r="F545" s="17" t="s">
        <v>22861</v>
      </c>
      <c r="G545" s="17" t="s">
        <v>22862</v>
      </c>
    </row>
    <row r="547" customFormat="false" ht="15" hidden="false" customHeight="false" outlineLevel="0" collapsed="false">
      <c r="B547" s="18" t="s">
        <v>701</v>
      </c>
      <c r="C547" s="18" t="s">
        <v>702</v>
      </c>
      <c r="D547" s="18" t="s">
        <v>722</v>
      </c>
      <c r="E547" s="18" t="s">
        <v>705</v>
      </c>
      <c r="F547" s="18" t="s">
        <v>723</v>
      </c>
      <c r="G547" s="18" t="s">
        <v>6523</v>
      </c>
    </row>
    <row r="548" customFormat="false" ht="15" hidden="false" customHeight="false" outlineLevel="0" collapsed="false">
      <c r="B548" s="19" t="s">
        <v>22863</v>
      </c>
      <c r="C548" s="20" t="n">
        <f aca="false">ROUND(1.17/FX,2)</f>
        <v>0.16</v>
      </c>
      <c r="D548" s="21" t="s">
        <v>724</v>
      </c>
      <c r="E548" s="21" t="s">
        <v>13997</v>
      </c>
      <c r="F548" s="21" t="s">
        <v>22861</v>
      </c>
      <c r="G548" s="21" t="s">
        <v>22862</v>
      </c>
    </row>
    <row r="549" customFormat="false" ht="15" hidden="false" customHeight="false" outlineLevel="0" collapsed="false">
      <c r="B549" s="19" t="s">
        <v>22864</v>
      </c>
      <c r="C549" s="20" t="n">
        <f aca="false">ROUND(1.05/FX,2)</f>
        <v>0.15</v>
      </c>
      <c r="D549" s="21" t="s">
        <v>724</v>
      </c>
      <c r="E549" s="21" t="s">
        <v>14016</v>
      </c>
      <c r="F549" s="21" t="s">
        <v>22861</v>
      </c>
      <c r="G549" s="21" t="s">
        <v>22865</v>
      </c>
    </row>
    <row r="550" customFormat="false" ht="15" hidden="false" customHeight="false" outlineLevel="0" collapsed="false">
      <c r="B550" s="19" t="s">
        <v>22866</v>
      </c>
      <c r="C550" s="20" t="n">
        <f aca="false">ROUND(1.05/FX,2)</f>
        <v>0.15</v>
      </c>
      <c r="D550" s="21" t="s">
        <v>724</v>
      </c>
      <c r="E550" s="21" t="s">
        <v>14016</v>
      </c>
      <c r="F550" s="21" t="s">
        <v>22861</v>
      </c>
      <c r="G550" s="21" t="s">
        <v>22867</v>
      </c>
    </row>
    <row r="551" customFormat="false" ht="15" hidden="false" customHeight="false" outlineLevel="0" collapsed="false">
      <c r="B551" s="19" t="s">
        <v>22868</v>
      </c>
      <c r="C551" s="20" t="n">
        <f aca="false">ROUND(1.05/FX,2)</f>
        <v>0.15</v>
      </c>
      <c r="D551" s="21" t="s">
        <v>724</v>
      </c>
      <c r="E551" s="21" t="s">
        <v>14016</v>
      </c>
      <c r="F551" s="21" t="s">
        <v>22861</v>
      </c>
      <c r="G551" s="21" t="s">
        <v>22869</v>
      </c>
    </row>
    <row r="552" customFormat="false" ht="15" hidden="false" customHeight="false" outlineLevel="0" collapsed="false">
      <c r="B552" s="19" t="s">
        <v>22870</v>
      </c>
      <c r="C552" s="20" t="n">
        <f aca="false">ROUND(1/FX,2)</f>
        <v>0.14</v>
      </c>
      <c r="D552" s="21" t="s">
        <v>724</v>
      </c>
      <c r="E552" s="21" t="s">
        <v>13994</v>
      </c>
      <c r="F552" s="21" t="s">
        <v>22861</v>
      </c>
      <c r="G552" s="21" t="s">
        <v>22871</v>
      </c>
    </row>
    <row r="553" customFormat="false" ht="15" hidden="false" customHeight="false" outlineLevel="0" collapsed="false">
      <c r="B553" s="19" t="s">
        <v>22872</v>
      </c>
      <c r="C553" s="20" t="n">
        <f aca="false">ROUND(1.62/FX,2)</f>
        <v>0.23</v>
      </c>
      <c r="D553" s="21" t="s">
        <v>724</v>
      </c>
      <c r="E553" s="21" t="s">
        <v>13997</v>
      </c>
      <c r="F553" s="21" t="s">
        <v>22861</v>
      </c>
      <c r="G553" s="21" t="s">
        <v>22873</v>
      </c>
    </row>
    <row r="554" customFormat="false" ht="15" hidden="false" customHeight="false" outlineLevel="0" collapsed="false">
      <c r="B554" s="19" t="s">
        <v>22874</v>
      </c>
      <c r="C554" s="20" t="n">
        <f aca="false">ROUND(1.01/FX,2)</f>
        <v>0.14</v>
      </c>
      <c r="D554" s="21" t="s">
        <v>724</v>
      </c>
      <c r="E554" s="21" t="s">
        <v>14007</v>
      </c>
      <c r="F554" s="21" t="s">
        <v>22861</v>
      </c>
      <c r="G554" s="21" t="s">
        <v>22875</v>
      </c>
    </row>
    <row r="555" customFormat="false" ht="15" hidden="false" customHeight="false" outlineLevel="0" collapsed="false">
      <c r="B555" s="19" t="s">
        <v>22876</v>
      </c>
      <c r="C555" s="20" t="n">
        <f aca="false">ROUND(1.04/FX,2)</f>
        <v>0.14</v>
      </c>
      <c r="D555" s="21" t="s">
        <v>751</v>
      </c>
      <c r="E555" s="21" t="s">
        <v>13743</v>
      </c>
      <c r="F555" s="21" t="s">
        <v>22861</v>
      </c>
      <c r="G555" s="21" t="s">
        <v>22875</v>
      </c>
    </row>
    <row r="556" customFormat="false" ht="15" hidden="false" customHeight="false" outlineLevel="0" collapsed="false">
      <c r="B556" s="19" t="s">
        <v>22877</v>
      </c>
      <c r="C556" s="20" t="n">
        <f aca="false">ROUND(1.09/FX,2)</f>
        <v>0.15</v>
      </c>
      <c r="D556" s="21" t="s">
        <v>724</v>
      </c>
      <c r="E556" s="21" t="s">
        <v>14007</v>
      </c>
      <c r="F556" s="21" t="s">
        <v>22861</v>
      </c>
      <c r="G556" s="21" t="s">
        <v>22878</v>
      </c>
    </row>
    <row r="557" customFormat="false" ht="15" hidden="false" customHeight="false" outlineLevel="0" collapsed="false">
      <c r="B557" s="19" t="s">
        <v>22879</v>
      </c>
      <c r="C557" s="20" t="n">
        <f aca="false">ROUND(1.01/FX,2)</f>
        <v>0.14</v>
      </c>
      <c r="D557" s="21" t="s">
        <v>724</v>
      </c>
      <c r="E557" s="21" t="s">
        <v>21722</v>
      </c>
      <c r="F557" s="21" t="s">
        <v>22880</v>
      </c>
      <c r="G557" s="21" t="s">
        <v>22881</v>
      </c>
    </row>
    <row r="558" customFormat="false" ht="15" hidden="false" customHeight="false" outlineLevel="0" collapsed="false">
      <c r="B558" s="19" t="s">
        <v>22882</v>
      </c>
      <c r="C558" s="20" t="n">
        <f aca="false">ROUND(1.22/FX,2)</f>
        <v>0.17</v>
      </c>
      <c r="D558" s="21" t="s">
        <v>724</v>
      </c>
      <c r="E558" s="21" t="s">
        <v>13997</v>
      </c>
      <c r="F558" s="21" t="s">
        <v>22861</v>
      </c>
      <c r="G558" s="21" t="s">
        <v>22881</v>
      </c>
    </row>
    <row r="559" customFormat="false" ht="15" hidden="false" customHeight="false" outlineLevel="0" collapsed="false">
      <c r="B559" s="19" t="s">
        <v>22883</v>
      </c>
      <c r="C559" s="20" t="n">
        <f aca="false">ROUND(1.01/FX,2)</f>
        <v>0.14</v>
      </c>
      <c r="D559" s="21" t="s">
        <v>724</v>
      </c>
      <c r="E559" s="21" t="s">
        <v>14007</v>
      </c>
      <c r="F559" s="21" t="s">
        <v>22861</v>
      </c>
      <c r="G559" s="21" t="s">
        <v>22884</v>
      </c>
    </row>
    <row r="560" customFormat="false" ht="15" hidden="false" customHeight="false" outlineLevel="0" collapsed="false">
      <c r="B560" s="19" t="s">
        <v>22885</v>
      </c>
      <c r="C560" s="20" t="n">
        <f aca="false">ROUND(1.01/FX,2)</f>
        <v>0.14</v>
      </c>
      <c r="D560" s="21" t="s">
        <v>724</v>
      </c>
      <c r="E560" s="21" t="s">
        <v>14007</v>
      </c>
      <c r="F560" s="21" t="s">
        <v>22861</v>
      </c>
      <c r="G560" s="21" t="s">
        <v>22886</v>
      </c>
    </row>
    <row r="561" customFormat="false" ht="15" hidden="false" customHeight="false" outlineLevel="0" collapsed="false">
      <c r="B561" s="19" t="s">
        <v>22887</v>
      </c>
      <c r="C561" s="20" t="n">
        <f aca="false">ROUND(1.11/FX,2)</f>
        <v>0.15</v>
      </c>
      <c r="D561" s="21" t="s">
        <v>724</v>
      </c>
      <c r="E561" s="21" t="s">
        <v>13743</v>
      </c>
      <c r="F561" s="21" t="s">
        <v>22861</v>
      </c>
      <c r="G561" s="21" t="s">
        <v>22888</v>
      </c>
    </row>
    <row r="562" customFormat="false" ht="15" hidden="false" customHeight="false" outlineLevel="0" collapsed="false">
      <c r="B562" s="19" t="s">
        <v>22889</v>
      </c>
      <c r="C562" s="20" t="n">
        <f aca="false">ROUND(1.11/FX,2)</f>
        <v>0.15</v>
      </c>
      <c r="D562" s="21" t="s">
        <v>724</v>
      </c>
      <c r="E562" s="21" t="s">
        <v>13743</v>
      </c>
      <c r="F562" s="21" t="s">
        <v>22861</v>
      </c>
      <c r="G562" s="21" t="s">
        <v>22890</v>
      </c>
    </row>
    <row r="563" customFormat="false" ht="15" hidden="false" customHeight="false" outlineLevel="0" collapsed="false">
      <c r="B563" s="19" t="s">
        <v>22891</v>
      </c>
      <c r="C563" s="20" t="n">
        <f aca="false">ROUND(1.01/FX,2)</f>
        <v>0.14</v>
      </c>
      <c r="D563" s="21" t="s">
        <v>724</v>
      </c>
      <c r="E563" s="21" t="s">
        <v>14007</v>
      </c>
      <c r="F563" s="21" t="s">
        <v>22861</v>
      </c>
      <c r="G563" s="21" t="s">
        <v>22892</v>
      </c>
    </row>
    <row r="564" customFormat="false" ht="15" hidden="false" customHeight="false" outlineLevel="0" collapsed="false">
      <c r="B564" s="19" t="s">
        <v>22893</v>
      </c>
      <c r="C564" s="20" t="n">
        <f aca="false">ROUND(0.78/FX,2)</f>
        <v>0.11</v>
      </c>
      <c r="D564" s="21" t="s">
        <v>724</v>
      </c>
      <c r="E564" s="21" t="s">
        <v>13743</v>
      </c>
      <c r="F564" s="21" t="s">
        <v>22861</v>
      </c>
      <c r="G564" s="21" t="s">
        <v>22894</v>
      </c>
    </row>
    <row r="565" customFormat="false" ht="15" hidden="false" customHeight="false" outlineLevel="0" collapsed="false">
      <c r="B565" s="19" t="s">
        <v>22895</v>
      </c>
      <c r="C565" s="20" t="n">
        <f aca="false">ROUND(1.24/FX,2)</f>
        <v>0.17</v>
      </c>
      <c r="D565" s="21" t="s">
        <v>724</v>
      </c>
      <c r="E565" s="21" t="s">
        <v>13743</v>
      </c>
      <c r="F565" s="21" t="s">
        <v>22861</v>
      </c>
      <c r="G565" s="21" t="s">
        <v>22896</v>
      </c>
    </row>
    <row r="566" customFormat="false" ht="15" hidden="false" customHeight="false" outlineLevel="0" collapsed="false">
      <c r="B566" s="19" t="s">
        <v>22897</v>
      </c>
      <c r="C566" s="20" t="n">
        <f aca="false">ROUND(1.17/FX,2)</f>
        <v>0.16</v>
      </c>
      <c r="D566" s="21" t="s">
        <v>724</v>
      </c>
      <c r="E566" s="21" t="s">
        <v>14007</v>
      </c>
      <c r="F566" s="21" t="s">
        <v>22861</v>
      </c>
      <c r="G566" s="21" t="s">
        <v>22898</v>
      </c>
    </row>
    <row r="567" customFormat="false" ht="15" hidden="false" customHeight="false" outlineLevel="0" collapsed="false">
      <c r="B567" s="19" t="s">
        <v>22899</v>
      </c>
      <c r="C567" s="20" t="n">
        <f aca="false">ROUND(1.04/FX,2)</f>
        <v>0.14</v>
      </c>
      <c r="D567" s="21" t="s">
        <v>724</v>
      </c>
      <c r="E567" s="21" t="s">
        <v>13743</v>
      </c>
      <c r="F567" s="21" t="s">
        <v>22861</v>
      </c>
      <c r="G567" s="21" t="s">
        <v>22900</v>
      </c>
    </row>
    <row r="568" customFormat="false" ht="15" hidden="false" customHeight="false" outlineLevel="0" collapsed="false">
      <c r="B568" s="19" t="s">
        <v>22901</v>
      </c>
      <c r="C568" s="20" t="n">
        <f aca="false">ROUND(1.04/FX,2)</f>
        <v>0.14</v>
      </c>
      <c r="D568" s="21" t="s">
        <v>724</v>
      </c>
      <c r="E568" s="21" t="s">
        <v>13743</v>
      </c>
      <c r="F568" s="21" t="s">
        <v>22861</v>
      </c>
      <c r="G568" s="21" t="s">
        <v>22902</v>
      </c>
    </row>
    <row r="569" customFormat="false" ht="15" hidden="false" customHeight="false" outlineLevel="0" collapsed="false">
      <c r="B569" s="19" t="s">
        <v>22903</v>
      </c>
      <c r="C569" s="20" t="n">
        <f aca="false">ROUND(1.04/FX,2)</f>
        <v>0.14</v>
      </c>
      <c r="D569" s="21" t="s">
        <v>724</v>
      </c>
      <c r="E569" s="21" t="s">
        <v>13743</v>
      </c>
      <c r="F569" s="21" t="s">
        <v>22861</v>
      </c>
      <c r="G569" s="21" t="s">
        <v>22904</v>
      </c>
    </row>
    <row r="570" customFormat="false" ht="15" hidden="false" customHeight="false" outlineLevel="0" collapsed="false">
      <c r="B570" s="19" t="s">
        <v>22905</v>
      </c>
      <c r="C570" s="20" t="n">
        <f aca="false">ROUND(1.37/FX,2)</f>
        <v>0.19</v>
      </c>
      <c r="D570" s="21" t="s">
        <v>724</v>
      </c>
      <c r="E570" s="21" t="s">
        <v>13751</v>
      </c>
      <c r="F570" s="21" t="s">
        <v>22861</v>
      </c>
      <c r="G570" s="21" t="s">
        <v>22906</v>
      </c>
    </row>
    <row r="571" customFormat="false" ht="15" hidden="false" customHeight="false" outlineLevel="0" collapsed="false">
      <c r="B571" s="19" t="s">
        <v>22907</v>
      </c>
      <c r="C571" s="20" t="n">
        <f aca="false">ROUND(1.04/FX,2)</f>
        <v>0.14</v>
      </c>
      <c r="D571" s="21" t="s">
        <v>724</v>
      </c>
      <c r="E571" s="21" t="s">
        <v>14013</v>
      </c>
      <c r="F571" s="21" t="s">
        <v>22861</v>
      </c>
      <c r="G571" s="21" t="s">
        <v>22908</v>
      </c>
    </row>
    <row r="572" customFormat="false" ht="15" hidden="false" customHeight="false" outlineLevel="0" collapsed="false">
      <c r="B572" s="19" t="s">
        <v>22909</v>
      </c>
      <c r="C572" s="20" t="n">
        <f aca="false">ROUND(1.11/FX,2)</f>
        <v>0.15</v>
      </c>
      <c r="D572" s="21" t="s">
        <v>724</v>
      </c>
      <c r="E572" s="21" t="s">
        <v>13743</v>
      </c>
      <c r="F572" s="21" t="s">
        <v>22861</v>
      </c>
      <c r="G572" s="21" t="s">
        <v>22910</v>
      </c>
    </row>
    <row r="573" customFormat="false" ht="15" hidden="false" customHeight="false" outlineLevel="0" collapsed="false">
      <c r="B573" s="19" t="s">
        <v>22911</v>
      </c>
      <c r="C573" s="20" t="n">
        <f aca="false">ROUND(1.11/FX,2)</f>
        <v>0.15</v>
      </c>
      <c r="D573" s="21" t="s">
        <v>724</v>
      </c>
      <c r="E573" s="21" t="s">
        <v>13743</v>
      </c>
      <c r="F573" s="21" t="s">
        <v>22861</v>
      </c>
      <c r="G573" s="21" t="s">
        <v>22912</v>
      </c>
    </row>
    <row r="574" customFormat="false" ht="15" hidden="false" customHeight="false" outlineLevel="0" collapsed="false">
      <c r="B574" s="19" t="s">
        <v>22913</v>
      </c>
      <c r="C574" s="20" t="n">
        <f aca="false">ROUND(1.24/FX,2)</f>
        <v>0.17</v>
      </c>
      <c r="D574" s="21" t="s">
        <v>724</v>
      </c>
      <c r="E574" s="21" t="s">
        <v>13743</v>
      </c>
      <c r="F574" s="21" t="s">
        <v>22861</v>
      </c>
      <c r="G574" s="21" t="s">
        <v>22914</v>
      </c>
    </row>
    <row r="575" customFormat="false" ht="15" hidden="false" customHeight="false" outlineLevel="0" collapsed="false">
      <c r="B575" s="19" t="s">
        <v>22915</v>
      </c>
      <c r="C575" s="20" t="n">
        <f aca="false">ROUND(1.3/FX,2)</f>
        <v>0.18</v>
      </c>
      <c r="D575" s="21" t="s">
        <v>724</v>
      </c>
      <c r="E575" s="21" t="s">
        <v>14013</v>
      </c>
      <c r="F575" s="21" t="s">
        <v>22861</v>
      </c>
      <c r="G575" s="21" t="s">
        <v>22916</v>
      </c>
    </row>
    <row r="576" customFormat="false" ht="15" hidden="false" customHeight="false" outlineLevel="0" collapsed="false">
      <c r="B576" s="19" t="s">
        <v>22917</v>
      </c>
      <c r="C576" s="20" t="n">
        <f aca="false">ROUND(1.3/FX,2)</f>
        <v>0.18</v>
      </c>
      <c r="D576" s="21" t="s">
        <v>724</v>
      </c>
      <c r="E576" s="21" t="s">
        <v>14013</v>
      </c>
      <c r="F576" s="21" t="s">
        <v>22861</v>
      </c>
      <c r="G576" s="21" t="s">
        <v>22918</v>
      </c>
    </row>
    <row r="577" customFormat="false" ht="15" hidden="false" customHeight="false" outlineLevel="0" collapsed="false">
      <c r="B577" s="19" t="s">
        <v>22919</v>
      </c>
      <c r="C577" s="20" t="n">
        <f aca="false">ROUND(1.3/FX,2)</f>
        <v>0.18</v>
      </c>
      <c r="D577" s="21" t="s">
        <v>724</v>
      </c>
      <c r="E577" s="21" t="s">
        <v>14013</v>
      </c>
      <c r="F577" s="21" t="s">
        <v>22861</v>
      </c>
      <c r="G577" s="21" t="s">
        <v>22920</v>
      </c>
    </row>
    <row r="578" customFormat="false" ht="15" hidden="false" customHeight="false" outlineLevel="0" collapsed="false">
      <c r="B578" s="19" t="s">
        <v>22921</v>
      </c>
      <c r="C578" s="20" t="n">
        <f aca="false">ROUND(1.25/FX,2)</f>
        <v>0.17</v>
      </c>
      <c r="D578" s="21" t="s">
        <v>724</v>
      </c>
      <c r="E578" s="21" t="s">
        <v>14013</v>
      </c>
      <c r="F578" s="21" t="s">
        <v>22861</v>
      </c>
      <c r="G578" s="21" t="s">
        <v>22922</v>
      </c>
    </row>
    <row r="579" customFormat="false" ht="15" hidden="false" customHeight="false" outlineLevel="0" collapsed="false">
      <c r="B579" s="19" t="s">
        <v>22923</v>
      </c>
      <c r="C579" s="20" t="n">
        <f aca="false">ROUND(1.25/FX,2)</f>
        <v>0.17</v>
      </c>
      <c r="D579" s="21" t="s">
        <v>724</v>
      </c>
      <c r="E579" s="21" t="s">
        <v>13739</v>
      </c>
      <c r="F579" s="21" t="s">
        <v>22861</v>
      </c>
      <c r="G579" s="21" t="s">
        <v>22924</v>
      </c>
    </row>
    <row r="580" customFormat="false" ht="15" hidden="false" customHeight="false" outlineLevel="0" collapsed="false">
      <c r="B580" s="19" t="s">
        <v>22925</v>
      </c>
      <c r="C580" s="20" t="n">
        <f aca="false">ROUND(1.01/FX,2)</f>
        <v>0.14</v>
      </c>
      <c r="D580" s="21" t="s">
        <v>724</v>
      </c>
      <c r="E580" s="21" t="s">
        <v>13751</v>
      </c>
      <c r="F580" s="21" t="s">
        <v>22861</v>
      </c>
      <c r="G580" s="21" t="s">
        <v>22926</v>
      </c>
    </row>
    <row r="581" customFormat="false" ht="15" hidden="false" customHeight="false" outlineLevel="0" collapsed="false">
      <c r="B581" s="19" t="s">
        <v>22927</v>
      </c>
      <c r="C581" s="20" t="n">
        <f aca="false">ROUND(1.35/FX,2)</f>
        <v>0.19</v>
      </c>
      <c r="D581" s="21" t="s">
        <v>724</v>
      </c>
      <c r="E581" s="21" t="s">
        <v>13739</v>
      </c>
      <c r="F581" s="21" t="s">
        <v>22861</v>
      </c>
      <c r="G581" s="21" t="s">
        <v>22928</v>
      </c>
    </row>
    <row r="582" customFormat="false" ht="15" hidden="false" customHeight="false" outlineLevel="0" collapsed="false">
      <c r="B582" s="19" t="s">
        <v>22929</v>
      </c>
      <c r="C582" s="20" t="n">
        <f aca="false">ROUND(1.3/FX,2)</f>
        <v>0.18</v>
      </c>
      <c r="D582" s="21" t="s">
        <v>724</v>
      </c>
      <c r="E582" s="21" t="s">
        <v>13739</v>
      </c>
      <c r="F582" s="21" t="s">
        <v>22861</v>
      </c>
      <c r="G582" s="21" t="s">
        <v>22930</v>
      </c>
    </row>
    <row r="583" customFormat="false" ht="15" hidden="false" customHeight="false" outlineLevel="0" collapsed="false">
      <c r="B583" s="19" t="s">
        <v>22931</v>
      </c>
      <c r="C583" s="20" t="n">
        <f aca="false">ROUND(1.09/FX,2)</f>
        <v>0.15</v>
      </c>
      <c r="D583" s="21" t="s">
        <v>724</v>
      </c>
      <c r="E583" s="21" t="s">
        <v>13739</v>
      </c>
      <c r="F583" s="21" t="s">
        <v>22861</v>
      </c>
      <c r="G583" s="21" t="s">
        <v>22932</v>
      </c>
    </row>
    <row r="584" customFormat="false" ht="15" hidden="false" customHeight="false" outlineLevel="0" collapsed="false">
      <c r="B584" s="19" t="s">
        <v>22933</v>
      </c>
      <c r="C584" s="20" t="n">
        <f aca="false">ROUND(1.22/FX,2)</f>
        <v>0.17</v>
      </c>
      <c r="D584" s="21" t="s">
        <v>724</v>
      </c>
      <c r="E584" s="21" t="s">
        <v>13739</v>
      </c>
      <c r="F584" s="21" t="s">
        <v>22861</v>
      </c>
      <c r="G584" s="21" t="s">
        <v>22934</v>
      </c>
    </row>
    <row r="585" customFormat="false" ht="15" hidden="false" customHeight="false" outlineLevel="0" collapsed="false">
      <c r="B585" s="19" t="s">
        <v>22935</v>
      </c>
      <c r="C585" s="20" t="n">
        <f aca="false">ROUND(1.53/FX,2)</f>
        <v>0.21</v>
      </c>
      <c r="D585" s="21" t="s">
        <v>724</v>
      </c>
      <c r="E585" s="21" t="s">
        <v>13739</v>
      </c>
      <c r="F585" s="21" t="s">
        <v>22861</v>
      </c>
      <c r="G585" s="21" t="s">
        <v>22936</v>
      </c>
    </row>
    <row r="586" customFormat="false" ht="15" hidden="false" customHeight="false" outlineLevel="0" collapsed="false">
      <c r="B586" s="19" t="s">
        <v>22937</v>
      </c>
      <c r="C586" s="20" t="n">
        <f aca="false">ROUND(1.01/FX,2)</f>
        <v>0.14</v>
      </c>
      <c r="D586" s="21" t="s">
        <v>724</v>
      </c>
      <c r="E586" s="21" t="s">
        <v>13732</v>
      </c>
      <c r="F586" s="21" t="s">
        <v>22861</v>
      </c>
      <c r="G586" s="21" t="s">
        <v>22938</v>
      </c>
    </row>
    <row r="587" customFormat="false" ht="15" hidden="false" customHeight="false" outlineLevel="0" collapsed="false">
      <c r="B587" s="19" t="s">
        <v>22939</v>
      </c>
      <c r="C587" s="20" t="n">
        <f aca="false">ROUND(1.95/FX,2)</f>
        <v>0.27</v>
      </c>
      <c r="D587" s="21" t="s">
        <v>724</v>
      </c>
      <c r="E587" s="21" t="s">
        <v>13739</v>
      </c>
      <c r="F587" s="21" t="s">
        <v>22861</v>
      </c>
      <c r="G587" s="21" t="s">
        <v>22940</v>
      </c>
    </row>
    <row r="588" customFormat="false" ht="15" hidden="false" customHeight="false" outlineLevel="0" collapsed="false">
      <c r="B588" s="19" t="s">
        <v>22941</v>
      </c>
      <c r="C588" s="20" t="n">
        <f aca="false">ROUND(1.72/FX,2)</f>
        <v>0.24</v>
      </c>
      <c r="D588" s="21" t="s">
        <v>724</v>
      </c>
      <c r="E588" s="21" t="s">
        <v>13739</v>
      </c>
      <c r="F588" s="21" t="s">
        <v>22861</v>
      </c>
      <c r="G588" s="21" t="s">
        <v>22942</v>
      </c>
    </row>
    <row r="589" customFormat="false" ht="15" hidden="false" customHeight="false" outlineLevel="0" collapsed="false">
      <c r="B589" s="19" t="s">
        <v>22943</v>
      </c>
      <c r="C589" s="20" t="n">
        <f aca="false">ROUND(1.92/FX,2)</f>
        <v>0.27</v>
      </c>
      <c r="D589" s="21" t="s">
        <v>724</v>
      </c>
      <c r="E589" s="21" t="s">
        <v>13732</v>
      </c>
      <c r="F589" s="21" t="s">
        <v>22861</v>
      </c>
      <c r="G589" s="21" t="s">
        <v>22944</v>
      </c>
    </row>
    <row r="590" customFormat="false" ht="15" hidden="false" customHeight="false" outlineLevel="0" collapsed="false">
      <c r="B590" s="19" t="s">
        <v>22945</v>
      </c>
      <c r="C590" s="20" t="n">
        <f aca="false">ROUND(1.69/FX,2)</f>
        <v>0.23</v>
      </c>
      <c r="D590" s="21" t="s">
        <v>724</v>
      </c>
      <c r="E590" s="21" t="s">
        <v>13739</v>
      </c>
      <c r="F590" s="21" t="s">
        <v>22861</v>
      </c>
      <c r="G590" s="21" t="s">
        <v>22946</v>
      </c>
    </row>
    <row r="591" customFormat="false" ht="15" hidden="false" customHeight="false" outlineLevel="0" collapsed="false">
      <c r="B591" s="19" t="s">
        <v>22947</v>
      </c>
      <c r="C591" s="20" t="n">
        <f aca="false">ROUND(2.73/FX,2)</f>
        <v>0.38</v>
      </c>
      <c r="D591" s="21" t="s">
        <v>724</v>
      </c>
      <c r="E591" s="21" t="s">
        <v>13732</v>
      </c>
      <c r="F591" s="21" t="s">
        <v>22861</v>
      </c>
      <c r="G591" s="21" t="s">
        <v>22948</v>
      </c>
    </row>
    <row r="592" customFormat="false" ht="15" hidden="false" customHeight="false" outlineLevel="0" collapsed="false">
      <c r="B592" s="19" t="s">
        <v>22949</v>
      </c>
      <c r="C592" s="20" t="n">
        <f aca="false">ROUND(1.37/FX,2)</f>
        <v>0.19</v>
      </c>
      <c r="D592" s="21" t="s">
        <v>724</v>
      </c>
      <c r="E592" s="21" t="s">
        <v>13732</v>
      </c>
      <c r="F592" s="21" t="s">
        <v>22861</v>
      </c>
      <c r="G592" s="21" t="s">
        <v>22950</v>
      </c>
    </row>
    <row r="593" customFormat="false" ht="15" hidden="false" customHeight="false" outlineLevel="0" collapsed="false">
      <c r="B593" s="19" t="s">
        <v>22951</v>
      </c>
      <c r="C593" s="20" t="n">
        <f aca="false">ROUND(1.48/FX,2)</f>
        <v>0.21</v>
      </c>
      <c r="D593" s="21" t="s">
        <v>724</v>
      </c>
      <c r="E593" s="21" t="s">
        <v>13732</v>
      </c>
      <c r="F593" s="21" t="s">
        <v>22861</v>
      </c>
      <c r="G593" s="21" t="s">
        <v>22952</v>
      </c>
    </row>
    <row r="594" customFormat="false" ht="15" hidden="false" customHeight="false" outlineLevel="0" collapsed="false">
      <c r="B594" s="19" t="s">
        <v>22953</v>
      </c>
      <c r="C594" s="20" t="n">
        <f aca="false">ROUND(1.37/FX,2)</f>
        <v>0.19</v>
      </c>
      <c r="D594" s="21" t="s">
        <v>724</v>
      </c>
      <c r="E594" s="21" t="s">
        <v>13732</v>
      </c>
      <c r="F594" s="21" t="s">
        <v>22861</v>
      </c>
      <c r="G594" s="21" t="s">
        <v>22954</v>
      </c>
    </row>
    <row r="595" customFormat="false" ht="15" hidden="false" customHeight="false" outlineLevel="0" collapsed="false">
      <c r="B595" s="19" t="s">
        <v>22955</v>
      </c>
      <c r="C595" s="20" t="n">
        <f aca="false">ROUND(1.37/FX,2)</f>
        <v>0.19</v>
      </c>
      <c r="D595" s="21" t="s">
        <v>724</v>
      </c>
      <c r="E595" s="21" t="s">
        <v>13732</v>
      </c>
      <c r="F595" s="21" t="s">
        <v>22861</v>
      </c>
      <c r="G595" s="21" t="s">
        <v>22956</v>
      </c>
    </row>
    <row r="596" customFormat="false" ht="15" hidden="false" customHeight="false" outlineLevel="0" collapsed="false">
      <c r="B596" s="19" t="s">
        <v>22957</v>
      </c>
      <c r="C596" s="20" t="n">
        <f aca="false">ROUND(2.22/FX,2)</f>
        <v>0.31</v>
      </c>
      <c r="D596" s="21" t="s">
        <v>724</v>
      </c>
      <c r="E596" s="21" t="s">
        <v>13732</v>
      </c>
      <c r="F596" s="21" t="s">
        <v>22861</v>
      </c>
      <c r="G596" s="21" t="s">
        <v>22958</v>
      </c>
    </row>
    <row r="597" customFormat="false" ht="15" hidden="false" customHeight="false" outlineLevel="0" collapsed="false">
      <c r="B597" s="19" t="s">
        <v>22959</v>
      </c>
      <c r="C597" s="20" t="n">
        <f aca="false">ROUND(3.03/FX,2)</f>
        <v>0.42</v>
      </c>
      <c r="D597" s="21" t="s">
        <v>724</v>
      </c>
      <c r="E597" s="21" t="s">
        <v>13732</v>
      </c>
      <c r="F597" s="21" t="s">
        <v>22861</v>
      </c>
      <c r="G597" s="21" t="s">
        <v>22960</v>
      </c>
    </row>
    <row r="600" customFormat="false" ht="61.5" hidden="false" customHeight="true" outlineLevel="0" collapsed="false">
      <c r="A600" s="9"/>
      <c r="B600" s="10" t="s">
        <v>22961</v>
      </c>
      <c r="C600" s="10"/>
      <c r="D600" s="10"/>
      <c r="E600" s="10"/>
    </row>
    <row r="601" customFormat="false" ht="15" hidden="false" customHeight="false" outlineLevel="0" collapsed="false">
      <c r="A601" s="12" t="s">
        <v>700</v>
      </c>
      <c r="B601" s="13" t="s">
        <v>701</v>
      </c>
      <c r="C601" s="13" t="s">
        <v>702</v>
      </c>
      <c r="D601" s="13" t="s">
        <v>722</v>
      </c>
      <c r="E601" s="13" t="s">
        <v>723</v>
      </c>
    </row>
    <row r="602" customFormat="false" ht="30" hidden="false" customHeight="true" outlineLevel="0" collapsed="false">
      <c r="A602" s="14" t="s">
        <v>706</v>
      </c>
      <c r="B602" s="15" t="str">
        <f aca="false">IF(COUNTIFS($D$605:$D$611,IF(D602="","*",D602),$E$605:$E$611,IF(E602="","*",E602))=1,INDEX($B:$B,SUMPRODUCT(((D602="")+($D$605:$D$611=D602)&gt;0)*((E602="")+($E$605:$E$611=E602)&gt;0)*ROW($B$605:$B$611))),IF(COUNTIFS($D$605:$D$611,IF(D602="","*",D602),$E$605:$E$611,IF(E602="","*",E602))=0,"Not available",COUNTIFS($D$605:$D$611,IF(D602="","*",D602),$E$605:$E$611,IF(E602="","*",E602))&amp;" match, keep choosing"))</f>
        <v>AL-029-BK-YH-135D-4040</v>
      </c>
      <c r="C602" s="16" t="n">
        <f aca="false">IF(COUNTIFS($D$605:$D$611,IF(D602="","*",D602),$E$605:$E$611,IF(E602="","*",E602))=1,INDEX($C:$C,SUMPRODUCT(((D602="")+($D$605:$D$611=D602)&gt;0)*((E602="")+($E$605:$E$611=E602)&gt;0)*ROW($B$605:$B$611))),"")</f>
        <v>0.9</v>
      </c>
      <c r="D602" s="17" t="s">
        <v>724</v>
      </c>
      <c r="E602" s="17" t="s">
        <v>22962</v>
      </c>
    </row>
    <row r="604" customFormat="false" ht="15" hidden="false" customHeight="false" outlineLevel="0" collapsed="false">
      <c r="B604" s="18" t="s">
        <v>701</v>
      </c>
      <c r="C604" s="18" t="s">
        <v>702</v>
      </c>
      <c r="D604" s="18" t="s">
        <v>722</v>
      </c>
      <c r="E604" s="18" t="s">
        <v>723</v>
      </c>
    </row>
    <row r="605" customFormat="false" ht="28.35" hidden="false" customHeight="false" outlineLevel="0" collapsed="false">
      <c r="B605" s="19" t="s">
        <v>22963</v>
      </c>
      <c r="C605" s="20" t="n">
        <f aca="false">ROUND(6.5/FX,2)</f>
        <v>0.9</v>
      </c>
      <c r="D605" s="21" t="s">
        <v>724</v>
      </c>
      <c r="E605" s="21" t="s">
        <v>22962</v>
      </c>
    </row>
    <row r="606" customFormat="false" ht="28.35" hidden="false" customHeight="false" outlineLevel="0" collapsed="false">
      <c r="B606" s="19" t="s">
        <v>22964</v>
      </c>
      <c r="C606" s="20" t="n">
        <f aca="false">ROUND(6.5/FX,2)</f>
        <v>0.9</v>
      </c>
      <c r="D606" s="21" t="s">
        <v>6549</v>
      </c>
      <c r="E606" s="21" t="s">
        <v>22962</v>
      </c>
    </row>
    <row r="607" customFormat="false" ht="15" hidden="false" customHeight="false" outlineLevel="0" collapsed="false">
      <c r="B607" s="19" t="s">
        <v>22965</v>
      </c>
      <c r="C607" s="20" t="n">
        <f aca="false">ROUND(2.34/FX,2)</f>
        <v>0.33</v>
      </c>
      <c r="D607" s="21" t="s">
        <v>751</v>
      </c>
      <c r="E607" s="21" t="s">
        <v>22966</v>
      </c>
    </row>
    <row r="608" customFormat="false" ht="28.35" hidden="false" customHeight="false" outlineLevel="0" collapsed="false">
      <c r="B608" s="19" t="s">
        <v>22967</v>
      </c>
      <c r="C608" s="20" t="n">
        <f aca="false">ROUND(2.6/FX,2)</f>
        <v>0.36</v>
      </c>
      <c r="D608" s="21" t="s">
        <v>6336</v>
      </c>
      <c r="E608" s="21" t="s">
        <v>22968</v>
      </c>
    </row>
    <row r="609" customFormat="false" ht="28.35" hidden="false" customHeight="false" outlineLevel="0" collapsed="false">
      <c r="B609" s="19" t="s">
        <v>22969</v>
      </c>
      <c r="C609" s="20" t="n">
        <f aca="false">ROUND(3.12/FX,2)</f>
        <v>0.43</v>
      </c>
      <c r="D609" s="21" t="s">
        <v>6336</v>
      </c>
      <c r="E609" s="21" t="s">
        <v>22970</v>
      </c>
    </row>
    <row r="610" customFormat="false" ht="28.35" hidden="false" customHeight="false" outlineLevel="0" collapsed="false">
      <c r="B610" s="19" t="s">
        <v>22971</v>
      </c>
      <c r="C610" s="20" t="n">
        <f aca="false">ROUND(3.25/FX,2)</f>
        <v>0.45</v>
      </c>
      <c r="D610" s="21" t="s">
        <v>6336</v>
      </c>
      <c r="E610" s="21" t="s">
        <v>22972</v>
      </c>
    </row>
    <row r="611" customFormat="false" ht="28.35" hidden="false" customHeight="false" outlineLevel="0" collapsed="false">
      <c r="B611" s="19" t="s">
        <v>22973</v>
      </c>
      <c r="C611" s="20" t="n">
        <f aca="false">ROUND(2.34/FX,2)</f>
        <v>0.33</v>
      </c>
      <c r="D611" s="21" t="s">
        <v>6336</v>
      </c>
      <c r="E611" s="21" t="s">
        <v>22974</v>
      </c>
    </row>
    <row r="614" customFormat="false" ht="61.5" hidden="false" customHeight="true" outlineLevel="0" collapsed="false">
      <c r="A614" s="9"/>
      <c r="B614" s="10" t="s">
        <v>22975</v>
      </c>
      <c r="C614" s="10"/>
      <c r="D614" s="10"/>
    </row>
    <row r="615" customFormat="false" ht="15" hidden="false" customHeight="false" outlineLevel="0" collapsed="false">
      <c r="A615" s="12" t="s">
        <v>700</v>
      </c>
      <c r="B615" s="13" t="s">
        <v>701</v>
      </c>
      <c r="C615" s="13" t="s">
        <v>702</v>
      </c>
      <c r="D615" s="13" t="s">
        <v>723</v>
      </c>
    </row>
    <row r="616" customFormat="false" ht="30" hidden="false" customHeight="true" outlineLevel="0" collapsed="false">
      <c r="A616" s="14" t="s">
        <v>706</v>
      </c>
      <c r="B616" s="15" t="str">
        <f aca="false">IF(COUNTIFS($D$619:$D$620,IF(D616="","*",D616))=1,INDEX($B:$B,SUMPRODUCT(((D616="")+($D$619:$D$620=D616)&gt;0)*ROW($B$619:$B$620))),IF(COUNTIFS($D$619:$D$620,IF(D616="","*",D616))=0,"Not available",COUNTIFS($D$619:$D$620,IF(D616="","*",D616))&amp;" match, keep choosing"))</f>
        <v>AL-017-1515</v>
      </c>
      <c r="C616" s="16" t="n">
        <f aca="false">IF(COUNTIFS($D$619:$D$620,IF(D616="","*",D616))=1,INDEX($C:$C,SUMPRODUCT(((D616="")+($D$619:$D$620=D616)&gt;0)*ROW($B$619:$B$620))),"")</f>
        <v>0.11</v>
      </c>
      <c r="D616" s="17" t="s">
        <v>22976</v>
      </c>
    </row>
    <row r="618" customFormat="false" ht="15" hidden="false" customHeight="false" outlineLevel="0" collapsed="false">
      <c r="B618" s="18" t="s">
        <v>701</v>
      </c>
      <c r="C618" s="18" t="s">
        <v>702</v>
      </c>
      <c r="D618" s="18" t="s">
        <v>723</v>
      </c>
    </row>
    <row r="619" customFormat="false" ht="15" hidden="false" customHeight="false" outlineLevel="0" collapsed="false">
      <c r="B619" s="19" t="s">
        <v>22977</v>
      </c>
      <c r="C619" s="20" t="n">
        <f aca="false">ROUND(0.78/FX,2)</f>
        <v>0.11</v>
      </c>
      <c r="D619" s="21" t="s">
        <v>22976</v>
      </c>
    </row>
    <row r="620" customFormat="false" ht="15" hidden="false" customHeight="false" outlineLevel="0" collapsed="false">
      <c r="B620" s="19" t="s">
        <v>22978</v>
      </c>
      <c r="C620" s="20" t="n">
        <f aca="false">ROUND(1.17/FX,2)</f>
        <v>0.16</v>
      </c>
      <c r="D620" s="21" t="s">
        <v>22979</v>
      </c>
    </row>
    <row r="623" customFormat="false" ht="61.5" hidden="false" customHeight="true" outlineLevel="0" collapsed="false">
      <c r="A623" s="9"/>
      <c r="B623" s="10" t="s">
        <v>22980</v>
      </c>
      <c r="C623" s="10"/>
      <c r="D623" s="10"/>
      <c r="E623" s="10"/>
    </row>
    <row r="624" customFormat="false" ht="15" hidden="false" customHeight="false" outlineLevel="0" collapsed="false">
      <c r="A624" s="12" t="s">
        <v>700</v>
      </c>
      <c r="B624" s="13" t="s">
        <v>701</v>
      </c>
      <c r="C624" s="13" t="s">
        <v>702</v>
      </c>
      <c r="D624" s="13" t="s">
        <v>722</v>
      </c>
      <c r="E624" s="13" t="s">
        <v>723</v>
      </c>
    </row>
    <row r="625" customFormat="false" ht="30" hidden="false" customHeight="true" outlineLevel="0" collapsed="false">
      <c r="A625" s="14" t="s">
        <v>706</v>
      </c>
      <c r="B625" s="15" t="str">
        <f aca="false">IF(COUNTIFS($D$628:$D$631,IF(D625="","*",D625),$E$628:$E$631,IF(E625="","*",E625))=1,INDEX($B:$B,SUMPRODUCT(((D625="")+($D$628:$D$631=D625)&gt;0)*((E625="")+($E$628:$E$631=E625)&gt;0)*ROW($B$628:$B$631))),IF(COUNTIFS($D$628:$D$631,IF(D625="","*",D625),$E$628:$E$631,IF(E625="","*",E625))=0,"Not available",COUNTIFS($D$628:$D$631,IF(D625="","*",D625),$E$628:$E$631,IF(E625="","*",E625))&amp;" match, keep choosing"))</f>
        <v>AL-022-BK-AK</v>
      </c>
      <c r="C625" s="16" t="n">
        <f aca="false">IF(COUNTIFS($D$628:$D$631,IF(D625="","*",D625),$E$628:$E$631,IF(E625="","*",E625))=1,INDEX($C:$C,SUMPRODUCT(((D625="")+($D$628:$D$631=D625)&gt;0)*((E625="")+($E$628:$E$631=E625)&gt;0)*ROW($B$628:$B$631))),"")</f>
        <v>0.2</v>
      </c>
      <c r="D625" s="17" t="s">
        <v>724</v>
      </c>
      <c r="E625" s="17" t="s">
        <v>7941</v>
      </c>
    </row>
    <row r="627" customFormat="false" ht="15" hidden="false" customHeight="false" outlineLevel="0" collapsed="false">
      <c r="B627" s="18" t="s">
        <v>701</v>
      </c>
      <c r="C627" s="18" t="s">
        <v>702</v>
      </c>
      <c r="D627" s="18" t="s">
        <v>722</v>
      </c>
      <c r="E627" s="18" t="s">
        <v>723</v>
      </c>
    </row>
    <row r="628" customFormat="false" ht="15" hidden="false" customHeight="false" outlineLevel="0" collapsed="false">
      <c r="B628" s="19" t="s">
        <v>22981</v>
      </c>
      <c r="C628" s="20" t="n">
        <f aca="false">ROUND(1.43/FX,2)</f>
        <v>0.2</v>
      </c>
      <c r="D628" s="21" t="s">
        <v>724</v>
      </c>
      <c r="E628" s="21" t="s">
        <v>7941</v>
      </c>
    </row>
    <row r="629" customFormat="false" ht="15" hidden="false" customHeight="false" outlineLevel="0" collapsed="false">
      <c r="B629" s="19" t="s">
        <v>22982</v>
      </c>
      <c r="C629" s="20" t="n">
        <f aca="false">ROUND(0.72/FX,2)</f>
        <v>0.1</v>
      </c>
      <c r="D629" s="21" t="s">
        <v>6336</v>
      </c>
      <c r="E629" s="21" t="s">
        <v>22983</v>
      </c>
    </row>
    <row r="630" customFormat="false" ht="15" hidden="false" customHeight="false" outlineLevel="0" collapsed="false">
      <c r="B630" s="19" t="s">
        <v>22984</v>
      </c>
      <c r="C630" s="20" t="n">
        <f aca="false">ROUND(0.98/FX,2)</f>
        <v>0.14</v>
      </c>
      <c r="D630" s="21" t="s">
        <v>6336</v>
      </c>
      <c r="E630" s="21" t="s">
        <v>22985</v>
      </c>
    </row>
    <row r="631" customFormat="false" ht="41.75" hidden="false" customHeight="false" outlineLevel="0" collapsed="false">
      <c r="B631" s="19" t="s">
        <v>22986</v>
      </c>
      <c r="C631" s="20" t="n">
        <f aca="false">ROUND(0.88/FX,2)</f>
        <v>0.12</v>
      </c>
      <c r="D631" s="21" t="s">
        <v>6336</v>
      </c>
      <c r="E631" s="21" t="s">
        <v>22987</v>
      </c>
    </row>
    <row r="634" customFormat="false" ht="61.5" hidden="false" customHeight="true" outlineLevel="0" collapsed="false">
      <c r="A634" s="9"/>
      <c r="B634" s="10" t="s">
        <v>22988</v>
      </c>
      <c r="C634" s="10"/>
      <c r="D634" s="10"/>
    </row>
    <row r="635" customFormat="false" ht="15" hidden="false" customHeight="false" outlineLevel="0" collapsed="false">
      <c r="B635" s="18" t="s">
        <v>701</v>
      </c>
      <c r="C635" s="18" t="s">
        <v>702</v>
      </c>
      <c r="D635" s="18" t="s">
        <v>5610</v>
      </c>
    </row>
    <row r="636" customFormat="false" ht="15" hidden="false" customHeight="false" outlineLevel="0" collapsed="false">
      <c r="B636" s="19" t="s">
        <v>22989</v>
      </c>
      <c r="C636" s="20" t="n">
        <f aca="false">ROUND(0.61/FX,2)</f>
        <v>0.08</v>
      </c>
      <c r="D636" s="22" t="s">
        <v>5612</v>
      </c>
    </row>
    <row r="639" customFormat="false" ht="61.5" hidden="false" customHeight="true" outlineLevel="0" collapsed="false">
      <c r="A639" s="9"/>
      <c r="B639" s="10" t="s">
        <v>22990</v>
      </c>
      <c r="C639" s="10"/>
      <c r="D639" s="10"/>
      <c r="E639" s="10"/>
      <c r="F639" s="10"/>
    </row>
    <row r="640" customFormat="false" ht="15" hidden="false" customHeight="false" outlineLevel="0" collapsed="false">
      <c r="A640" s="12" t="s">
        <v>700</v>
      </c>
      <c r="B640" s="13" t="s">
        <v>701</v>
      </c>
      <c r="C640" s="13" t="s">
        <v>702</v>
      </c>
      <c r="D640" s="13" t="s">
        <v>722</v>
      </c>
      <c r="E640" s="13" t="s">
        <v>723</v>
      </c>
      <c r="F640" s="13" t="s">
        <v>6559</v>
      </c>
    </row>
    <row r="641" customFormat="false" ht="30" hidden="false" customHeight="true" outlineLevel="0" collapsed="false">
      <c r="A641" s="14" t="s">
        <v>706</v>
      </c>
      <c r="B641" s="15" t="str">
        <f aca="false">IF(COUNTIFS($D$644:$D$652,IF(D641="","*",D641),$E$644:$E$652,IF(E641="","*",E641),$F$644:$F$652,IF(F641="","*",F641))=1,INDEX($B:$B,SUMPRODUCT(((D641="")+($D$644:$D$652=D641)&gt;0)*((E641="")+($E$644:$E$652=E641)&gt;0)*((F641="")+($F$644:$F$652=F641)&gt;0)*ROW($B$644:$B$652))),IF(COUNTIFS($D$644:$D$652,IF(D641="","*",D641),$E$644:$E$652,IF(E641="","*",E641),$F$644:$F$652,IF(F641="","*",F641))=0,"Not available",COUNTIFS($D$644:$D$652,IF(D641="","*",D641),$E$644:$E$652,IF(E641="","*",E641),$F$644:$F$652,IF(F641="","*",F641))&amp;" match, keep choosing"))</f>
        <v>AL-016-BK-AK</v>
      </c>
      <c r="C641" s="16" t="n">
        <f aca="false">IF(COUNTIFS($D$644:$D$652,IF(D641="","*",D641),$E$644:$E$652,IF(E641="","*",E641),$F$644:$F$652,IF(F641="","*",F641))=1,INDEX($C:$C,SUMPRODUCT(((D641="")+($D$644:$D$652=D641)&gt;0)*((E641="")+($E$644:$E$652=E641)&gt;0)*((F641="")+($F$644:$F$652=F641)&gt;0)*ROW($B$644:$B$652))),"")</f>
        <v>0.13</v>
      </c>
      <c r="D641" s="17" t="s">
        <v>724</v>
      </c>
      <c r="E641" s="17" t="s">
        <v>7941</v>
      </c>
      <c r="F641" s="17" t="s">
        <v>6336</v>
      </c>
    </row>
    <row r="643" customFormat="false" ht="15" hidden="false" customHeight="false" outlineLevel="0" collapsed="false">
      <c r="B643" s="18" t="s">
        <v>701</v>
      </c>
      <c r="C643" s="18" t="s">
        <v>702</v>
      </c>
      <c r="D643" s="18" t="s">
        <v>722</v>
      </c>
      <c r="E643" s="18" t="s">
        <v>723</v>
      </c>
      <c r="F643" s="18" t="s">
        <v>6559</v>
      </c>
    </row>
    <row r="644" customFormat="false" ht="15" hidden="false" customHeight="false" outlineLevel="0" collapsed="false">
      <c r="B644" s="19" t="s">
        <v>22991</v>
      </c>
      <c r="C644" s="20" t="n">
        <f aca="false">ROUND(0.91/FX,2)</f>
        <v>0.13</v>
      </c>
      <c r="D644" s="21" t="s">
        <v>724</v>
      </c>
      <c r="E644" s="21" t="s">
        <v>7941</v>
      </c>
      <c r="F644" s="21" t="s">
        <v>6336</v>
      </c>
    </row>
    <row r="645" customFormat="false" ht="15" hidden="false" customHeight="false" outlineLevel="0" collapsed="false">
      <c r="B645" s="19" t="s">
        <v>22992</v>
      </c>
      <c r="C645" s="20" t="n">
        <f aca="false">ROUND(0.91/FX,2)</f>
        <v>0.13</v>
      </c>
      <c r="D645" s="21" t="s">
        <v>724</v>
      </c>
      <c r="E645" s="21" t="s">
        <v>22993</v>
      </c>
      <c r="F645" s="21" t="s">
        <v>6336</v>
      </c>
    </row>
    <row r="646" customFormat="false" ht="15" hidden="false" customHeight="false" outlineLevel="0" collapsed="false">
      <c r="B646" s="19" t="s">
        <v>22994</v>
      </c>
      <c r="C646" s="20" t="n">
        <f aca="false">ROUND(0.91/FX,2)</f>
        <v>0.13</v>
      </c>
      <c r="D646" s="21" t="s">
        <v>724</v>
      </c>
      <c r="E646" s="21" t="s">
        <v>12847</v>
      </c>
      <c r="F646" s="21" t="s">
        <v>6336</v>
      </c>
    </row>
    <row r="647" customFormat="false" ht="15" hidden="false" customHeight="false" outlineLevel="0" collapsed="false">
      <c r="B647" s="19" t="s">
        <v>22995</v>
      </c>
      <c r="C647" s="20" t="n">
        <f aca="false">ROUND(0.81/FX,2)</f>
        <v>0.11</v>
      </c>
      <c r="D647" s="21" t="s">
        <v>6549</v>
      </c>
      <c r="E647" s="21" t="s">
        <v>22996</v>
      </c>
      <c r="F647" s="21" t="s">
        <v>22997</v>
      </c>
    </row>
    <row r="648" customFormat="false" ht="28.35" hidden="false" customHeight="false" outlineLevel="0" collapsed="false">
      <c r="B648" s="19" t="s">
        <v>22998</v>
      </c>
      <c r="C648" s="20" t="n">
        <f aca="false">ROUND(0.74/FX,2)</f>
        <v>0.1</v>
      </c>
      <c r="D648" s="21" t="s">
        <v>6549</v>
      </c>
      <c r="E648" s="21" t="s">
        <v>22999</v>
      </c>
      <c r="F648" s="21" t="s">
        <v>21692</v>
      </c>
    </row>
    <row r="649" customFormat="false" ht="28.35" hidden="false" customHeight="false" outlineLevel="0" collapsed="false">
      <c r="B649" s="19" t="s">
        <v>23000</v>
      </c>
      <c r="C649" s="20" t="n">
        <f aca="false">ROUND(0.85/FX,2)</f>
        <v>0.12</v>
      </c>
      <c r="D649" s="21" t="s">
        <v>6549</v>
      </c>
      <c r="E649" s="21" t="s">
        <v>23001</v>
      </c>
      <c r="F649" s="21" t="s">
        <v>21692</v>
      </c>
    </row>
    <row r="650" customFormat="false" ht="15" hidden="false" customHeight="false" outlineLevel="0" collapsed="false">
      <c r="B650" s="19" t="s">
        <v>23002</v>
      </c>
      <c r="C650" s="20" t="n">
        <f aca="false">ROUND(0.68/FX,2)</f>
        <v>0.09</v>
      </c>
      <c r="D650" s="21" t="s">
        <v>6549</v>
      </c>
      <c r="E650" s="21" t="s">
        <v>7941</v>
      </c>
      <c r="F650" s="21" t="s">
        <v>6336</v>
      </c>
    </row>
    <row r="651" customFormat="false" ht="15" hidden="false" customHeight="false" outlineLevel="0" collapsed="false">
      <c r="B651" s="19" t="s">
        <v>23003</v>
      </c>
      <c r="C651" s="20" t="n">
        <f aca="false">ROUND(0.78/FX,2)</f>
        <v>0.11</v>
      </c>
      <c r="D651" s="21" t="s">
        <v>6549</v>
      </c>
      <c r="E651" s="21" t="s">
        <v>22993</v>
      </c>
      <c r="F651" s="21" t="s">
        <v>6336</v>
      </c>
    </row>
    <row r="652" customFormat="false" ht="15" hidden="false" customHeight="false" outlineLevel="0" collapsed="false">
      <c r="B652" s="19" t="s">
        <v>23004</v>
      </c>
      <c r="C652" s="20" t="n">
        <f aca="false">ROUND(0.73/FX,2)</f>
        <v>0.1</v>
      </c>
      <c r="D652" s="21" t="s">
        <v>6549</v>
      </c>
      <c r="E652" s="21" t="s">
        <v>12847</v>
      </c>
      <c r="F652" s="21" t="s">
        <v>6336</v>
      </c>
    </row>
    <row r="655" customFormat="false" ht="61.5" hidden="false" customHeight="true" outlineLevel="0" collapsed="false">
      <c r="A655" s="9"/>
      <c r="B655" s="10" t="s">
        <v>23005</v>
      </c>
      <c r="C655" s="10"/>
      <c r="D655" s="10"/>
      <c r="E655" s="10"/>
      <c r="F655" s="10"/>
    </row>
    <row r="656" customFormat="false" ht="15" hidden="false" customHeight="false" outlineLevel="0" collapsed="false">
      <c r="A656" s="12" t="s">
        <v>700</v>
      </c>
      <c r="B656" s="13" t="s">
        <v>701</v>
      </c>
      <c r="C656" s="13" t="s">
        <v>702</v>
      </c>
      <c r="D656" s="13" t="s">
        <v>722</v>
      </c>
      <c r="E656" s="13" t="s">
        <v>704</v>
      </c>
      <c r="F656" s="13" t="s">
        <v>723</v>
      </c>
    </row>
    <row r="657" customFormat="false" ht="30" hidden="false" customHeight="true" outlineLevel="0" collapsed="false">
      <c r="A657" s="14" t="s">
        <v>706</v>
      </c>
      <c r="B657" s="15" t="str">
        <f aca="false">IF(COUNTIFS($D$660:$D$673,IF(D657="","*",D657),$E$660:$E$673,IF(E657="","*",E657),$F$660:$F$673,IF(F657="","*",F657))=1,INDEX($B:$B,SUMPRODUCT(((D657="")+($D$660:$D$673=D657)&gt;0)*((E657="")+($E$660:$E$673=E657)&gt;0)*((F657="")+($F$660:$F$673=F657)&gt;0)*ROW($B$660:$B$673))),IF(COUNTIFS($D$660:$D$673,IF(D657="","*",D657),$E$660:$E$673,IF(E657="","*",E657),$F$660:$F$673,IF(F657="","*",F657))=0,"Not available",COUNTIFS($D$660:$D$673,IF(D657="","*",D657),$E$660:$E$673,IF(E657="","*",E657),$F$660:$F$673,IF(F657="","*",F657))&amp;" match, keep choosing"))</f>
        <v>AL-023-BK-3030-JCB</v>
      </c>
      <c r="C657" s="16" t="n">
        <f aca="false">IF(COUNTIFS($D$660:$D$673,IF(D657="","*",D657),$E$660:$E$673,IF(E657="","*",E657),$F$660:$F$673,IF(F657="","*",F657))=1,INDEX($C:$C,SUMPRODUCT(((D657="")+($D$660:$D$673=D657)&gt;0)*((E657="")+($E$660:$E$673=E657)&gt;0)*((F657="")+($F$660:$F$673=F657)&gt;0)*ROW($B$660:$B$673))),"")</f>
        <v>0.54</v>
      </c>
      <c r="D657" s="17" t="s">
        <v>724</v>
      </c>
      <c r="E657" s="17" t="s">
        <v>6336</v>
      </c>
      <c r="F657" s="17" t="s">
        <v>23006</v>
      </c>
    </row>
    <row r="659" customFormat="false" ht="15" hidden="false" customHeight="false" outlineLevel="0" collapsed="false">
      <c r="B659" s="18" t="s">
        <v>701</v>
      </c>
      <c r="C659" s="18" t="s">
        <v>702</v>
      </c>
      <c r="D659" s="18" t="s">
        <v>722</v>
      </c>
      <c r="E659" s="18" t="s">
        <v>704</v>
      </c>
      <c r="F659" s="18" t="s">
        <v>723</v>
      </c>
    </row>
    <row r="660" customFormat="false" ht="15" hidden="false" customHeight="false" outlineLevel="0" collapsed="false">
      <c r="B660" s="19" t="s">
        <v>23007</v>
      </c>
      <c r="C660" s="20" t="n">
        <f aca="false">ROUND(3.9/FX,2)</f>
        <v>0.54</v>
      </c>
      <c r="D660" s="21" t="s">
        <v>724</v>
      </c>
      <c r="E660" s="21" t="s">
        <v>6336</v>
      </c>
      <c r="F660" s="21" t="s">
        <v>23006</v>
      </c>
    </row>
    <row r="661" customFormat="false" ht="15" hidden="false" customHeight="false" outlineLevel="0" collapsed="false">
      <c r="B661" s="19" t="s">
        <v>23008</v>
      </c>
      <c r="C661" s="20" t="n">
        <f aca="false">ROUND(4.94/FX,2)</f>
        <v>0.69</v>
      </c>
      <c r="D661" s="21" t="s">
        <v>724</v>
      </c>
      <c r="E661" s="21" t="s">
        <v>6336</v>
      </c>
      <c r="F661" s="21" t="s">
        <v>23009</v>
      </c>
    </row>
    <row r="662" customFormat="false" ht="28.35" hidden="false" customHeight="false" outlineLevel="0" collapsed="false">
      <c r="B662" s="19" t="s">
        <v>23010</v>
      </c>
      <c r="C662" s="20" t="n">
        <f aca="false">ROUND(5.07/FX,2)</f>
        <v>0.7</v>
      </c>
      <c r="D662" s="21" t="s">
        <v>6336</v>
      </c>
      <c r="E662" s="21" t="s">
        <v>6336</v>
      </c>
      <c r="F662" s="21" t="s">
        <v>23011</v>
      </c>
    </row>
    <row r="663" customFormat="false" ht="28.35" hidden="false" customHeight="false" outlineLevel="0" collapsed="false">
      <c r="B663" s="19" t="s">
        <v>23012</v>
      </c>
      <c r="C663" s="20" t="n">
        <f aca="false">ROUND(4.94/FX,2)</f>
        <v>0.69</v>
      </c>
      <c r="D663" s="21" t="s">
        <v>6336</v>
      </c>
      <c r="E663" s="21" t="s">
        <v>6336</v>
      </c>
      <c r="F663" s="21" t="s">
        <v>23013</v>
      </c>
    </row>
    <row r="664" customFormat="false" ht="15" hidden="false" customHeight="false" outlineLevel="0" collapsed="false">
      <c r="B664" s="19" t="s">
        <v>23014</v>
      </c>
      <c r="C664" s="20" t="n">
        <f aca="false">ROUND(9.88/FX,2)</f>
        <v>1.37</v>
      </c>
      <c r="D664" s="21" t="s">
        <v>6336</v>
      </c>
      <c r="E664" s="21" t="s">
        <v>8669</v>
      </c>
      <c r="F664" s="21" t="s">
        <v>23009</v>
      </c>
    </row>
    <row r="665" customFormat="false" ht="28.35" hidden="false" customHeight="false" outlineLevel="0" collapsed="false">
      <c r="B665" s="19" t="s">
        <v>23015</v>
      </c>
      <c r="C665" s="20" t="n">
        <f aca="false">ROUND(4.14/FX,2)</f>
        <v>0.58</v>
      </c>
      <c r="D665" s="21" t="s">
        <v>751</v>
      </c>
      <c r="E665" s="21" t="s">
        <v>6336</v>
      </c>
      <c r="F665" s="21" t="s">
        <v>23016</v>
      </c>
    </row>
    <row r="666" customFormat="false" ht="28.35" hidden="false" customHeight="false" outlineLevel="0" collapsed="false">
      <c r="B666" s="19" t="s">
        <v>23017</v>
      </c>
      <c r="C666" s="20" t="n">
        <f aca="false">ROUND(3.64/FX,2)</f>
        <v>0.51</v>
      </c>
      <c r="D666" s="21" t="s">
        <v>751</v>
      </c>
      <c r="E666" s="21" t="s">
        <v>6336</v>
      </c>
      <c r="F666" s="21" t="s">
        <v>23018</v>
      </c>
    </row>
    <row r="667" customFormat="false" ht="28.35" hidden="false" customHeight="false" outlineLevel="0" collapsed="false">
      <c r="B667" s="19" t="s">
        <v>23019</v>
      </c>
      <c r="C667" s="20" t="n">
        <f aca="false">ROUND(6.89/FX,2)</f>
        <v>0.96</v>
      </c>
      <c r="D667" s="21" t="s">
        <v>751</v>
      </c>
      <c r="E667" s="21" t="s">
        <v>6336</v>
      </c>
      <c r="F667" s="21" t="s">
        <v>23020</v>
      </c>
    </row>
    <row r="668" customFormat="false" ht="28.35" hidden="false" customHeight="false" outlineLevel="0" collapsed="false">
      <c r="B668" s="19" t="s">
        <v>23021</v>
      </c>
      <c r="C668" s="20" t="n">
        <f aca="false">ROUND(3.9/FX,2)</f>
        <v>0.54</v>
      </c>
      <c r="D668" s="21" t="s">
        <v>751</v>
      </c>
      <c r="E668" s="21" t="s">
        <v>6336</v>
      </c>
      <c r="F668" s="21" t="s">
        <v>23022</v>
      </c>
    </row>
    <row r="669" customFormat="false" ht="28.35" hidden="false" customHeight="false" outlineLevel="0" collapsed="false">
      <c r="B669" s="19" t="s">
        <v>23023</v>
      </c>
      <c r="C669" s="20" t="n">
        <f aca="false">ROUND(4.29/FX,2)</f>
        <v>0.6</v>
      </c>
      <c r="D669" s="21" t="s">
        <v>751</v>
      </c>
      <c r="E669" s="21" t="s">
        <v>6336</v>
      </c>
      <c r="F669" s="21" t="s">
        <v>23024</v>
      </c>
    </row>
    <row r="670" customFormat="false" ht="28.35" hidden="false" customHeight="false" outlineLevel="0" collapsed="false">
      <c r="B670" s="19" t="s">
        <v>23025</v>
      </c>
      <c r="C670" s="20" t="n">
        <f aca="false">ROUND(4.68/FX,2)</f>
        <v>0.65</v>
      </c>
      <c r="D670" s="21" t="s">
        <v>751</v>
      </c>
      <c r="E670" s="21" t="s">
        <v>6336</v>
      </c>
      <c r="F670" s="21" t="s">
        <v>23026</v>
      </c>
    </row>
    <row r="671" customFormat="false" ht="28.35" hidden="false" customHeight="false" outlineLevel="0" collapsed="false">
      <c r="B671" s="19" t="s">
        <v>23027</v>
      </c>
      <c r="C671" s="20" t="n">
        <f aca="false">ROUND(4.38/FX,2)</f>
        <v>0.61</v>
      </c>
      <c r="D671" s="21" t="s">
        <v>751</v>
      </c>
      <c r="E671" s="21" t="s">
        <v>6336</v>
      </c>
      <c r="F671" s="21" t="s">
        <v>23028</v>
      </c>
    </row>
    <row r="672" customFormat="false" ht="28.35" hidden="false" customHeight="false" outlineLevel="0" collapsed="false">
      <c r="B672" s="19" t="s">
        <v>23029</v>
      </c>
      <c r="C672" s="20" t="n">
        <f aca="false">ROUND(4.82/FX,2)</f>
        <v>0.67</v>
      </c>
      <c r="D672" s="21" t="s">
        <v>751</v>
      </c>
      <c r="E672" s="21" t="s">
        <v>6336</v>
      </c>
      <c r="F672" s="21" t="s">
        <v>23030</v>
      </c>
    </row>
    <row r="673" customFormat="false" ht="28.35" hidden="false" customHeight="false" outlineLevel="0" collapsed="false">
      <c r="B673" s="19" t="s">
        <v>23031</v>
      </c>
      <c r="C673" s="20" t="n">
        <f aca="false">ROUND(7.8/FX,2)</f>
        <v>1.08</v>
      </c>
      <c r="D673" s="21" t="s">
        <v>751</v>
      </c>
      <c r="E673" s="21" t="s">
        <v>6336</v>
      </c>
      <c r="F673" s="21" t="s">
        <v>23032</v>
      </c>
    </row>
    <row r="676" customFormat="false" ht="61.5" hidden="false" customHeight="true" outlineLevel="0" collapsed="false">
      <c r="A676" s="9"/>
      <c r="B676" s="10" t="s">
        <v>23033</v>
      </c>
      <c r="C676" s="10"/>
      <c r="D676" s="10"/>
      <c r="E676" s="10"/>
      <c r="F676" s="10"/>
    </row>
    <row r="677" customFormat="false" ht="15" hidden="false" customHeight="false" outlineLevel="0" collapsed="false">
      <c r="A677" s="12" t="s">
        <v>700</v>
      </c>
      <c r="B677" s="13" t="s">
        <v>701</v>
      </c>
      <c r="C677" s="13" t="s">
        <v>702</v>
      </c>
      <c r="D677" s="13" t="s">
        <v>6328</v>
      </c>
      <c r="E677" s="13" t="s">
        <v>13701</v>
      </c>
      <c r="F677" s="13" t="s">
        <v>20446</v>
      </c>
    </row>
    <row r="678" customFormat="false" ht="30" hidden="false" customHeight="true" outlineLevel="0" collapsed="false">
      <c r="A678" s="14" t="s">
        <v>706</v>
      </c>
      <c r="B678" s="15" t="str">
        <f aca="false">IF(COUNTIFS($D$681:$D$686,IF(D678="","*",D678),$E$681:$E$686,IF(E678="","*",E678),$F$681:$F$686,IF(F678="","*",F678))=1,INDEX($B:$B,SUMPRODUCT(((D678="")+($D$681:$D$686=D678)&gt;0)*((E678="")+($E$681:$E$686=E678)&gt;0)*((F678="")+($F$681:$F$686=F678)&gt;0)*ROW($B$681:$B$686))),IF(COUNTIFS($D$681:$D$686,IF(D678="","*",D678),$E$681:$E$686,IF(E678="","*",E678),$F$681:$F$686,IF(F678="","*",F678))=0,"Not available",COUNTIFS($D$681:$D$686,IF(D678="","*",D678),$E$681:$E$686,IF(E678="","*",E678),$F$681:$F$686,IF(F678="","*",F678))&amp;" match, keep choosing"))</f>
        <v>AL-026-EU2020-2H-M4</v>
      </c>
      <c r="C678" s="16" t="n">
        <f aca="false">IF(COUNTIFS($D$681:$D$686,IF(D678="","*",D678),$E$681:$E$686,IF(E678="","*",E678),$F$681:$F$686,IF(F678="","*",F678))=1,INDEX($C:$C,SUMPRODUCT(((D678="")+($D$681:$D$686=D678)&gt;0)*((E678="")+($E$681:$E$686=E678)&gt;0)*((F678="")+($F$681:$F$686=F678)&gt;0)*ROW($B$681:$B$686))),"")</f>
        <v>0.65</v>
      </c>
      <c r="D678" s="17" t="s">
        <v>23034</v>
      </c>
      <c r="E678" s="17" t="s">
        <v>11409</v>
      </c>
      <c r="F678" s="17" t="s">
        <v>18362</v>
      </c>
    </row>
    <row r="680" customFormat="false" ht="15" hidden="false" customHeight="false" outlineLevel="0" collapsed="false">
      <c r="B680" s="18" t="s">
        <v>701</v>
      </c>
      <c r="C680" s="18" t="s">
        <v>702</v>
      </c>
      <c r="D680" s="18" t="s">
        <v>6328</v>
      </c>
      <c r="E680" s="18" t="s">
        <v>13701</v>
      </c>
      <c r="F680" s="18" t="s">
        <v>20446</v>
      </c>
    </row>
    <row r="681" customFormat="false" ht="15" hidden="false" customHeight="false" outlineLevel="0" collapsed="false">
      <c r="B681" s="19" t="s">
        <v>23035</v>
      </c>
      <c r="C681" s="20" t="n">
        <f aca="false">ROUND(4.68/FX,2)</f>
        <v>0.65</v>
      </c>
      <c r="D681" s="21" t="s">
        <v>23034</v>
      </c>
      <c r="E681" s="21" t="s">
        <v>11409</v>
      </c>
      <c r="F681" s="21" t="s">
        <v>18362</v>
      </c>
    </row>
    <row r="682" customFormat="false" ht="15" hidden="false" customHeight="false" outlineLevel="0" collapsed="false">
      <c r="B682" s="19" t="s">
        <v>23036</v>
      </c>
      <c r="C682" s="20" t="n">
        <f aca="false">ROUND(6.05/FX,2)</f>
        <v>0.84</v>
      </c>
      <c r="D682" s="21" t="s">
        <v>23034</v>
      </c>
      <c r="E682" s="21" t="s">
        <v>11409</v>
      </c>
      <c r="F682" s="21" t="s">
        <v>18383</v>
      </c>
    </row>
    <row r="683" customFormat="false" ht="15" hidden="false" customHeight="false" outlineLevel="0" collapsed="false">
      <c r="B683" s="19" t="s">
        <v>23037</v>
      </c>
      <c r="C683" s="20" t="n">
        <f aca="false">ROUND(8.45/FX,2)</f>
        <v>1.17</v>
      </c>
      <c r="D683" s="21" t="s">
        <v>23038</v>
      </c>
      <c r="E683" s="21" t="s">
        <v>11413</v>
      </c>
      <c r="F683" s="21" t="s">
        <v>18362</v>
      </c>
    </row>
    <row r="684" customFormat="false" ht="15" hidden="false" customHeight="false" outlineLevel="0" collapsed="false">
      <c r="B684" s="19" t="s">
        <v>23039</v>
      </c>
      <c r="C684" s="20" t="n">
        <f aca="false">ROUND(10.4/FX,2)</f>
        <v>1.44</v>
      </c>
      <c r="D684" s="21" t="s">
        <v>23038</v>
      </c>
      <c r="E684" s="21" t="s">
        <v>11413</v>
      </c>
      <c r="F684" s="21" t="s">
        <v>18383</v>
      </c>
    </row>
    <row r="685" customFormat="false" ht="15" hidden="false" customHeight="false" outlineLevel="0" collapsed="false">
      <c r="B685" s="19" t="s">
        <v>23040</v>
      </c>
      <c r="C685" s="20" t="n">
        <f aca="false">ROUND(9.36/FX,2)</f>
        <v>1.3</v>
      </c>
      <c r="D685" s="21" t="s">
        <v>23041</v>
      </c>
      <c r="E685" s="21" t="s">
        <v>11415</v>
      </c>
      <c r="F685" s="21" t="s">
        <v>18362</v>
      </c>
    </row>
    <row r="686" customFormat="false" ht="15" hidden="false" customHeight="false" outlineLevel="0" collapsed="false">
      <c r="B686" s="19" t="s">
        <v>23042</v>
      </c>
      <c r="C686" s="20" t="n">
        <f aca="false">ROUND(11.05/FX,2)</f>
        <v>1.53</v>
      </c>
      <c r="D686" s="21" t="s">
        <v>23041</v>
      </c>
      <c r="E686" s="21" t="s">
        <v>11415</v>
      </c>
      <c r="F686" s="21" t="s">
        <v>18383</v>
      </c>
    </row>
    <row r="689" customFormat="false" ht="61.5" hidden="false" customHeight="true" outlineLevel="0" collapsed="false">
      <c r="A689" s="9"/>
      <c r="B689" s="10" t="s">
        <v>23043</v>
      </c>
      <c r="C689" s="10"/>
      <c r="D689" s="10"/>
      <c r="E689" s="10"/>
      <c r="F689" s="10"/>
    </row>
    <row r="690" customFormat="false" ht="15" hidden="false" customHeight="false" outlineLevel="0" collapsed="false">
      <c r="A690" s="12" t="s">
        <v>700</v>
      </c>
      <c r="B690" s="13" t="s">
        <v>701</v>
      </c>
      <c r="C690" s="13" t="s">
        <v>702</v>
      </c>
      <c r="D690" s="13" t="s">
        <v>722</v>
      </c>
      <c r="E690" s="13" t="s">
        <v>723</v>
      </c>
      <c r="F690" s="13" t="s">
        <v>6559</v>
      </c>
    </row>
    <row r="691" customFormat="false" ht="30" hidden="false" customHeight="true" outlineLevel="0" collapsed="false">
      <c r="A691" s="14" t="s">
        <v>706</v>
      </c>
      <c r="B691" s="15" t="str">
        <f aca="false">IF(COUNTIFS($D$694:$D$703,IF(D691="","*",D691),$E$694:$E$703,IF(E691="","*",E691),$F$694:$F$703,IF(F691="","*",F691))=1,INDEX($B:$B,SUMPRODUCT(((D691="")+($D$694:$D$703=D691)&gt;0)*((E691="")+($E$694:$E$703=E691)&gt;0)*((F691="")+($F$694:$F$703=F691)&gt;0)*ROW($B$694:$B$703))),IF(COUNTIFS($D$694:$D$703,IF(D691="","*",D691),$E$694:$E$703,IF(E691="","*",E691),$F$694:$F$703,IF(F691="","*",F691))=0,"Not available",COUNTIFS($D$694:$D$703,IF(D691="","*",D691),$E$694:$E$703,IF(E691="","*",E691),$F$694:$F$703,IF(F691="","*",F691))&amp;" match, keep choosing"))</f>
        <v>AL-040-BK-4080-XKD</v>
      </c>
      <c r="C691" s="16" t="n">
        <f aca="false">IF(COUNTIFS($D$694:$D$703,IF(D691="","*",D691),$E$694:$E$703,IF(E691="","*",E691),$F$694:$F$703,IF(F691="","*",F691))=1,INDEX($C:$C,SUMPRODUCT(((D691="")+($D$694:$D$703=D691)&gt;0)*((E691="")+($E$694:$E$703=E691)&gt;0)*((F691="")+($F$694:$F$703=F691)&gt;0)*ROW($B$694:$B$703))),"")</f>
        <v>0.45</v>
      </c>
      <c r="D691" s="17" t="s">
        <v>724</v>
      </c>
      <c r="E691" s="17" t="s">
        <v>23044</v>
      </c>
      <c r="F691" s="17" t="s">
        <v>6336</v>
      </c>
    </row>
    <row r="693" customFormat="false" ht="15" hidden="false" customHeight="false" outlineLevel="0" collapsed="false">
      <c r="B693" s="18" t="s">
        <v>701</v>
      </c>
      <c r="C693" s="18" t="s">
        <v>702</v>
      </c>
      <c r="D693" s="18" t="s">
        <v>722</v>
      </c>
      <c r="E693" s="18" t="s">
        <v>723</v>
      </c>
      <c r="F693" s="18" t="s">
        <v>6559</v>
      </c>
    </row>
    <row r="694" customFormat="false" ht="15" hidden="false" customHeight="false" outlineLevel="0" collapsed="false">
      <c r="B694" s="19" t="s">
        <v>23045</v>
      </c>
      <c r="C694" s="20" t="n">
        <f aca="false">ROUND(3.25/FX,2)</f>
        <v>0.45</v>
      </c>
      <c r="D694" s="21" t="s">
        <v>724</v>
      </c>
      <c r="E694" s="21" t="s">
        <v>23044</v>
      </c>
      <c r="F694" s="21" t="s">
        <v>6336</v>
      </c>
    </row>
    <row r="695" customFormat="false" ht="28.35" hidden="false" customHeight="false" outlineLevel="0" collapsed="false">
      <c r="B695" s="19" t="s">
        <v>23046</v>
      </c>
      <c r="C695" s="20" t="n">
        <f aca="false">ROUND(2.47/FX,2)</f>
        <v>0.34</v>
      </c>
      <c r="D695" s="21" t="s">
        <v>724</v>
      </c>
      <c r="E695" s="21" t="s">
        <v>23047</v>
      </c>
      <c r="F695" s="21" t="s">
        <v>6568</v>
      </c>
    </row>
    <row r="696" customFormat="false" ht="28.35" hidden="false" customHeight="false" outlineLevel="0" collapsed="false">
      <c r="B696" s="19" t="s">
        <v>23048</v>
      </c>
      <c r="C696" s="20" t="n">
        <f aca="false">ROUND(1.95/FX,2)</f>
        <v>0.27</v>
      </c>
      <c r="D696" s="21" t="s">
        <v>724</v>
      </c>
      <c r="E696" s="21" t="s">
        <v>23049</v>
      </c>
      <c r="F696" s="21" t="s">
        <v>6568</v>
      </c>
    </row>
    <row r="697" customFormat="false" ht="28.35" hidden="false" customHeight="false" outlineLevel="0" collapsed="false">
      <c r="B697" s="19" t="s">
        <v>23050</v>
      </c>
      <c r="C697" s="20" t="n">
        <f aca="false">ROUND(1.56/FX,2)</f>
        <v>0.22</v>
      </c>
      <c r="D697" s="21" t="s">
        <v>6549</v>
      </c>
      <c r="E697" s="21" t="s">
        <v>23047</v>
      </c>
      <c r="F697" s="21" t="s">
        <v>6568</v>
      </c>
    </row>
    <row r="698" customFormat="false" ht="28.35" hidden="false" customHeight="false" outlineLevel="0" collapsed="false">
      <c r="B698" s="19" t="s">
        <v>23051</v>
      </c>
      <c r="C698" s="20" t="n">
        <f aca="false">ROUND(1.56/FX,2)</f>
        <v>0.22</v>
      </c>
      <c r="D698" s="21" t="s">
        <v>6549</v>
      </c>
      <c r="E698" s="21" t="s">
        <v>23049</v>
      </c>
      <c r="F698" s="21" t="s">
        <v>6568</v>
      </c>
    </row>
    <row r="699" customFormat="false" ht="28.35" hidden="false" customHeight="false" outlineLevel="0" collapsed="false">
      <c r="B699" s="19" t="s">
        <v>23052</v>
      </c>
      <c r="C699" s="20" t="n">
        <f aca="false">ROUND(2.28/FX,2)</f>
        <v>0.32</v>
      </c>
      <c r="D699" s="21" t="s">
        <v>6549</v>
      </c>
      <c r="E699" s="21" t="s">
        <v>23053</v>
      </c>
      <c r="F699" s="21" t="s">
        <v>21692</v>
      </c>
    </row>
    <row r="700" customFormat="false" ht="15" hidden="false" customHeight="false" outlineLevel="0" collapsed="false">
      <c r="B700" s="19" t="s">
        <v>23054</v>
      </c>
      <c r="C700" s="20" t="n">
        <f aca="false">ROUND(2.34/FX,2)</f>
        <v>0.33</v>
      </c>
      <c r="D700" s="21" t="s">
        <v>6549</v>
      </c>
      <c r="E700" s="21" t="s">
        <v>23044</v>
      </c>
      <c r="F700" s="21" t="s">
        <v>6336</v>
      </c>
    </row>
    <row r="701" customFormat="false" ht="15" hidden="false" customHeight="false" outlineLevel="0" collapsed="false">
      <c r="B701" s="19" t="s">
        <v>23055</v>
      </c>
      <c r="C701" s="20" t="n">
        <f aca="false">ROUND(2.86/FX,2)</f>
        <v>0.4</v>
      </c>
      <c r="D701" s="21" t="s">
        <v>6549</v>
      </c>
      <c r="E701" s="21" t="s">
        <v>23056</v>
      </c>
      <c r="F701" s="21" t="s">
        <v>6336</v>
      </c>
    </row>
    <row r="702" customFormat="false" ht="15" hidden="false" customHeight="false" outlineLevel="0" collapsed="false">
      <c r="B702" s="19" t="s">
        <v>23057</v>
      </c>
      <c r="C702" s="20" t="n">
        <f aca="false">ROUND(3.77/FX,2)</f>
        <v>0.52</v>
      </c>
      <c r="D702" s="21" t="s">
        <v>6549</v>
      </c>
      <c r="E702" s="21" t="s">
        <v>23058</v>
      </c>
      <c r="F702" s="21" t="s">
        <v>6336</v>
      </c>
    </row>
    <row r="703" customFormat="false" ht="15" hidden="false" customHeight="false" outlineLevel="0" collapsed="false">
      <c r="B703" s="19" t="s">
        <v>23059</v>
      </c>
      <c r="C703" s="20" t="n">
        <f aca="false">ROUND(2.34/FX,2)</f>
        <v>0.33</v>
      </c>
      <c r="D703" s="21" t="s">
        <v>6549</v>
      </c>
      <c r="E703" s="21" t="s">
        <v>23060</v>
      </c>
      <c r="F703" s="21" t="s">
        <v>6336</v>
      </c>
    </row>
    <row r="706" customFormat="false" ht="61.5" hidden="false" customHeight="true" outlineLevel="0" collapsed="false">
      <c r="A706" s="9"/>
      <c r="B706" s="10" t="s">
        <v>23061</v>
      </c>
      <c r="C706" s="10"/>
      <c r="D706" s="10"/>
    </row>
    <row r="707" customFormat="false" ht="15" hidden="false" customHeight="false" outlineLevel="0" collapsed="false">
      <c r="B707" s="18" t="s">
        <v>701</v>
      </c>
      <c r="C707" s="18" t="s">
        <v>702</v>
      </c>
      <c r="D707" s="18" t="s">
        <v>5610</v>
      </c>
    </row>
    <row r="708" customFormat="false" ht="15" hidden="false" customHeight="false" outlineLevel="0" collapsed="false">
      <c r="B708" s="19" t="s">
        <v>23062</v>
      </c>
      <c r="C708" s="20" t="n">
        <f aca="false">ROUND(15.42/FX,2)</f>
        <v>2.14</v>
      </c>
      <c r="D708" s="22" t="s">
        <v>5612</v>
      </c>
    </row>
    <row r="711" customFormat="false" ht="61.5" hidden="false" customHeight="true" outlineLevel="0" collapsed="false">
      <c r="A711" s="9"/>
      <c r="B711" s="10" t="s">
        <v>23063</v>
      </c>
      <c r="C711" s="10"/>
      <c r="D711" s="10"/>
      <c r="E711" s="10"/>
    </row>
    <row r="712" customFormat="false" ht="15" hidden="false" customHeight="false" outlineLevel="0" collapsed="false">
      <c r="A712" s="12" t="s">
        <v>700</v>
      </c>
      <c r="B712" s="13" t="s">
        <v>701</v>
      </c>
      <c r="C712" s="13" t="s">
        <v>702</v>
      </c>
      <c r="D712" s="13" t="s">
        <v>722</v>
      </c>
      <c r="E712" s="13" t="s">
        <v>723</v>
      </c>
    </row>
    <row r="713" customFormat="false" ht="30" hidden="false" customHeight="true" outlineLevel="0" collapsed="false">
      <c r="A713" s="14" t="s">
        <v>706</v>
      </c>
      <c r="B713" s="15" t="str">
        <f aca="false">IF(COUNTIFS($D$716:$D$718,IF(D713="","*",D713),$E$716:$E$718,IF(E713="","*",E713))=1,INDEX($B:$B,SUMPRODUCT(((D713="")+($D$716:$D$718=D713)&gt;0)*((E713="")+($E$716:$E$718=E713)&gt;0)*ROW($B$716:$B$718))),IF(COUNTIFS($D$716:$D$718,IF(D713="","*",D713),$E$716:$E$718,IF(E713="","*",E713))=0,"Not available",COUNTIFS($D$716:$D$718,IF(D713="","*",D713),$E$716:$E$718,IF(E713="","*",E713))&amp;" match, keep choosing"))</f>
        <v>AL-021-BK-XKD-AK</v>
      </c>
      <c r="C713" s="16" t="n">
        <f aca="false">IF(COUNTIFS($D$716:$D$718,IF(D713="","*",D713),$E$716:$E$718,IF(E713="","*",E713))=1,INDEX($C:$C,SUMPRODUCT(((D713="")+($D$716:$D$718=D713)&gt;0)*((E713="")+($E$716:$E$718=E713)&gt;0)*ROW($B$716:$B$718))),"")</f>
        <v>0.16</v>
      </c>
      <c r="D713" s="17" t="s">
        <v>724</v>
      </c>
      <c r="E713" s="17" t="s">
        <v>23064</v>
      </c>
    </row>
    <row r="715" customFormat="false" ht="15" hidden="false" customHeight="false" outlineLevel="0" collapsed="false">
      <c r="B715" s="18" t="s">
        <v>701</v>
      </c>
      <c r="C715" s="18" t="s">
        <v>702</v>
      </c>
      <c r="D715" s="18" t="s">
        <v>722</v>
      </c>
      <c r="E715" s="18" t="s">
        <v>723</v>
      </c>
    </row>
    <row r="716" customFormat="false" ht="15" hidden="false" customHeight="false" outlineLevel="0" collapsed="false">
      <c r="B716" s="19" t="s">
        <v>23065</v>
      </c>
      <c r="C716" s="20" t="n">
        <f aca="false">ROUND(1.17/FX,2)</f>
        <v>0.16</v>
      </c>
      <c r="D716" s="21" t="s">
        <v>724</v>
      </c>
      <c r="E716" s="21" t="s">
        <v>23064</v>
      </c>
    </row>
    <row r="717" customFormat="false" ht="15" hidden="false" customHeight="false" outlineLevel="0" collapsed="false">
      <c r="B717" s="19" t="s">
        <v>23066</v>
      </c>
      <c r="C717" s="20" t="n">
        <f aca="false">ROUND(0.72/FX,2)</f>
        <v>0.1</v>
      </c>
      <c r="D717" s="21" t="s">
        <v>6549</v>
      </c>
      <c r="E717" s="21" t="s">
        <v>23064</v>
      </c>
    </row>
    <row r="718" customFormat="false" ht="28.35" hidden="false" customHeight="false" outlineLevel="0" collapsed="false">
      <c r="B718" s="19" t="s">
        <v>23067</v>
      </c>
      <c r="C718" s="20" t="n">
        <f aca="false">ROUND(1.04/FX,2)</f>
        <v>0.14</v>
      </c>
      <c r="D718" s="21" t="s">
        <v>6549</v>
      </c>
      <c r="E718" s="21" t="s">
        <v>23068</v>
      </c>
    </row>
    <row r="721" customFormat="false" ht="61.5" hidden="false" customHeight="true" outlineLevel="0" collapsed="false">
      <c r="A721" s="9"/>
      <c r="B721" s="10" t="s">
        <v>23069</v>
      </c>
      <c r="C721" s="10"/>
      <c r="D721" s="10"/>
    </row>
    <row r="722" customFormat="false" ht="15" hidden="false" customHeight="false" outlineLevel="0" collapsed="false">
      <c r="A722" s="12" t="s">
        <v>700</v>
      </c>
      <c r="B722" s="13" t="s">
        <v>701</v>
      </c>
      <c r="C722" s="13" t="s">
        <v>702</v>
      </c>
      <c r="D722" s="13" t="s">
        <v>723</v>
      </c>
    </row>
    <row r="723" customFormat="false" ht="30" hidden="false" customHeight="true" outlineLevel="0" collapsed="false">
      <c r="A723" s="14" t="s">
        <v>706</v>
      </c>
      <c r="B723" s="15" t="str">
        <f aca="false">IF(COUNTIFS($D$726:$D$728,IF(D723="","*",D723))=1,INDEX($B:$B,SUMPRODUCT(((D723="")+($D$726:$D$728=D723)&gt;0)*ROW($B$726:$B$728))),IF(COUNTIFS($D$726:$D$728,IF(D723="","*",D723))=0,"Not available",COUNTIFS($D$726:$D$728,IF(D723="","*",D723))&amp;" match, keep choosing"))</f>
        <v>AL-027-3030</v>
      </c>
      <c r="C723" s="16" t="n">
        <f aca="false">IF(COUNTIFS($D$726:$D$728,IF(D723="","*",D723))=1,INDEX($C:$C,SUMPRODUCT(((D723="")+($D$726:$D$728=D723)&gt;0)*ROW($B$726:$B$728))),"")</f>
        <v>0.27</v>
      </c>
      <c r="D723" s="17" t="s">
        <v>22839</v>
      </c>
    </row>
    <row r="725" customFormat="false" ht="15" hidden="false" customHeight="false" outlineLevel="0" collapsed="false">
      <c r="B725" s="18" t="s">
        <v>701</v>
      </c>
      <c r="C725" s="18" t="s">
        <v>702</v>
      </c>
      <c r="D725" s="18" t="s">
        <v>723</v>
      </c>
    </row>
    <row r="726" customFormat="false" ht="15" hidden="false" customHeight="false" outlineLevel="0" collapsed="false">
      <c r="B726" s="19" t="s">
        <v>23070</v>
      </c>
      <c r="C726" s="20" t="n">
        <f aca="false">ROUND(1.95/FX,2)</f>
        <v>0.27</v>
      </c>
      <c r="D726" s="21" t="s">
        <v>22839</v>
      </c>
    </row>
    <row r="727" customFormat="false" ht="15" hidden="false" customHeight="false" outlineLevel="0" collapsed="false">
      <c r="B727" s="19" t="s">
        <v>23071</v>
      </c>
      <c r="C727" s="20" t="n">
        <f aca="false">ROUND(3.25/FX,2)</f>
        <v>0.45</v>
      </c>
      <c r="D727" s="21" t="s">
        <v>16919</v>
      </c>
    </row>
    <row r="728" customFormat="false" ht="15" hidden="false" customHeight="false" outlineLevel="0" collapsed="false">
      <c r="B728" s="19" t="s">
        <v>23072</v>
      </c>
      <c r="C728" s="20" t="n">
        <f aca="false">ROUND(4.29/FX,2)</f>
        <v>0.6</v>
      </c>
      <c r="D728" s="21" t="s">
        <v>22850</v>
      </c>
    </row>
    <row r="731" customFormat="false" ht="61.5" hidden="false" customHeight="true" outlineLevel="0" collapsed="false">
      <c r="A731" s="9"/>
      <c r="B731" s="10" t="s">
        <v>23073</v>
      </c>
      <c r="C731" s="10"/>
      <c r="D731" s="10"/>
    </row>
    <row r="732" customFormat="false" ht="15" hidden="false" customHeight="false" outlineLevel="0" collapsed="false">
      <c r="B732" s="18" t="s">
        <v>701</v>
      </c>
      <c r="C732" s="18" t="s">
        <v>702</v>
      </c>
      <c r="D732" s="18" t="s">
        <v>5610</v>
      </c>
    </row>
    <row r="733" customFormat="false" ht="15" hidden="false" customHeight="false" outlineLevel="0" collapsed="false">
      <c r="B733" s="19" t="s">
        <v>23074</v>
      </c>
      <c r="C733" s="20" t="n">
        <f aca="false">ROUND(26/FX,2)</f>
        <v>3.61</v>
      </c>
      <c r="D733" s="22" t="s">
        <v>5612</v>
      </c>
    </row>
    <row r="736" customFormat="false" ht="61.5" hidden="false" customHeight="true" outlineLevel="0" collapsed="false">
      <c r="A736" s="9"/>
      <c r="B736" s="10" t="s">
        <v>23075</v>
      </c>
      <c r="C736" s="10"/>
      <c r="D736" s="10"/>
      <c r="E736" s="10"/>
    </row>
    <row r="737" customFormat="false" ht="15" hidden="false" customHeight="false" outlineLevel="0" collapsed="false">
      <c r="A737" s="12" t="s">
        <v>700</v>
      </c>
      <c r="B737" s="13" t="s">
        <v>701</v>
      </c>
      <c r="C737" s="13" t="s">
        <v>702</v>
      </c>
      <c r="D737" s="13" t="s">
        <v>722</v>
      </c>
      <c r="E737" s="13" t="s">
        <v>723</v>
      </c>
    </row>
    <row r="738" customFormat="false" ht="30" hidden="false" customHeight="true" outlineLevel="0" collapsed="false">
      <c r="A738" s="14" t="s">
        <v>706</v>
      </c>
      <c r="B738" s="15" t="str">
        <f aca="false">IF(COUNTIFS($D$741:$D$806,IF(D738="","*",D738),$E$741:$E$806,IF(E738="","*",E738))=1,INDEX($B:$B,SUMPRODUCT(((D738="")+($D$741:$D$806=D738)&gt;0)*((E738="")+($E$741:$E$806=E738)&gt;0)*ROW($B$741:$B$806))),IF(COUNTIFS($D$741:$D$806,IF(D738="","*",D738),$E$741:$E$806,IF(E738="","*",E738))=0,"Not available",COUNTIFS($D$741:$D$806,IF(D738="","*",D738),$E$741:$E$806,IF(E738="","*",E738))&amp;" match, keep choosing"))</f>
        <v>AL-028-BK-1515-2H</v>
      </c>
      <c r="C738" s="16" t="n">
        <f aca="false">IF(COUNTIFS($D$741:$D$806,IF(D738="","*",D738),$E$741:$E$806,IF(E738="","*",E738))=1,INDEX($C:$C,SUMPRODUCT(((D738="")+($D$741:$D$806=D738)&gt;0)*((E738="")+($E$741:$E$806=E738)&gt;0)*ROW($B$741:$B$806))),"")</f>
        <v>0.18</v>
      </c>
      <c r="D738" s="17" t="s">
        <v>724</v>
      </c>
      <c r="E738" s="17" t="s">
        <v>23076</v>
      </c>
    </row>
    <row r="740" customFormat="false" ht="15" hidden="false" customHeight="false" outlineLevel="0" collapsed="false">
      <c r="B740" s="18" t="s">
        <v>701</v>
      </c>
      <c r="C740" s="18" t="s">
        <v>702</v>
      </c>
      <c r="D740" s="18" t="s">
        <v>722</v>
      </c>
      <c r="E740" s="18" t="s">
        <v>723</v>
      </c>
    </row>
    <row r="741" customFormat="false" ht="15" hidden="false" customHeight="false" outlineLevel="0" collapsed="false">
      <c r="B741" s="19" t="s">
        <v>23077</v>
      </c>
      <c r="C741" s="20" t="n">
        <f aca="false">ROUND(1.3/FX,2)</f>
        <v>0.18</v>
      </c>
      <c r="D741" s="21" t="s">
        <v>724</v>
      </c>
      <c r="E741" s="21" t="s">
        <v>23076</v>
      </c>
    </row>
    <row r="742" customFormat="false" ht="15" hidden="false" customHeight="false" outlineLevel="0" collapsed="false">
      <c r="B742" s="19" t="s">
        <v>23078</v>
      </c>
      <c r="C742" s="20" t="n">
        <f aca="false">ROUND(1.3/FX,2)</f>
        <v>0.18</v>
      </c>
      <c r="D742" s="21" t="s">
        <v>724</v>
      </c>
      <c r="E742" s="21" t="s">
        <v>23079</v>
      </c>
    </row>
    <row r="743" customFormat="false" ht="15" hidden="false" customHeight="false" outlineLevel="0" collapsed="false">
      <c r="B743" s="19" t="s">
        <v>23080</v>
      </c>
      <c r="C743" s="20" t="n">
        <f aca="false">ROUND(1.43/FX,2)</f>
        <v>0.2</v>
      </c>
      <c r="D743" s="21" t="s">
        <v>724</v>
      </c>
      <c r="E743" s="21" t="s">
        <v>23081</v>
      </c>
    </row>
    <row r="744" customFormat="false" ht="15" hidden="false" customHeight="false" outlineLevel="0" collapsed="false">
      <c r="B744" s="19" t="s">
        <v>23082</v>
      </c>
      <c r="C744" s="20" t="n">
        <f aca="false">ROUND(4.68/FX,2)</f>
        <v>0.65</v>
      </c>
      <c r="D744" s="21" t="s">
        <v>724</v>
      </c>
      <c r="E744" s="21" t="s">
        <v>23083</v>
      </c>
    </row>
    <row r="745" customFormat="false" ht="15" hidden="false" customHeight="false" outlineLevel="0" collapsed="false">
      <c r="B745" s="19" t="s">
        <v>23084</v>
      </c>
      <c r="C745" s="20" t="n">
        <f aca="false">ROUND(3.9/FX,2)</f>
        <v>0.54</v>
      </c>
      <c r="D745" s="21" t="s">
        <v>724</v>
      </c>
      <c r="E745" s="21" t="s">
        <v>23085</v>
      </c>
    </row>
    <row r="746" customFormat="false" ht="15" hidden="false" customHeight="false" outlineLevel="0" collapsed="false">
      <c r="B746" s="19" t="s">
        <v>23086</v>
      </c>
      <c r="C746" s="20" t="n">
        <f aca="false">ROUND(4.42/FX,2)</f>
        <v>0.61</v>
      </c>
      <c r="D746" s="21" t="s">
        <v>724</v>
      </c>
      <c r="E746" s="21" t="s">
        <v>23087</v>
      </c>
    </row>
    <row r="747" customFormat="false" ht="15" hidden="false" customHeight="false" outlineLevel="0" collapsed="false">
      <c r="B747" s="19" t="s">
        <v>23088</v>
      </c>
      <c r="C747" s="20" t="n">
        <f aca="false">ROUND(6.37/FX,2)</f>
        <v>0.88</v>
      </c>
      <c r="D747" s="21" t="s">
        <v>724</v>
      </c>
      <c r="E747" s="21" t="s">
        <v>23089</v>
      </c>
    </row>
    <row r="748" customFormat="false" ht="15" hidden="false" customHeight="false" outlineLevel="0" collapsed="false">
      <c r="B748" s="19" t="s">
        <v>23090</v>
      </c>
      <c r="C748" s="20" t="n">
        <f aca="false">ROUND(3.25/FX,2)</f>
        <v>0.45</v>
      </c>
      <c r="D748" s="21" t="s">
        <v>724</v>
      </c>
      <c r="E748" s="21" t="s">
        <v>23091</v>
      </c>
    </row>
    <row r="749" customFormat="false" ht="15" hidden="false" customHeight="false" outlineLevel="0" collapsed="false">
      <c r="B749" s="19" t="s">
        <v>23092</v>
      </c>
      <c r="C749" s="20" t="n">
        <f aca="false">ROUND(6.5/FX,2)</f>
        <v>0.9</v>
      </c>
      <c r="D749" s="21" t="s">
        <v>724</v>
      </c>
      <c r="E749" s="21" t="s">
        <v>23093</v>
      </c>
    </row>
    <row r="750" customFormat="false" ht="15" hidden="false" customHeight="false" outlineLevel="0" collapsed="false">
      <c r="B750" s="19" t="s">
        <v>23094</v>
      </c>
      <c r="C750" s="20" t="n">
        <f aca="false">ROUND(7.8/FX,2)</f>
        <v>1.08</v>
      </c>
      <c r="D750" s="21" t="s">
        <v>724</v>
      </c>
      <c r="E750" s="21" t="s">
        <v>23095</v>
      </c>
    </row>
    <row r="751" customFormat="false" ht="15" hidden="false" customHeight="false" outlineLevel="0" collapsed="false">
      <c r="B751" s="19" t="s">
        <v>23096</v>
      </c>
      <c r="C751" s="20" t="n">
        <f aca="false">ROUND(9.88/FX,2)</f>
        <v>1.37</v>
      </c>
      <c r="D751" s="21" t="s">
        <v>724</v>
      </c>
      <c r="E751" s="21" t="s">
        <v>23097</v>
      </c>
    </row>
    <row r="752" customFormat="false" ht="15" hidden="false" customHeight="false" outlineLevel="0" collapsed="false">
      <c r="B752" s="19" t="s">
        <v>23098</v>
      </c>
      <c r="C752" s="20" t="n">
        <f aca="false">ROUND(11.7/FX,2)</f>
        <v>1.63</v>
      </c>
      <c r="D752" s="21" t="s">
        <v>724</v>
      </c>
      <c r="E752" s="21" t="s">
        <v>23099</v>
      </c>
    </row>
    <row r="753" customFormat="false" ht="28.35" hidden="false" customHeight="false" outlineLevel="0" collapsed="false">
      <c r="B753" s="19" t="s">
        <v>23100</v>
      </c>
      <c r="C753" s="20" t="n">
        <f aca="false">ROUND(2.08/FX,2)</f>
        <v>0.29</v>
      </c>
      <c r="D753" s="21" t="s">
        <v>724</v>
      </c>
      <c r="E753" s="21" t="s">
        <v>23101</v>
      </c>
    </row>
    <row r="754" customFormat="false" ht="28.35" hidden="false" customHeight="false" outlineLevel="0" collapsed="false">
      <c r="B754" s="19" t="s">
        <v>23102</v>
      </c>
      <c r="C754" s="20" t="n">
        <f aca="false">ROUND(15.6/FX,2)</f>
        <v>2.17</v>
      </c>
      <c r="D754" s="21" t="s">
        <v>724</v>
      </c>
      <c r="E754" s="21" t="s">
        <v>23103</v>
      </c>
    </row>
    <row r="755" customFormat="false" ht="28.35" hidden="false" customHeight="false" outlineLevel="0" collapsed="false">
      <c r="B755" s="19" t="s">
        <v>23104</v>
      </c>
      <c r="C755" s="20" t="n">
        <f aca="false">ROUND(1.69/FX,2)</f>
        <v>0.23</v>
      </c>
      <c r="D755" s="21" t="s">
        <v>724</v>
      </c>
      <c r="E755" s="21" t="s">
        <v>23105</v>
      </c>
    </row>
    <row r="756" customFormat="false" ht="28.35" hidden="false" customHeight="false" outlineLevel="0" collapsed="false">
      <c r="B756" s="19" t="s">
        <v>23106</v>
      </c>
      <c r="C756" s="20" t="n">
        <f aca="false">ROUND(2.08/FX,2)</f>
        <v>0.29</v>
      </c>
      <c r="D756" s="21" t="s">
        <v>724</v>
      </c>
      <c r="E756" s="21" t="s">
        <v>23107</v>
      </c>
    </row>
    <row r="757" customFormat="false" ht="28.35" hidden="false" customHeight="false" outlineLevel="0" collapsed="false">
      <c r="B757" s="19" t="s">
        <v>23108</v>
      </c>
      <c r="C757" s="20" t="n">
        <f aca="false">ROUND(1.69/FX,2)</f>
        <v>0.23</v>
      </c>
      <c r="D757" s="21" t="s">
        <v>724</v>
      </c>
      <c r="E757" s="21" t="s">
        <v>23109</v>
      </c>
    </row>
    <row r="758" customFormat="false" ht="28.35" hidden="false" customHeight="false" outlineLevel="0" collapsed="false">
      <c r="B758" s="19" t="s">
        <v>23110</v>
      </c>
      <c r="C758" s="20" t="n">
        <f aca="false">ROUND(2.28/FX,2)</f>
        <v>0.32</v>
      </c>
      <c r="D758" s="21" t="s">
        <v>724</v>
      </c>
      <c r="E758" s="21" t="s">
        <v>23111</v>
      </c>
    </row>
    <row r="759" customFormat="false" ht="28.35" hidden="false" customHeight="false" outlineLevel="0" collapsed="false">
      <c r="B759" s="19" t="s">
        <v>23112</v>
      </c>
      <c r="C759" s="20" t="n">
        <f aca="false">ROUND(3.9/FX,2)</f>
        <v>0.54</v>
      </c>
      <c r="D759" s="21" t="s">
        <v>724</v>
      </c>
      <c r="E759" s="21" t="s">
        <v>23113</v>
      </c>
    </row>
    <row r="760" customFormat="false" ht="28.35" hidden="false" customHeight="false" outlineLevel="0" collapsed="false">
      <c r="B760" s="19" t="s">
        <v>23114</v>
      </c>
      <c r="C760" s="20" t="n">
        <f aca="false">ROUND(1.17/FX,2)</f>
        <v>0.16</v>
      </c>
      <c r="D760" s="21" t="s">
        <v>724</v>
      </c>
      <c r="E760" s="21" t="s">
        <v>23115</v>
      </c>
    </row>
    <row r="761" customFormat="false" ht="28.35" hidden="false" customHeight="false" outlineLevel="0" collapsed="false">
      <c r="B761" s="19" t="s">
        <v>23116</v>
      </c>
      <c r="C761" s="20" t="n">
        <f aca="false">ROUND(2.34/FX,2)</f>
        <v>0.33</v>
      </c>
      <c r="D761" s="21" t="s">
        <v>724</v>
      </c>
      <c r="E761" s="21" t="s">
        <v>23117</v>
      </c>
    </row>
    <row r="762" customFormat="false" ht="28.35" hidden="false" customHeight="false" outlineLevel="0" collapsed="false">
      <c r="B762" s="19" t="s">
        <v>23118</v>
      </c>
      <c r="C762" s="20" t="n">
        <f aca="false">ROUND(3.77/FX,2)</f>
        <v>0.52</v>
      </c>
      <c r="D762" s="21" t="s">
        <v>724</v>
      </c>
      <c r="E762" s="21" t="s">
        <v>23119</v>
      </c>
    </row>
    <row r="763" customFormat="false" ht="28.35" hidden="false" customHeight="false" outlineLevel="0" collapsed="false">
      <c r="B763" s="19" t="s">
        <v>23120</v>
      </c>
      <c r="C763" s="20" t="n">
        <f aca="false">ROUND(2.6/FX,2)</f>
        <v>0.36</v>
      </c>
      <c r="D763" s="21" t="s">
        <v>724</v>
      </c>
      <c r="E763" s="21" t="s">
        <v>23121</v>
      </c>
    </row>
    <row r="764" customFormat="false" ht="28.35" hidden="false" customHeight="false" outlineLevel="0" collapsed="false">
      <c r="B764" s="19" t="s">
        <v>23122</v>
      </c>
      <c r="C764" s="20" t="n">
        <f aca="false">ROUND(1.56/FX,2)</f>
        <v>0.22</v>
      </c>
      <c r="D764" s="21" t="s">
        <v>6549</v>
      </c>
      <c r="E764" s="21" t="s">
        <v>23123</v>
      </c>
    </row>
    <row r="765" customFormat="false" ht="28.35" hidden="false" customHeight="false" outlineLevel="0" collapsed="false">
      <c r="B765" s="19" t="s">
        <v>23124</v>
      </c>
      <c r="C765" s="20" t="n">
        <f aca="false">ROUND(1.82/FX,2)</f>
        <v>0.25</v>
      </c>
      <c r="D765" s="21" t="s">
        <v>6549</v>
      </c>
      <c r="E765" s="21" t="s">
        <v>23125</v>
      </c>
    </row>
    <row r="766" customFormat="false" ht="28.35" hidden="false" customHeight="false" outlineLevel="0" collapsed="false">
      <c r="B766" s="19" t="s">
        <v>23126</v>
      </c>
      <c r="C766" s="20" t="n">
        <f aca="false">ROUND(1.37/FX,2)</f>
        <v>0.19</v>
      </c>
      <c r="D766" s="21" t="s">
        <v>6549</v>
      </c>
      <c r="E766" s="21" t="s">
        <v>23127</v>
      </c>
    </row>
    <row r="767" customFormat="false" ht="28.35" hidden="false" customHeight="false" outlineLevel="0" collapsed="false">
      <c r="B767" s="19" t="s">
        <v>23128</v>
      </c>
      <c r="C767" s="20" t="n">
        <f aca="false">ROUND(2.28/FX,2)</f>
        <v>0.32</v>
      </c>
      <c r="D767" s="21" t="s">
        <v>6549</v>
      </c>
      <c r="E767" s="21" t="s">
        <v>23129</v>
      </c>
    </row>
    <row r="768" customFormat="false" ht="28.35" hidden="false" customHeight="false" outlineLevel="0" collapsed="false">
      <c r="B768" s="19" t="s">
        <v>23130</v>
      </c>
      <c r="C768" s="20" t="n">
        <f aca="false">ROUND(2.86/FX,2)</f>
        <v>0.4</v>
      </c>
      <c r="D768" s="21" t="s">
        <v>6549</v>
      </c>
      <c r="E768" s="21" t="s">
        <v>23131</v>
      </c>
    </row>
    <row r="769" customFormat="false" ht="28.35" hidden="false" customHeight="false" outlineLevel="0" collapsed="false">
      <c r="B769" s="19" t="s">
        <v>23132</v>
      </c>
      <c r="C769" s="20" t="n">
        <f aca="false">ROUND(2.45/FX,2)</f>
        <v>0.34</v>
      </c>
      <c r="D769" s="21" t="s">
        <v>6549</v>
      </c>
      <c r="E769" s="21" t="s">
        <v>23133</v>
      </c>
    </row>
    <row r="770" customFormat="false" ht="28.35" hidden="false" customHeight="false" outlineLevel="0" collapsed="false">
      <c r="B770" s="19" t="s">
        <v>23134</v>
      </c>
      <c r="C770" s="20" t="n">
        <f aca="false">ROUND(4.42/FX,2)</f>
        <v>0.61</v>
      </c>
      <c r="D770" s="21" t="s">
        <v>6549</v>
      </c>
      <c r="E770" s="21" t="s">
        <v>23135</v>
      </c>
    </row>
    <row r="771" customFormat="false" ht="28.35" hidden="false" customHeight="false" outlineLevel="0" collapsed="false">
      <c r="B771" s="19" t="s">
        <v>23136</v>
      </c>
      <c r="C771" s="20" t="n">
        <f aca="false">ROUND(3.58/FX,2)</f>
        <v>0.5</v>
      </c>
      <c r="D771" s="21" t="s">
        <v>6549</v>
      </c>
      <c r="E771" s="21" t="s">
        <v>23137</v>
      </c>
    </row>
    <row r="772" customFormat="false" ht="28.35" hidden="false" customHeight="false" outlineLevel="0" collapsed="false">
      <c r="B772" s="19" t="s">
        <v>23138</v>
      </c>
      <c r="C772" s="20" t="n">
        <f aca="false">ROUND(5.07/FX,2)</f>
        <v>0.7</v>
      </c>
      <c r="D772" s="21" t="s">
        <v>6549</v>
      </c>
      <c r="E772" s="21" t="s">
        <v>23139</v>
      </c>
    </row>
    <row r="773" customFormat="false" ht="28.35" hidden="false" customHeight="false" outlineLevel="0" collapsed="false">
      <c r="B773" s="19" t="s">
        <v>23140</v>
      </c>
      <c r="C773" s="20" t="n">
        <f aca="false">ROUND(3.25/FX,2)</f>
        <v>0.45</v>
      </c>
      <c r="D773" s="21" t="s">
        <v>6549</v>
      </c>
      <c r="E773" s="21" t="s">
        <v>23141</v>
      </c>
    </row>
    <row r="774" customFormat="false" ht="15" hidden="false" customHeight="false" outlineLevel="0" collapsed="false">
      <c r="B774" s="19" t="s">
        <v>23142</v>
      </c>
      <c r="C774" s="20" t="n">
        <f aca="false">ROUND(16.25/FX,2)</f>
        <v>2.26</v>
      </c>
      <c r="D774" s="21" t="s">
        <v>751</v>
      </c>
      <c r="E774" s="21" t="s">
        <v>23143</v>
      </c>
    </row>
    <row r="775" customFormat="false" ht="15" hidden="false" customHeight="false" outlineLevel="0" collapsed="false">
      <c r="B775" s="19" t="s">
        <v>23144</v>
      </c>
      <c r="C775" s="20" t="n">
        <f aca="false">ROUND(20.15/FX,2)</f>
        <v>2.8</v>
      </c>
      <c r="D775" s="21" t="s">
        <v>751</v>
      </c>
      <c r="E775" s="21" t="s">
        <v>23145</v>
      </c>
    </row>
    <row r="776" customFormat="false" ht="15" hidden="false" customHeight="false" outlineLevel="0" collapsed="false">
      <c r="B776" s="19" t="s">
        <v>23146</v>
      </c>
      <c r="C776" s="20" t="n">
        <f aca="false">ROUND(20.8/FX,2)</f>
        <v>2.89</v>
      </c>
      <c r="D776" s="21" t="s">
        <v>751</v>
      </c>
      <c r="E776" s="21" t="s">
        <v>23147</v>
      </c>
    </row>
    <row r="777" customFormat="false" ht="15" hidden="false" customHeight="false" outlineLevel="0" collapsed="false">
      <c r="B777" s="19" t="s">
        <v>23148</v>
      </c>
      <c r="C777" s="20" t="n">
        <f aca="false">ROUND(1.3/FX,2)</f>
        <v>0.18</v>
      </c>
      <c r="D777" s="21" t="s">
        <v>751</v>
      </c>
      <c r="E777" s="21" t="s">
        <v>23076</v>
      </c>
    </row>
    <row r="778" customFormat="false" ht="15" hidden="false" customHeight="false" outlineLevel="0" collapsed="false">
      <c r="B778" s="19" t="s">
        <v>23149</v>
      </c>
      <c r="C778" s="20" t="n">
        <f aca="false">ROUND(1.3/FX,2)</f>
        <v>0.18</v>
      </c>
      <c r="D778" s="21" t="s">
        <v>751</v>
      </c>
      <c r="E778" s="21" t="s">
        <v>23079</v>
      </c>
    </row>
    <row r="779" customFormat="false" ht="15" hidden="false" customHeight="false" outlineLevel="0" collapsed="false">
      <c r="B779" s="19" t="s">
        <v>23150</v>
      </c>
      <c r="C779" s="20" t="n">
        <f aca="false">ROUND(1.17/FX,2)</f>
        <v>0.16</v>
      </c>
      <c r="D779" s="21" t="s">
        <v>751</v>
      </c>
      <c r="E779" s="21" t="s">
        <v>23151</v>
      </c>
    </row>
    <row r="780" customFormat="false" ht="15" hidden="false" customHeight="false" outlineLevel="0" collapsed="false">
      <c r="B780" s="19" t="s">
        <v>23152</v>
      </c>
      <c r="C780" s="20" t="n">
        <f aca="false">ROUND(1.43/FX,2)</f>
        <v>0.2</v>
      </c>
      <c r="D780" s="21" t="s">
        <v>751</v>
      </c>
      <c r="E780" s="21" t="s">
        <v>23081</v>
      </c>
    </row>
    <row r="781" customFormat="false" ht="15" hidden="false" customHeight="false" outlineLevel="0" collapsed="false">
      <c r="B781" s="19" t="s">
        <v>23153</v>
      </c>
      <c r="C781" s="20" t="n">
        <f aca="false">ROUND(2.34/FX,2)</f>
        <v>0.33</v>
      </c>
      <c r="D781" s="21" t="s">
        <v>751</v>
      </c>
      <c r="E781" s="21" t="s">
        <v>23154</v>
      </c>
    </row>
    <row r="782" customFormat="false" ht="15" hidden="false" customHeight="false" outlineLevel="0" collapsed="false">
      <c r="B782" s="19" t="s">
        <v>23155</v>
      </c>
      <c r="C782" s="20" t="n">
        <f aca="false">ROUND(2.08/FX,2)</f>
        <v>0.29</v>
      </c>
      <c r="D782" s="21" t="s">
        <v>751</v>
      </c>
      <c r="E782" s="21" t="s">
        <v>23156</v>
      </c>
    </row>
    <row r="783" customFormat="false" ht="15" hidden="false" customHeight="false" outlineLevel="0" collapsed="false">
      <c r="B783" s="19" t="s">
        <v>23157</v>
      </c>
      <c r="C783" s="20" t="n">
        <f aca="false">ROUND(4.29/FX,2)</f>
        <v>0.6</v>
      </c>
      <c r="D783" s="21" t="s">
        <v>751</v>
      </c>
      <c r="E783" s="21" t="s">
        <v>23083</v>
      </c>
    </row>
    <row r="784" customFormat="false" ht="15" hidden="false" customHeight="false" outlineLevel="0" collapsed="false">
      <c r="B784" s="19" t="s">
        <v>23158</v>
      </c>
      <c r="C784" s="20" t="n">
        <f aca="false">ROUND(3.9/FX,2)</f>
        <v>0.54</v>
      </c>
      <c r="D784" s="21" t="s">
        <v>751</v>
      </c>
      <c r="E784" s="21" t="s">
        <v>23159</v>
      </c>
    </row>
    <row r="785" customFormat="false" ht="15" hidden="false" customHeight="false" outlineLevel="0" collapsed="false">
      <c r="B785" s="19" t="s">
        <v>23160</v>
      </c>
      <c r="C785" s="20" t="n">
        <f aca="false">ROUND(4.81/FX,2)</f>
        <v>0.67</v>
      </c>
      <c r="D785" s="21" t="s">
        <v>751</v>
      </c>
      <c r="E785" s="21" t="s">
        <v>23161</v>
      </c>
    </row>
    <row r="786" customFormat="false" ht="15" hidden="false" customHeight="false" outlineLevel="0" collapsed="false">
      <c r="B786" s="19" t="s">
        <v>23162</v>
      </c>
      <c r="C786" s="20" t="n">
        <f aca="false">ROUND(8.19/FX,2)</f>
        <v>1.14</v>
      </c>
      <c r="D786" s="21" t="s">
        <v>751</v>
      </c>
      <c r="E786" s="21" t="s">
        <v>23163</v>
      </c>
    </row>
    <row r="787" customFormat="false" ht="15" hidden="false" customHeight="false" outlineLevel="0" collapsed="false">
      <c r="B787" s="19" t="s">
        <v>23164</v>
      </c>
      <c r="C787" s="20" t="n">
        <f aca="false">ROUND(1.5/FX,2)</f>
        <v>0.21</v>
      </c>
      <c r="D787" s="21" t="s">
        <v>751</v>
      </c>
      <c r="E787" s="21" t="s">
        <v>23165</v>
      </c>
    </row>
    <row r="788" customFormat="false" ht="15" hidden="false" customHeight="false" outlineLevel="0" collapsed="false">
      <c r="B788" s="19" t="s">
        <v>23166</v>
      </c>
      <c r="C788" s="20" t="n">
        <f aca="false">ROUND(2.47/FX,2)</f>
        <v>0.34</v>
      </c>
      <c r="D788" s="21" t="s">
        <v>751</v>
      </c>
      <c r="E788" s="21" t="s">
        <v>23167</v>
      </c>
    </row>
    <row r="789" customFormat="false" ht="15" hidden="false" customHeight="false" outlineLevel="0" collapsed="false">
      <c r="B789" s="19" t="s">
        <v>23168</v>
      </c>
      <c r="C789" s="20" t="n">
        <f aca="false">ROUND(3.38/FX,2)</f>
        <v>0.47</v>
      </c>
      <c r="D789" s="21" t="s">
        <v>751</v>
      </c>
      <c r="E789" s="21" t="s">
        <v>23085</v>
      </c>
    </row>
    <row r="790" customFormat="false" ht="15" hidden="false" customHeight="false" outlineLevel="0" collapsed="false">
      <c r="B790" s="19" t="s">
        <v>23169</v>
      </c>
      <c r="C790" s="20" t="n">
        <f aca="false">ROUND(3.25/FX,2)</f>
        <v>0.45</v>
      </c>
      <c r="D790" s="21" t="s">
        <v>751</v>
      </c>
      <c r="E790" s="21" t="s">
        <v>23170</v>
      </c>
    </row>
    <row r="791" customFormat="false" ht="15" hidden="false" customHeight="false" outlineLevel="0" collapsed="false">
      <c r="B791" s="19" t="s">
        <v>23171</v>
      </c>
      <c r="C791" s="20" t="n">
        <f aca="false">ROUND(6.37/FX,2)</f>
        <v>0.88</v>
      </c>
      <c r="D791" s="21" t="s">
        <v>751</v>
      </c>
      <c r="E791" s="21" t="s">
        <v>23089</v>
      </c>
    </row>
    <row r="792" customFormat="false" ht="15" hidden="false" customHeight="false" outlineLevel="0" collapsed="false">
      <c r="B792" s="19" t="s">
        <v>23172</v>
      </c>
      <c r="C792" s="20" t="n">
        <f aca="false">ROUND(4.28/FX,2)</f>
        <v>0.59</v>
      </c>
      <c r="D792" s="21" t="s">
        <v>751</v>
      </c>
      <c r="E792" s="21" t="s">
        <v>23173</v>
      </c>
    </row>
    <row r="793" customFormat="false" ht="15" hidden="false" customHeight="false" outlineLevel="0" collapsed="false">
      <c r="B793" s="19" t="s">
        <v>23174</v>
      </c>
      <c r="C793" s="20" t="n">
        <f aca="false">ROUND(6.1/FX,2)</f>
        <v>0.85</v>
      </c>
      <c r="D793" s="21" t="s">
        <v>751</v>
      </c>
      <c r="E793" s="21" t="s">
        <v>23175</v>
      </c>
    </row>
    <row r="794" customFormat="false" ht="15" hidden="false" customHeight="false" outlineLevel="0" collapsed="false">
      <c r="B794" s="19" t="s">
        <v>23176</v>
      </c>
      <c r="C794" s="20" t="n">
        <f aca="false">ROUND(8.84/FX,2)</f>
        <v>1.23</v>
      </c>
      <c r="D794" s="21" t="s">
        <v>751</v>
      </c>
      <c r="E794" s="21" t="s">
        <v>23177</v>
      </c>
    </row>
    <row r="795" customFormat="false" ht="15" hidden="false" customHeight="false" outlineLevel="0" collapsed="false">
      <c r="B795" s="19" t="s">
        <v>23178</v>
      </c>
      <c r="C795" s="20" t="n">
        <f aca="false">ROUND(6.24/FX,2)</f>
        <v>0.87</v>
      </c>
      <c r="D795" s="21" t="s">
        <v>751</v>
      </c>
      <c r="E795" s="21" t="s">
        <v>23179</v>
      </c>
    </row>
    <row r="796" customFormat="false" ht="15" hidden="false" customHeight="false" outlineLevel="0" collapsed="false">
      <c r="B796" s="19" t="s">
        <v>23180</v>
      </c>
      <c r="C796" s="20" t="n">
        <f aca="false">ROUND(11.31/FX,2)</f>
        <v>1.57</v>
      </c>
      <c r="D796" s="21" t="s">
        <v>751</v>
      </c>
      <c r="E796" s="21" t="s">
        <v>23181</v>
      </c>
    </row>
    <row r="797" customFormat="false" ht="15" hidden="false" customHeight="false" outlineLevel="0" collapsed="false">
      <c r="B797" s="19" t="s">
        <v>23182</v>
      </c>
      <c r="C797" s="20" t="n">
        <f aca="false">ROUND(14.3/FX,2)</f>
        <v>1.99</v>
      </c>
      <c r="D797" s="21" t="s">
        <v>751</v>
      </c>
      <c r="E797" s="21" t="s">
        <v>23183</v>
      </c>
    </row>
    <row r="798" customFormat="false" ht="15" hidden="false" customHeight="false" outlineLevel="0" collapsed="false">
      <c r="B798" s="19" t="s">
        <v>23184</v>
      </c>
      <c r="C798" s="20" t="n">
        <f aca="false">ROUND(4.55/FX,2)</f>
        <v>0.63</v>
      </c>
      <c r="D798" s="21" t="s">
        <v>751</v>
      </c>
      <c r="E798" s="21" t="s">
        <v>23091</v>
      </c>
    </row>
    <row r="799" customFormat="false" ht="15" hidden="false" customHeight="false" outlineLevel="0" collapsed="false">
      <c r="B799" s="19" t="s">
        <v>23185</v>
      </c>
      <c r="C799" s="20" t="n">
        <f aca="false">ROUND(5.46/FX,2)</f>
        <v>0.76</v>
      </c>
      <c r="D799" s="21" t="s">
        <v>751</v>
      </c>
      <c r="E799" s="21" t="s">
        <v>23093</v>
      </c>
    </row>
    <row r="800" customFormat="false" ht="15" hidden="false" customHeight="false" outlineLevel="0" collapsed="false">
      <c r="B800" s="19" t="s">
        <v>23186</v>
      </c>
      <c r="C800" s="20" t="n">
        <f aca="false">ROUND(5.46/FX,2)</f>
        <v>0.76</v>
      </c>
      <c r="D800" s="21" t="s">
        <v>751</v>
      </c>
      <c r="E800" s="21" t="s">
        <v>23095</v>
      </c>
    </row>
    <row r="801" customFormat="false" ht="15" hidden="false" customHeight="false" outlineLevel="0" collapsed="false">
      <c r="B801" s="19" t="s">
        <v>23187</v>
      </c>
      <c r="C801" s="20" t="n">
        <f aca="false">ROUND(7.8/FX,2)</f>
        <v>1.08</v>
      </c>
      <c r="D801" s="21" t="s">
        <v>751</v>
      </c>
      <c r="E801" s="21" t="s">
        <v>23097</v>
      </c>
    </row>
    <row r="802" customFormat="false" ht="15" hidden="false" customHeight="false" outlineLevel="0" collapsed="false">
      <c r="B802" s="19" t="s">
        <v>23188</v>
      </c>
      <c r="C802" s="20" t="n">
        <f aca="false">ROUND(10.53/FX,2)</f>
        <v>1.46</v>
      </c>
      <c r="D802" s="21" t="s">
        <v>751</v>
      </c>
      <c r="E802" s="21" t="s">
        <v>23099</v>
      </c>
    </row>
    <row r="803" customFormat="false" ht="15" hidden="false" customHeight="false" outlineLevel="0" collapsed="false">
      <c r="B803" s="19" t="s">
        <v>23189</v>
      </c>
      <c r="C803" s="20" t="n">
        <f aca="false">ROUND(11.7/FX,2)</f>
        <v>1.63</v>
      </c>
      <c r="D803" s="21" t="s">
        <v>751</v>
      </c>
      <c r="E803" s="21" t="s">
        <v>23190</v>
      </c>
    </row>
    <row r="804" customFormat="false" ht="15" hidden="false" customHeight="false" outlineLevel="0" collapsed="false">
      <c r="B804" s="19" t="s">
        <v>23191</v>
      </c>
      <c r="C804" s="20" t="n">
        <f aca="false">ROUND(13.65/FX,2)</f>
        <v>1.9</v>
      </c>
      <c r="D804" s="21" t="s">
        <v>751</v>
      </c>
      <c r="E804" s="21" t="s">
        <v>23192</v>
      </c>
    </row>
    <row r="805" customFormat="false" ht="15" hidden="false" customHeight="false" outlineLevel="0" collapsed="false">
      <c r="B805" s="19" t="s">
        <v>23193</v>
      </c>
      <c r="C805" s="20" t="n">
        <f aca="false">ROUND(17.16/FX,2)</f>
        <v>2.38</v>
      </c>
      <c r="D805" s="21" t="s">
        <v>751</v>
      </c>
      <c r="E805" s="21" t="s">
        <v>23194</v>
      </c>
    </row>
    <row r="806" customFormat="false" ht="15" hidden="false" customHeight="false" outlineLevel="0" collapsed="false">
      <c r="B806" s="19" t="s">
        <v>23195</v>
      </c>
      <c r="C806" s="20" t="n">
        <f aca="false">ROUND(18.2/FX,2)</f>
        <v>2.53</v>
      </c>
      <c r="D806" s="21" t="s">
        <v>751</v>
      </c>
      <c r="E806" s="21" t="s">
        <v>23196</v>
      </c>
    </row>
    <row r="809" customFormat="false" ht="61.5" hidden="false" customHeight="true" outlineLevel="0" collapsed="false">
      <c r="A809" s="9"/>
      <c r="B809" s="10" t="s">
        <v>23197</v>
      </c>
      <c r="C809" s="10"/>
      <c r="D809" s="10"/>
      <c r="E809" s="10"/>
      <c r="F809" s="10"/>
    </row>
    <row r="810" customFormat="false" ht="15" hidden="false" customHeight="false" outlineLevel="0" collapsed="false">
      <c r="A810" s="12" t="s">
        <v>700</v>
      </c>
      <c r="B810" s="13" t="s">
        <v>701</v>
      </c>
      <c r="C810" s="13" t="s">
        <v>702</v>
      </c>
      <c r="D810" s="13" t="s">
        <v>704</v>
      </c>
      <c r="E810" s="13" t="s">
        <v>723</v>
      </c>
      <c r="F810" s="13" t="s">
        <v>6523</v>
      </c>
    </row>
    <row r="811" customFormat="false" ht="30" hidden="false" customHeight="true" outlineLevel="0" collapsed="false">
      <c r="A811" s="14" t="s">
        <v>706</v>
      </c>
      <c r="B811" s="15" t="str">
        <f aca="false">IF(COUNTIFS($D$814:$D$835,IF(D811="","*",D811),$E$814:$E$835,IF(E811="","*",E811),$F$814:$F$835,IF(F811="","*",F811))=1,INDEX($B:$B,SUMPRODUCT(((D811="")+($D$814:$D$835=D811)&gt;0)*((E811="")+($E$814:$E$835=E811)&gt;0)*((F811="")+($F$814:$F$835=F811)&gt;0)*ROW($B$814:$B$835))),IF(COUNTIFS($D$814:$D$835,IF(D811="","*",D811),$E$814:$E$835,IF(E811="","*",E811),$F$814:$F$835,IF(F811="","*",F811))=0,"Not available",COUNTIFS($D$814:$D$835,IF(D811="","*",D811),$E$814:$E$835,IF(E811="","*",E811),$F$814:$F$835,IF(F811="","*",F811))&amp;" match, keep choosing"))</f>
        <v>AL-050-18x18-CS-EU45-M8Z140-WJ-HLS</v>
      </c>
      <c r="C811" s="16" t="n">
        <f aca="false">IF(COUNTIFS($D$814:$D$835,IF(D811="","*",D811),$E$814:$E$835,IF(E811="","*",E811),$F$814:$F$835,IF(F811="","*",F811))=1,INDEX($C:$C,SUMPRODUCT(((D811="")+($D$814:$D$835=D811)&gt;0)*((E811="")+($E$814:$E$835=E811)&gt;0)*((F811="")+($F$814:$F$835=F811)&gt;0)*ROW($B$814:$B$835))),"")</f>
        <v>0.51</v>
      </c>
      <c r="D811" s="17" t="s">
        <v>10100</v>
      </c>
      <c r="E811" s="17" t="s">
        <v>23198</v>
      </c>
      <c r="F811" s="17" t="s">
        <v>9166</v>
      </c>
    </row>
    <row r="813" customFormat="false" ht="15" hidden="false" customHeight="false" outlineLevel="0" collapsed="false">
      <c r="B813" s="18" t="s">
        <v>701</v>
      </c>
      <c r="C813" s="18" t="s">
        <v>702</v>
      </c>
      <c r="D813" s="18" t="s">
        <v>704</v>
      </c>
      <c r="E813" s="18" t="s">
        <v>723</v>
      </c>
      <c r="F813" s="18" t="s">
        <v>6523</v>
      </c>
    </row>
    <row r="814" customFormat="false" ht="28.35" hidden="false" customHeight="false" outlineLevel="0" collapsed="false">
      <c r="B814" s="19" t="s">
        <v>23199</v>
      </c>
      <c r="C814" s="20" t="n">
        <f aca="false">ROUND(3.64/FX,2)</f>
        <v>0.51</v>
      </c>
      <c r="D814" s="21" t="s">
        <v>10100</v>
      </c>
      <c r="E814" s="21" t="s">
        <v>23198</v>
      </c>
      <c r="F814" s="21" t="s">
        <v>9166</v>
      </c>
    </row>
    <row r="815" customFormat="false" ht="28.35" hidden="false" customHeight="false" outlineLevel="0" collapsed="false">
      <c r="B815" s="19" t="s">
        <v>23200</v>
      </c>
      <c r="C815" s="20" t="n">
        <f aca="false">ROUND(2.99/FX,2)</f>
        <v>0.42</v>
      </c>
      <c r="D815" s="21" t="s">
        <v>10100</v>
      </c>
      <c r="E815" s="21" t="s">
        <v>23201</v>
      </c>
      <c r="F815" s="21" t="s">
        <v>23202</v>
      </c>
    </row>
    <row r="816" customFormat="false" ht="28.35" hidden="false" customHeight="false" outlineLevel="0" collapsed="false">
      <c r="B816" s="19" t="s">
        <v>23203</v>
      </c>
      <c r="C816" s="20" t="n">
        <f aca="false">ROUND(3.18/FX,2)</f>
        <v>0.44</v>
      </c>
      <c r="D816" s="21" t="s">
        <v>10100</v>
      </c>
      <c r="E816" s="21" t="s">
        <v>23204</v>
      </c>
      <c r="F816" s="21" t="s">
        <v>23202</v>
      </c>
    </row>
    <row r="817" customFormat="false" ht="28.35" hidden="false" customHeight="false" outlineLevel="0" collapsed="false">
      <c r="B817" s="19" t="s">
        <v>23205</v>
      </c>
      <c r="C817" s="20" t="n">
        <f aca="false">ROUND(0.68/FX,2)</f>
        <v>0.09</v>
      </c>
      <c r="D817" s="21" t="s">
        <v>10100</v>
      </c>
      <c r="E817" s="21" t="s">
        <v>23206</v>
      </c>
      <c r="F817" s="21" t="s">
        <v>6336</v>
      </c>
    </row>
    <row r="818" customFormat="false" ht="28.35" hidden="false" customHeight="false" outlineLevel="0" collapsed="false">
      <c r="B818" s="19" t="s">
        <v>23207</v>
      </c>
      <c r="C818" s="20" t="n">
        <f aca="false">ROUND(1.37/FX,2)</f>
        <v>0.19</v>
      </c>
      <c r="D818" s="21" t="s">
        <v>10100</v>
      </c>
      <c r="E818" s="21" t="s">
        <v>23208</v>
      </c>
      <c r="F818" s="21" t="s">
        <v>6336</v>
      </c>
    </row>
    <row r="819" customFormat="false" ht="28.35" hidden="false" customHeight="false" outlineLevel="0" collapsed="false">
      <c r="B819" s="19" t="s">
        <v>23209</v>
      </c>
      <c r="C819" s="20" t="n">
        <f aca="false">ROUND(1.77/FX,2)</f>
        <v>0.25</v>
      </c>
      <c r="D819" s="21" t="s">
        <v>10100</v>
      </c>
      <c r="E819" s="21" t="s">
        <v>23210</v>
      </c>
      <c r="F819" s="21" t="s">
        <v>6336</v>
      </c>
    </row>
    <row r="820" customFormat="false" ht="28.35" hidden="false" customHeight="false" outlineLevel="0" collapsed="false">
      <c r="B820" s="19" t="s">
        <v>23211</v>
      </c>
      <c r="C820" s="20" t="n">
        <f aca="false">ROUND(2.86/FX,2)</f>
        <v>0.4</v>
      </c>
      <c r="D820" s="21" t="s">
        <v>10100</v>
      </c>
      <c r="E820" s="21" t="s">
        <v>23212</v>
      </c>
      <c r="F820" s="21" t="s">
        <v>6336</v>
      </c>
    </row>
    <row r="821" customFormat="false" ht="28.35" hidden="false" customHeight="false" outlineLevel="0" collapsed="false">
      <c r="B821" s="19" t="s">
        <v>23213</v>
      </c>
      <c r="C821" s="20" t="n">
        <f aca="false">ROUND(3.21/FX,2)</f>
        <v>0.45</v>
      </c>
      <c r="D821" s="21" t="s">
        <v>10100</v>
      </c>
      <c r="E821" s="21" t="s">
        <v>23214</v>
      </c>
      <c r="F821" s="21" t="s">
        <v>6336</v>
      </c>
    </row>
    <row r="822" customFormat="false" ht="28.35" hidden="false" customHeight="false" outlineLevel="0" collapsed="false">
      <c r="B822" s="19" t="s">
        <v>23215</v>
      </c>
      <c r="C822" s="20" t="n">
        <f aca="false">ROUND(1.3/FX,2)</f>
        <v>0.18</v>
      </c>
      <c r="D822" s="21" t="s">
        <v>10100</v>
      </c>
      <c r="E822" s="21" t="s">
        <v>23216</v>
      </c>
      <c r="F822" s="21" t="s">
        <v>6336</v>
      </c>
    </row>
    <row r="823" customFormat="false" ht="28.35" hidden="false" customHeight="false" outlineLevel="0" collapsed="false">
      <c r="B823" s="19" t="s">
        <v>23217</v>
      </c>
      <c r="C823" s="20" t="n">
        <f aca="false">ROUND(2.34/FX,2)</f>
        <v>0.33</v>
      </c>
      <c r="D823" s="21" t="s">
        <v>10100</v>
      </c>
      <c r="E823" s="21" t="s">
        <v>23218</v>
      </c>
      <c r="F823" s="21" t="s">
        <v>6336</v>
      </c>
    </row>
    <row r="824" customFormat="false" ht="28.35" hidden="false" customHeight="false" outlineLevel="0" collapsed="false">
      <c r="B824" s="19" t="s">
        <v>23219</v>
      </c>
      <c r="C824" s="20" t="n">
        <f aca="false">ROUND(0.63/FX,2)</f>
        <v>0.09</v>
      </c>
      <c r="D824" s="21" t="s">
        <v>10100</v>
      </c>
      <c r="E824" s="21" t="s">
        <v>23220</v>
      </c>
      <c r="F824" s="21" t="s">
        <v>6336</v>
      </c>
    </row>
    <row r="825" customFormat="false" ht="41.75" hidden="false" customHeight="false" outlineLevel="0" collapsed="false">
      <c r="B825" s="19" t="s">
        <v>23221</v>
      </c>
      <c r="C825" s="20" t="n">
        <f aca="false">ROUND(0.78/FX,2)</f>
        <v>0.11</v>
      </c>
      <c r="D825" s="21" t="s">
        <v>10100</v>
      </c>
      <c r="E825" s="21" t="s">
        <v>23222</v>
      </c>
      <c r="F825" s="21" t="s">
        <v>6336</v>
      </c>
    </row>
    <row r="826" customFormat="false" ht="41.75" hidden="false" customHeight="false" outlineLevel="0" collapsed="false">
      <c r="B826" s="19" t="s">
        <v>23223</v>
      </c>
      <c r="C826" s="20" t="n">
        <f aca="false">ROUND(0.68/FX,2)</f>
        <v>0.09</v>
      </c>
      <c r="D826" s="21" t="s">
        <v>10100</v>
      </c>
      <c r="E826" s="21" t="s">
        <v>23224</v>
      </c>
      <c r="F826" s="21" t="s">
        <v>6336</v>
      </c>
    </row>
    <row r="827" customFormat="false" ht="28.35" hidden="false" customHeight="false" outlineLevel="0" collapsed="false">
      <c r="B827" s="19" t="s">
        <v>23225</v>
      </c>
      <c r="C827" s="20" t="n">
        <f aca="false">ROUND(0.85/FX,2)</f>
        <v>0.12</v>
      </c>
      <c r="D827" s="21" t="s">
        <v>10100</v>
      </c>
      <c r="E827" s="21" t="s">
        <v>23226</v>
      </c>
      <c r="F827" s="21" t="s">
        <v>6336</v>
      </c>
    </row>
    <row r="828" customFormat="false" ht="28.35" hidden="false" customHeight="false" outlineLevel="0" collapsed="false">
      <c r="B828" s="19" t="s">
        <v>23227</v>
      </c>
      <c r="C828" s="20" t="n">
        <f aca="false">ROUND(1/FX,2)</f>
        <v>0.14</v>
      </c>
      <c r="D828" s="21" t="s">
        <v>10100</v>
      </c>
      <c r="E828" s="21" t="s">
        <v>23228</v>
      </c>
      <c r="F828" s="21" t="s">
        <v>6336</v>
      </c>
    </row>
    <row r="829" customFormat="false" ht="28.35" hidden="false" customHeight="false" outlineLevel="0" collapsed="false">
      <c r="B829" s="19" t="s">
        <v>23229</v>
      </c>
      <c r="C829" s="20" t="n">
        <f aca="false">ROUND(0.9/FX,2)</f>
        <v>0.13</v>
      </c>
      <c r="D829" s="21" t="s">
        <v>10100</v>
      </c>
      <c r="E829" s="21" t="s">
        <v>23230</v>
      </c>
      <c r="F829" s="21" t="s">
        <v>6336</v>
      </c>
    </row>
    <row r="830" customFormat="false" ht="28.35" hidden="false" customHeight="false" outlineLevel="0" collapsed="false">
      <c r="B830" s="19" t="s">
        <v>23231</v>
      </c>
      <c r="C830" s="20" t="n">
        <f aca="false">ROUND(6.37/FX,2)</f>
        <v>0.88</v>
      </c>
      <c r="D830" s="21" t="s">
        <v>8669</v>
      </c>
      <c r="E830" s="21" t="s">
        <v>23232</v>
      </c>
      <c r="F830" s="21" t="s">
        <v>6336</v>
      </c>
    </row>
    <row r="831" customFormat="false" ht="28.35" hidden="false" customHeight="false" outlineLevel="0" collapsed="false">
      <c r="B831" s="19" t="s">
        <v>23233</v>
      </c>
      <c r="C831" s="20" t="n">
        <f aca="false">ROUND(12.87/FX,2)</f>
        <v>1.79</v>
      </c>
      <c r="D831" s="21" t="s">
        <v>8669</v>
      </c>
      <c r="E831" s="21" t="s">
        <v>23210</v>
      </c>
      <c r="F831" s="21" t="s">
        <v>6336</v>
      </c>
    </row>
    <row r="832" customFormat="false" ht="28.35" hidden="false" customHeight="false" outlineLevel="0" collapsed="false">
      <c r="B832" s="19" t="s">
        <v>23234</v>
      </c>
      <c r="C832" s="20" t="n">
        <f aca="false">ROUND(16.77/FX,2)</f>
        <v>2.33</v>
      </c>
      <c r="D832" s="21" t="s">
        <v>8669</v>
      </c>
      <c r="E832" s="21" t="s">
        <v>23212</v>
      </c>
      <c r="F832" s="21" t="s">
        <v>6336</v>
      </c>
    </row>
    <row r="833" customFormat="false" ht="28.35" hidden="false" customHeight="false" outlineLevel="0" collapsed="false">
      <c r="B833" s="19" t="s">
        <v>23235</v>
      </c>
      <c r="C833" s="20" t="n">
        <f aca="false">ROUND(19.37/FX,2)</f>
        <v>2.69</v>
      </c>
      <c r="D833" s="21" t="s">
        <v>8669</v>
      </c>
      <c r="E833" s="21" t="s">
        <v>23236</v>
      </c>
      <c r="F833" s="21" t="s">
        <v>6336</v>
      </c>
    </row>
    <row r="834" customFormat="false" ht="28.35" hidden="false" customHeight="false" outlineLevel="0" collapsed="false">
      <c r="B834" s="19" t="s">
        <v>23237</v>
      </c>
      <c r="C834" s="20" t="n">
        <f aca="false">ROUND(9.75/FX,2)</f>
        <v>1.35</v>
      </c>
      <c r="D834" s="21" t="s">
        <v>8669</v>
      </c>
      <c r="E834" s="21" t="s">
        <v>23216</v>
      </c>
      <c r="F834" s="21" t="s">
        <v>6336</v>
      </c>
    </row>
    <row r="835" customFormat="false" ht="28.35" hidden="false" customHeight="false" outlineLevel="0" collapsed="false">
      <c r="B835" s="19" t="s">
        <v>23238</v>
      </c>
      <c r="C835" s="20" t="n">
        <f aca="false">ROUND(13.65/FX,2)</f>
        <v>1.9</v>
      </c>
      <c r="D835" s="21" t="s">
        <v>8669</v>
      </c>
      <c r="E835" s="21" t="s">
        <v>23218</v>
      </c>
      <c r="F835" s="21" t="s">
        <v>6336</v>
      </c>
    </row>
    <row r="838" customFormat="false" ht="61.5" hidden="false" customHeight="true" outlineLevel="0" collapsed="false">
      <c r="A838" s="9"/>
      <c r="B838" s="10" t="s">
        <v>23239</v>
      </c>
      <c r="C838" s="10"/>
      <c r="D838" s="10"/>
    </row>
    <row r="839" customFormat="false" ht="15" hidden="false" customHeight="false" outlineLevel="0" collapsed="false">
      <c r="B839" s="18" t="s">
        <v>701</v>
      </c>
      <c r="C839" s="18" t="s">
        <v>702</v>
      </c>
      <c r="D839" s="18" t="s">
        <v>5610</v>
      </c>
    </row>
    <row r="840" customFormat="false" ht="15" hidden="false" customHeight="false" outlineLevel="0" collapsed="false">
      <c r="B840" s="19" t="s">
        <v>23240</v>
      </c>
      <c r="C840" s="20" t="n">
        <f aca="false">ROUND(0.28/FX,2)</f>
        <v>0.04</v>
      </c>
      <c r="D840" s="22" t="s">
        <v>5612</v>
      </c>
    </row>
    <row r="843" customFormat="false" ht="61.5" hidden="false" customHeight="true" outlineLevel="0" collapsed="false">
      <c r="A843" s="9"/>
      <c r="B843" s="10" t="s">
        <v>23241</v>
      </c>
      <c r="C843" s="10"/>
      <c r="D843" s="10"/>
      <c r="E843" s="10"/>
    </row>
    <row r="844" customFormat="false" ht="15" hidden="false" customHeight="false" outlineLevel="0" collapsed="false">
      <c r="A844" s="12" t="s">
        <v>700</v>
      </c>
      <c r="B844" s="13" t="s">
        <v>701</v>
      </c>
      <c r="C844" s="13" t="s">
        <v>702</v>
      </c>
      <c r="D844" s="13" t="s">
        <v>723</v>
      </c>
      <c r="E844" s="13" t="s">
        <v>6523</v>
      </c>
    </row>
    <row r="845" customFormat="false" ht="30" hidden="false" customHeight="true" outlineLevel="0" collapsed="false">
      <c r="A845" s="14" t="s">
        <v>706</v>
      </c>
      <c r="B845" s="15" t="str">
        <f aca="false">IF(COUNTIFS($D$848:$D$851,IF(D845="","*",D845),$E$848:$E$851,IF(E845="","*",E845))=1,INDEX($B:$B,SUMPRODUCT(((D845="")+($D$848:$D$851=D845)&gt;0)*((E845="")+($E$848:$E$851=E845)&gt;0)*ROW($B$848:$B$851))),IF(COUNTIFS($D$848:$D$851,IF(D845="","*",D845),$E$848:$E$851,IF(E845="","*",E845))=0,"Not available",COUNTIFS($D$848:$D$851,IF(D845="","*",D845),$E$848:$E$851,IF(E845="","*",E845))&amp;" match, keep choosing"))</f>
        <v>AL-058-28x62.3-DNZJXH</v>
      </c>
      <c r="C845" s="16" t="n">
        <f aca="false">IF(COUNTIFS($D$848:$D$851,IF(D845="","*",D845),$E$848:$E$851,IF(E845="","*",E845))=1,INDEX($C:$C,SUMPRODUCT(((D845="")+($D$848:$D$851=D845)&gt;0)*((E845="")+($E$848:$E$851=E845)&gt;0)*ROW($B$848:$B$851))),"")</f>
        <v>0.23</v>
      </c>
      <c r="D845" s="17" t="s">
        <v>23242</v>
      </c>
      <c r="E845" s="17" t="s">
        <v>23243</v>
      </c>
    </row>
    <row r="847" customFormat="false" ht="15" hidden="false" customHeight="false" outlineLevel="0" collapsed="false">
      <c r="B847" s="18" t="s">
        <v>701</v>
      </c>
      <c r="C847" s="18" t="s">
        <v>702</v>
      </c>
      <c r="D847" s="18" t="s">
        <v>723</v>
      </c>
      <c r="E847" s="18" t="s">
        <v>6523</v>
      </c>
    </row>
    <row r="848" customFormat="false" ht="28.35" hidden="false" customHeight="false" outlineLevel="0" collapsed="false">
      <c r="B848" s="19" t="s">
        <v>23244</v>
      </c>
      <c r="C848" s="20" t="n">
        <f aca="false">ROUND(1.67/FX,2)</f>
        <v>0.23</v>
      </c>
      <c r="D848" s="21" t="s">
        <v>23242</v>
      </c>
      <c r="E848" s="21" t="s">
        <v>23243</v>
      </c>
    </row>
    <row r="849" customFormat="false" ht="15" hidden="false" customHeight="false" outlineLevel="0" collapsed="false">
      <c r="B849" s="19" t="s">
        <v>23245</v>
      </c>
      <c r="C849" s="20" t="n">
        <f aca="false">ROUND(2.81/FX,2)</f>
        <v>0.39</v>
      </c>
      <c r="D849" s="21" t="s">
        <v>23246</v>
      </c>
      <c r="E849" s="21" t="s">
        <v>21440</v>
      </c>
    </row>
    <row r="850" customFormat="false" ht="28.35" hidden="false" customHeight="false" outlineLevel="0" collapsed="false">
      <c r="B850" s="19" t="s">
        <v>23247</v>
      </c>
      <c r="C850" s="20" t="n">
        <f aca="false">ROUND(3.06/FX,2)</f>
        <v>0.43</v>
      </c>
      <c r="D850" s="21" t="s">
        <v>23248</v>
      </c>
      <c r="E850" s="21" t="s">
        <v>23249</v>
      </c>
    </row>
    <row r="851" customFormat="false" ht="28.35" hidden="false" customHeight="false" outlineLevel="0" collapsed="false">
      <c r="B851" s="19" t="s">
        <v>23250</v>
      </c>
      <c r="C851" s="20" t="n">
        <f aca="false">ROUND(2.67/FX,2)</f>
        <v>0.37</v>
      </c>
      <c r="D851" s="21" t="s">
        <v>23251</v>
      </c>
      <c r="E851" s="21" t="s">
        <v>23252</v>
      </c>
    </row>
    <row r="854" customFormat="false" ht="61.5" hidden="false" customHeight="true" outlineLevel="0" collapsed="false">
      <c r="A854" s="9"/>
      <c r="B854" s="10" t="s">
        <v>23253</v>
      </c>
      <c r="C854" s="10"/>
      <c r="D854" s="10"/>
      <c r="E854" s="10"/>
      <c r="F854" s="10"/>
    </row>
    <row r="855" customFormat="false" ht="15" hidden="false" customHeight="false" outlineLevel="0" collapsed="false">
      <c r="A855" s="12" t="s">
        <v>700</v>
      </c>
      <c r="B855" s="13" t="s">
        <v>701</v>
      </c>
      <c r="C855" s="13" t="s">
        <v>702</v>
      </c>
      <c r="D855" s="13" t="s">
        <v>722</v>
      </c>
      <c r="E855" s="13" t="s">
        <v>705</v>
      </c>
      <c r="F855" s="13" t="s">
        <v>723</v>
      </c>
    </row>
    <row r="856" customFormat="false" ht="30" hidden="false" customHeight="true" outlineLevel="0" collapsed="false">
      <c r="A856" s="14" t="s">
        <v>706</v>
      </c>
      <c r="B856" s="15" t="str">
        <f aca="false">IF(COUNTIFS($D$859:$D$884,IF(D856="","*",D856),$E$859:$E$884,IF(E856="","*",E856),$F$859:$F$884,IF(F856="","*",F856))=1,INDEX($B:$B,SUMPRODUCT(((D856="")+($D$859:$D$884=D856)&gt;0)*((E856="")+($E$859:$E$884=E856)&gt;0)*((F856="")+($F$859:$F$884=F856)&gt;0)*ROW($B$859:$B$884))),IF(COUNTIFS($D$859:$D$884,IF(D856="","*",D856),$E$859:$E$884,IF(E856="","*",E856),$F$859:$F$884,IF(F856="","*",F856))=0,"Not available",COUNTIFS($D$859:$D$884,IF(D856="","*",D856),$E$859:$E$884,IF(E856="","*",E856),$F$859:$F$884,IF(F856="","*",F856))&amp;" match, keep choosing"))</f>
        <v>AL-047-BK-EU-3030</v>
      </c>
      <c r="C856" s="16" t="n">
        <f aca="false">IF(COUNTIFS($D$859:$D$884,IF(D856="","*",D856),$E$859:$E$884,IF(E856="","*",E856),$F$859:$F$884,IF(F856="","*",F856))=1,INDEX($C:$C,SUMPRODUCT(((D856="")+($D$859:$D$884=D856)&gt;0)*((E856="")+($E$859:$E$884=E856)&gt;0)*((F856="")+($F$859:$F$884=F856)&gt;0)*ROW($B$859:$B$884))),"")</f>
        <v>0.2</v>
      </c>
      <c r="D856" s="17" t="s">
        <v>724</v>
      </c>
      <c r="E856" s="17" t="s">
        <v>13732</v>
      </c>
      <c r="F856" s="17" t="s">
        <v>23038</v>
      </c>
    </row>
    <row r="858" customFormat="false" ht="15" hidden="false" customHeight="false" outlineLevel="0" collapsed="false">
      <c r="B858" s="18" t="s">
        <v>701</v>
      </c>
      <c r="C858" s="18" t="s">
        <v>702</v>
      </c>
      <c r="D858" s="18" t="s">
        <v>722</v>
      </c>
      <c r="E858" s="18" t="s">
        <v>705</v>
      </c>
      <c r="F858" s="18" t="s">
        <v>723</v>
      </c>
    </row>
    <row r="859" customFormat="false" ht="15" hidden="false" customHeight="false" outlineLevel="0" collapsed="false">
      <c r="B859" s="19" t="s">
        <v>23254</v>
      </c>
      <c r="C859" s="20" t="n">
        <f aca="false">ROUND(1.43/FX,2)</f>
        <v>0.2</v>
      </c>
      <c r="D859" s="21" t="s">
        <v>724</v>
      </c>
      <c r="E859" s="21" t="s">
        <v>13732</v>
      </c>
      <c r="F859" s="21" t="s">
        <v>23038</v>
      </c>
    </row>
    <row r="860" customFormat="false" ht="15" hidden="false" customHeight="false" outlineLevel="0" collapsed="false">
      <c r="B860" s="19" t="s">
        <v>23255</v>
      </c>
      <c r="C860" s="20" t="n">
        <f aca="false">ROUND(1.28/FX,2)</f>
        <v>0.18</v>
      </c>
      <c r="D860" s="21" t="s">
        <v>6549</v>
      </c>
      <c r="E860" s="21" t="s">
        <v>13739</v>
      </c>
      <c r="F860" s="21" t="s">
        <v>23034</v>
      </c>
    </row>
    <row r="861" customFormat="false" ht="15" hidden="false" customHeight="false" outlineLevel="0" collapsed="false">
      <c r="B861" s="19" t="s">
        <v>23256</v>
      </c>
      <c r="C861" s="20" t="n">
        <f aca="false">ROUND(1.8/FX,2)</f>
        <v>0.25</v>
      </c>
      <c r="D861" s="21" t="s">
        <v>6549</v>
      </c>
      <c r="E861" s="21" t="s">
        <v>13739</v>
      </c>
      <c r="F861" s="21" t="s">
        <v>23257</v>
      </c>
    </row>
    <row r="862" customFormat="false" ht="15" hidden="false" customHeight="false" outlineLevel="0" collapsed="false">
      <c r="B862" s="19" t="s">
        <v>23258</v>
      </c>
      <c r="C862" s="20" t="n">
        <f aca="false">ROUND(1.3/FX,2)</f>
        <v>0.18</v>
      </c>
      <c r="D862" s="21" t="s">
        <v>6549</v>
      </c>
      <c r="E862" s="21" t="s">
        <v>13739</v>
      </c>
      <c r="F862" s="21" t="s">
        <v>23038</v>
      </c>
    </row>
    <row r="863" customFormat="false" ht="15" hidden="false" customHeight="false" outlineLevel="0" collapsed="false">
      <c r="B863" s="19" t="s">
        <v>23259</v>
      </c>
      <c r="C863" s="20" t="n">
        <f aca="false">ROUND(1.98/FX,2)</f>
        <v>0.28</v>
      </c>
      <c r="D863" s="21" t="s">
        <v>6549</v>
      </c>
      <c r="E863" s="21" t="s">
        <v>13732</v>
      </c>
      <c r="F863" s="21" t="s">
        <v>23260</v>
      </c>
    </row>
    <row r="864" customFormat="false" ht="15" hidden="false" customHeight="false" outlineLevel="0" collapsed="false">
      <c r="B864" s="19" t="s">
        <v>23261</v>
      </c>
      <c r="C864" s="20" t="n">
        <f aca="false">ROUND(1.7/FX,2)</f>
        <v>0.24</v>
      </c>
      <c r="D864" s="21" t="s">
        <v>6549</v>
      </c>
      <c r="E864" s="21" t="s">
        <v>13739</v>
      </c>
      <c r="F864" s="21" t="s">
        <v>23041</v>
      </c>
    </row>
    <row r="865" customFormat="false" ht="15" hidden="false" customHeight="false" outlineLevel="0" collapsed="false">
      <c r="B865" s="19" t="s">
        <v>23262</v>
      </c>
      <c r="C865" s="20" t="n">
        <f aca="false">ROUND(1.92/FX,2)</f>
        <v>0.27</v>
      </c>
      <c r="D865" s="21" t="s">
        <v>6549</v>
      </c>
      <c r="E865" s="21" t="s">
        <v>13732</v>
      </c>
      <c r="F865" s="21" t="s">
        <v>23263</v>
      </c>
    </row>
    <row r="866" customFormat="false" ht="15" hidden="false" customHeight="false" outlineLevel="0" collapsed="false">
      <c r="B866" s="19" t="s">
        <v>23264</v>
      </c>
      <c r="C866" s="20" t="n">
        <f aca="false">ROUND(2.08/FX,2)</f>
        <v>0.29</v>
      </c>
      <c r="D866" s="21" t="s">
        <v>6549</v>
      </c>
      <c r="E866" s="21" t="s">
        <v>13732</v>
      </c>
      <c r="F866" s="21" t="s">
        <v>23265</v>
      </c>
    </row>
    <row r="867" customFormat="false" ht="15" hidden="false" customHeight="false" outlineLevel="0" collapsed="false">
      <c r="B867" s="19" t="s">
        <v>23266</v>
      </c>
      <c r="C867" s="20" t="n">
        <f aca="false">ROUND(2.34/FX,2)</f>
        <v>0.33</v>
      </c>
      <c r="D867" s="21" t="s">
        <v>6549</v>
      </c>
      <c r="E867" s="21" t="s">
        <v>13732</v>
      </c>
      <c r="F867" s="21" t="s">
        <v>23267</v>
      </c>
    </row>
    <row r="868" customFormat="false" ht="15" hidden="false" customHeight="false" outlineLevel="0" collapsed="false">
      <c r="B868" s="19" t="s">
        <v>23268</v>
      </c>
      <c r="C868" s="20" t="n">
        <f aca="false">ROUND(4.94/FX,2)</f>
        <v>0.69</v>
      </c>
      <c r="D868" s="21" t="s">
        <v>6549</v>
      </c>
      <c r="E868" s="21" t="s">
        <v>13732</v>
      </c>
      <c r="F868" s="21" t="s">
        <v>23269</v>
      </c>
    </row>
    <row r="869" customFormat="false" ht="15" hidden="false" customHeight="false" outlineLevel="0" collapsed="false">
      <c r="B869" s="19" t="s">
        <v>23270</v>
      </c>
      <c r="C869" s="20" t="n">
        <f aca="false">ROUND(6.24/FX,2)</f>
        <v>0.87</v>
      </c>
      <c r="D869" s="21" t="s">
        <v>6549</v>
      </c>
      <c r="E869" s="21" t="s">
        <v>13732</v>
      </c>
      <c r="F869" s="21" t="s">
        <v>23271</v>
      </c>
    </row>
    <row r="870" customFormat="false" ht="15" hidden="false" customHeight="false" outlineLevel="0" collapsed="false">
      <c r="B870" s="19" t="s">
        <v>23272</v>
      </c>
      <c r="C870" s="20" t="n">
        <f aca="false">ROUND(3.38/FX,2)</f>
        <v>0.47</v>
      </c>
      <c r="D870" s="21" t="s">
        <v>6549</v>
      </c>
      <c r="E870" s="21" t="s">
        <v>13732</v>
      </c>
      <c r="F870" s="21" t="s">
        <v>23273</v>
      </c>
    </row>
    <row r="871" customFormat="false" ht="15" hidden="false" customHeight="false" outlineLevel="0" collapsed="false">
      <c r="B871" s="19" t="s">
        <v>23274</v>
      </c>
      <c r="C871" s="20" t="n">
        <f aca="false">ROUND(3.64/FX,2)</f>
        <v>0.51</v>
      </c>
      <c r="D871" s="21" t="s">
        <v>6549</v>
      </c>
      <c r="E871" s="21" t="s">
        <v>13732</v>
      </c>
      <c r="F871" s="21" t="s">
        <v>23275</v>
      </c>
    </row>
    <row r="872" customFormat="false" ht="15" hidden="false" customHeight="false" outlineLevel="0" collapsed="false">
      <c r="B872" s="19" t="s">
        <v>23276</v>
      </c>
      <c r="C872" s="20" t="n">
        <f aca="false">ROUND(5.98/FX,2)</f>
        <v>0.83</v>
      </c>
      <c r="D872" s="21" t="s">
        <v>6549</v>
      </c>
      <c r="E872" s="21" t="s">
        <v>13732</v>
      </c>
      <c r="F872" s="21" t="s">
        <v>23277</v>
      </c>
    </row>
    <row r="873" customFormat="false" ht="15" hidden="false" customHeight="false" outlineLevel="0" collapsed="false">
      <c r="B873" s="19" t="s">
        <v>23278</v>
      </c>
      <c r="C873" s="20" t="n">
        <f aca="false">ROUND(6.76/FX,2)</f>
        <v>0.94</v>
      </c>
      <c r="D873" s="21" t="s">
        <v>6549</v>
      </c>
      <c r="E873" s="21" t="s">
        <v>13732</v>
      </c>
      <c r="F873" s="21" t="s">
        <v>23279</v>
      </c>
    </row>
    <row r="874" customFormat="false" ht="28.35" hidden="false" customHeight="false" outlineLevel="0" collapsed="false">
      <c r="B874" s="19" t="s">
        <v>23280</v>
      </c>
      <c r="C874" s="20" t="n">
        <f aca="false">ROUND(5.98/FX,2)</f>
        <v>0.83</v>
      </c>
      <c r="D874" s="21" t="s">
        <v>6549</v>
      </c>
      <c r="E874" s="21" t="s">
        <v>13732</v>
      </c>
      <c r="F874" s="21" t="s">
        <v>23281</v>
      </c>
    </row>
    <row r="875" customFormat="false" ht="28.35" hidden="false" customHeight="false" outlineLevel="0" collapsed="false">
      <c r="B875" s="19" t="s">
        <v>23282</v>
      </c>
      <c r="C875" s="20" t="n">
        <f aca="false">ROUND(6.76/FX,2)</f>
        <v>0.94</v>
      </c>
      <c r="D875" s="21" t="s">
        <v>6549</v>
      </c>
      <c r="E875" s="21" t="s">
        <v>13732</v>
      </c>
      <c r="F875" s="21" t="s">
        <v>23283</v>
      </c>
    </row>
    <row r="876" customFormat="false" ht="15" hidden="false" customHeight="false" outlineLevel="0" collapsed="false">
      <c r="B876" s="19" t="s">
        <v>23284</v>
      </c>
      <c r="C876" s="20" t="n">
        <f aca="false">ROUND(1.51/FX,2)</f>
        <v>0.21</v>
      </c>
      <c r="D876" s="21" t="s">
        <v>6549</v>
      </c>
      <c r="E876" s="21" t="s">
        <v>13739</v>
      </c>
      <c r="F876" s="21" t="s">
        <v>23285</v>
      </c>
    </row>
    <row r="877" customFormat="false" ht="15" hidden="false" customHeight="false" outlineLevel="0" collapsed="false">
      <c r="B877" s="19" t="s">
        <v>23286</v>
      </c>
      <c r="C877" s="20" t="n">
        <f aca="false">ROUND(1.28/FX,2)</f>
        <v>0.18</v>
      </c>
      <c r="D877" s="21" t="s">
        <v>6549</v>
      </c>
      <c r="E877" s="21" t="s">
        <v>13739</v>
      </c>
      <c r="F877" s="21" t="s">
        <v>23287</v>
      </c>
    </row>
    <row r="878" customFormat="false" ht="15" hidden="false" customHeight="false" outlineLevel="0" collapsed="false">
      <c r="B878" s="19" t="s">
        <v>23288</v>
      </c>
      <c r="C878" s="20" t="n">
        <f aca="false">ROUND(1.56/FX,2)</f>
        <v>0.22</v>
      </c>
      <c r="D878" s="21" t="s">
        <v>6549</v>
      </c>
      <c r="E878" s="21" t="s">
        <v>13732</v>
      </c>
      <c r="F878" s="21" t="s">
        <v>23289</v>
      </c>
    </row>
    <row r="879" customFormat="false" ht="15" hidden="false" customHeight="false" outlineLevel="0" collapsed="false">
      <c r="B879" s="19" t="s">
        <v>23290</v>
      </c>
      <c r="C879" s="20" t="n">
        <f aca="false">ROUND(1.43/FX,2)</f>
        <v>0.2</v>
      </c>
      <c r="D879" s="21" t="s">
        <v>6549</v>
      </c>
      <c r="E879" s="21" t="s">
        <v>13739</v>
      </c>
      <c r="F879" s="21" t="s">
        <v>23291</v>
      </c>
    </row>
    <row r="880" customFormat="false" ht="15" hidden="false" customHeight="false" outlineLevel="0" collapsed="false">
      <c r="B880" s="19" t="s">
        <v>23292</v>
      </c>
      <c r="C880" s="20" t="n">
        <f aca="false">ROUND(1.98/FX,2)</f>
        <v>0.28</v>
      </c>
      <c r="D880" s="21" t="s">
        <v>6549</v>
      </c>
      <c r="E880" s="21" t="s">
        <v>13732</v>
      </c>
      <c r="F880" s="21" t="s">
        <v>23293</v>
      </c>
    </row>
    <row r="881" customFormat="false" ht="15" hidden="false" customHeight="false" outlineLevel="0" collapsed="false">
      <c r="B881" s="19" t="s">
        <v>23294</v>
      </c>
      <c r="C881" s="20" t="n">
        <f aca="false">ROUND(1.9/FX,2)</f>
        <v>0.26</v>
      </c>
      <c r="D881" s="21" t="s">
        <v>6549</v>
      </c>
      <c r="E881" s="21" t="s">
        <v>13739</v>
      </c>
      <c r="F881" s="21" t="s">
        <v>23295</v>
      </c>
    </row>
    <row r="882" customFormat="false" ht="15" hidden="false" customHeight="false" outlineLevel="0" collapsed="false">
      <c r="B882" s="19" t="s">
        <v>23296</v>
      </c>
      <c r="C882" s="20" t="n">
        <f aca="false">ROUND(3.25/FX,2)</f>
        <v>0.45</v>
      </c>
      <c r="D882" s="21" t="s">
        <v>6549</v>
      </c>
      <c r="E882" s="21" t="s">
        <v>13732</v>
      </c>
      <c r="F882" s="21" t="s">
        <v>23297</v>
      </c>
    </row>
    <row r="883" customFormat="false" ht="15" hidden="false" customHeight="false" outlineLevel="0" collapsed="false">
      <c r="B883" s="19" t="s">
        <v>23298</v>
      </c>
      <c r="C883" s="20" t="n">
        <f aca="false">ROUND(4.94/FX,2)</f>
        <v>0.69</v>
      </c>
      <c r="D883" s="21" t="s">
        <v>6549</v>
      </c>
      <c r="E883" s="21" t="s">
        <v>13732</v>
      </c>
      <c r="F883" s="21" t="s">
        <v>23299</v>
      </c>
    </row>
    <row r="884" customFormat="false" ht="15" hidden="false" customHeight="false" outlineLevel="0" collapsed="false">
      <c r="B884" s="19" t="s">
        <v>23300</v>
      </c>
      <c r="C884" s="20" t="n">
        <f aca="false">ROUND(6.24/FX,2)</f>
        <v>0.87</v>
      </c>
      <c r="D884" s="21" t="s">
        <v>6549</v>
      </c>
      <c r="E884" s="21" t="s">
        <v>13732</v>
      </c>
      <c r="F884" s="21" t="s">
        <v>23301</v>
      </c>
    </row>
    <row r="887" customFormat="false" ht="61.5" hidden="false" customHeight="true" outlineLevel="0" collapsed="false">
      <c r="A887" s="9"/>
      <c r="B887" s="10" t="s">
        <v>23302</v>
      </c>
      <c r="C887" s="10"/>
      <c r="D887" s="10"/>
      <c r="E887" s="10"/>
      <c r="F887" s="10"/>
    </row>
    <row r="888" customFormat="false" ht="15" hidden="false" customHeight="false" outlineLevel="0" collapsed="false">
      <c r="A888" s="12" t="s">
        <v>700</v>
      </c>
      <c r="B888" s="13" t="s">
        <v>701</v>
      </c>
      <c r="C888" s="13" t="s">
        <v>702</v>
      </c>
      <c r="D888" s="13" t="s">
        <v>705</v>
      </c>
      <c r="E888" s="13" t="s">
        <v>723</v>
      </c>
      <c r="F888" s="13" t="s">
        <v>6328</v>
      </c>
    </row>
    <row r="889" customFormat="false" ht="30" hidden="false" customHeight="true" outlineLevel="0" collapsed="false">
      <c r="A889" s="14" t="s">
        <v>706</v>
      </c>
      <c r="B889" s="15" t="str">
        <f aca="false">IF(COUNTIFS($D$892:$D$893,IF(D889="","*",D889),$E$892:$E$893,IF(E889="","*",E889),$F$892:$F$893,IF(F889="","*",F889))=1,INDEX($B:$B,SUMPRODUCT(((D889="")+($D$892:$D$893=D889)&gt;0)*((E889="")+($E$892:$E$893=E889)&gt;0)*((F889="")+($F$892:$F$893=F889)&gt;0)*ROW($B$892:$B$893))),IF(COUNTIFS($D$892:$D$893,IF(D889="","*",D889),$E$892:$E$893,IF(E889="","*",E889),$F$892:$F$893,IF(F889="","*",F889))=0,"Not available",COUNTIFS($D$892:$D$893,IF(D889="","*",D889),$E$892:$E$893,IF(E889="","*",E889),$F$892:$F$893,IF(F889="","*",F889))&amp;" match, keep choosing"))</f>
        <v>AL-033-EU2020-B6-P5</v>
      </c>
      <c r="C889" s="16" t="n">
        <f aca="false">IF(COUNTIFS($D$892:$D$893,IF(D889="","*",D889),$E$892:$E$893,IF(E889="","*",E889),$F$892:$F$893,IF(F889="","*",F889))=1,INDEX($C:$C,SUMPRODUCT(((D889="")+($D$892:$D$893=D889)&gt;0)*((E889="")+($E$892:$E$893=E889)&gt;0)*((F889="")+($F$892:$F$893=F889)&gt;0)*ROW($B$892:$B$893))),"")</f>
        <v>0.15</v>
      </c>
      <c r="D889" s="17" t="s">
        <v>13743</v>
      </c>
      <c r="E889" s="17" t="s">
        <v>23303</v>
      </c>
      <c r="F889" s="17" t="s">
        <v>23034</v>
      </c>
    </row>
    <row r="891" customFormat="false" ht="15" hidden="false" customHeight="false" outlineLevel="0" collapsed="false">
      <c r="B891" s="18" t="s">
        <v>701</v>
      </c>
      <c r="C891" s="18" t="s">
        <v>702</v>
      </c>
      <c r="D891" s="18" t="s">
        <v>705</v>
      </c>
      <c r="E891" s="18" t="s">
        <v>723</v>
      </c>
      <c r="F891" s="18" t="s">
        <v>6328</v>
      </c>
    </row>
    <row r="892" customFormat="false" ht="15" hidden="false" customHeight="false" outlineLevel="0" collapsed="false">
      <c r="B892" s="19" t="s">
        <v>23304</v>
      </c>
      <c r="C892" s="20" t="n">
        <f aca="false">ROUND(1.11/FX,2)</f>
        <v>0.15</v>
      </c>
      <c r="D892" s="21" t="s">
        <v>13743</v>
      </c>
      <c r="E892" s="21" t="s">
        <v>23303</v>
      </c>
      <c r="F892" s="21" t="s">
        <v>23034</v>
      </c>
    </row>
    <row r="893" customFormat="false" ht="15" hidden="false" customHeight="false" outlineLevel="0" collapsed="false">
      <c r="B893" s="19" t="s">
        <v>23305</v>
      </c>
      <c r="C893" s="20" t="n">
        <f aca="false">ROUND(0.35/FX,2)</f>
        <v>0.05</v>
      </c>
      <c r="D893" s="21" t="s">
        <v>13732</v>
      </c>
      <c r="E893" s="21" t="s">
        <v>23306</v>
      </c>
      <c r="F893" s="21" t="s">
        <v>23038</v>
      </c>
    </row>
    <row r="896" customFormat="false" ht="61.5" hidden="false" customHeight="true" outlineLevel="0" collapsed="false">
      <c r="A896" s="9"/>
      <c r="B896" s="10" t="s">
        <v>23307</v>
      </c>
      <c r="C896" s="10"/>
      <c r="D896" s="10"/>
    </row>
    <row r="897" customFormat="false" ht="15" hidden="false" customHeight="false" outlineLevel="0" collapsed="false">
      <c r="B897" s="18" t="s">
        <v>701</v>
      </c>
      <c r="C897" s="18" t="s">
        <v>702</v>
      </c>
      <c r="D897" s="18" t="s">
        <v>5610</v>
      </c>
    </row>
    <row r="898" customFormat="false" ht="15" hidden="false" customHeight="false" outlineLevel="0" collapsed="false">
      <c r="B898" s="19" t="s">
        <v>23308</v>
      </c>
      <c r="C898" s="20" t="n">
        <f aca="false">ROUND(1.63/FX,2)</f>
        <v>0.23</v>
      </c>
      <c r="D898" s="22" t="s">
        <v>5612</v>
      </c>
    </row>
    <row r="901" customFormat="false" ht="61.5" hidden="false" customHeight="true" outlineLevel="0" collapsed="false">
      <c r="A901" s="9"/>
      <c r="B901" s="10" t="s">
        <v>23309</v>
      </c>
      <c r="C901" s="10"/>
      <c r="D901" s="10"/>
      <c r="E901" s="10"/>
      <c r="F901" s="10"/>
    </row>
    <row r="902" customFormat="false" ht="15" hidden="false" customHeight="false" outlineLevel="0" collapsed="false">
      <c r="A902" s="12" t="s">
        <v>700</v>
      </c>
      <c r="B902" s="13" t="s">
        <v>701</v>
      </c>
      <c r="C902" s="13" t="s">
        <v>702</v>
      </c>
      <c r="D902" s="13" t="s">
        <v>722</v>
      </c>
      <c r="E902" s="13" t="s">
        <v>705</v>
      </c>
      <c r="F902" s="13" t="s">
        <v>723</v>
      </c>
    </row>
    <row r="903" customFormat="false" ht="30" hidden="false" customHeight="true" outlineLevel="0" collapsed="false">
      <c r="A903" s="14" t="s">
        <v>706</v>
      </c>
      <c r="B903" s="15" t="str">
        <f aca="false">IF(COUNTIFS($D$906:$D$911,IF(D903="","*",D903),$E$906:$E$911,IF(E903="","*",E903),$F$906:$F$911,IF(F903="","*",F903))=1,INDEX($B:$B,SUMPRODUCT(((D903="")+($D$906:$D$911=D903)&gt;0)*((E903="")+($E$906:$E$911=E903)&gt;0)*((F903="")+($F$906:$F$911=F903)&gt;0)*ROW($B$906:$B$911))),IF(COUNTIFS($D$906:$D$911,IF(D903="","*",D903),$E$906:$E$911,IF(E903="","*",E903),$F$906:$F$911,IF(F903="","*",F903))=0,"Not available",COUNTIFS($D$906:$D$911,IF(D903="","*",D903),$E$906:$E$911,IF(E903="","*",E903),$F$906:$F$911,IF(F903="","*",F903))&amp;" match, keep choosing"))</f>
        <v>AL-008-BK-2020-KD3.6-BK</v>
      </c>
      <c r="C903" s="16" t="n">
        <f aca="false">IF(COUNTIFS($D$906:$D$911,IF(D903="","*",D903),$E$906:$E$911,IF(E903="","*",E903),$F$906:$F$911,IF(F903="","*",F903))=1,INDEX($C:$C,SUMPRODUCT(((D903="")+($D$906:$D$911=D903)&gt;0)*((E903="")+($E$906:$E$911=E903)&gt;0)*((F903="")+($F$906:$F$911=F903)&gt;0)*ROW($B$906:$B$911))),"")</f>
        <v>0.06</v>
      </c>
      <c r="D903" s="17" t="s">
        <v>724</v>
      </c>
      <c r="E903" s="17" t="s">
        <v>13732</v>
      </c>
      <c r="F903" s="17" t="s">
        <v>23310</v>
      </c>
    </row>
    <row r="905" customFormat="false" ht="15" hidden="false" customHeight="false" outlineLevel="0" collapsed="false">
      <c r="B905" s="18" t="s">
        <v>701</v>
      </c>
      <c r="C905" s="18" t="s">
        <v>702</v>
      </c>
      <c r="D905" s="18" t="s">
        <v>722</v>
      </c>
      <c r="E905" s="18" t="s">
        <v>705</v>
      </c>
      <c r="F905" s="18" t="s">
        <v>723</v>
      </c>
    </row>
    <row r="906" customFormat="false" ht="28.35" hidden="false" customHeight="false" outlineLevel="0" collapsed="false">
      <c r="B906" s="19" t="s">
        <v>23311</v>
      </c>
      <c r="C906" s="20" t="n">
        <f aca="false">ROUND(0.43/FX,2)</f>
        <v>0.06</v>
      </c>
      <c r="D906" s="21" t="s">
        <v>724</v>
      </c>
      <c r="E906" s="21" t="s">
        <v>13732</v>
      </c>
      <c r="F906" s="21" t="s">
        <v>23310</v>
      </c>
    </row>
    <row r="907" customFormat="false" ht="28.35" hidden="false" customHeight="false" outlineLevel="0" collapsed="false">
      <c r="B907" s="19" t="s">
        <v>23312</v>
      </c>
      <c r="C907" s="20" t="n">
        <f aca="false">ROUND(0.43/FX,2)</f>
        <v>0.06</v>
      </c>
      <c r="D907" s="21" t="s">
        <v>724</v>
      </c>
      <c r="E907" s="21" t="s">
        <v>13732</v>
      </c>
      <c r="F907" s="21" t="s">
        <v>23313</v>
      </c>
    </row>
    <row r="908" customFormat="false" ht="15" hidden="false" customHeight="false" outlineLevel="0" collapsed="false">
      <c r="B908" s="19" t="s">
        <v>23314</v>
      </c>
      <c r="C908" s="20" t="n">
        <f aca="false">ROUND(0.65/FX,2)</f>
        <v>0.09</v>
      </c>
      <c r="D908" s="21" t="s">
        <v>6549</v>
      </c>
      <c r="E908" s="21" t="s">
        <v>13732</v>
      </c>
      <c r="F908" s="21" t="s">
        <v>23315</v>
      </c>
    </row>
    <row r="909" customFormat="false" ht="28.35" hidden="false" customHeight="false" outlineLevel="0" collapsed="false">
      <c r="B909" s="19" t="s">
        <v>23316</v>
      </c>
      <c r="C909" s="20" t="n">
        <f aca="false">ROUND(0.35/FX,2)</f>
        <v>0.05</v>
      </c>
      <c r="D909" s="21" t="s">
        <v>6549</v>
      </c>
      <c r="E909" s="21" t="s">
        <v>13732</v>
      </c>
      <c r="F909" s="21" t="s">
        <v>23310</v>
      </c>
    </row>
    <row r="910" customFormat="false" ht="28.35" hidden="false" customHeight="false" outlineLevel="0" collapsed="false">
      <c r="B910" s="19" t="s">
        <v>23317</v>
      </c>
      <c r="C910" s="20" t="n">
        <f aca="false">ROUND(17.55/FX,2)</f>
        <v>2.44</v>
      </c>
      <c r="D910" s="21" t="s">
        <v>6549</v>
      </c>
      <c r="E910" s="21" t="s">
        <v>21725</v>
      </c>
      <c r="F910" s="21" t="s">
        <v>23310</v>
      </c>
    </row>
    <row r="911" customFormat="false" ht="28.35" hidden="false" customHeight="false" outlineLevel="0" collapsed="false">
      <c r="B911" s="19" t="s">
        <v>23318</v>
      </c>
      <c r="C911" s="20" t="n">
        <f aca="false">ROUND(3.51/FX,2)</f>
        <v>0.49</v>
      </c>
      <c r="D911" s="21" t="s">
        <v>6549</v>
      </c>
      <c r="E911" s="21" t="s">
        <v>13997</v>
      </c>
      <c r="F911" s="21" t="s">
        <v>23313</v>
      </c>
    </row>
    <row r="914" customFormat="false" ht="61.5" hidden="false" customHeight="true" outlineLevel="0" collapsed="false">
      <c r="A914" s="9"/>
      <c r="B914" s="10" t="s">
        <v>23319</v>
      </c>
      <c r="C914" s="10"/>
      <c r="D914" s="10"/>
      <c r="E914" s="10"/>
    </row>
    <row r="915" customFormat="false" ht="15" hidden="false" customHeight="false" outlineLevel="0" collapsed="false">
      <c r="A915" s="12" t="s">
        <v>700</v>
      </c>
      <c r="B915" s="13" t="s">
        <v>701</v>
      </c>
      <c r="C915" s="13" t="s">
        <v>702</v>
      </c>
      <c r="D915" s="13" t="s">
        <v>722</v>
      </c>
      <c r="E915" s="13" t="s">
        <v>723</v>
      </c>
    </row>
    <row r="916" customFormat="false" ht="30" hidden="false" customHeight="true" outlineLevel="0" collapsed="false">
      <c r="A916" s="14" t="s">
        <v>706</v>
      </c>
      <c r="B916" s="15" t="str">
        <f aca="false">IF(COUNTIFS($D$919:$D$936,IF(D916="","*",D916),$E$919:$E$936,IF(E916="","*",E916))=1,INDEX($B:$B,SUMPRODUCT(((D916="")+($D$919:$D$936=D916)&gt;0)*((E916="")+($E$919:$E$936=E916)&gt;0)*ROW($B$919:$B$936))),IF(COUNTIFS($D$919:$D$936,IF(D916="","*",D916),$E$919:$E$936,IF(E916="","*",E916))=0,"Not available",COUNTIFS($D$919:$D$936,IF(D916="","*",D916),$E$919:$E$936,IF(E916="","*",E916))&amp;" match, keep choosing"))</f>
        <v>AL-051-BK-2020LOBTZ</v>
      </c>
      <c r="C916" s="16" t="n">
        <f aca="false">IF(COUNTIFS($D$919:$D$936,IF(D916="","*",D916),$E$919:$E$936,IF(E916="","*",E916))=1,INDEX($C:$C,SUMPRODUCT(((D916="")+($D$919:$D$936=D916)&gt;0)*((E916="")+($E$919:$E$936=E916)&gt;0)*ROW($B$919:$B$936))),"")</f>
        <v>0.4</v>
      </c>
      <c r="D916" s="17" t="s">
        <v>724</v>
      </c>
      <c r="E916" s="17" t="s">
        <v>23320</v>
      </c>
    </row>
    <row r="918" customFormat="false" ht="15" hidden="false" customHeight="false" outlineLevel="0" collapsed="false">
      <c r="B918" s="18" t="s">
        <v>701</v>
      </c>
      <c r="C918" s="18" t="s">
        <v>702</v>
      </c>
      <c r="D918" s="18" t="s">
        <v>722</v>
      </c>
      <c r="E918" s="18" t="s">
        <v>723</v>
      </c>
    </row>
    <row r="919" customFormat="false" ht="15" hidden="false" customHeight="false" outlineLevel="0" collapsed="false">
      <c r="B919" s="19" t="s">
        <v>23321</v>
      </c>
      <c r="C919" s="20" t="n">
        <f aca="false">ROUND(2.86/FX,2)</f>
        <v>0.4</v>
      </c>
      <c r="D919" s="21" t="s">
        <v>724</v>
      </c>
      <c r="E919" s="21" t="s">
        <v>23320</v>
      </c>
    </row>
    <row r="920" customFormat="false" ht="15" hidden="false" customHeight="false" outlineLevel="0" collapsed="false">
      <c r="B920" s="19" t="s">
        <v>23322</v>
      </c>
      <c r="C920" s="20" t="n">
        <f aca="false">ROUND(2.68/FX,2)</f>
        <v>0.37</v>
      </c>
      <c r="D920" s="21" t="s">
        <v>724</v>
      </c>
      <c r="E920" s="21" t="s">
        <v>23323</v>
      </c>
    </row>
    <row r="921" customFormat="false" ht="15" hidden="false" customHeight="false" outlineLevel="0" collapsed="false">
      <c r="B921" s="19" t="s">
        <v>23324</v>
      </c>
      <c r="C921" s="20" t="n">
        <f aca="false">ROUND(4.42/FX,2)</f>
        <v>0.61</v>
      </c>
      <c r="D921" s="21" t="s">
        <v>724</v>
      </c>
      <c r="E921" s="21" t="s">
        <v>23325</v>
      </c>
    </row>
    <row r="922" customFormat="false" ht="15" hidden="false" customHeight="false" outlineLevel="0" collapsed="false">
      <c r="B922" s="19" t="s">
        <v>23326</v>
      </c>
      <c r="C922" s="20" t="n">
        <f aca="false">ROUND(4.68/FX,2)</f>
        <v>0.65</v>
      </c>
      <c r="D922" s="21" t="s">
        <v>724</v>
      </c>
      <c r="E922" s="21" t="s">
        <v>23327</v>
      </c>
    </row>
    <row r="923" customFormat="false" ht="15" hidden="false" customHeight="false" outlineLevel="0" collapsed="false">
      <c r="B923" s="19" t="s">
        <v>23328</v>
      </c>
      <c r="C923" s="20" t="n">
        <f aca="false">ROUND(4.68/FX,2)</f>
        <v>0.65</v>
      </c>
      <c r="D923" s="21" t="s">
        <v>724</v>
      </c>
      <c r="E923" s="21" t="s">
        <v>23329</v>
      </c>
    </row>
    <row r="924" customFormat="false" ht="15" hidden="false" customHeight="false" outlineLevel="0" collapsed="false">
      <c r="B924" s="19" t="s">
        <v>23330</v>
      </c>
      <c r="C924" s="20" t="n">
        <f aca="false">ROUND(6.5/FX,2)</f>
        <v>0.9</v>
      </c>
      <c r="D924" s="21" t="s">
        <v>724</v>
      </c>
      <c r="E924" s="21" t="s">
        <v>23331</v>
      </c>
    </row>
    <row r="925" customFormat="false" ht="15" hidden="false" customHeight="false" outlineLevel="0" collapsed="false">
      <c r="B925" s="19" t="s">
        <v>23332</v>
      </c>
      <c r="C925" s="20" t="n">
        <f aca="false">ROUND(6.5/FX,2)</f>
        <v>0.9</v>
      </c>
      <c r="D925" s="21" t="s">
        <v>724</v>
      </c>
      <c r="E925" s="21" t="s">
        <v>23333</v>
      </c>
    </row>
    <row r="926" customFormat="false" ht="41.75" hidden="false" customHeight="false" outlineLevel="0" collapsed="false">
      <c r="B926" s="19" t="s">
        <v>23334</v>
      </c>
      <c r="C926" s="20" t="n">
        <f aca="false">ROUND(8.06/FX,2)</f>
        <v>1.12</v>
      </c>
      <c r="D926" s="21" t="s">
        <v>724</v>
      </c>
      <c r="E926" s="21" t="s">
        <v>23335</v>
      </c>
    </row>
    <row r="927" customFormat="false" ht="15" hidden="false" customHeight="false" outlineLevel="0" collapsed="false">
      <c r="B927" s="19" t="s">
        <v>23336</v>
      </c>
      <c r="C927" s="20" t="n">
        <f aca="false">ROUND(6.5/FX,2)</f>
        <v>0.9</v>
      </c>
      <c r="D927" s="21" t="s">
        <v>724</v>
      </c>
      <c r="E927" s="21" t="s">
        <v>23337</v>
      </c>
    </row>
    <row r="928" customFormat="false" ht="28.35" hidden="false" customHeight="false" outlineLevel="0" collapsed="false">
      <c r="B928" s="19" t="s">
        <v>23338</v>
      </c>
      <c r="C928" s="20" t="n">
        <f aca="false">ROUND(2.6/FX,2)</f>
        <v>0.36</v>
      </c>
      <c r="D928" s="21" t="s">
        <v>6336</v>
      </c>
      <c r="E928" s="21" t="s">
        <v>23339</v>
      </c>
    </row>
    <row r="929" customFormat="false" ht="28.35" hidden="false" customHeight="false" outlineLevel="0" collapsed="false">
      <c r="B929" s="19" t="s">
        <v>23340</v>
      </c>
      <c r="C929" s="20" t="n">
        <f aca="false">ROUND(2.6/FX,2)</f>
        <v>0.36</v>
      </c>
      <c r="D929" s="21" t="s">
        <v>6336</v>
      </c>
      <c r="E929" s="21" t="s">
        <v>23341</v>
      </c>
    </row>
    <row r="930" customFormat="false" ht="28.35" hidden="false" customHeight="false" outlineLevel="0" collapsed="false">
      <c r="B930" s="19" t="s">
        <v>23342</v>
      </c>
      <c r="C930" s="20" t="n">
        <f aca="false">ROUND(4.42/FX,2)</f>
        <v>0.61</v>
      </c>
      <c r="D930" s="21" t="s">
        <v>6336</v>
      </c>
      <c r="E930" s="21" t="s">
        <v>23343</v>
      </c>
    </row>
    <row r="931" customFormat="false" ht="28.35" hidden="false" customHeight="false" outlineLevel="0" collapsed="false">
      <c r="B931" s="19" t="s">
        <v>23344</v>
      </c>
      <c r="C931" s="20" t="n">
        <f aca="false">ROUND(3.9/FX,2)</f>
        <v>0.54</v>
      </c>
      <c r="D931" s="21" t="s">
        <v>6336</v>
      </c>
      <c r="E931" s="21" t="s">
        <v>23345</v>
      </c>
    </row>
    <row r="932" customFormat="false" ht="28.35" hidden="false" customHeight="false" outlineLevel="0" collapsed="false">
      <c r="B932" s="19" t="s">
        <v>23346</v>
      </c>
      <c r="C932" s="20" t="n">
        <f aca="false">ROUND(3.9/FX,2)</f>
        <v>0.54</v>
      </c>
      <c r="D932" s="21" t="s">
        <v>6336</v>
      </c>
      <c r="E932" s="21" t="s">
        <v>23347</v>
      </c>
    </row>
    <row r="933" customFormat="false" ht="28.35" hidden="false" customHeight="false" outlineLevel="0" collapsed="false">
      <c r="B933" s="19" t="s">
        <v>23348</v>
      </c>
      <c r="C933" s="20" t="n">
        <f aca="false">ROUND(5.85/FX,2)</f>
        <v>0.81</v>
      </c>
      <c r="D933" s="21" t="s">
        <v>6336</v>
      </c>
      <c r="E933" s="21" t="s">
        <v>23349</v>
      </c>
    </row>
    <row r="934" customFormat="false" ht="28.35" hidden="false" customHeight="false" outlineLevel="0" collapsed="false">
      <c r="B934" s="19" t="s">
        <v>23350</v>
      </c>
      <c r="C934" s="20" t="n">
        <f aca="false">ROUND(5.85/FX,2)</f>
        <v>0.81</v>
      </c>
      <c r="D934" s="21" t="s">
        <v>6336</v>
      </c>
      <c r="E934" s="21" t="s">
        <v>23351</v>
      </c>
    </row>
    <row r="935" customFormat="false" ht="28.35" hidden="false" customHeight="false" outlineLevel="0" collapsed="false">
      <c r="B935" s="19" t="s">
        <v>23352</v>
      </c>
      <c r="C935" s="20" t="n">
        <f aca="false">ROUND(5.85/FX,2)</f>
        <v>0.81</v>
      </c>
      <c r="D935" s="21" t="s">
        <v>6336</v>
      </c>
      <c r="E935" s="21" t="s">
        <v>23353</v>
      </c>
    </row>
    <row r="936" customFormat="false" ht="28.35" hidden="false" customHeight="false" outlineLevel="0" collapsed="false">
      <c r="B936" s="19" t="s">
        <v>23354</v>
      </c>
      <c r="C936" s="20" t="n">
        <f aca="false">ROUND(7.15/FX,2)</f>
        <v>0.99</v>
      </c>
      <c r="D936" s="21" t="s">
        <v>6336</v>
      </c>
      <c r="E936" s="21" t="s">
        <v>23355</v>
      </c>
    </row>
    <row r="939" customFormat="false" ht="61.5" hidden="false" customHeight="true" outlineLevel="0" collapsed="false">
      <c r="A939" s="9"/>
      <c r="B939" s="10" t="s">
        <v>23356</v>
      </c>
      <c r="C939" s="10"/>
      <c r="D939" s="10"/>
    </row>
    <row r="940" customFormat="false" ht="15" hidden="false" customHeight="false" outlineLevel="0" collapsed="false">
      <c r="B940" s="18" t="s">
        <v>701</v>
      </c>
      <c r="C940" s="18" t="s">
        <v>702</v>
      </c>
      <c r="D940" s="18" t="s">
        <v>5610</v>
      </c>
    </row>
    <row r="941" customFormat="false" ht="15" hidden="false" customHeight="false" outlineLevel="0" collapsed="false">
      <c r="B941" s="19" t="s">
        <v>23357</v>
      </c>
      <c r="C941" s="20" t="n">
        <f aca="false">ROUND(11.7/FX,2)</f>
        <v>1.63</v>
      </c>
      <c r="D941" s="22" t="s">
        <v>5612</v>
      </c>
    </row>
    <row r="944" customFormat="false" ht="61.5" hidden="false" customHeight="true" outlineLevel="0" collapsed="false">
      <c r="A944" s="9"/>
      <c r="B944" s="10" t="s">
        <v>23358</v>
      </c>
      <c r="C944" s="10"/>
      <c r="D944" s="10"/>
      <c r="E944" s="10"/>
      <c r="F944" s="10"/>
      <c r="G944" s="10"/>
    </row>
    <row r="945" customFormat="false" ht="15" hidden="false" customHeight="false" outlineLevel="0" collapsed="false">
      <c r="A945" s="12" t="s">
        <v>700</v>
      </c>
      <c r="B945" s="13" t="s">
        <v>701</v>
      </c>
      <c r="C945" s="13" t="s">
        <v>702</v>
      </c>
      <c r="D945" s="13" t="s">
        <v>722</v>
      </c>
      <c r="E945" s="13" t="s">
        <v>705</v>
      </c>
      <c r="F945" s="13" t="s">
        <v>723</v>
      </c>
      <c r="G945" s="13" t="s">
        <v>6523</v>
      </c>
    </row>
    <row r="946" customFormat="false" ht="30" hidden="false" customHeight="true" outlineLevel="0" collapsed="false">
      <c r="A946" s="14" t="s">
        <v>706</v>
      </c>
      <c r="B946" s="15" t="str">
        <f aca="false">IF(COUNTIFS($D$949:$D$973,IF(D946="","*",D946),$E$949:$E$973,IF(E946="","*",E946),$F$949:$F$973,IF(F946="","*",F946),$G$949:$G$973,IF(G946="","*",G946))=1,INDEX($B:$B,SUMPRODUCT(((D946="")+($D$949:$D$973=D946)&gt;0)*((E946="")+($E$949:$E$973=E946)&gt;0)*((F946="")+($F$949:$F$973=F946)&gt;0)*((G946="")+($G$949:$G$973=G946)&gt;0)*ROW($B$949:$B$973))),IF(COUNTIFS($D$949:$D$973,IF(D946="","*",D946),$E$949:$E$973,IF(E946="","*",E946),$F$949:$F$973,IF(F946="","*",F946),$G$949:$G$973,IF(G946="","*",G946))=0,"Not available",COUNTIFS($D$949:$D$973,IF(D946="","*",D946),$E$949:$E$973,IF(E946="","*",E946),$F$949:$F$973,IF(F946="","*",F946),$G$949:$G$973,IF(G946="","*",G946))&amp;" match, keep choosing"))</f>
        <v>AL-065-330x250x130-XJ-KJ50</v>
      </c>
      <c r="C946" s="16" t="n">
        <f aca="false">IF(COUNTIFS($D$949:$D$973,IF(D946="","*",D946),$E$949:$E$973,IF(E946="","*",E946),$F$949:$F$973,IF(F946="","*",F946),$G$949:$G$973,IF(G946="","*",G946))=1,INDEX($C:$C,SUMPRODUCT(((D946="")+($D$949:$D$973=D946)&gt;0)*((E946="")+($E$949:$E$973=E946)&gt;0)*((F946="")+($F$949:$F$973=F946)&gt;0)*((G946="")+($G$949:$G$973=G946)&gt;0)*ROW($B$949:$B$973))),"")</f>
        <v>2.35</v>
      </c>
      <c r="D946" s="17" t="s">
        <v>6336</v>
      </c>
      <c r="E946" s="17" t="s">
        <v>13732</v>
      </c>
      <c r="F946" s="17" t="s">
        <v>23359</v>
      </c>
      <c r="G946" s="17" t="s">
        <v>23360</v>
      </c>
    </row>
    <row r="948" customFormat="false" ht="15" hidden="false" customHeight="false" outlineLevel="0" collapsed="false">
      <c r="B948" s="18" t="s">
        <v>701</v>
      </c>
      <c r="C948" s="18" t="s">
        <v>702</v>
      </c>
      <c r="D948" s="18" t="s">
        <v>722</v>
      </c>
      <c r="E948" s="18" t="s">
        <v>705</v>
      </c>
      <c r="F948" s="18" t="s">
        <v>723</v>
      </c>
      <c r="G948" s="18" t="s">
        <v>6523</v>
      </c>
    </row>
    <row r="949" customFormat="false" ht="15" hidden="false" customHeight="false" outlineLevel="0" collapsed="false">
      <c r="B949" s="19" t="s">
        <v>23361</v>
      </c>
      <c r="C949" s="20" t="n">
        <f aca="false">ROUND(16.9/FX,2)</f>
        <v>2.35</v>
      </c>
      <c r="D949" s="21" t="s">
        <v>6336</v>
      </c>
      <c r="E949" s="21" t="s">
        <v>13732</v>
      </c>
      <c r="F949" s="21" t="s">
        <v>23359</v>
      </c>
      <c r="G949" s="21" t="s">
        <v>23360</v>
      </c>
    </row>
    <row r="950" customFormat="false" ht="28.35" hidden="false" customHeight="false" outlineLevel="0" collapsed="false">
      <c r="B950" s="19" t="s">
        <v>23362</v>
      </c>
      <c r="C950" s="20" t="n">
        <f aca="false">ROUND(25.22/FX,2)</f>
        <v>3.5</v>
      </c>
      <c r="D950" s="21" t="s">
        <v>6336</v>
      </c>
      <c r="E950" s="21" t="s">
        <v>13732</v>
      </c>
      <c r="F950" s="21" t="s">
        <v>23363</v>
      </c>
      <c r="G950" s="21" t="s">
        <v>6336</v>
      </c>
    </row>
    <row r="951" customFormat="false" ht="28.35" hidden="false" customHeight="false" outlineLevel="0" collapsed="false">
      <c r="B951" s="19" t="s">
        <v>23364</v>
      </c>
      <c r="C951" s="20" t="n">
        <f aca="false">ROUND(32.5/FX,2)</f>
        <v>4.51</v>
      </c>
      <c r="D951" s="21" t="s">
        <v>6336</v>
      </c>
      <c r="E951" s="21" t="s">
        <v>13732</v>
      </c>
      <c r="F951" s="21" t="s">
        <v>23365</v>
      </c>
      <c r="G951" s="21" t="s">
        <v>6336</v>
      </c>
    </row>
    <row r="952" customFormat="false" ht="15" hidden="false" customHeight="false" outlineLevel="0" collapsed="false">
      <c r="B952" s="19" t="s">
        <v>23366</v>
      </c>
      <c r="C952" s="20" t="n">
        <f aca="false">ROUND(11.26/FX,2)</f>
        <v>1.56</v>
      </c>
      <c r="D952" s="21" t="s">
        <v>6336</v>
      </c>
      <c r="E952" s="21" t="s">
        <v>13732</v>
      </c>
      <c r="F952" s="21" t="s">
        <v>23367</v>
      </c>
      <c r="G952" s="21" t="s">
        <v>6336</v>
      </c>
    </row>
    <row r="953" customFormat="false" ht="28.35" hidden="false" customHeight="false" outlineLevel="0" collapsed="false">
      <c r="B953" s="19" t="s">
        <v>23368</v>
      </c>
      <c r="C953" s="20" t="n">
        <f aca="false">ROUND(25.22/FX,2)</f>
        <v>3.5</v>
      </c>
      <c r="D953" s="21" t="s">
        <v>6336</v>
      </c>
      <c r="E953" s="21" t="s">
        <v>13732</v>
      </c>
      <c r="F953" s="21" t="s">
        <v>23369</v>
      </c>
      <c r="G953" s="21" t="s">
        <v>6336</v>
      </c>
    </row>
    <row r="954" customFormat="false" ht="28.35" hidden="false" customHeight="false" outlineLevel="0" collapsed="false">
      <c r="B954" s="19" t="s">
        <v>23370</v>
      </c>
      <c r="C954" s="20" t="n">
        <f aca="false">ROUND(32.5/FX,2)</f>
        <v>4.51</v>
      </c>
      <c r="D954" s="21" t="s">
        <v>6336</v>
      </c>
      <c r="E954" s="21" t="s">
        <v>13732</v>
      </c>
      <c r="F954" s="21" t="s">
        <v>23371</v>
      </c>
      <c r="G954" s="21" t="s">
        <v>6336</v>
      </c>
    </row>
    <row r="955" customFormat="false" ht="28.35" hidden="false" customHeight="false" outlineLevel="0" collapsed="false">
      <c r="B955" s="19" t="s">
        <v>23372</v>
      </c>
      <c r="C955" s="20" t="n">
        <f aca="false">ROUND(18.2/FX,2)</f>
        <v>2.53</v>
      </c>
      <c r="D955" s="21" t="s">
        <v>6336</v>
      </c>
      <c r="E955" s="21" t="s">
        <v>13739</v>
      </c>
      <c r="F955" s="21" t="s">
        <v>23373</v>
      </c>
      <c r="G955" s="21" t="s">
        <v>6336</v>
      </c>
    </row>
    <row r="956" customFormat="false" ht="41.75" hidden="false" customHeight="false" outlineLevel="0" collapsed="false">
      <c r="B956" s="19" t="s">
        <v>23374</v>
      </c>
      <c r="C956" s="20" t="n">
        <f aca="false">ROUND(3.9/FX,2)</f>
        <v>0.54</v>
      </c>
      <c r="D956" s="21" t="s">
        <v>6336</v>
      </c>
      <c r="E956" s="21" t="s">
        <v>13732</v>
      </c>
      <c r="F956" s="21" t="s">
        <v>23375</v>
      </c>
      <c r="G956" s="21" t="s">
        <v>6336</v>
      </c>
    </row>
    <row r="957" customFormat="false" ht="41.75" hidden="false" customHeight="false" outlineLevel="0" collapsed="false">
      <c r="B957" s="19" t="s">
        <v>23376</v>
      </c>
      <c r="C957" s="20" t="n">
        <f aca="false">ROUND(7.02/FX,2)</f>
        <v>0.98</v>
      </c>
      <c r="D957" s="21" t="s">
        <v>6336</v>
      </c>
      <c r="E957" s="21" t="s">
        <v>13732</v>
      </c>
      <c r="F957" s="21" t="s">
        <v>23377</v>
      </c>
      <c r="G957" s="21" t="s">
        <v>6336</v>
      </c>
    </row>
    <row r="958" customFormat="false" ht="55.2" hidden="false" customHeight="false" outlineLevel="0" collapsed="false">
      <c r="B958" s="19" t="s">
        <v>23378</v>
      </c>
      <c r="C958" s="20" t="n">
        <f aca="false">ROUND(8.58/FX,2)</f>
        <v>1.19</v>
      </c>
      <c r="D958" s="21" t="s">
        <v>6336</v>
      </c>
      <c r="E958" s="21" t="s">
        <v>13732</v>
      </c>
      <c r="F958" s="21" t="s">
        <v>23379</v>
      </c>
      <c r="G958" s="21" t="s">
        <v>6336</v>
      </c>
    </row>
    <row r="959" customFormat="false" ht="15" hidden="false" customHeight="false" outlineLevel="0" collapsed="false">
      <c r="B959" s="19" t="s">
        <v>23380</v>
      </c>
      <c r="C959" s="20" t="n">
        <f aca="false">ROUND(7.8/FX,2)</f>
        <v>1.08</v>
      </c>
      <c r="D959" s="21" t="s">
        <v>6336</v>
      </c>
      <c r="E959" s="21" t="s">
        <v>13732</v>
      </c>
      <c r="F959" s="21" t="s">
        <v>23381</v>
      </c>
      <c r="G959" s="21" t="s">
        <v>6336</v>
      </c>
    </row>
    <row r="960" customFormat="false" ht="15" hidden="false" customHeight="false" outlineLevel="0" collapsed="false">
      <c r="B960" s="19" t="s">
        <v>23382</v>
      </c>
      <c r="C960" s="20" t="n">
        <f aca="false">ROUND(3.9/FX,2)</f>
        <v>0.54</v>
      </c>
      <c r="D960" s="21" t="s">
        <v>6336</v>
      </c>
      <c r="E960" s="21" t="s">
        <v>13732</v>
      </c>
      <c r="F960" s="21" t="s">
        <v>23383</v>
      </c>
      <c r="G960" s="21" t="s">
        <v>6336</v>
      </c>
    </row>
    <row r="961" customFormat="false" ht="28.35" hidden="false" customHeight="false" outlineLevel="0" collapsed="false">
      <c r="B961" s="19" t="s">
        <v>23384</v>
      </c>
      <c r="C961" s="20" t="n">
        <f aca="false">ROUND(4.5/FX,2)</f>
        <v>0.63</v>
      </c>
      <c r="D961" s="21" t="s">
        <v>724</v>
      </c>
      <c r="E961" s="21" t="s">
        <v>13732</v>
      </c>
      <c r="F961" s="21" t="s">
        <v>23385</v>
      </c>
      <c r="G961" s="21" t="s">
        <v>6336</v>
      </c>
    </row>
    <row r="962" customFormat="false" ht="28.35" hidden="false" customHeight="false" outlineLevel="0" collapsed="false">
      <c r="B962" s="19" t="s">
        <v>23386</v>
      </c>
      <c r="C962" s="20" t="n">
        <f aca="false">ROUND(4.55/FX,2)</f>
        <v>0.63</v>
      </c>
      <c r="D962" s="21" t="s">
        <v>724</v>
      </c>
      <c r="E962" s="21" t="s">
        <v>13732</v>
      </c>
      <c r="F962" s="21" t="s">
        <v>23387</v>
      </c>
      <c r="G962" s="21" t="s">
        <v>6336</v>
      </c>
    </row>
    <row r="963" customFormat="false" ht="15" hidden="false" customHeight="false" outlineLevel="0" collapsed="false">
      <c r="B963" s="19" t="s">
        <v>23388</v>
      </c>
      <c r="C963" s="20" t="n">
        <f aca="false">ROUND(3.9/FX,2)</f>
        <v>0.54</v>
      </c>
      <c r="D963" s="21" t="s">
        <v>724</v>
      </c>
      <c r="E963" s="21" t="s">
        <v>13732</v>
      </c>
      <c r="F963" s="21" t="s">
        <v>23389</v>
      </c>
      <c r="G963" s="21" t="s">
        <v>6336</v>
      </c>
    </row>
    <row r="964" customFormat="false" ht="15" hidden="false" customHeight="false" outlineLevel="0" collapsed="false">
      <c r="B964" s="19" t="s">
        <v>23390</v>
      </c>
      <c r="C964" s="20" t="n">
        <f aca="false">ROUND(4.42/FX,2)</f>
        <v>0.61</v>
      </c>
      <c r="D964" s="21" t="s">
        <v>724</v>
      </c>
      <c r="E964" s="21" t="s">
        <v>13732</v>
      </c>
      <c r="F964" s="21" t="s">
        <v>23391</v>
      </c>
      <c r="G964" s="21" t="s">
        <v>6336</v>
      </c>
    </row>
    <row r="965" customFormat="false" ht="15" hidden="false" customHeight="false" outlineLevel="0" collapsed="false">
      <c r="B965" s="19" t="s">
        <v>23392</v>
      </c>
      <c r="C965" s="20" t="n">
        <f aca="false">ROUND(129.54/FX,2)</f>
        <v>17.99</v>
      </c>
      <c r="D965" s="21" t="s">
        <v>6336</v>
      </c>
      <c r="E965" s="21" t="s">
        <v>13732</v>
      </c>
      <c r="F965" s="21" t="s">
        <v>23393</v>
      </c>
      <c r="G965" s="21" t="s">
        <v>6336</v>
      </c>
    </row>
    <row r="966" customFormat="false" ht="15" hidden="false" customHeight="false" outlineLevel="0" collapsed="false">
      <c r="B966" s="19" t="s">
        <v>23394</v>
      </c>
      <c r="C966" s="20" t="n">
        <f aca="false">ROUND(3.64/FX,2)</f>
        <v>0.51</v>
      </c>
      <c r="D966" s="21" t="s">
        <v>6336</v>
      </c>
      <c r="E966" s="21" t="s">
        <v>13732</v>
      </c>
      <c r="F966" s="21" t="s">
        <v>23395</v>
      </c>
      <c r="G966" s="21" t="s">
        <v>6336</v>
      </c>
    </row>
    <row r="967" customFormat="false" ht="28.35" hidden="false" customHeight="false" outlineLevel="0" collapsed="false">
      <c r="B967" s="19" t="s">
        <v>23396</v>
      </c>
      <c r="C967" s="20" t="n">
        <f aca="false">ROUND(19.5/FX,2)</f>
        <v>2.71</v>
      </c>
      <c r="D967" s="21" t="s">
        <v>6336</v>
      </c>
      <c r="E967" s="21" t="s">
        <v>13732</v>
      </c>
      <c r="F967" s="21" t="s">
        <v>23397</v>
      </c>
      <c r="G967" s="21" t="s">
        <v>6336</v>
      </c>
    </row>
    <row r="968" customFormat="false" ht="15" hidden="false" customHeight="false" outlineLevel="0" collapsed="false">
      <c r="B968" s="19" t="s">
        <v>23398</v>
      </c>
      <c r="C968" s="20" t="n">
        <f aca="false">ROUND(197.4/FX,2)</f>
        <v>27.42</v>
      </c>
      <c r="D968" s="21" t="s">
        <v>6336</v>
      </c>
      <c r="E968" s="21" t="s">
        <v>13732</v>
      </c>
      <c r="F968" s="21" t="s">
        <v>23399</v>
      </c>
      <c r="G968" s="21" t="s">
        <v>6336</v>
      </c>
    </row>
    <row r="969" customFormat="false" ht="15" hidden="false" customHeight="false" outlineLevel="0" collapsed="false">
      <c r="B969" s="19" t="s">
        <v>23400</v>
      </c>
      <c r="C969" s="20" t="n">
        <f aca="false">ROUND(2.12/FX,2)</f>
        <v>0.29</v>
      </c>
      <c r="D969" s="21" t="s">
        <v>6336</v>
      </c>
      <c r="E969" s="21" t="s">
        <v>13732</v>
      </c>
      <c r="F969" s="21" t="s">
        <v>23401</v>
      </c>
      <c r="G969" s="21" t="s">
        <v>6336</v>
      </c>
    </row>
    <row r="970" customFormat="false" ht="15" hidden="false" customHeight="false" outlineLevel="0" collapsed="false">
      <c r="B970" s="19" t="s">
        <v>23402</v>
      </c>
      <c r="C970" s="20" t="n">
        <f aca="false">ROUND(1.3/FX,2)</f>
        <v>0.18</v>
      </c>
      <c r="D970" s="21" t="s">
        <v>6336</v>
      </c>
      <c r="E970" s="21" t="s">
        <v>13997</v>
      </c>
      <c r="F970" s="21" t="s">
        <v>23403</v>
      </c>
      <c r="G970" s="21" t="s">
        <v>6336</v>
      </c>
    </row>
    <row r="971" customFormat="false" ht="15" hidden="false" customHeight="false" outlineLevel="0" collapsed="false">
      <c r="B971" s="19" t="s">
        <v>23404</v>
      </c>
      <c r="C971" s="20" t="n">
        <f aca="false">ROUND(23.4/FX,2)</f>
        <v>3.25</v>
      </c>
      <c r="D971" s="21" t="s">
        <v>6336</v>
      </c>
      <c r="E971" s="21" t="s">
        <v>13732</v>
      </c>
      <c r="F971" s="21" t="s">
        <v>23405</v>
      </c>
      <c r="G971" s="21" t="s">
        <v>6336</v>
      </c>
    </row>
    <row r="972" customFormat="false" ht="41.75" hidden="false" customHeight="false" outlineLevel="0" collapsed="false">
      <c r="B972" s="19" t="s">
        <v>23406</v>
      </c>
      <c r="C972" s="20" t="n">
        <f aca="false">ROUND(46.37/FX,2)</f>
        <v>6.44</v>
      </c>
      <c r="D972" s="21" t="s">
        <v>6336</v>
      </c>
      <c r="E972" s="21" t="s">
        <v>13732</v>
      </c>
      <c r="F972" s="21" t="s">
        <v>23407</v>
      </c>
      <c r="G972" s="21" t="s">
        <v>6336</v>
      </c>
    </row>
    <row r="973" customFormat="false" ht="28.35" hidden="false" customHeight="false" outlineLevel="0" collapsed="false">
      <c r="B973" s="19" t="s">
        <v>23408</v>
      </c>
      <c r="C973" s="20" t="n">
        <f aca="false">ROUND(4.27/FX,2)</f>
        <v>0.59</v>
      </c>
      <c r="D973" s="21" t="s">
        <v>6336</v>
      </c>
      <c r="E973" s="21" t="s">
        <v>13732</v>
      </c>
      <c r="F973" s="21" t="s">
        <v>23409</v>
      </c>
      <c r="G973" s="21" t="s">
        <v>6336</v>
      </c>
    </row>
    <row r="976" customFormat="false" ht="61.5" hidden="false" customHeight="true" outlineLevel="0" collapsed="false">
      <c r="A976" s="9"/>
      <c r="B976" s="10" t="s">
        <v>23410</v>
      </c>
      <c r="C976" s="10"/>
      <c r="D976" s="10"/>
    </row>
    <row r="977" customFormat="false" ht="15" hidden="false" customHeight="true" outlineLevel="0" collapsed="false">
      <c r="B977" s="11" t="s">
        <v>21919</v>
      </c>
      <c r="C977" s="11"/>
      <c r="D977" s="11"/>
    </row>
    <row r="978" customFormat="false" ht="15" hidden="false" customHeight="false" outlineLevel="0" collapsed="false">
      <c r="A978" s="12" t="s">
        <v>700</v>
      </c>
      <c r="B978" s="13" t="s">
        <v>701</v>
      </c>
      <c r="C978" s="13" t="s">
        <v>702</v>
      </c>
      <c r="D978" s="13" t="s">
        <v>723</v>
      </c>
    </row>
    <row r="979" customFormat="false" ht="30" hidden="false" customHeight="true" outlineLevel="0" collapsed="false">
      <c r="A979" s="14" t="s">
        <v>706</v>
      </c>
      <c r="B979" s="15" t="str">
        <f aca="false">IF(COUNTIFS($D$982:$D$985,IF(D979="","*",D979))=1,INDEX($B:$B,SUMPRODUCT(((D979="")+($D$982:$D$985=D979)&gt;0)*ROW($B$982:$B$985))),IF(COUNTIFS($D$982:$D$985,IF(D979="","*",D979))=0,"Not available",COUNTIFS($D$982:$D$985,IF(D979="","*",D979))&amp;" match, keep choosing"))</f>
        <v>AL-054-37QGKCLHYL</v>
      </c>
      <c r="C979" s="16" t="n">
        <f aca="false">IF(COUNTIFS($D$982:$D$985,IF(D979="","*",D979))=1,INDEX($C:$C,SUMPRODUCT(((D979="")+($D$982:$D$985=D979)&gt;0)*ROW($B$982:$B$985))),"")</f>
        <v>0.67</v>
      </c>
      <c r="D979" s="17" t="s">
        <v>23411</v>
      </c>
    </row>
    <row r="981" customFormat="false" ht="15" hidden="false" customHeight="false" outlineLevel="0" collapsed="false">
      <c r="B981" s="18" t="s">
        <v>701</v>
      </c>
      <c r="C981" s="18" t="s">
        <v>702</v>
      </c>
      <c r="D981" s="18" t="s">
        <v>723</v>
      </c>
    </row>
    <row r="982" customFormat="false" ht="28.35" hidden="false" customHeight="false" outlineLevel="0" collapsed="false">
      <c r="B982" s="19" t="s">
        <v>23412</v>
      </c>
      <c r="C982" s="20" t="n">
        <f aca="false">ROUND(4.81/FX,2)</f>
        <v>0.67</v>
      </c>
      <c r="D982" s="21" t="s">
        <v>23411</v>
      </c>
    </row>
    <row r="983" customFormat="false" ht="28.35" hidden="false" customHeight="false" outlineLevel="0" collapsed="false">
      <c r="B983" s="19" t="s">
        <v>23413</v>
      </c>
      <c r="C983" s="20" t="n">
        <f aca="false">ROUND(4.81/FX,2)</f>
        <v>0.67</v>
      </c>
      <c r="D983" s="21" t="s">
        <v>23414</v>
      </c>
    </row>
    <row r="984" customFormat="false" ht="28.35" hidden="false" customHeight="false" outlineLevel="0" collapsed="false">
      <c r="B984" s="19" t="s">
        <v>23415</v>
      </c>
      <c r="C984" s="20" t="n">
        <f aca="false">ROUND(5.07/FX,2)</f>
        <v>0.7</v>
      </c>
      <c r="D984" s="21" t="s">
        <v>23416</v>
      </c>
    </row>
    <row r="985" customFormat="false" ht="28.35" hidden="false" customHeight="false" outlineLevel="0" collapsed="false">
      <c r="B985" s="19" t="s">
        <v>23417</v>
      </c>
      <c r="C985" s="20" t="n">
        <f aca="false">ROUND(5.07/FX,2)</f>
        <v>0.7</v>
      </c>
      <c r="D985" s="21" t="s">
        <v>23418</v>
      </c>
    </row>
    <row r="988" customFormat="false" ht="61.5" hidden="false" customHeight="true" outlineLevel="0" collapsed="false">
      <c r="A988" s="9"/>
      <c r="B988" s="10" t="s">
        <v>23419</v>
      </c>
      <c r="C988" s="10"/>
      <c r="D988" s="10"/>
    </row>
    <row r="989" customFormat="false" ht="15" hidden="false" customHeight="false" outlineLevel="0" collapsed="false">
      <c r="A989" s="12" t="s">
        <v>700</v>
      </c>
      <c r="B989" s="13" t="s">
        <v>701</v>
      </c>
      <c r="C989" s="13" t="s">
        <v>702</v>
      </c>
      <c r="D989" s="13" t="s">
        <v>723</v>
      </c>
    </row>
    <row r="990" customFormat="false" ht="30" hidden="false" customHeight="true" outlineLevel="0" collapsed="false">
      <c r="A990" s="14" t="s">
        <v>706</v>
      </c>
      <c r="B990" s="15" t="str">
        <f aca="false">IF(COUNTIFS($D$993:$D$996,IF(D990="","*",D990))=1,INDEX($B:$B,SUMPRODUCT(((D990="")+($D$993:$D$996=D990)&gt;0)*ROW($B$993:$B$996))),IF(COUNTIFS($D$993:$D$996,IF(D990="","*",D990))=0,"Not available",COUNTIFS($D$993:$D$996,IF(D990="","*",D990))&amp;" match, keep choosing"))</f>
        <v>AL-036-2020LXCY</v>
      </c>
      <c r="C990" s="16" t="n">
        <f aca="false">IF(COUNTIFS($D$993:$D$996,IF(D990="","*",D990))=1,INDEX($C:$C,SUMPRODUCT(((D990="")+($D$993:$D$996=D990)&gt;0)*ROW($B$993:$B$996))),"")</f>
        <v>1.08</v>
      </c>
      <c r="D990" s="17" t="s">
        <v>23420</v>
      </c>
    </row>
    <row r="992" customFormat="false" ht="15" hidden="false" customHeight="false" outlineLevel="0" collapsed="false">
      <c r="B992" s="18" t="s">
        <v>701</v>
      </c>
      <c r="C992" s="18" t="s">
        <v>702</v>
      </c>
      <c r="D992" s="18" t="s">
        <v>723</v>
      </c>
    </row>
    <row r="993" customFormat="false" ht="15" hidden="false" customHeight="false" outlineLevel="0" collapsed="false">
      <c r="B993" s="19" t="s">
        <v>23421</v>
      </c>
      <c r="C993" s="20" t="n">
        <f aca="false">ROUND(7.8/FX,2)</f>
        <v>1.08</v>
      </c>
      <c r="D993" s="21" t="s">
        <v>23420</v>
      </c>
    </row>
    <row r="994" customFormat="false" ht="15" hidden="false" customHeight="false" outlineLevel="0" collapsed="false">
      <c r="B994" s="19" t="s">
        <v>23422</v>
      </c>
      <c r="C994" s="20" t="n">
        <f aca="false">ROUND(8.45/FX,2)</f>
        <v>1.17</v>
      </c>
      <c r="D994" s="21" t="s">
        <v>23423</v>
      </c>
    </row>
    <row r="995" customFormat="false" ht="15" hidden="false" customHeight="false" outlineLevel="0" collapsed="false">
      <c r="B995" s="19" t="s">
        <v>23424</v>
      </c>
      <c r="C995" s="20" t="n">
        <f aca="false">ROUND(9.1/FX,2)</f>
        <v>1.26</v>
      </c>
      <c r="D995" s="21" t="s">
        <v>23425</v>
      </c>
    </row>
    <row r="996" customFormat="false" ht="15" hidden="false" customHeight="false" outlineLevel="0" collapsed="false">
      <c r="B996" s="19" t="s">
        <v>23426</v>
      </c>
      <c r="C996" s="20" t="n">
        <f aca="false">ROUND(10.4/FX,2)</f>
        <v>1.44</v>
      </c>
      <c r="D996" s="21" t="s">
        <v>23427</v>
      </c>
    </row>
    <row r="999" customFormat="false" ht="61.5" hidden="false" customHeight="true" outlineLevel="0" collapsed="false">
      <c r="A999" s="9"/>
      <c r="B999" s="10" t="s">
        <v>23428</v>
      </c>
      <c r="C999" s="10"/>
      <c r="D999" s="10"/>
      <c r="E999" s="10"/>
    </row>
    <row r="1000" customFormat="false" ht="15" hidden="false" customHeight="false" outlineLevel="0" collapsed="false">
      <c r="A1000" s="12" t="s">
        <v>700</v>
      </c>
      <c r="B1000" s="13" t="s">
        <v>701</v>
      </c>
      <c r="C1000" s="13" t="s">
        <v>702</v>
      </c>
      <c r="D1000" s="13" t="s">
        <v>722</v>
      </c>
      <c r="E1000" s="13" t="s">
        <v>723</v>
      </c>
    </row>
    <row r="1001" customFormat="false" ht="30" hidden="false" customHeight="true" outlineLevel="0" collapsed="false">
      <c r="A1001" s="14" t="s">
        <v>706</v>
      </c>
      <c r="B1001" s="15" t="str">
        <f aca="false">IF(COUNTIFS($D$1004:$D$1010,IF(D1001="","*",D1001),$E$1004:$E$1010,IF(E1001="","*",E1001))=1,INDEX($B:$B,SUMPRODUCT(((D1001="")+($D$1004:$D$1010=D1001)&gt;0)*((E1001="")+($E$1004:$E$1010=E1001)&gt;0)*ROW($B$1004:$B$1010))),IF(COUNTIFS($D$1004:$D$1010,IF(D1001="","*",D1001),$E$1004:$E$1010,IF(E1001="","*",E1001))=0,"Not available",COUNTIFS($D$1004:$D$1010,IF(D1001="","*",D1001),$E$1004:$E$1010,IF(E1001="","*",E1001))&amp;" match, keep choosing"))</f>
        <v>AL-006-BK-2028-BK</v>
      </c>
      <c r="C1001" s="16" t="n">
        <f aca="false">IF(COUNTIFS($D$1004:$D$1010,IF(D1001="","*",D1001),$E$1004:$E$1010,IF(E1001="","*",E1001))=1,INDEX($C:$C,SUMPRODUCT(((D1001="")+($D$1004:$D$1010=D1001)&gt;0)*((E1001="")+($E$1004:$E$1010=E1001)&gt;0)*ROW($B$1004:$B$1010))),"")</f>
        <v>0.07</v>
      </c>
      <c r="D1001" s="17" t="s">
        <v>724</v>
      </c>
      <c r="E1001" s="17" t="s">
        <v>23429</v>
      </c>
    </row>
    <row r="1003" customFormat="false" ht="15" hidden="false" customHeight="false" outlineLevel="0" collapsed="false">
      <c r="B1003" s="18" t="s">
        <v>701</v>
      </c>
      <c r="C1003" s="18" t="s">
        <v>702</v>
      </c>
      <c r="D1003" s="18" t="s">
        <v>722</v>
      </c>
      <c r="E1003" s="18" t="s">
        <v>723</v>
      </c>
    </row>
    <row r="1004" customFormat="false" ht="15" hidden="false" customHeight="false" outlineLevel="0" collapsed="false">
      <c r="B1004" s="19" t="s">
        <v>23430</v>
      </c>
      <c r="C1004" s="20" t="n">
        <f aca="false">ROUND(0.49/FX,2)</f>
        <v>0.07</v>
      </c>
      <c r="D1004" s="21" t="s">
        <v>724</v>
      </c>
      <c r="E1004" s="21" t="s">
        <v>23429</v>
      </c>
    </row>
    <row r="1005" customFormat="false" ht="15" hidden="false" customHeight="false" outlineLevel="0" collapsed="false">
      <c r="B1005" s="19" t="s">
        <v>23431</v>
      </c>
      <c r="C1005" s="20" t="n">
        <f aca="false">ROUND(9.19/FX,2)</f>
        <v>1.28</v>
      </c>
      <c r="D1005" s="21" t="s">
        <v>724</v>
      </c>
      <c r="E1005" s="21" t="s">
        <v>23432</v>
      </c>
    </row>
    <row r="1006" customFormat="false" ht="15" hidden="false" customHeight="false" outlineLevel="0" collapsed="false">
      <c r="B1006" s="19" t="s">
        <v>23433</v>
      </c>
      <c r="C1006" s="20" t="n">
        <f aca="false">ROUND(0.69/FX,2)</f>
        <v>0.1</v>
      </c>
      <c r="D1006" s="21" t="s">
        <v>724</v>
      </c>
      <c r="E1006" s="21" t="s">
        <v>23434</v>
      </c>
    </row>
    <row r="1007" customFormat="false" ht="15" hidden="false" customHeight="false" outlineLevel="0" collapsed="false">
      <c r="B1007" s="19" t="s">
        <v>23435</v>
      </c>
      <c r="C1007" s="20" t="n">
        <f aca="false">ROUND(0.59/FX,2)</f>
        <v>0.08</v>
      </c>
      <c r="D1007" s="21" t="s">
        <v>6549</v>
      </c>
      <c r="E1007" s="21" t="s">
        <v>23436</v>
      </c>
    </row>
    <row r="1008" customFormat="false" ht="15" hidden="false" customHeight="false" outlineLevel="0" collapsed="false">
      <c r="B1008" s="19" t="s">
        <v>23437</v>
      </c>
      <c r="C1008" s="20" t="n">
        <f aca="false">ROUND(0.48/FX,2)</f>
        <v>0.07</v>
      </c>
      <c r="D1008" s="21" t="s">
        <v>6549</v>
      </c>
      <c r="E1008" s="21" t="s">
        <v>23429</v>
      </c>
    </row>
    <row r="1009" customFormat="false" ht="15" hidden="false" customHeight="false" outlineLevel="0" collapsed="false">
      <c r="B1009" s="19" t="s">
        <v>23438</v>
      </c>
      <c r="C1009" s="20" t="n">
        <f aca="false">ROUND(9.18/FX,2)</f>
        <v>1.28</v>
      </c>
      <c r="D1009" s="21" t="s">
        <v>6549</v>
      </c>
      <c r="E1009" s="21" t="s">
        <v>23432</v>
      </c>
    </row>
    <row r="1010" customFormat="false" ht="15" hidden="false" customHeight="false" outlineLevel="0" collapsed="false">
      <c r="B1010" s="19" t="s">
        <v>23439</v>
      </c>
      <c r="C1010" s="20" t="n">
        <f aca="false">ROUND(0.48/FX,2)</f>
        <v>0.07</v>
      </c>
      <c r="D1010" s="21" t="s">
        <v>6549</v>
      </c>
      <c r="E1010" s="21" t="s">
        <v>23434</v>
      </c>
    </row>
    <row r="1013" customFormat="false" ht="61.5" hidden="false" customHeight="true" outlineLevel="0" collapsed="false">
      <c r="A1013" s="9"/>
      <c r="B1013" s="10" t="s">
        <v>23440</v>
      </c>
      <c r="C1013" s="10"/>
      <c r="D1013" s="10"/>
      <c r="E1013" s="10"/>
    </row>
    <row r="1014" customFormat="false" ht="15" hidden="false" customHeight="false" outlineLevel="0" collapsed="false">
      <c r="A1014" s="12" t="s">
        <v>700</v>
      </c>
      <c r="B1014" s="13" t="s">
        <v>701</v>
      </c>
      <c r="C1014" s="13" t="s">
        <v>702</v>
      </c>
      <c r="D1014" s="13" t="s">
        <v>722</v>
      </c>
      <c r="E1014" s="13" t="s">
        <v>723</v>
      </c>
    </row>
    <row r="1015" customFormat="false" ht="30" hidden="false" customHeight="true" outlineLevel="0" collapsed="false">
      <c r="A1015" s="14" t="s">
        <v>706</v>
      </c>
      <c r="B1015" s="15" t="str">
        <f aca="false">IF(COUNTIFS($D$1018:$D$1021,IF(D1015="","*",D1015),$E$1018:$E$1021,IF(E1015="","*",E1015))=1,INDEX($B:$B,SUMPRODUCT(((D1015="")+($D$1018:$D$1021=D1015)&gt;0)*((E1015="")+($E$1018:$E$1021=E1015)&gt;0)*ROW($B$1018:$B$1021))),IF(COUNTIFS($D$1018:$D$1021,IF(D1015="","*",D1015),$E$1018:$E$1021,IF(E1015="","*",E1015))=0,"Not available",COUNTIFS($D$1018:$D$1021,IF(D1015="","*",D1015),$E$1018:$E$1021,IF(E1015="","*",E1015))&amp;" match, keep choosing"))</f>
        <v>AL-014-BK-YZK</v>
      </c>
      <c r="C1015" s="16" t="n">
        <f aca="false">IF(COUNTIFS($D$1018:$D$1021,IF(D1015="","*",D1015),$E$1018:$E$1021,IF(E1015="","*",E1015))=1,INDEX($C:$C,SUMPRODUCT(((D1015="")+($D$1018:$D$1021=D1015)&gt;0)*((E1015="")+($E$1018:$E$1021=E1015)&gt;0)*ROW($B$1018:$B$1021))),"")</f>
        <v>0.34</v>
      </c>
      <c r="D1015" s="17" t="s">
        <v>724</v>
      </c>
      <c r="E1015" s="17" t="s">
        <v>23441</v>
      </c>
    </row>
    <row r="1017" customFormat="false" ht="15" hidden="false" customHeight="false" outlineLevel="0" collapsed="false">
      <c r="B1017" s="18" t="s">
        <v>701</v>
      </c>
      <c r="C1017" s="18" t="s">
        <v>702</v>
      </c>
      <c r="D1017" s="18" t="s">
        <v>722</v>
      </c>
      <c r="E1017" s="18" t="s">
        <v>723</v>
      </c>
    </row>
    <row r="1018" customFormat="false" ht="15" hidden="false" customHeight="false" outlineLevel="0" collapsed="false">
      <c r="B1018" s="19" t="s">
        <v>23442</v>
      </c>
      <c r="C1018" s="20" t="n">
        <f aca="false">ROUND(2.47/FX,2)</f>
        <v>0.34</v>
      </c>
      <c r="D1018" s="21" t="s">
        <v>724</v>
      </c>
      <c r="E1018" s="21" t="s">
        <v>23441</v>
      </c>
    </row>
    <row r="1019" customFormat="false" ht="15" hidden="false" customHeight="false" outlineLevel="0" collapsed="false">
      <c r="B1019" s="19" t="s">
        <v>23443</v>
      </c>
      <c r="C1019" s="20" t="n">
        <f aca="false">ROUND(2/FX,2)</f>
        <v>0.28</v>
      </c>
      <c r="D1019" s="21" t="s">
        <v>6549</v>
      </c>
      <c r="E1019" s="21" t="s">
        <v>22850</v>
      </c>
    </row>
    <row r="1020" customFormat="false" ht="15" hidden="false" customHeight="false" outlineLevel="0" collapsed="false">
      <c r="B1020" s="19" t="s">
        <v>23444</v>
      </c>
      <c r="C1020" s="20" t="n">
        <f aca="false">ROUND(1.95/FX,2)</f>
        <v>0.27</v>
      </c>
      <c r="D1020" s="21" t="s">
        <v>6549</v>
      </c>
      <c r="E1020" s="21" t="s">
        <v>23445</v>
      </c>
    </row>
    <row r="1021" customFormat="false" ht="15" hidden="false" customHeight="false" outlineLevel="0" collapsed="false">
      <c r="B1021" s="19" t="s">
        <v>23446</v>
      </c>
      <c r="C1021" s="20" t="n">
        <f aca="false">ROUND(1.82/FX,2)</f>
        <v>0.25</v>
      </c>
      <c r="D1021" s="21" t="s">
        <v>6549</v>
      </c>
      <c r="E1021" s="21" t="s">
        <v>23441</v>
      </c>
    </row>
    <row r="1024" customFormat="false" ht="61.5" hidden="false" customHeight="true" outlineLevel="0" collapsed="false">
      <c r="A1024" s="9"/>
      <c r="B1024" s="10" t="s">
        <v>23447</v>
      </c>
      <c r="C1024" s="10"/>
      <c r="D1024" s="10"/>
      <c r="E1024" s="10"/>
      <c r="F1024" s="10"/>
    </row>
    <row r="1025" customFormat="false" ht="15" hidden="false" customHeight="false" outlineLevel="0" collapsed="false">
      <c r="A1025" s="12" t="s">
        <v>700</v>
      </c>
      <c r="B1025" s="13" t="s">
        <v>701</v>
      </c>
      <c r="C1025" s="13" t="s">
        <v>702</v>
      </c>
      <c r="D1025" s="13" t="s">
        <v>5610</v>
      </c>
      <c r="E1025" s="13" t="s">
        <v>723</v>
      </c>
      <c r="F1025" s="13" t="s">
        <v>6328</v>
      </c>
    </row>
    <row r="1026" customFormat="false" ht="30" hidden="false" customHeight="true" outlineLevel="0" collapsed="false">
      <c r="A1026" s="14" t="s">
        <v>706</v>
      </c>
      <c r="B1026" s="15" t="str">
        <f aca="false">IF(COUNTIFS($D$1029:$D$1031,IF(D1026="","*",D1026),$E$1029:$E$1031,IF(E1026="","*",E1026),$F$1029:$F$1031,IF(F1026="","*",F1026))=1,INDEX($B:$B,SUMPRODUCT(((D1026="")+($D$1029:$D$1031=D1026)&gt;0)*((E1026="")+($E$1029:$E$1031=E1026)&gt;0)*((F1026="")+($F$1029:$F$1031=F1026)&gt;0)*ROW($B$1029:$B$1031))),IF(COUNTIFS($D$1029:$D$1031,IF(D1026="","*",D1026),$E$1029:$E$1031,IF(E1026="","*",E1026),$F$1029:$F$1031,IF(F1026="","*",F1026))=0,"Not available",COUNTIFS($D$1029:$D$1031,IF(D1026="","*",D1026),$E$1029:$E$1031,IF(E1026="","*",E1026),$F$1029:$F$1031,IF(F1026="","*",F1026))&amp;" match, keep choosing"))</f>
        <v>AL-005-AK-KD6-6060</v>
      </c>
      <c r="C1026" s="16" t="n">
        <f aca="false">IF(COUNTIFS($D$1029:$D$1031,IF(D1026="","*",D1026),$E$1029:$E$1031,IF(E1026="","*",E1026),$F$1029:$F$1031,IF(F1026="","*",F1026))=1,INDEX($C:$C,SUMPRODUCT(((D1026="")+($D$1029:$D$1031=D1026)&gt;0)*((E1026="")+($E$1029:$E$1031=E1026)&gt;0)*((F1026="")+($F$1029:$F$1031=F1026)&gt;0)*ROW($B$1029:$B$1031))),"")</f>
        <v>0.33</v>
      </c>
      <c r="D1026" s="17" t="s">
        <v>23448</v>
      </c>
      <c r="E1026" s="17" t="s">
        <v>23449</v>
      </c>
      <c r="F1026" s="17" t="s">
        <v>7941</v>
      </c>
    </row>
    <row r="1028" customFormat="false" ht="15" hidden="false" customHeight="false" outlineLevel="0" collapsed="false">
      <c r="B1028" s="18" t="s">
        <v>701</v>
      </c>
      <c r="C1028" s="18" t="s">
        <v>702</v>
      </c>
      <c r="D1028" s="18" t="s">
        <v>5610</v>
      </c>
      <c r="E1028" s="18" t="s">
        <v>723</v>
      </c>
      <c r="F1028" s="18" t="s">
        <v>6328</v>
      </c>
    </row>
    <row r="1029" customFormat="false" ht="15" hidden="false" customHeight="false" outlineLevel="0" collapsed="false">
      <c r="B1029" s="19" t="s">
        <v>23450</v>
      </c>
      <c r="C1029" s="20" t="n">
        <f aca="false">ROUND(2.34/FX,2)</f>
        <v>0.33</v>
      </c>
      <c r="D1029" s="21" t="s">
        <v>23448</v>
      </c>
      <c r="E1029" s="21" t="s">
        <v>23449</v>
      </c>
      <c r="F1029" s="21" t="s">
        <v>7941</v>
      </c>
    </row>
    <row r="1030" customFormat="false" ht="15" hidden="false" customHeight="false" outlineLevel="0" collapsed="false">
      <c r="B1030" s="19" t="s">
        <v>23451</v>
      </c>
      <c r="C1030" s="20" t="n">
        <f aca="false">ROUND(4.42/FX,2)</f>
        <v>0.61</v>
      </c>
      <c r="D1030" s="21" t="s">
        <v>23452</v>
      </c>
      <c r="E1030" s="21" t="s">
        <v>23453</v>
      </c>
      <c r="F1030" s="21" t="s">
        <v>7941</v>
      </c>
    </row>
    <row r="1031" customFormat="false" ht="15" hidden="false" customHeight="false" outlineLevel="0" collapsed="false">
      <c r="B1031" s="19" t="s">
        <v>23454</v>
      </c>
      <c r="C1031" s="20" t="n">
        <f aca="false">ROUND(5.72/FX,2)</f>
        <v>0.79</v>
      </c>
      <c r="D1031" s="21" t="s">
        <v>23452</v>
      </c>
      <c r="E1031" s="21" t="s">
        <v>23455</v>
      </c>
      <c r="F1031" s="21" t="s">
        <v>7939</v>
      </c>
    </row>
    <row r="1034" customFormat="false" ht="61.5" hidden="false" customHeight="true" outlineLevel="0" collapsed="false">
      <c r="A1034" s="9"/>
      <c r="B1034" s="10" t="s">
        <v>23456</v>
      </c>
      <c r="C1034" s="10"/>
      <c r="D1034" s="10"/>
      <c r="E1034" s="10"/>
      <c r="F1034" s="10"/>
    </row>
    <row r="1035" customFormat="false" ht="15" hidden="false" customHeight="false" outlineLevel="0" collapsed="false">
      <c r="A1035" s="12" t="s">
        <v>700</v>
      </c>
      <c r="B1035" s="13" t="s">
        <v>701</v>
      </c>
      <c r="C1035" s="13" t="s">
        <v>702</v>
      </c>
      <c r="D1035" s="13" t="s">
        <v>722</v>
      </c>
      <c r="E1035" s="13" t="s">
        <v>704</v>
      </c>
      <c r="F1035" s="13" t="s">
        <v>723</v>
      </c>
    </row>
    <row r="1036" customFormat="false" ht="30" hidden="false" customHeight="true" outlineLevel="0" collapsed="false">
      <c r="A1036" s="14" t="s">
        <v>706</v>
      </c>
      <c r="B1036" s="15" t="str">
        <f aca="false">IF(COUNTIFS($D$1039:$D$1074,IF(D1036="","*",D1036),$E$1039:$E$1074,IF(E1036="","*",E1036),$F$1039:$F$1074,IF(F1036="","*",F1036))=1,INDEX($B:$B,SUMPRODUCT(((D1036="")+($D$1039:$D$1074=D1036)&gt;0)*((E1036="")+($E$1039:$E$1074=E1036)&gt;0)*((F1036="")+($F$1039:$F$1074=F1036)&gt;0)*ROW($B$1039:$B$1074))),IF(COUNTIFS($D$1039:$D$1074,IF(D1036="","*",D1036),$E$1039:$E$1074,IF(E1036="","*",E1036),$F$1039:$F$1074,IF(F1036="","*",F1036))=0,"Not available",COUNTIFS($D$1039:$D$1074,IF(D1036="","*",D1036),$E$1039:$E$1074,IF(E1036="","*",E1036),$F$1039:$F$1074,IF(F1036="","*",F1036))&amp;" match, keep choosing"))</f>
        <v>AL-015-AL-BS-EU-1515ET-HLS-+GZYT</v>
      </c>
      <c r="C1036" s="16" t="n">
        <f aca="false">IF(COUNTIFS($D$1039:$D$1074,IF(D1036="","*",D1036),$E$1039:$E$1074,IF(E1036="","*",E1036),$F$1039:$F$1074,IF(F1036="","*",F1036))=1,INDEX($C:$C,SUMPRODUCT(((D1036="")+($D$1039:$D$1074=D1036)&gt;0)*((E1036="")+($E$1039:$E$1074=E1036)&gt;0)*((F1036="")+($F$1039:$F$1074=F1036)&gt;0)*ROW($B$1039:$B$1074))),"")</f>
        <v>0.45</v>
      </c>
      <c r="D1036" s="17" t="s">
        <v>6336</v>
      </c>
      <c r="E1036" s="17" t="s">
        <v>6336</v>
      </c>
      <c r="F1036" s="17" t="s">
        <v>23457</v>
      </c>
    </row>
    <row r="1038" customFormat="false" ht="15" hidden="false" customHeight="false" outlineLevel="0" collapsed="false">
      <c r="B1038" s="18" t="s">
        <v>701</v>
      </c>
      <c r="C1038" s="18" t="s">
        <v>702</v>
      </c>
      <c r="D1038" s="18" t="s">
        <v>722</v>
      </c>
      <c r="E1038" s="18" t="s">
        <v>704</v>
      </c>
      <c r="F1038" s="18" t="s">
        <v>723</v>
      </c>
    </row>
    <row r="1039" customFormat="false" ht="55.2" hidden="false" customHeight="false" outlineLevel="0" collapsed="false">
      <c r="B1039" s="19" t="s">
        <v>23458</v>
      </c>
      <c r="C1039" s="20" t="n">
        <f aca="false">ROUND(3.25/FX,2)</f>
        <v>0.45</v>
      </c>
      <c r="D1039" s="21" t="s">
        <v>6336</v>
      </c>
      <c r="E1039" s="21" t="s">
        <v>6336</v>
      </c>
      <c r="F1039" s="21" t="s">
        <v>23457</v>
      </c>
    </row>
    <row r="1040" customFormat="false" ht="55.2" hidden="false" customHeight="false" outlineLevel="0" collapsed="false">
      <c r="B1040" s="19" t="s">
        <v>23459</v>
      </c>
      <c r="C1040" s="20" t="n">
        <f aca="false">ROUND(3.64/FX,2)</f>
        <v>0.51</v>
      </c>
      <c r="D1040" s="21" t="s">
        <v>6336</v>
      </c>
      <c r="E1040" s="21" t="s">
        <v>6336</v>
      </c>
      <c r="F1040" s="21" t="s">
        <v>23460</v>
      </c>
    </row>
    <row r="1041" customFormat="false" ht="55.2" hidden="false" customHeight="false" outlineLevel="0" collapsed="false">
      <c r="B1041" s="19" t="s">
        <v>23461</v>
      </c>
      <c r="C1041" s="20" t="n">
        <f aca="false">ROUND(5.51/FX,2)</f>
        <v>0.77</v>
      </c>
      <c r="D1041" s="21" t="s">
        <v>6336</v>
      </c>
      <c r="E1041" s="21" t="s">
        <v>6336</v>
      </c>
      <c r="F1041" s="21" t="s">
        <v>23462</v>
      </c>
    </row>
    <row r="1042" customFormat="false" ht="55.2" hidden="false" customHeight="false" outlineLevel="0" collapsed="false">
      <c r="B1042" s="19" t="s">
        <v>23463</v>
      </c>
      <c r="C1042" s="20" t="n">
        <f aca="false">ROUND(4.55/FX,2)</f>
        <v>0.63</v>
      </c>
      <c r="D1042" s="21" t="s">
        <v>6336</v>
      </c>
      <c r="E1042" s="21" t="s">
        <v>6336</v>
      </c>
      <c r="F1042" s="21" t="s">
        <v>23464</v>
      </c>
    </row>
    <row r="1043" customFormat="false" ht="55.2" hidden="false" customHeight="false" outlineLevel="0" collapsed="false">
      <c r="B1043" s="19" t="s">
        <v>23465</v>
      </c>
      <c r="C1043" s="20" t="n">
        <f aca="false">ROUND(5.37/FX,2)</f>
        <v>0.75</v>
      </c>
      <c r="D1043" s="21" t="s">
        <v>6336</v>
      </c>
      <c r="E1043" s="21" t="s">
        <v>6336</v>
      </c>
      <c r="F1043" s="21" t="s">
        <v>23466</v>
      </c>
    </row>
    <row r="1044" customFormat="false" ht="55.2" hidden="false" customHeight="false" outlineLevel="0" collapsed="false">
      <c r="B1044" s="19" t="s">
        <v>23467</v>
      </c>
      <c r="C1044" s="20" t="n">
        <f aca="false">ROUND(8.11/FX,2)</f>
        <v>1.13</v>
      </c>
      <c r="D1044" s="21" t="s">
        <v>6336</v>
      </c>
      <c r="E1044" s="21" t="s">
        <v>6336</v>
      </c>
      <c r="F1044" s="21" t="s">
        <v>23468</v>
      </c>
    </row>
    <row r="1045" customFormat="false" ht="55.2" hidden="false" customHeight="false" outlineLevel="0" collapsed="false">
      <c r="B1045" s="19" t="s">
        <v>23469</v>
      </c>
      <c r="C1045" s="20" t="n">
        <f aca="false">ROUND(9.5/FX,2)</f>
        <v>1.32</v>
      </c>
      <c r="D1045" s="21" t="s">
        <v>6336</v>
      </c>
      <c r="E1045" s="21" t="s">
        <v>6336</v>
      </c>
      <c r="F1045" s="21" t="s">
        <v>23470</v>
      </c>
    </row>
    <row r="1046" customFormat="false" ht="55.2" hidden="false" customHeight="false" outlineLevel="0" collapsed="false">
      <c r="B1046" s="19" t="s">
        <v>23471</v>
      </c>
      <c r="C1046" s="20" t="n">
        <f aca="false">ROUND(13.18/FX,2)</f>
        <v>1.83</v>
      </c>
      <c r="D1046" s="21" t="s">
        <v>6336</v>
      </c>
      <c r="E1046" s="21" t="s">
        <v>6336</v>
      </c>
      <c r="F1046" s="21" t="s">
        <v>23472</v>
      </c>
    </row>
    <row r="1047" customFormat="false" ht="55.2" hidden="false" customHeight="false" outlineLevel="0" collapsed="false">
      <c r="B1047" s="19" t="s">
        <v>23473</v>
      </c>
      <c r="C1047" s="20" t="n">
        <f aca="false">ROUND(14.06/FX,2)</f>
        <v>1.95</v>
      </c>
      <c r="D1047" s="21" t="s">
        <v>6336</v>
      </c>
      <c r="E1047" s="21" t="s">
        <v>6336</v>
      </c>
      <c r="F1047" s="21" t="s">
        <v>23474</v>
      </c>
    </row>
    <row r="1048" customFormat="false" ht="55.2" hidden="false" customHeight="false" outlineLevel="0" collapsed="false">
      <c r="B1048" s="19" t="s">
        <v>23475</v>
      </c>
      <c r="C1048" s="20" t="n">
        <f aca="false">ROUND(3.38/FX,2)</f>
        <v>0.47</v>
      </c>
      <c r="D1048" s="21" t="s">
        <v>6336</v>
      </c>
      <c r="E1048" s="21" t="s">
        <v>6336</v>
      </c>
      <c r="F1048" s="21" t="s">
        <v>23476</v>
      </c>
    </row>
    <row r="1049" customFormat="false" ht="55.2" hidden="false" customHeight="false" outlineLevel="0" collapsed="false">
      <c r="B1049" s="19" t="s">
        <v>23477</v>
      </c>
      <c r="C1049" s="20" t="n">
        <f aca="false">ROUND(3.75/FX,2)</f>
        <v>0.52</v>
      </c>
      <c r="D1049" s="21" t="s">
        <v>6336</v>
      </c>
      <c r="E1049" s="21" t="s">
        <v>6336</v>
      </c>
      <c r="F1049" s="21" t="s">
        <v>23478</v>
      </c>
    </row>
    <row r="1050" customFormat="false" ht="55.2" hidden="false" customHeight="false" outlineLevel="0" collapsed="false">
      <c r="B1050" s="19" t="s">
        <v>23479</v>
      </c>
      <c r="C1050" s="20" t="n">
        <f aca="false">ROUND(10.66/FX,2)</f>
        <v>1.48</v>
      </c>
      <c r="D1050" s="21" t="s">
        <v>6336</v>
      </c>
      <c r="E1050" s="21" t="s">
        <v>6336</v>
      </c>
      <c r="F1050" s="21" t="s">
        <v>23480</v>
      </c>
    </row>
    <row r="1051" customFormat="false" ht="55.2" hidden="false" customHeight="false" outlineLevel="0" collapsed="false">
      <c r="B1051" s="19" t="s">
        <v>23481</v>
      </c>
      <c r="C1051" s="20" t="n">
        <f aca="false">ROUND(4.21/FX,2)</f>
        <v>0.58</v>
      </c>
      <c r="D1051" s="21" t="s">
        <v>6336</v>
      </c>
      <c r="E1051" s="21" t="s">
        <v>6336</v>
      </c>
      <c r="F1051" s="21" t="s">
        <v>23482</v>
      </c>
    </row>
    <row r="1052" customFormat="false" ht="55.2" hidden="false" customHeight="false" outlineLevel="0" collapsed="false">
      <c r="B1052" s="19" t="s">
        <v>23483</v>
      </c>
      <c r="C1052" s="20" t="n">
        <f aca="false">ROUND(5.77/FX,2)</f>
        <v>0.8</v>
      </c>
      <c r="D1052" s="21" t="s">
        <v>724</v>
      </c>
      <c r="E1052" s="21" t="s">
        <v>6336</v>
      </c>
      <c r="F1052" s="21" t="s">
        <v>23484</v>
      </c>
    </row>
    <row r="1053" customFormat="false" ht="55.2" hidden="false" customHeight="false" outlineLevel="0" collapsed="false">
      <c r="B1053" s="19" t="s">
        <v>23485</v>
      </c>
      <c r="C1053" s="20" t="n">
        <f aca="false">ROUND(7.23/FX,2)</f>
        <v>1</v>
      </c>
      <c r="D1053" s="21" t="s">
        <v>724</v>
      </c>
      <c r="E1053" s="21" t="s">
        <v>6336</v>
      </c>
      <c r="F1053" s="21" t="s">
        <v>23486</v>
      </c>
    </row>
    <row r="1054" customFormat="false" ht="55.2" hidden="false" customHeight="false" outlineLevel="0" collapsed="false">
      <c r="B1054" s="19" t="s">
        <v>23487</v>
      </c>
      <c r="C1054" s="20" t="n">
        <f aca="false">ROUND(8.37/FX,2)</f>
        <v>1.16</v>
      </c>
      <c r="D1054" s="21" t="s">
        <v>724</v>
      </c>
      <c r="E1054" s="21" t="s">
        <v>6336</v>
      </c>
      <c r="F1054" s="21" t="s">
        <v>23488</v>
      </c>
    </row>
    <row r="1055" customFormat="false" ht="55.2" hidden="false" customHeight="false" outlineLevel="0" collapsed="false">
      <c r="B1055" s="19" t="s">
        <v>23489</v>
      </c>
      <c r="C1055" s="20" t="n">
        <f aca="false">ROUND(9.76/FX,2)</f>
        <v>1.36</v>
      </c>
      <c r="D1055" s="21" t="s">
        <v>724</v>
      </c>
      <c r="E1055" s="21" t="s">
        <v>6336</v>
      </c>
      <c r="F1055" s="21" t="s">
        <v>23490</v>
      </c>
    </row>
    <row r="1056" customFormat="false" ht="41.75" hidden="false" customHeight="false" outlineLevel="0" collapsed="false">
      <c r="B1056" s="19" t="s">
        <v>23491</v>
      </c>
      <c r="C1056" s="20" t="n">
        <f aca="false">ROUND(3.9/FX,2)</f>
        <v>0.54</v>
      </c>
      <c r="D1056" s="21" t="s">
        <v>724</v>
      </c>
      <c r="E1056" s="21" t="s">
        <v>6336</v>
      </c>
      <c r="F1056" s="21" t="s">
        <v>23492</v>
      </c>
    </row>
    <row r="1057" customFormat="false" ht="41.75" hidden="false" customHeight="false" outlineLevel="0" collapsed="false">
      <c r="B1057" s="19" t="s">
        <v>23493</v>
      </c>
      <c r="C1057" s="20" t="n">
        <f aca="false">ROUND(3.75/FX,2)</f>
        <v>0.52</v>
      </c>
      <c r="D1057" s="21" t="s">
        <v>724</v>
      </c>
      <c r="E1057" s="21" t="s">
        <v>6336</v>
      </c>
      <c r="F1057" s="21" t="s">
        <v>23494</v>
      </c>
    </row>
    <row r="1058" customFormat="false" ht="41.75" hidden="false" customHeight="false" outlineLevel="0" collapsed="false">
      <c r="B1058" s="19" t="s">
        <v>23495</v>
      </c>
      <c r="C1058" s="20" t="n">
        <f aca="false">ROUND(6.18/FX,2)</f>
        <v>0.86</v>
      </c>
      <c r="D1058" s="21" t="s">
        <v>724</v>
      </c>
      <c r="E1058" s="21" t="s">
        <v>6336</v>
      </c>
      <c r="F1058" s="21" t="s">
        <v>23496</v>
      </c>
    </row>
    <row r="1059" customFormat="false" ht="41.75" hidden="false" customHeight="false" outlineLevel="0" collapsed="false">
      <c r="B1059" s="19" t="s">
        <v>23497</v>
      </c>
      <c r="C1059" s="20" t="n">
        <f aca="false">ROUND(10.73/FX,2)</f>
        <v>1.49</v>
      </c>
      <c r="D1059" s="21" t="s">
        <v>724</v>
      </c>
      <c r="E1059" s="21" t="s">
        <v>6336</v>
      </c>
      <c r="F1059" s="21" t="s">
        <v>23498</v>
      </c>
    </row>
    <row r="1060" customFormat="false" ht="41.75" hidden="false" customHeight="false" outlineLevel="0" collapsed="false">
      <c r="B1060" s="19" t="s">
        <v>23499</v>
      </c>
      <c r="C1060" s="20" t="n">
        <f aca="false">ROUND(14.12/FX,2)</f>
        <v>1.96</v>
      </c>
      <c r="D1060" s="21" t="s">
        <v>724</v>
      </c>
      <c r="E1060" s="21" t="s">
        <v>6336</v>
      </c>
      <c r="F1060" s="21" t="s">
        <v>23500</v>
      </c>
    </row>
    <row r="1061" customFormat="false" ht="41.75" hidden="false" customHeight="false" outlineLevel="0" collapsed="false">
      <c r="B1061" s="19" t="s">
        <v>23501</v>
      </c>
      <c r="C1061" s="20" t="n">
        <f aca="false">ROUND(2.86/FX,2)</f>
        <v>0.4</v>
      </c>
      <c r="D1061" s="21" t="s">
        <v>724</v>
      </c>
      <c r="E1061" s="21" t="s">
        <v>14713</v>
      </c>
      <c r="F1061" s="21" t="s">
        <v>23502</v>
      </c>
    </row>
    <row r="1062" customFormat="false" ht="41.75" hidden="false" customHeight="false" outlineLevel="0" collapsed="false">
      <c r="B1062" s="19" t="s">
        <v>23503</v>
      </c>
      <c r="C1062" s="20" t="n">
        <f aca="false">ROUND(3.18/FX,2)</f>
        <v>0.44</v>
      </c>
      <c r="D1062" s="21" t="s">
        <v>724</v>
      </c>
      <c r="E1062" s="21" t="s">
        <v>14713</v>
      </c>
      <c r="F1062" s="21" t="s">
        <v>23504</v>
      </c>
    </row>
    <row r="1063" customFormat="false" ht="41.75" hidden="false" customHeight="false" outlineLevel="0" collapsed="false">
      <c r="B1063" s="19" t="s">
        <v>23505</v>
      </c>
      <c r="C1063" s="20" t="n">
        <f aca="false">ROUND(3.12/FX,2)</f>
        <v>0.43</v>
      </c>
      <c r="D1063" s="21" t="s">
        <v>724</v>
      </c>
      <c r="E1063" s="21" t="s">
        <v>14713</v>
      </c>
      <c r="F1063" s="21" t="s">
        <v>23506</v>
      </c>
    </row>
    <row r="1064" customFormat="false" ht="41.75" hidden="false" customHeight="false" outlineLevel="0" collapsed="false">
      <c r="B1064" s="19" t="s">
        <v>23507</v>
      </c>
      <c r="C1064" s="20" t="n">
        <f aca="false">ROUND(3.31/FX,2)</f>
        <v>0.46</v>
      </c>
      <c r="D1064" s="21" t="s">
        <v>724</v>
      </c>
      <c r="E1064" s="21" t="s">
        <v>14713</v>
      </c>
      <c r="F1064" s="21" t="s">
        <v>23508</v>
      </c>
    </row>
    <row r="1065" customFormat="false" ht="41.75" hidden="false" customHeight="false" outlineLevel="0" collapsed="false">
      <c r="B1065" s="19" t="s">
        <v>23509</v>
      </c>
      <c r="C1065" s="20" t="n">
        <f aca="false">ROUND(4.47/FX,2)</f>
        <v>0.62</v>
      </c>
      <c r="D1065" s="21" t="s">
        <v>724</v>
      </c>
      <c r="E1065" s="21" t="s">
        <v>14713</v>
      </c>
      <c r="F1065" s="21" t="s">
        <v>23510</v>
      </c>
    </row>
    <row r="1066" customFormat="false" ht="41.75" hidden="false" customHeight="false" outlineLevel="0" collapsed="false">
      <c r="B1066" s="19" t="s">
        <v>23511</v>
      </c>
      <c r="C1066" s="20" t="n">
        <f aca="false">ROUND(4.63/FX,2)</f>
        <v>0.64</v>
      </c>
      <c r="D1066" s="21" t="s">
        <v>724</v>
      </c>
      <c r="E1066" s="21" t="s">
        <v>14713</v>
      </c>
      <c r="F1066" s="21" t="s">
        <v>23512</v>
      </c>
    </row>
    <row r="1067" customFormat="false" ht="28.35" hidden="false" customHeight="false" outlineLevel="0" collapsed="false">
      <c r="B1067" s="19" t="s">
        <v>23513</v>
      </c>
      <c r="C1067" s="20" t="n">
        <f aca="false">ROUND(3.9/FX,2)</f>
        <v>0.54</v>
      </c>
      <c r="D1067" s="21" t="s">
        <v>724</v>
      </c>
      <c r="E1067" s="21" t="s">
        <v>14713</v>
      </c>
      <c r="F1067" s="21" t="s">
        <v>23514</v>
      </c>
    </row>
    <row r="1068" customFormat="false" ht="41.75" hidden="false" customHeight="false" outlineLevel="0" collapsed="false">
      <c r="B1068" s="19" t="s">
        <v>23515</v>
      </c>
      <c r="C1068" s="20" t="n">
        <f aca="false">ROUND(2.86/FX,2)</f>
        <v>0.4</v>
      </c>
      <c r="D1068" s="21" t="s">
        <v>6549</v>
      </c>
      <c r="E1068" s="21" t="s">
        <v>14713</v>
      </c>
      <c r="F1068" s="21" t="s">
        <v>23504</v>
      </c>
    </row>
    <row r="1069" customFormat="false" ht="41.75" hidden="false" customHeight="false" outlineLevel="0" collapsed="false">
      <c r="B1069" s="19" t="s">
        <v>23516</v>
      </c>
      <c r="C1069" s="20" t="n">
        <f aca="false">ROUND(2.99/FX,2)</f>
        <v>0.42</v>
      </c>
      <c r="D1069" s="21" t="s">
        <v>6549</v>
      </c>
      <c r="E1069" s="21" t="s">
        <v>14713</v>
      </c>
      <c r="F1069" s="21" t="s">
        <v>23506</v>
      </c>
    </row>
    <row r="1070" customFormat="false" ht="41.75" hidden="false" customHeight="false" outlineLevel="0" collapsed="false">
      <c r="B1070" s="19" t="s">
        <v>23517</v>
      </c>
      <c r="C1070" s="20" t="n">
        <f aca="false">ROUND(2.99/FX,2)</f>
        <v>0.42</v>
      </c>
      <c r="D1070" s="21" t="s">
        <v>6549</v>
      </c>
      <c r="E1070" s="21" t="s">
        <v>14713</v>
      </c>
      <c r="F1070" s="21" t="s">
        <v>23508</v>
      </c>
    </row>
    <row r="1071" customFormat="false" ht="28.35" hidden="false" customHeight="false" outlineLevel="0" collapsed="false">
      <c r="B1071" s="19" t="s">
        <v>23518</v>
      </c>
      <c r="C1071" s="20" t="n">
        <f aca="false">ROUND(2.73/FX,2)</f>
        <v>0.38</v>
      </c>
      <c r="D1071" s="21" t="s">
        <v>6549</v>
      </c>
      <c r="E1071" s="21" t="s">
        <v>14713</v>
      </c>
      <c r="F1071" s="21" t="s">
        <v>23519</v>
      </c>
    </row>
    <row r="1072" customFormat="false" ht="41.75" hidden="false" customHeight="false" outlineLevel="0" collapsed="false">
      <c r="B1072" s="19" t="s">
        <v>23520</v>
      </c>
      <c r="C1072" s="20" t="n">
        <f aca="false">ROUND(4.21/FX,2)</f>
        <v>0.58</v>
      </c>
      <c r="D1072" s="21" t="s">
        <v>6336</v>
      </c>
      <c r="E1072" s="21" t="s">
        <v>14713</v>
      </c>
      <c r="F1072" s="21" t="s">
        <v>23521</v>
      </c>
    </row>
    <row r="1073" customFormat="false" ht="41.75" hidden="false" customHeight="false" outlineLevel="0" collapsed="false">
      <c r="B1073" s="19" t="s">
        <v>23522</v>
      </c>
      <c r="C1073" s="20" t="n">
        <f aca="false">ROUND(4.37/FX,2)</f>
        <v>0.61</v>
      </c>
      <c r="D1073" s="21" t="s">
        <v>6336</v>
      </c>
      <c r="E1073" s="21" t="s">
        <v>14713</v>
      </c>
      <c r="F1073" s="21" t="s">
        <v>23523</v>
      </c>
    </row>
    <row r="1074" customFormat="false" ht="41.75" hidden="false" customHeight="false" outlineLevel="0" collapsed="false">
      <c r="B1074" s="19" t="s">
        <v>23524</v>
      </c>
      <c r="C1074" s="20" t="n">
        <f aca="false">ROUND(3.77/FX,2)</f>
        <v>0.52</v>
      </c>
      <c r="D1074" s="21" t="s">
        <v>6336</v>
      </c>
      <c r="E1074" s="21" t="s">
        <v>14713</v>
      </c>
      <c r="F1074" s="21" t="s">
        <v>23525</v>
      </c>
    </row>
    <row r="1077" customFormat="false" ht="61.5" hidden="false" customHeight="true" outlineLevel="0" collapsed="false">
      <c r="A1077" s="9"/>
      <c r="B1077" s="10" t="s">
        <v>23526</v>
      </c>
      <c r="C1077" s="10"/>
      <c r="D1077" s="10"/>
      <c r="E1077" s="10"/>
    </row>
    <row r="1078" customFormat="false" ht="15" hidden="false" customHeight="false" outlineLevel="0" collapsed="false">
      <c r="A1078" s="12" t="s">
        <v>700</v>
      </c>
      <c r="B1078" s="13" t="s">
        <v>701</v>
      </c>
      <c r="C1078" s="13" t="s">
        <v>702</v>
      </c>
      <c r="D1078" s="13" t="s">
        <v>705</v>
      </c>
      <c r="E1078" s="13" t="s">
        <v>723</v>
      </c>
    </row>
    <row r="1079" customFormat="false" ht="30" hidden="false" customHeight="true" outlineLevel="0" collapsed="false">
      <c r="A1079" s="14" t="s">
        <v>706</v>
      </c>
      <c r="B1079" s="15" t="str">
        <f aca="false">IF(COUNTIFS($D$1082:$D$1090,IF(D1079="","*",D1079),$E$1082:$E$1090,IF(E1079="","*",E1079))=1,INDEX($B:$B,SUMPRODUCT(((D1079="")+($D$1082:$D$1090=D1079)&gt;0)*((E1079="")+($E$1082:$E$1090=E1079)&gt;0)*ROW($B$1082:$B$1090))),IF(COUNTIFS($D$1082:$D$1090,IF(D1079="","*",D1079),$E$1082:$E$1090,IF(E1079="","*",E1079))=0,"Not available",COUNTIFS($D$1082:$D$1090,IF(D1079="","*",D1079),$E$1082:$E$1090,IF(E1079="","*",E1079))&amp;" match, keep choosing"))</f>
        <v>AL-012-110PCS-3030</v>
      </c>
      <c r="C1079" s="16" t="n">
        <f aca="false">IF(COUNTIFS($D$1082:$D$1090,IF(D1079="","*",D1079),$E$1082:$E$1090,IF(E1079="","*",E1079))=1,INDEX($C:$C,SUMPRODUCT(((D1079="")+($D$1082:$D$1090=D1079)&gt;0)*((E1079="")+($E$1082:$E$1090=E1079)&gt;0)*ROW($B$1082:$B$1090))),"")</f>
        <v>0.9</v>
      </c>
      <c r="D1079" s="17" t="s">
        <v>13732</v>
      </c>
      <c r="E1079" s="17" t="s">
        <v>23527</v>
      </c>
    </row>
    <row r="1081" customFormat="false" ht="15" hidden="false" customHeight="false" outlineLevel="0" collapsed="false">
      <c r="B1081" s="18" t="s">
        <v>701</v>
      </c>
      <c r="C1081" s="18" t="s">
        <v>702</v>
      </c>
      <c r="D1081" s="18" t="s">
        <v>705</v>
      </c>
      <c r="E1081" s="18" t="s">
        <v>723</v>
      </c>
    </row>
    <row r="1082" customFormat="false" ht="15" hidden="false" customHeight="false" outlineLevel="0" collapsed="false">
      <c r="B1082" s="19" t="s">
        <v>23528</v>
      </c>
      <c r="C1082" s="20" t="n">
        <f aca="false">ROUND(6.5/FX,2)</f>
        <v>0.9</v>
      </c>
      <c r="D1082" s="21" t="s">
        <v>13732</v>
      </c>
      <c r="E1082" s="21" t="s">
        <v>23527</v>
      </c>
    </row>
    <row r="1083" customFormat="false" ht="15" hidden="false" customHeight="false" outlineLevel="0" collapsed="false">
      <c r="B1083" s="19" t="s">
        <v>23529</v>
      </c>
      <c r="C1083" s="20" t="n">
        <f aca="false">ROUND(10.5/FX,2)</f>
        <v>1.46</v>
      </c>
      <c r="D1083" s="21" t="s">
        <v>13732</v>
      </c>
      <c r="E1083" s="21" t="s">
        <v>23530</v>
      </c>
    </row>
    <row r="1084" customFormat="false" ht="15" hidden="false" customHeight="false" outlineLevel="0" collapsed="false">
      <c r="B1084" s="19" t="s">
        <v>23531</v>
      </c>
      <c r="C1084" s="20" t="n">
        <f aca="false">ROUND(7.7/FX,2)</f>
        <v>1.07</v>
      </c>
      <c r="D1084" s="21" t="s">
        <v>13732</v>
      </c>
      <c r="E1084" s="21" t="s">
        <v>23532</v>
      </c>
    </row>
    <row r="1085" customFormat="false" ht="15" hidden="false" customHeight="false" outlineLevel="0" collapsed="false">
      <c r="B1085" s="19" t="s">
        <v>23533</v>
      </c>
      <c r="C1085" s="20" t="n">
        <f aca="false">ROUND(9.5/FX,2)</f>
        <v>1.32</v>
      </c>
      <c r="D1085" s="21" t="s">
        <v>13732</v>
      </c>
      <c r="E1085" s="21" t="s">
        <v>23534</v>
      </c>
    </row>
    <row r="1086" customFormat="false" ht="15" hidden="false" customHeight="false" outlineLevel="0" collapsed="false">
      <c r="B1086" s="19" t="s">
        <v>23535</v>
      </c>
      <c r="C1086" s="20" t="n">
        <f aca="false">ROUND(10.5/FX,2)</f>
        <v>1.46</v>
      </c>
      <c r="D1086" s="21" t="s">
        <v>13732</v>
      </c>
      <c r="E1086" s="21" t="s">
        <v>23536</v>
      </c>
    </row>
    <row r="1087" customFormat="false" ht="15" hidden="false" customHeight="false" outlineLevel="0" collapsed="false">
      <c r="B1087" s="19" t="s">
        <v>23537</v>
      </c>
      <c r="C1087" s="20" t="n">
        <f aca="false">ROUND(12.5/FX,2)</f>
        <v>1.74</v>
      </c>
      <c r="D1087" s="21" t="s">
        <v>13732</v>
      </c>
      <c r="E1087" s="21" t="s">
        <v>23538</v>
      </c>
    </row>
    <row r="1088" customFormat="false" ht="15" hidden="false" customHeight="false" outlineLevel="0" collapsed="false">
      <c r="B1088" s="19" t="s">
        <v>23539</v>
      </c>
      <c r="C1088" s="20" t="n">
        <f aca="false">ROUND(4.6/FX,2)</f>
        <v>0.64</v>
      </c>
      <c r="D1088" s="21" t="s">
        <v>13732</v>
      </c>
      <c r="E1088" s="21" t="s">
        <v>23540</v>
      </c>
    </row>
    <row r="1089" customFormat="false" ht="15" hidden="false" customHeight="false" outlineLevel="0" collapsed="false">
      <c r="B1089" s="19" t="s">
        <v>23541</v>
      </c>
      <c r="C1089" s="20" t="n">
        <f aca="false">ROUND(6/FX,2)</f>
        <v>0.83</v>
      </c>
      <c r="D1089" s="21" t="s">
        <v>13732</v>
      </c>
      <c r="E1089" s="21" t="s">
        <v>23542</v>
      </c>
    </row>
    <row r="1090" customFormat="false" ht="15" hidden="false" customHeight="false" outlineLevel="0" collapsed="false">
      <c r="B1090" s="19" t="s">
        <v>23543</v>
      </c>
      <c r="C1090" s="20" t="n">
        <f aca="false">ROUND(8.02/FX,2)</f>
        <v>1.11</v>
      </c>
      <c r="D1090" s="21" t="s">
        <v>13974</v>
      </c>
      <c r="E1090" s="21" t="s">
        <v>23544</v>
      </c>
    </row>
    <row r="1093" customFormat="false" ht="61.5" hidden="false" customHeight="true" outlineLevel="0" collapsed="false">
      <c r="A1093" s="9"/>
      <c r="B1093" s="10" t="s">
        <v>23545</v>
      </c>
      <c r="C1093" s="10"/>
      <c r="D1093" s="10"/>
    </row>
    <row r="1094" customFormat="false" ht="15" hidden="false" customHeight="false" outlineLevel="0" collapsed="false">
      <c r="B1094" s="18" t="s">
        <v>701</v>
      </c>
      <c r="C1094" s="18" t="s">
        <v>702</v>
      </c>
      <c r="D1094" s="18" t="s">
        <v>5610</v>
      </c>
    </row>
    <row r="1095" customFormat="false" ht="15" hidden="false" customHeight="false" outlineLevel="0" collapsed="false">
      <c r="B1095" s="19" t="s">
        <v>23546</v>
      </c>
      <c r="C1095" s="20" t="n">
        <f aca="false">ROUND(8.19/FX,2)</f>
        <v>1.14</v>
      </c>
      <c r="D1095" s="22" t="s">
        <v>5612</v>
      </c>
    </row>
    <row r="1098" customFormat="false" ht="61.5" hidden="false" customHeight="true" outlineLevel="0" collapsed="false">
      <c r="A1098" s="9"/>
      <c r="B1098" s="10" t="s">
        <v>23547</v>
      </c>
      <c r="C1098" s="10"/>
      <c r="D1098" s="10"/>
      <c r="E1098" s="10"/>
      <c r="F1098" s="10"/>
      <c r="G1098" s="10"/>
      <c r="H1098" s="10"/>
    </row>
    <row r="1099" customFormat="false" ht="15" hidden="false" customHeight="false" outlineLevel="0" collapsed="false">
      <c r="A1099" s="12" t="s">
        <v>700</v>
      </c>
      <c r="B1099" s="13" t="s">
        <v>701</v>
      </c>
      <c r="C1099" s="13" t="s">
        <v>702</v>
      </c>
      <c r="D1099" s="13" t="s">
        <v>704</v>
      </c>
      <c r="E1099" s="13" t="s">
        <v>6159</v>
      </c>
      <c r="F1099" s="13" t="s">
        <v>5610</v>
      </c>
      <c r="G1099" s="13" t="s">
        <v>705</v>
      </c>
      <c r="H1099" s="13" t="s">
        <v>723</v>
      </c>
    </row>
    <row r="1100" customFormat="false" ht="30" hidden="false" customHeight="true" outlineLevel="0" collapsed="false">
      <c r="A1100" s="14" t="s">
        <v>706</v>
      </c>
      <c r="B1100" s="15" t="str">
        <f aca="false">IF(COUNTIFS($D$1103:$D$1198,IF(D1100="","*",D1100),$E$1103:$E$1198,IF(E1100="","*",E1100),$F$1103:$F$1198,IF(F1100="","*",F1100),$G$1103:$G$1198,IF(G1100="","*",G1100),$H$1103:$H$1198,IF(H1100="","*",H1100))=1,INDEX($B:$B,SUMPRODUCT(((D1100="")+($D$1103:$D$1198=D1100)&gt;0)*((E1100="")+($E$1103:$E$1198=E1100)&gt;0)*((F1100="")+($F$1103:$F$1198=F1100)&gt;0)*((G1100="")+($G$1103:$G$1198=G1100)&gt;0)*((H1100="")+($H$1103:$H$1198=H1100)&gt;0)*ROW($B$1103:$B$1198))),IF(COUNTIFS($D$1103:$D$1198,IF(D1100="","*",D1100),$E$1103:$E$1198,IF(E1100="","*",E1100),$F$1103:$F$1198,IF(F1100="","*",F1100),$G$1103:$G$1198,IF(G1100="","*",G1100),$H$1103:$H$1198,IF(H1100="","*",H1100))=0,"Not available",COUNTIFS($D$1103:$D$1198,IF(D1100="","*",D1100),$E$1103:$E$1198,IF(E1100="","*",E1100),$F$1103:$F$1198,IF(F1100="","*",F1100),$G$1103:$G$1198,IF(G1100="","*",G1100),$H$1103:$H$1198,IF(H1100="","*",H1100))&amp;" match, keep choosing"))</f>
        <v>TB-BK-EU20-M5x12-P6</v>
      </c>
      <c r="C1100" s="16" t="n">
        <f aca="false">IF(COUNTIFS($D$1103:$D$1198,IF(D1100="","*",D1100),$E$1103:$E$1198,IF(E1100="","*",E1100),$F$1103:$F$1198,IF(F1100="","*",F1100),$G$1103:$G$1198,IF(G1100="","*",G1100),$H$1103:$H$1198,IF(H1100="","*",H1100))=1,INDEX($C:$C,SUMPRODUCT(((D1100="")+($D$1103:$D$1198=D1100)&gt;0)*((E1100="")+($E$1103:$E$1198=E1100)&gt;0)*((F1100="")+($F$1103:$F$1198=F1100)&gt;0)*((G1100="")+($G$1103:$G$1198=G1100)&gt;0)*((H1100="")+($H$1103:$H$1198=H1100)&gt;0)*ROW($B$1103:$B$1198))),"")</f>
        <v>0.15</v>
      </c>
      <c r="D1100" s="17" t="s">
        <v>7550</v>
      </c>
      <c r="E1100" s="17" t="s">
        <v>23548</v>
      </c>
      <c r="F1100" s="17" t="s">
        <v>23549</v>
      </c>
      <c r="G1100" s="17" t="s">
        <v>14007</v>
      </c>
      <c r="H1100" s="17" t="s">
        <v>734</v>
      </c>
    </row>
    <row r="1102" customFormat="false" ht="15" hidden="false" customHeight="false" outlineLevel="0" collapsed="false">
      <c r="B1102" s="18" t="s">
        <v>701</v>
      </c>
      <c r="C1102" s="18" t="s">
        <v>702</v>
      </c>
      <c r="D1102" s="18" t="s">
        <v>704</v>
      </c>
      <c r="E1102" s="18" t="s">
        <v>6159</v>
      </c>
      <c r="F1102" s="18" t="s">
        <v>5610</v>
      </c>
      <c r="G1102" s="18" t="s">
        <v>705</v>
      </c>
      <c r="H1102" s="18" t="s">
        <v>723</v>
      </c>
    </row>
    <row r="1103" customFormat="false" ht="15" hidden="false" customHeight="false" outlineLevel="0" collapsed="false">
      <c r="B1103" s="19" t="s">
        <v>23550</v>
      </c>
      <c r="C1103" s="20" t="n">
        <f aca="false">ROUND(1.09/FX,2)</f>
        <v>0.15</v>
      </c>
      <c r="D1103" s="21" t="s">
        <v>7550</v>
      </c>
      <c r="E1103" s="21" t="s">
        <v>23548</v>
      </c>
      <c r="F1103" s="21" t="s">
        <v>23549</v>
      </c>
      <c r="G1103" s="21" t="s">
        <v>14007</v>
      </c>
      <c r="H1103" s="21" t="s">
        <v>734</v>
      </c>
    </row>
    <row r="1104" customFormat="false" ht="15" hidden="false" customHeight="false" outlineLevel="0" collapsed="false">
      <c r="B1104" s="19" t="s">
        <v>23551</v>
      </c>
      <c r="C1104" s="20" t="n">
        <f aca="false">ROUND(1.04/FX,2)</f>
        <v>0.14</v>
      </c>
      <c r="D1104" s="21" t="s">
        <v>7550</v>
      </c>
      <c r="E1104" s="21" t="s">
        <v>23552</v>
      </c>
      <c r="F1104" s="21" t="s">
        <v>23553</v>
      </c>
      <c r="G1104" s="21" t="s">
        <v>13743</v>
      </c>
      <c r="H1104" s="21" t="s">
        <v>734</v>
      </c>
    </row>
    <row r="1105" customFormat="false" ht="15" hidden="false" customHeight="false" outlineLevel="0" collapsed="false">
      <c r="B1105" s="19" t="s">
        <v>23554</v>
      </c>
      <c r="C1105" s="20" t="n">
        <f aca="false">ROUND(1.11/FX,2)</f>
        <v>0.15</v>
      </c>
      <c r="D1105" s="21" t="s">
        <v>7550</v>
      </c>
      <c r="E1105" s="21" t="s">
        <v>23555</v>
      </c>
      <c r="F1105" s="21" t="s">
        <v>23556</v>
      </c>
      <c r="G1105" s="21" t="s">
        <v>13743</v>
      </c>
      <c r="H1105" s="21" t="s">
        <v>734</v>
      </c>
    </row>
    <row r="1106" customFormat="false" ht="15" hidden="false" customHeight="false" outlineLevel="0" collapsed="false">
      <c r="B1106" s="19" t="s">
        <v>23557</v>
      </c>
      <c r="C1106" s="20" t="n">
        <f aca="false">ROUND(1.17/FX,2)</f>
        <v>0.16</v>
      </c>
      <c r="D1106" s="21" t="s">
        <v>7550</v>
      </c>
      <c r="E1106" s="21" t="s">
        <v>23555</v>
      </c>
      <c r="F1106" s="21" t="s">
        <v>23558</v>
      </c>
      <c r="G1106" s="21" t="s">
        <v>13743</v>
      </c>
      <c r="H1106" s="21" t="s">
        <v>734</v>
      </c>
    </row>
    <row r="1107" customFormat="false" ht="15" hidden="false" customHeight="false" outlineLevel="0" collapsed="false">
      <c r="B1107" s="19" t="s">
        <v>23559</v>
      </c>
      <c r="C1107" s="20" t="n">
        <f aca="false">ROUND(1.04/FX,2)</f>
        <v>0.14</v>
      </c>
      <c r="D1107" s="21" t="s">
        <v>7550</v>
      </c>
      <c r="E1107" s="21" t="s">
        <v>23555</v>
      </c>
      <c r="F1107" s="21" t="s">
        <v>23560</v>
      </c>
      <c r="G1107" s="21" t="s">
        <v>14013</v>
      </c>
      <c r="H1107" s="21" t="s">
        <v>734</v>
      </c>
    </row>
    <row r="1108" customFormat="false" ht="15" hidden="false" customHeight="false" outlineLevel="0" collapsed="false">
      <c r="B1108" s="19" t="s">
        <v>23561</v>
      </c>
      <c r="C1108" s="20" t="n">
        <f aca="false">ROUND(1.14/FX,2)</f>
        <v>0.16</v>
      </c>
      <c r="D1108" s="21" t="s">
        <v>7550</v>
      </c>
      <c r="E1108" s="21" t="s">
        <v>23562</v>
      </c>
      <c r="F1108" s="21" t="s">
        <v>23558</v>
      </c>
      <c r="G1108" s="21" t="s">
        <v>14013</v>
      </c>
      <c r="H1108" s="21" t="s">
        <v>734</v>
      </c>
    </row>
    <row r="1109" customFormat="false" ht="15" hidden="false" customHeight="false" outlineLevel="0" collapsed="false">
      <c r="B1109" s="19" t="s">
        <v>23563</v>
      </c>
      <c r="C1109" s="20" t="n">
        <f aca="false">ROUND(1.25/FX,2)</f>
        <v>0.17</v>
      </c>
      <c r="D1109" s="21" t="s">
        <v>7550</v>
      </c>
      <c r="E1109" s="21" t="s">
        <v>23562</v>
      </c>
      <c r="F1109" s="21" t="s">
        <v>23560</v>
      </c>
      <c r="G1109" s="21" t="s">
        <v>14013</v>
      </c>
      <c r="H1109" s="21" t="s">
        <v>734</v>
      </c>
    </row>
    <row r="1110" customFormat="false" ht="15" hidden="false" customHeight="false" outlineLevel="0" collapsed="false">
      <c r="B1110" s="19" t="s">
        <v>23564</v>
      </c>
      <c r="C1110" s="20" t="n">
        <f aca="false">ROUND(7.67/FX,2)</f>
        <v>1.07</v>
      </c>
      <c r="D1110" s="21" t="s">
        <v>23565</v>
      </c>
      <c r="E1110" s="21" t="s">
        <v>23548</v>
      </c>
      <c r="F1110" s="21" t="s">
        <v>23566</v>
      </c>
      <c r="G1110" s="21" t="s">
        <v>23567</v>
      </c>
      <c r="H1110" s="21" t="s">
        <v>734</v>
      </c>
    </row>
    <row r="1111" customFormat="false" ht="15" hidden="false" customHeight="false" outlineLevel="0" collapsed="false">
      <c r="B1111" s="19" t="s">
        <v>23568</v>
      </c>
      <c r="C1111" s="20" t="n">
        <f aca="false">ROUND(0.91/FX,2)</f>
        <v>0.13</v>
      </c>
      <c r="D1111" s="21" t="s">
        <v>23565</v>
      </c>
      <c r="E1111" s="21" t="s">
        <v>23548</v>
      </c>
      <c r="F1111" s="21" t="s">
        <v>23549</v>
      </c>
      <c r="G1111" s="21" t="s">
        <v>13997</v>
      </c>
      <c r="H1111" s="21" t="s">
        <v>734</v>
      </c>
    </row>
    <row r="1112" customFormat="false" ht="15" hidden="false" customHeight="false" outlineLevel="0" collapsed="false">
      <c r="B1112" s="19" t="s">
        <v>23569</v>
      </c>
      <c r="C1112" s="20" t="n">
        <f aca="false">ROUND(10.47/FX,2)</f>
        <v>1.45</v>
      </c>
      <c r="D1112" s="21" t="s">
        <v>23565</v>
      </c>
      <c r="E1112" s="21" t="s">
        <v>23548</v>
      </c>
      <c r="F1112" s="21" t="s">
        <v>23570</v>
      </c>
      <c r="G1112" s="21" t="s">
        <v>23567</v>
      </c>
      <c r="H1112" s="21" t="s">
        <v>734</v>
      </c>
    </row>
    <row r="1113" customFormat="false" ht="15" hidden="false" customHeight="false" outlineLevel="0" collapsed="false">
      <c r="B1113" s="19" t="s">
        <v>23571</v>
      </c>
      <c r="C1113" s="20" t="n">
        <f aca="false">ROUND(5.33/FX,2)</f>
        <v>0.74</v>
      </c>
      <c r="D1113" s="21" t="s">
        <v>23565</v>
      </c>
      <c r="E1113" s="21" t="s">
        <v>23548</v>
      </c>
      <c r="F1113" s="21" t="s">
        <v>23572</v>
      </c>
      <c r="G1113" s="21" t="s">
        <v>21725</v>
      </c>
      <c r="H1113" s="21" t="s">
        <v>734</v>
      </c>
    </row>
    <row r="1114" customFormat="false" ht="15" hidden="false" customHeight="false" outlineLevel="0" collapsed="false">
      <c r="B1114" s="19" t="s">
        <v>23573</v>
      </c>
      <c r="C1114" s="20" t="n">
        <f aca="false">ROUND(0.61/FX,2)</f>
        <v>0.08</v>
      </c>
      <c r="D1114" s="21" t="s">
        <v>23565</v>
      </c>
      <c r="E1114" s="21" t="s">
        <v>23548</v>
      </c>
      <c r="F1114" s="21" t="s">
        <v>23574</v>
      </c>
      <c r="G1114" s="21" t="s">
        <v>13743</v>
      </c>
      <c r="H1114" s="21" t="s">
        <v>734</v>
      </c>
    </row>
    <row r="1115" customFormat="false" ht="15" hidden="false" customHeight="false" outlineLevel="0" collapsed="false">
      <c r="B1115" s="19" t="s">
        <v>23575</v>
      </c>
      <c r="C1115" s="20" t="n">
        <f aca="false">ROUND(2.02/FX,2)</f>
        <v>0.28</v>
      </c>
      <c r="D1115" s="21" t="s">
        <v>23565</v>
      </c>
      <c r="E1115" s="21" t="s">
        <v>23548</v>
      </c>
      <c r="F1115" s="21" t="s">
        <v>22475</v>
      </c>
      <c r="G1115" s="21" t="s">
        <v>13997</v>
      </c>
      <c r="H1115" s="21" t="s">
        <v>734</v>
      </c>
    </row>
    <row r="1116" customFormat="false" ht="15" hidden="false" customHeight="false" outlineLevel="0" collapsed="false">
      <c r="B1116" s="19" t="s">
        <v>23576</v>
      </c>
      <c r="C1116" s="20" t="n">
        <f aca="false">ROUND(1.69/FX,2)</f>
        <v>0.23</v>
      </c>
      <c r="D1116" s="21" t="s">
        <v>23565</v>
      </c>
      <c r="E1116" s="21" t="s">
        <v>23552</v>
      </c>
      <c r="F1116" s="21" t="s">
        <v>23577</v>
      </c>
      <c r="G1116" s="21" t="s">
        <v>13997</v>
      </c>
      <c r="H1116" s="21" t="s">
        <v>734</v>
      </c>
    </row>
    <row r="1117" customFormat="false" ht="15" hidden="false" customHeight="false" outlineLevel="0" collapsed="false">
      <c r="B1117" s="19" t="s">
        <v>23578</v>
      </c>
      <c r="C1117" s="20" t="n">
        <f aca="false">ROUND(0.52/FX,2)</f>
        <v>0.07</v>
      </c>
      <c r="D1117" s="21" t="s">
        <v>23565</v>
      </c>
      <c r="E1117" s="21" t="s">
        <v>23552</v>
      </c>
      <c r="F1117" s="21" t="s">
        <v>23553</v>
      </c>
      <c r="G1117" s="21" t="s">
        <v>13743</v>
      </c>
      <c r="H1117" s="21" t="s">
        <v>734</v>
      </c>
    </row>
    <row r="1118" customFormat="false" ht="15" hidden="false" customHeight="false" outlineLevel="0" collapsed="false">
      <c r="B1118" s="19" t="s">
        <v>23579</v>
      </c>
      <c r="C1118" s="20" t="n">
        <f aca="false">ROUND(1.17/FX,2)</f>
        <v>0.16</v>
      </c>
      <c r="D1118" s="21" t="s">
        <v>23565</v>
      </c>
      <c r="E1118" s="21" t="s">
        <v>23552</v>
      </c>
      <c r="F1118" s="21" t="s">
        <v>23580</v>
      </c>
      <c r="G1118" s="21" t="s">
        <v>13997</v>
      </c>
      <c r="H1118" s="21" t="s">
        <v>734</v>
      </c>
    </row>
    <row r="1119" customFormat="false" ht="15" hidden="false" customHeight="false" outlineLevel="0" collapsed="false">
      <c r="B1119" s="19" t="s">
        <v>23581</v>
      </c>
      <c r="C1119" s="20" t="n">
        <f aca="false">ROUND(1.63/FX,2)</f>
        <v>0.23</v>
      </c>
      <c r="D1119" s="21" t="s">
        <v>23565</v>
      </c>
      <c r="E1119" s="21" t="s">
        <v>23552</v>
      </c>
      <c r="F1119" s="21" t="s">
        <v>23582</v>
      </c>
      <c r="G1119" s="21" t="s">
        <v>13997</v>
      </c>
      <c r="H1119" s="21" t="s">
        <v>734</v>
      </c>
    </row>
    <row r="1120" customFormat="false" ht="15" hidden="false" customHeight="false" outlineLevel="0" collapsed="false">
      <c r="B1120" s="19" t="s">
        <v>23583</v>
      </c>
      <c r="C1120" s="20" t="n">
        <f aca="false">ROUND(1.76/FX,2)</f>
        <v>0.24</v>
      </c>
      <c r="D1120" s="21" t="s">
        <v>23565</v>
      </c>
      <c r="E1120" s="21" t="s">
        <v>23552</v>
      </c>
      <c r="F1120" s="21" t="s">
        <v>23584</v>
      </c>
      <c r="G1120" s="21" t="s">
        <v>13997</v>
      </c>
      <c r="H1120" s="21" t="s">
        <v>734</v>
      </c>
    </row>
    <row r="1121" customFormat="false" ht="15" hidden="false" customHeight="false" outlineLevel="0" collapsed="false">
      <c r="B1121" s="19" t="s">
        <v>23585</v>
      </c>
      <c r="C1121" s="20" t="n">
        <f aca="false">ROUND(3.9/FX,2)</f>
        <v>0.54</v>
      </c>
      <c r="D1121" s="21" t="s">
        <v>23565</v>
      </c>
      <c r="E1121" s="21" t="s">
        <v>23552</v>
      </c>
      <c r="F1121" s="21" t="s">
        <v>23586</v>
      </c>
      <c r="G1121" s="21" t="s">
        <v>13997</v>
      </c>
      <c r="H1121" s="21" t="s">
        <v>734</v>
      </c>
    </row>
    <row r="1122" customFormat="false" ht="15" hidden="false" customHeight="false" outlineLevel="0" collapsed="false">
      <c r="B1122" s="19" t="s">
        <v>23587</v>
      </c>
      <c r="C1122" s="20" t="n">
        <f aca="false">ROUND(4.55/FX,2)</f>
        <v>0.63</v>
      </c>
      <c r="D1122" s="21" t="s">
        <v>23565</v>
      </c>
      <c r="E1122" s="21" t="s">
        <v>23552</v>
      </c>
      <c r="F1122" s="21" t="s">
        <v>22577</v>
      </c>
      <c r="G1122" s="21" t="s">
        <v>13997</v>
      </c>
      <c r="H1122" s="21" t="s">
        <v>734</v>
      </c>
    </row>
    <row r="1123" customFormat="false" ht="15" hidden="false" customHeight="false" outlineLevel="0" collapsed="false">
      <c r="B1123" s="19" t="s">
        <v>23588</v>
      </c>
      <c r="C1123" s="20" t="n">
        <f aca="false">ROUND(2.99/FX,2)</f>
        <v>0.42</v>
      </c>
      <c r="D1123" s="21" t="s">
        <v>23565</v>
      </c>
      <c r="E1123" s="21" t="s">
        <v>23552</v>
      </c>
      <c r="F1123" s="21" t="s">
        <v>23556</v>
      </c>
      <c r="G1123" s="21" t="s">
        <v>13997</v>
      </c>
      <c r="H1123" s="21" t="s">
        <v>734</v>
      </c>
    </row>
    <row r="1124" customFormat="false" ht="15" hidden="false" customHeight="false" outlineLevel="0" collapsed="false">
      <c r="B1124" s="19" t="s">
        <v>23589</v>
      </c>
      <c r="C1124" s="20" t="n">
        <f aca="false">ROUND(1.69/FX,2)</f>
        <v>0.23</v>
      </c>
      <c r="D1124" s="21" t="s">
        <v>23565</v>
      </c>
      <c r="E1124" s="21" t="s">
        <v>23552</v>
      </c>
      <c r="F1124" s="21" t="s">
        <v>23558</v>
      </c>
      <c r="G1124" s="21" t="s">
        <v>13997</v>
      </c>
      <c r="H1124" s="21" t="s">
        <v>734</v>
      </c>
    </row>
    <row r="1125" customFormat="false" ht="15" hidden="false" customHeight="false" outlineLevel="0" collapsed="false">
      <c r="B1125" s="19" t="s">
        <v>23590</v>
      </c>
      <c r="C1125" s="20" t="n">
        <f aca="false">ROUND(3.25/FX,2)</f>
        <v>0.45</v>
      </c>
      <c r="D1125" s="21" t="s">
        <v>23565</v>
      </c>
      <c r="E1125" s="21" t="s">
        <v>23552</v>
      </c>
      <c r="F1125" s="21" t="s">
        <v>23560</v>
      </c>
      <c r="G1125" s="21" t="s">
        <v>13997</v>
      </c>
      <c r="H1125" s="21" t="s">
        <v>734</v>
      </c>
    </row>
    <row r="1126" customFormat="false" ht="15" hidden="false" customHeight="false" outlineLevel="0" collapsed="false">
      <c r="B1126" s="19" t="s">
        <v>23591</v>
      </c>
      <c r="C1126" s="20" t="n">
        <f aca="false">ROUND(1.95/FX,2)</f>
        <v>0.27</v>
      </c>
      <c r="D1126" s="21" t="s">
        <v>23565</v>
      </c>
      <c r="E1126" s="21" t="s">
        <v>23555</v>
      </c>
      <c r="F1126" s="21" t="s">
        <v>23556</v>
      </c>
      <c r="G1126" s="21" t="s">
        <v>13997</v>
      </c>
      <c r="H1126" s="21" t="s">
        <v>734</v>
      </c>
    </row>
    <row r="1127" customFormat="false" ht="15" hidden="false" customHeight="false" outlineLevel="0" collapsed="false">
      <c r="B1127" s="19" t="s">
        <v>23592</v>
      </c>
      <c r="C1127" s="20" t="n">
        <f aca="false">ROUND(1.43/FX,2)</f>
        <v>0.2</v>
      </c>
      <c r="D1127" s="21" t="s">
        <v>23565</v>
      </c>
      <c r="E1127" s="21" t="s">
        <v>23555</v>
      </c>
      <c r="F1127" s="21" t="s">
        <v>23558</v>
      </c>
      <c r="G1127" s="21" t="s">
        <v>13743</v>
      </c>
      <c r="H1127" s="21" t="s">
        <v>23593</v>
      </c>
    </row>
    <row r="1128" customFormat="false" ht="15" hidden="false" customHeight="false" outlineLevel="0" collapsed="false">
      <c r="B1128" s="19" t="s">
        <v>23594</v>
      </c>
      <c r="C1128" s="20" t="n">
        <f aca="false">ROUND(0.78/FX,2)</f>
        <v>0.11</v>
      </c>
      <c r="D1128" s="21" t="s">
        <v>23565</v>
      </c>
      <c r="E1128" s="21" t="s">
        <v>23555</v>
      </c>
      <c r="F1128" s="21" t="s">
        <v>23558</v>
      </c>
      <c r="G1128" s="21" t="s">
        <v>13743</v>
      </c>
      <c r="H1128" s="21" t="s">
        <v>734</v>
      </c>
    </row>
    <row r="1129" customFormat="false" ht="15" hidden="false" customHeight="false" outlineLevel="0" collapsed="false">
      <c r="B1129" s="19" t="s">
        <v>23595</v>
      </c>
      <c r="C1129" s="20" t="n">
        <f aca="false">ROUND(1.04/FX,2)</f>
        <v>0.14</v>
      </c>
      <c r="D1129" s="21" t="s">
        <v>23565</v>
      </c>
      <c r="E1129" s="21" t="s">
        <v>23555</v>
      </c>
      <c r="F1129" s="21" t="s">
        <v>23560</v>
      </c>
      <c r="G1129" s="21" t="s">
        <v>14013</v>
      </c>
      <c r="H1129" s="21" t="s">
        <v>23593</v>
      </c>
    </row>
    <row r="1130" customFormat="false" ht="15" hidden="false" customHeight="false" outlineLevel="0" collapsed="false">
      <c r="B1130" s="19" t="s">
        <v>23596</v>
      </c>
      <c r="C1130" s="20" t="n">
        <f aca="false">ROUND(2.34/FX,2)</f>
        <v>0.33</v>
      </c>
      <c r="D1130" s="21" t="s">
        <v>23565</v>
      </c>
      <c r="E1130" s="21" t="s">
        <v>23555</v>
      </c>
      <c r="F1130" s="21" t="s">
        <v>23560</v>
      </c>
      <c r="G1130" s="21" t="s">
        <v>13997</v>
      </c>
      <c r="H1130" s="21" t="s">
        <v>734</v>
      </c>
    </row>
    <row r="1131" customFormat="false" ht="15" hidden="false" customHeight="false" outlineLevel="0" collapsed="false">
      <c r="B1131" s="19" t="s">
        <v>23597</v>
      </c>
      <c r="C1131" s="20" t="n">
        <f aca="false">ROUND(2.6/FX,2)</f>
        <v>0.36</v>
      </c>
      <c r="D1131" s="21" t="s">
        <v>23565</v>
      </c>
      <c r="E1131" s="21" t="s">
        <v>23555</v>
      </c>
      <c r="F1131" s="21" t="s">
        <v>22490</v>
      </c>
      <c r="G1131" s="21" t="s">
        <v>13997</v>
      </c>
      <c r="H1131" s="21" t="s">
        <v>734</v>
      </c>
    </row>
    <row r="1132" customFormat="false" ht="15" hidden="false" customHeight="false" outlineLevel="0" collapsed="false">
      <c r="B1132" s="19" t="s">
        <v>23598</v>
      </c>
      <c r="C1132" s="20" t="n">
        <f aca="false">ROUND(2.21/FX,2)</f>
        <v>0.31</v>
      </c>
      <c r="D1132" s="21" t="s">
        <v>23565</v>
      </c>
      <c r="E1132" s="21" t="s">
        <v>23555</v>
      </c>
      <c r="F1132" s="21" t="s">
        <v>23599</v>
      </c>
      <c r="G1132" s="21" t="s">
        <v>13997</v>
      </c>
      <c r="H1132" s="21" t="s">
        <v>734</v>
      </c>
    </row>
    <row r="1133" customFormat="false" ht="15" hidden="false" customHeight="false" outlineLevel="0" collapsed="false">
      <c r="B1133" s="19" t="s">
        <v>23600</v>
      </c>
      <c r="C1133" s="20" t="n">
        <f aca="false">ROUND(3.16/FX,2)</f>
        <v>0.44</v>
      </c>
      <c r="D1133" s="21" t="s">
        <v>23565</v>
      </c>
      <c r="E1133" s="21" t="s">
        <v>23555</v>
      </c>
      <c r="F1133" s="21" t="s">
        <v>23601</v>
      </c>
      <c r="G1133" s="21" t="s">
        <v>13997</v>
      </c>
      <c r="H1133" s="21" t="s">
        <v>734</v>
      </c>
    </row>
    <row r="1134" customFormat="false" ht="15" hidden="false" customHeight="false" outlineLevel="0" collapsed="false">
      <c r="B1134" s="19" t="s">
        <v>23602</v>
      </c>
      <c r="C1134" s="20" t="n">
        <f aca="false">ROUND(4.12/FX,2)</f>
        <v>0.57</v>
      </c>
      <c r="D1134" s="21" t="s">
        <v>23565</v>
      </c>
      <c r="E1134" s="21" t="s">
        <v>23555</v>
      </c>
      <c r="F1134" s="21" t="s">
        <v>23603</v>
      </c>
      <c r="G1134" s="21" t="s">
        <v>13997</v>
      </c>
      <c r="H1134" s="21" t="s">
        <v>734</v>
      </c>
    </row>
    <row r="1135" customFormat="false" ht="15" hidden="false" customHeight="false" outlineLevel="0" collapsed="false">
      <c r="B1135" s="19" t="s">
        <v>23604</v>
      </c>
      <c r="C1135" s="20" t="n">
        <f aca="false">ROUND(2.86/FX,2)</f>
        <v>0.4</v>
      </c>
      <c r="D1135" s="21" t="s">
        <v>23565</v>
      </c>
      <c r="E1135" s="21" t="s">
        <v>23562</v>
      </c>
      <c r="F1135" s="21" t="s">
        <v>23556</v>
      </c>
      <c r="G1135" s="21" t="s">
        <v>13997</v>
      </c>
      <c r="H1135" s="21" t="s">
        <v>734</v>
      </c>
    </row>
    <row r="1136" customFormat="false" ht="15" hidden="false" customHeight="false" outlineLevel="0" collapsed="false">
      <c r="B1136" s="19" t="s">
        <v>23605</v>
      </c>
      <c r="C1136" s="20" t="n">
        <f aca="false">ROUND(2.99/FX,2)</f>
        <v>0.42</v>
      </c>
      <c r="D1136" s="21" t="s">
        <v>23565</v>
      </c>
      <c r="E1136" s="21" t="s">
        <v>23562</v>
      </c>
      <c r="F1136" s="21" t="s">
        <v>23558</v>
      </c>
      <c r="G1136" s="21" t="s">
        <v>13997</v>
      </c>
      <c r="H1136" s="21" t="s">
        <v>734</v>
      </c>
    </row>
    <row r="1137" customFormat="false" ht="15" hidden="false" customHeight="false" outlineLevel="0" collapsed="false">
      <c r="B1137" s="19" t="s">
        <v>23606</v>
      </c>
      <c r="C1137" s="20" t="n">
        <f aca="false">ROUND(3.25/FX,2)</f>
        <v>0.45</v>
      </c>
      <c r="D1137" s="21" t="s">
        <v>23565</v>
      </c>
      <c r="E1137" s="21" t="s">
        <v>23562</v>
      </c>
      <c r="F1137" s="21" t="s">
        <v>23560</v>
      </c>
      <c r="G1137" s="21" t="s">
        <v>13997</v>
      </c>
      <c r="H1137" s="21" t="s">
        <v>734</v>
      </c>
    </row>
    <row r="1138" customFormat="false" ht="15" hidden="false" customHeight="false" outlineLevel="0" collapsed="false">
      <c r="B1138" s="19" t="s">
        <v>23607</v>
      </c>
      <c r="C1138" s="20" t="n">
        <f aca="false">ROUND(3.51/FX,2)</f>
        <v>0.49</v>
      </c>
      <c r="D1138" s="21" t="s">
        <v>23565</v>
      </c>
      <c r="E1138" s="21" t="s">
        <v>23562</v>
      </c>
      <c r="F1138" s="21" t="s">
        <v>22490</v>
      </c>
      <c r="G1138" s="21" t="s">
        <v>13997</v>
      </c>
      <c r="H1138" s="21" t="s">
        <v>734</v>
      </c>
    </row>
    <row r="1139" customFormat="false" ht="15" hidden="false" customHeight="false" outlineLevel="0" collapsed="false">
      <c r="B1139" s="19" t="s">
        <v>23608</v>
      </c>
      <c r="C1139" s="20" t="n">
        <f aca="false">ROUND(3.77/FX,2)</f>
        <v>0.52</v>
      </c>
      <c r="D1139" s="21" t="s">
        <v>23565</v>
      </c>
      <c r="E1139" s="21" t="s">
        <v>23562</v>
      </c>
      <c r="F1139" s="21" t="s">
        <v>23599</v>
      </c>
      <c r="G1139" s="21" t="s">
        <v>13997</v>
      </c>
      <c r="H1139" s="21" t="s">
        <v>734</v>
      </c>
    </row>
    <row r="1140" customFormat="false" ht="15" hidden="false" customHeight="false" outlineLevel="0" collapsed="false">
      <c r="B1140" s="19" t="s">
        <v>23609</v>
      </c>
      <c r="C1140" s="20" t="n">
        <f aca="false">ROUND(3.9/FX,2)</f>
        <v>0.54</v>
      </c>
      <c r="D1140" s="21" t="s">
        <v>23565</v>
      </c>
      <c r="E1140" s="21" t="s">
        <v>23562</v>
      </c>
      <c r="F1140" s="21" t="s">
        <v>23601</v>
      </c>
      <c r="G1140" s="21" t="s">
        <v>13997</v>
      </c>
      <c r="H1140" s="21" t="s">
        <v>734</v>
      </c>
    </row>
    <row r="1141" customFormat="false" ht="15" hidden="false" customHeight="false" outlineLevel="0" collapsed="false">
      <c r="B1141" s="19" t="s">
        <v>23610</v>
      </c>
      <c r="C1141" s="20" t="n">
        <f aca="false">ROUND(5.07/FX,2)</f>
        <v>0.7</v>
      </c>
      <c r="D1141" s="21" t="s">
        <v>23565</v>
      </c>
      <c r="E1141" s="21" t="s">
        <v>23562</v>
      </c>
      <c r="F1141" s="21" t="s">
        <v>23603</v>
      </c>
      <c r="G1141" s="21" t="s">
        <v>13997</v>
      </c>
      <c r="H1141" s="21" t="s">
        <v>734</v>
      </c>
    </row>
    <row r="1142" customFormat="false" ht="15" hidden="false" customHeight="false" outlineLevel="0" collapsed="false">
      <c r="B1142" s="19" t="s">
        <v>23611</v>
      </c>
      <c r="C1142" s="20" t="n">
        <f aca="false">ROUND(1.35/FX,2)</f>
        <v>0.19</v>
      </c>
      <c r="D1142" s="21" t="s">
        <v>8669</v>
      </c>
      <c r="E1142" s="21" t="s">
        <v>23548</v>
      </c>
      <c r="F1142" s="21" t="s">
        <v>23549</v>
      </c>
      <c r="G1142" s="21" t="s">
        <v>13739</v>
      </c>
      <c r="H1142" s="21" t="s">
        <v>734</v>
      </c>
    </row>
    <row r="1143" customFormat="false" ht="15" hidden="false" customHeight="false" outlineLevel="0" collapsed="false">
      <c r="B1143" s="19" t="s">
        <v>23612</v>
      </c>
      <c r="C1143" s="20" t="n">
        <f aca="false">ROUND(1.43/FX,2)</f>
        <v>0.2</v>
      </c>
      <c r="D1143" s="21" t="s">
        <v>8669</v>
      </c>
      <c r="E1143" s="21" t="s">
        <v>23548</v>
      </c>
      <c r="F1143" s="21" t="s">
        <v>23570</v>
      </c>
      <c r="G1143" s="21" t="s">
        <v>13739</v>
      </c>
      <c r="H1143" s="21" t="s">
        <v>734</v>
      </c>
    </row>
    <row r="1144" customFormat="false" ht="15" hidden="false" customHeight="false" outlineLevel="0" collapsed="false">
      <c r="B1144" s="19" t="s">
        <v>23613</v>
      </c>
      <c r="C1144" s="20" t="n">
        <f aca="false">ROUND(1.51/FX,2)</f>
        <v>0.21</v>
      </c>
      <c r="D1144" s="21" t="s">
        <v>8669</v>
      </c>
      <c r="E1144" s="21" t="s">
        <v>23548</v>
      </c>
      <c r="F1144" s="21" t="s">
        <v>23572</v>
      </c>
      <c r="G1144" s="21" t="s">
        <v>13739</v>
      </c>
      <c r="H1144" s="21" t="s">
        <v>734</v>
      </c>
    </row>
    <row r="1145" customFormat="false" ht="15" hidden="false" customHeight="false" outlineLevel="0" collapsed="false">
      <c r="B1145" s="19" t="s">
        <v>23614</v>
      </c>
      <c r="C1145" s="20" t="n">
        <f aca="false">ROUND(1.43/FX,2)</f>
        <v>0.2</v>
      </c>
      <c r="D1145" s="21" t="s">
        <v>8669</v>
      </c>
      <c r="E1145" s="21" t="s">
        <v>23552</v>
      </c>
      <c r="F1145" s="21" t="s">
        <v>23553</v>
      </c>
      <c r="G1145" s="21" t="s">
        <v>13739</v>
      </c>
      <c r="H1145" s="21" t="s">
        <v>734</v>
      </c>
    </row>
    <row r="1146" customFormat="false" ht="15" hidden="false" customHeight="false" outlineLevel="0" collapsed="false">
      <c r="B1146" s="19" t="s">
        <v>23615</v>
      </c>
      <c r="C1146" s="20" t="n">
        <f aca="false">ROUND(1.56/FX,2)</f>
        <v>0.22</v>
      </c>
      <c r="D1146" s="21" t="s">
        <v>8669</v>
      </c>
      <c r="E1146" s="21" t="s">
        <v>23552</v>
      </c>
      <c r="F1146" s="21" t="s">
        <v>23580</v>
      </c>
      <c r="G1146" s="21" t="s">
        <v>13739</v>
      </c>
      <c r="H1146" s="21" t="s">
        <v>734</v>
      </c>
    </row>
    <row r="1147" customFormat="false" ht="15" hidden="false" customHeight="false" outlineLevel="0" collapsed="false">
      <c r="B1147" s="19" t="s">
        <v>23616</v>
      </c>
      <c r="C1147" s="20" t="n">
        <f aca="false">ROUND(1.69/FX,2)</f>
        <v>0.23</v>
      </c>
      <c r="D1147" s="21" t="s">
        <v>8669</v>
      </c>
      <c r="E1147" s="21" t="s">
        <v>23552</v>
      </c>
      <c r="F1147" s="21" t="s">
        <v>23582</v>
      </c>
      <c r="G1147" s="21" t="s">
        <v>13739</v>
      </c>
      <c r="H1147" s="21" t="s">
        <v>734</v>
      </c>
    </row>
    <row r="1148" customFormat="false" ht="15" hidden="false" customHeight="false" outlineLevel="0" collapsed="false">
      <c r="B1148" s="19" t="s">
        <v>23617</v>
      </c>
      <c r="C1148" s="20" t="n">
        <f aca="false">ROUND(1.25/FX,2)</f>
        <v>0.17</v>
      </c>
      <c r="D1148" s="21" t="s">
        <v>8669</v>
      </c>
      <c r="E1148" s="21" t="s">
        <v>23555</v>
      </c>
      <c r="F1148" s="21" t="s">
        <v>23556</v>
      </c>
      <c r="G1148" s="21" t="s">
        <v>13739</v>
      </c>
      <c r="H1148" s="21" t="s">
        <v>734</v>
      </c>
    </row>
    <row r="1149" customFormat="false" ht="15" hidden="false" customHeight="false" outlineLevel="0" collapsed="false">
      <c r="B1149" s="19" t="s">
        <v>23618</v>
      </c>
      <c r="C1149" s="20" t="n">
        <f aca="false">ROUND(1.3/FX,2)</f>
        <v>0.18</v>
      </c>
      <c r="D1149" s="21" t="s">
        <v>8669</v>
      </c>
      <c r="E1149" s="21" t="s">
        <v>23555</v>
      </c>
      <c r="F1149" s="21" t="s">
        <v>23558</v>
      </c>
      <c r="G1149" s="21" t="s">
        <v>13739</v>
      </c>
      <c r="H1149" s="21" t="s">
        <v>734</v>
      </c>
    </row>
    <row r="1150" customFormat="false" ht="15" hidden="false" customHeight="false" outlineLevel="0" collapsed="false">
      <c r="B1150" s="19" t="s">
        <v>23619</v>
      </c>
      <c r="C1150" s="20" t="n">
        <f aca="false">ROUND(1.43/FX,2)</f>
        <v>0.2</v>
      </c>
      <c r="D1150" s="21" t="s">
        <v>8669</v>
      </c>
      <c r="E1150" s="21" t="s">
        <v>23555</v>
      </c>
      <c r="F1150" s="21" t="s">
        <v>23560</v>
      </c>
      <c r="G1150" s="21" t="s">
        <v>13739</v>
      </c>
      <c r="H1150" s="21" t="s">
        <v>734</v>
      </c>
    </row>
    <row r="1151" customFormat="false" ht="15" hidden="false" customHeight="false" outlineLevel="0" collapsed="false">
      <c r="B1151" s="19" t="s">
        <v>23620</v>
      </c>
      <c r="C1151" s="20" t="n">
        <f aca="false">ROUND(1.56/FX,2)</f>
        <v>0.22</v>
      </c>
      <c r="D1151" s="21" t="s">
        <v>8669</v>
      </c>
      <c r="E1151" s="21" t="s">
        <v>23555</v>
      </c>
      <c r="F1151" s="21" t="s">
        <v>22490</v>
      </c>
      <c r="G1151" s="21" t="s">
        <v>13739</v>
      </c>
      <c r="H1151" s="21" t="s">
        <v>734</v>
      </c>
    </row>
    <row r="1152" customFormat="false" ht="15" hidden="false" customHeight="false" outlineLevel="0" collapsed="false">
      <c r="B1152" s="19" t="s">
        <v>23621</v>
      </c>
      <c r="C1152" s="20" t="n">
        <f aca="false">ROUND(1.77/FX,2)</f>
        <v>0.25</v>
      </c>
      <c r="D1152" s="21" t="s">
        <v>8669</v>
      </c>
      <c r="E1152" s="21" t="s">
        <v>23555</v>
      </c>
      <c r="F1152" s="21" t="s">
        <v>23599</v>
      </c>
      <c r="G1152" s="21" t="s">
        <v>13739</v>
      </c>
      <c r="H1152" s="21" t="s">
        <v>734</v>
      </c>
    </row>
    <row r="1153" customFormat="false" ht="15" hidden="false" customHeight="false" outlineLevel="0" collapsed="false">
      <c r="B1153" s="19" t="s">
        <v>23622</v>
      </c>
      <c r="C1153" s="20" t="n">
        <f aca="false">ROUND(1.87/FX,2)</f>
        <v>0.26</v>
      </c>
      <c r="D1153" s="21" t="s">
        <v>8669</v>
      </c>
      <c r="E1153" s="21" t="s">
        <v>23555</v>
      </c>
      <c r="F1153" s="21" t="s">
        <v>23601</v>
      </c>
      <c r="G1153" s="21" t="s">
        <v>13739</v>
      </c>
      <c r="H1153" s="21" t="s">
        <v>734</v>
      </c>
    </row>
    <row r="1154" customFormat="false" ht="15" hidden="false" customHeight="false" outlineLevel="0" collapsed="false">
      <c r="B1154" s="19" t="s">
        <v>23623</v>
      </c>
      <c r="C1154" s="20" t="n">
        <f aca="false">ROUND(1.56/FX,2)</f>
        <v>0.22</v>
      </c>
      <c r="D1154" s="21" t="s">
        <v>8669</v>
      </c>
      <c r="E1154" s="21" t="s">
        <v>23562</v>
      </c>
      <c r="F1154" s="21" t="s">
        <v>23558</v>
      </c>
      <c r="G1154" s="21" t="s">
        <v>13739</v>
      </c>
      <c r="H1154" s="21" t="s">
        <v>734</v>
      </c>
    </row>
    <row r="1155" customFormat="false" ht="15" hidden="false" customHeight="false" outlineLevel="0" collapsed="false">
      <c r="B1155" s="19" t="s">
        <v>23624</v>
      </c>
      <c r="C1155" s="20" t="n">
        <f aca="false">ROUND(1.69/FX,2)</f>
        <v>0.23</v>
      </c>
      <c r="D1155" s="21" t="s">
        <v>8669</v>
      </c>
      <c r="E1155" s="21" t="s">
        <v>23562</v>
      </c>
      <c r="F1155" s="21" t="s">
        <v>23560</v>
      </c>
      <c r="G1155" s="21" t="s">
        <v>13739</v>
      </c>
      <c r="H1155" s="21" t="s">
        <v>734</v>
      </c>
    </row>
    <row r="1156" customFormat="false" ht="15" hidden="false" customHeight="false" outlineLevel="0" collapsed="false">
      <c r="B1156" s="19" t="s">
        <v>23625</v>
      </c>
      <c r="C1156" s="20" t="n">
        <f aca="false">ROUND(1.82/FX,2)</f>
        <v>0.25</v>
      </c>
      <c r="D1156" s="21" t="s">
        <v>8669</v>
      </c>
      <c r="E1156" s="21" t="s">
        <v>23562</v>
      </c>
      <c r="F1156" s="21" t="s">
        <v>22490</v>
      </c>
      <c r="G1156" s="21" t="s">
        <v>13739</v>
      </c>
      <c r="H1156" s="21" t="s">
        <v>734</v>
      </c>
    </row>
    <row r="1157" customFormat="false" ht="15" hidden="false" customHeight="false" outlineLevel="0" collapsed="false">
      <c r="B1157" s="19" t="s">
        <v>23626</v>
      </c>
      <c r="C1157" s="20" t="n">
        <f aca="false">ROUND(1.95/FX,2)</f>
        <v>0.27</v>
      </c>
      <c r="D1157" s="21" t="s">
        <v>8669</v>
      </c>
      <c r="E1157" s="21" t="s">
        <v>23562</v>
      </c>
      <c r="F1157" s="21" t="s">
        <v>23599</v>
      </c>
      <c r="G1157" s="21" t="s">
        <v>13739</v>
      </c>
      <c r="H1157" s="21" t="s">
        <v>734</v>
      </c>
    </row>
    <row r="1158" customFormat="false" ht="15" hidden="false" customHeight="false" outlineLevel="0" collapsed="false">
      <c r="B1158" s="19" t="s">
        <v>23627</v>
      </c>
      <c r="C1158" s="20" t="n">
        <f aca="false">ROUND(1.17/FX,2)</f>
        <v>0.16</v>
      </c>
      <c r="D1158" s="21" t="s">
        <v>8669</v>
      </c>
      <c r="E1158" s="21" t="s">
        <v>23562</v>
      </c>
      <c r="F1158" s="21" t="s">
        <v>23601</v>
      </c>
      <c r="G1158" s="21" t="s">
        <v>13732</v>
      </c>
      <c r="H1158" s="21" t="s">
        <v>734</v>
      </c>
    </row>
    <row r="1159" customFormat="false" ht="15" hidden="false" customHeight="false" outlineLevel="0" collapsed="false">
      <c r="B1159" s="19" t="s">
        <v>23628</v>
      </c>
      <c r="C1159" s="20" t="n">
        <f aca="false">ROUND(1.25/FX,2)</f>
        <v>0.17</v>
      </c>
      <c r="D1159" s="21" t="s">
        <v>8669</v>
      </c>
      <c r="E1159" s="21" t="s">
        <v>23629</v>
      </c>
      <c r="F1159" s="21" t="s">
        <v>23577</v>
      </c>
      <c r="G1159" s="21" t="s">
        <v>13739</v>
      </c>
      <c r="H1159" s="21" t="s">
        <v>734</v>
      </c>
    </row>
    <row r="1160" customFormat="false" ht="15" hidden="false" customHeight="false" outlineLevel="0" collapsed="false">
      <c r="B1160" s="19" t="s">
        <v>23630</v>
      </c>
      <c r="C1160" s="20" t="n">
        <f aca="false">ROUND(1.25/FX,2)</f>
        <v>0.17</v>
      </c>
      <c r="D1160" s="21" t="s">
        <v>8669</v>
      </c>
      <c r="E1160" s="21" t="s">
        <v>23629</v>
      </c>
      <c r="F1160" s="21" t="s">
        <v>23553</v>
      </c>
      <c r="G1160" s="21" t="s">
        <v>13739</v>
      </c>
      <c r="H1160" s="21" t="s">
        <v>734</v>
      </c>
    </row>
    <row r="1161" customFormat="false" ht="15" hidden="false" customHeight="false" outlineLevel="0" collapsed="false">
      <c r="B1161" s="19" t="s">
        <v>23631</v>
      </c>
      <c r="C1161" s="20" t="n">
        <f aca="false">ROUND(1.3/FX,2)</f>
        <v>0.18</v>
      </c>
      <c r="D1161" s="21" t="s">
        <v>8669</v>
      </c>
      <c r="E1161" s="21" t="s">
        <v>23629</v>
      </c>
      <c r="F1161" s="21" t="s">
        <v>23580</v>
      </c>
      <c r="G1161" s="21" t="s">
        <v>13739</v>
      </c>
      <c r="H1161" s="21" t="s">
        <v>734</v>
      </c>
    </row>
    <row r="1162" customFormat="false" ht="15" hidden="false" customHeight="false" outlineLevel="0" collapsed="false">
      <c r="B1162" s="19" t="s">
        <v>23632</v>
      </c>
      <c r="C1162" s="20" t="n">
        <f aca="false">ROUND(1.64/FX,2)</f>
        <v>0.23</v>
      </c>
      <c r="D1162" s="21" t="s">
        <v>8669</v>
      </c>
      <c r="E1162" s="21" t="s">
        <v>23629</v>
      </c>
      <c r="F1162" s="21" t="s">
        <v>23558</v>
      </c>
      <c r="G1162" s="21" t="s">
        <v>13739</v>
      </c>
      <c r="H1162" s="21" t="s">
        <v>734</v>
      </c>
    </row>
    <row r="1163" customFormat="false" ht="15" hidden="false" customHeight="false" outlineLevel="0" collapsed="false">
      <c r="B1163" s="19" t="s">
        <v>23633</v>
      </c>
      <c r="C1163" s="20" t="n">
        <f aca="false">ROUND(1.77/FX,2)</f>
        <v>0.25</v>
      </c>
      <c r="D1163" s="21" t="s">
        <v>8669</v>
      </c>
      <c r="E1163" s="21" t="s">
        <v>23629</v>
      </c>
      <c r="F1163" s="21" t="s">
        <v>23560</v>
      </c>
      <c r="G1163" s="21" t="s">
        <v>13739</v>
      </c>
      <c r="H1163" s="21" t="s">
        <v>734</v>
      </c>
    </row>
    <row r="1164" customFormat="false" ht="15" hidden="false" customHeight="false" outlineLevel="0" collapsed="false">
      <c r="B1164" s="19" t="s">
        <v>23634</v>
      </c>
      <c r="C1164" s="20" t="n">
        <f aca="false">ROUND(1.95/FX,2)</f>
        <v>0.27</v>
      </c>
      <c r="D1164" s="21" t="s">
        <v>8669</v>
      </c>
      <c r="E1164" s="21" t="s">
        <v>23629</v>
      </c>
      <c r="F1164" s="21" t="s">
        <v>22490</v>
      </c>
      <c r="G1164" s="21" t="s">
        <v>13739</v>
      </c>
      <c r="H1164" s="21" t="s">
        <v>734</v>
      </c>
    </row>
    <row r="1165" customFormat="false" ht="15" hidden="false" customHeight="false" outlineLevel="0" collapsed="false">
      <c r="B1165" s="19" t="s">
        <v>23635</v>
      </c>
      <c r="C1165" s="20" t="n">
        <f aca="false">ROUND(1.11/FX,2)</f>
        <v>0.15</v>
      </c>
      <c r="D1165" s="21" t="s">
        <v>8669</v>
      </c>
      <c r="E1165" s="21" t="s">
        <v>23629</v>
      </c>
      <c r="F1165" s="21" t="s">
        <v>23599</v>
      </c>
      <c r="G1165" s="21" t="s">
        <v>13732</v>
      </c>
      <c r="H1165" s="21" t="s">
        <v>734</v>
      </c>
    </row>
    <row r="1166" customFormat="false" ht="15" hidden="false" customHeight="false" outlineLevel="0" collapsed="false">
      <c r="B1166" s="19" t="s">
        <v>23636</v>
      </c>
      <c r="C1166" s="20" t="n">
        <f aca="false">ROUND(1.21/FX,2)</f>
        <v>0.17</v>
      </c>
      <c r="D1166" s="21" t="s">
        <v>8669</v>
      </c>
      <c r="E1166" s="21" t="s">
        <v>23629</v>
      </c>
      <c r="F1166" s="21" t="s">
        <v>23601</v>
      </c>
      <c r="G1166" s="21" t="s">
        <v>13732</v>
      </c>
      <c r="H1166" s="21" t="s">
        <v>734</v>
      </c>
    </row>
    <row r="1167" customFormat="false" ht="15" hidden="false" customHeight="false" outlineLevel="0" collapsed="false">
      <c r="B1167" s="19" t="s">
        <v>23637</v>
      </c>
      <c r="C1167" s="20" t="n">
        <f aca="false">ROUND(1.48/FX,2)</f>
        <v>0.21</v>
      </c>
      <c r="D1167" s="21" t="s">
        <v>8669</v>
      </c>
      <c r="E1167" s="21" t="s">
        <v>23638</v>
      </c>
      <c r="F1167" s="21" t="s">
        <v>23558</v>
      </c>
      <c r="G1167" s="21" t="s">
        <v>13751</v>
      </c>
      <c r="H1167" s="21" t="s">
        <v>23639</v>
      </c>
    </row>
    <row r="1168" customFormat="false" ht="15" hidden="false" customHeight="false" outlineLevel="0" collapsed="false">
      <c r="B1168" s="19" t="s">
        <v>23640</v>
      </c>
      <c r="C1168" s="20" t="n">
        <f aca="false">ROUND(1.48/FX,2)</f>
        <v>0.21</v>
      </c>
      <c r="D1168" s="21" t="s">
        <v>8669</v>
      </c>
      <c r="E1168" s="21" t="s">
        <v>23638</v>
      </c>
      <c r="F1168" s="21" t="s">
        <v>23558</v>
      </c>
      <c r="G1168" s="21" t="s">
        <v>13751</v>
      </c>
      <c r="H1168" s="21" t="s">
        <v>23641</v>
      </c>
    </row>
    <row r="1169" customFormat="false" ht="15" hidden="false" customHeight="false" outlineLevel="0" collapsed="false">
      <c r="B1169" s="19" t="s">
        <v>23642</v>
      </c>
      <c r="C1169" s="20" t="n">
        <f aca="false">ROUND(1.04/FX,2)</f>
        <v>0.14</v>
      </c>
      <c r="D1169" s="21" t="s">
        <v>8669</v>
      </c>
      <c r="E1169" s="21" t="s">
        <v>23638</v>
      </c>
      <c r="F1169" s="21" t="s">
        <v>23558</v>
      </c>
      <c r="G1169" s="21" t="s">
        <v>13739</v>
      </c>
      <c r="H1169" s="21" t="s">
        <v>23643</v>
      </c>
    </row>
    <row r="1170" customFormat="false" ht="15" hidden="false" customHeight="false" outlineLevel="0" collapsed="false">
      <c r="B1170" s="19" t="s">
        <v>23644</v>
      </c>
      <c r="C1170" s="20" t="n">
        <f aca="false">ROUND(1.09/FX,2)</f>
        <v>0.15</v>
      </c>
      <c r="D1170" s="21" t="s">
        <v>8669</v>
      </c>
      <c r="E1170" s="21" t="s">
        <v>23638</v>
      </c>
      <c r="F1170" s="21" t="s">
        <v>23560</v>
      </c>
      <c r="G1170" s="21" t="s">
        <v>13739</v>
      </c>
      <c r="H1170" s="21" t="s">
        <v>23639</v>
      </c>
    </row>
    <row r="1171" customFormat="false" ht="15" hidden="false" customHeight="false" outlineLevel="0" collapsed="false">
      <c r="B1171" s="19" t="s">
        <v>23645</v>
      </c>
      <c r="C1171" s="20" t="n">
        <f aca="false">ROUND(1.11/FX,2)</f>
        <v>0.15</v>
      </c>
      <c r="D1171" s="21" t="s">
        <v>8669</v>
      </c>
      <c r="E1171" s="21" t="s">
        <v>23638</v>
      </c>
      <c r="F1171" s="21" t="s">
        <v>23560</v>
      </c>
      <c r="G1171" s="21" t="s">
        <v>13739</v>
      </c>
      <c r="H1171" s="21" t="s">
        <v>23641</v>
      </c>
    </row>
    <row r="1172" customFormat="false" ht="15" hidden="false" customHeight="false" outlineLevel="0" collapsed="false">
      <c r="B1172" s="19" t="s">
        <v>23646</v>
      </c>
      <c r="C1172" s="20" t="n">
        <f aca="false">ROUND(1.17/FX,2)</f>
        <v>0.16</v>
      </c>
      <c r="D1172" s="21" t="s">
        <v>8669</v>
      </c>
      <c r="E1172" s="21" t="s">
        <v>23638</v>
      </c>
      <c r="F1172" s="21" t="s">
        <v>23560</v>
      </c>
      <c r="G1172" s="21" t="s">
        <v>13739</v>
      </c>
      <c r="H1172" s="21" t="s">
        <v>23643</v>
      </c>
    </row>
    <row r="1173" customFormat="false" ht="15" hidden="false" customHeight="false" outlineLevel="0" collapsed="false">
      <c r="B1173" s="19" t="s">
        <v>23647</v>
      </c>
      <c r="C1173" s="20" t="n">
        <f aca="false">ROUND(1.2/FX,2)</f>
        <v>0.17</v>
      </c>
      <c r="D1173" s="21" t="s">
        <v>8669</v>
      </c>
      <c r="E1173" s="21" t="s">
        <v>23638</v>
      </c>
      <c r="F1173" s="21" t="s">
        <v>22490</v>
      </c>
      <c r="G1173" s="21" t="s">
        <v>13739</v>
      </c>
      <c r="H1173" s="21" t="s">
        <v>23639</v>
      </c>
    </row>
    <row r="1174" customFormat="false" ht="15" hidden="false" customHeight="false" outlineLevel="0" collapsed="false">
      <c r="B1174" s="19" t="s">
        <v>23648</v>
      </c>
      <c r="C1174" s="20" t="n">
        <f aca="false">ROUND(1.2/FX,2)</f>
        <v>0.17</v>
      </c>
      <c r="D1174" s="21" t="s">
        <v>8669</v>
      </c>
      <c r="E1174" s="21" t="s">
        <v>23638</v>
      </c>
      <c r="F1174" s="21" t="s">
        <v>22490</v>
      </c>
      <c r="G1174" s="21" t="s">
        <v>13739</v>
      </c>
      <c r="H1174" s="21" t="s">
        <v>23641</v>
      </c>
    </row>
    <row r="1175" customFormat="false" ht="15" hidden="false" customHeight="false" outlineLevel="0" collapsed="false">
      <c r="B1175" s="19" t="s">
        <v>23649</v>
      </c>
      <c r="C1175" s="20" t="n">
        <f aca="false">ROUND(1.3/FX,2)</f>
        <v>0.18</v>
      </c>
      <c r="D1175" s="21" t="s">
        <v>8669</v>
      </c>
      <c r="E1175" s="21" t="s">
        <v>23638</v>
      </c>
      <c r="F1175" s="21" t="s">
        <v>22490</v>
      </c>
      <c r="G1175" s="21" t="s">
        <v>13739</v>
      </c>
      <c r="H1175" s="21" t="s">
        <v>23643</v>
      </c>
    </row>
    <row r="1176" customFormat="false" ht="15" hidden="false" customHeight="false" outlineLevel="0" collapsed="false">
      <c r="B1176" s="19" t="s">
        <v>23650</v>
      </c>
      <c r="C1176" s="20" t="n">
        <f aca="false">ROUND(1.43/FX,2)</f>
        <v>0.2</v>
      </c>
      <c r="D1176" s="21" t="s">
        <v>8669</v>
      </c>
      <c r="E1176" s="21" t="s">
        <v>23638</v>
      </c>
      <c r="F1176" s="21" t="s">
        <v>23599</v>
      </c>
      <c r="G1176" s="21" t="s">
        <v>13739</v>
      </c>
      <c r="H1176" s="21" t="s">
        <v>23641</v>
      </c>
    </row>
    <row r="1177" customFormat="false" ht="15" hidden="false" customHeight="false" outlineLevel="0" collapsed="false">
      <c r="B1177" s="19" t="s">
        <v>23651</v>
      </c>
      <c r="C1177" s="20" t="n">
        <f aca="false">ROUND(1.56/FX,2)</f>
        <v>0.22</v>
      </c>
      <c r="D1177" s="21" t="s">
        <v>8669</v>
      </c>
      <c r="E1177" s="21" t="s">
        <v>23638</v>
      </c>
      <c r="F1177" s="21" t="s">
        <v>23601</v>
      </c>
      <c r="G1177" s="21" t="s">
        <v>13739</v>
      </c>
      <c r="H1177" s="21" t="s">
        <v>23641</v>
      </c>
    </row>
    <row r="1178" customFormat="false" ht="15" hidden="false" customHeight="false" outlineLevel="0" collapsed="false">
      <c r="B1178" s="19" t="s">
        <v>23652</v>
      </c>
      <c r="C1178" s="20" t="n">
        <f aca="false">ROUND(1.25/FX,2)</f>
        <v>0.17</v>
      </c>
      <c r="D1178" s="21" t="s">
        <v>8669</v>
      </c>
      <c r="E1178" s="21" t="s">
        <v>23653</v>
      </c>
      <c r="F1178" s="21" t="s">
        <v>23558</v>
      </c>
      <c r="G1178" s="21" t="s">
        <v>13739</v>
      </c>
      <c r="H1178" s="21" t="s">
        <v>23654</v>
      </c>
    </row>
    <row r="1179" customFormat="false" ht="15" hidden="false" customHeight="false" outlineLevel="0" collapsed="false">
      <c r="B1179" s="19" t="s">
        <v>23655</v>
      </c>
      <c r="C1179" s="20" t="n">
        <f aca="false">ROUND(1.43/FX,2)</f>
        <v>0.2</v>
      </c>
      <c r="D1179" s="21" t="s">
        <v>8669</v>
      </c>
      <c r="E1179" s="21" t="s">
        <v>23653</v>
      </c>
      <c r="F1179" s="21" t="s">
        <v>23560</v>
      </c>
      <c r="G1179" s="21" t="s">
        <v>13739</v>
      </c>
      <c r="H1179" s="21" t="s">
        <v>23654</v>
      </c>
    </row>
    <row r="1180" customFormat="false" ht="15" hidden="false" customHeight="false" outlineLevel="0" collapsed="false">
      <c r="B1180" s="19" t="s">
        <v>23656</v>
      </c>
      <c r="C1180" s="20" t="n">
        <f aca="false">ROUND(1.61/FX,2)</f>
        <v>0.22</v>
      </c>
      <c r="D1180" s="21" t="s">
        <v>8669</v>
      </c>
      <c r="E1180" s="21" t="s">
        <v>23653</v>
      </c>
      <c r="F1180" s="21" t="s">
        <v>22490</v>
      </c>
      <c r="G1180" s="21" t="s">
        <v>13739</v>
      </c>
      <c r="H1180" s="21" t="s">
        <v>23654</v>
      </c>
    </row>
    <row r="1181" customFormat="false" ht="15" hidden="false" customHeight="false" outlineLevel="0" collapsed="false">
      <c r="B1181" s="19" t="s">
        <v>23657</v>
      </c>
      <c r="C1181" s="20" t="n">
        <f aca="false">ROUND(1.82/FX,2)</f>
        <v>0.25</v>
      </c>
      <c r="D1181" s="21" t="s">
        <v>8669</v>
      </c>
      <c r="E1181" s="21" t="s">
        <v>23653</v>
      </c>
      <c r="F1181" s="21" t="s">
        <v>23599</v>
      </c>
      <c r="G1181" s="21" t="s">
        <v>13739</v>
      </c>
      <c r="H1181" s="21" t="s">
        <v>23654</v>
      </c>
    </row>
    <row r="1182" customFormat="false" ht="15" hidden="false" customHeight="false" outlineLevel="0" collapsed="false">
      <c r="B1182" s="19" t="s">
        <v>23658</v>
      </c>
      <c r="C1182" s="20" t="n">
        <f aca="false">ROUND(1.01/FX,2)</f>
        <v>0.14</v>
      </c>
      <c r="D1182" s="21" t="s">
        <v>8669</v>
      </c>
      <c r="E1182" s="21" t="s">
        <v>23653</v>
      </c>
      <c r="F1182" s="21" t="s">
        <v>23601</v>
      </c>
      <c r="G1182" s="21" t="s">
        <v>13732</v>
      </c>
      <c r="H1182" s="21" t="s">
        <v>23654</v>
      </c>
    </row>
    <row r="1183" customFormat="false" ht="15" hidden="false" customHeight="false" outlineLevel="0" collapsed="false">
      <c r="B1183" s="19" t="s">
        <v>23659</v>
      </c>
      <c r="C1183" s="20" t="n">
        <f aca="false">ROUND(1.24/FX,2)</f>
        <v>0.17</v>
      </c>
      <c r="D1183" s="21" t="s">
        <v>8669</v>
      </c>
      <c r="E1183" s="21" t="s">
        <v>23653</v>
      </c>
      <c r="F1183" s="21" t="s">
        <v>23603</v>
      </c>
      <c r="G1183" s="21" t="s">
        <v>13732</v>
      </c>
      <c r="H1183" s="21" t="s">
        <v>23654</v>
      </c>
    </row>
    <row r="1184" customFormat="false" ht="15" hidden="false" customHeight="false" outlineLevel="0" collapsed="false">
      <c r="B1184" s="19" t="s">
        <v>23660</v>
      </c>
      <c r="C1184" s="20" t="n">
        <f aca="false">ROUND(1.43/FX,2)</f>
        <v>0.2</v>
      </c>
      <c r="D1184" s="21" t="s">
        <v>23661</v>
      </c>
      <c r="E1184" s="21" t="s">
        <v>23562</v>
      </c>
      <c r="F1184" s="21" t="s">
        <v>23662</v>
      </c>
      <c r="G1184" s="21" t="s">
        <v>13739</v>
      </c>
      <c r="H1184" s="21" t="s">
        <v>734</v>
      </c>
    </row>
    <row r="1185" customFormat="false" ht="15" hidden="false" customHeight="false" outlineLevel="0" collapsed="false">
      <c r="B1185" s="19" t="s">
        <v>23663</v>
      </c>
      <c r="C1185" s="20" t="n">
        <f aca="false">ROUND(1.5/FX,2)</f>
        <v>0.21</v>
      </c>
      <c r="D1185" s="21" t="s">
        <v>23661</v>
      </c>
      <c r="E1185" s="21" t="s">
        <v>23562</v>
      </c>
      <c r="F1185" s="21" t="s">
        <v>22480</v>
      </c>
      <c r="G1185" s="21" t="s">
        <v>13739</v>
      </c>
      <c r="H1185" s="21" t="s">
        <v>734</v>
      </c>
    </row>
    <row r="1186" customFormat="false" ht="15" hidden="false" customHeight="false" outlineLevel="0" collapsed="false">
      <c r="B1186" s="19" t="s">
        <v>23664</v>
      </c>
      <c r="C1186" s="20" t="n">
        <f aca="false">ROUND(1.56/FX,2)</f>
        <v>0.22</v>
      </c>
      <c r="D1186" s="21" t="s">
        <v>23661</v>
      </c>
      <c r="E1186" s="21" t="s">
        <v>23562</v>
      </c>
      <c r="F1186" s="21" t="s">
        <v>23665</v>
      </c>
      <c r="G1186" s="21" t="s">
        <v>13739</v>
      </c>
      <c r="H1186" s="21" t="s">
        <v>734</v>
      </c>
    </row>
    <row r="1187" customFormat="false" ht="15" hidden="false" customHeight="false" outlineLevel="0" collapsed="false">
      <c r="B1187" s="19" t="s">
        <v>23666</v>
      </c>
      <c r="C1187" s="20" t="n">
        <f aca="false">ROUND(1.82/FX,2)</f>
        <v>0.25</v>
      </c>
      <c r="D1187" s="21" t="s">
        <v>23661</v>
      </c>
      <c r="E1187" s="21" t="s">
        <v>23562</v>
      </c>
      <c r="F1187" s="21" t="s">
        <v>23667</v>
      </c>
      <c r="G1187" s="21" t="s">
        <v>13739</v>
      </c>
      <c r="H1187" s="21" t="s">
        <v>734</v>
      </c>
    </row>
    <row r="1188" customFormat="false" ht="15" hidden="false" customHeight="false" outlineLevel="0" collapsed="false">
      <c r="B1188" s="19" t="s">
        <v>23668</v>
      </c>
      <c r="C1188" s="20" t="n">
        <f aca="false">ROUND(1.17/FX,2)</f>
        <v>0.16</v>
      </c>
      <c r="D1188" s="21" t="s">
        <v>23661</v>
      </c>
      <c r="E1188" s="21" t="s">
        <v>23669</v>
      </c>
      <c r="F1188" s="21" t="s">
        <v>23577</v>
      </c>
      <c r="G1188" s="21" t="s">
        <v>14007</v>
      </c>
      <c r="H1188" s="21" t="s">
        <v>734</v>
      </c>
    </row>
    <row r="1189" customFormat="false" ht="15" hidden="false" customHeight="false" outlineLevel="0" collapsed="false">
      <c r="B1189" s="19" t="s">
        <v>23670</v>
      </c>
      <c r="C1189" s="20" t="n">
        <f aca="false">ROUND(1.09/FX,2)</f>
        <v>0.15</v>
      </c>
      <c r="D1189" s="21" t="s">
        <v>23661</v>
      </c>
      <c r="E1189" s="21" t="s">
        <v>23669</v>
      </c>
      <c r="F1189" s="21" t="s">
        <v>23553</v>
      </c>
      <c r="G1189" s="21" t="s">
        <v>14007</v>
      </c>
      <c r="H1189" s="21" t="s">
        <v>734</v>
      </c>
    </row>
    <row r="1190" customFormat="false" ht="15" hidden="false" customHeight="false" outlineLevel="0" collapsed="false">
      <c r="B1190" s="19" t="s">
        <v>23671</v>
      </c>
      <c r="C1190" s="20" t="n">
        <f aca="false">ROUND(1.04/FX,2)</f>
        <v>0.14</v>
      </c>
      <c r="D1190" s="21" t="s">
        <v>23661</v>
      </c>
      <c r="E1190" s="21" t="s">
        <v>23669</v>
      </c>
      <c r="F1190" s="21" t="s">
        <v>23580</v>
      </c>
      <c r="G1190" s="21" t="s">
        <v>13743</v>
      </c>
      <c r="H1190" s="21" t="s">
        <v>734</v>
      </c>
    </row>
    <row r="1191" customFormat="false" ht="15" hidden="false" customHeight="false" outlineLevel="0" collapsed="false">
      <c r="B1191" s="19" t="s">
        <v>23672</v>
      </c>
      <c r="C1191" s="20" t="n">
        <f aca="false">ROUND(1.17/FX,2)</f>
        <v>0.16</v>
      </c>
      <c r="D1191" s="21" t="s">
        <v>23661</v>
      </c>
      <c r="E1191" s="21" t="s">
        <v>23669</v>
      </c>
      <c r="F1191" s="21" t="s">
        <v>23582</v>
      </c>
      <c r="G1191" s="21" t="s">
        <v>13743</v>
      </c>
      <c r="H1191" s="21" t="s">
        <v>734</v>
      </c>
    </row>
    <row r="1192" customFormat="false" ht="15" hidden="false" customHeight="false" outlineLevel="0" collapsed="false">
      <c r="B1192" s="19" t="s">
        <v>23673</v>
      </c>
      <c r="C1192" s="20" t="n">
        <f aca="false">ROUND(1.09/FX,2)</f>
        <v>0.15</v>
      </c>
      <c r="D1192" s="21" t="s">
        <v>23661</v>
      </c>
      <c r="E1192" s="21" t="s">
        <v>23669</v>
      </c>
      <c r="F1192" s="21" t="s">
        <v>23584</v>
      </c>
      <c r="G1192" s="21" t="s">
        <v>14013</v>
      </c>
      <c r="H1192" s="21" t="s">
        <v>734</v>
      </c>
    </row>
    <row r="1193" customFormat="false" ht="15" hidden="false" customHeight="false" outlineLevel="0" collapsed="false">
      <c r="B1193" s="19" t="s">
        <v>23674</v>
      </c>
      <c r="C1193" s="20" t="n">
        <f aca="false">ROUND(1.09/FX,2)</f>
        <v>0.15</v>
      </c>
      <c r="D1193" s="21" t="s">
        <v>23661</v>
      </c>
      <c r="E1193" s="21" t="s">
        <v>23638</v>
      </c>
      <c r="F1193" s="21" t="s">
        <v>23556</v>
      </c>
      <c r="G1193" s="21" t="s">
        <v>14007</v>
      </c>
      <c r="H1193" s="21" t="s">
        <v>734</v>
      </c>
    </row>
    <row r="1194" customFormat="false" ht="15" hidden="false" customHeight="false" outlineLevel="0" collapsed="false">
      <c r="B1194" s="19" t="s">
        <v>23675</v>
      </c>
      <c r="C1194" s="20" t="n">
        <f aca="false">ROUND(1.17/FX,2)</f>
        <v>0.16</v>
      </c>
      <c r="D1194" s="21" t="s">
        <v>23661</v>
      </c>
      <c r="E1194" s="21" t="s">
        <v>23638</v>
      </c>
      <c r="F1194" s="21" t="s">
        <v>23558</v>
      </c>
      <c r="G1194" s="21" t="s">
        <v>14007</v>
      </c>
      <c r="H1194" s="21" t="s">
        <v>734</v>
      </c>
    </row>
    <row r="1195" customFormat="false" ht="15" hidden="false" customHeight="false" outlineLevel="0" collapsed="false">
      <c r="B1195" s="19" t="s">
        <v>23676</v>
      </c>
      <c r="C1195" s="20" t="n">
        <f aca="false">ROUND(1.11/FX,2)</f>
        <v>0.15</v>
      </c>
      <c r="D1195" s="21" t="s">
        <v>23661</v>
      </c>
      <c r="E1195" s="21" t="s">
        <v>23638</v>
      </c>
      <c r="F1195" s="21" t="s">
        <v>23560</v>
      </c>
      <c r="G1195" s="21" t="s">
        <v>13743</v>
      </c>
      <c r="H1195" s="21" t="s">
        <v>734</v>
      </c>
    </row>
    <row r="1196" customFormat="false" ht="15" hidden="false" customHeight="false" outlineLevel="0" collapsed="false">
      <c r="B1196" s="19" t="s">
        <v>23677</v>
      </c>
      <c r="C1196" s="20" t="n">
        <f aca="false">ROUND(1.24/FX,2)</f>
        <v>0.17</v>
      </c>
      <c r="D1196" s="21" t="s">
        <v>23661</v>
      </c>
      <c r="E1196" s="21" t="s">
        <v>23638</v>
      </c>
      <c r="F1196" s="21" t="s">
        <v>22490</v>
      </c>
      <c r="G1196" s="21" t="s">
        <v>13743</v>
      </c>
      <c r="H1196" s="21" t="s">
        <v>734</v>
      </c>
    </row>
    <row r="1197" customFormat="false" ht="15" hidden="false" customHeight="false" outlineLevel="0" collapsed="false">
      <c r="B1197" s="19" t="s">
        <v>23678</v>
      </c>
      <c r="C1197" s="20" t="n">
        <f aca="false">ROUND(1.25/FX,2)</f>
        <v>0.17</v>
      </c>
      <c r="D1197" s="21" t="s">
        <v>23661</v>
      </c>
      <c r="E1197" s="21" t="s">
        <v>23638</v>
      </c>
      <c r="F1197" s="21" t="s">
        <v>23599</v>
      </c>
      <c r="G1197" s="21" t="s">
        <v>14013</v>
      </c>
      <c r="H1197" s="21" t="s">
        <v>734</v>
      </c>
    </row>
    <row r="1198" customFormat="false" ht="15" hidden="false" customHeight="false" outlineLevel="0" collapsed="false">
      <c r="B1198" s="19" t="s">
        <v>23679</v>
      </c>
      <c r="C1198" s="20" t="n">
        <f aca="false">ROUND(1.01/FX,2)</f>
        <v>0.14</v>
      </c>
      <c r="D1198" s="21" t="s">
        <v>23661</v>
      </c>
      <c r="E1198" s="21" t="s">
        <v>23638</v>
      </c>
      <c r="F1198" s="21" t="s">
        <v>23601</v>
      </c>
      <c r="G1198" s="21" t="s">
        <v>13751</v>
      </c>
      <c r="H1198" s="21" t="s">
        <v>734</v>
      </c>
    </row>
    <row r="1201" customFormat="false" ht="61.5" hidden="false" customHeight="true" outlineLevel="0" collapsed="false">
      <c r="A1201" s="9"/>
      <c r="B1201" s="10" t="s">
        <v>23680</v>
      </c>
      <c r="C1201" s="10"/>
      <c r="D1201" s="10"/>
      <c r="E1201" s="10"/>
    </row>
    <row r="1202" customFormat="false" ht="15" hidden="false" customHeight="false" outlineLevel="0" collapsed="false">
      <c r="A1202" s="12" t="s">
        <v>700</v>
      </c>
      <c r="B1202" s="13" t="s">
        <v>701</v>
      </c>
      <c r="C1202" s="13" t="s">
        <v>702</v>
      </c>
      <c r="D1202" s="13" t="s">
        <v>5610</v>
      </c>
      <c r="E1202" s="13" t="s">
        <v>723</v>
      </c>
    </row>
    <row r="1203" customFormat="false" ht="30" hidden="false" customHeight="true" outlineLevel="0" collapsed="false">
      <c r="A1203" s="14" t="s">
        <v>706</v>
      </c>
      <c r="B1203" s="15" t="str">
        <f aca="false">IF(COUNTIFS($D$1206:$D$1211,IF(D1203="","*",D1203),$E$1206:$E$1211,IF(E1203="","*",E1203))=1,INDEX($B:$B,SUMPRODUCT(((D1203="")+($D$1206:$D$1211=D1203)&gt;0)*((E1203="")+($E$1206:$E$1211=E1203)&gt;0)*ROW($B$1206:$B$1211))),IF(COUNTIFS($D$1206:$D$1211,IF(D1203="","*",D1203),$E$1206:$E$1211,IF(E1203="","*",E1203))=0,"Not available",COUNTIFS($D$1206:$D$1211,IF(D1203="","*",D1203),$E$1206:$E$1211,IF(E1203="","*",E1203))&amp;" match, keep choosing"))</f>
        <v>AL-060-2020-CK1.5HY</v>
      </c>
      <c r="C1203" s="16" t="n">
        <f aca="false">IF(COUNTIFS($D$1206:$D$1211,IF(D1203="","*",D1203),$E$1206:$E$1211,IF(E1203="","*",E1203))=1,INDEX($C:$C,SUMPRODUCT(((D1203="")+($D$1206:$D$1211=D1203)&gt;0)*((E1203="")+($E$1206:$E$1211=E1203)&gt;0)*ROW($B$1206:$B$1211))),"")</f>
        <v>0.87</v>
      </c>
      <c r="D1203" s="17" t="s">
        <v>16909</v>
      </c>
      <c r="E1203" s="17" t="s">
        <v>23681</v>
      </c>
    </row>
    <row r="1205" customFormat="false" ht="15" hidden="false" customHeight="false" outlineLevel="0" collapsed="false">
      <c r="B1205" s="18" t="s">
        <v>701</v>
      </c>
      <c r="C1205" s="18" t="s">
        <v>702</v>
      </c>
      <c r="D1205" s="18" t="s">
        <v>5610</v>
      </c>
      <c r="E1205" s="18" t="s">
        <v>723</v>
      </c>
    </row>
    <row r="1206" customFormat="false" ht="15" hidden="false" customHeight="false" outlineLevel="0" collapsed="false">
      <c r="B1206" s="19" t="s">
        <v>23682</v>
      </c>
      <c r="C1206" s="20" t="n">
        <f aca="false">ROUND(6.24/FX,2)</f>
        <v>0.87</v>
      </c>
      <c r="D1206" s="21" t="s">
        <v>16909</v>
      </c>
      <c r="E1206" s="21" t="s">
        <v>23681</v>
      </c>
    </row>
    <row r="1207" customFormat="false" ht="15" hidden="false" customHeight="false" outlineLevel="0" collapsed="false">
      <c r="B1207" s="19" t="s">
        <v>23683</v>
      </c>
      <c r="C1207" s="20" t="n">
        <f aca="false">ROUND(6.24/FX,2)</f>
        <v>0.87</v>
      </c>
      <c r="D1207" s="21" t="s">
        <v>16909</v>
      </c>
      <c r="E1207" s="21" t="s">
        <v>23684</v>
      </c>
    </row>
    <row r="1208" customFormat="false" ht="28.35" hidden="false" customHeight="false" outlineLevel="0" collapsed="false">
      <c r="B1208" s="19" t="s">
        <v>23685</v>
      </c>
      <c r="C1208" s="20" t="n">
        <f aca="false">ROUND(7.15/FX,2)</f>
        <v>0.99</v>
      </c>
      <c r="D1208" s="21" t="s">
        <v>22839</v>
      </c>
      <c r="E1208" s="21" t="s">
        <v>23686</v>
      </c>
    </row>
    <row r="1209" customFormat="false" ht="15" hidden="false" customHeight="false" outlineLevel="0" collapsed="false">
      <c r="B1209" s="19" t="s">
        <v>23687</v>
      </c>
      <c r="C1209" s="20" t="n">
        <f aca="false">ROUND(7.15/FX,2)</f>
        <v>0.99</v>
      </c>
      <c r="D1209" s="21" t="s">
        <v>22839</v>
      </c>
      <c r="E1209" s="21" t="s">
        <v>23688</v>
      </c>
    </row>
    <row r="1210" customFormat="false" ht="15" hidden="false" customHeight="false" outlineLevel="0" collapsed="false">
      <c r="B1210" s="19" t="s">
        <v>23689</v>
      </c>
      <c r="C1210" s="20" t="n">
        <f aca="false">ROUND(7.09/FX,2)</f>
        <v>0.98</v>
      </c>
      <c r="D1210" s="21" t="s">
        <v>16919</v>
      </c>
      <c r="E1210" s="21" t="s">
        <v>23690</v>
      </c>
    </row>
    <row r="1211" customFormat="false" ht="15" hidden="false" customHeight="false" outlineLevel="0" collapsed="false">
      <c r="B1211" s="19" t="s">
        <v>23691</v>
      </c>
      <c r="C1211" s="20" t="n">
        <f aca="false">ROUND(9.1/FX,2)</f>
        <v>1.26</v>
      </c>
      <c r="D1211" s="21" t="s">
        <v>22850</v>
      </c>
      <c r="E1211" s="21" t="s">
        <v>23692</v>
      </c>
    </row>
    <row r="1214" customFormat="false" ht="61.5" hidden="false" customHeight="true" outlineLevel="0" collapsed="false">
      <c r="A1214" s="9"/>
      <c r="B1214" s="10" t="s">
        <v>23693</v>
      </c>
      <c r="C1214" s="10"/>
      <c r="D1214" s="10"/>
      <c r="E1214" s="10"/>
    </row>
    <row r="1215" customFormat="false" ht="15" hidden="false" customHeight="false" outlineLevel="0" collapsed="false">
      <c r="A1215" s="12" t="s">
        <v>700</v>
      </c>
      <c r="B1215" s="13" t="s">
        <v>701</v>
      </c>
      <c r="C1215" s="13" t="s">
        <v>702</v>
      </c>
      <c r="D1215" s="13" t="s">
        <v>722</v>
      </c>
      <c r="E1215" s="13" t="s">
        <v>723</v>
      </c>
    </row>
    <row r="1216" customFormat="false" ht="30" hidden="false" customHeight="true" outlineLevel="0" collapsed="false">
      <c r="A1216" s="14" t="s">
        <v>706</v>
      </c>
      <c r="B1216" s="15" t="str">
        <f aca="false">IF(COUNTIFS($D$1219:$D$1264,IF(D1216="","*",D1216),$E$1219:$E$1264,IF(E1216="","*",E1216))=1,INDEX($B:$B,SUMPRODUCT(((D1216="")+($D$1219:$D$1264=D1216)&gt;0)*((E1216="")+($E$1219:$E$1264=E1216)&gt;0)*ROW($B$1219:$B$1264))),IF(COUNTIFS($D$1219:$D$1264,IF(D1216="","*",D1216),$E$1219:$E$1264,IF(E1216="","*",E1216))=0,"Not available",COUNTIFS($D$1219:$D$1264,IF(D1216="","*",D1216),$E$1219:$E$1264,IF(E1216="","*",E1216))&amp;" match, keep choosing"))</f>
        <v>AL-031-BK-EU-2020-HD5</v>
      </c>
      <c r="C1216" s="16" t="n">
        <f aca="false">IF(COUNTIFS($D$1219:$D$1264,IF(D1216="","*",D1216),$E$1219:$E$1264,IF(E1216="","*",E1216))=1,INDEX($C:$C,SUMPRODUCT(((D1216="")+($D$1219:$D$1264=D1216)&gt;0)*((E1216="")+($E$1219:$E$1264=E1216)&gt;0)*ROW($B$1219:$B$1264))),"")</f>
        <v>0.18</v>
      </c>
      <c r="D1216" s="17" t="s">
        <v>724</v>
      </c>
      <c r="E1216" s="17" t="s">
        <v>23694</v>
      </c>
    </row>
    <row r="1218" customFormat="false" ht="15" hidden="false" customHeight="false" outlineLevel="0" collapsed="false">
      <c r="B1218" s="18" t="s">
        <v>701</v>
      </c>
      <c r="C1218" s="18" t="s">
        <v>702</v>
      </c>
      <c r="D1218" s="18" t="s">
        <v>722</v>
      </c>
      <c r="E1218" s="18" t="s">
        <v>723</v>
      </c>
    </row>
    <row r="1219" customFormat="false" ht="15" hidden="false" customHeight="false" outlineLevel="0" collapsed="false">
      <c r="B1219" s="19" t="s">
        <v>23695</v>
      </c>
      <c r="C1219" s="20" t="n">
        <f aca="false">ROUND(1.3/FX,2)</f>
        <v>0.18</v>
      </c>
      <c r="D1219" s="21" t="s">
        <v>724</v>
      </c>
      <c r="E1219" s="21" t="s">
        <v>23694</v>
      </c>
    </row>
    <row r="1220" customFormat="false" ht="15" hidden="false" customHeight="false" outlineLevel="0" collapsed="false">
      <c r="B1220" s="19" t="s">
        <v>23696</v>
      </c>
      <c r="C1220" s="20" t="n">
        <f aca="false">ROUND(1.69/FX,2)</f>
        <v>0.23</v>
      </c>
      <c r="D1220" s="21" t="s">
        <v>724</v>
      </c>
      <c r="E1220" s="21" t="s">
        <v>23697</v>
      </c>
    </row>
    <row r="1221" customFormat="false" ht="15" hidden="false" customHeight="false" outlineLevel="0" collapsed="false">
      <c r="B1221" s="19" t="s">
        <v>23698</v>
      </c>
      <c r="C1221" s="20" t="n">
        <f aca="false">ROUND(1.89/FX,2)</f>
        <v>0.26</v>
      </c>
      <c r="D1221" s="21" t="s">
        <v>724</v>
      </c>
      <c r="E1221" s="21" t="s">
        <v>23699</v>
      </c>
    </row>
    <row r="1222" customFormat="false" ht="15" hidden="false" customHeight="false" outlineLevel="0" collapsed="false">
      <c r="B1222" s="19" t="s">
        <v>23700</v>
      </c>
      <c r="C1222" s="20" t="n">
        <f aca="false">ROUND(4.42/FX,2)</f>
        <v>0.61</v>
      </c>
      <c r="D1222" s="21" t="s">
        <v>724</v>
      </c>
      <c r="E1222" s="21" t="s">
        <v>23701</v>
      </c>
    </row>
    <row r="1223" customFormat="false" ht="15" hidden="false" customHeight="false" outlineLevel="0" collapsed="false">
      <c r="B1223" s="19" t="s">
        <v>23702</v>
      </c>
      <c r="C1223" s="20" t="n">
        <f aca="false">ROUND(6.63/FX,2)</f>
        <v>0.92</v>
      </c>
      <c r="D1223" s="21" t="s">
        <v>724</v>
      </c>
      <c r="E1223" s="21" t="s">
        <v>23703</v>
      </c>
    </row>
    <row r="1224" customFormat="false" ht="15" hidden="false" customHeight="false" outlineLevel="0" collapsed="false">
      <c r="B1224" s="19" t="s">
        <v>23704</v>
      </c>
      <c r="C1224" s="20" t="n">
        <f aca="false">ROUND(0.98/FX,2)</f>
        <v>0.14</v>
      </c>
      <c r="D1224" s="21" t="s">
        <v>724</v>
      </c>
      <c r="E1224" s="21" t="s">
        <v>23705</v>
      </c>
    </row>
    <row r="1225" customFormat="false" ht="15" hidden="false" customHeight="false" outlineLevel="0" collapsed="false">
      <c r="B1225" s="19" t="s">
        <v>23706</v>
      </c>
      <c r="C1225" s="20" t="n">
        <f aca="false">ROUND(3.12/FX,2)</f>
        <v>0.43</v>
      </c>
      <c r="D1225" s="21" t="s">
        <v>724</v>
      </c>
      <c r="E1225" s="21" t="s">
        <v>23707</v>
      </c>
    </row>
    <row r="1226" customFormat="false" ht="15" hidden="false" customHeight="false" outlineLevel="0" collapsed="false">
      <c r="B1226" s="19" t="s">
        <v>23708</v>
      </c>
      <c r="C1226" s="20" t="n">
        <f aca="false">ROUND(3.64/FX,2)</f>
        <v>0.51</v>
      </c>
      <c r="D1226" s="21" t="s">
        <v>724</v>
      </c>
      <c r="E1226" s="21" t="s">
        <v>23260</v>
      </c>
    </row>
    <row r="1227" customFormat="false" ht="15" hidden="false" customHeight="false" outlineLevel="0" collapsed="false">
      <c r="B1227" s="19" t="s">
        <v>23709</v>
      </c>
      <c r="C1227" s="20" t="n">
        <f aca="false">ROUND(2.99/FX,2)</f>
        <v>0.42</v>
      </c>
      <c r="D1227" s="21" t="s">
        <v>724</v>
      </c>
      <c r="E1227" s="21" t="s">
        <v>23710</v>
      </c>
    </row>
    <row r="1228" customFormat="false" ht="15" hidden="false" customHeight="false" outlineLevel="0" collapsed="false">
      <c r="B1228" s="19" t="s">
        <v>23711</v>
      </c>
      <c r="C1228" s="20" t="n">
        <f aca="false">ROUND(9.36/FX,2)</f>
        <v>1.3</v>
      </c>
      <c r="D1228" s="21" t="s">
        <v>724</v>
      </c>
      <c r="E1228" s="21" t="s">
        <v>23712</v>
      </c>
    </row>
    <row r="1229" customFormat="false" ht="15" hidden="false" customHeight="false" outlineLevel="0" collapsed="false">
      <c r="B1229" s="19" t="s">
        <v>23713</v>
      </c>
      <c r="C1229" s="20" t="n">
        <f aca="false">ROUND(5.72/FX,2)</f>
        <v>0.79</v>
      </c>
      <c r="D1229" s="21" t="s">
        <v>724</v>
      </c>
      <c r="E1229" s="21" t="s">
        <v>23714</v>
      </c>
    </row>
    <row r="1230" customFormat="false" ht="15" hidden="false" customHeight="false" outlineLevel="0" collapsed="false">
      <c r="B1230" s="19" t="s">
        <v>23715</v>
      </c>
      <c r="C1230" s="20" t="n">
        <f aca="false">ROUND(5.07/FX,2)</f>
        <v>0.7</v>
      </c>
      <c r="D1230" s="21" t="s">
        <v>724</v>
      </c>
      <c r="E1230" s="21" t="s">
        <v>23716</v>
      </c>
    </row>
    <row r="1231" customFormat="false" ht="15" hidden="false" customHeight="false" outlineLevel="0" collapsed="false">
      <c r="B1231" s="19" t="s">
        <v>23717</v>
      </c>
      <c r="C1231" s="20" t="n">
        <f aca="false">ROUND(1.95/FX,2)</f>
        <v>0.27</v>
      </c>
      <c r="D1231" s="21" t="s">
        <v>724</v>
      </c>
      <c r="E1231" s="21" t="s">
        <v>23718</v>
      </c>
    </row>
    <row r="1232" customFormat="false" ht="15" hidden="false" customHeight="false" outlineLevel="0" collapsed="false">
      <c r="B1232" s="19" t="s">
        <v>23719</v>
      </c>
      <c r="C1232" s="20" t="n">
        <f aca="false">ROUND(2.34/FX,2)</f>
        <v>0.33</v>
      </c>
      <c r="D1232" s="21" t="s">
        <v>724</v>
      </c>
      <c r="E1232" s="21" t="s">
        <v>23720</v>
      </c>
    </row>
    <row r="1233" customFormat="false" ht="15" hidden="false" customHeight="false" outlineLevel="0" collapsed="false">
      <c r="B1233" s="19" t="s">
        <v>23721</v>
      </c>
      <c r="C1233" s="20" t="n">
        <f aca="false">ROUND(3.38/FX,2)</f>
        <v>0.47</v>
      </c>
      <c r="D1233" s="21" t="s">
        <v>724</v>
      </c>
      <c r="E1233" s="21" t="s">
        <v>23722</v>
      </c>
    </row>
    <row r="1234" customFormat="false" ht="15" hidden="false" customHeight="false" outlineLevel="0" collapsed="false">
      <c r="B1234" s="19" t="s">
        <v>23723</v>
      </c>
      <c r="C1234" s="20" t="n">
        <f aca="false">ROUND(6.5/FX,2)</f>
        <v>0.9</v>
      </c>
      <c r="D1234" s="21" t="s">
        <v>724</v>
      </c>
      <c r="E1234" s="21" t="s">
        <v>23265</v>
      </c>
    </row>
    <row r="1235" customFormat="false" ht="15" hidden="false" customHeight="false" outlineLevel="0" collapsed="false">
      <c r="B1235" s="19" t="s">
        <v>23724</v>
      </c>
      <c r="C1235" s="20" t="n">
        <f aca="false">ROUND(1.5/FX,2)</f>
        <v>0.21</v>
      </c>
      <c r="D1235" s="21" t="s">
        <v>724</v>
      </c>
      <c r="E1235" s="21" t="s">
        <v>23725</v>
      </c>
    </row>
    <row r="1236" customFormat="false" ht="15" hidden="false" customHeight="false" outlineLevel="0" collapsed="false">
      <c r="B1236" s="19" t="s">
        <v>23726</v>
      </c>
      <c r="C1236" s="20" t="n">
        <f aca="false">ROUND(6.89/FX,2)</f>
        <v>0.96</v>
      </c>
      <c r="D1236" s="21" t="s">
        <v>724</v>
      </c>
      <c r="E1236" s="21" t="s">
        <v>23727</v>
      </c>
    </row>
    <row r="1237" customFormat="false" ht="15" hidden="false" customHeight="false" outlineLevel="0" collapsed="false">
      <c r="B1237" s="19" t="s">
        <v>23728</v>
      </c>
      <c r="C1237" s="20" t="n">
        <f aca="false">ROUND(9.62/FX,2)</f>
        <v>1.34</v>
      </c>
      <c r="D1237" s="21" t="s">
        <v>724</v>
      </c>
      <c r="E1237" s="21" t="s">
        <v>23271</v>
      </c>
    </row>
    <row r="1238" customFormat="false" ht="28.35" hidden="false" customHeight="false" outlineLevel="0" collapsed="false">
      <c r="B1238" s="19" t="s">
        <v>23729</v>
      </c>
      <c r="C1238" s="20" t="n">
        <f aca="false">ROUND(5.98/FX,2)</f>
        <v>0.83</v>
      </c>
      <c r="D1238" s="21" t="s">
        <v>724</v>
      </c>
      <c r="E1238" s="21" t="s">
        <v>23730</v>
      </c>
    </row>
    <row r="1239" customFormat="false" ht="15" hidden="false" customHeight="false" outlineLevel="0" collapsed="false">
      <c r="B1239" s="19" t="s">
        <v>23731</v>
      </c>
      <c r="C1239" s="20" t="n">
        <f aca="false">ROUND(1.3/FX,2)</f>
        <v>0.18</v>
      </c>
      <c r="D1239" s="21" t="s">
        <v>6549</v>
      </c>
      <c r="E1239" s="21" t="s">
        <v>23694</v>
      </c>
    </row>
    <row r="1240" customFormat="false" ht="15" hidden="false" customHeight="false" outlineLevel="0" collapsed="false">
      <c r="B1240" s="19" t="s">
        <v>23732</v>
      </c>
      <c r="C1240" s="20" t="n">
        <f aca="false">ROUND(1.89/FX,2)</f>
        <v>0.26</v>
      </c>
      <c r="D1240" s="21" t="s">
        <v>6549</v>
      </c>
      <c r="E1240" s="21" t="s">
        <v>23699</v>
      </c>
    </row>
    <row r="1241" customFormat="false" ht="15" hidden="false" customHeight="false" outlineLevel="0" collapsed="false">
      <c r="B1241" s="19" t="s">
        <v>23733</v>
      </c>
      <c r="C1241" s="20" t="n">
        <f aca="false">ROUND(0.82/FX,2)</f>
        <v>0.11</v>
      </c>
      <c r="D1241" s="21" t="s">
        <v>6549</v>
      </c>
      <c r="E1241" s="21" t="s">
        <v>23705</v>
      </c>
    </row>
    <row r="1242" customFormat="false" ht="15" hidden="false" customHeight="false" outlineLevel="0" collapsed="false">
      <c r="B1242" s="19" t="s">
        <v>23734</v>
      </c>
      <c r="C1242" s="20" t="n">
        <f aca="false">ROUND(1.65/FX,2)</f>
        <v>0.23</v>
      </c>
      <c r="D1242" s="21" t="s">
        <v>6549</v>
      </c>
      <c r="E1242" s="21" t="s">
        <v>23735</v>
      </c>
    </row>
    <row r="1243" customFormat="false" ht="15" hidden="false" customHeight="false" outlineLevel="0" collapsed="false">
      <c r="B1243" s="19" t="s">
        <v>23736</v>
      </c>
      <c r="C1243" s="20" t="n">
        <f aca="false">ROUND(1.04/FX,2)</f>
        <v>0.14</v>
      </c>
      <c r="D1243" s="21" t="s">
        <v>6549</v>
      </c>
      <c r="E1243" s="21" t="s">
        <v>23716</v>
      </c>
    </row>
    <row r="1244" customFormat="false" ht="15" hidden="false" customHeight="false" outlineLevel="0" collapsed="false">
      <c r="B1244" s="19" t="s">
        <v>23737</v>
      </c>
      <c r="C1244" s="20" t="n">
        <f aca="false">ROUND(2.34/FX,2)</f>
        <v>0.33</v>
      </c>
      <c r="D1244" s="21" t="s">
        <v>6549</v>
      </c>
      <c r="E1244" s="21" t="s">
        <v>23720</v>
      </c>
    </row>
    <row r="1245" customFormat="false" ht="15" hidden="false" customHeight="false" outlineLevel="0" collapsed="false">
      <c r="B1245" s="19" t="s">
        <v>23738</v>
      </c>
      <c r="C1245" s="20" t="n">
        <f aca="false">ROUND(6.37/FX,2)</f>
        <v>0.88</v>
      </c>
      <c r="D1245" s="21" t="s">
        <v>6549</v>
      </c>
      <c r="E1245" s="21" t="s">
        <v>23727</v>
      </c>
    </row>
    <row r="1246" customFormat="false" ht="15" hidden="false" customHeight="false" outlineLevel="0" collapsed="false">
      <c r="B1246" s="19" t="s">
        <v>23739</v>
      </c>
      <c r="C1246" s="20" t="n">
        <f aca="false">ROUND(9.1/FX,2)</f>
        <v>1.26</v>
      </c>
      <c r="D1246" s="21" t="s">
        <v>6549</v>
      </c>
      <c r="E1246" s="21" t="s">
        <v>23740</v>
      </c>
    </row>
    <row r="1247" customFormat="false" ht="15" hidden="false" customHeight="false" outlineLevel="0" collapsed="false">
      <c r="B1247" s="19" t="s">
        <v>23741</v>
      </c>
      <c r="C1247" s="20" t="n">
        <f aca="false">ROUND(1.69/FX,2)</f>
        <v>0.23</v>
      </c>
      <c r="D1247" s="21" t="s">
        <v>6549</v>
      </c>
      <c r="E1247" s="21" t="s">
        <v>23742</v>
      </c>
    </row>
    <row r="1248" customFormat="false" ht="15" hidden="false" customHeight="false" outlineLevel="0" collapsed="false">
      <c r="B1248" s="19" t="s">
        <v>23743</v>
      </c>
      <c r="C1248" s="20" t="n">
        <f aca="false">ROUND(3.39/FX,2)</f>
        <v>0.47</v>
      </c>
      <c r="D1248" s="21" t="s">
        <v>751</v>
      </c>
      <c r="E1248" s="21" t="s">
        <v>23699</v>
      </c>
    </row>
    <row r="1249" customFormat="false" ht="15" hidden="false" customHeight="false" outlineLevel="0" collapsed="false">
      <c r="B1249" s="19" t="s">
        <v>23744</v>
      </c>
      <c r="C1249" s="20" t="n">
        <f aca="false">ROUND(3.9/FX,2)</f>
        <v>0.54</v>
      </c>
      <c r="D1249" s="21" t="s">
        <v>751</v>
      </c>
      <c r="E1249" s="21" t="s">
        <v>23701</v>
      </c>
    </row>
    <row r="1250" customFormat="false" ht="15" hidden="false" customHeight="false" outlineLevel="0" collapsed="false">
      <c r="B1250" s="19" t="s">
        <v>23745</v>
      </c>
      <c r="C1250" s="20" t="n">
        <f aca="false">ROUND(6.11/FX,2)</f>
        <v>0.85</v>
      </c>
      <c r="D1250" s="21" t="s">
        <v>751</v>
      </c>
      <c r="E1250" s="21" t="s">
        <v>23703</v>
      </c>
    </row>
    <row r="1251" customFormat="false" ht="15" hidden="false" customHeight="false" outlineLevel="0" collapsed="false">
      <c r="B1251" s="19" t="s">
        <v>23746</v>
      </c>
      <c r="C1251" s="20" t="n">
        <f aca="false">ROUND(2.6/FX,2)</f>
        <v>0.36</v>
      </c>
      <c r="D1251" s="21" t="s">
        <v>751</v>
      </c>
      <c r="E1251" s="21" t="s">
        <v>23707</v>
      </c>
    </row>
    <row r="1252" customFormat="false" ht="15" hidden="false" customHeight="false" outlineLevel="0" collapsed="false">
      <c r="B1252" s="19" t="s">
        <v>23747</v>
      </c>
      <c r="C1252" s="20" t="n">
        <f aca="false">ROUND(3.12/FX,2)</f>
        <v>0.43</v>
      </c>
      <c r="D1252" s="21" t="s">
        <v>751</v>
      </c>
      <c r="E1252" s="21" t="s">
        <v>23260</v>
      </c>
    </row>
    <row r="1253" customFormat="false" ht="15" hidden="false" customHeight="false" outlineLevel="0" collapsed="false">
      <c r="B1253" s="19" t="s">
        <v>23748</v>
      </c>
      <c r="C1253" s="20" t="n">
        <f aca="false">ROUND(2.99/FX,2)</f>
        <v>0.42</v>
      </c>
      <c r="D1253" s="21" t="s">
        <v>751</v>
      </c>
      <c r="E1253" s="21" t="s">
        <v>23710</v>
      </c>
    </row>
    <row r="1254" customFormat="false" ht="15" hidden="false" customHeight="false" outlineLevel="0" collapsed="false">
      <c r="B1254" s="19" t="s">
        <v>23749</v>
      </c>
      <c r="C1254" s="20" t="n">
        <f aca="false">ROUND(4.94/FX,2)</f>
        <v>0.69</v>
      </c>
      <c r="D1254" s="21" t="s">
        <v>751</v>
      </c>
      <c r="E1254" s="21" t="s">
        <v>23712</v>
      </c>
    </row>
    <row r="1255" customFormat="false" ht="15" hidden="false" customHeight="false" outlineLevel="0" collapsed="false">
      <c r="B1255" s="19" t="s">
        <v>23750</v>
      </c>
      <c r="C1255" s="20" t="n">
        <f aca="false">ROUND(8.84/FX,2)</f>
        <v>1.23</v>
      </c>
      <c r="D1255" s="21" t="s">
        <v>751</v>
      </c>
      <c r="E1255" s="21" t="s">
        <v>23714</v>
      </c>
    </row>
    <row r="1256" customFormat="false" ht="15" hidden="false" customHeight="false" outlineLevel="0" collapsed="false">
      <c r="B1256" s="19" t="s">
        <v>23751</v>
      </c>
      <c r="C1256" s="20" t="n">
        <f aca="false">ROUND(1.04/FX,2)</f>
        <v>0.14</v>
      </c>
      <c r="D1256" s="21" t="s">
        <v>751</v>
      </c>
      <c r="E1256" s="21" t="s">
        <v>23716</v>
      </c>
    </row>
    <row r="1257" customFormat="false" ht="15" hidden="false" customHeight="false" outlineLevel="0" collapsed="false">
      <c r="B1257" s="19" t="s">
        <v>23752</v>
      </c>
      <c r="C1257" s="20" t="n">
        <f aca="false">ROUND(1.95/FX,2)</f>
        <v>0.27</v>
      </c>
      <c r="D1257" s="21" t="s">
        <v>751</v>
      </c>
      <c r="E1257" s="21" t="s">
        <v>23718</v>
      </c>
    </row>
    <row r="1258" customFormat="false" ht="15" hidden="false" customHeight="false" outlineLevel="0" collapsed="false">
      <c r="B1258" s="19" t="s">
        <v>23753</v>
      </c>
      <c r="C1258" s="20" t="n">
        <f aca="false">ROUND(2.34/FX,2)</f>
        <v>0.33</v>
      </c>
      <c r="D1258" s="21" t="s">
        <v>751</v>
      </c>
      <c r="E1258" s="21" t="s">
        <v>23720</v>
      </c>
    </row>
    <row r="1259" customFormat="false" ht="15" hidden="false" customHeight="false" outlineLevel="0" collapsed="false">
      <c r="B1259" s="19" t="s">
        <v>23754</v>
      </c>
      <c r="C1259" s="20" t="n">
        <f aca="false">ROUND(3.38/FX,2)</f>
        <v>0.47</v>
      </c>
      <c r="D1259" s="21" t="s">
        <v>751</v>
      </c>
      <c r="E1259" s="21" t="s">
        <v>23722</v>
      </c>
    </row>
    <row r="1260" customFormat="false" ht="15" hidden="false" customHeight="false" outlineLevel="0" collapsed="false">
      <c r="B1260" s="19" t="s">
        <v>23755</v>
      </c>
      <c r="C1260" s="20" t="n">
        <f aca="false">ROUND(5.2/FX,2)</f>
        <v>0.72</v>
      </c>
      <c r="D1260" s="21" t="s">
        <v>751</v>
      </c>
      <c r="E1260" s="21" t="s">
        <v>23265</v>
      </c>
    </row>
    <row r="1261" customFormat="false" ht="15" hidden="false" customHeight="false" outlineLevel="0" collapsed="false">
      <c r="B1261" s="19" t="s">
        <v>23756</v>
      </c>
      <c r="C1261" s="20" t="n">
        <f aca="false">ROUND(5.98/FX,2)</f>
        <v>0.83</v>
      </c>
      <c r="D1261" s="21" t="s">
        <v>751</v>
      </c>
      <c r="E1261" s="21" t="s">
        <v>23725</v>
      </c>
    </row>
    <row r="1262" customFormat="false" ht="15" hidden="false" customHeight="false" outlineLevel="0" collapsed="false">
      <c r="B1262" s="19" t="s">
        <v>23757</v>
      </c>
      <c r="C1262" s="20" t="n">
        <f aca="false">ROUND(6.37/FX,2)</f>
        <v>0.88</v>
      </c>
      <c r="D1262" s="21" t="s">
        <v>751</v>
      </c>
      <c r="E1262" s="21" t="s">
        <v>23727</v>
      </c>
    </row>
    <row r="1263" customFormat="false" ht="15" hidden="false" customHeight="false" outlineLevel="0" collapsed="false">
      <c r="B1263" s="19" t="s">
        <v>23758</v>
      </c>
      <c r="C1263" s="20" t="n">
        <f aca="false">ROUND(9.1/FX,2)</f>
        <v>1.26</v>
      </c>
      <c r="D1263" s="21" t="s">
        <v>751</v>
      </c>
      <c r="E1263" s="21" t="s">
        <v>23271</v>
      </c>
    </row>
    <row r="1264" customFormat="false" ht="28.35" hidden="false" customHeight="false" outlineLevel="0" collapsed="false">
      <c r="B1264" s="19" t="s">
        <v>23759</v>
      </c>
      <c r="C1264" s="20" t="n">
        <f aca="false">ROUND(5.98/FX,2)</f>
        <v>0.83</v>
      </c>
      <c r="D1264" s="21" t="s">
        <v>751</v>
      </c>
      <c r="E1264" s="21" t="s">
        <v>23730</v>
      </c>
    </row>
    <row r="1267" customFormat="false" ht="61.5" hidden="false" customHeight="true" outlineLevel="0" collapsed="false">
      <c r="A1267" s="9"/>
      <c r="B1267" s="10" t="s">
        <v>23760</v>
      </c>
      <c r="C1267" s="10"/>
      <c r="D1267" s="10"/>
      <c r="E1267" s="10"/>
      <c r="F1267" s="10"/>
    </row>
    <row r="1268" customFormat="false" ht="15" hidden="false" customHeight="false" outlineLevel="0" collapsed="false">
      <c r="A1268" s="12" t="s">
        <v>700</v>
      </c>
      <c r="B1268" s="13" t="s">
        <v>701</v>
      </c>
      <c r="C1268" s="13" t="s">
        <v>702</v>
      </c>
      <c r="D1268" s="13" t="s">
        <v>722</v>
      </c>
      <c r="E1268" s="13" t="s">
        <v>705</v>
      </c>
      <c r="F1268" s="13" t="s">
        <v>723</v>
      </c>
    </row>
    <row r="1269" customFormat="false" ht="30" hidden="false" customHeight="true" outlineLevel="0" collapsed="false">
      <c r="A1269" s="14" t="s">
        <v>706</v>
      </c>
      <c r="B1269" s="15" t="str">
        <f aca="false">IF(COUNTIFS($D$1272:$D$1293,IF(D1269="","*",D1269),$E$1272:$E$1293,IF(E1269="","*",E1269),$F$1272:$F$1293,IF(F1269="","*",F1269))=1,INDEX($B:$B,SUMPRODUCT(((D1269="")+($D$1272:$D$1293=D1269)&gt;0)*((E1269="")+($E$1272:$E$1293=E1269)&gt;0)*((F1269="")+($F$1272:$F$1293=F1269)&gt;0)*ROW($B$1272:$B$1293))),IF(COUNTIFS($D$1272:$D$1293,IF(D1269="","*",D1269),$E$1272:$E$1293,IF(E1269="","*",E1269),$F$1272:$F$1293,IF(F1269="","*",F1269))=0,"Not available",COUNTIFS($D$1272:$D$1293,IF(D1269="","*",D1269),$E$1272:$E$1293,IF(E1269="","*",E1269),$F$1272:$F$1293,IF(F1269="","*",F1269))&amp;" match, keep choosing"))</f>
        <v>AL-004-BK-2020-X3.2-P7</v>
      </c>
      <c r="C1269" s="16" t="n">
        <f aca="false">IF(COUNTIFS($D$1272:$D$1293,IF(D1269="","*",D1269),$E$1272:$E$1293,IF(E1269="","*",E1269),$F$1272:$F$1293,IF(F1269="","*",F1269))=1,INDEX($C:$C,SUMPRODUCT(((D1269="")+($D$1272:$D$1293=D1269)&gt;0)*((E1269="")+($E$1272:$E$1293=E1269)&gt;0)*((F1269="")+($F$1272:$F$1293=F1269)&gt;0)*ROW($B$1272:$B$1293))),"")</f>
        <v>0.14</v>
      </c>
      <c r="D1269" s="17" t="s">
        <v>724</v>
      </c>
      <c r="E1269" s="17" t="s">
        <v>13994</v>
      </c>
      <c r="F1269" s="17" t="s">
        <v>23761</v>
      </c>
    </row>
    <row r="1271" customFormat="false" ht="15" hidden="false" customHeight="false" outlineLevel="0" collapsed="false">
      <c r="B1271" s="18" t="s">
        <v>701</v>
      </c>
      <c r="C1271" s="18" t="s">
        <v>702</v>
      </c>
      <c r="D1271" s="18" t="s">
        <v>722</v>
      </c>
      <c r="E1271" s="18" t="s">
        <v>705</v>
      </c>
      <c r="F1271" s="18" t="s">
        <v>723</v>
      </c>
    </row>
    <row r="1272" customFormat="false" ht="15" hidden="false" customHeight="false" outlineLevel="0" collapsed="false">
      <c r="B1272" s="19" t="s">
        <v>23762</v>
      </c>
      <c r="C1272" s="20" t="n">
        <f aca="false">ROUND(1/FX,2)</f>
        <v>0.14</v>
      </c>
      <c r="D1272" s="21" t="s">
        <v>724</v>
      </c>
      <c r="E1272" s="21" t="s">
        <v>13994</v>
      </c>
      <c r="F1272" s="21" t="s">
        <v>23761</v>
      </c>
    </row>
    <row r="1273" customFormat="false" ht="15" hidden="false" customHeight="false" outlineLevel="0" collapsed="false">
      <c r="B1273" s="19" t="s">
        <v>23763</v>
      </c>
      <c r="C1273" s="20" t="n">
        <f aca="false">ROUND(0.13/FX,2)</f>
        <v>0.02</v>
      </c>
      <c r="D1273" s="21" t="s">
        <v>724</v>
      </c>
      <c r="E1273" s="21" t="s">
        <v>13739</v>
      </c>
      <c r="F1273" s="21" t="s">
        <v>23764</v>
      </c>
    </row>
    <row r="1274" customFormat="false" ht="15" hidden="false" customHeight="false" outlineLevel="0" collapsed="false">
      <c r="B1274" s="19" t="s">
        <v>23765</v>
      </c>
      <c r="C1274" s="20" t="n">
        <f aca="false">ROUND(2.6/FX,2)</f>
        <v>0.36</v>
      </c>
      <c r="D1274" s="21" t="s">
        <v>724</v>
      </c>
      <c r="E1274" s="21" t="s">
        <v>13997</v>
      </c>
      <c r="F1274" s="21" t="s">
        <v>23766</v>
      </c>
    </row>
    <row r="1275" customFormat="false" ht="15" hidden="false" customHeight="false" outlineLevel="0" collapsed="false">
      <c r="B1275" s="19" t="s">
        <v>23767</v>
      </c>
      <c r="C1275" s="20" t="n">
        <f aca="false">ROUND(1.15/FX,2)</f>
        <v>0.16</v>
      </c>
      <c r="D1275" s="21" t="s">
        <v>724</v>
      </c>
      <c r="E1275" s="21" t="s">
        <v>13997</v>
      </c>
      <c r="F1275" s="21" t="s">
        <v>23768</v>
      </c>
    </row>
    <row r="1276" customFormat="false" ht="15" hidden="false" customHeight="false" outlineLevel="0" collapsed="false">
      <c r="B1276" s="19" t="s">
        <v>23769</v>
      </c>
      <c r="C1276" s="20" t="n">
        <f aca="false">ROUND(1.15/FX,2)</f>
        <v>0.16</v>
      </c>
      <c r="D1276" s="21" t="s">
        <v>724</v>
      </c>
      <c r="E1276" s="21" t="s">
        <v>13997</v>
      </c>
      <c r="F1276" s="21" t="s">
        <v>23770</v>
      </c>
    </row>
    <row r="1277" customFormat="false" ht="15" hidden="false" customHeight="false" outlineLevel="0" collapsed="false">
      <c r="B1277" s="19" t="s">
        <v>23771</v>
      </c>
      <c r="C1277" s="20" t="n">
        <f aca="false">ROUND(0.88/FX,2)</f>
        <v>0.12</v>
      </c>
      <c r="D1277" s="21" t="s">
        <v>724</v>
      </c>
      <c r="E1277" s="21" t="s">
        <v>13743</v>
      </c>
      <c r="F1277" s="21" t="s">
        <v>23772</v>
      </c>
    </row>
    <row r="1278" customFormat="false" ht="15" hidden="false" customHeight="false" outlineLevel="0" collapsed="false">
      <c r="B1278" s="19" t="s">
        <v>23773</v>
      </c>
      <c r="C1278" s="20" t="n">
        <f aca="false">ROUND(1.91/FX,2)</f>
        <v>0.27</v>
      </c>
      <c r="D1278" s="21" t="s">
        <v>724</v>
      </c>
      <c r="E1278" s="21" t="s">
        <v>13974</v>
      </c>
      <c r="F1278" s="21" t="s">
        <v>23774</v>
      </c>
    </row>
    <row r="1279" customFormat="false" ht="15" hidden="false" customHeight="false" outlineLevel="0" collapsed="false">
      <c r="B1279" s="19" t="s">
        <v>23775</v>
      </c>
      <c r="C1279" s="20" t="n">
        <f aca="false">ROUND(2.6/FX,2)</f>
        <v>0.36</v>
      </c>
      <c r="D1279" s="21" t="s">
        <v>724</v>
      </c>
      <c r="E1279" s="21" t="s">
        <v>13997</v>
      </c>
      <c r="F1279" s="21" t="s">
        <v>23776</v>
      </c>
    </row>
    <row r="1280" customFormat="false" ht="15" hidden="false" customHeight="false" outlineLevel="0" collapsed="false">
      <c r="B1280" s="19" t="s">
        <v>23777</v>
      </c>
      <c r="C1280" s="20" t="n">
        <f aca="false">ROUND(0.26/FX,2)</f>
        <v>0.04</v>
      </c>
      <c r="D1280" s="21" t="s">
        <v>724</v>
      </c>
      <c r="E1280" s="21" t="s">
        <v>13732</v>
      </c>
      <c r="F1280" s="21" t="s">
        <v>23778</v>
      </c>
    </row>
    <row r="1281" customFormat="false" ht="15" hidden="false" customHeight="false" outlineLevel="0" collapsed="false">
      <c r="B1281" s="19" t="s">
        <v>23779</v>
      </c>
      <c r="C1281" s="20" t="n">
        <f aca="false">ROUND(1.95/FX,2)</f>
        <v>0.27</v>
      </c>
      <c r="D1281" s="21" t="s">
        <v>724</v>
      </c>
      <c r="E1281" s="21" t="s">
        <v>13997</v>
      </c>
      <c r="F1281" s="21" t="s">
        <v>23780</v>
      </c>
    </row>
    <row r="1282" customFormat="false" ht="15" hidden="false" customHeight="false" outlineLevel="0" collapsed="false">
      <c r="B1282" s="19" t="s">
        <v>23781</v>
      </c>
      <c r="C1282" s="20" t="n">
        <f aca="false">ROUND(1.07/FX,2)</f>
        <v>0.15</v>
      </c>
      <c r="D1282" s="21" t="s">
        <v>724</v>
      </c>
      <c r="E1282" s="21" t="s">
        <v>13997</v>
      </c>
      <c r="F1282" s="21" t="s">
        <v>23782</v>
      </c>
    </row>
    <row r="1283" customFormat="false" ht="15" hidden="false" customHeight="false" outlineLevel="0" collapsed="false">
      <c r="B1283" s="19" t="s">
        <v>23783</v>
      </c>
      <c r="C1283" s="20" t="n">
        <f aca="false">ROUND(1.82/FX,2)</f>
        <v>0.25</v>
      </c>
      <c r="D1283" s="21" t="s">
        <v>724</v>
      </c>
      <c r="E1283" s="21" t="s">
        <v>13743</v>
      </c>
      <c r="F1283" s="21" t="s">
        <v>23784</v>
      </c>
    </row>
    <row r="1284" customFormat="false" ht="15" hidden="false" customHeight="false" outlineLevel="0" collapsed="false">
      <c r="B1284" s="19" t="s">
        <v>23785</v>
      </c>
      <c r="C1284" s="20" t="n">
        <f aca="false">ROUND(1.88/FX,2)</f>
        <v>0.26</v>
      </c>
      <c r="D1284" s="21" t="s">
        <v>724</v>
      </c>
      <c r="E1284" s="21" t="s">
        <v>13997</v>
      </c>
      <c r="F1284" s="21" t="s">
        <v>23786</v>
      </c>
    </row>
    <row r="1285" customFormat="false" ht="15" hidden="false" customHeight="false" outlineLevel="0" collapsed="false">
      <c r="B1285" s="19" t="s">
        <v>23787</v>
      </c>
      <c r="C1285" s="20" t="n">
        <f aca="false">ROUND(1.3/FX,2)</f>
        <v>0.18</v>
      </c>
      <c r="D1285" s="21" t="s">
        <v>724</v>
      </c>
      <c r="E1285" s="21" t="s">
        <v>13739</v>
      </c>
      <c r="F1285" s="21" t="s">
        <v>23788</v>
      </c>
    </row>
    <row r="1286" customFormat="false" ht="28.35" hidden="false" customHeight="false" outlineLevel="0" collapsed="false">
      <c r="B1286" s="19" t="s">
        <v>23789</v>
      </c>
      <c r="C1286" s="20" t="n">
        <f aca="false">ROUND(1.3/FX,2)</f>
        <v>0.18</v>
      </c>
      <c r="D1286" s="21" t="s">
        <v>724</v>
      </c>
      <c r="E1286" s="21" t="s">
        <v>13739</v>
      </c>
      <c r="F1286" s="21" t="s">
        <v>23790</v>
      </c>
    </row>
    <row r="1287" customFormat="false" ht="28.35" hidden="false" customHeight="false" outlineLevel="0" collapsed="false">
      <c r="B1287" s="19" t="s">
        <v>23791</v>
      </c>
      <c r="C1287" s="20" t="n">
        <f aca="false">ROUND(1.09/FX,2)</f>
        <v>0.15</v>
      </c>
      <c r="D1287" s="21" t="s">
        <v>724</v>
      </c>
      <c r="E1287" s="21" t="s">
        <v>13739</v>
      </c>
      <c r="F1287" s="21" t="s">
        <v>23792</v>
      </c>
    </row>
    <row r="1288" customFormat="false" ht="15" hidden="false" customHeight="false" outlineLevel="0" collapsed="false">
      <c r="B1288" s="19" t="s">
        <v>23793</v>
      </c>
      <c r="C1288" s="20" t="n">
        <f aca="false">ROUND(1.09/FX,2)</f>
        <v>0.15</v>
      </c>
      <c r="D1288" s="21" t="s">
        <v>724</v>
      </c>
      <c r="E1288" s="21" t="s">
        <v>14007</v>
      </c>
      <c r="F1288" s="21" t="s">
        <v>23794</v>
      </c>
    </row>
    <row r="1289" customFormat="false" ht="28.35" hidden="false" customHeight="false" outlineLevel="0" collapsed="false">
      <c r="B1289" s="19" t="s">
        <v>23795</v>
      </c>
      <c r="C1289" s="20" t="n">
        <f aca="false">ROUND(0.78/FX,2)</f>
        <v>0.11</v>
      </c>
      <c r="D1289" s="21" t="s">
        <v>724</v>
      </c>
      <c r="E1289" s="21" t="s">
        <v>13732</v>
      </c>
      <c r="F1289" s="21" t="s">
        <v>23796</v>
      </c>
    </row>
    <row r="1290" customFormat="false" ht="15" hidden="false" customHeight="false" outlineLevel="0" collapsed="false">
      <c r="B1290" s="19" t="s">
        <v>23797</v>
      </c>
      <c r="C1290" s="20" t="n">
        <f aca="false">ROUND(1.56/FX,2)</f>
        <v>0.22</v>
      </c>
      <c r="D1290" s="21" t="s">
        <v>751</v>
      </c>
      <c r="E1290" s="21" t="s">
        <v>13997</v>
      </c>
      <c r="F1290" s="21" t="s">
        <v>23764</v>
      </c>
    </row>
    <row r="1291" customFormat="false" ht="15" hidden="false" customHeight="false" outlineLevel="0" collapsed="false">
      <c r="B1291" s="19" t="s">
        <v>23798</v>
      </c>
      <c r="C1291" s="20" t="n">
        <f aca="false">ROUND(2.6/FX,2)</f>
        <v>0.36</v>
      </c>
      <c r="D1291" s="21" t="s">
        <v>751</v>
      </c>
      <c r="E1291" s="21" t="s">
        <v>13997</v>
      </c>
      <c r="F1291" s="21" t="s">
        <v>23766</v>
      </c>
    </row>
    <row r="1292" customFormat="false" ht="15" hidden="false" customHeight="false" outlineLevel="0" collapsed="false">
      <c r="B1292" s="19" t="s">
        <v>23799</v>
      </c>
      <c r="C1292" s="20" t="n">
        <f aca="false">ROUND(0.26/FX,2)</f>
        <v>0.04</v>
      </c>
      <c r="D1292" s="21" t="s">
        <v>751</v>
      </c>
      <c r="E1292" s="21" t="s">
        <v>13732</v>
      </c>
      <c r="F1292" s="21" t="s">
        <v>23774</v>
      </c>
    </row>
    <row r="1293" customFormat="false" ht="15" hidden="false" customHeight="false" outlineLevel="0" collapsed="false">
      <c r="B1293" s="19" t="s">
        <v>23800</v>
      </c>
      <c r="C1293" s="20" t="n">
        <f aca="false">ROUND(2.6/FX,2)</f>
        <v>0.36</v>
      </c>
      <c r="D1293" s="21" t="s">
        <v>751</v>
      </c>
      <c r="E1293" s="21" t="s">
        <v>13997</v>
      </c>
      <c r="F1293" s="21" t="s">
        <v>23776</v>
      </c>
    </row>
    <row r="1296" customFormat="false" ht="61.5" hidden="false" customHeight="true" outlineLevel="0" collapsed="false">
      <c r="A1296" s="9"/>
      <c r="B1296" s="10" t="s">
        <v>23801</v>
      </c>
      <c r="C1296" s="10"/>
      <c r="D1296" s="10"/>
      <c r="E1296" s="10"/>
      <c r="F1296" s="10"/>
      <c r="G1296" s="10"/>
      <c r="H1296" s="10"/>
      <c r="I1296" s="10"/>
    </row>
    <row r="1297" customFormat="false" ht="15" hidden="false" customHeight="false" outlineLevel="0" collapsed="false">
      <c r="A1297" s="12" t="s">
        <v>700</v>
      </c>
      <c r="B1297" s="13" t="s">
        <v>701</v>
      </c>
      <c r="C1297" s="13" t="s">
        <v>702</v>
      </c>
      <c r="D1297" s="13" t="s">
        <v>704</v>
      </c>
      <c r="E1297" s="13" t="s">
        <v>5610</v>
      </c>
      <c r="F1297" s="13" t="s">
        <v>6328</v>
      </c>
      <c r="G1297" s="13" t="s">
        <v>13701</v>
      </c>
      <c r="H1297" s="13" t="s">
        <v>16136</v>
      </c>
      <c r="I1297" s="13" t="s">
        <v>20446</v>
      </c>
    </row>
    <row r="1298" customFormat="false" ht="30" hidden="false" customHeight="true" outlineLevel="0" collapsed="false">
      <c r="A1298" s="14" t="s">
        <v>706</v>
      </c>
      <c r="B1298" s="15" t="str">
        <f aca="false">IF(COUNTIFS($D$1301:$D$1306,IF(D1298="","*",D1298),$E$1301:$E$1306,IF(E1298="","*",E1298),$F$1301:$F$1306,IF(F1298="","*",F1298),$G$1301:$G$1306,IF(G1298="","*",G1298),$H$1301:$H$1306,IF(H1298="","*",H1298),$I$1301:$I$1306,IF(I1298="","*",I1298))=1,INDEX($B:$B,SUMPRODUCT(((D1298="")+($D$1301:$D$1306=D1298)&gt;0)*((E1298="")+($E$1301:$E$1306=E1298)&gt;0)*((F1298="")+($F$1301:$F$1306=F1298)&gt;0)*((G1298="")+($G$1301:$G$1306=G1298)&gt;0)*((H1298="")+($H$1301:$H$1306=H1298)&gt;0)*((I1298="")+($I$1301:$I$1306=I1298)&gt;0)*ROW($B$1301:$B$1306))),IF(COUNTIFS($D$1301:$D$1306,IF(D1298="","*",D1298),$E$1301:$E$1306,IF(E1298="","*",E1298),$F$1301:$F$1306,IF(F1298="","*",F1298),$G$1301:$G$1306,IF(G1298="","*",G1298),$H$1301:$H$1306,IF(H1298="","*",H1298),$I$1301:$I$1306,IF(I1298="","*",I1298))=0,"Not available",COUNTIFS($D$1301:$D$1306,IF(D1298="","*",D1298),$E$1301:$E$1306,IF(E1298="","*",E1298),$F$1301:$F$1306,IF(F1298="","*",F1298),$G$1301:$G$1306,IF(G1298="","*",G1298),$H$1301:$H$1306,IF(H1298="","*",H1298),$I$1301:$I$1306,IF(I1298="","*",I1298))&amp;" match, keep choosing"))</f>
        <v>AL-035-CS-GB-4040-4H-M6-S</v>
      </c>
      <c r="C1298" s="16" t="n">
        <f aca="false">IF(COUNTIFS($D$1301:$D$1306,IF(D1298="","*",D1298),$E$1301:$E$1306,IF(E1298="","*",E1298),$F$1301:$F$1306,IF(F1298="","*",F1298),$G$1301:$G$1306,IF(G1298="","*",G1298),$H$1301:$H$1306,IF(H1298="","*",H1298),$I$1301:$I$1306,IF(I1298="","*",I1298))=1,INDEX($C:$C,SUMPRODUCT(((D1298="")+($D$1301:$D$1306=D1298)&gt;0)*((E1298="")+($E$1301:$E$1306=E1298)&gt;0)*((F1298="")+($F$1301:$F$1306=F1298)&gt;0)*((G1298="")+($G$1301:$G$1306=G1298)&gt;0)*((H1298="")+($H$1301:$H$1306=H1298)&gt;0)*((I1298="")+($I$1301:$I$1306=I1298)&gt;0)*ROW($B$1301:$B$1306))),"")</f>
        <v>0.49</v>
      </c>
      <c r="D1298" s="17" t="s">
        <v>10100</v>
      </c>
      <c r="E1298" s="17" t="s">
        <v>16919</v>
      </c>
      <c r="F1298" s="17" t="s">
        <v>23802</v>
      </c>
      <c r="G1298" s="17" t="s">
        <v>11413</v>
      </c>
      <c r="H1298" s="17" t="s">
        <v>19610</v>
      </c>
      <c r="I1298" s="17" t="s">
        <v>18383</v>
      </c>
    </row>
    <row r="1300" customFormat="false" ht="15" hidden="false" customHeight="false" outlineLevel="0" collapsed="false">
      <c r="B1300" s="18" t="s">
        <v>701</v>
      </c>
      <c r="C1300" s="18" t="s">
        <v>702</v>
      </c>
      <c r="D1300" s="18" t="s">
        <v>704</v>
      </c>
      <c r="E1300" s="18" t="s">
        <v>5610</v>
      </c>
      <c r="F1300" s="18" t="s">
        <v>6328</v>
      </c>
      <c r="G1300" s="18" t="s">
        <v>13701</v>
      </c>
      <c r="H1300" s="18" t="s">
        <v>16136</v>
      </c>
      <c r="I1300" s="18" t="s">
        <v>20446</v>
      </c>
    </row>
    <row r="1301" customFormat="false" ht="15" hidden="false" customHeight="false" outlineLevel="0" collapsed="false">
      <c r="B1301" s="19" t="s">
        <v>23803</v>
      </c>
      <c r="C1301" s="20" t="n">
        <f aca="false">ROUND(3.51/FX,2)</f>
        <v>0.49</v>
      </c>
      <c r="D1301" s="21" t="s">
        <v>10100</v>
      </c>
      <c r="E1301" s="21" t="s">
        <v>16919</v>
      </c>
      <c r="F1301" s="21" t="s">
        <v>23802</v>
      </c>
      <c r="G1301" s="21" t="s">
        <v>11413</v>
      </c>
      <c r="H1301" s="21" t="s">
        <v>19610</v>
      </c>
      <c r="I1301" s="21" t="s">
        <v>18383</v>
      </c>
    </row>
    <row r="1302" customFormat="false" ht="15" hidden="false" customHeight="false" outlineLevel="0" collapsed="false">
      <c r="B1302" s="19" t="s">
        <v>23804</v>
      </c>
      <c r="C1302" s="20" t="n">
        <f aca="false">ROUND(1.56/FX,2)</f>
        <v>0.22</v>
      </c>
      <c r="D1302" s="21" t="s">
        <v>6336</v>
      </c>
      <c r="E1302" s="21" t="s">
        <v>16909</v>
      </c>
      <c r="F1302" s="21" t="s">
        <v>23805</v>
      </c>
      <c r="G1302" s="21" t="s">
        <v>11411</v>
      </c>
      <c r="H1302" s="21" t="s">
        <v>10269</v>
      </c>
      <c r="I1302" s="21" t="s">
        <v>18362</v>
      </c>
    </row>
    <row r="1303" customFormat="false" ht="15" hidden="false" customHeight="false" outlineLevel="0" collapsed="false">
      <c r="B1303" s="19" t="s">
        <v>23806</v>
      </c>
      <c r="C1303" s="20" t="n">
        <f aca="false">ROUND(1.59/FX,2)</f>
        <v>0.22</v>
      </c>
      <c r="D1303" s="21" t="s">
        <v>6336</v>
      </c>
      <c r="E1303" s="21" t="s">
        <v>16909</v>
      </c>
      <c r="F1303" s="21" t="s">
        <v>23805</v>
      </c>
      <c r="G1303" s="21" t="s">
        <v>11411</v>
      </c>
      <c r="H1303" s="21" t="s">
        <v>19610</v>
      </c>
      <c r="I1303" s="21" t="s">
        <v>18362</v>
      </c>
    </row>
    <row r="1304" customFormat="false" ht="15" hidden="false" customHeight="false" outlineLevel="0" collapsed="false">
      <c r="B1304" s="19" t="s">
        <v>23807</v>
      </c>
      <c r="C1304" s="20" t="n">
        <f aca="false">ROUND(3.38/FX,2)</f>
        <v>0.47</v>
      </c>
      <c r="D1304" s="21" t="s">
        <v>6336</v>
      </c>
      <c r="E1304" s="21" t="s">
        <v>22839</v>
      </c>
      <c r="F1304" s="21" t="s">
        <v>23805</v>
      </c>
      <c r="G1304" s="21" t="s">
        <v>11413</v>
      </c>
      <c r="H1304" s="21" t="s">
        <v>19610</v>
      </c>
      <c r="I1304" s="21" t="s">
        <v>18383</v>
      </c>
    </row>
    <row r="1305" customFormat="false" ht="15" hidden="false" customHeight="false" outlineLevel="0" collapsed="false">
      <c r="B1305" s="19" t="s">
        <v>23808</v>
      </c>
      <c r="C1305" s="20" t="n">
        <f aca="false">ROUND(1.43/FX,2)</f>
        <v>0.2</v>
      </c>
      <c r="D1305" s="21" t="s">
        <v>6336</v>
      </c>
      <c r="E1305" s="21" t="s">
        <v>11727</v>
      </c>
      <c r="F1305" s="21" t="s">
        <v>23802</v>
      </c>
      <c r="G1305" s="21" t="s">
        <v>11413</v>
      </c>
      <c r="H1305" s="21" t="s">
        <v>19610</v>
      </c>
      <c r="I1305" s="21" t="s">
        <v>18383</v>
      </c>
    </row>
    <row r="1306" customFormat="false" ht="15" hidden="false" customHeight="false" outlineLevel="0" collapsed="false">
      <c r="B1306" s="19" t="s">
        <v>23809</v>
      </c>
      <c r="C1306" s="20" t="n">
        <f aca="false">ROUND(1.95/FX,2)</f>
        <v>0.27</v>
      </c>
      <c r="D1306" s="21" t="s">
        <v>6336</v>
      </c>
      <c r="E1306" s="21" t="s">
        <v>12422</v>
      </c>
      <c r="F1306" s="21" t="s">
        <v>23802</v>
      </c>
      <c r="G1306" s="21" t="s">
        <v>11415</v>
      </c>
      <c r="H1306" s="21" t="s">
        <v>19610</v>
      </c>
      <c r="I1306" s="21" t="s">
        <v>18383</v>
      </c>
    </row>
    <row r="1309" customFormat="false" ht="61.5" hidden="false" customHeight="true" outlineLevel="0" collapsed="false">
      <c r="A1309" s="9"/>
      <c r="B1309" s="10" t="s">
        <v>23810</v>
      </c>
      <c r="C1309" s="10"/>
      <c r="D1309" s="10"/>
      <c r="E1309" s="10"/>
      <c r="F1309" s="10"/>
    </row>
    <row r="1310" customFormat="false" ht="15" hidden="false" customHeight="false" outlineLevel="0" collapsed="false">
      <c r="A1310" s="12" t="s">
        <v>700</v>
      </c>
      <c r="B1310" s="13" t="s">
        <v>701</v>
      </c>
      <c r="C1310" s="13" t="s">
        <v>702</v>
      </c>
      <c r="D1310" s="13" t="s">
        <v>722</v>
      </c>
      <c r="E1310" s="13" t="s">
        <v>704</v>
      </c>
      <c r="F1310" s="13" t="s">
        <v>723</v>
      </c>
    </row>
    <row r="1311" customFormat="false" ht="30" hidden="false" customHeight="true" outlineLevel="0" collapsed="false">
      <c r="A1311" s="14" t="s">
        <v>706</v>
      </c>
      <c r="B1311" s="15" t="str">
        <f aca="false">IF(COUNTIFS($D$1314:$D$1369,IF(D1311="","*",D1311),$E$1314:$E$1369,IF(E1311="","*",E1311),$F$1314:$F$1369,IF(F1311="","*",F1311))=1,INDEX($B:$B,SUMPRODUCT(((D1311="")+($D$1314:$D$1369=D1311)&gt;0)*((E1311="")+($E$1314:$E$1369=E1311)&gt;0)*((F1311="")+($F$1314:$F$1369=F1311)&gt;0)*ROW($B$1314:$B$1369))),IF(COUNTIFS($D$1314:$D$1369,IF(D1311="","*",D1311),$E$1314:$E$1369,IF(E1311="","*",E1311),$F$1314:$F$1369,IF(F1311="","*",F1311))=0,"Not available",COUNTIFS($D$1314:$D$1369,IF(D1311="","*",D1311),$E$1314:$E$1369,IF(E1311="","*",E1311),$F$1314:$F$1369,IF(F1311="","*",F1311))&amp;" match, keep choosing"))</f>
        <v>AL-041-201SS-3030LX</v>
      </c>
      <c r="C1311" s="16" t="n">
        <f aca="false">IF(COUNTIFS($D$1314:$D$1369,IF(D1311="","*",D1311),$E$1314:$E$1369,IF(E1311="","*",E1311),$F$1314:$F$1369,IF(F1311="","*",F1311))=1,INDEX($C:$C,SUMPRODUCT(((D1311="")+($D$1314:$D$1369=D1311)&gt;0)*((E1311="")+($E$1314:$E$1369=E1311)&gt;0)*((F1311="")+($F$1314:$F$1369=F1311)&gt;0)*ROW($B$1314:$B$1369))),"")</f>
        <v>0.69</v>
      </c>
      <c r="D1311" s="17" t="s">
        <v>6336</v>
      </c>
      <c r="E1311" s="17" t="s">
        <v>6336</v>
      </c>
      <c r="F1311" s="17" t="s">
        <v>23811</v>
      </c>
    </row>
    <row r="1313" customFormat="false" ht="15" hidden="false" customHeight="false" outlineLevel="0" collapsed="false">
      <c r="B1313" s="18" t="s">
        <v>701</v>
      </c>
      <c r="C1313" s="18" t="s">
        <v>702</v>
      </c>
      <c r="D1313" s="18" t="s">
        <v>722</v>
      </c>
      <c r="E1313" s="18" t="s">
        <v>704</v>
      </c>
      <c r="F1313" s="18" t="s">
        <v>723</v>
      </c>
    </row>
    <row r="1314" customFormat="false" ht="28.35" hidden="false" customHeight="false" outlineLevel="0" collapsed="false">
      <c r="B1314" s="19" t="s">
        <v>23812</v>
      </c>
      <c r="C1314" s="20" t="n">
        <f aca="false">ROUND(4.94/FX,2)</f>
        <v>0.69</v>
      </c>
      <c r="D1314" s="21" t="s">
        <v>6336</v>
      </c>
      <c r="E1314" s="21" t="s">
        <v>6336</v>
      </c>
      <c r="F1314" s="21" t="s">
        <v>23811</v>
      </c>
    </row>
    <row r="1315" customFormat="false" ht="28.35" hidden="false" customHeight="false" outlineLevel="0" collapsed="false">
      <c r="B1315" s="19" t="s">
        <v>23813</v>
      </c>
      <c r="C1315" s="20" t="n">
        <f aca="false">ROUND(4.94/FX,2)</f>
        <v>0.69</v>
      </c>
      <c r="D1315" s="21" t="s">
        <v>6336</v>
      </c>
      <c r="E1315" s="21" t="s">
        <v>6336</v>
      </c>
      <c r="F1315" s="21" t="s">
        <v>23814</v>
      </c>
    </row>
    <row r="1316" customFormat="false" ht="28.35" hidden="false" customHeight="false" outlineLevel="0" collapsed="false">
      <c r="B1316" s="19" t="s">
        <v>23815</v>
      </c>
      <c r="C1316" s="20" t="n">
        <f aca="false">ROUND(7.54/FX,2)</f>
        <v>1.05</v>
      </c>
      <c r="D1316" s="21" t="s">
        <v>6336</v>
      </c>
      <c r="E1316" s="21" t="s">
        <v>6336</v>
      </c>
      <c r="F1316" s="21" t="s">
        <v>23816</v>
      </c>
    </row>
    <row r="1317" customFormat="false" ht="28.35" hidden="false" customHeight="false" outlineLevel="0" collapsed="false">
      <c r="B1317" s="19" t="s">
        <v>23817</v>
      </c>
      <c r="C1317" s="20" t="n">
        <f aca="false">ROUND(7.54/FX,2)</f>
        <v>1.05</v>
      </c>
      <c r="D1317" s="21" t="s">
        <v>6336</v>
      </c>
      <c r="E1317" s="21" t="s">
        <v>6336</v>
      </c>
      <c r="F1317" s="21" t="s">
        <v>23818</v>
      </c>
    </row>
    <row r="1318" customFormat="false" ht="15" hidden="false" customHeight="false" outlineLevel="0" collapsed="false">
      <c r="B1318" s="19" t="s">
        <v>23819</v>
      </c>
      <c r="C1318" s="20" t="n">
        <f aca="false">ROUND(1.56/FX,2)</f>
        <v>0.22</v>
      </c>
      <c r="D1318" s="21" t="s">
        <v>724</v>
      </c>
      <c r="E1318" s="21" t="s">
        <v>10100</v>
      </c>
      <c r="F1318" s="21" t="s">
        <v>23820</v>
      </c>
    </row>
    <row r="1319" customFormat="false" ht="15" hidden="false" customHeight="false" outlineLevel="0" collapsed="false">
      <c r="B1319" s="19" t="s">
        <v>23821</v>
      </c>
      <c r="C1319" s="20" t="n">
        <f aca="false">ROUND(1.56/FX,2)</f>
        <v>0.22</v>
      </c>
      <c r="D1319" s="21" t="s">
        <v>724</v>
      </c>
      <c r="E1319" s="21" t="s">
        <v>10100</v>
      </c>
      <c r="F1319" s="21" t="s">
        <v>23822</v>
      </c>
    </row>
    <row r="1320" customFormat="false" ht="15" hidden="false" customHeight="false" outlineLevel="0" collapsed="false">
      <c r="B1320" s="19" t="s">
        <v>23823</v>
      </c>
      <c r="C1320" s="20" t="n">
        <f aca="false">ROUND(2.6/FX,2)</f>
        <v>0.36</v>
      </c>
      <c r="D1320" s="21" t="s">
        <v>724</v>
      </c>
      <c r="E1320" s="21" t="s">
        <v>10100</v>
      </c>
      <c r="F1320" s="21" t="s">
        <v>23824</v>
      </c>
    </row>
    <row r="1321" customFormat="false" ht="15" hidden="false" customHeight="false" outlineLevel="0" collapsed="false">
      <c r="B1321" s="19" t="s">
        <v>23825</v>
      </c>
      <c r="C1321" s="20" t="n">
        <f aca="false">ROUND(2.86/FX,2)</f>
        <v>0.4</v>
      </c>
      <c r="D1321" s="21" t="s">
        <v>724</v>
      </c>
      <c r="E1321" s="21" t="s">
        <v>10100</v>
      </c>
      <c r="F1321" s="21" t="s">
        <v>23826</v>
      </c>
    </row>
    <row r="1322" customFormat="false" ht="15" hidden="false" customHeight="false" outlineLevel="0" collapsed="false">
      <c r="B1322" s="19" t="s">
        <v>23827</v>
      </c>
      <c r="C1322" s="20" t="n">
        <f aca="false">ROUND(2.86/FX,2)</f>
        <v>0.4</v>
      </c>
      <c r="D1322" s="21" t="s">
        <v>724</v>
      </c>
      <c r="E1322" s="21" t="s">
        <v>10100</v>
      </c>
      <c r="F1322" s="21" t="s">
        <v>23828</v>
      </c>
    </row>
    <row r="1323" customFormat="false" ht="15" hidden="false" customHeight="false" outlineLevel="0" collapsed="false">
      <c r="B1323" s="19" t="s">
        <v>23829</v>
      </c>
      <c r="C1323" s="20" t="n">
        <f aca="false">ROUND(4.16/FX,2)</f>
        <v>0.58</v>
      </c>
      <c r="D1323" s="21" t="s">
        <v>724</v>
      </c>
      <c r="E1323" s="21" t="s">
        <v>10100</v>
      </c>
      <c r="F1323" s="21" t="s">
        <v>23830</v>
      </c>
    </row>
    <row r="1324" customFormat="false" ht="15" hidden="false" customHeight="false" outlineLevel="0" collapsed="false">
      <c r="B1324" s="19" t="s">
        <v>23831</v>
      </c>
      <c r="C1324" s="20" t="n">
        <f aca="false">ROUND(3.9/FX,2)</f>
        <v>0.54</v>
      </c>
      <c r="D1324" s="21" t="s">
        <v>724</v>
      </c>
      <c r="E1324" s="21" t="s">
        <v>10100</v>
      </c>
      <c r="F1324" s="21" t="s">
        <v>23832</v>
      </c>
    </row>
    <row r="1325" customFormat="false" ht="15" hidden="false" customHeight="false" outlineLevel="0" collapsed="false">
      <c r="B1325" s="19" t="s">
        <v>23833</v>
      </c>
      <c r="C1325" s="20" t="n">
        <f aca="false">ROUND(4.16/FX,2)</f>
        <v>0.58</v>
      </c>
      <c r="D1325" s="21" t="s">
        <v>724</v>
      </c>
      <c r="E1325" s="21" t="s">
        <v>10100</v>
      </c>
      <c r="F1325" s="21" t="s">
        <v>23834</v>
      </c>
    </row>
    <row r="1326" customFormat="false" ht="15" hidden="false" customHeight="false" outlineLevel="0" collapsed="false">
      <c r="B1326" s="19" t="s">
        <v>23835</v>
      </c>
      <c r="C1326" s="20" t="n">
        <f aca="false">ROUND(5.2/FX,2)</f>
        <v>0.72</v>
      </c>
      <c r="D1326" s="21" t="s">
        <v>724</v>
      </c>
      <c r="E1326" s="21" t="s">
        <v>10100</v>
      </c>
      <c r="F1326" s="21" t="s">
        <v>23836</v>
      </c>
    </row>
    <row r="1327" customFormat="false" ht="28.35" hidden="false" customHeight="false" outlineLevel="0" collapsed="false">
      <c r="B1327" s="19" t="s">
        <v>23837</v>
      </c>
      <c r="C1327" s="20" t="n">
        <f aca="false">ROUND(0.65/FX,2)</f>
        <v>0.09</v>
      </c>
      <c r="D1327" s="21" t="s">
        <v>6336</v>
      </c>
      <c r="E1327" s="21" t="s">
        <v>10100</v>
      </c>
      <c r="F1327" s="21" t="s">
        <v>23838</v>
      </c>
    </row>
    <row r="1328" customFormat="false" ht="41.75" hidden="false" customHeight="false" outlineLevel="0" collapsed="false">
      <c r="B1328" s="19" t="s">
        <v>23839</v>
      </c>
      <c r="C1328" s="20" t="n">
        <f aca="false">ROUND(0.85/FX,2)</f>
        <v>0.12</v>
      </c>
      <c r="D1328" s="21" t="s">
        <v>6336</v>
      </c>
      <c r="E1328" s="21" t="s">
        <v>10100</v>
      </c>
      <c r="F1328" s="21" t="s">
        <v>23840</v>
      </c>
    </row>
    <row r="1329" customFormat="false" ht="41.75" hidden="false" customHeight="false" outlineLevel="0" collapsed="false">
      <c r="B1329" s="19" t="s">
        <v>23841</v>
      </c>
      <c r="C1329" s="20" t="n">
        <f aca="false">ROUND(1.03/FX,2)</f>
        <v>0.14</v>
      </c>
      <c r="D1329" s="21" t="s">
        <v>6336</v>
      </c>
      <c r="E1329" s="21" t="s">
        <v>10100</v>
      </c>
      <c r="F1329" s="21" t="s">
        <v>23842</v>
      </c>
    </row>
    <row r="1330" customFormat="false" ht="15" hidden="false" customHeight="false" outlineLevel="0" collapsed="false">
      <c r="B1330" s="19" t="s">
        <v>23843</v>
      </c>
      <c r="C1330" s="20" t="n">
        <f aca="false">ROUND(0.98/FX,2)</f>
        <v>0.14</v>
      </c>
      <c r="D1330" s="21" t="s">
        <v>6336</v>
      </c>
      <c r="E1330" s="21" t="s">
        <v>10100</v>
      </c>
      <c r="F1330" s="21" t="s">
        <v>23844</v>
      </c>
    </row>
    <row r="1331" customFormat="false" ht="15" hidden="false" customHeight="false" outlineLevel="0" collapsed="false">
      <c r="B1331" s="19" t="s">
        <v>23845</v>
      </c>
      <c r="C1331" s="20" t="n">
        <f aca="false">ROUND(1.37/FX,2)</f>
        <v>0.19</v>
      </c>
      <c r="D1331" s="21" t="s">
        <v>6336</v>
      </c>
      <c r="E1331" s="21" t="s">
        <v>10100</v>
      </c>
      <c r="F1331" s="21" t="s">
        <v>23846</v>
      </c>
    </row>
    <row r="1332" customFormat="false" ht="15" hidden="false" customHeight="false" outlineLevel="0" collapsed="false">
      <c r="B1332" s="19" t="s">
        <v>23847</v>
      </c>
      <c r="C1332" s="20" t="n">
        <f aca="false">ROUND(0.98/FX,2)</f>
        <v>0.14</v>
      </c>
      <c r="D1332" s="21" t="s">
        <v>6336</v>
      </c>
      <c r="E1332" s="21" t="s">
        <v>10100</v>
      </c>
      <c r="F1332" s="21" t="s">
        <v>23848</v>
      </c>
    </row>
    <row r="1333" customFormat="false" ht="15" hidden="false" customHeight="false" outlineLevel="0" collapsed="false">
      <c r="B1333" s="19" t="s">
        <v>23849</v>
      </c>
      <c r="C1333" s="20" t="n">
        <f aca="false">ROUND(8.45/FX,2)</f>
        <v>1.17</v>
      </c>
      <c r="D1333" s="21" t="s">
        <v>6336</v>
      </c>
      <c r="E1333" s="21" t="s">
        <v>10100</v>
      </c>
      <c r="F1333" s="21" t="s">
        <v>23850</v>
      </c>
    </row>
    <row r="1334" customFormat="false" ht="15" hidden="false" customHeight="false" outlineLevel="0" collapsed="false">
      <c r="B1334" s="19" t="s">
        <v>23851</v>
      </c>
      <c r="C1334" s="20" t="n">
        <f aca="false">ROUND(8.45/FX,2)</f>
        <v>1.17</v>
      </c>
      <c r="D1334" s="21" t="s">
        <v>6336</v>
      </c>
      <c r="E1334" s="21" t="s">
        <v>10100</v>
      </c>
      <c r="F1334" s="21" t="s">
        <v>23852</v>
      </c>
    </row>
    <row r="1335" customFormat="false" ht="15" hidden="false" customHeight="false" outlineLevel="0" collapsed="false">
      <c r="B1335" s="19" t="s">
        <v>23853</v>
      </c>
      <c r="C1335" s="20" t="n">
        <f aca="false">ROUND(8.45/FX,2)</f>
        <v>1.17</v>
      </c>
      <c r="D1335" s="21" t="s">
        <v>6336</v>
      </c>
      <c r="E1335" s="21" t="s">
        <v>10100</v>
      </c>
      <c r="F1335" s="21" t="s">
        <v>23854</v>
      </c>
    </row>
    <row r="1336" customFormat="false" ht="28.35" hidden="false" customHeight="false" outlineLevel="0" collapsed="false">
      <c r="B1336" s="19" t="s">
        <v>23855</v>
      </c>
      <c r="C1336" s="20" t="n">
        <f aca="false">ROUND(1.69/FX,2)</f>
        <v>0.23</v>
      </c>
      <c r="D1336" s="21" t="s">
        <v>6336</v>
      </c>
      <c r="E1336" s="21" t="s">
        <v>10100</v>
      </c>
      <c r="F1336" s="21" t="s">
        <v>23856</v>
      </c>
    </row>
    <row r="1337" customFormat="false" ht="28.35" hidden="false" customHeight="false" outlineLevel="0" collapsed="false">
      <c r="B1337" s="19" t="s">
        <v>23857</v>
      </c>
      <c r="C1337" s="20" t="n">
        <f aca="false">ROUND(1.56/FX,2)</f>
        <v>0.22</v>
      </c>
      <c r="D1337" s="21" t="s">
        <v>6336</v>
      </c>
      <c r="E1337" s="21" t="s">
        <v>10100</v>
      </c>
      <c r="F1337" s="21" t="s">
        <v>23858</v>
      </c>
    </row>
    <row r="1338" customFormat="false" ht="15" hidden="false" customHeight="false" outlineLevel="0" collapsed="false">
      <c r="B1338" s="19" t="s">
        <v>23859</v>
      </c>
      <c r="C1338" s="20" t="n">
        <f aca="false">ROUND(1.82/FX,2)</f>
        <v>0.25</v>
      </c>
      <c r="D1338" s="21" t="s">
        <v>6336</v>
      </c>
      <c r="E1338" s="21" t="s">
        <v>10100</v>
      </c>
      <c r="F1338" s="21" t="s">
        <v>23860</v>
      </c>
    </row>
    <row r="1339" customFormat="false" ht="15" hidden="false" customHeight="false" outlineLevel="0" collapsed="false">
      <c r="B1339" s="19" t="s">
        <v>23861</v>
      </c>
      <c r="C1339" s="20" t="n">
        <f aca="false">ROUND(3.25/FX,2)</f>
        <v>0.45</v>
      </c>
      <c r="D1339" s="21" t="s">
        <v>6336</v>
      </c>
      <c r="E1339" s="21" t="s">
        <v>10100</v>
      </c>
      <c r="F1339" s="21" t="s">
        <v>23862</v>
      </c>
    </row>
    <row r="1340" customFormat="false" ht="15" hidden="false" customHeight="false" outlineLevel="0" collapsed="false">
      <c r="B1340" s="19" t="s">
        <v>23863</v>
      </c>
      <c r="C1340" s="20" t="n">
        <f aca="false">ROUND(1.82/FX,2)</f>
        <v>0.25</v>
      </c>
      <c r="D1340" s="21" t="s">
        <v>6336</v>
      </c>
      <c r="E1340" s="21" t="s">
        <v>10100</v>
      </c>
      <c r="F1340" s="21" t="s">
        <v>23864</v>
      </c>
    </row>
    <row r="1341" customFormat="false" ht="15" hidden="false" customHeight="false" outlineLevel="0" collapsed="false">
      <c r="B1341" s="19" t="s">
        <v>23865</v>
      </c>
      <c r="C1341" s="20" t="n">
        <f aca="false">ROUND(11.7/FX,2)</f>
        <v>1.63</v>
      </c>
      <c r="D1341" s="21" t="s">
        <v>6336</v>
      </c>
      <c r="E1341" s="21" t="s">
        <v>10100</v>
      </c>
      <c r="F1341" s="21" t="s">
        <v>23866</v>
      </c>
    </row>
    <row r="1342" customFormat="false" ht="28.35" hidden="false" customHeight="false" outlineLevel="0" collapsed="false">
      <c r="B1342" s="19" t="s">
        <v>23867</v>
      </c>
      <c r="C1342" s="20" t="n">
        <f aca="false">ROUND(1.69/FX,2)</f>
        <v>0.23</v>
      </c>
      <c r="D1342" s="21" t="s">
        <v>6336</v>
      </c>
      <c r="E1342" s="21" t="s">
        <v>10100</v>
      </c>
      <c r="F1342" s="21" t="s">
        <v>23868</v>
      </c>
    </row>
    <row r="1343" customFormat="false" ht="28.35" hidden="false" customHeight="false" outlineLevel="0" collapsed="false">
      <c r="B1343" s="19" t="s">
        <v>23869</v>
      </c>
      <c r="C1343" s="20" t="n">
        <f aca="false">ROUND(2.34/FX,2)</f>
        <v>0.33</v>
      </c>
      <c r="D1343" s="21" t="s">
        <v>6336</v>
      </c>
      <c r="E1343" s="21" t="s">
        <v>10100</v>
      </c>
      <c r="F1343" s="21" t="s">
        <v>23870</v>
      </c>
    </row>
    <row r="1344" customFormat="false" ht="28.35" hidden="false" customHeight="false" outlineLevel="0" collapsed="false">
      <c r="B1344" s="19" t="s">
        <v>23871</v>
      </c>
      <c r="C1344" s="20" t="n">
        <f aca="false">ROUND(2.34/FX,2)</f>
        <v>0.33</v>
      </c>
      <c r="D1344" s="21" t="s">
        <v>6336</v>
      </c>
      <c r="E1344" s="21" t="s">
        <v>10100</v>
      </c>
      <c r="F1344" s="21" t="s">
        <v>23872</v>
      </c>
    </row>
    <row r="1345" customFormat="false" ht="28.35" hidden="false" customHeight="false" outlineLevel="0" collapsed="false">
      <c r="B1345" s="19" t="s">
        <v>23873</v>
      </c>
      <c r="C1345" s="20" t="n">
        <f aca="false">ROUND(4.55/FX,2)</f>
        <v>0.63</v>
      </c>
      <c r="D1345" s="21" t="s">
        <v>6336</v>
      </c>
      <c r="E1345" s="21" t="s">
        <v>10100</v>
      </c>
      <c r="F1345" s="21" t="s">
        <v>23874</v>
      </c>
    </row>
    <row r="1346" customFormat="false" ht="15" hidden="false" customHeight="false" outlineLevel="0" collapsed="false">
      <c r="B1346" s="19" t="s">
        <v>23875</v>
      </c>
      <c r="C1346" s="20" t="n">
        <f aca="false">ROUND(2.47/FX,2)</f>
        <v>0.34</v>
      </c>
      <c r="D1346" s="21" t="s">
        <v>6336</v>
      </c>
      <c r="E1346" s="21" t="s">
        <v>10100</v>
      </c>
      <c r="F1346" s="21" t="s">
        <v>23876</v>
      </c>
    </row>
    <row r="1347" customFormat="false" ht="15" hidden="false" customHeight="false" outlineLevel="0" collapsed="false">
      <c r="B1347" s="19" t="s">
        <v>23877</v>
      </c>
      <c r="C1347" s="20" t="n">
        <f aca="false">ROUND(3.77/FX,2)</f>
        <v>0.52</v>
      </c>
      <c r="D1347" s="21" t="s">
        <v>6336</v>
      </c>
      <c r="E1347" s="21" t="s">
        <v>10100</v>
      </c>
      <c r="F1347" s="21" t="s">
        <v>23878</v>
      </c>
    </row>
    <row r="1348" customFormat="false" ht="15" hidden="false" customHeight="false" outlineLevel="0" collapsed="false">
      <c r="B1348" s="19" t="s">
        <v>23879</v>
      </c>
      <c r="C1348" s="20" t="n">
        <f aca="false">ROUND(2.41/FX,2)</f>
        <v>0.33</v>
      </c>
      <c r="D1348" s="21" t="s">
        <v>6336</v>
      </c>
      <c r="E1348" s="21" t="s">
        <v>10100</v>
      </c>
      <c r="F1348" s="21" t="s">
        <v>23880</v>
      </c>
    </row>
    <row r="1349" customFormat="false" ht="15" hidden="false" customHeight="false" outlineLevel="0" collapsed="false">
      <c r="B1349" s="19" t="s">
        <v>23881</v>
      </c>
      <c r="C1349" s="20" t="n">
        <f aca="false">ROUND(20.8/FX,2)</f>
        <v>2.89</v>
      </c>
      <c r="D1349" s="21" t="s">
        <v>6336</v>
      </c>
      <c r="E1349" s="21" t="s">
        <v>10100</v>
      </c>
      <c r="F1349" s="21" t="s">
        <v>23882</v>
      </c>
    </row>
    <row r="1350" customFormat="false" ht="28.35" hidden="false" customHeight="false" outlineLevel="0" collapsed="false">
      <c r="B1350" s="19" t="s">
        <v>23883</v>
      </c>
      <c r="C1350" s="20" t="n">
        <f aca="false">ROUND(1.82/FX,2)</f>
        <v>0.25</v>
      </c>
      <c r="D1350" s="21" t="s">
        <v>6336</v>
      </c>
      <c r="E1350" s="21" t="s">
        <v>10100</v>
      </c>
      <c r="F1350" s="21" t="s">
        <v>23884</v>
      </c>
    </row>
    <row r="1351" customFormat="false" ht="28.35" hidden="false" customHeight="false" outlineLevel="0" collapsed="false">
      <c r="B1351" s="19" t="s">
        <v>23885</v>
      </c>
      <c r="C1351" s="20" t="n">
        <f aca="false">ROUND(3.9/FX,2)</f>
        <v>0.54</v>
      </c>
      <c r="D1351" s="21" t="s">
        <v>6336</v>
      </c>
      <c r="E1351" s="21" t="s">
        <v>10100</v>
      </c>
      <c r="F1351" s="21" t="s">
        <v>23886</v>
      </c>
    </row>
    <row r="1352" customFormat="false" ht="28.35" hidden="false" customHeight="false" outlineLevel="0" collapsed="false">
      <c r="B1352" s="19" t="s">
        <v>23887</v>
      </c>
      <c r="C1352" s="20" t="n">
        <f aca="false">ROUND(4.68/FX,2)</f>
        <v>0.65</v>
      </c>
      <c r="D1352" s="21" t="s">
        <v>6336</v>
      </c>
      <c r="E1352" s="21" t="s">
        <v>10100</v>
      </c>
      <c r="F1352" s="21" t="s">
        <v>23888</v>
      </c>
    </row>
    <row r="1353" customFormat="false" ht="15" hidden="false" customHeight="false" outlineLevel="0" collapsed="false">
      <c r="B1353" s="19" t="s">
        <v>23889</v>
      </c>
      <c r="C1353" s="20" t="n">
        <f aca="false">ROUND(4.68/FX,2)</f>
        <v>0.65</v>
      </c>
      <c r="D1353" s="21" t="s">
        <v>6336</v>
      </c>
      <c r="E1353" s="21" t="s">
        <v>10100</v>
      </c>
      <c r="F1353" s="21" t="s">
        <v>23890</v>
      </c>
    </row>
    <row r="1354" customFormat="false" ht="15" hidden="false" customHeight="false" outlineLevel="0" collapsed="false">
      <c r="B1354" s="19" t="s">
        <v>23891</v>
      </c>
      <c r="C1354" s="20" t="n">
        <f aca="false">ROUND(7.15/FX,2)</f>
        <v>0.99</v>
      </c>
      <c r="D1354" s="21" t="s">
        <v>6336</v>
      </c>
      <c r="E1354" s="21" t="s">
        <v>10100</v>
      </c>
      <c r="F1354" s="21" t="s">
        <v>23892</v>
      </c>
    </row>
    <row r="1355" customFormat="false" ht="15" hidden="false" customHeight="false" outlineLevel="0" collapsed="false">
      <c r="B1355" s="19" t="s">
        <v>23893</v>
      </c>
      <c r="C1355" s="20" t="n">
        <f aca="false">ROUND(4.68/FX,2)</f>
        <v>0.65</v>
      </c>
      <c r="D1355" s="21" t="s">
        <v>6336</v>
      </c>
      <c r="E1355" s="21" t="s">
        <v>10100</v>
      </c>
      <c r="F1355" s="21" t="s">
        <v>23894</v>
      </c>
    </row>
    <row r="1356" customFormat="false" ht="15" hidden="false" customHeight="false" outlineLevel="0" collapsed="false">
      <c r="B1356" s="19" t="s">
        <v>23895</v>
      </c>
      <c r="C1356" s="20" t="n">
        <f aca="false">ROUND(22.1/FX,2)</f>
        <v>3.07</v>
      </c>
      <c r="D1356" s="21" t="s">
        <v>6336</v>
      </c>
      <c r="E1356" s="21" t="s">
        <v>10100</v>
      </c>
      <c r="F1356" s="21" t="s">
        <v>23896</v>
      </c>
    </row>
    <row r="1357" customFormat="false" ht="15" hidden="false" customHeight="false" outlineLevel="0" collapsed="false">
      <c r="B1357" s="19" t="s">
        <v>23897</v>
      </c>
      <c r="C1357" s="20" t="n">
        <f aca="false">ROUND(24.7/FX,2)</f>
        <v>3.43</v>
      </c>
      <c r="D1357" s="21" t="s">
        <v>6336</v>
      </c>
      <c r="E1357" s="21" t="s">
        <v>10100</v>
      </c>
      <c r="F1357" s="21" t="s">
        <v>23898</v>
      </c>
    </row>
    <row r="1358" customFormat="false" ht="15" hidden="false" customHeight="false" outlineLevel="0" collapsed="false">
      <c r="B1358" s="19" t="s">
        <v>23899</v>
      </c>
      <c r="C1358" s="20" t="n">
        <f aca="false">ROUND(22.1/FX,2)</f>
        <v>3.07</v>
      </c>
      <c r="D1358" s="21" t="s">
        <v>6336</v>
      </c>
      <c r="E1358" s="21" t="s">
        <v>10100</v>
      </c>
      <c r="F1358" s="21" t="s">
        <v>23900</v>
      </c>
    </row>
    <row r="1359" customFormat="false" ht="28.35" hidden="false" customHeight="false" outlineLevel="0" collapsed="false">
      <c r="B1359" s="19" t="s">
        <v>23901</v>
      </c>
      <c r="C1359" s="20" t="n">
        <f aca="false">ROUND(2.21/FX,2)</f>
        <v>0.31</v>
      </c>
      <c r="D1359" s="21" t="s">
        <v>6336</v>
      </c>
      <c r="E1359" s="21" t="s">
        <v>10100</v>
      </c>
      <c r="F1359" s="21" t="s">
        <v>23902</v>
      </c>
    </row>
    <row r="1360" customFormat="false" ht="28.35" hidden="false" customHeight="false" outlineLevel="0" collapsed="false">
      <c r="B1360" s="19" t="s">
        <v>23903</v>
      </c>
      <c r="C1360" s="20" t="n">
        <f aca="false">ROUND(26/FX,2)</f>
        <v>3.61</v>
      </c>
      <c r="D1360" s="21" t="s">
        <v>6336</v>
      </c>
      <c r="E1360" s="21" t="s">
        <v>10100</v>
      </c>
      <c r="F1360" s="21" t="s">
        <v>23904</v>
      </c>
    </row>
    <row r="1361" customFormat="false" ht="28.35" hidden="false" customHeight="false" outlineLevel="0" collapsed="false">
      <c r="B1361" s="19" t="s">
        <v>23905</v>
      </c>
      <c r="C1361" s="20" t="n">
        <f aca="false">ROUND(29.9/FX,2)</f>
        <v>4.15</v>
      </c>
      <c r="D1361" s="21" t="s">
        <v>6336</v>
      </c>
      <c r="E1361" s="21" t="s">
        <v>10100</v>
      </c>
      <c r="F1361" s="21" t="s">
        <v>23906</v>
      </c>
    </row>
    <row r="1362" customFormat="false" ht="28.35" hidden="false" customHeight="false" outlineLevel="0" collapsed="false">
      <c r="B1362" s="19" t="s">
        <v>23907</v>
      </c>
      <c r="C1362" s="20" t="n">
        <f aca="false">ROUND(26/FX,2)</f>
        <v>3.61</v>
      </c>
      <c r="D1362" s="21" t="s">
        <v>6336</v>
      </c>
      <c r="E1362" s="21" t="s">
        <v>10100</v>
      </c>
      <c r="F1362" s="21" t="s">
        <v>23908</v>
      </c>
    </row>
    <row r="1363" customFormat="false" ht="15" hidden="false" customHeight="false" outlineLevel="0" collapsed="false">
      <c r="B1363" s="19" t="s">
        <v>23909</v>
      </c>
      <c r="C1363" s="20" t="n">
        <f aca="false">ROUND(10.27/FX,2)</f>
        <v>1.43</v>
      </c>
      <c r="D1363" s="21" t="s">
        <v>6336</v>
      </c>
      <c r="E1363" s="21" t="s">
        <v>10100</v>
      </c>
      <c r="F1363" s="21" t="s">
        <v>23910</v>
      </c>
    </row>
    <row r="1364" customFormat="false" ht="15" hidden="false" customHeight="false" outlineLevel="0" collapsed="false">
      <c r="B1364" s="19" t="s">
        <v>23911</v>
      </c>
      <c r="C1364" s="20" t="n">
        <f aca="false">ROUND(20.8/FX,2)</f>
        <v>2.89</v>
      </c>
      <c r="D1364" s="21" t="s">
        <v>6336</v>
      </c>
      <c r="E1364" s="21" t="s">
        <v>10100</v>
      </c>
      <c r="F1364" s="21" t="s">
        <v>23912</v>
      </c>
    </row>
    <row r="1365" customFormat="false" ht="15" hidden="false" customHeight="false" outlineLevel="0" collapsed="false">
      <c r="B1365" s="19" t="s">
        <v>23913</v>
      </c>
      <c r="C1365" s="20" t="n">
        <f aca="false">ROUND(10.27/FX,2)</f>
        <v>1.43</v>
      </c>
      <c r="D1365" s="21" t="s">
        <v>6336</v>
      </c>
      <c r="E1365" s="21" t="s">
        <v>10100</v>
      </c>
      <c r="F1365" s="21" t="s">
        <v>23914</v>
      </c>
    </row>
    <row r="1366" customFormat="false" ht="15" hidden="false" customHeight="false" outlineLevel="0" collapsed="false">
      <c r="B1366" s="19" t="s">
        <v>23915</v>
      </c>
      <c r="C1366" s="20" t="n">
        <f aca="false">ROUND(7.41/FX,2)</f>
        <v>1.03</v>
      </c>
      <c r="D1366" s="21" t="s">
        <v>6336</v>
      </c>
      <c r="E1366" s="21" t="s">
        <v>10100</v>
      </c>
      <c r="F1366" s="21" t="s">
        <v>23916</v>
      </c>
    </row>
    <row r="1367" customFormat="false" ht="15" hidden="false" customHeight="false" outlineLevel="0" collapsed="false">
      <c r="B1367" s="19" t="s">
        <v>23917</v>
      </c>
      <c r="C1367" s="20" t="n">
        <f aca="false">ROUND(7.41/FX,2)</f>
        <v>1.03</v>
      </c>
      <c r="D1367" s="21" t="s">
        <v>6336</v>
      </c>
      <c r="E1367" s="21" t="s">
        <v>10100</v>
      </c>
      <c r="F1367" s="21" t="s">
        <v>23918</v>
      </c>
    </row>
    <row r="1368" customFormat="false" ht="15" hidden="false" customHeight="false" outlineLevel="0" collapsed="false">
      <c r="B1368" s="19" t="s">
        <v>23919</v>
      </c>
      <c r="C1368" s="20" t="n">
        <f aca="false">ROUND(13/FX,2)</f>
        <v>1.81</v>
      </c>
      <c r="D1368" s="21" t="s">
        <v>6336</v>
      </c>
      <c r="E1368" s="21" t="s">
        <v>10100</v>
      </c>
      <c r="F1368" s="21" t="s">
        <v>23920</v>
      </c>
    </row>
    <row r="1369" customFormat="false" ht="15" hidden="false" customHeight="false" outlineLevel="0" collapsed="false">
      <c r="B1369" s="19" t="s">
        <v>23921</v>
      </c>
      <c r="C1369" s="20" t="n">
        <f aca="false">ROUND(13/FX,2)</f>
        <v>1.81</v>
      </c>
      <c r="D1369" s="21" t="s">
        <v>6336</v>
      </c>
      <c r="E1369" s="21" t="s">
        <v>10100</v>
      </c>
      <c r="F1369" s="21" t="s">
        <v>23922</v>
      </c>
    </row>
    <row r="1372" customFormat="false" ht="61.5" hidden="false" customHeight="true" outlineLevel="0" collapsed="false">
      <c r="A1372" s="9"/>
      <c r="B1372" s="10" t="s">
        <v>23923</v>
      </c>
      <c r="C1372" s="10"/>
      <c r="D1372" s="10"/>
      <c r="E1372" s="10"/>
    </row>
    <row r="1373" customFormat="false" ht="15" hidden="false" customHeight="false" outlineLevel="0" collapsed="false">
      <c r="A1373" s="12" t="s">
        <v>700</v>
      </c>
      <c r="B1373" s="13" t="s">
        <v>701</v>
      </c>
      <c r="C1373" s="13" t="s">
        <v>702</v>
      </c>
      <c r="D1373" s="13" t="s">
        <v>722</v>
      </c>
      <c r="E1373" s="13" t="s">
        <v>723</v>
      </c>
    </row>
    <row r="1374" customFormat="false" ht="30" hidden="false" customHeight="true" outlineLevel="0" collapsed="false">
      <c r="A1374" s="14" t="s">
        <v>706</v>
      </c>
      <c r="B1374" s="15" t="str">
        <f aca="false">IF(COUNTIFS($D$1377:$D$1384,IF(D1374="","*",D1374),$E$1377:$E$1384,IF(E1374="","*",E1374))=1,INDEX($B:$B,SUMPRODUCT(((D1374="")+($D$1377:$D$1384=D1374)&gt;0)*((E1374="")+($E$1377:$E$1384=E1374)&gt;0)*ROW($B$1377:$B$1384))),IF(COUNTIFS($D$1377:$D$1384,IF(D1374="","*",D1374),$E$1377:$E$1384,IF(E1374="","*",E1374))=0,"Not available",COUNTIFS($D$1377:$D$1384,IF(D1374="","*",D1374),$E$1377:$E$1384,IF(E1374="","*",E1374))&amp;" match, keep choosing"))</f>
        <v>AL-042-45NJWXJT</v>
      </c>
      <c r="C1374" s="16" t="n">
        <f aca="false">IF(COUNTIFS($D$1377:$D$1384,IF(D1374="","*",D1374),$E$1377:$E$1384,IF(E1374="","*",E1374))=1,INDEX($C:$C,SUMPRODUCT(((D1374="")+($D$1377:$D$1384=D1374)&gt;0)*((E1374="")+($E$1377:$E$1384=E1374)&gt;0)*ROW($B$1377:$B$1384))),"")</f>
        <v>0.33</v>
      </c>
      <c r="D1374" s="17" t="s">
        <v>6336</v>
      </c>
      <c r="E1374" s="17" t="s">
        <v>23924</v>
      </c>
    </row>
    <row r="1376" customFormat="false" ht="15" hidden="false" customHeight="false" outlineLevel="0" collapsed="false">
      <c r="B1376" s="18" t="s">
        <v>701</v>
      </c>
      <c r="C1376" s="18" t="s">
        <v>702</v>
      </c>
      <c r="D1376" s="18" t="s">
        <v>722</v>
      </c>
      <c r="E1376" s="18" t="s">
        <v>723</v>
      </c>
    </row>
    <row r="1377" customFormat="false" ht="15" hidden="false" customHeight="false" outlineLevel="0" collapsed="false">
      <c r="B1377" s="19" t="s">
        <v>23925</v>
      </c>
      <c r="C1377" s="20" t="n">
        <f aca="false">ROUND(2.35/FX,2)</f>
        <v>0.33</v>
      </c>
      <c r="D1377" s="21" t="s">
        <v>6336</v>
      </c>
      <c r="E1377" s="21" t="s">
        <v>23924</v>
      </c>
    </row>
    <row r="1378" customFormat="false" ht="28.35" hidden="false" customHeight="false" outlineLevel="0" collapsed="false">
      <c r="B1378" s="19" t="s">
        <v>23926</v>
      </c>
      <c r="C1378" s="20" t="n">
        <f aca="false">ROUND(7/FX,2)</f>
        <v>0.97</v>
      </c>
      <c r="D1378" s="21" t="s">
        <v>724</v>
      </c>
      <c r="E1378" s="21" t="s">
        <v>23927</v>
      </c>
    </row>
    <row r="1379" customFormat="false" ht="28.35" hidden="false" customHeight="false" outlineLevel="0" collapsed="false">
      <c r="B1379" s="19" t="s">
        <v>23928</v>
      </c>
      <c r="C1379" s="20" t="n">
        <f aca="false">ROUND(28/FX,2)</f>
        <v>3.89</v>
      </c>
      <c r="D1379" s="21" t="s">
        <v>724</v>
      </c>
      <c r="E1379" s="21" t="s">
        <v>23929</v>
      </c>
    </row>
    <row r="1380" customFormat="false" ht="28.35" hidden="false" customHeight="false" outlineLevel="0" collapsed="false">
      <c r="B1380" s="19" t="s">
        <v>23930</v>
      </c>
      <c r="C1380" s="20" t="n">
        <f aca="false">ROUND(1.8/FX,2)</f>
        <v>0.25</v>
      </c>
      <c r="D1380" s="21" t="s">
        <v>6336</v>
      </c>
      <c r="E1380" s="21" t="s">
        <v>23931</v>
      </c>
    </row>
    <row r="1381" customFormat="false" ht="28.35" hidden="false" customHeight="false" outlineLevel="0" collapsed="false">
      <c r="B1381" s="19" t="s">
        <v>23932</v>
      </c>
      <c r="C1381" s="20" t="n">
        <f aca="false">ROUND(2.9/FX,2)</f>
        <v>0.4</v>
      </c>
      <c r="D1381" s="21" t="s">
        <v>6336</v>
      </c>
      <c r="E1381" s="21" t="s">
        <v>23933</v>
      </c>
    </row>
    <row r="1382" customFormat="false" ht="28.35" hidden="false" customHeight="false" outlineLevel="0" collapsed="false">
      <c r="B1382" s="19" t="s">
        <v>23934</v>
      </c>
      <c r="C1382" s="20" t="n">
        <f aca="false">ROUND(0.42/FX,2)</f>
        <v>0.06</v>
      </c>
      <c r="D1382" s="21" t="s">
        <v>6336</v>
      </c>
      <c r="E1382" s="21" t="s">
        <v>23935</v>
      </c>
    </row>
    <row r="1383" customFormat="false" ht="28.35" hidden="false" customHeight="false" outlineLevel="0" collapsed="false">
      <c r="B1383" s="19" t="s">
        <v>23936</v>
      </c>
      <c r="C1383" s="20" t="n">
        <f aca="false">ROUND(0.26/FX,2)</f>
        <v>0.04</v>
      </c>
      <c r="D1383" s="21" t="s">
        <v>6336</v>
      </c>
      <c r="E1383" s="21" t="s">
        <v>23937</v>
      </c>
    </row>
    <row r="1384" customFormat="false" ht="28.35" hidden="false" customHeight="false" outlineLevel="0" collapsed="false">
      <c r="B1384" s="19" t="s">
        <v>23938</v>
      </c>
      <c r="C1384" s="20" t="n">
        <f aca="false">ROUND(4.29/FX,2)</f>
        <v>0.6</v>
      </c>
      <c r="D1384" s="21" t="s">
        <v>6336</v>
      </c>
      <c r="E1384" s="21" t="s">
        <v>23939</v>
      </c>
    </row>
    <row r="1387" customFormat="false" ht="61.5" hidden="false" customHeight="true" outlineLevel="0" collapsed="false">
      <c r="A1387" s="9"/>
      <c r="B1387" s="10" t="s">
        <v>23940</v>
      </c>
      <c r="C1387" s="10"/>
      <c r="D1387" s="10"/>
    </row>
    <row r="1388" customFormat="false" ht="15" hidden="false" customHeight="false" outlineLevel="0" collapsed="false">
      <c r="B1388" s="18" t="s">
        <v>701</v>
      </c>
      <c r="C1388" s="18" t="s">
        <v>702</v>
      </c>
      <c r="D1388" s="18" t="s">
        <v>5610</v>
      </c>
    </row>
    <row r="1389" customFormat="false" ht="15" hidden="false" customHeight="false" outlineLevel="0" collapsed="false">
      <c r="B1389" s="19" t="s">
        <v>23941</v>
      </c>
      <c r="C1389" s="20" t="n">
        <f aca="false">ROUND(1.59/FX,2)</f>
        <v>0.22</v>
      </c>
      <c r="D1389" s="22" t="s">
        <v>5612</v>
      </c>
    </row>
    <row r="1392" customFormat="false" ht="61.5" hidden="false" customHeight="true" outlineLevel="0" collapsed="false">
      <c r="A1392" s="9"/>
      <c r="B1392" s="10" t="s">
        <v>23942</v>
      </c>
      <c r="C1392" s="10"/>
      <c r="D1392" s="10"/>
    </row>
    <row r="1393" customFormat="false" ht="15" hidden="false" customHeight="false" outlineLevel="0" collapsed="false">
      <c r="B1393" s="18" t="s">
        <v>701</v>
      </c>
      <c r="C1393" s="18" t="s">
        <v>702</v>
      </c>
      <c r="D1393" s="18" t="s">
        <v>5610</v>
      </c>
    </row>
    <row r="1394" customFormat="false" ht="15" hidden="false" customHeight="false" outlineLevel="0" collapsed="false">
      <c r="B1394" s="19" t="s">
        <v>23943</v>
      </c>
      <c r="C1394" s="20" t="n">
        <f aca="false">ROUND(1.43/FX,2)</f>
        <v>0.2</v>
      </c>
      <c r="D1394" s="22" t="s">
        <v>5612</v>
      </c>
    </row>
    <row r="1397" customFormat="false" ht="61.5" hidden="false" customHeight="true" outlineLevel="0" collapsed="false">
      <c r="A1397" s="9"/>
      <c r="B1397" s="10" t="s">
        <v>23944</v>
      </c>
      <c r="C1397" s="10"/>
      <c r="D1397" s="10"/>
      <c r="E1397" s="10"/>
      <c r="F1397" s="10"/>
    </row>
    <row r="1398" customFormat="false" ht="15" hidden="false" customHeight="false" outlineLevel="0" collapsed="false">
      <c r="A1398" s="12" t="s">
        <v>700</v>
      </c>
      <c r="B1398" s="13" t="s">
        <v>701</v>
      </c>
      <c r="C1398" s="13" t="s">
        <v>702</v>
      </c>
      <c r="D1398" s="13" t="s">
        <v>722</v>
      </c>
      <c r="E1398" s="13" t="s">
        <v>705</v>
      </c>
      <c r="F1398" s="13" t="s">
        <v>723</v>
      </c>
    </row>
    <row r="1399" customFormat="false" ht="30" hidden="false" customHeight="true" outlineLevel="0" collapsed="false">
      <c r="A1399" s="14" t="s">
        <v>706</v>
      </c>
      <c r="B1399" s="15" t="str">
        <f aca="false">IF(COUNTIFS($D$1402:$D$1413,IF(D1399="","*",D1399),$E$1402:$E$1413,IF(E1399="","*",E1399),$F$1402:$F$1413,IF(F1399="","*",F1399))=1,INDEX($B:$B,SUMPRODUCT(((D1399="")+($D$1402:$D$1413=D1399)&gt;0)*((E1399="")+($E$1402:$E$1413=E1399)&gt;0)*((F1399="")+($F$1402:$F$1413=F1399)&gt;0)*ROW($B$1402:$B$1413))),IF(COUNTIFS($D$1402:$D$1413,IF(D1399="","*",D1399),$E$1402:$E$1413,IF(E1399="","*",E1399),$F$1402:$F$1413,IF(F1399="","*",F1399))=0,"Not available",COUNTIFS($D$1402:$D$1413,IF(D1399="","*",D1399),$E$1402:$E$1413,IF(E1399="","*",E1399),$F$1402:$F$1413,IF(F1399="","*",F1399))&amp;" match, keep choosing"))</f>
        <v>AL-025-BK-4040-YK-P2</v>
      </c>
      <c r="C1399" s="16" t="n">
        <f aca="false">IF(COUNTIFS($D$1402:$D$1413,IF(D1399="","*",D1399),$E$1402:$E$1413,IF(E1399="","*",E1399),$F$1402:$F$1413,IF(F1399="","*",F1399))=1,INDEX($C:$C,SUMPRODUCT(((D1399="")+($D$1402:$D$1413=D1399)&gt;0)*((E1399="")+($E$1402:$E$1413=E1399)&gt;0)*((F1399="")+($F$1402:$F$1413=F1399)&gt;0)*ROW($B$1402:$B$1413))),"")</f>
        <v>0.39</v>
      </c>
      <c r="D1399" s="17" t="s">
        <v>724</v>
      </c>
      <c r="E1399" s="17" t="s">
        <v>13739</v>
      </c>
      <c r="F1399" s="17" t="s">
        <v>23945</v>
      </c>
    </row>
    <row r="1401" customFormat="false" ht="15" hidden="false" customHeight="false" outlineLevel="0" collapsed="false">
      <c r="B1401" s="18" t="s">
        <v>701</v>
      </c>
      <c r="C1401" s="18" t="s">
        <v>702</v>
      </c>
      <c r="D1401" s="18" t="s">
        <v>722</v>
      </c>
      <c r="E1401" s="18" t="s">
        <v>705</v>
      </c>
      <c r="F1401" s="18" t="s">
        <v>723</v>
      </c>
    </row>
    <row r="1402" customFormat="false" ht="15" hidden="false" customHeight="false" outlineLevel="0" collapsed="false">
      <c r="B1402" s="19" t="s">
        <v>23946</v>
      </c>
      <c r="C1402" s="20" t="n">
        <f aca="false">ROUND(2.8/FX,2)</f>
        <v>0.39</v>
      </c>
      <c r="D1402" s="21" t="s">
        <v>724</v>
      </c>
      <c r="E1402" s="21" t="s">
        <v>13739</v>
      </c>
      <c r="F1402" s="21" t="s">
        <v>23945</v>
      </c>
    </row>
    <row r="1403" customFormat="false" ht="41.75" hidden="false" customHeight="false" outlineLevel="0" collapsed="false">
      <c r="B1403" s="19" t="s">
        <v>23947</v>
      </c>
      <c r="C1403" s="20" t="n">
        <f aca="false">ROUND(3.06/FX,2)</f>
        <v>0.43</v>
      </c>
      <c r="D1403" s="21" t="s">
        <v>724</v>
      </c>
      <c r="E1403" s="21" t="s">
        <v>13732</v>
      </c>
      <c r="F1403" s="21" t="s">
        <v>23948</v>
      </c>
    </row>
    <row r="1404" customFormat="false" ht="15" hidden="false" customHeight="false" outlineLevel="0" collapsed="false">
      <c r="B1404" s="19" t="s">
        <v>23949</v>
      </c>
      <c r="C1404" s="20" t="n">
        <f aca="false">ROUND(4.55/FX,2)</f>
        <v>0.63</v>
      </c>
      <c r="D1404" s="21" t="s">
        <v>6362</v>
      </c>
      <c r="E1404" s="21" t="s">
        <v>13739</v>
      </c>
      <c r="F1404" s="21" t="s">
        <v>23945</v>
      </c>
    </row>
    <row r="1405" customFormat="false" ht="15" hidden="false" customHeight="false" outlineLevel="0" collapsed="false">
      <c r="B1405" s="19" t="s">
        <v>23950</v>
      </c>
      <c r="C1405" s="20" t="n">
        <f aca="false">ROUND(1.69/FX,2)</f>
        <v>0.23</v>
      </c>
      <c r="D1405" s="21" t="s">
        <v>751</v>
      </c>
      <c r="E1405" s="21" t="s">
        <v>13739</v>
      </c>
      <c r="F1405" s="21" t="s">
        <v>23951</v>
      </c>
    </row>
    <row r="1406" customFormat="false" ht="15" hidden="false" customHeight="false" outlineLevel="0" collapsed="false">
      <c r="B1406" s="19" t="s">
        <v>23952</v>
      </c>
      <c r="C1406" s="20" t="n">
        <f aca="false">ROUND(1.89/FX,2)</f>
        <v>0.26</v>
      </c>
      <c r="D1406" s="21" t="s">
        <v>751</v>
      </c>
      <c r="E1406" s="21" t="s">
        <v>14013</v>
      </c>
      <c r="F1406" s="21" t="s">
        <v>23951</v>
      </c>
    </row>
    <row r="1407" customFormat="false" ht="15" hidden="false" customHeight="false" outlineLevel="0" collapsed="false">
      <c r="B1407" s="19" t="s">
        <v>23953</v>
      </c>
      <c r="C1407" s="20" t="n">
        <f aca="false">ROUND(4.55/FX,2)</f>
        <v>0.63</v>
      </c>
      <c r="D1407" s="21" t="s">
        <v>751</v>
      </c>
      <c r="E1407" s="21" t="s">
        <v>21722</v>
      </c>
      <c r="F1407" s="21" t="s">
        <v>23954</v>
      </c>
    </row>
    <row r="1408" customFormat="false" ht="15" hidden="false" customHeight="false" outlineLevel="0" collapsed="false">
      <c r="B1408" s="19" t="s">
        <v>23955</v>
      </c>
      <c r="C1408" s="20" t="n">
        <f aca="false">ROUND(1.69/FX,2)</f>
        <v>0.23</v>
      </c>
      <c r="D1408" s="21" t="s">
        <v>751</v>
      </c>
      <c r="E1408" s="21" t="s">
        <v>13739</v>
      </c>
      <c r="F1408" s="21" t="s">
        <v>23956</v>
      </c>
    </row>
    <row r="1409" customFormat="false" ht="15" hidden="false" customHeight="false" outlineLevel="0" collapsed="false">
      <c r="B1409" s="19" t="s">
        <v>23957</v>
      </c>
      <c r="C1409" s="20" t="n">
        <f aca="false">ROUND(3.12/FX,2)</f>
        <v>0.43</v>
      </c>
      <c r="D1409" s="21" t="s">
        <v>751</v>
      </c>
      <c r="E1409" s="21" t="s">
        <v>14013</v>
      </c>
      <c r="F1409" s="21" t="s">
        <v>23956</v>
      </c>
    </row>
    <row r="1410" customFormat="false" ht="15" hidden="false" customHeight="false" outlineLevel="0" collapsed="false">
      <c r="B1410" s="19" t="s">
        <v>23958</v>
      </c>
      <c r="C1410" s="20" t="n">
        <f aca="false">ROUND(4.29/FX,2)</f>
        <v>0.6</v>
      </c>
      <c r="D1410" s="21" t="s">
        <v>751</v>
      </c>
      <c r="E1410" s="21" t="s">
        <v>14013</v>
      </c>
      <c r="F1410" s="21" t="s">
        <v>23959</v>
      </c>
    </row>
    <row r="1411" customFormat="false" ht="15" hidden="false" customHeight="false" outlineLevel="0" collapsed="false">
      <c r="B1411" s="19" t="s">
        <v>23960</v>
      </c>
      <c r="C1411" s="20" t="n">
        <f aca="false">ROUND(2.41/FX,2)</f>
        <v>0.33</v>
      </c>
      <c r="D1411" s="21" t="s">
        <v>751</v>
      </c>
      <c r="E1411" s="21" t="s">
        <v>13739</v>
      </c>
      <c r="F1411" s="21" t="s">
        <v>23945</v>
      </c>
    </row>
    <row r="1412" customFormat="false" ht="15" hidden="false" customHeight="false" outlineLevel="0" collapsed="false">
      <c r="B1412" s="19" t="s">
        <v>23961</v>
      </c>
      <c r="C1412" s="20" t="n">
        <f aca="false">ROUND(8.32/FX,2)</f>
        <v>1.16</v>
      </c>
      <c r="D1412" s="21" t="s">
        <v>751</v>
      </c>
      <c r="E1412" s="21" t="s">
        <v>14013</v>
      </c>
      <c r="F1412" s="21" t="s">
        <v>23962</v>
      </c>
    </row>
    <row r="1413" customFormat="false" ht="41.75" hidden="false" customHeight="false" outlineLevel="0" collapsed="false">
      <c r="B1413" s="19" t="s">
        <v>23963</v>
      </c>
      <c r="C1413" s="20" t="n">
        <f aca="false">ROUND(3.06/FX,2)</f>
        <v>0.43</v>
      </c>
      <c r="D1413" s="21" t="s">
        <v>751</v>
      </c>
      <c r="E1413" s="21" t="s">
        <v>13732</v>
      </c>
      <c r="F1413" s="21" t="s">
        <v>23948</v>
      </c>
    </row>
    <row r="1416" customFormat="false" ht="61.5" hidden="false" customHeight="true" outlineLevel="0" collapsed="false">
      <c r="A1416" s="9"/>
      <c r="B1416" s="10" t="s">
        <v>23964</v>
      </c>
      <c r="C1416" s="10"/>
      <c r="D1416" s="10"/>
      <c r="E1416" s="10"/>
    </row>
    <row r="1417" customFormat="false" ht="15" hidden="false" customHeight="true" outlineLevel="0" collapsed="false">
      <c r="B1417" s="11" t="s">
        <v>23965</v>
      </c>
      <c r="C1417" s="11"/>
      <c r="D1417" s="11"/>
      <c r="E1417" s="11"/>
    </row>
    <row r="1418" customFormat="false" ht="15" hidden="false" customHeight="false" outlineLevel="0" collapsed="false">
      <c r="A1418" s="12" t="s">
        <v>700</v>
      </c>
      <c r="B1418" s="13" t="s">
        <v>701</v>
      </c>
      <c r="C1418" s="13" t="s">
        <v>702</v>
      </c>
      <c r="D1418" s="13" t="s">
        <v>722</v>
      </c>
      <c r="E1418" s="13" t="s">
        <v>723</v>
      </c>
    </row>
    <row r="1419" customFormat="false" ht="30" hidden="false" customHeight="true" outlineLevel="0" collapsed="false">
      <c r="A1419" s="14" t="s">
        <v>706</v>
      </c>
      <c r="B1419" s="15" t="str">
        <f aca="false">IF(COUNTIFS($D$1422:$D$1434,IF(D1419="","*",D1419),$E$1422:$E$1434,IF(E1419="","*",E1419))=1,INDEX($B:$B,SUMPRODUCT(((D1419="")+($D$1422:$D$1434=D1419)&gt;0)*((E1419="")+($E$1422:$E$1434=E1419)&gt;0)*ROW($B$1422:$B$1434))),IF(COUNTIFS($D$1422:$D$1434,IF(D1419="","*",D1419),$E$1422:$E$1434,IF(E1419="","*",E1419))=0,"Not available",COUNTIFS($D$1422:$D$1434,IF(D1419="","*",D1419),$E$1422:$E$1434,IF(E1419="","*",E1419))&amp;" match, keep choosing"))</f>
        <v>AL-048-BK-12LMZ</v>
      </c>
      <c r="C1419" s="16" t="n">
        <f aca="false">IF(COUNTIFS($D$1422:$D$1434,IF(D1419="","*",D1419),$E$1422:$E$1434,IF(E1419="","*",E1419))=1,INDEX($C:$C,SUMPRODUCT(((D1419="")+($D$1422:$D$1434=D1419)&gt;0)*((E1419="")+($E$1422:$E$1434=E1419)&gt;0)*ROW($B$1422:$B$1434))),"")</f>
        <v>0.63</v>
      </c>
      <c r="D1419" s="17" t="s">
        <v>724</v>
      </c>
      <c r="E1419" s="17" t="s">
        <v>23966</v>
      </c>
    </row>
    <row r="1421" customFormat="false" ht="15" hidden="false" customHeight="false" outlineLevel="0" collapsed="false">
      <c r="B1421" s="18" t="s">
        <v>701</v>
      </c>
      <c r="C1421" s="18" t="s">
        <v>702</v>
      </c>
      <c r="D1421" s="18" t="s">
        <v>722</v>
      </c>
      <c r="E1421" s="18" t="s">
        <v>723</v>
      </c>
    </row>
    <row r="1422" customFormat="false" ht="15" hidden="false" customHeight="false" outlineLevel="0" collapsed="false">
      <c r="B1422" s="19" t="s">
        <v>23967</v>
      </c>
      <c r="C1422" s="20" t="n">
        <f aca="false">ROUND(4.55/FX,2)</f>
        <v>0.63</v>
      </c>
      <c r="D1422" s="21" t="s">
        <v>724</v>
      </c>
      <c r="E1422" s="21" t="s">
        <v>23966</v>
      </c>
    </row>
    <row r="1423" customFormat="false" ht="15" hidden="false" customHeight="false" outlineLevel="0" collapsed="false">
      <c r="B1423" s="19" t="s">
        <v>23968</v>
      </c>
      <c r="C1423" s="20" t="n">
        <f aca="false">ROUND(2.7/FX,2)</f>
        <v>0.38</v>
      </c>
      <c r="D1423" s="21" t="s">
        <v>724</v>
      </c>
      <c r="E1423" s="21" t="s">
        <v>23969</v>
      </c>
    </row>
    <row r="1424" customFormat="false" ht="15" hidden="false" customHeight="false" outlineLevel="0" collapsed="false">
      <c r="B1424" s="19" t="s">
        <v>23970</v>
      </c>
      <c r="C1424" s="20" t="n">
        <f aca="false">ROUND(3.64/FX,2)</f>
        <v>0.51</v>
      </c>
      <c r="D1424" s="21" t="s">
        <v>6336</v>
      </c>
      <c r="E1424" s="21" t="s">
        <v>23971</v>
      </c>
    </row>
    <row r="1425" customFormat="false" ht="15" hidden="false" customHeight="false" outlineLevel="0" collapsed="false">
      <c r="B1425" s="19" t="s">
        <v>23972</v>
      </c>
      <c r="C1425" s="20" t="n">
        <f aca="false">ROUND(4.81/FX,2)</f>
        <v>0.67</v>
      </c>
      <c r="D1425" s="21" t="s">
        <v>6336</v>
      </c>
      <c r="E1425" s="21" t="s">
        <v>23973</v>
      </c>
    </row>
    <row r="1426" customFormat="false" ht="15" hidden="false" customHeight="false" outlineLevel="0" collapsed="false">
      <c r="B1426" s="19" t="s">
        <v>23974</v>
      </c>
      <c r="C1426" s="20" t="n">
        <f aca="false">ROUND(3.64/FX,2)</f>
        <v>0.51</v>
      </c>
      <c r="D1426" s="21" t="s">
        <v>6336</v>
      </c>
      <c r="E1426" s="21" t="s">
        <v>23975</v>
      </c>
    </row>
    <row r="1427" customFormat="false" ht="15" hidden="false" customHeight="false" outlineLevel="0" collapsed="false">
      <c r="B1427" s="19" t="s">
        <v>23976</v>
      </c>
      <c r="C1427" s="20" t="n">
        <f aca="false">ROUND(4.81/FX,2)</f>
        <v>0.67</v>
      </c>
      <c r="D1427" s="21" t="s">
        <v>6336</v>
      </c>
      <c r="E1427" s="21" t="s">
        <v>23977</v>
      </c>
    </row>
    <row r="1428" customFormat="false" ht="15" hidden="false" customHeight="false" outlineLevel="0" collapsed="false">
      <c r="B1428" s="19" t="s">
        <v>23978</v>
      </c>
      <c r="C1428" s="20" t="n">
        <f aca="false">ROUND(3.64/FX,2)</f>
        <v>0.51</v>
      </c>
      <c r="D1428" s="21" t="s">
        <v>6336</v>
      </c>
      <c r="E1428" s="21" t="s">
        <v>23979</v>
      </c>
    </row>
    <row r="1429" customFormat="false" ht="28.35" hidden="false" customHeight="false" outlineLevel="0" collapsed="false">
      <c r="B1429" s="19" t="s">
        <v>23980</v>
      </c>
      <c r="C1429" s="20" t="n">
        <f aca="false">ROUND(3.64/FX,2)</f>
        <v>0.51</v>
      </c>
      <c r="D1429" s="21" t="s">
        <v>6336</v>
      </c>
      <c r="E1429" s="21" t="s">
        <v>23981</v>
      </c>
    </row>
    <row r="1430" customFormat="false" ht="28.35" hidden="false" customHeight="false" outlineLevel="0" collapsed="false">
      <c r="B1430" s="19" t="s">
        <v>23982</v>
      </c>
      <c r="C1430" s="20" t="n">
        <f aca="false">ROUND(4.81/FX,2)</f>
        <v>0.67</v>
      </c>
      <c r="D1430" s="21" t="s">
        <v>6336</v>
      </c>
      <c r="E1430" s="21" t="s">
        <v>23983</v>
      </c>
    </row>
    <row r="1431" customFormat="false" ht="15" hidden="false" customHeight="false" outlineLevel="0" collapsed="false">
      <c r="B1431" s="19" t="s">
        <v>23984</v>
      </c>
      <c r="C1431" s="20" t="n">
        <f aca="false">ROUND(4.81/FX,2)</f>
        <v>0.67</v>
      </c>
      <c r="D1431" s="21" t="s">
        <v>6549</v>
      </c>
      <c r="E1431" s="21" t="s">
        <v>23966</v>
      </c>
    </row>
    <row r="1432" customFormat="false" ht="15" hidden="false" customHeight="false" outlineLevel="0" collapsed="false">
      <c r="B1432" s="19" t="s">
        <v>23985</v>
      </c>
      <c r="C1432" s="20" t="n">
        <f aca="false">ROUND(3.64/FX,2)</f>
        <v>0.51</v>
      </c>
      <c r="D1432" s="21" t="s">
        <v>6549</v>
      </c>
      <c r="E1432" s="21" t="s">
        <v>23969</v>
      </c>
    </row>
    <row r="1433" customFormat="false" ht="15" hidden="false" customHeight="false" outlineLevel="0" collapsed="false">
      <c r="B1433" s="19" t="s">
        <v>23986</v>
      </c>
      <c r="C1433" s="20" t="n">
        <f aca="false">ROUND(4.55/FX,2)</f>
        <v>0.63</v>
      </c>
      <c r="D1433" s="21" t="s">
        <v>751</v>
      </c>
      <c r="E1433" s="21" t="s">
        <v>23966</v>
      </c>
    </row>
    <row r="1434" customFormat="false" ht="15" hidden="false" customHeight="false" outlineLevel="0" collapsed="false">
      <c r="B1434" s="19" t="s">
        <v>23987</v>
      </c>
      <c r="C1434" s="20" t="n">
        <f aca="false">ROUND(3.25/FX,2)</f>
        <v>0.45</v>
      </c>
      <c r="D1434" s="21" t="s">
        <v>751</v>
      </c>
      <c r="E1434" s="21" t="s">
        <v>23969</v>
      </c>
    </row>
    <row r="1437" customFormat="false" ht="61.5" hidden="false" customHeight="true" outlineLevel="0" collapsed="false">
      <c r="A1437" s="9"/>
      <c r="B1437" s="10" t="s">
        <v>23988</v>
      </c>
      <c r="C1437" s="10"/>
      <c r="D1437" s="10"/>
      <c r="E1437" s="10"/>
      <c r="F1437" s="10"/>
    </row>
    <row r="1438" customFormat="false" ht="15" hidden="false" customHeight="false" outlineLevel="0" collapsed="false">
      <c r="A1438" s="12" t="s">
        <v>700</v>
      </c>
      <c r="B1438" s="13" t="s">
        <v>701</v>
      </c>
      <c r="C1438" s="13" t="s">
        <v>702</v>
      </c>
      <c r="D1438" s="13" t="s">
        <v>722</v>
      </c>
      <c r="E1438" s="13" t="s">
        <v>704</v>
      </c>
      <c r="F1438" s="13" t="s">
        <v>723</v>
      </c>
    </row>
    <row r="1439" customFormat="false" ht="30" hidden="false" customHeight="true" outlineLevel="0" collapsed="false">
      <c r="A1439" s="14" t="s">
        <v>706</v>
      </c>
      <c r="B1439" s="15" t="str">
        <f aca="false">IF(COUNTIFS($D$1442:$D$1465,IF(D1439="","*",D1439),$E$1442:$E$1465,IF(E1439="","*",E1439),$F$1442:$F$1465,IF(F1439="","*",F1439))=1,INDEX($B:$B,SUMPRODUCT(((D1439="")+($D$1442:$D$1465=D1439)&gt;0)*((E1439="")+($E$1442:$E$1465=E1439)&gt;0)*((F1439="")+($F$1442:$F$1465=F1439)&gt;0)*ROW($B$1442:$B$1465))),IF(COUNTIFS($D$1442:$D$1465,IF(D1439="","*",D1439),$E$1442:$E$1465,IF(E1439="","*",E1439),$F$1442:$F$1465,IF(F1439="","*",F1439))=0,"Not available",COUNTIFS($D$1442:$D$1465,IF(D1439="","*",D1439),$E$1442:$E$1465,IF(E1439="","*",E1439),$F$1442:$F$1465,IF(F1439="","*",F1439))&amp;" match, keep choosing"))</f>
        <v>AL-009-BK-AL-FX-KJ120EU30SETM6</v>
      </c>
      <c r="C1439" s="16" t="n">
        <f aca="false">IF(COUNTIFS($D$1442:$D$1465,IF(D1439="","*",D1439),$E$1442:$E$1465,IF(E1439="","*",E1439),$F$1442:$F$1465,IF(F1439="","*",F1439))=1,INDEX($C:$C,SUMPRODUCT(((D1439="")+($D$1442:$D$1465=D1439)&gt;0)*((E1439="")+($E$1442:$E$1465=E1439)&gt;0)*((F1439="")+($F$1442:$F$1465=F1439)&gt;0)*ROW($B$1442:$B$1465))),"")</f>
        <v>0.42</v>
      </c>
      <c r="D1439" s="17" t="s">
        <v>724</v>
      </c>
      <c r="E1439" s="17" t="s">
        <v>6550</v>
      </c>
      <c r="F1439" s="17" t="s">
        <v>23989</v>
      </c>
    </row>
    <row r="1441" customFormat="false" ht="15" hidden="false" customHeight="false" outlineLevel="0" collapsed="false">
      <c r="B1441" s="18" t="s">
        <v>701</v>
      </c>
      <c r="C1441" s="18" t="s">
        <v>702</v>
      </c>
      <c r="D1441" s="18" t="s">
        <v>722</v>
      </c>
      <c r="E1441" s="18" t="s">
        <v>704</v>
      </c>
      <c r="F1441" s="18" t="s">
        <v>723</v>
      </c>
    </row>
    <row r="1442" customFormat="false" ht="41.75" hidden="false" customHeight="false" outlineLevel="0" collapsed="false">
      <c r="B1442" s="19" t="s">
        <v>23990</v>
      </c>
      <c r="C1442" s="20" t="n">
        <f aca="false">ROUND(3.03/FX,2)</f>
        <v>0.42</v>
      </c>
      <c r="D1442" s="21" t="s">
        <v>724</v>
      </c>
      <c r="E1442" s="21" t="s">
        <v>6550</v>
      </c>
      <c r="F1442" s="21" t="s">
        <v>23989</v>
      </c>
    </row>
    <row r="1443" customFormat="false" ht="41.75" hidden="false" customHeight="false" outlineLevel="0" collapsed="false">
      <c r="B1443" s="19" t="s">
        <v>23991</v>
      </c>
      <c r="C1443" s="20" t="n">
        <f aca="false">ROUND(2.47/FX,2)</f>
        <v>0.34</v>
      </c>
      <c r="D1443" s="21" t="s">
        <v>724</v>
      </c>
      <c r="E1443" s="21" t="s">
        <v>6336</v>
      </c>
      <c r="F1443" s="21" t="s">
        <v>23992</v>
      </c>
    </row>
    <row r="1444" customFormat="false" ht="41.75" hidden="false" customHeight="false" outlineLevel="0" collapsed="false">
      <c r="B1444" s="19" t="s">
        <v>23993</v>
      </c>
      <c r="C1444" s="20" t="n">
        <f aca="false">ROUND(4.03/FX,2)</f>
        <v>0.56</v>
      </c>
      <c r="D1444" s="21" t="s">
        <v>724</v>
      </c>
      <c r="E1444" s="21" t="s">
        <v>6336</v>
      </c>
      <c r="F1444" s="21" t="s">
        <v>23994</v>
      </c>
    </row>
    <row r="1445" customFormat="false" ht="41.75" hidden="false" customHeight="false" outlineLevel="0" collapsed="false">
      <c r="B1445" s="19" t="s">
        <v>23995</v>
      </c>
      <c r="C1445" s="20" t="n">
        <f aca="false">ROUND(1.95/FX,2)</f>
        <v>0.27</v>
      </c>
      <c r="D1445" s="21" t="s">
        <v>724</v>
      </c>
      <c r="E1445" s="21" t="s">
        <v>6336</v>
      </c>
      <c r="F1445" s="21" t="s">
        <v>23996</v>
      </c>
    </row>
    <row r="1446" customFormat="false" ht="28.35" hidden="false" customHeight="false" outlineLevel="0" collapsed="false">
      <c r="B1446" s="19" t="s">
        <v>23997</v>
      </c>
      <c r="C1446" s="20" t="n">
        <f aca="false">ROUND(0.74/FX,2)</f>
        <v>0.1</v>
      </c>
      <c r="D1446" s="21" t="s">
        <v>724</v>
      </c>
      <c r="E1446" s="21" t="s">
        <v>6336</v>
      </c>
      <c r="F1446" s="21" t="s">
        <v>23998</v>
      </c>
    </row>
    <row r="1447" customFormat="false" ht="28.35" hidden="false" customHeight="false" outlineLevel="0" collapsed="false">
      <c r="B1447" s="19" t="s">
        <v>23999</v>
      </c>
      <c r="C1447" s="20" t="n">
        <f aca="false">ROUND(2.6/FX,2)</f>
        <v>0.36</v>
      </c>
      <c r="D1447" s="21" t="s">
        <v>724</v>
      </c>
      <c r="E1447" s="21" t="s">
        <v>6336</v>
      </c>
      <c r="F1447" s="21" t="s">
        <v>24000</v>
      </c>
    </row>
    <row r="1448" customFormat="false" ht="28.35" hidden="false" customHeight="false" outlineLevel="0" collapsed="false">
      <c r="B1448" s="19" t="s">
        <v>24001</v>
      </c>
      <c r="C1448" s="20" t="n">
        <f aca="false">ROUND(0.78/FX,2)</f>
        <v>0.11</v>
      </c>
      <c r="D1448" s="21" t="s">
        <v>724</v>
      </c>
      <c r="E1448" s="21" t="s">
        <v>6336</v>
      </c>
      <c r="F1448" s="21" t="s">
        <v>24002</v>
      </c>
    </row>
    <row r="1449" customFormat="false" ht="28.35" hidden="false" customHeight="false" outlineLevel="0" collapsed="false">
      <c r="B1449" s="19" t="s">
        <v>24003</v>
      </c>
      <c r="C1449" s="20" t="n">
        <f aca="false">ROUND(0.87/FX,2)</f>
        <v>0.12</v>
      </c>
      <c r="D1449" s="21" t="s">
        <v>724</v>
      </c>
      <c r="E1449" s="21" t="s">
        <v>6336</v>
      </c>
      <c r="F1449" s="21" t="s">
        <v>24004</v>
      </c>
    </row>
    <row r="1450" customFormat="false" ht="28.35" hidden="false" customHeight="false" outlineLevel="0" collapsed="false">
      <c r="B1450" s="19" t="s">
        <v>24005</v>
      </c>
      <c r="C1450" s="20" t="n">
        <f aca="false">ROUND(1.56/FX,2)</f>
        <v>0.22</v>
      </c>
      <c r="D1450" s="21" t="s">
        <v>724</v>
      </c>
      <c r="E1450" s="21" t="s">
        <v>6336</v>
      </c>
      <c r="F1450" s="21" t="s">
        <v>24006</v>
      </c>
    </row>
    <row r="1451" customFormat="false" ht="28.35" hidden="false" customHeight="false" outlineLevel="0" collapsed="false">
      <c r="B1451" s="19" t="s">
        <v>24007</v>
      </c>
      <c r="C1451" s="20" t="n">
        <f aca="false">ROUND(1.67/FX,2)</f>
        <v>0.23</v>
      </c>
      <c r="D1451" s="21" t="s">
        <v>724</v>
      </c>
      <c r="E1451" s="21" t="s">
        <v>6336</v>
      </c>
      <c r="F1451" s="21" t="s">
        <v>24008</v>
      </c>
    </row>
    <row r="1452" customFormat="false" ht="28.35" hidden="false" customHeight="false" outlineLevel="0" collapsed="false">
      <c r="B1452" s="19" t="s">
        <v>24009</v>
      </c>
      <c r="C1452" s="20" t="n">
        <f aca="false">ROUND(1.67/FX,2)</f>
        <v>0.23</v>
      </c>
      <c r="D1452" s="21" t="s">
        <v>724</v>
      </c>
      <c r="E1452" s="21" t="s">
        <v>6336</v>
      </c>
      <c r="F1452" s="21" t="s">
        <v>24010</v>
      </c>
    </row>
    <row r="1453" customFormat="false" ht="28.35" hidden="false" customHeight="false" outlineLevel="0" collapsed="false">
      <c r="B1453" s="19" t="s">
        <v>24011</v>
      </c>
      <c r="C1453" s="20" t="n">
        <f aca="false">ROUND(0.65/FX,2)</f>
        <v>0.09</v>
      </c>
      <c r="D1453" s="21" t="s">
        <v>724</v>
      </c>
      <c r="E1453" s="21" t="s">
        <v>6336</v>
      </c>
      <c r="F1453" s="21" t="s">
        <v>24012</v>
      </c>
    </row>
    <row r="1454" customFormat="false" ht="41.75" hidden="false" customHeight="false" outlineLevel="0" collapsed="false">
      <c r="B1454" s="19" t="s">
        <v>24013</v>
      </c>
      <c r="C1454" s="20" t="n">
        <f aca="false">ROUND(2.73/FX,2)</f>
        <v>0.38</v>
      </c>
      <c r="D1454" s="21" t="s">
        <v>724</v>
      </c>
      <c r="E1454" s="21" t="s">
        <v>6336</v>
      </c>
      <c r="F1454" s="21" t="s">
        <v>24014</v>
      </c>
    </row>
    <row r="1455" customFormat="false" ht="41.75" hidden="false" customHeight="false" outlineLevel="0" collapsed="false">
      <c r="B1455" s="19" t="s">
        <v>24015</v>
      </c>
      <c r="C1455" s="20" t="n">
        <f aca="false">ROUND(3.25/FX,2)</f>
        <v>0.45</v>
      </c>
      <c r="D1455" s="21" t="s">
        <v>724</v>
      </c>
      <c r="E1455" s="21" t="s">
        <v>6336</v>
      </c>
      <c r="F1455" s="21" t="s">
        <v>24016</v>
      </c>
    </row>
    <row r="1456" customFormat="false" ht="41.75" hidden="false" customHeight="false" outlineLevel="0" collapsed="false">
      <c r="B1456" s="19" t="s">
        <v>24017</v>
      </c>
      <c r="C1456" s="20" t="n">
        <f aca="false">ROUND(3.32/FX,2)</f>
        <v>0.46</v>
      </c>
      <c r="D1456" s="21" t="s">
        <v>724</v>
      </c>
      <c r="E1456" s="21" t="s">
        <v>6336</v>
      </c>
      <c r="F1456" s="21" t="s">
        <v>24018</v>
      </c>
    </row>
    <row r="1457" customFormat="false" ht="41.75" hidden="false" customHeight="false" outlineLevel="0" collapsed="false">
      <c r="B1457" s="19" t="s">
        <v>24019</v>
      </c>
      <c r="C1457" s="20" t="n">
        <f aca="false">ROUND(3.9/FX,2)</f>
        <v>0.54</v>
      </c>
      <c r="D1457" s="21" t="s">
        <v>6336</v>
      </c>
      <c r="E1457" s="21" t="s">
        <v>6336</v>
      </c>
      <c r="F1457" s="21" t="s">
        <v>24020</v>
      </c>
    </row>
    <row r="1458" customFormat="false" ht="41.75" hidden="false" customHeight="false" outlineLevel="0" collapsed="false">
      <c r="B1458" s="19" t="s">
        <v>24021</v>
      </c>
      <c r="C1458" s="20" t="n">
        <f aca="false">ROUND(5.98/FX,2)</f>
        <v>0.83</v>
      </c>
      <c r="D1458" s="21" t="s">
        <v>6336</v>
      </c>
      <c r="E1458" s="21" t="s">
        <v>6336</v>
      </c>
      <c r="F1458" s="21" t="s">
        <v>24022</v>
      </c>
    </row>
    <row r="1459" customFormat="false" ht="41.75" hidden="false" customHeight="false" outlineLevel="0" collapsed="false">
      <c r="B1459" s="19" t="s">
        <v>24023</v>
      </c>
      <c r="C1459" s="20" t="n">
        <f aca="false">ROUND(2.08/FX,2)</f>
        <v>0.29</v>
      </c>
      <c r="D1459" s="21" t="s">
        <v>6336</v>
      </c>
      <c r="E1459" s="21" t="s">
        <v>6336</v>
      </c>
      <c r="F1459" s="21" t="s">
        <v>24024</v>
      </c>
    </row>
    <row r="1460" customFormat="false" ht="41.75" hidden="false" customHeight="false" outlineLevel="0" collapsed="false">
      <c r="B1460" s="19" t="s">
        <v>24025</v>
      </c>
      <c r="C1460" s="20" t="n">
        <f aca="false">ROUND(2.6/FX,2)</f>
        <v>0.36</v>
      </c>
      <c r="D1460" s="21" t="s">
        <v>6549</v>
      </c>
      <c r="E1460" s="21" t="s">
        <v>6336</v>
      </c>
      <c r="F1460" s="21" t="s">
        <v>23992</v>
      </c>
    </row>
    <row r="1461" customFormat="false" ht="41.75" hidden="false" customHeight="false" outlineLevel="0" collapsed="false">
      <c r="B1461" s="19" t="s">
        <v>24026</v>
      </c>
      <c r="C1461" s="20" t="n">
        <f aca="false">ROUND(6.37/FX,2)</f>
        <v>0.88</v>
      </c>
      <c r="D1461" s="21" t="s">
        <v>6549</v>
      </c>
      <c r="E1461" s="21" t="s">
        <v>6336</v>
      </c>
      <c r="F1461" s="21" t="s">
        <v>23994</v>
      </c>
    </row>
    <row r="1462" customFormat="false" ht="41.75" hidden="false" customHeight="false" outlineLevel="0" collapsed="false">
      <c r="B1462" s="19" t="s">
        <v>24027</v>
      </c>
      <c r="C1462" s="20" t="n">
        <f aca="false">ROUND(2.12/FX,2)</f>
        <v>0.29</v>
      </c>
      <c r="D1462" s="21" t="s">
        <v>6549</v>
      </c>
      <c r="E1462" s="21" t="s">
        <v>6336</v>
      </c>
      <c r="F1462" s="21" t="s">
        <v>23996</v>
      </c>
    </row>
    <row r="1463" customFormat="false" ht="41.75" hidden="false" customHeight="false" outlineLevel="0" collapsed="false">
      <c r="B1463" s="19" t="s">
        <v>24028</v>
      </c>
      <c r="C1463" s="20" t="n">
        <f aca="false">ROUND(3.9/FX,2)</f>
        <v>0.54</v>
      </c>
      <c r="D1463" s="21" t="s">
        <v>6549</v>
      </c>
      <c r="E1463" s="21" t="s">
        <v>6336</v>
      </c>
      <c r="F1463" s="21" t="s">
        <v>24014</v>
      </c>
    </row>
    <row r="1464" customFormat="false" ht="41.75" hidden="false" customHeight="false" outlineLevel="0" collapsed="false">
      <c r="B1464" s="19" t="s">
        <v>24029</v>
      </c>
      <c r="C1464" s="20" t="n">
        <f aca="false">ROUND(3.25/FX,2)</f>
        <v>0.45</v>
      </c>
      <c r="D1464" s="21" t="s">
        <v>6549</v>
      </c>
      <c r="E1464" s="21" t="s">
        <v>6336</v>
      </c>
      <c r="F1464" s="21" t="s">
        <v>24016</v>
      </c>
    </row>
    <row r="1465" customFormat="false" ht="41.75" hidden="false" customHeight="false" outlineLevel="0" collapsed="false">
      <c r="B1465" s="19" t="s">
        <v>24030</v>
      </c>
      <c r="C1465" s="20" t="n">
        <f aca="false">ROUND(3.32/FX,2)</f>
        <v>0.46</v>
      </c>
      <c r="D1465" s="21" t="s">
        <v>6549</v>
      </c>
      <c r="E1465" s="21" t="s">
        <v>6336</v>
      </c>
      <c r="F1465" s="21" t="s">
        <v>24018</v>
      </c>
    </row>
    <row r="1468" customFormat="false" ht="61.5" hidden="false" customHeight="true" outlineLevel="0" collapsed="false">
      <c r="A1468" s="9"/>
      <c r="B1468" s="10" t="s">
        <v>24031</v>
      </c>
      <c r="C1468" s="10"/>
      <c r="D1468" s="10"/>
    </row>
    <row r="1469" customFormat="false" ht="15" hidden="false" customHeight="true" outlineLevel="0" collapsed="false">
      <c r="B1469" s="11" t="s">
        <v>21919</v>
      </c>
      <c r="C1469" s="11"/>
      <c r="D1469" s="11"/>
    </row>
    <row r="1470" customFormat="false" ht="15" hidden="false" customHeight="false" outlineLevel="0" collapsed="false">
      <c r="B1470" s="18" t="s">
        <v>701</v>
      </c>
      <c r="C1470" s="18" t="s">
        <v>702</v>
      </c>
      <c r="D1470" s="18" t="s">
        <v>5610</v>
      </c>
    </row>
    <row r="1471" customFormat="false" ht="15" hidden="false" customHeight="false" outlineLevel="0" collapsed="false">
      <c r="B1471" s="19" t="s">
        <v>24032</v>
      </c>
      <c r="C1471" s="20" t="n">
        <f aca="false">ROUND(12.74/FX,2)</f>
        <v>1.77</v>
      </c>
      <c r="D1471" s="22" t="s">
        <v>5612</v>
      </c>
    </row>
    <row r="1474" customFormat="false" ht="61.5" hidden="false" customHeight="true" outlineLevel="0" collapsed="false">
      <c r="A1474" s="9"/>
      <c r="B1474" s="10" t="s">
        <v>24033</v>
      </c>
      <c r="C1474" s="10"/>
      <c r="D1474" s="10"/>
      <c r="E1474" s="10"/>
    </row>
    <row r="1475" customFormat="false" ht="15" hidden="false" customHeight="false" outlineLevel="0" collapsed="false">
      <c r="A1475" s="12" t="s">
        <v>700</v>
      </c>
      <c r="B1475" s="13" t="s">
        <v>701</v>
      </c>
      <c r="C1475" s="13" t="s">
        <v>702</v>
      </c>
      <c r="D1475" s="13" t="s">
        <v>722</v>
      </c>
      <c r="E1475" s="13" t="s">
        <v>723</v>
      </c>
    </row>
    <row r="1476" customFormat="false" ht="30" hidden="false" customHeight="true" outlineLevel="0" collapsed="false">
      <c r="A1476" s="14" t="s">
        <v>706</v>
      </c>
      <c r="B1476" s="15" t="str">
        <f aca="false">IF(COUNTIFS($D$1479:$D$1482,IF(D1476="","*",D1476),$E$1479:$E$1482,IF(E1476="","*",E1476))=1,INDEX($B:$B,SUMPRODUCT(((D1476="")+($D$1479:$D$1482=D1476)&gt;0)*((E1476="")+($E$1479:$E$1482=E1476)&gt;0)*ROW($B$1479:$B$1482))),IF(COUNTIFS($D$1479:$D$1482,IF(D1476="","*",D1476),$E$1479:$E$1482,IF(E1476="","*",E1476))=0,"Not available",COUNTIFS($D$1479:$D$1482,IF(D1476="","*",D1476),$E$1479:$E$1482,IF(E1476="","*",E1476))&amp;" match, keep choosing"))</f>
        <v>AL-011-BK-YS50XYZS</v>
      </c>
      <c r="C1476" s="16" t="n">
        <f aca="false">IF(COUNTIFS($D$1479:$D$1482,IF(D1476="","*",D1476),$E$1479:$E$1482,IF(E1476="","*",E1476))=1,INDEX($C:$C,SUMPRODUCT(((D1476="")+($D$1479:$D$1482=D1476)&gt;0)*((E1476="")+($E$1479:$E$1482=E1476)&gt;0)*ROW($B$1479:$B$1482))),"")</f>
        <v>0.4</v>
      </c>
      <c r="D1476" s="17" t="s">
        <v>724</v>
      </c>
      <c r="E1476" s="17" t="s">
        <v>24034</v>
      </c>
    </row>
    <row r="1478" customFormat="false" ht="15" hidden="false" customHeight="false" outlineLevel="0" collapsed="false">
      <c r="B1478" s="18" t="s">
        <v>701</v>
      </c>
      <c r="C1478" s="18" t="s">
        <v>702</v>
      </c>
      <c r="D1478" s="18" t="s">
        <v>722</v>
      </c>
      <c r="E1478" s="18" t="s">
        <v>723</v>
      </c>
    </row>
    <row r="1479" customFormat="false" ht="28.35" hidden="false" customHeight="false" outlineLevel="0" collapsed="false">
      <c r="B1479" s="19" t="s">
        <v>24035</v>
      </c>
      <c r="C1479" s="20" t="n">
        <f aca="false">ROUND(2.86/FX,2)</f>
        <v>0.4</v>
      </c>
      <c r="D1479" s="21" t="s">
        <v>724</v>
      </c>
      <c r="E1479" s="21" t="s">
        <v>24034</v>
      </c>
    </row>
    <row r="1480" customFormat="false" ht="15" hidden="false" customHeight="false" outlineLevel="0" collapsed="false">
      <c r="B1480" s="19" t="s">
        <v>24036</v>
      </c>
      <c r="C1480" s="20" t="n">
        <f aca="false">ROUND(2.86/FX,2)</f>
        <v>0.4</v>
      </c>
      <c r="D1480" s="21" t="s">
        <v>724</v>
      </c>
      <c r="E1480" s="21" t="s">
        <v>24037</v>
      </c>
    </row>
    <row r="1481" customFormat="false" ht="28.35" hidden="false" customHeight="false" outlineLevel="0" collapsed="false">
      <c r="B1481" s="19" t="s">
        <v>24038</v>
      </c>
      <c r="C1481" s="20" t="n">
        <f aca="false">ROUND(2.86/FX,2)</f>
        <v>0.4</v>
      </c>
      <c r="D1481" s="21" t="s">
        <v>6549</v>
      </c>
      <c r="E1481" s="21" t="s">
        <v>24034</v>
      </c>
    </row>
    <row r="1482" customFormat="false" ht="15" hidden="false" customHeight="false" outlineLevel="0" collapsed="false">
      <c r="B1482" s="19" t="s">
        <v>24039</v>
      </c>
      <c r="C1482" s="20" t="n">
        <f aca="false">ROUND(2.86/FX,2)</f>
        <v>0.4</v>
      </c>
      <c r="D1482" s="21" t="s">
        <v>6549</v>
      </c>
      <c r="E1482" s="21" t="s">
        <v>24037</v>
      </c>
    </row>
    <row r="1485" customFormat="false" ht="61.5" hidden="false" customHeight="true" outlineLevel="0" collapsed="false">
      <c r="A1485" s="9"/>
      <c r="B1485" s="10" t="s">
        <v>24040</v>
      </c>
      <c r="C1485" s="10"/>
      <c r="D1485" s="10"/>
      <c r="E1485" s="10"/>
    </row>
    <row r="1486" customFormat="false" ht="15" hidden="false" customHeight="false" outlineLevel="0" collapsed="false">
      <c r="A1486" s="12" t="s">
        <v>700</v>
      </c>
      <c r="B1486" s="13" t="s">
        <v>701</v>
      </c>
      <c r="C1486" s="13" t="s">
        <v>702</v>
      </c>
      <c r="D1486" s="13" t="s">
        <v>722</v>
      </c>
      <c r="E1486" s="13" t="s">
        <v>723</v>
      </c>
    </row>
    <row r="1487" customFormat="false" ht="30" hidden="false" customHeight="true" outlineLevel="0" collapsed="false">
      <c r="A1487" s="14" t="s">
        <v>706</v>
      </c>
      <c r="B1487" s="15" t="str">
        <f aca="false">IF(COUNTIFS($D$1490:$D$1500,IF(D1487="","*",D1487),$E$1490:$E$1500,IF(E1487="","*",E1487))=1,INDEX($B:$B,SUMPRODUCT(((D1487="")+($D$1490:$D$1500=D1487)&gt;0)*((E1487="")+($E$1490:$E$1500=E1487)&gt;0)*ROW($B$1490:$B$1500))),IF(COUNTIFS($D$1490:$D$1500,IF(D1487="","*",D1487),$E$1490:$E$1500,IF(E1487="","*",E1487))=0,"Not available",COUNTIFS($D$1490:$D$1500,IF(D1487="","*",D1487),$E$1490:$E$1500,IF(E1487="","*",E1487))&amp;" match, keep choosing"))</f>
        <v>AL-046-BK-2020-3J-KJ21-13</v>
      </c>
      <c r="C1487" s="16" t="n">
        <f aca="false">IF(COUNTIFS($D$1490:$D$1500,IF(D1487="","*",D1487),$E$1490:$E$1500,IF(E1487="","*",E1487))=1,INDEX($C:$C,SUMPRODUCT(((D1487="")+($D$1490:$D$1500=D1487)&gt;0)*((E1487="")+($E$1490:$E$1500=E1487)&gt;0)*ROW($B$1490:$B$1500))),"")</f>
        <v>0.56</v>
      </c>
      <c r="D1487" s="17" t="s">
        <v>724</v>
      </c>
      <c r="E1487" s="17" t="s">
        <v>24041</v>
      </c>
    </row>
    <row r="1489" customFormat="false" ht="15" hidden="false" customHeight="false" outlineLevel="0" collapsed="false">
      <c r="B1489" s="18" t="s">
        <v>701</v>
      </c>
      <c r="C1489" s="18" t="s">
        <v>702</v>
      </c>
      <c r="D1489" s="18" t="s">
        <v>722</v>
      </c>
      <c r="E1489" s="18" t="s">
        <v>723</v>
      </c>
    </row>
    <row r="1490" customFormat="false" ht="28.35" hidden="false" customHeight="false" outlineLevel="0" collapsed="false">
      <c r="B1490" s="19" t="s">
        <v>24042</v>
      </c>
      <c r="C1490" s="20" t="n">
        <f aca="false">ROUND(4.03/FX,2)</f>
        <v>0.56</v>
      </c>
      <c r="D1490" s="21" t="s">
        <v>724</v>
      </c>
      <c r="E1490" s="21" t="s">
        <v>24041</v>
      </c>
    </row>
    <row r="1491" customFormat="false" ht="28.35" hidden="false" customHeight="false" outlineLevel="0" collapsed="false">
      <c r="B1491" s="19" t="s">
        <v>24043</v>
      </c>
      <c r="C1491" s="20" t="n">
        <f aca="false">ROUND(4.29/FX,2)</f>
        <v>0.6</v>
      </c>
      <c r="D1491" s="21" t="s">
        <v>724</v>
      </c>
      <c r="E1491" s="21" t="s">
        <v>24044</v>
      </c>
    </row>
    <row r="1492" customFormat="false" ht="28.35" hidden="false" customHeight="false" outlineLevel="0" collapsed="false">
      <c r="B1492" s="19" t="s">
        <v>24045</v>
      </c>
      <c r="C1492" s="20" t="n">
        <f aca="false">ROUND(4.29/FX,2)</f>
        <v>0.6</v>
      </c>
      <c r="D1492" s="21" t="s">
        <v>724</v>
      </c>
      <c r="E1492" s="21" t="s">
        <v>24046</v>
      </c>
    </row>
    <row r="1493" customFormat="false" ht="28.35" hidden="false" customHeight="false" outlineLevel="0" collapsed="false">
      <c r="B1493" s="19" t="s">
        <v>24047</v>
      </c>
      <c r="C1493" s="20" t="n">
        <f aca="false">ROUND(4.55/FX,2)</f>
        <v>0.63</v>
      </c>
      <c r="D1493" s="21" t="s">
        <v>724</v>
      </c>
      <c r="E1493" s="21" t="s">
        <v>24048</v>
      </c>
    </row>
    <row r="1494" customFormat="false" ht="41.75" hidden="false" customHeight="false" outlineLevel="0" collapsed="false">
      <c r="B1494" s="19" t="s">
        <v>24049</v>
      </c>
      <c r="C1494" s="20" t="n">
        <f aca="false">ROUND(4.29/FX,2)</f>
        <v>0.6</v>
      </c>
      <c r="D1494" s="21" t="s">
        <v>6549</v>
      </c>
      <c r="E1494" s="21" t="s">
        <v>24050</v>
      </c>
    </row>
    <row r="1495" customFormat="false" ht="41.75" hidden="false" customHeight="false" outlineLevel="0" collapsed="false">
      <c r="B1495" s="19" t="s">
        <v>24051</v>
      </c>
      <c r="C1495" s="20" t="n">
        <f aca="false">ROUND(4.03/FX,2)</f>
        <v>0.56</v>
      </c>
      <c r="D1495" s="21" t="s">
        <v>6549</v>
      </c>
      <c r="E1495" s="21" t="s">
        <v>24052</v>
      </c>
    </row>
    <row r="1496" customFormat="false" ht="41.75" hidden="false" customHeight="false" outlineLevel="0" collapsed="false">
      <c r="B1496" s="19" t="s">
        <v>24053</v>
      </c>
      <c r="C1496" s="20" t="n">
        <f aca="false">ROUND(4.29/FX,2)</f>
        <v>0.6</v>
      </c>
      <c r="D1496" s="21" t="s">
        <v>6549</v>
      </c>
      <c r="E1496" s="21" t="s">
        <v>24054</v>
      </c>
    </row>
    <row r="1497" customFormat="false" ht="41.75" hidden="false" customHeight="false" outlineLevel="0" collapsed="false">
      <c r="B1497" s="19" t="s">
        <v>24055</v>
      </c>
      <c r="C1497" s="20" t="n">
        <f aca="false">ROUND(4.29/FX,2)</f>
        <v>0.6</v>
      </c>
      <c r="D1497" s="21" t="s">
        <v>6549</v>
      </c>
      <c r="E1497" s="21" t="s">
        <v>24056</v>
      </c>
    </row>
    <row r="1498" customFormat="false" ht="41.75" hidden="false" customHeight="false" outlineLevel="0" collapsed="false">
      <c r="B1498" s="19" t="s">
        <v>24057</v>
      </c>
      <c r="C1498" s="20" t="n">
        <f aca="false">ROUND(4.29/FX,2)</f>
        <v>0.6</v>
      </c>
      <c r="D1498" s="21" t="s">
        <v>6549</v>
      </c>
      <c r="E1498" s="21" t="s">
        <v>24058</v>
      </c>
    </row>
    <row r="1499" customFormat="false" ht="41.75" hidden="false" customHeight="false" outlineLevel="0" collapsed="false">
      <c r="B1499" s="19" t="s">
        <v>24059</v>
      </c>
      <c r="C1499" s="20" t="n">
        <f aca="false">ROUND(4.29/FX,2)</f>
        <v>0.6</v>
      </c>
      <c r="D1499" s="21" t="s">
        <v>6549</v>
      </c>
      <c r="E1499" s="21" t="s">
        <v>24060</v>
      </c>
    </row>
    <row r="1500" customFormat="false" ht="41.75" hidden="false" customHeight="false" outlineLevel="0" collapsed="false">
      <c r="B1500" s="19" t="s">
        <v>24061</v>
      </c>
      <c r="C1500" s="20" t="n">
        <f aca="false">ROUND(6.76/FX,2)</f>
        <v>0.94</v>
      </c>
      <c r="D1500" s="21" t="s">
        <v>6549</v>
      </c>
      <c r="E1500" s="21" t="s">
        <v>24062</v>
      </c>
    </row>
    <row r="1503" customFormat="false" ht="61.5" hidden="false" customHeight="true" outlineLevel="0" collapsed="false">
      <c r="A1503" s="9"/>
      <c r="B1503" s="10" t="s">
        <v>24063</v>
      </c>
      <c r="C1503" s="10"/>
      <c r="D1503" s="10"/>
      <c r="E1503" s="10"/>
    </row>
    <row r="1504" customFormat="false" ht="15" hidden="false" customHeight="false" outlineLevel="0" collapsed="false">
      <c r="A1504" s="12" t="s">
        <v>700</v>
      </c>
      <c r="B1504" s="13" t="s">
        <v>701</v>
      </c>
      <c r="C1504" s="13" t="s">
        <v>702</v>
      </c>
      <c r="D1504" s="13" t="s">
        <v>722</v>
      </c>
      <c r="E1504" s="13" t="s">
        <v>24064</v>
      </c>
    </row>
    <row r="1505" customFormat="false" ht="30" hidden="false" customHeight="true" outlineLevel="0" collapsed="false">
      <c r="A1505" s="14" t="s">
        <v>706</v>
      </c>
      <c r="B1505" s="15" t="str">
        <f aca="false">IF(COUNTIFS($D$1508:$D$1517,IF(D1505="","*",D1505),$E$1508:$E$1517,IF(E1505="","*",E1505))=1,INDEX($B:$B,SUMPRODUCT(((D1505="")+($D$1508:$D$1517=D1505)&gt;0)*((E1505="")+($E$1508:$E$1517=E1505)&gt;0)*ROW($B$1508:$B$1517))),IF(COUNTIFS($D$1508:$D$1517,IF(D1505="","*",D1505),$E$1508:$E$1517,IF(E1505="","*",E1505))=0,"Not available",COUNTIFS($D$1508:$D$1517,IF(D1505="","*",D1505),$E$1508:$E$1517,IF(E1505="","*",E1505))&amp;" match, keep choosing"))</f>
        <v>SPF-EU20-BK</v>
      </c>
      <c r="C1505" s="16" t="n">
        <f aca="false">IF(COUNTIFS($D$1508:$D$1517,IF(D1505="","*",D1505),$E$1508:$E$1517,IF(E1505="","*",E1505))=1,INDEX($C:$C,SUMPRODUCT(((D1505="")+($D$1508:$D$1517=D1505)&gt;0)*((E1505="")+($E$1508:$E$1517=E1505)&gt;0)*ROW($B$1508:$B$1517))),"")</f>
        <v>0.25</v>
      </c>
      <c r="D1505" s="17" t="s">
        <v>724</v>
      </c>
      <c r="E1505" s="17" t="s">
        <v>23034</v>
      </c>
    </row>
    <row r="1507" customFormat="false" ht="15" hidden="false" customHeight="false" outlineLevel="0" collapsed="false">
      <c r="B1507" s="18" t="s">
        <v>701</v>
      </c>
      <c r="C1507" s="18" t="s">
        <v>702</v>
      </c>
      <c r="D1507" s="18" t="s">
        <v>722</v>
      </c>
      <c r="E1507" s="18" t="s">
        <v>24064</v>
      </c>
    </row>
    <row r="1508" customFormat="false" ht="15" hidden="false" customHeight="false" outlineLevel="0" collapsed="false">
      <c r="B1508" s="19" t="s">
        <v>24065</v>
      </c>
      <c r="C1508" s="20" t="n">
        <f aca="false">ROUND(1.82/FX,2)</f>
        <v>0.25</v>
      </c>
      <c r="D1508" s="21" t="s">
        <v>724</v>
      </c>
      <c r="E1508" s="21" t="s">
        <v>23034</v>
      </c>
    </row>
    <row r="1509" customFormat="false" ht="15" hidden="false" customHeight="false" outlineLevel="0" collapsed="false">
      <c r="B1509" s="19" t="s">
        <v>24066</v>
      </c>
      <c r="C1509" s="20" t="n">
        <f aca="false">ROUND(1.56/FX,2)</f>
        <v>0.22</v>
      </c>
      <c r="D1509" s="21" t="s">
        <v>6549</v>
      </c>
      <c r="E1509" s="21" t="s">
        <v>23034</v>
      </c>
    </row>
    <row r="1510" customFormat="false" ht="15" hidden="false" customHeight="false" outlineLevel="0" collapsed="false">
      <c r="B1510" s="19" t="s">
        <v>24067</v>
      </c>
      <c r="C1510" s="20" t="n">
        <f aca="false">ROUND(1.95/FX,2)</f>
        <v>0.27</v>
      </c>
      <c r="D1510" s="21" t="s">
        <v>724</v>
      </c>
      <c r="E1510" s="21" t="s">
        <v>23038</v>
      </c>
    </row>
    <row r="1511" customFormat="false" ht="15" hidden="false" customHeight="false" outlineLevel="0" collapsed="false">
      <c r="B1511" s="19" t="s">
        <v>24068</v>
      </c>
      <c r="C1511" s="20" t="n">
        <f aca="false">ROUND(1.69/FX,2)</f>
        <v>0.23</v>
      </c>
      <c r="D1511" s="21" t="s">
        <v>6549</v>
      </c>
      <c r="E1511" s="21" t="s">
        <v>23038</v>
      </c>
    </row>
    <row r="1512" customFormat="false" ht="15" hidden="false" customHeight="false" outlineLevel="0" collapsed="false">
      <c r="B1512" s="19" t="s">
        <v>24069</v>
      </c>
      <c r="C1512" s="20" t="n">
        <f aca="false">ROUND(2.08/FX,2)</f>
        <v>0.29</v>
      </c>
      <c r="D1512" s="21" t="s">
        <v>724</v>
      </c>
      <c r="E1512" s="21" t="s">
        <v>23041</v>
      </c>
    </row>
    <row r="1513" customFormat="false" ht="15" hidden="false" customHeight="false" outlineLevel="0" collapsed="false">
      <c r="B1513" s="19" t="s">
        <v>24070</v>
      </c>
      <c r="C1513" s="20" t="n">
        <f aca="false">ROUND(1.82/FX,2)</f>
        <v>0.25</v>
      </c>
      <c r="D1513" s="21" t="s">
        <v>6549</v>
      </c>
      <c r="E1513" s="21" t="s">
        <v>23041</v>
      </c>
    </row>
    <row r="1514" customFormat="false" ht="15" hidden="false" customHeight="false" outlineLevel="0" collapsed="false">
      <c r="B1514" s="19" t="s">
        <v>24071</v>
      </c>
      <c r="C1514" s="20" t="n">
        <f aca="false">ROUND(1.95/FX,2)</f>
        <v>0.27</v>
      </c>
      <c r="D1514" s="21" t="s">
        <v>724</v>
      </c>
      <c r="E1514" s="21" t="s">
        <v>23291</v>
      </c>
    </row>
    <row r="1515" customFormat="false" ht="15" hidden="false" customHeight="false" outlineLevel="0" collapsed="false">
      <c r="B1515" s="19" t="s">
        <v>24072</v>
      </c>
      <c r="C1515" s="20" t="n">
        <f aca="false">ROUND(1.56/FX,2)</f>
        <v>0.22</v>
      </c>
      <c r="D1515" s="21" t="s">
        <v>6549</v>
      </c>
      <c r="E1515" s="21" t="s">
        <v>23291</v>
      </c>
    </row>
    <row r="1516" customFormat="false" ht="15" hidden="false" customHeight="false" outlineLevel="0" collapsed="false">
      <c r="B1516" s="19" t="s">
        <v>24073</v>
      </c>
      <c r="C1516" s="20" t="n">
        <f aca="false">ROUND(2.08/FX,2)</f>
        <v>0.29</v>
      </c>
      <c r="D1516" s="21" t="s">
        <v>724</v>
      </c>
      <c r="E1516" s="21" t="s">
        <v>23295</v>
      </c>
    </row>
    <row r="1517" customFormat="false" ht="15" hidden="false" customHeight="false" outlineLevel="0" collapsed="false">
      <c r="B1517" s="19" t="s">
        <v>24074</v>
      </c>
      <c r="C1517" s="20" t="n">
        <f aca="false">ROUND(1.69/FX,2)</f>
        <v>0.23</v>
      </c>
      <c r="D1517" s="21" t="s">
        <v>6549</v>
      </c>
      <c r="E1517" s="21" t="s">
        <v>23295</v>
      </c>
    </row>
    <row r="1520" customFormat="false" ht="61.5" hidden="false" customHeight="true" outlineLevel="0" collapsed="false">
      <c r="A1520" s="9"/>
      <c r="B1520" s="10" t="s">
        <v>24075</v>
      </c>
      <c r="C1520" s="10"/>
      <c r="D1520" s="10"/>
      <c r="E1520" s="10"/>
    </row>
    <row r="1521" customFormat="false" ht="15" hidden="false" customHeight="false" outlineLevel="0" collapsed="false">
      <c r="A1521" s="12" t="s">
        <v>700</v>
      </c>
      <c r="B1521" s="13" t="s">
        <v>701</v>
      </c>
      <c r="C1521" s="13" t="s">
        <v>702</v>
      </c>
      <c r="D1521" s="13" t="s">
        <v>5610</v>
      </c>
      <c r="E1521" s="13" t="s">
        <v>723</v>
      </c>
    </row>
    <row r="1522" customFormat="false" ht="30" hidden="false" customHeight="true" outlineLevel="0" collapsed="false">
      <c r="A1522" s="14" t="s">
        <v>706</v>
      </c>
      <c r="B1522" s="15" t="str">
        <f aca="false">IF(COUNTIFS($D$1525:$D$1527,IF(D1522="","*",D1522),$E$1525:$E$1527,IF(E1522="","*",E1522))=1,INDEX($B:$B,SUMPRODUCT(((D1522="")+($D$1525:$D$1527=D1522)&gt;0)*((E1522="")+($E$1525:$E$1527=E1522)&gt;0)*ROW($B$1525:$B$1527))),IF(COUNTIFS($D$1525:$D$1527,IF(D1522="","*",D1522),$E$1525:$E$1527,IF(E1522="","*",E1522))=0,"Not available",COUNTIFS($D$1525:$D$1527,IF(D1522="","*",D1522),$E$1525:$E$1527,IF(E1522="","*",E1522))&amp;" match, keep choosing"))</f>
        <v>AL-002-30XC-C8</v>
      </c>
      <c r="C1522" s="16" t="n">
        <f aca="false">IF(COUNTIFS($D$1525:$D$1527,IF(D1522="","*",D1522),$E$1525:$E$1527,IF(E1522="","*",E1522))=1,INDEX($C:$C,SUMPRODUCT(((D1522="")+($D$1525:$D$1527=D1522)&gt;0)*((E1522="")+($E$1525:$E$1527=E1522)&gt;0)*ROW($B$1525:$B$1527))),"")</f>
        <v>0.27</v>
      </c>
      <c r="D1522" s="17" t="s">
        <v>24076</v>
      </c>
      <c r="E1522" s="17" t="s">
        <v>24077</v>
      </c>
    </row>
    <row r="1524" customFormat="false" ht="15" hidden="false" customHeight="false" outlineLevel="0" collapsed="false">
      <c r="B1524" s="18" t="s">
        <v>701</v>
      </c>
      <c r="C1524" s="18" t="s">
        <v>702</v>
      </c>
      <c r="D1524" s="18" t="s">
        <v>5610</v>
      </c>
      <c r="E1524" s="18" t="s">
        <v>723</v>
      </c>
    </row>
    <row r="1525" customFormat="false" ht="15" hidden="false" customHeight="false" outlineLevel="0" collapsed="false">
      <c r="B1525" s="19" t="s">
        <v>24078</v>
      </c>
      <c r="C1525" s="20" t="n">
        <f aca="false">ROUND(1.95/FX,2)</f>
        <v>0.27</v>
      </c>
      <c r="D1525" s="21" t="s">
        <v>24076</v>
      </c>
      <c r="E1525" s="21" t="s">
        <v>24077</v>
      </c>
    </row>
    <row r="1526" customFormat="false" ht="15" hidden="false" customHeight="false" outlineLevel="0" collapsed="false">
      <c r="B1526" s="19" t="s">
        <v>24079</v>
      </c>
      <c r="C1526" s="20" t="n">
        <f aca="false">ROUND(1.95/FX,2)</f>
        <v>0.27</v>
      </c>
      <c r="D1526" s="21" t="s">
        <v>24080</v>
      </c>
      <c r="E1526" s="21" t="s">
        <v>24081</v>
      </c>
    </row>
    <row r="1527" customFormat="false" ht="15" hidden="false" customHeight="false" outlineLevel="0" collapsed="false">
      <c r="B1527" s="19" t="s">
        <v>24082</v>
      </c>
      <c r="C1527" s="20" t="n">
        <f aca="false">ROUND(1.95/FX,2)</f>
        <v>0.27</v>
      </c>
      <c r="D1527" s="21" t="s">
        <v>24080</v>
      </c>
      <c r="E1527" s="21" t="s">
        <v>24077</v>
      </c>
    </row>
    <row r="1530" customFormat="false" ht="61.5" hidden="false" customHeight="true" outlineLevel="0" collapsed="false">
      <c r="A1530" s="9"/>
      <c r="B1530" s="10" t="s">
        <v>24083</v>
      </c>
      <c r="C1530" s="10"/>
      <c r="D1530" s="10"/>
      <c r="E1530" s="10"/>
    </row>
    <row r="1531" customFormat="false" ht="15" hidden="false" customHeight="false" outlineLevel="0" collapsed="false">
      <c r="A1531" s="12" t="s">
        <v>700</v>
      </c>
      <c r="B1531" s="13" t="s">
        <v>701</v>
      </c>
      <c r="C1531" s="13" t="s">
        <v>702</v>
      </c>
      <c r="D1531" s="13" t="s">
        <v>5610</v>
      </c>
      <c r="E1531" s="13" t="s">
        <v>24084</v>
      </c>
    </row>
    <row r="1532" customFormat="false" ht="30" hidden="false" customHeight="true" outlineLevel="0" collapsed="false">
      <c r="A1532" s="14" t="s">
        <v>706</v>
      </c>
      <c r="B1532" s="15" t="str">
        <f aca="false">IF(COUNTIFS($D$1535:$D$1543,IF(D1532="","*",D1532),$E$1535:$E$1543,IF(E1532="","*",E1532))=1,INDEX($B:$B,SUMPRODUCT(((D1532="")+($D$1535:$D$1543=D1532)&gt;0)*((E1532="")+($E$1535:$E$1543=E1532)&gt;0)*ROW($B$1535:$B$1543))),IF(COUNTIFS($D$1535:$D$1543,IF(D1532="","*",D1532),$E$1535:$E$1543,IF(E1532="","*",E1532))=0,"Not available",COUNTIFS($D$1535:$D$1543,IF(D1532="","*",D1532),$E$1535:$E$1543,IF(E1532="","*",E1532))&amp;" match, keep choosing"))</f>
        <v>SF20-M6</v>
      </c>
      <c r="C1532" s="16" t="n">
        <f aca="false">IF(COUNTIFS($D$1535:$D$1543,IF(D1532="","*",D1532),$E$1535:$E$1543,IF(E1532="","*",E1532))=1,INDEX($C:$C,SUMPRODUCT(((D1532="")+($D$1535:$D$1543=D1532)&gt;0)*((E1532="")+($E$1535:$E$1543=E1532)&gt;0)*ROW($B$1535:$B$1543))),"")</f>
        <v>0.03</v>
      </c>
      <c r="D1532" s="17" t="s">
        <v>24085</v>
      </c>
      <c r="E1532" s="17" t="s">
        <v>24086</v>
      </c>
    </row>
    <row r="1534" customFormat="false" ht="15" hidden="false" customHeight="false" outlineLevel="0" collapsed="false">
      <c r="B1534" s="18" t="s">
        <v>701</v>
      </c>
      <c r="C1534" s="18" t="s">
        <v>702</v>
      </c>
      <c r="D1534" s="18" t="s">
        <v>5610</v>
      </c>
      <c r="E1534" s="18" t="s">
        <v>24084</v>
      </c>
    </row>
    <row r="1535" customFormat="false" ht="15" hidden="false" customHeight="false" outlineLevel="0" collapsed="false">
      <c r="B1535" s="19" t="s">
        <v>24087</v>
      </c>
      <c r="C1535" s="20" t="n">
        <f aca="false">ROUND(0.22/FX,2)</f>
        <v>0.03</v>
      </c>
      <c r="D1535" s="21" t="s">
        <v>24085</v>
      </c>
      <c r="E1535" s="21" t="s">
        <v>24086</v>
      </c>
    </row>
    <row r="1536" customFormat="false" ht="15" hidden="false" customHeight="false" outlineLevel="0" collapsed="false">
      <c r="B1536" s="19" t="s">
        <v>24088</v>
      </c>
      <c r="C1536" s="20" t="n">
        <f aca="false">ROUND(1/FX,2)</f>
        <v>0.14</v>
      </c>
      <c r="D1536" s="21" t="s">
        <v>24085</v>
      </c>
      <c r="E1536" s="21" t="s">
        <v>24089</v>
      </c>
    </row>
    <row r="1537" customFormat="false" ht="15" hidden="false" customHeight="false" outlineLevel="0" collapsed="false">
      <c r="B1537" s="19" t="s">
        <v>24090</v>
      </c>
      <c r="C1537" s="20" t="n">
        <f aca="false">ROUND(1/FX,2)</f>
        <v>0.14</v>
      </c>
      <c r="D1537" s="21" t="s">
        <v>24085</v>
      </c>
      <c r="E1537" s="21" t="s">
        <v>24091</v>
      </c>
    </row>
    <row r="1538" customFormat="false" ht="15" hidden="false" customHeight="false" outlineLevel="0" collapsed="false">
      <c r="B1538" s="19" t="s">
        <v>24092</v>
      </c>
      <c r="C1538" s="20" t="n">
        <f aca="false">ROUND(0.26/FX,2)</f>
        <v>0.04</v>
      </c>
      <c r="D1538" s="21" t="s">
        <v>24093</v>
      </c>
      <c r="E1538" s="21" t="s">
        <v>24086</v>
      </c>
    </row>
    <row r="1539" customFormat="false" ht="15" hidden="false" customHeight="false" outlineLevel="0" collapsed="false">
      <c r="B1539" s="19" t="s">
        <v>24094</v>
      </c>
      <c r="C1539" s="20" t="n">
        <f aca="false">ROUND(1/FX,2)</f>
        <v>0.14</v>
      </c>
      <c r="D1539" s="21" t="s">
        <v>24093</v>
      </c>
      <c r="E1539" s="21" t="s">
        <v>24095</v>
      </c>
    </row>
    <row r="1540" customFormat="false" ht="15" hidden="false" customHeight="false" outlineLevel="0" collapsed="false">
      <c r="B1540" s="19" t="s">
        <v>24096</v>
      </c>
      <c r="C1540" s="20" t="n">
        <f aca="false">ROUND(1/FX,2)</f>
        <v>0.14</v>
      </c>
      <c r="D1540" s="21" t="s">
        <v>24093</v>
      </c>
      <c r="E1540" s="21" t="s">
        <v>24097</v>
      </c>
    </row>
    <row r="1541" customFormat="false" ht="15" hidden="false" customHeight="false" outlineLevel="0" collapsed="false">
      <c r="B1541" s="19" t="s">
        <v>24098</v>
      </c>
      <c r="C1541" s="20" t="n">
        <f aca="false">ROUND(0.29/FX,2)</f>
        <v>0.04</v>
      </c>
      <c r="D1541" s="21" t="s">
        <v>24099</v>
      </c>
      <c r="E1541" s="21" t="s">
        <v>24086</v>
      </c>
    </row>
    <row r="1542" customFormat="false" ht="15" hidden="false" customHeight="false" outlineLevel="0" collapsed="false">
      <c r="B1542" s="19" t="s">
        <v>24100</v>
      </c>
      <c r="C1542" s="20" t="n">
        <f aca="false">ROUND(1/FX,2)</f>
        <v>0.14</v>
      </c>
      <c r="D1542" s="21" t="s">
        <v>24099</v>
      </c>
      <c r="E1542" s="21" t="s">
        <v>24097</v>
      </c>
    </row>
    <row r="1543" customFormat="false" ht="15" hidden="false" customHeight="false" outlineLevel="0" collapsed="false">
      <c r="B1543" s="19" t="s">
        <v>24101</v>
      </c>
      <c r="C1543" s="20" t="n">
        <f aca="false">ROUND(1/FX,2)</f>
        <v>0.14</v>
      </c>
      <c r="D1543" s="21" t="s">
        <v>24102</v>
      </c>
      <c r="E1543" s="21" t="s">
        <v>24086</v>
      </c>
    </row>
    <row r="1546" customFormat="false" ht="61.5" hidden="false" customHeight="true" outlineLevel="0" collapsed="false">
      <c r="A1546" s="9"/>
      <c r="B1546" s="10" t="s">
        <v>24103</v>
      </c>
      <c r="C1546" s="10"/>
      <c r="D1546" s="10"/>
    </row>
    <row r="1547" customFormat="false" ht="15" hidden="false" customHeight="false" outlineLevel="0" collapsed="false">
      <c r="A1547" s="12" t="s">
        <v>700</v>
      </c>
      <c r="B1547" s="13" t="s">
        <v>701</v>
      </c>
      <c r="C1547" s="13" t="s">
        <v>702</v>
      </c>
      <c r="D1547" s="13" t="s">
        <v>24064</v>
      </c>
    </row>
    <row r="1548" customFormat="false" ht="30" hidden="false" customHeight="true" outlineLevel="0" collapsed="false">
      <c r="A1548" s="14" t="s">
        <v>706</v>
      </c>
      <c r="B1548" s="15" t="str">
        <f aca="false">IF(COUNTIFS($D$1551:$D$1553,IF(D1548="","*",D1548))=1,INDEX($B:$B,SUMPRODUCT(((D1548="")+($D$1551:$D$1553=D1548)&gt;0)*ROW($B$1551:$B$1553))),IF(COUNTIFS($D$1551:$D$1553,IF(D1548="","*",D1548))=0,"Not available",COUNTIFS($D$1551:$D$1553,IF(D1548="","*",D1548))&amp;" match, keep choosing"))</f>
        <v>SLT-3030-L80-WH</v>
      </c>
      <c r="C1548" s="16" t="n">
        <f aca="false">IF(COUNTIFS($D$1551:$D$1553,IF(D1548="","*",D1548))=1,INDEX($C:$C,SUMPRODUCT(((D1548="")+($D$1551:$D$1553=D1548)&gt;0)*ROW($B$1551:$B$1553))),"")</f>
        <v>0.54</v>
      </c>
      <c r="D1548" s="17" t="s">
        <v>23038</v>
      </c>
    </row>
    <row r="1550" customFormat="false" ht="15" hidden="false" customHeight="false" outlineLevel="0" collapsed="false">
      <c r="B1550" s="18" t="s">
        <v>701</v>
      </c>
      <c r="C1550" s="18" t="s">
        <v>702</v>
      </c>
      <c r="D1550" s="18" t="s">
        <v>24064</v>
      </c>
    </row>
    <row r="1551" customFormat="false" ht="15" hidden="false" customHeight="false" outlineLevel="0" collapsed="false">
      <c r="B1551" s="19" t="s">
        <v>24104</v>
      </c>
      <c r="C1551" s="20" t="n">
        <f aca="false">ROUND(3.9/FX,2)</f>
        <v>0.54</v>
      </c>
      <c r="D1551" s="21" t="s">
        <v>23038</v>
      </c>
    </row>
    <row r="1552" customFormat="false" ht="15" hidden="false" customHeight="false" outlineLevel="0" collapsed="false">
      <c r="B1552" s="19" t="s">
        <v>24105</v>
      </c>
      <c r="C1552" s="20" t="n">
        <f aca="false">ROUND(3.9/FX,2)</f>
        <v>0.54</v>
      </c>
      <c r="D1552" s="21" t="s">
        <v>23041</v>
      </c>
    </row>
    <row r="1553" customFormat="false" ht="15" hidden="false" customHeight="false" outlineLevel="0" collapsed="false">
      <c r="B1553" s="19" t="s">
        <v>24106</v>
      </c>
      <c r="C1553" s="20" t="n">
        <f aca="false">ROUND(4.55/FX,2)</f>
        <v>0.63</v>
      </c>
      <c r="D1553" s="21" t="s">
        <v>23265</v>
      </c>
    </row>
    <row r="1556" customFormat="false" ht="61.5" hidden="false" customHeight="true" outlineLevel="0" collapsed="false">
      <c r="A1556" s="9"/>
      <c r="B1556" s="10" t="s">
        <v>24107</v>
      </c>
      <c r="C1556" s="10"/>
      <c r="D1556" s="10"/>
      <c r="E1556" s="10"/>
    </row>
    <row r="1557" customFormat="false" ht="15" hidden="false" customHeight="false" outlineLevel="0" collapsed="false">
      <c r="A1557" s="12" t="s">
        <v>700</v>
      </c>
      <c r="B1557" s="13" t="s">
        <v>701</v>
      </c>
      <c r="C1557" s="13" t="s">
        <v>702</v>
      </c>
      <c r="D1557" s="13" t="s">
        <v>704</v>
      </c>
      <c r="E1557" s="13" t="s">
        <v>24064</v>
      </c>
    </row>
    <row r="1558" customFormat="false" ht="30" hidden="false" customHeight="true" outlineLevel="0" collapsed="false">
      <c r="A1558" s="14" t="s">
        <v>706</v>
      </c>
      <c r="B1558" s="15" t="str">
        <f aca="false">IF(COUNTIFS($D$1561:$D$1566,IF(D1558="","*",D1558),$E$1561:$E$1566,IF(E1558="","*",E1558))=1,INDEX($B:$B,SUMPRODUCT(((D1558="")+($D$1561:$D$1566=D1558)&gt;0)*((E1558="")+($E$1561:$E$1566=E1558)&gt;0)*ROW($B$1561:$B$1566))),IF(COUNTIFS($D$1561:$D$1566,IF(D1558="","*",D1558),$E$1561:$E$1566,IF(E1558="","*",E1558))=0,"Not available",COUNTIFS($D$1561:$D$1566,IF(D1558="","*",D1558),$E$1561:$E$1566,IF(E1558="","*",E1558))&amp;" match, keep choosing"))</f>
        <v>HOOK-NY-20</v>
      </c>
      <c r="C1558" s="16" t="n">
        <f aca="false">IF(COUNTIFS($D$1561:$D$1566,IF(D1558="","*",D1558),$E$1561:$E$1566,IF(E1558="","*",E1558))=1,INDEX($C:$C,SUMPRODUCT(((D1558="")+($D$1561:$D$1566=D1558)&gt;0)*((E1558="")+($E$1561:$E$1566=E1558)&gt;0)*ROW($B$1561:$B$1566))),"")</f>
        <v>0.25</v>
      </c>
      <c r="D1558" s="17" t="s">
        <v>24108</v>
      </c>
      <c r="E1558" s="17" t="s">
        <v>23548</v>
      </c>
    </row>
    <row r="1560" customFormat="false" ht="15" hidden="false" customHeight="false" outlineLevel="0" collapsed="false">
      <c r="B1560" s="18" t="s">
        <v>701</v>
      </c>
      <c r="C1560" s="18" t="s">
        <v>702</v>
      </c>
      <c r="D1560" s="18" t="s">
        <v>704</v>
      </c>
      <c r="E1560" s="18" t="s">
        <v>24064</v>
      </c>
    </row>
    <row r="1561" customFormat="false" ht="15" hidden="false" customHeight="false" outlineLevel="0" collapsed="false">
      <c r="B1561" s="19" t="s">
        <v>24109</v>
      </c>
      <c r="C1561" s="20" t="n">
        <f aca="false">ROUND(1.82/FX,2)</f>
        <v>0.25</v>
      </c>
      <c r="D1561" s="21" t="s">
        <v>24108</v>
      </c>
      <c r="E1561" s="21" t="s">
        <v>23548</v>
      </c>
    </row>
    <row r="1562" customFormat="false" ht="15" hidden="false" customHeight="false" outlineLevel="0" collapsed="false">
      <c r="B1562" s="19" t="s">
        <v>24110</v>
      </c>
      <c r="C1562" s="20" t="n">
        <f aca="false">ROUND(1.3/FX,2)</f>
        <v>0.18</v>
      </c>
      <c r="D1562" s="21" t="s">
        <v>24108</v>
      </c>
      <c r="E1562" s="21" t="s">
        <v>24111</v>
      </c>
    </row>
    <row r="1563" customFormat="false" ht="15" hidden="false" customHeight="false" outlineLevel="0" collapsed="false">
      <c r="B1563" s="19" t="s">
        <v>24112</v>
      </c>
      <c r="C1563" s="20" t="n">
        <f aca="false">ROUND(2.47/FX,2)</f>
        <v>0.34</v>
      </c>
      <c r="D1563" s="21" t="s">
        <v>24108</v>
      </c>
      <c r="E1563" s="21" t="s">
        <v>23562</v>
      </c>
    </row>
    <row r="1564" customFormat="false" ht="15" hidden="false" customHeight="false" outlineLevel="0" collapsed="false">
      <c r="B1564" s="19" t="s">
        <v>24113</v>
      </c>
      <c r="C1564" s="20" t="n">
        <f aca="false">ROUND(3.25/FX,2)</f>
        <v>0.45</v>
      </c>
      <c r="D1564" s="21" t="s">
        <v>24114</v>
      </c>
      <c r="E1564" s="21" t="s">
        <v>23548</v>
      </c>
    </row>
    <row r="1565" customFormat="false" ht="15" hidden="false" customHeight="false" outlineLevel="0" collapsed="false">
      <c r="B1565" s="19" t="s">
        <v>24115</v>
      </c>
      <c r="C1565" s="20" t="n">
        <f aca="false">ROUND(4.03/FX,2)</f>
        <v>0.56</v>
      </c>
      <c r="D1565" s="21" t="s">
        <v>24114</v>
      </c>
      <c r="E1565" s="21" t="s">
        <v>24111</v>
      </c>
    </row>
    <row r="1566" customFormat="false" ht="15" hidden="false" customHeight="false" outlineLevel="0" collapsed="false">
      <c r="B1566" s="19" t="s">
        <v>24116</v>
      </c>
      <c r="C1566" s="20" t="n">
        <f aca="false">ROUND(6.5/FX,2)</f>
        <v>0.9</v>
      </c>
      <c r="D1566" s="21" t="s">
        <v>24114</v>
      </c>
      <c r="E1566" s="21" t="s">
        <v>23562</v>
      </c>
    </row>
    <row r="1569" customFormat="false" ht="61.5" hidden="false" customHeight="true" outlineLevel="0" collapsed="false">
      <c r="A1569" s="9"/>
      <c r="B1569" s="10" t="s">
        <v>24117</v>
      </c>
      <c r="C1569" s="10"/>
      <c r="D1569" s="10"/>
      <c r="E1569" s="10"/>
      <c r="F1569" s="10"/>
      <c r="G1569" s="10"/>
      <c r="H1569" s="10"/>
      <c r="I1569" s="10"/>
      <c r="J1569" s="10"/>
    </row>
    <row r="1570" customFormat="false" ht="15" hidden="false" customHeight="false" outlineLevel="0" collapsed="false">
      <c r="A1570" s="12" t="s">
        <v>700</v>
      </c>
      <c r="B1570" s="13" t="s">
        <v>701</v>
      </c>
      <c r="C1570" s="13" t="s">
        <v>702</v>
      </c>
      <c r="D1570" s="13" t="s">
        <v>704</v>
      </c>
      <c r="E1570" s="13" t="s">
        <v>6159</v>
      </c>
      <c r="F1570" s="13" t="s">
        <v>705</v>
      </c>
      <c r="G1570" s="13" t="s">
        <v>6436</v>
      </c>
      <c r="H1570" s="13" t="s">
        <v>6328</v>
      </c>
      <c r="I1570" s="13" t="s">
        <v>13701</v>
      </c>
      <c r="J1570" s="13" t="s">
        <v>14350</v>
      </c>
    </row>
    <row r="1571" customFormat="false" ht="30" hidden="false" customHeight="true" outlineLevel="0" collapsed="false">
      <c r="A1571" s="14" t="s">
        <v>706</v>
      </c>
      <c r="B1571" s="15" t="str">
        <f aca="false">IF(COUNTIFS($D$1574:$D$1763,IF(D1571="","*",D1571),$E$1574:$E$1763,IF(E1571="","*",E1571),$F$1574:$F$1763,IF(F1571="","*",F1571),$G$1574:$G$1763,IF(G1571="","*",G1571),$H$1574:$H$1763,IF(H1571="","*",H1571),$I$1574:$I$1763,IF(I1571="","*",I1571),$J$1574:$J$1763,IF(J1571="","*",J1571))=1,INDEX($B:$B,SUMPRODUCT(((D1571="")+($D$1574:$D$1763=D1571)&gt;0)*((E1571="")+($E$1574:$E$1763=E1571)&gt;0)*((F1571="")+($F$1574:$F$1763=F1571)&gt;0)*((G1571="")+($G$1574:$G$1763=G1571)&gt;0)*((H1571="")+($H$1574:$H$1763=H1571)&gt;0)*((I1571="")+($I$1574:$I$1763=I1571)&gt;0)*((J1571="")+($J$1574:$J$1763=J1571)&gt;0)*ROW($B$1574:$B$1763))),IF(COUNTIFS($D$1574:$D$1763,IF(D1571="","*",D1571),$E$1574:$E$1763,IF(E1571="","*",E1571),$F$1574:$F$1763,IF(F1571="","*",F1571),$G$1574:$G$1763,IF(G1571="","*",G1571),$H$1574:$H$1763,IF(H1571="","*",H1571),$I$1574:$I$1763,IF(I1571="","*",I1571),$J$1574:$J$1763,IF(J1571="","*",J1571))=0,"Not available",COUNTIFS($D$1574:$D$1763,IF(D1571="","*",D1571),$E$1574:$E$1763,IF(E1571="","*",E1571),$F$1574:$F$1763,IF(F1571="","*",F1571),$G$1574:$G$1763,IF(G1571="","*",G1571),$H$1574:$H$1763,IF(H1571="","*",H1571),$I$1574:$I$1763,IF(I1571="","*",I1571),$J$1574:$J$1763,IF(J1571="","*",J1571))&amp;" match, keep choosing"))</f>
        <v>NUT-SB-NI-C-EU30-M5-P10</v>
      </c>
      <c r="C1571" s="16" t="n">
        <f aca="false">IF(COUNTIFS($D$1574:$D$1763,IF(D1571="","*",D1571),$E$1574:$E$1763,IF(E1571="","*",E1571),$F$1574:$F$1763,IF(F1571="","*",F1571),$G$1574:$G$1763,IF(G1571="","*",G1571),$H$1574:$H$1763,IF(H1571="","*",H1571),$I$1574:$I$1763,IF(I1571="","*",I1571),$J$1574:$J$1763,IF(J1571="","*",J1571))=1,INDEX($C:$C,SUMPRODUCT(((D1571="")+($D$1574:$D$1763=D1571)&gt;0)*((E1571="")+($E$1574:$E$1763=E1571)&gt;0)*((F1571="")+($F$1574:$F$1763=F1571)&gt;0)*((G1571="")+($G$1574:$G$1763=G1571)&gt;0)*((H1571="")+($H$1574:$H$1763=H1571)&gt;0)*((I1571="")+($I$1574:$I$1763=I1571)&gt;0)*((J1571="")+($J$1574:$J$1763=J1571)&gt;0)*ROW($B$1574:$B$1763))),"")</f>
        <v>0.27</v>
      </c>
      <c r="D1571" s="17" t="s">
        <v>23565</v>
      </c>
      <c r="E1571" s="17" t="s">
        <v>23552</v>
      </c>
      <c r="F1571" s="17" t="s">
        <v>13997</v>
      </c>
      <c r="G1571" s="17" t="s">
        <v>24118</v>
      </c>
      <c r="H1571" s="17" t="s">
        <v>24119</v>
      </c>
      <c r="I1571" s="17" t="s">
        <v>11411</v>
      </c>
      <c r="J1571" s="17" t="s">
        <v>15458</v>
      </c>
    </row>
    <row r="1573" customFormat="false" ht="15" hidden="false" customHeight="false" outlineLevel="0" collapsed="false">
      <c r="B1573" s="18" t="s">
        <v>701</v>
      </c>
      <c r="C1573" s="18" t="s">
        <v>702</v>
      </c>
      <c r="D1573" s="18" t="s">
        <v>704</v>
      </c>
      <c r="E1573" s="18" t="s">
        <v>6159</v>
      </c>
      <c r="F1573" s="18" t="s">
        <v>705</v>
      </c>
      <c r="G1573" s="18" t="s">
        <v>6436</v>
      </c>
      <c r="H1573" s="18" t="s">
        <v>6328</v>
      </c>
      <c r="I1573" s="18" t="s">
        <v>13701</v>
      </c>
      <c r="J1573" s="18" t="s">
        <v>14350</v>
      </c>
    </row>
    <row r="1574" customFormat="false" ht="15" hidden="false" customHeight="false" outlineLevel="0" collapsed="false">
      <c r="B1574" s="19" t="s">
        <v>24120</v>
      </c>
      <c r="C1574" s="20" t="n">
        <f aca="false">ROUND(1.95/FX,2)</f>
        <v>0.27</v>
      </c>
      <c r="D1574" s="21" t="s">
        <v>23565</v>
      </c>
      <c r="E1574" s="21" t="s">
        <v>23552</v>
      </c>
      <c r="F1574" s="21" t="s">
        <v>13997</v>
      </c>
      <c r="G1574" s="21" t="s">
        <v>24118</v>
      </c>
      <c r="H1574" s="21" t="s">
        <v>24119</v>
      </c>
      <c r="I1574" s="21" t="s">
        <v>11411</v>
      </c>
      <c r="J1574" s="21" t="s">
        <v>15458</v>
      </c>
    </row>
    <row r="1575" customFormat="false" ht="15" hidden="false" customHeight="false" outlineLevel="0" collapsed="false">
      <c r="B1575" s="19" t="s">
        <v>24121</v>
      </c>
      <c r="C1575" s="20" t="n">
        <f aca="false">ROUND(2.09/FX,2)</f>
        <v>0.29</v>
      </c>
      <c r="D1575" s="21" t="s">
        <v>23565</v>
      </c>
      <c r="E1575" s="21" t="s">
        <v>23552</v>
      </c>
      <c r="F1575" s="21" t="s">
        <v>13997</v>
      </c>
      <c r="G1575" s="21" t="s">
        <v>24118</v>
      </c>
      <c r="H1575" s="21" t="s">
        <v>24119</v>
      </c>
      <c r="I1575" s="21" t="s">
        <v>11413</v>
      </c>
      <c r="J1575" s="21" t="s">
        <v>15458</v>
      </c>
    </row>
    <row r="1576" customFormat="false" ht="15" hidden="false" customHeight="false" outlineLevel="0" collapsed="false">
      <c r="B1576" s="19" t="s">
        <v>24122</v>
      </c>
      <c r="C1576" s="20" t="n">
        <f aca="false">ROUND(1.14/FX,2)</f>
        <v>0.16</v>
      </c>
      <c r="D1576" s="21" t="s">
        <v>23565</v>
      </c>
      <c r="E1576" s="21" t="s">
        <v>23555</v>
      </c>
      <c r="F1576" s="21" t="s">
        <v>13743</v>
      </c>
      <c r="G1576" s="21" t="s">
        <v>24118</v>
      </c>
      <c r="H1576" s="21" t="s">
        <v>24119</v>
      </c>
      <c r="I1576" s="21" t="s">
        <v>11413</v>
      </c>
      <c r="J1576" s="21" t="s">
        <v>15458</v>
      </c>
    </row>
    <row r="1577" customFormat="false" ht="15" hidden="false" customHeight="false" outlineLevel="0" collapsed="false">
      <c r="B1577" s="19" t="s">
        <v>24123</v>
      </c>
      <c r="C1577" s="20" t="n">
        <f aca="false">ROUND(1.17/FX,2)</f>
        <v>0.16</v>
      </c>
      <c r="D1577" s="21" t="s">
        <v>23565</v>
      </c>
      <c r="E1577" s="21" t="s">
        <v>23548</v>
      </c>
      <c r="F1577" s="21" t="s">
        <v>14007</v>
      </c>
      <c r="G1577" s="21" t="s">
        <v>15458</v>
      </c>
      <c r="H1577" s="21" t="s">
        <v>24119</v>
      </c>
      <c r="I1577" s="21" t="s">
        <v>11407</v>
      </c>
      <c r="J1577" s="21" t="s">
        <v>15458</v>
      </c>
    </row>
    <row r="1578" customFormat="false" ht="15" hidden="false" customHeight="false" outlineLevel="0" collapsed="false">
      <c r="B1578" s="19" t="s">
        <v>24124</v>
      </c>
      <c r="C1578" s="20" t="n">
        <f aca="false">ROUND(1.05/FX,2)</f>
        <v>0.15</v>
      </c>
      <c r="D1578" s="21" t="s">
        <v>23565</v>
      </c>
      <c r="E1578" s="21" t="s">
        <v>23548</v>
      </c>
      <c r="F1578" s="21" t="s">
        <v>13751</v>
      </c>
      <c r="G1578" s="21" t="s">
        <v>15458</v>
      </c>
      <c r="H1578" s="21" t="s">
        <v>24119</v>
      </c>
      <c r="I1578" s="21" t="s">
        <v>11409</v>
      </c>
      <c r="J1578" s="21" t="s">
        <v>15458</v>
      </c>
    </row>
    <row r="1579" customFormat="false" ht="15" hidden="false" customHeight="false" outlineLevel="0" collapsed="false">
      <c r="B1579" s="19" t="s">
        <v>24125</v>
      </c>
      <c r="C1579" s="20" t="n">
        <f aca="false">ROUND(0.78/FX,2)</f>
        <v>0.11</v>
      </c>
      <c r="D1579" s="21" t="s">
        <v>23565</v>
      </c>
      <c r="E1579" s="21" t="s">
        <v>23548</v>
      </c>
      <c r="F1579" s="21" t="s">
        <v>13743</v>
      </c>
      <c r="G1579" s="21" t="s">
        <v>15458</v>
      </c>
      <c r="H1579" s="21" t="s">
        <v>24119</v>
      </c>
      <c r="I1579" s="21" t="s">
        <v>11411</v>
      </c>
      <c r="J1579" s="21" t="s">
        <v>15458</v>
      </c>
    </row>
    <row r="1580" customFormat="false" ht="15" hidden="false" customHeight="false" outlineLevel="0" collapsed="false">
      <c r="B1580" s="19" t="s">
        <v>24126</v>
      </c>
      <c r="C1580" s="20" t="n">
        <f aca="false">ROUND(1.2/FX,2)</f>
        <v>0.17</v>
      </c>
      <c r="D1580" s="21" t="s">
        <v>23565</v>
      </c>
      <c r="E1580" s="21" t="s">
        <v>23548</v>
      </c>
      <c r="F1580" s="21" t="s">
        <v>14013</v>
      </c>
      <c r="G1580" s="21" t="s">
        <v>15458</v>
      </c>
      <c r="H1580" s="21" t="s">
        <v>24119</v>
      </c>
      <c r="I1580" s="21" t="s">
        <v>11413</v>
      </c>
      <c r="J1580" s="21" t="s">
        <v>15458</v>
      </c>
    </row>
    <row r="1581" customFormat="false" ht="15" hidden="false" customHeight="false" outlineLevel="0" collapsed="false">
      <c r="B1581" s="19" t="s">
        <v>24127</v>
      </c>
      <c r="C1581" s="20" t="n">
        <f aca="false">ROUND(1.33/FX,2)</f>
        <v>0.18</v>
      </c>
      <c r="D1581" s="21" t="s">
        <v>23565</v>
      </c>
      <c r="E1581" s="21" t="s">
        <v>23552</v>
      </c>
      <c r="F1581" s="21" t="s">
        <v>13751</v>
      </c>
      <c r="G1581" s="21" t="s">
        <v>15458</v>
      </c>
      <c r="H1581" s="21" t="s">
        <v>24119</v>
      </c>
      <c r="I1581" s="21" t="s">
        <v>11407</v>
      </c>
      <c r="J1581" s="21" t="s">
        <v>15458</v>
      </c>
    </row>
    <row r="1582" customFormat="false" ht="15" hidden="false" customHeight="false" outlineLevel="0" collapsed="false">
      <c r="B1582" s="19" t="s">
        <v>24128</v>
      </c>
      <c r="C1582" s="20" t="n">
        <f aca="false">ROUND(1.09/FX,2)</f>
        <v>0.15</v>
      </c>
      <c r="D1582" s="21" t="s">
        <v>23565</v>
      </c>
      <c r="E1582" s="21" t="s">
        <v>23552</v>
      </c>
      <c r="F1582" s="21" t="s">
        <v>14013</v>
      </c>
      <c r="G1582" s="21" t="s">
        <v>15458</v>
      </c>
      <c r="H1582" s="21" t="s">
        <v>24119</v>
      </c>
      <c r="I1582" s="21" t="s">
        <v>11409</v>
      </c>
      <c r="J1582" s="21" t="s">
        <v>15458</v>
      </c>
    </row>
    <row r="1583" customFormat="false" ht="15" hidden="false" customHeight="false" outlineLevel="0" collapsed="false">
      <c r="B1583" s="19" t="s">
        <v>24129</v>
      </c>
      <c r="C1583" s="20" t="n">
        <f aca="false">ROUND(2.67/FX,2)</f>
        <v>0.37</v>
      </c>
      <c r="D1583" s="21" t="s">
        <v>23565</v>
      </c>
      <c r="E1583" s="21" t="s">
        <v>23552</v>
      </c>
      <c r="F1583" s="21" t="s">
        <v>13997</v>
      </c>
      <c r="G1583" s="21" t="s">
        <v>15458</v>
      </c>
      <c r="H1583" s="21" t="s">
        <v>24119</v>
      </c>
      <c r="I1583" s="21" t="s">
        <v>11415</v>
      </c>
      <c r="J1583" s="21" t="s">
        <v>15458</v>
      </c>
    </row>
    <row r="1584" customFormat="false" ht="15" hidden="false" customHeight="false" outlineLevel="0" collapsed="false">
      <c r="B1584" s="19" t="s">
        <v>24130</v>
      </c>
      <c r="C1584" s="20" t="n">
        <f aca="false">ROUND(1.4/FX,2)</f>
        <v>0.19</v>
      </c>
      <c r="D1584" s="21" t="s">
        <v>23565</v>
      </c>
      <c r="E1584" s="21" t="s">
        <v>23555</v>
      </c>
      <c r="F1584" s="21" t="s">
        <v>13751</v>
      </c>
      <c r="G1584" s="21" t="s">
        <v>15458</v>
      </c>
      <c r="H1584" s="21" t="s">
        <v>24119</v>
      </c>
      <c r="I1584" s="21" t="s">
        <v>11407</v>
      </c>
      <c r="J1584" s="21" t="s">
        <v>15458</v>
      </c>
    </row>
    <row r="1585" customFormat="false" ht="15" hidden="false" customHeight="false" outlineLevel="0" collapsed="false">
      <c r="B1585" s="19" t="s">
        <v>24131</v>
      </c>
      <c r="C1585" s="20" t="n">
        <f aca="false">ROUND(2.08/FX,2)</f>
        <v>0.29</v>
      </c>
      <c r="D1585" s="21" t="s">
        <v>23565</v>
      </c>
      <c r="E1585" s="21" t="s">
        <v>23555</v>
      </c>
      <c r="F1585" s="21" t="s">
        <v>13743</v>
      </c>
      <c r="G1585" s="21" t="s">
        <v>15458</v>
      </c>
      <c r="H1585" s="21" t="s">
        <v>24119</v>
      </c>
      <c r="I1585" s="21" t="s">
        <v>11409</v>
      </c>
      <c r="J1585" s="21" t="s">
        <v>15458</v>
      </c>
    </row>
    <row r="1586" customFormat="false" ht="15" hidden="false" customHeight="false" outlineLevel="0" collapsed="false">
      <c r="B1586" s="19" t="s">
        <v>24132</v>
      </c>
      <c r="C1586" s="20" t="n">
        <f aca="false">ROUND(1.43/FX,2)</f>
        <v>0.2</v>
      </c>
      <c r="D1586" s="21" t="s">
        <v>23565</v>
      </c>
      <c r="E1586" s="21" t="s">
        <v>23555</v>
      </c>
      <c r="F1586" s="21" t="s">
        <v>13743</v>
      </c>
      <c r="G1586" s="21" t="s">
        <v>15458</v>
      </c>
      <c r="H1586" s="21" t="s">
        <v>24119</v>
      </c>
      <c r="I1586" s="21" t="s">
        <v>11411</v>
      </c>
      <c r="J1586" s="21" t="s">
        <v>15458</v>
      </c>
    </row>
    <row r="1587" customFormat="false" ht="15" hidden="false" customHeight="false" outlineLevel="0" collapsed="false">
      <c r="B1587" s="19" t="s">
        <v>24133</v>
      </c>
      <c r="C1587" s="20" t="n">
        <f aca="false">ROUND(1.33/FX,2)</f>
        <v>0.18</v>
      </c>
      <c r="D1587" s="21" t="s">
        <v>23565</v>
      </c>
      <c r="E1587" s="21" t="s">
        <v>23555</v>
      </c>
      <c r="F1587" s="21" t="s">
        <v>13751</v>
      </c>
      <c r="G1587" s="21" t="s">
        <v>15458</v>
      </c>
      <c r="H1587" s="21" t="s">
        <v>24119</v>
      </c>
      <c r="I1587" s="21" t="s">
        <v>11415</v>
      </c>
      <c r="J1587" s="21" t="s">
        <v>15458</v>
      </c>
    </row>
    <row r="1588" customFormat="false" ht="15" hidden="false" customHeight="false" outlineLevel="0" collapsed="false">
      <c r="B1588" s="19" t="s">
        <v>24134</v>
      </c>
      <c r="C1588" s="20" t="n">
        <f aca="false">ROUND(1.24/FX,2)</f>
        <v>0.17</v>
      </c>
      <c r="D1588" s="21" t="s">
        <v>23565</v>
      </c>
      <c r="E1588" s="21" t="s">
        <v>23562</v>
      </c>
      <c r="F1588" s="21" t="s">
        <v>13751</v>
      </c>
      <c r="G1588" s="21" t="s">
        <v>15458</v>
      </c>
      <c r="H1588" s="21" t="s">
        <v>24119</v>
      </c>
      <c r="I1588" s="21" t="s">
        <v>11409</v>
      </c>
      <c r="J1588" s="21" t="s">
        <v>15458</v>
      </c>
    </row>
    <row r="1589" customFormat="false" ht="15" hidden="false" customHeight="false" outlineLevel="0" collapsed="false">
      <c r="B1589" s="19" t="s">
        <v>24135</v>
      </c>
      <c r="C1589" s="20" t="n">
        <f aca="false">ROUND(0.42/FX,2)</f>
        <v>0.06</v>
      </c>
      <c r="D1589" s="21" t="s">
        <v>23565</v>
      </c>
      <c r="E1589" s="21" t="s">
        <v>23562</v>
      </c>
      <c r="F1589" s="21" t="s">
        <v>13751</v>
      </c>
      <c r="G1589" s="21" t="s">
        <v>15458</v>
      </c>
      <c r="H1589" s="21" t="s">
        <v>24119</v>
      </c>
      <c r="I1589" s="21" t="s">
        <v>11411</v>
      </c>
      <c r="J1589" s="21" t="s">
        <v>15458</v>
      </c>
    </row>
    <row r="1590" customFormat="false" ht="15" hidden="false" customHeight="false" outlineLevel="0" collapsed="false">
      <c r="B1590" s="19" t="s">
        <v>24136</v>
      </c>
      <c r="C1590" s="20" t="n">
        <f aca="false">ROUND(1.33/FX,2)</f>
        <v>0.18</v>
      </c>
      <c r="D1590" s="21" t="s">
        <v>23565</v>
      </c>
      <c r="E1590" s="21" t="s">
        <v>23562</v>
      </c>
      <c r="F1590" s="21" t="s">
        <v>13751</v>
      </c>
      <c r="G1590" s="21" t="s">
        <v>15458</v>
      </c>
      <c r="H1590" s="21" t="s">
        <v>24119</v>
      </c>
      <c r="I1590" s="21" t="s">
        <v>11413</v>
      </c>
      <c r="J1590" s="21" t="s">
        <v>15458</v>
      </c>
    </row>
    <row r="1591" customFormat="false" ht="15" hidden="false" customHeight="false" outlineLevel="0" collapsed="false">
      <c r="B1591" s="19" t="s">
        <v>24137</v>
      </c>
      <c r="C1591" s="20" t="n">
        <f aca="false">ROUND(1.15/FX,2)</f>
        <v>0.16</v>
      </c>
      <c r="D1591" s="21" t="s">
        <v>23565</v>
      </c>
      <c r="E1591" s="21" t="s">
        <v>23562</v>
      </c>
      <c r="F1591" s="21" t="s">
        <v>14013</v>
      </c>
      <c r="G1591" s="21" t="s">
        <v>15458</v>
      </c>
      <c r="H1591" s="21" t="s">
        <v>24119</v>
      </c>
      <c r="I1591" s="21" t="s">
        <v>11415</v>
      </c>
      <c r="J1591" s="21" t="s">
        <v>15458</v>
      </c>
    </row>
    <row r="1592" customFormat="false" ht="15" hidden="false" customHeight="false" outlineLevel="0" collapsed="false">
      <c r="B1592" s="19" t="s">
        <v>24138</v>
      </c>
      <c r="C1592" s="20" t="n">
        <f aca="false">ROUND(2.21/FX,2)</f>
        <v>0.31</v>
      </c>
      <c r="D1592" s="21" t="s">
        <v>23565</v>
      </c>
      <c r="E1592" s="21" t="s">
        <v>23552</v>
      </c>
      <c r="F1592" s="21" t="s">
        <v>13997</v>
      </c>
      <c r="G1592" s="21" t="s">
        <v>24139</v>
      </c>
      <c r="H1592" s="21" t="s">
        <v>24119</v>
      </c>
      <c r="I1592" s="21" t="s">
        <v>11413</v>
      </c>
      <c r="J1592" s="21" t="s">
        <v>15458</v>
      </c>
    </row>
    <row r="1593" customFormat="false" ht="15" hidden="false" customHeight="false" outlineLevel="0" collapsed="false">
      <c r="B1593" s="19" t="s">
        <v>24140</v>
      </c>
      <c r="C1593" s="20" t="n">
        <f aca="false">ROUND(1.24/FX,2)</f>
        <v>0.17</v>
      </c>
      <c r="D1593" s="21" t="s">
        <v>23565</v>
      </c>
      <c r="E1593" s="21" t="s">
        <v>23555</v>
      </c>
      <c r="F1593" s="21" t="s">
        <v>13743</v>
      </c>
      <c r="G1593" s="21" t="s">
        <v>24139</v>
      </c>
      <c r="H1593" s="21" t="s">
        <v>24119</v>
      </c>
      <c r="I1593" s="21" t="s">
        <v>11413</v>
      </c>
      <c r="J1593" s="21" t="s">
        <v>15458</v>
      </c>
    </row>
    <row r="1594" customFormat="false" ht="15" hidden="false" customHeight="false" outlineLevel="0" collapsed="false">
      <c r="B1594" s="19" t="s">
        <v>24141</v>
      </c>
      <c r="C1594" s="20" t="n">
        <f aca="false">ROUND(1.95/FX,2)</f>
        <v>0.27</v>
      </c>
      <c r="D1594" s="21" t="s">
        <v>8669</v>
      </c>
      <c r="E1594" s="21" t="s">
        <v>23548</v>
      </c>
      <c r="F1594" s="21" t="s">
        <v>13739</v>
      </c>
      <c r="G1594" s="21" t="s">
        <v>15458</v>
      </c>
      <c r="H1594" s="21" t="s">
        <v>24119</v>
      </c>
      <c r="I1594" s="21" t="s">
        <v>11407</v>
      </c>
      <c r="J1594" s="21" t="s">
        <v>15458</v>
      </c>
    </row>
    <row r="1595" customFormat="false" ht="15" hidden="false" customHeight="false" outlineLevel="0" collapsed="false">
      <c r="B1595" s="19" t="s">
        <v>24142</v>
      </c>
      <c r="C1595" s="20" t="n">
        <f aca="false">ROUND(1.95/FX,2)</f>
        <v>0.27</v>
      </c>
      <c r="D1595" s="21" t="s">
        <v>8669</v>
      </c>
      <c r="E1595" s="21" t="s">
        <v>23548</v>
      </c>
      <c r="F1595" s="21" t="s">
        <v>13739</v>
      </c>
      <c r="G1595" s="21" t="s">
        <v>15458</v>
      </c>
      <c r="H1595" s="21" t="s">
        <v>24119</v>
      </c>
      <c r="I1595" s="21" t="s">
        <v>11409</v>
      </c>
      <c r="J1595" s="21" t="s">
        <v>15458</v>
      </c>
    </row>
    <row r="1596" customFormat="false" ht="15" hidden="false" customHeight="false" outlineLevel="0" collapsed="false">
      <c r="B1596" s="19" t="s">
        <v>24143</v>
      </c>
      <c r="C1596" s="20" t="n">
        <f aca="false">ROUND(1.04/FX,2)</f>
        <v>0.14</v>
      </c>
      <c r="D1596" s="21" t="s">
        <v>8669</v>
      </c>
      <c r="E1596" s="21" t="s">
        <v>23548</v>
      </c>
      <c r="F1596" s="21" t="s">
        <v>13739</v>
      </c>
      <c r="G1596" s="21" t="s">
        <v>15458</v>
      </c>
      <c r="H1596" s="21" t="s">
        <v>24119</v>
      </c>
      <c r="I1596" s="21" t="s">
        <v>11411</v>
      </c>
      <c r="J1596" s="21" t="s">
        <v>15458</v>
      </c>
    </row>
    <row r="1597" customFormat="false" ht="15" hidden="false" customHeight="false" outlineLevel="0" collapsed="false">
      <c r="B1597" s="19" t="s">
        <v>24144</v>
      </c>
      <c r="C1597" s="20" t="n">
        <f aca="false">ROUND(1.95/FX,2)</f>
        <v>0.27</v>
      </c>
      <c r="D1597" s="21" t="s">
        <v>8669</v>
      </c>
      <c r="E1597" s="21" t="s">
        <v>23548</v>
      </c>
      <c r="F1597" s="21" t="s">
        <v>13739</v>
      </c>
      <c r="G1597" s="21" t="s">
        <v>15458</v>
      </c>
      <c r="H1597" s="21" t="s">
        <v>24119</v>
      </c>
      <c r="I1597" s="21" t="s">
        <v>11413</v>
      </c>
      <c r="J1597" s="21" t="s">
        <v>15458</v>
      </c>
    </row>
    <row r="1598" customFormat="false" ht="15" hidden="false" customHeight="false" outlineLevel="0" collapsed="false">
      <c r="B1598" s="19" t="s">
        <v>24145</v>
      </c>
      <c r="C1598" s="20" t="n">
        <f aca="false">ROUND(1.37/FX,2)</f>
        <v>0.19</v>
      </c>
      <c r="D1598" s="21" t="s">
        <v>8669</v>
      </c>
      <c r="E1598" s="21" t="s">
        <v>23552</v>
      </c>
      <c r="F1598" s="21" t="s">
        <v>13732</v>
      </c>
      <c r="G1598" s="21" t="s">
        <v>15458</v>
      </c>
      <c r="H1598" s="21" t="s">
        <v>24119</v>
      </c>
      <c r="I1598" s="21" t="s">
        <v>11409</v>
      </c>
      <c r="J1598" s="21" t="s">
        <v>15458</v>
      </c>
    </row>
    <row r="1599" customFormat="false" ht="15" hidden="false" customHeight="false" outlineLevel="0" collapsed="false">
      <c r="B1599" s="19" t="s">
        <v>24146</v>
      </c>
      <c r="C1599" s="20" t="n">
        <f aca="false">ROUND(1.37/FX,2)</f>
        <v>0.19</v>
      </c>
      <c r="D1599" s="21" t="s">
        <v>8669</v>
      </c>
      <c r="E1599" s="21" t="s">
        <v>23552</v>
      </c>
      <c r="F1599" s="21" t="s">
        <v>13732</v>
      </c>
      <c r="G1599" s="21" t="s">
        <v>15458</v>
      </c>
      <c r="H1599" s="21" t="s">
        <v>24119</v>
      </c>
      <c r="I1599" s="21" t="s">
        <v>11411</v>
      </c>
      <c r="J1599" s="21" t="s">
        <v>15458</v>
      </c>
    </row>
    <row r="1600" customFormat="false" ht="15" hidden="false" customHeight="false" outlineLevel="0" collapsed="false">
      <c r="B1600" s="19" t="s">
        <v>24147</v>
      </c>
      <c r="C1600" s="20" t="n">
        <f aca="false">ROUND(1.37/FX,2)</f>
        <v>0.19</v>
      </c>
      <c r="D1600" s="21" t="s">
        <v>8669</v>
      </c>
      <c r="E1600" s="21" t="s">
        <v>23552</v>
      </c>
      <c r="F1600" s="21" t="s">
        <v>13732</v>
      </c>
      <c r="G1600" s="21" t="s">
        <v>15458</v>
      </c>
      <c r="H1600" s="21" t="s">
        <v>24119</v>
      </c>
      <c r="I1600" s="21" t="s">
        <v>11413</v>
      </c>
      <c r="J1600" s="21" t="s">
        <v>15458</v>
      </c>
    </row>
    <row r="1601" customFormat="false" ht="15" hidden="false" customHeight="false" outlineLevel="0" collapsed="false">
      <c r="B1601" s="19" t="s">
        <v>24148</v>
      </c>
      <c r="C1601" s="20" t="n">
        <f aca="false">ROUND(1.37/FX,2)</f>
        <v>0.19</v>
      </c>
      <c r="D1601" s="21" t="s">
        <v>8669</v>
      </c>
      <c r="E1601" s="21" t="s">
        <v>23552</v>
      </c>
      <c r="F1601" s="21" t="s">
        <v>13732</v>
      </c>
      <c r="G1601" s="21" t="s">
        <v>15458</v>
      </c>
      <c r="H1601" s="21" t="s">
        <v>24119</v>
      </c>
      <c r="I1601" s="21" t="s">
        <v>11415</v>
      </c>
      <c r="J1601" s="21" t="s">
        <v>15458</v>
      </c>
    </row>
    <row r="1602" customFormat="false" ht="15" hidden="false" customHeight="false" outlineLevel="0" collapsed="false">
      <c r="B1602" s="19" t="s">
        <v>24149</v>
      </c>
      <c r="C1602" s="20" t="n">
        <f aca="false">ROUND(1.5/FX,2)</f>
        <v>0.21</v>
      </c>
      <c r="D1602" s="21" t="s">
        <v>8669</v>
      </c>
      <c r="E1602" s="21" t="s">
        <v>23555</v>
      </c>
      <c r="F1602" s="21" t="s">
        <v>13732</v>
      </c>
      <c r="G1602" s="21" t="s">
        <v>15458</v>
      </c>
      <c r="H1602" s="21" t="s">
        <v>24119</v>
      </c>
      <c r="I1602" s="21" t="s">
        <v>11409</v>
      </c>
      <c r="J1602" s="21" t="s">
        <v>15458</v>
      </c>
    </row>
    <row r="1603" customFormat="false" ht="15" hidden="false" customHeight="false" outlineLevel="0" collapsed="false">
      <c r="B1603" s="19" t="s">
        <v>24150</v>
      </c>
      <c r="C1603" s="20" t="n">
        <f aca="false">ROUND(1.5/FX,2)</f>
        <v>0.21</v>
      </c>
      <c r="D1603" s="21" t="s">
        <v>8669</v>
      </c>
      <c r="E1603" s="21" t="s">
        <v>23555</v>
      </c>
      <c r="F1603" s="21" t="s">
        <v>13732</v>
      </c>
      <c r="G1603" s="21" t="s">
        <v>15458</v>
      </c>
      <c r="H1603" s="21" t="s">
        <v>24119</v>
      </c>
      <c r="I1603" s="21" t="s">
        <v>11411</v>
      </c>
      <c r="J1603" s="21" t="s">
        <v>15458</v>
      </c>
    </row>
    <row r="1604" customFormat="false" ht="15" hidden="false" customHeight="false" outlineLevel="0" collapsed="false">
      <c r="B1604" s="19" t="s">
        <v>24151</v>
      </c>
      <c r="C1604" s="20" t="n">
        <f aca="false">ROUND(1.1/FX,2)</f>
        <v>0.15</v>
      </c>
      <c r="D1604" s="21" t="s">
        <v>8669</v>
      </c>
      <c r="E1604" s="21" t="s">
        <v>23555</v>
      </c>
      <c r="F1604" s="21" t="s">
        <v>13732</v>
      </c>
      <c r="G1604" s="21" t="s">
        <v>15458</v>
      </c>
      <c r="H1604" s="21" t="s">
        <v>24119</v>
      </c>
      <c r="I1604" s="21" t="s">
        <v>11413</v>
      </c>
      <c r="J1604" s="21" t="s">
        <v>15458</v>
      </c>
    </row>
    <row r="1605" customFormat="false" ht="15" hidden="false" customHeight="false" outlineLevel="0" collapsed="false">
      <c r="B1605" s="19" t="s">
        <v>24152</v>
      </c>
      <c r="C1605" s="20" t="n">
        <f aca="false">ROUND(1.1/FX,2)</f>
        <v>0.15</v>
      </c>
      <c r="D1605" s="21" t="s">
        <v>8669</v>
      </c>
      <c r="E1605" s="21" t="s">
        <v>23555</v>
      </c>
      <c r="F1605" s="21" t="s">
        <v>13732</v>
      </c>
      <c r="G1605" s="21" t="s">
        <v>15458</v>
      </c>
      <c r="H1605" s="21" t="s">
        <v>24119</v>
      </c>
      <c r="I1605" s="21" t="s">
        <v>11415</v>
      </c>
      <c r="J1605" s="21" t="s">
        <v>15458</v>
      </c>
    </row>
    <row r="1606" customFormat="false" ht="15" hidden="false" customHeight="false" outlineLevel="0" collapsed="false">
      <c r="B1606" s="19" t="s">
        <v>24153</v>
      </c>
      <c r="C1606" s="20" t="n">
        <f aca="false">ROUND(2.08/FX,2)</f>
        <v>0.29</v>
      </c>
      <c r="D1606" s="21" t="s">
        <v>8669</v>
      </c>
      <c r="E1606" s="21" t="s">
        <v>23562</v>
      </c>
      <c r="F1606" s="21" t="s">
        <v>13732</v>
      </c>
      <c r="G1606" s="21" t="s">
        <v>15458</v>
      </c>
      <c r="H1606" s="21" t="s">
        <v>24119</v>
      </c>
      <c r="I1606" s="21" t="s">
        <v>11411</v>
      </c>
      <c r="J1606" s="21" t="s">
        <v>15458</v>
      </c>
    </row>
    <row r="1607" customFormat="false" ht="15" hidden="false" customHeight="false" outlineLevel="0" collapsed="false">
      <c r="B1607" s="19" t="s">
        <v>24154</v>
      </c>
      <c r="C1607" s="20" t="n">
        <f aca="false">ROUND(2.08/FX,2)</f>
        <v>0.29</v>
      </c>
      <c r="D1607" s="21" t="s">
        <v>8669</v>
      </c>
      <c r="E1607" s="21" t="s">
        <v>23562</v>
      </c>
      <c r="F1607" s="21" t="s">
        <v>13732</v>
      </c>
      <c r="G1607" s="21" t="s">
        <v>15458</v>
      </c>
      <c r="H1607" s="21" t="s">
        <v>24119</v>
      </c>
      <c r="I1607" s="21" t="s">
        <v>11413</v>
      </c>
      <c r="J1607" s="21" t="s">
        <v>15458</v>
      </c>
    </row>
    <row r="1608" customFormat="false" ht="15" hidden="false" customHeight="false" outlineLevel="0" collapsed="false">
      <c r="B1608" s="19" t="s">
        <v>24155</v>
      </c>
      <c r="C1608" s="20" t="n">
        <f aca="false">ROUND(2.08/FX,2)</f>
        <v>0.29</v>
      </c>
      <c r="D1608" s="21" t="s">
        <v>8669</v>
      </c>
      <c r="E1608" s="21" t="s">
        <v>23562</v>
      </c>
      <c r="F1608" s="21" t="s">
        <v>13732</v>
      </c>
      <c r="G1608" s="21" t="s">
        <v>15458</v>
      </c>
      <c r="H1608" s="21" t="s">
        <v>24119</v>
      </c>
      <c r="I1608" s="21" t="s">
        <v>11415</v>
      </c>
      <c r="J1608" s="21" t="s">
        <v>15458</v>
      </c>
    </row>
    <row r="1609" customFormat="false" ht="15" hidden="false" customHeight="false" outlineLevel="0" collapsed="false">
      <c r="B1609" s="19" t="s">
        <v>24156</v>
      </c>
      <c r="C1609" s="20" t="n">
        <f aca="false">ROUND(1.69/FX,2)</f>
        <v>0.23</v>
      </c>
      <c r="D1609" s="21" t="s">
        <v>23661</v>
      </c>
      <c r="E1609" s="21" t="s">
        <v>24157</v>
      </c>
      <c r="F1609" s="21" t="s">
        <v>13739</v>
      </c>
      <c r="G1609" s="21" t="s">
        <v>15458</v>
      </c>
      <c r="H1609" s="21" t="s">
        <v>24119</v>
      </c>
      <c r="I1609" s="21" t="s">
        <v>11407</v>
      </c>
      <c r="J1609" s="21" t="s">
        <v>15458</v>
      </c>
    </row>
    <row r="1610" customFormat="false" ht="15" hidden="false" customHeight="false" outlineLevel="0" collapsed="false">
      <c r="B1610" s="19" t="s">
        <v>24158</v>
      </c>
      <c r="C1610" s="20" t="n">
        <f aca="false">ROUND(1.69/FX,2)</f>
        <v>0.23</v>
      </c>
      <c r="D1610" s="21" t="s">
        <v>23661</v>
      </c>
      <c r="E1610" s="21" t="s">
        <v>24157</v>
      </c>
      <c r="F1610" s="21" t="s">
        <v>13739</v>
      </c>
      <c r="G1610" s="21" t="s">
        <v>15458</v>
      </c>
      <c r="H1610" s="21" t="s">
        <v>24119</v>
      </c>
      <c r="I1610" s="21" t="s">
        <v>11409</v>
      </c>
      <c r="J1610" s="21" t="s">
        <v>15458</v>
      </c>
    </row>
    <row r="1611" customFormat="false" ht="15" hidden="false" customHeight="false" outlineLevel="0" collapsed="false">
      <c r="B1611" s="19" t="s">
        <v>24159</v>
      </c>
      <c r="C1611" s="20" t="n">
        <f aca="false">ROUND(1.69/FX,2)</f>
        <v>0.23</v>
      </c>
      <c r="D1611" s="21" t="s">
        <v>23661</v>
      </c>
      <c r="E1611" s="21" t="s">
        <v>24157</v>
      </c>
      <c r="F1611" s="21" t="s">
        <v>13739</v>
      </c>
      <c r="G1611" s="21" t="s">
        <v>15458</v>
      </c>
      <c r="H1611" s="21" t="s">
        <v>24119</v>
      </c>
      <c r="I1611" s="21" t="s">
        <v>11411</v>
      </c>
      <c r="J1611" s="21" t="s">
        <v>15458</v>
      </c>
    </row>
    <row r="1612" customFormat="false" ht="15" hidden="false" customHeight="false" outlineLevel="0" collapsed="false">
      <c r="B1612" s="19" t="s">
        <v>24160</v>
      </c>
      <c r="C1612" s="20" t="n">
        <f aca="false">ROUND(1.69/FX,2)</f>
        <v>0.23</v>
      </c>
      <c r="D1612" s="21" t="s">
        <v>23661</v>
      </c>
      <c r="E1612" s="21" t="s">
        <v>24157</v>
      </c>
      <c r="F1612" s="21" t="s">
        <v>13739</v>
      </c>
      <c r="G1612" s="21" t="s">
        <v>15458</v>
      </c>
      <c r="H1612" s="21" t="s">
        <v>24119</v>
      </c>
      <c r="I1612" s="21" t="s">
        <v>11413</v>
      </c>
      <c r="J1612" s="21" t="s">
        <v>15458</v>
      </c>
    </row>
    <row r="1613" customFormat="false" ht="15" hidden="false" customHeight="false" outlineLevel="0" collapsed="false">
      <c r="B1613" s="19" t="s">
        <v>24161</v>
      </c>
      <c r="C1613" s="20" t="n">
        <f aca="false">ROUND(0.21/FX,2)</f>
        <v>0.03</v>
      </c>
      <c r="D1613" s="21" t="s">
        <v>23565</v>
      </c>
      <c r="E1613" s="21" t="s">
        <v>23555</v>
      </c>
      <c r="F1613" s="21" t="s">
        <v>13732</v>
      </c>
      <c r="G1613" s="21" t="s">
        <v>24118</v>
      </c>
      <c r="H1613" s="21" t="s">
        <v>24162</v>
      </c>
      <c r="I1613" s="21" t="s">
        <v>11411</v>
      </c>
      <c r="J1613" s="21" t="s">
        <v>15458</v>
      </c>
    </row>
    <row r="1614" customFormat="false" ht="15" hidden="false" customHeight="false" outlineLevel="0" collapsed="false">
      <c r="B1614" s="19" t="s">
        <v>24163</v>
      </c>
      <c r="C1614" s="20" t="n">
        <f aca="false">ROUND(0.39/FX,2)</f>
        <v>0.05</v>
      </c>
      <c r="D1614" s="21" t="s">
        <v>23565</v>
      </c>
      <c r="E1614" s="21" t="s">
        <v>23555</v>
      </c>
      <c r="F1614" s="21" t="s">
        <v>13739</v>
      </c>
      <c r="G1614" s="21" t="s">
        <v>24118</v>
      </c>
      <c r="H1614" s="21" t="s">
        <v>24162</v>
      </c>
      <c r="I1614" s="21" t="s">
        <v>11413</v>
      </c>
      <c r="J1614" s="21" t="s">
        <v>15458</v>
      </c>
    </row>
    <row r="1615" customFormat="false" ht="15" hidden="false" customHeight="false" outlineLevel="0" collapsed="false">
      <c r="B1615" s="19" t="s">
        <v>24164</v>
      </c>
      <c r="C1615" s="20" t="n">
        <f aca="false">ROUND(0.39/FX,2)</f>
        <v>0.05</v>
      </c>
      <c r="D1615" s="21" t="s">
        <v>23565</v>
      </c>
      <c r="E1615" s="21" t="s">
        <v>23555</v>
      </c>
      <c r="F1615" s="21" t="s">
        <v>13739</v>
      </c>
      <c r="G1615" s="21" t="s">
        <v>24118</v>
      </c>
      <c r="H1615" s="21" t="s">
        <v>24162</v>
      </c>
      <c r="I1615" s="21" t="s">
        <v>11415</v>
      </c>
      <c r="J1615" s="21" t="s">
        <v>15458</v>
      </c>
    </row>
    <row r="1616" customFormat="false" ht="15" hidden="false" customHeight="false" outlineLevel="0" collapsed="false">
      <c r="B1616" s="19" t="s">
        <v>24165</v>
      </c>
      <c r="C1616" s="20" t="n">
        <f aca="false">ROUND(1.3/FX,2)</f>
        <v>0.18</v>
      </c>
      <c r="D1616" s="21" t="s">
        <v>23565</v>
      </c>
      <c r="E1616" s="21" t="s">
        <v>23548</v>
      </c>
      <c r="F1616" s="21" t="s">
        <v>14013</v>
      </c>
      <c r="G1616" s="21" t="s">
        <v>15458</v>
      </c>
      <c r="H1616" s="21" t="s">
        <v>24162</v>
      </c>
      <c r="I1616" s="21" t="s">
        <v>11407</v>
      </c>
      <c r="J1616" s="21" t="s">
        <v>15458</v>
      </c>
    </row>
    <row r="1617" customFormat="false" ht="15" hidden="false" customHeight="false" outlineLevel="0" collapsed="false">
      <c r="B1617" s="19" t="s">
        <v>24166</v>
      </c>
      <c r="C1617" s="20" t="n">
        <f aca="false">ROUND(1.07/FX,2)</f>
        <v>0.15</v>
      </c>
      <c r="D1617" s="21" t="s">
        <v>23565</v>
      </c>
      <c r="E1617" s="21" t="s">
        <v>23548</v>
      </c>
      <c r="F1617" s="21" t="s">
        <v>13743</v>
      </c>
      <c r="G1617" s="21" t="s">
        <v>15458</v>
      </c>
      <c r="H1617" s="21" t="s">
        <v>24162</v>
      </c>
      <c r="I1617" s="21" t="s">
        <v>11409</v>
      </c>
      <c r="J1617" s="21" t="s">
        <v>15458</v>
      </c>
    </row>
    <row r="1618" customFormat="false" ht="15" hidden="false" customHeight="false" outlineLevel="0" collapsed="false">
      <c r="B1618" s="19" t="s">
        <v>24167</v>
      </c>
      <c r="C1618" s="20" t="n">
        <f aca="false">ROUND(1.07/FX,2)</f>
        <v>0.15</v>
      </c>
      <c r="D1618" s="21" t="s">
        <v>23565</v>
      </c>
      <c r="E1618" s="21" t="s">
        <v>23548</v>
      </c>
      <c r="F1618" s="21" t="s">
        <v>13743</v>
      </c>
      <c r="G1618" s="21" t="s">
        <v>15458</v>
      </c>
      <c r="H1618" s="21" t="s">
        <v>24162</v>
      </c>
      <c r="I1618" s="21" t="s">
        <v>11411</v>
      </c>
      <c r="J1618" s="21" t="s">
        <v>15458</v>
      </c>
    </row>
    <row r="1619" customFormat="false" ht="15" hidden="false" customHeight="false" outlineLevel="0" collapsed="false">
      <c r="B1619" s="19" t="s">
        <v>24168</v>
      </c>
      <c r="C1619" s="20" t="n">
        <f aca="false">ROUND(1.07/FX,2)</f>
        <v>0.15</v>
      </c>
      <c r="D1619" s="21" t="s">
        <v>23565</v>
      </c>
      <c r="E1619" s="21" t="s">
        <v>23548</v>
      </c>
      <c r="F1619" s="21" t="s">
        <v>13743</v>
      </c>
      <c r="G1619" s="21" t="s">
        <v>15458</v>
      </c>
      <c r="H1619" s="21" t="s">
        <v>24162</v>
      </c>
      <c r="I1619" s="21" t="s">
        <v>11413</v>
      </c>
      <c r="J1619" s="21" t="s">
        <v>15458</v>
      </c>
    </row>
    <row r="1620" customFormat="false" ht="15" hidden="false" customHeight="false" outlineLevel="0" collapsed="false">
      <c r="B1620" s="19" t="s">
        <v>24169</v>
      </c>
      <c r="C1620" s="20" t="n">
        <f aca="false">ROUND(1.37/FX,2)</f>
        <v>0.19</v>
      </c>
      <c r="D1620" s="21" t="s">
        <v>23565</v>
      </c>
      <c r="E1620" s="21" t="s">
        <v>24111</v>
      </c>
      <c r="F1620" s="21" t="s">
        <v>13751</v>
      </c>
      <c r="G1620" s="21" t="s">
        <v>15458</v>
      </c>
      <c r="H1620" s="21" t="s">
        <v>24162</v>
      </c>
      <c r="I1620" s="21" t="s">
        <v>11407</v>
      </c>
      <c r="J1620" s="21" t="s">
        <v>15458</v>
      </c>
    </row>
    <row r="1621" customFormat="false" ht="15" hidden="false" customHeight="false" outlineLevel="0" collapsed="false">
      <c r="B1621" s="19" t="s">
        <v>24170</v>
      </c>
      <c r="C1621" s="20" t="n">
        <f aca="false">ROUND(1.11/FX,2)</f>
        <v>0.15</v>
      </c>
      <c r="D1621" s="21" t="s">
        <v>23565</v>
      </c>
      <c r="E1621" s="21" t="s">
        <v>24111</v>
      </c>
      <c r="F1621" s="21" t="s">
        <v>13743</v>
      </c>
      <c r="G1621" s="21" t="s">
        <v>15458</v>
      </c>
      <c r="H1621" s="21" t="s">
        <v>24162</v>
      </c>
      <c r="I1621" s="21" t="s">
        <v>11409</v>
      </c>
      <c r="J1621" s="21" t="s">
        <v>15458</v>
      </c>
    </row>
    <row r="1622" customFormat="false" ht="15" hidden="false" customHeight="false" outlineLevel="0" collapsed="false">
      <c r="B1622" s="19" t="s">
        <v>24171</v>
      </c>
      <c r="C1622" s="20" t="n">
        <f aca="false">ROUND(1.11/FX,2)</f>
        <v>0.15</v>
      </c>
      <c r="D1622" s="21" t="s">
        <v>23565</v>
      </c>
      <c r="E1622" s="21" t="s">
        <v>24111</v>
      </c>
      <c r="F1622" s="21" t="s">
        <v>13743</v>
      </c>
      <c r="G1622" s="21" t="s">
        <v>15458</v>
      </c>
      <c r="H1622" s="21" t="s">
        <v>24162</v>
      </c>
      <c r="I1622" s="21" t="s">
        <v>11411</v>
      </c>
      <c r="J1622" s="21" t="s">
        <v>15458</v>
      </c>
    </row>
    <row r="1623" customFormat="false" ht="15" hidden="false" customHeight="false" outlineLevel="0" collapsed="false">
      <c r="B1623" s="19" t="s">
        <v>24172</v>
      </c>
      <c r="C1623" s="20" t="n">
        <f aca="false">ROUND(1.11/FX,2)</f>
        <v>0.15</v>
      </c>
      <c r="D1623" s="21" t="s">
        <v>23565</v>
      </c>
      <c r="E1623" s="21" t="s">
        <v>24111</v>
      </c>
      <c r="F1623" s="21" t="s">
        <v>13743</v>
      </c>
      <c r="G1623" s="21" t="s">
        <v>15458</v>
      </c>
      <c r="H1623" s="21" t="s">
        <v>24162</v>
      </c>
      <c r="I1623" s="21" t="s">
        <v>11413</v>
      </c>
      <c r="J1623" s="21" t="s">
        <v>15458</v>
      </c>
    </row>
    <row r="1624" customFormat="false" ht="15" hidden="false" customHeight="false" outlineLevel="0" collapsed="false">
      <c r="B1624" s="19" t="s">
        <v>24173</v>
      </c>
      <c r="C1624" s="20" t="n">
        <f aca="false">ROUND(1.11/FX,2)</f>
        <v>0.15</v>
      </c>
      <c r="D1624" s="21" t="s">
        <v>23565</v>
      </c>
      <c r="E1624" s="21" t="s">
        <v>24111</v>
      </c>
      <c r="F1624" s="21" t="s">
        <v>13743</v>
      </c>
      <c r="G1624" s="21" t="s">
        <v>15458</v>
      </c>
      <c r="H1624" s="21" t="s">
        <v>24162</v>
      </c>
      <c r="I1624" s="21" t="s">
        <v>11415</v>
      </c>
      <c r="J1624" s="21" t="s">
        <v>15458</v>
      </c>
    </row>
    <row r="1625" customFormat="false" ht="15" hidden="false" customHeight="false" outlineLevel="0" collapsed="false">
      <c r="B1625" s="19" t="s">
        <v>24174</v>
      </c>
      <c r="C1625" s="20" t="n">
        <f aca="false">ROUND(1.04/FX,2)</f>
        <v>0.14</v>
      </c>
      <c r="D1625" s="21" t="s">
        <v>23565</v>
      </c>
      <c r="E1625" s="21" t="s">
        <v>23555</v>
      </c>
      <c r="F1625" s="21" t="s">
        <v>13739</v>
      </c>
      <c r="G1625" s="21" t="s">
        <v>15458</v>
      </c>
      <c r="H1625" s="21" t="s">
        <v>24162</v>
      </c>
      <c r="I1625" s="21" t="s">
        <v>11407</v>
      </c>
      <c r="J1625" s="21" t="s">
        <v>15458</v>
      </c>
    </row>
    <row r="1626" customFormat="false" ht="15" hidden="false" customHeight="false" outlineLevel="0" collapsed="false">
      <c r="B1626" s="19" t="s">
        <v>24175</v>
      </c>
      <c r="C1626" s="20" t="n">
        <f aca="false">ROUND(1.37/FX,2)</f>
        <v>0.19</v>
      </c>
      <c r="D1626" s="21" t="s">
        <v>23565</v>
      </c>
      <c r="E1626" s="21" t="s">
        <v>23555</v>
      </c>
      <c r="F1626" s="21" t="s">
        <v>13743</v>
      </c>
      <c r="G1626" s="21" t="s">
        <v>15458</v>
      </c>
      <c r="H1626" s="21" t="s">
        <v>24162</v>
      </c>
      <c r="I1626" s="21" t="s">
        <v>11409</v>
      </c>
      <c r="J1626" s="21" t="s">
        <v>15458</v>
      </c>
    </row>
    <row r="1627" customFormat="false" ht="15" hidden="false" customHeight="false" outlineLevel="0" collapsed="false">
      <c r="B1627" s="19" t="s">
        <v>24176</v>
      </c>
      <c r="C1627" s="20" t="n">
        <f aca="false">ROUND(0.22/FX,2)</f>
        <v>0.03</v>
      </c>
      <c r="D1627" s="21" t="s">
        <v>23565</v>
      </c>
      <c r="E1627" s="21" t="s">
        <v>23555</v>
      </c>
      <c r="F1627" s="21" t="s">
        <v>13732</v>
      </c>
      <c r="G1627" s="21" t="s">
        <v>13313</v>
      </c>
      <c r="H1627" s="21" t="s">
        <v>24162</v>
      </c>
      <c r="I1627" s="21" t="s">
        <v>11411</v>
      </c>
      <c r="J1627" s="21" t="s">
        <v>15458</v>
      </c>
    </row>
    <row r="1628" customFormat="false" ht="15" hidden="false" customHeight="false" outlineLevel="0" collapsed="false">
      <c r="B1628" s="19" t="s">
        <v>24177</v>
      </c>
      <c r="C1628" s="20" t="n">
        <f aca="false">ROUND(1.17/FX,2)</f>
        <v>0.16</v>
      </c>
      <c r="D1628" s="21" t="s">
        <v>23565</v>
      </c>
      <c r="E1628" s="21" t="s">
        <v>23555</v>
      </c>
      <c r="F1628" s="21" t="s">
        <v>13743</v>
      </c>
      <c r="G1628" s="21" t="s">
        <v>13313</v>
      </c>
      <c r="H1628" s="21" t="s">
        <v>24162</v>
      </c>
      <c r="I1628" s="21" t="s">
        <v>11413</v>
      </c>
      <c r="J1628" s="21" t="s">
        <v>15458</v>
      </c>
    </row>
    <row r="1629" customFormat="false" ht="15" hidden="false" customHeight="false" outlineLevel="0" collapsed="false">
      <c r="B1629" s="19" t="s">
        <v>24178</v>
      </c>
      <c r="C1629" s="20" t="n">
        <f aca="false">ROUND(1.17/FX,2)</f>
        <v>0.16</v>
      </c>
      <c r="D1629" s="21" t="s">
        <v>23565</v>
      </c>
      <c r="E1629" s="21" t="s">
        <v>23555</v>
      </c>
      <c r="F1629" s="21" t="s">
        <v>13743</v>
      </c>
      <c r="G1629" s="21" t="s">
        <v>13313</v>
      </c>
      <c r="H1629" s="21" t="s">
        <v>24162</v>
      </c>
      <c r="I1629" s="21" t="s">
        <v>11415</v>
      </c>
      <c r="J1629" s="21" t="s">
        <v>15458</v>
      </c>
    </row>
    <row r="1630" customFormat="false" ht="15" hidden="false" customHeight="false" outlineLevel="0" collapsed="false">
      <c r="B1630" s="19" t="s">
        <v>24179</v>
      </c>
      <c r="C1630" s="20" t="n">
        <f aca="false">ROUND(0.52/FX,2)</f>
        <v>0.07</v>
      </c>
      <c r="D1630" s="21" t="s">
        <v>23565</v>
      </c>
      <c r="E1630" s="21" t="s">
        <v>23562</v>
      </c>
      <c r="F1630" s="21" t="s">
        <v>13732</v>
      </c>
      <c r="G1630" s="21" t="s">
        <v>13313</v>
      </c>
      <c r="H1630" s="21" t="s">
        <v>24162</v>
      </c>
      <c r="I1630" s="21" t="s">
        <v>22841</v>
      </c>
      <c r="J1630" s="21" t="s">
        <v>15458</v>
      </c>
    </row>
    <row r="1631" customFormat="false" ht="15" hidden="false" customHeight="false" outlineLevel="0" collapsed="false">
      <c r="B1631" s="19" t="s">
        <v>24180</v>
      </c>
      <c r="C1631" s="20" t="n">
        <f aca="false">ROUND(2.73/FX,2)</f>
        <v>0.38</v>
      </c>
      <c r="D1631" s="21" t="s">
        <v>23565</v>
      </c>
      <c r="E1631" s="21" t="s">
        <v>23562</v>
      </c>
      <c r="F1631" s="21" t="s">
        <v>13997</v>
      </c>
      <c r="G1631" s="21" t="s">
        <v>13313</v>
      </c>
      <c r="H1631" s="21" t="s">
        <v>24162</v>
      </c>
      <c r="I1631" s="21" t="s">
        <v>11409</v>
      </c>
      <c r="J1631" s="21" t="s">
        <v>15458</v>
      </c>
    </row>
    <row r="1632" customFormat="false" ht="15" hidden="false" customHeight="false" outlineLevel="0" collapsed="false">
      <c r="B1632" s="19" t="s">
        <v>24181</v>
      </c>
      <c r="C1632" s="20" t="n">
        <f aca="false">ROUND(2.47/FX,2)</f>
        <v>0.34</v>
      </c>
      <c r="D1632" s="21" t="s">
        <v>23565</v>
      </c>
      <c r="E1632" s="21" t="s">
        <v>23562</v>
      </c>
      <c r="F1632" s="21" t="s">
        <v>13997</v>
      </c>
      <c r="G1632" s="21" t="s">
        <v>13313</v>
      </c>
      <c r="H1632" s="21" t="s">
        <v>24162</v>
      </c>
      <c r="I1632" s="21" t="s">
        <v>11411</v>
      </c>
      <c r="J1632" s="21" t="s">
        <v>15458</v>
      </c>
    </row>
    <row r="1633" customFormat="false" ht="15" hidden="false" customHeight="false" outlineLevel="0" collapsed="false">
      <c r="B1633" s="19" t="s">
        <v>24182</v>
      </c>
      <c r="C1633" s="20" t="n">
        <f aca="false">ROUND(2.47/FX,2)</f>
        <v>0.34</v>
      </c>
      <c r="D1633" s="21" t="s">
        <v>23565</v>
      </c>
      <c r="E1633" s="21" t="s">
        <v>23562</v>
      </c>
      <c r="F1633" s="21" t="s">
        <v>13997</v>
      </c>
      <c r="G1633" s="21" t="s">
        <v>13313</v>
      </c>
      <c r="H1633" s="21" t="s">
        <v>24162</v>
      </c>
      <c r="I1633" s="21" t="s">
        <v>11413</v>
      </c>
      <c r="J1633" s="21" t="s">
        <v>15458</v>
      </c>
    </row>
    <row r="1634" customFormat="false" ht="15" hidden="false" customHeight="false" outlineLevel="0" collapsed="false">
      <c r="B1634" s="19" t="s">
        <v>24183</v>
      </c>
      <c r="C1634" s="20" t="n">
        <f aca="false">ROUND(2.47/FX,2)</f>
        <v>0.34</v>
      </c>
      <c r="D1634" s="21" t="s">
        <v>23565</v>
      </c>
      <c r="E1634" s="21" t="s">
        <v>23562</v>
      </c>
      <c r="F1634" s="21" t="s">
        <v>13997</v>
      </c>
      <c r="G1634" s="21" t="s">
        <v>13313</v>
      </c>
      <c r="H1634" s="21" t="s">
        <v>24162</v>
      </c>
      <c r="I1634" s="21" t="s">
        <v>11415</v>
      </c>
      <c r="J1634" s="21" t="s">
        <v>15458</v>
      </c>
    </row>
    <row r="1635" customFormat="false" ht="15" hidden="false" customHeight="false" outlineLevel="0" collapsed="false">
      <c r="B1635" s="19" t="s">
        <v>24184</v>
      </c>
      <c r="C1635" s="20" t="n">
        <f aca="false">ROUND(1.04/FX,2)</f>
        <v>0.14</v>
      </c>
      <c r="D1635" s="21" t="s">
        <v>8669</v>
      </c>
      <c r="E1635" s="21" t="s">
        <v>23548</v>
      </c>
      <c r="F1635" s="21" t="s">
        <v>13732</v>
      </c>
      <c r="G1635" s="21" t="s">
        <v>15458</v>
      </c>
      <c r="H1635" s="21" t="s">
        <v>24162</v>
      </c>
      <c r="I1635" s="21" t="s">
        <v>11407</v>
      </c>
      <c r="J1635" s="21" t="s">
        <v>15458</v>
      </c>
    </row>
    <row r="1636" customFormat="false" ht="15" hidden="false" customHeight="false" outlineLevel="0" collapsed="false">
      <c r="B1636" s="19" t="s">
        <v>24185</v>
      </c>
      <c r="C1636" s="20" t="n">
        <f aca="false">ROUND(1.04/FX,2)</f>
        <v>0.14</v>
      </c>
      <c r="D1636" s="21" t="s">
        <v>8669</v>
      </c>
      <c r="E1636" s="21" t="s">
        <v>23548</v>
      </c>
      <c r="F1636" s="21" t="s">
        <v>13732</v>
      </c>
      <c r="G1636" s="21" t="s">
        <v>15458</v>
      </c>
      <c r="H1636" s="21" t="s">
        <v>24162</v>
      </c>
      <c r="I1636" s="21" t="s">
        <v>11409</v>
      </c>
      <c r="J1636" s="21" t="s">
        <v>15458</v>
      </c>
    </row>
    <row r="1637" customFormat="false" ht="15" hidden="false" customHeight="false" outlineLevel="0" collapsed="false">
      <c r="B1637" s="19" t="s">
        <v>24186</v>
      </c>
      <c r="C1637" s="20" t="n">
        <f aca="false">ROUND(1.04/FX,2)</f>
        <v>0.14</v>
      </c>
      <c r="D1637" s="21" t="s">
        <v>8669</v>
      </c>
      <c r="E1637" s="21" t="s">
        <v>23548</v>
      </c>
      <c r="F1637" s="21" t="s">
        <v>13732</v>
      </c>
      <c r="G1637" s="21" t="s">
        <v>15458</v>
      </c>
      <c r="H1637" s="21" t="s">
        <v>24162</v>
      </c>
      <c r="I1637" s="21" t="s">
        <v>11411</v>
      </c>
      <c r="J1637" s="21" t="s">
        <v>15458</v>
      </c>
    </row>
    <row r="1638" customFormat="false" ht="15" hidden="false" customHeight="false" outlineLevel="0" collapsed="false">
      <c r="B1638" s="19" t="s">
        <v>24187</v>
      </c>
      <c r="C1638" s="20" t="n">
        <f aca="false">ROUND(1.04/FX,2)</f>
        <v>0.14</v>
      </c>
      <c r="D1638" s="21" t="s">
        <v>8669</v>
      </c>
      <c r="E1638" s="21" t="s">
        <v>23548</v>
      </c>
      <c r="F1638" s="21" t="s">
        <v>13732</v>
      </c>
      <c r="G1638" s="21" t="s">
        <v>15458</v>
      </c>
      <c r="H1638" s="21" t="s">
        <v>24162</v>
      </c>
      <c r="I1638" s="21" t="s">
        <v>11413</v>
      </c>
      <c r="J1638" s="21" t="s">
        <v>15458</v>
      </c>
    </row>
    <row r="1639" customFormat="false" ht="15" hidden="false" customHeight="false" outlineLevel="0" collapsed="false">
      <c r="B1639" s="19" t="s">
        <v>24188</v>
      </c>
      <c r="C1639" s="20" t="n">
        <f aca="false">ROUND(0.13/FX,2)</f>
        <v>0.02</v>
      </c>
      <c r="D1639" s="21" t="s">
        <v>23565</v>
      </c>
      <c r="E1639" s="21" t="s">
        <v>23548</v>
      </c>
      <c r="F1639" s="21" t="s">
        <v>13739</v>
      </c>
      <c r="G1639" s="21" t="s">
        <v>24118</v>
      </c>
      <c r="H1639" s="21" t="s">
        <v>24189</v>
      </c>
      <c r="I1639" s="21" t="s">
        <v>11411</v>
      </c>
      <c r="J1639" s="21" t="s">
        <v>15458</v>
      </c>
    </row>
    <row r="1640" customFormat="false" ht="15" hidden="false" customHeight="false" outlineLevel="0" collapsed="false">
      <c r="B1640" s="19" t="s">
        <v>24190</v>
      </c>
      <c r="C1640" s="20" t="n">
        <f aca="false">ROUND(1.17/FX,2)</f>
        <v>0.16</v>
      </c>
      <c r="D1640" s="21" t="s">
        <v>23565</v>
      </c>
      <c r="E1640" s="21" t="s">
        <v>23552</v>
      </c>
      <c r="F1640" s="21" t="s">
        <v>13997</v>
      </c>
      <c r="G1640" s="21" t="s">
        <v>24118</v>
      </c>
      <c r="H1640" s="21" t="s">
        <v>24189</v>
      </c>
      <c r="I1640" s="21" t="s">
        <v>11409</v>
      </c>
      <c r="J1640" s="21" t="s">
        <v>15458</v>
      </c>
    </row>
    <row r="1641" customFormat="false" ht="15" hidden="false" customHeight="false" outlineLevel="0" collapsed="false">
      <c r="B1641" s="19" t="s">
        <v>24191</v>
      </c>
      <c r="C1641" s="20" t="n">
        <f aca="false">ROUND(0.52/FX,2)</f>
        <v>0.07</v>
      </c>
      <c r="D1641" s="21" t="s">
        <v>23565</v>
      </c>
      <c r="E1641" s="21" t="s">
        <v>23552</v>
      </c>
      <c r="F1641" s="21" t="s">
        <v>13743</v>
      </c>
      <c r="G1641" s="21" t="s">
        <v>24118</v>
      </c>
      <c r="H1641" s="21" t="s">
        <v>24189</v>
      </c>
      <c r="I1641" s="21" t="s">
        <v>11411</v>
      </c>
      <c r="J1641" s="21" t="s">
        <v>15458</v>
      </c>
    </row>
    <row r="1642" customFormat="false" ht="15" hidden="false" customHeight="false" outlineLevel="0" collapsed="false">
      <c r="B1642" s="19" t="s">
        <v>24192</v>
      </c>
      <c r="C1642" s="20" t="n">
        <f aca="false">ROUND(0.98/FX,2)</f>
        <v>0.14</v>
      </c>
      <c r="D1642" s="21" t="s">
        <v>23565</v>
      </c>
      <c r="E1642" s="21" t="s">
        <v>23552</v>
      </c>
      <c r="F1642" s="21" t="s">
        <v>13997</v>
      </c>
      <c r="G1642" s="21" t="s">
        <v>24118</v>
      </c>
      <c r="H1642" s="21" t="s">
        <v>24189</v>
      </c>
      <c r="I1642" s="21" t="s">
        <v>11413</v>
      </c>
      <c r="J1642" s="21" t="s">
        <v>15458</v>
      </c>
    </row>
    <row r="1643" customFormat="false" ht="15" hidden="false" customHeight="false" outlineLevel="0" collapsed="false">
      <c r="B1643" s="19" t="s">
        <v>24193</v>
      </c>
      <c r="C1643" s="20" t="n">
        <f aca="false">ROUND(0.13/FX,2)</f>
        <v>0.02</v>
      </c>
      <c r="D1643" s="21" t="s">
        <v>23565</v>
      </c>
      <c r="E1643" s="21" t="s">
        <v>23552</v>
      </c>
      <c r="F1643" s="21" t="s">
        <v>13732</v>
      </c>
      <c r="G1643" s="21" t="s">
        <v>24118</v>
      </c>
      <c r="H1643" s="21" t="s">
        <v>24189</v>
      </c>
      <c r="I1643" s="21" t="s">
        <v>11415</v>
      </c>
      <c r="J1643" s="21" t="s">
        <v>15458</v>
      </c>
    </row>
    <row r="1644" customFormat="false" ht="15" hidden="false" customHeight="false" outlineLevel="0" collapsed="false">
      <c r="B1644" s="19" t="s">
        <v>24194</v>
      </c>
      <c r="C1644" s="20" t="n">
        <f aca="false">ROUND(1.09/FX,2)</f>
        <v>0.15</v>
      </c>
      <c r="D1644" s="21" t="s">
        <v>23565</v>
      </c>
      <c r="E1644" s="21" t="s">
        <v>23555</v>
      </c>
      <c r="F1644" s="21" t="s">
        <v>13751</v>
      </c>
      <c r="G1644" s="21" t="s">
        <v>24118</v>
      </c>
      <c r="H1644" s="21" t="s">
        <v>24189</v>
      </c>
      <c r="I1644" s="21" t="s">
        <v>11411</v>
      </c>
      <c r="J1644" s="21" t="s">
        <v>15458</v>
      </c>
    </row>
    <row r="1645" customFormat="false" ht="15" hidden="false" customHeight="false" outlineLevel="0" collapsed="false">
      <c r="B1645" s="19" t="s">
        <v>24195</v>
      </c>
      <c r="C1645" s="20" t="n">
        <f aca="false">ROUND(1.02/FX,2)</f>
        <v>0.14</v>
      </c>
      <c r="D1645" s="21" t="s">
        <v>23565</v>
      </c>
      <c r="E1645" s="21" t="s">
        <v>23555</v>
      </c>
      <c r="F1645" s="21" t="s">
        <v>13751</v>
      </c>
      <c r="G1645" s="21" t="s">
        <v>24118</v>
      </c>
      <c r="H1645" s="21" t="s">
        <v>24189</v>
      </c>
      <c r="I1645" s="21" t="s">
        <v>11415</v>
      </c>
      <c r="J1645" s="21" t="s">
        <v>15458</v>
      </c>
    </row>
    <row r="1646" customFormat="false" ht="15" hidden="false" customHeight="false" outlineLevel="0" collapsed="false">
      <c r="B1646" s="19" t="s">
        <v>24196</v>
      </c>
      <c r="C1646" s="20" t="n">
        <f aca="false">ROUND(0.65/FX,2)</f>
        <v>0.09</v>
      </c>
      <c r="D1646" s="21" t="s">
        <v>23565</v>
      </c>
      <c r="E1646" s="21" t="s">
        <v>23552</v>
      </c>
      <c r="F1646" s="21" t="s">
        <v>13739</v>
      </c>
      <c r="G1646" s="21" t="s">
        <v>24197</v>
      </c>
      <c r="H1646" s="21" t="s">
        <v>24189</v>
      </c>
      <c r="I1646" s="21" t="s">
        <v>11407</v>
      </c>
      <c r="J1646" s="21" t="s">
        <v>15458</v>
      </c>
    </row>
    <row r="1647" customFormat="false" ht="15" hidden="false" customHeight="false" outlineLevel="0" collapsed="false">
      <c r="B1647" s="19" t="s">
        <v>24198</v>
      </c>
      <c r="C1647" s="20" t="n">
        <f aca="false">ROUND(0.39/FX,2)</f>
        <v>0.05</v>
      </c>
      <c r="D1647" s="21" t="s">
        <v>23565</v>
      </c>
      <c r="E1647" s="21" t="s">
        <v>23552</v>
      </c>
      <c r="F1647" s="21" t="s">
        <v>13739</v>
      </c>
      <c r="G1647" s="21" t="s">
        <v>24197</v>
      </c>
      <c r="H1647" s="21" t="s">
        <v>24189</v>
      </c>
      <c r="I1647" s="21" t="s">
        <v>11409</v>
      </c>
      <c r="J1647" s="21" t="s">
        <v>15458</v>
      </c>
    </row>
    <row r="1648" customFormat="false" ht="15" hidden="false" customHeight="false" outlineLevel="0" collapsed="false">
      <c r="B1648" s="19" t="s">
        <v>24199</v>
      </c>
      <c r="C1648" s="20" t="n">
        <f aca="false">ROUND(0.39/FX,2)</f>
        <v>0.05</v>
      </c>
      <c r="D1648" s="21" t="s">
        <v>23565</v>
      </c>
      <c r="E1648" s="21" t="s">
        <v>23552</v>
      </c>
      <c r="F1648" s="21" t="s">
        <v>13739</v>
      </c>
      <c r="G1648" s="21" t="s">
        <v>24197</v>
      </c>
      <c r="H1648" s="21" t="s">
        <v>24189</v>
      </c>
      <c r="I1648" s="21" t="s">
        <v>11411</v>
      </c>
      <c r="J1648" s="21" t="s">
        <v>15458</v>
      </c>
    </row>
    <row r="1649" customFormat="false" ht="15" hidden="false" customHeight="false" outlineLevel="0" collapsed="false">
      <c r="B1649" s="19" t="s">
        <v>24200</v>
      </c>
      <c r="C1649" s="20" t="n">
        <f aca="false">ROUND(0.39/FX,2)</f>
        <v>0.05</v>
      </c>
      <c r="D1649" s="21" t="s">
        <v>23565</v>
      </c>
      <c r="E1649" s="21" t="s">
        <v>23552</v>
      </c>
      <c r="F1649" s="21" t="s">
        <v>13739</v>
      </c>
      <c r="G1649" s="21" t="s">
        <v>24197</v>
      </c>
      <c r="H1649" s="21" t="s">
        <v>24189</v>
      </c>
      <c r="I1649" s="21" t="s">
        <v>11413</v>
      </c>
      <c r="J1649" s="21" t="s">
        <v>15458</v>
      </c>
    </row>
    <row r="1650" customFormat="false" ht="15" hidden="false" customHeight="false" outlineLevel="0" collapsed="false">
      <c r="B1650" s="19" t="s">
        <v>24201</v>
      </c>
      <c r="C1650" s="20" t="n">
        <f aca="false">ROUND(0.91/FX,2)</f>
        <v>0.13</v>
      </c>
      <c r="D1650" s="21" t="s">
        <v>23565</v>
      </c>
      <c r="E1650" s="21" t="s">
        <v>23552</v>
      </c>
      <c r="F1650" s="21" t="s">
        <v>13743</v>
      </c>
      <c r="G1650" s="21" t="s">
        <v>24197</v>
      </c>
      <c r="H1650" s="21" t="s">
        <v>24189</v>
      </c>
      <c r="I1650" s="21" t="s">
        <v>11415</v>
      </c>
      <c r="J1650" s="21" t="s">
        <v>15458</v>
      </c>
    </row>
    <row r="1651" customFormat="false" ht="15" hidden="false" customHeight="false" outlineLevel="0" collapsed="false">
      <c r="B1651" s="19" t="s">
        <v>24202</v>
      </c>
      <c r="C1651" s="20" t="n">
        <f aca="false">ROUND(1.02/FX,2)</f>
        <v>0.14</v>
      </c>
      <c r="D1651" s="21" t="s">
        <v>23565</v>
      </c>
      <c r="E1651" s="21" t="s">
        <v>23555</v>
      </c>
      <c r="F1651" s="21" t="s">
        <v>13751</v>
      </c>
      <c r="G1651" s="21" t="s">
        <v>24197</v>
      </c>
      <c r="H1651" s="21" t="s">
        <v>24189</v>
      </c>
      <c r="I1651" s="21" t="s">
        <v>11413</v>
      </c>
      <c r="J1651" s="21" t="s">
        <v>15458</v>
      </c>
    </row>
    <row r="1652" customFormat="false" ht="15" hidden="false" customHeight="false" outlineLevel="0" collapsed="false">
      <c r="B1652" s="19" t="s">
        <v>24203</v>
      </c>
      <c r="C1652" s="20" t="n">
        <f aca="false">ROUND(1.2/FX,2)</f>
        <v>0.17</v>
      </c>
      <c r="D1652" s="21" t="s">
        <v>8669</v>
      </c>
      <c r="E1652" s="21" t="s">
        <v>23548</v>
      </c>
      <c r="F1652" s="21" t="s">
        <v>14013</v>
      </c>
      <c r="G1652" s="21" t="s">
        <v>24118</v>
      </c>
      <c r="H1652" s="21" t="s">
        <v>24189</v>
      </c>
      <c r="I1652" s="21" t="s">
        <v>11411</v>
      </c>
      <c r="J1652" s="21" t="s">
        <v>15458</v>
      </c>
    </row>
    <row r="1653" customFormat="false" ht="15" hidden="false" customHeight="false" outlineLevel="0" collapsed="false">
      <c r="B1653" s="19" t="s">
        <v>24204</v>
      </c>
      <c r="C1653" s="20" t="n">
        <f aca="false">ROUND(1.56/FX,2)</f>
        <v>0.22</v>
      </c>
      <c r="D1653" s="21" t="s">
        <v>8669</v>
      </c>
      <c r="E1653" s="21" t="s">
        <v>23548</v>
      </c>
      <c r="F1653" s="21" t="s">
        <v>13743</v>
      </c>
      <c r="G1653" s="21" t="s">
        <v>24118</v>
      </c>
      <c r="H1653" s="21" t="s">
        <v>24189</v>
      </c>
      <c r="I1653" s="21" t="s">
        <v>11413</v>
      </c>
      <c r="J1653" s="21" t="s">
        <v>15458</v>
      </c>
    </row>
    <row r="1654" customFormat="false" ht="15" hidden="false" customHeight="false" outlineLevel="0" collapsed="false">
      <c r="B1654" s="19" t="s">
        <v>24205</v>
      </c>
      <c r="C1654" s="20" t="n">
        <f aca="false">ROUND(0.52/FX,2)</f>
        <v>0.07</v>
      </c>
      <c r="D1654" s="21" t="s">
        <v>8669</v>
      </c>
      <c r="E1654" s="21" t="s">
        <v>23552</v>
      </c>
      <c r="F1654" s="21" t="s">
        <v>13732</v>
      </c>
      <c r="G1654" s="21" t="s">
        <v>24118</v>
      </c>
      <c r="H1654" s="21" t="s">
        <v>24189</v>
      </c>
      <c r="I1654" s="21" t="s">
        <v>11413</v>
      </c>
      <c r="J1654" s="21" t="s">
        <v>15458</v>
      </c>
    </row>
    <row r="1655" customFormat="false" ht="15" hidden="false" customHeight="false" outlineLevel="0" collapsed="false">
      <c r="B1655" s="19" t="s">
        <v>24206</v>
      </c>
      <c r="C1655" s="20" t="n">
        <f aca="false">ROUND(1.3/FX,2)</f>
        <v>0.18</v>
      </c>
      <c r="D1655" s="21" t="s">
        <v>8669</v>
      </c>
      <c r="E1655" s="21" t="s">
        <v>23548</v>
      </c>
      <c r="F1655" s="21" t="s">
        <v>13739</v>
      </c>
      <c r="G1655" s="21" t="s">
        <v>13313</v>
      </c>
      <c r="H1655" s="21" t="s">
        <v>24189</v>
      </c>
      <c r="I1655" s="21" t="s">
        <v>11407</v>
      </c>
      <c r="J1655" s="21" t="s">
        <v>15458</v>
      </c>
    </row>
    <row r="1656" customFormat="false" ht="15" hidden="false" customHeight="false" outlineLevel="0" collapsed="false">
      <c r="B1656" s="19" t="s">
        <v>24207</v>
      </c>
      <c r="C1656" s="20" t="n">
        <f aca="false">ROUND(1.3/FX,2)</f>
        <v>0.18</v>
      </c>
      <c r="D1656" s="21" t="s">
        <v>8669</v>
      </c>
      <c r="E1656" s="21" t="s">
        <v>23548</v>
      </c>
      <c r="F1656" s="21" t="s">
        <v>13739</v>
      </c>
      <c r="G1656" s="21" t="s">
        <v>13313</v>
      </c>
      <c r="H1656" s="21" t="s">
        <v>24189</v>
      </c>
      <c r="I1656" s="21" t="s">
        <v>11409</v>
      </c>
      <c r="J1656" s="21" t="s">
        <v>15458</v>
      </c>
    </row>
    <row r="1657" customFormat="false" ht="15" hidden="false" customHeight="false" outlineLevel="0" collapsed="false">
      <c r="B1657" s="19" t="s">
        <v>24208</v>
      </c>
      <c r="C1657" s="20" t="n">
        <f aca="false">ROUND(1.04/FX,2)</f>
        <v>0.14</v>
      </c>
      <c r="D1657" s="21" t="s">
        <v>8669</v>
      </c>
      <c r="E1657" s="21" t="s">
        <v>23548</v>
      </c>
      <c r="F1657" s="21" t="s">
        <v>13739</v>
      </c>
      <c r="G1657" s="21" t="s">
        <v>13313</v>
      </c>
      <c r="H1657" s="21" t="s">
        <v>24189</v>
      </c>
      <c r="I1657" s="21" t="s">
        <v>11411</v>
      </c>
      <c r="J1657" s="21" t="s">
        <v>15458</v>
      </c>
    </row>
    <row r="1658" customFormat="false" ht="15" hidden="false" customHeight="false" outlineLevel="0" collapsed="false">
      <c r="B1658" s="19" t="s">
        <v>24209</v>
      </c>
      <c r="C1658" s="20" t="n">
        <f aca="false">ROUND(0.52/FX,2)</f>
        <v>0.07</v>
      </c>
      <c r="D1658" s="21" t="s">
        <v>8669</v>
      </c>
      <c r="E1658" s="21" t="s">
        <v>23548</v>
      </c>
      <c r="F1658" s="21" t="s">
        <v>13732</v>
      </c>
      <c r="G1658" s="21" t="s">
        <v>13313</v>
      </c>
      <c r="H1658" s="21" t="s">
        <v>24189</v>
      </c>
      <c r="I1658" s="21" t="s">
        <v>11413</v>
      </c>
      <c r="J1658" s="21" t="s">
        <v>15458</v>
      </c>
    </row>
    <row r="1659" customFormat="false" ht="15" hidden="false" customHeight="false" outlineLevel="0" collapsed="false">
      <c r="B1659" s="19" t="s">
        <v>24210</v>
      </c>
      <c r="C1659" s="20" t="n">
        <f aca="false">ROUND(1/FX,2)</f>
        <v>0.14</v>
      </c>
      <c r="D1659" s="21" t="s">
        <v>8669</v>
      </c>
      <c r="E1659" s="21" t="s">
        <v>23552</v>
      </c>
      <c r="F1659" s="21" t="s">
        <v>13732</v>
      </c>
      <c r="G1659" s="21" t="s">
        <v>13313</v>
      </c>
      <c r="H1659" s="21" t="s">
        <v>24189</v>
      </c>
      <c r="I1659" s="21" t="s">
        <v>11409</v>
      </c>
      <c r="J1659" s="21" t="s">
        <v>15458</v>
      </c>
    </row>
    <row r="1660" customFormat="false" ht="15" hidden="false" customHeight="false" outlineLevel="0" collapsed="false">
      <c r="B1660" s="19" t="s">
        <v>24211</v>
      </c>
      <c r="C1660" s="20" t="n">
        <f aca="false">ROUND(1/FX,2)</f>
        <v>0.14</v>
      </c>
      <c r="D1660" s="21" t="s">
        <v>8669</v>
      </c>
      <c r="E1660" s="21" t="s">
        <v>23552</v>
      </c>
      <c r="F1660" s="21" t="s">
        <v>13732</v>
      </c>
      <c r="G1660" s="21" t="s">
        <v>13313</v>
      </c>
      <c r="H1660" s="21" t="s">
        <v>24189</v>
      </c>
      <c r="I1660" s="21" t="s">
        <v>11411</v>
      </c>
      <c r="J1660" s="21" t="s">
        <v>15458</v>
      </c>
    </row>
    <row r="1661" customFormat="false" ht="15" hidden="false" customHeight="false" outlineLevel="0" collapsed="false">
      <c r="B1661" s="19" t="s">
        <v>24212</v>
      </c>
      <c r="C1661" s="20" t="n">
        <f aca="false">ROUND(1/FX,2)</f>
        <v>0.14</v>
      </c>
      <c r="D1661" s="21" t="s">
        <v>8669</v>
      </c>
      <c r="E1661" s="21" t="s">
        <v>23552</v>
      </c>
      <c r="F1661" s="21" t="s">
        <v>13732</v>
      </c>
      <c r="G1661" s="21" t="s">
        <v>13313</v>
      </c>
      <c r="H1661" s="21" t="s">
        <v>24189</v>
      </c>
      <c r="I1661" s="21" t="s">
        <v>11413</v>
      </c>
      <c r="J1661" s="21" t="s">
        <v>15458</v>
      </c>
    </row>
    <row r="1662" customFormat="false" ht="15" hidden="false" customHeight="false" outlineLevel="0" collapsed="false">
      <c r="B1662" s="19" t="s">
        <v>24213</v>
      </c>
      <c r="C1662" s="20" t="n">
        <f aca="false">ROUND(1/FX,2)</f>
        <v>0.14</v>
      </c>
      <c r="D1662" s="21" t="s">
        <v>8669</v>
      </c>
      <c r="E1662" s="21" t="s">
        <v>23552</v>
      </c>
      <c r="F1662" s="21" t="s">
        <v>13732</v>
      </c>
      <c r="G1662" s="21" t="s">
        <v>13313</v>
      </c>
      <c r="H1662" s="21" t="s">
        <v>24189</v>
      </c>
      <c r="I1662" s="21" t="s">
        <v>11415</v>
      </c>
      <c r="J1662" s="21" t="s">
        <v>15458</v>
      </c>
    </row>
    <row r="1663" customFormat="false" ht="15" hidden="false" customHeight="false" outlineLevel="0" collapsed="false">
      <c r="B1663" s="19" t="s">
        <v>24214</v>
      </c>
      <c r="C1663" s="20" t="n">
        <f aca="false">ROUND(1.69/FX,2)</f>
        <v>0.23</v>
      </c>
      <c r="D1663" s="21" t="s">
        <v>8669</v>
      </c>
      <c r="E1663" s="21" t="s">
        <v>23555</v>
      </c>
      <c r="F1663" s="21" t="s">
        <v>13732</v>
      </c>
      <c r="G1663" s="21" t="s">
        <v>13313</v>
      </c>
      <c r="H1663" s="21" t="s">
        <v>24189</v>
      </c>
      <c r="I1663" s="21" t="s">
        <v>11409</v>
      </c>
      <c r="J1663" s="21" t="s">
        <v>15458</v>
      </c>
    </row>
    <row r="1664" customFormat="false" ht="15" hidden="false" customHeight="false" outlineLevel="0" collapsed="false">
      <c r="B1664" s="19" t="s">
        <v>24215</v>
      </c>
      <c r="C1664" s="20" t="n">
        <f aca="false">ROUND(1.69/FX,2)</f>
        <v>0.23</v>
      </c>
      <c r="D1664" s="21" t="s">
        <v>8669</v>
      </c>
      <c r="E1664" s="21" t="s">
        <v>23555</v>
      </c>
      <c r="F1664" s="21" t="s">
        <v>13732</v>
      </c>
      <c r="G1664" s="21" t="s">
        <v>13313</v>
      </c>
      <c r="H1664" s="21" t="s">
        <v>24189</v>
      </c>
      <c r="I1664" s="21" t="s">
        <v>11411</v>
      </c>
      <c r="J1664" s="21" t="s">
        <v>15458</v>
      </c>
    </row>
    <row r="1665" customFormat="false" ht="15" hidden="false" customHeight="false" outlineLevel="0" collapsed="false">
      <c r="B1665" s="19" t="s">
        <v>24216</v>
      </c>
      <c r="C1665" s="20" t="n">
        <f aca="false">ROUND(1.69/FX,2)</f>
        <v>0.23</v>
      </c>
      <c r="D1665" s="21" t="s">
        <v>8669</v>
      </c>
      <c r="E1665" s="21" t="s">
        <v>23555</v>
      </c>
      <c r="F1665" s="21" t="s">
        <v>13732</v>
      </c>
      <c r="G1665" s="21" t="s">
        <v>13313</v>
      </c>
      <c r="H1665" s="21" t="s">
        <v>24189</v>
      </c>
      <c r="I1665" s="21" t="s">
        <v>11413</v>
      </c>
      <c r="J1665" s="21" t="s">
        <v>15458</v>
      </c>
    </row>
    <row r="1666" customFormat="false" ht="15" hidden="false" customHeight="false" outlineLevel="0" collapsed="false">
      <c r="B1666" s="19" t="s">
        <v>24217</v>
      </c>
      <c r="C1666" s="20" t="n">
        <f aca="false">ROUND(1.69/FX,2)</f>
        <v>0.23</v>
      </c>
      <c r="D1666" s="21" t="s">
        <v>8669</v>
      </c>
      <c r="E1666" s="21" t="s">
        <v>23555</v>
      </c>
      <c r="F1666" s="21" t="s">
        <v>13732</v>
      </c>
      <c r="G1666" s="21" t="s">
        <v>13313</v>
      </c>
      <c r="H1666" s="21" t="s">
        <v>24189</v>
      </c>
      <c r="I1666" s="21" t="s">
        <v>11415</v>
      </c>
      <c r="J1666" s="21" t="s">
        <v>15458</v>
      </c>
    </row>
    <row r="1667" customFormat="false" ht="15" hidden="false" customHeight="false" outlineLevel="0" collapsed="false">
      <c r="B1667" s="19" t="s">
        <v>24218</v>
      </c>
      <c r="C1667" s="20" t="n">
        <f aca="false">ROUND(1.69/FX,2)</f>
        <v>0.23</v>
      </c>
      <c r="D1667" s="21" t="s">
        <v>8669</v>
      </c>
      <c r="E1667" s="21" t="s">
        <v>23562</v>
      </c>
      <c r="F1667" s="21" t="s">
        <v>13732</v>
      </c>
      <c r="G1667" s="21" t="s">
        <v>13313</v>
      </c>
      <c r="H1667" s="21" t="s">
        <v>24189</v>
      </c>
      <c r="I1667" s="21" t="s">
        <v>11409</v>
      </c>
      <c r="J1667" s="21" t="s">
        <v>4000</v>
      </c>
    </row>
    <row r="1668" customFormat="false" ht="15" hidden="false" customHeight="false" outlineLevel="0" collapsed="false">
      <c r="B1668" s="19" t="s">
        <v>24219</v>
      </c>
      <c r="C1668" s="20" t="n">
        <f aca="false">ROUND(1.69/FX,2)</f>
        <v>0.23</v>
      </c>
      <c r="D1668" s="21" t="s">
        <v>8669</v>
      </c>
      <c r="E1668" s="21" t="s">
        <v>23562</v>
      </c>
      <c r="F1668" s="21" t="s">
        <v>13732</v>
      </c>
      <c r="G1668" s="21" t="s">
        <v>13313</v>
      </c>
      <c r="H1668" s="21" t="s">
        <v>24189</v>
      </c>
      <c r="I1668" s="21" t="s">
        <v>11411</v>
      </c>
      <c r="J1668" s="21" t="s">
        <v>4000</v>
      </c>
    </row>
    <row r="1669" customFormat="false" ht="15" hidden="false" customHeight="false" outlineLevel="0" collapsed="false">
      <c r="B1669" s="19" t="s">
        <v>24220</v>
      </c>
      <c r="C1669" s="20" t="n">
        <f aca="false">ROUND(1/FX,2)</f>
        <v>0.14</v>
      </c>
      <c r="D1669" s="21" t="s">
        <v>8669</v>
      </c>
      <c r="E1669" s="21" t="s">
        <v>23562</v>
      </c>
      <c r="F1669" s="21" t="s">
        <v>13732</v>
      </c>
      <c r="G1669" s="21" t="s">
        <v>13313</v>
      </c>
      <c r="H1669" s="21" t="s">
        <v>24189</v>
      </c>
      <c r="I1669" s="21" t="s">
        <v>11413</v>
      </c>
      <c r="J1669" s="21" t="s">
        <v>4000</v>
      </c>
    </row>
    <row r="1670" customFormat="false" ht="15" hidden="false" customHeight="false" outlineLevel="0" collapsed="false">
      <c r="B1670" s="19" t="s">
        <v>24221</v>
      </c>
      <c r="C1670" s="20" t="n">
        <f aca="false">ROUND(1.89/FX,2)</f>
        <v>0.26</v>
      </c>
      <c r="D1670" s="21" t="s">
        <v>8669</v>
      </c>
      <c r="E1670" s="21" t="s">
        <v>23562</v>
      </c>
      <c r="F1670" s="21" t="s">
        <v>13732</v>
      </c>
      <c r="G1670" s="21" t="s">
        <v>13313</v>
      </c>
      <c r="H1670" s="21" t="s">
        <v>24189</v>
      </c>
      <c r="I1670" s="21" t="s">
        <v>11413</v>
      </c>
      <c r="J1670" s="21" t="s">
        <v>3247</v>
      </c>
    </row>
    <row r="1671" customFormat="false" ht="15" hidden="false" customHeight="false" outlineLevel="0" collapsed="false">
      <c r="B1671" s="19" t="s">
        <v>24222</v>
      </c>
      <c r="C1671" s="20" t="n">
        <f aca="false">ROUND(1.69/FX,2)</f>
        <v>0.23</v>
      </c>
      <c r="D1671" s="21" t="s">
        <v>8669</v>
      </c>
      <c r="E1671" s="21" t="s">
        <v>23562</v>
      </c>
      <c r="F1671" s="21" t="s">
        <v>13732</v>
      </c>
      <c r="G1671" s="21" t="s">
        <v>13313</v>
      </c>
      <c r="H1671" s="21" t="s">
        <v>24189</v>
      </c>
      <c r="I1671" s="21" t="s">
        <v>11415</v>
      </c>
      <c r="J1671" s="21" t="s">
        <v>4000</v>
      </c>
    </row>
    <row r="1672" customFormat="false" ht="15" hidden="false" customHeight="false" outlineLevel="0" collapsed="false">
      <c r="B1672" s="19" t="s">
        <v>24223</v>
      </c>
      <c r="C1672" s="20" t="n">
        <f aca="false">ROUND(1.89/FX,2)</f>
        <v>0.26</v>
      </c>
      <c r="D1672" s="21" t="s">
        <v>8669</v>
      </c>
      <c r="E1672" s="21" t="s">
        <v>23562</v>
      </c>
      <c r="F1672" s="21" t="s">
        <v>13732</v>
      </c>
      <c r="G1672" s="21" t="s">
        <v>13313</v>
      </c>
      <c r="H1672" s="21" t="s">
        <v>24189</v>
      </c>
      <c r="I1672" s="21" t="s">
        <v>11415</v>
      </c>
      <c r="J1672" s="21" t="s">
        <v>3247</v>
      </c>
    </row>
    <row r="1673" customFormat="false" ht="28.35" hidden="false" customHeight="false" outlineLevel="0" collapsed="false">
      <c r="B1673" s="19" t="s">
        <v>24224</v>
      </c>
      <c r="C1673" s="20" t="n">
        <f aca="false">ROUND(1.24/FX,2)</f>
        <v>0.17</v>
      </c>
      <c r="D1673" s="21" t="s">
        <v>24225</v>
      </c>
      <c r="E1673" s="21" t="s">
        <v>24226</v>
      </c>
      <c r="F1673" s="21" t="s">
        <v>14013</v>
      </c>
      <c r="G1673" s="21" t="s">
        <v>24118</v>
      </c>
      <c r="H1673" s="21" t="s">
        <v>24189</v>
      </c>
      <c r="I1673" s="21" t="s">
        <v>11407</v>
      </c>
      <c r="J1673" s="21" t="s">
        <v>15458</v>
      </c>
    </row>
    <row r="1674" customFormat="false" ht="28.35" hidden="false" customHeight="false" outlineLevel="0" collapsed="false">
      <c r="B1674" s="19" t="s">
        <v>24227</v>
      </c>
      <c r="C1674" s="20" t="n">
        <f aca="false">ROUND(1.24/FX,2)</f>
        <v>0.17</v>
      </c>
      <c r="D1674" s="21" t="s">
        <v>24225</v>
      </c>
      <c r="E1674" s="21" t="s">
        <v>24226</v>
      </c>
      <c r="F1674" s="21" t="s">
        <v>14013</v>
      </c>
      <c r="G1674" s="21" t="s">
        <v>24118</v>
      </c>
      <c r="H1674" s="21" t="s">
        <v>24189</v>
      </c>
      <c r="I1674" s="21" t="s">
        <v>11409</v>
      </c>
      <c r="J1674" s="21" t="s">
        <v>15458</v>
      </c>
    </row>
    <row r="1675" customFormat="false" ht="28.35" hidden="false" customHeight="false" outlineLevel="0" collapsed="false">
      <c r="B1675" s="19" t="s">
        <v>24228</v>
      </c>
      <c r="C1675" s="20" t="n">
        <f aca="false">ROUND(1.24/FX,2)</f>
        <v>0.17</v>
      </c>
      <c r="D1675" s="21" t="s">
        <v>24225</v>
      </c>
      <c r="E1675" s="21" t="s">
        <v>24226</v>
      </c>
      <c r="F1675" s="21" t="s">
        <v>14013</v>
      </c>
      <c r="G1675" s="21" t="s">
        <v>24118</v>
      </c>
      <c r="H1675" s="21" t="s">
        <v>24189</v>
      </c>
      <c r="I1675" s="21" t="s">
        <v>11411</v>
      </c>
      <c r="J1675" s="21" t="s">
        <v>15458</v>
      </c>
    </row>
    <row r="1676" customFormat="false" ht="28.35" hidden="false" customHeight="false" outlineLevel="0" collapsed="false">
      <c r="B1676" s="19" t="s">
        <v>24229</v>
      </c>
      <c r="C1676" s="20" t="n">
        <f aca="false">ROUND(0.46/FX,2)</f>
        <v>0.06</v>
      </c>
      <c r="D1676" s="21" t="s">
        <v>24225</v>
      </c>
      <c r="E1676" s="21" t="s">
        <v>23548</v>
      </c>
      <c r="F1676" s="21" t="s">
        <v>13997</v>
      </c>
      <c r="G1676" s="21" t="s">
        <v>24118</v>
      </c>
      <c r="H1676" s="21" t="s">
        <v>24189</v>
      </c>
      <c r="I1676" s="21" t="s">
        <v>11407</v>
      </c>
      <c r="J1676" s="21" t="s">
        <v>15458</v>
      </c>
    </row>
    <row r="1677" customFormat="false" ht="28.35" hidden="false" customHeight="false" outlineLevel="0" collapsed="false">
      <c r="B1677" s="19" t="s">
        <v>24230</v>
      </c>
      <c r="C1677" s="20" t="n">
        <f aca="false">ROUND(0.46/FX,2)</f>
        <v>0.06</v>
      </c>
      <c r="D1677" s="21" t="s">
        <v>24225</v>
      </c>
      <c r="E1677" s="21" t="s">
        <v>23548</v>
      </c>
      <c r="F1677" s="21" t="s">
        <v>24231</v>
      </c>
      <c r="G1677" s="21" t="s">
        <v>24118</v>
      </c>
      <c r="H1677" s="21" t="s">
        <v>24189</v>
      </c>
      <c r="I1677" s="21" t="s">
        <v>11409</v>
      </c>
      <c r="J1677" s="21" t="s">
        <v>15458</v>
      </c>
    </row>
    <row r="1678" customFormat="false" ht="28.35" hidden="false" customHeight="false" outlineLevel="0" collapsed="false">
      <c r="B1678" s="19" t="s">
        <v>24232</v>
      </c>
      <c r="C1678" s="20" t="n">
        <f aca="false">ROUND(0.46/FX,2)</f>
        <v>0.06</v>
      </c>
      <c r="D1678" s="21" t="s">
        <v>24225</v>
      </c>
      <c r="E1678" s="21" t="s">
        <v>23548</v>
      </c>
      <c r="F1678" s="21" t="s">
        <v>13997</v>
      </c>
      <c r="G1678" s="21" t="s">
        <v>24118</v>
      </c>
      <c r="H1678" s="21" t="s">
        <v>24189</v>
      </c>
      <c r="I1678" s="21" t="s">
        <v>11411</v>
      </c>
      <c r="J1678" s="21" t="s">
        <v>15458</v>
      </c>
    </row>
    <row r="1679" customFormat="false" ht="28.35" hidden="false" customHeight="false" outlineLevel="0" collapsed="false">
      <c r="B1679" s="19" t="s">
        <v>24233</v>
      </c>
      <c r="C1679" s="20" t="n">
        <f aca="false">ROUND(0.46/FX,2)</f>
        <v>0.06</v>
      </c>
      <c r="D1679" s="21" t="s">
        <v>24225</v>
      </c>
      <c r="E1679" s="21" t="s">
        <v>23548</v>
      </c>
      <c r="F1679" s="21" t="s">
        <v>13997</v>
      </c>
      <c r="G1679" s="21" t="s">
        <v>24118</v>
      </c>
      <c r="H1679" s="21" t="s">
        <v>24189</v>
      </c>
      <c r="I1679" s="21" t="s">
        <v>11413</v>
      </c>
      <c r="J1679" s="21" t="s">
        <v>15458</v>
      </c>
    </row>
    <row r="1680" customFormat="false" ht="28.35" hidden="false" customHeight="false" outlineLevel="0" collapsed="false">
      <c r="B1680" s="19" t="s">
        <v>24234</v>
      </c>
      <c r="C1680" s="20" t="n">
        <f aca="false">ROUND(1.82/FX,2)</f>
        <v>0.25</v>
      </c>
      <c r="D1680" s="21" t="s">
        <v>24225</v>
      </c>
      <c r="E1680" s="21" t="s">
        <v>23555</v>
      </c>
      <c r="F1680" s="21" t="s">
        <v>13743</v>
      </c>
      <c r="G1680" s="21" t="s">
        <v>24118</v>
      </c>
      <c r="H1680" s="21" t="s">
        <v>24189</v>
      </c>
      <c r="I1680" s="21" t="s">
        <v>11409</v>
      </c>
      <c r="J1680" s="21" t="s">
        <v>15458</v>
      </c>
    </row>
    <row r="1681" customFormat="false" ht="28.35" hidden="false" customHeight="false" outlineLevel="0" collapsed="false">
      <c r="B1681" s="19" t="s">
        <v>24235</v>
      </c>
      <c r="C1681" s="20" t="n">
        <f aca="false">ROUND(1.04/FX,2)</f>
        <v>0.14</v>
      </c>
      <c r="D1681" s="21" t="s">
        <v>24225</v>
      </c>
      <c r="E1681" s="21" t="s">
        <v>23555</v>
      </c>
      <c r="F1681" s="21" t="s">
        <v>14013</v>
      </c>
      <c r="G1681" s="21" t="s">
        <v>24118</v>
      </c>
      <c r="H1681" s="21" t="s">
        <v>24189</v>
      </c>
      <c r="I1681" s="21" t="s">
        <v>11411</v>
      </c>
      <c r="J1681" s="21" t="s">
        <v>15458</v>
      </c>
    </row>
    <row r="1682" customFormat="false" ht="28.35" hidden="false" customHeight="false" outlineLevel="0" collapsed="false">
      <c r="B1682" s="19" t="s">
        <v>24236</v>
      </c>
      <c r="C1682" s="20" t="n">
        <f aca="false">ROUND(2.21/FX,2)</f>
        <v>0.31</v>
      </c>
      <c r="D1682" s="21" t="s">
        <v>24225</v>
      </c>
      <c r="E1682" s="21" t="s">
        <v>23555</v>
      </c>
      <c r="F1682" s="21" t="s">
        <v>13997</v>
      </c>
      <c r="G1682" s="21" t="s">
        <v>24118</v>
      </c>
      <c r="H1682" s="21" t="s">
        <v>24189</v>
      </c>
      <c r="I1682" s="21" t="s">
        <v>11413</v>
      </c>
      <c r="J1682" s="21" t="s">
        <v>15458</v>
      </c>
    </row>
    <row r="1683" customFormat="false" ht="28.35" hidden="false" customHeight="false" outlineLevel="0" collapsed="false">
      <c r="B1683" s="19" t="s">
        <v>24237</v>
      </c>
      <c r="C1683" s="20" t="n">
        <f aca="false">ROUND(2.21/FX,2)</f>
        <v>0.31</v>
      </c>
      <c r="D1683" s="21" t="s">
        <v>24225</v>
      </c>
      <c r="E1683" s="21" t="s">
        <v>23555</v>
      </c>
      <c r="F1683" s="21" t="s">
        <v>13997</v>
      </c>
      <c r="G1683" s="21" t="s">
        <v>24118</v>
      </c>
      <c r="H1683" s="21" t="s">
        <v>24189</v>
      </c>
      <c r="I1683" s="21" t="s">
        <v>11415</v>
      </c>
      <c r="J1683" s="21" t="s">
        <v>15458</v>
      </c>
    </row>
    <row r="1684" customFormat="false" ht="28.35" hidden="false" customHeight="false" outlineLevel="0" collapsed="false">
      <c r="B1684" s="19" t="s">
        <v>24238</v>
      </c>
      <c r="C1684" s="20" t="n">
        <f aca="false">ROUND(1.15/FX,2)</f>
        <v>0.16</v>
      </c>
      <c r="D1684" s="21" t="s">
        <v>24225</v>
      </c>
      <c r="E1684" s="21" t="s">
        <v>23562</v>
      </c>
      <c r="F1684" s="21" t="s">
        <v>14013</v>
      </c>
      <c r="G1684" s="21" t="s">
        <v>24118</v>
      </c>
      <c r="H1684" s="21" t="s">
        <v>24189</v>
      </c>
      <c r="I1684" s="21" t="s">
        <v>22841</v>
      </c>
      <c r="J1684" s="21" t="s">
        <v>4000</v>
      </c>
    </row>
    <row r="1685" customFormat="false" ht="28.35" hidden="false" customHeight="false" outlineLevel="0" collapsed="false">
      <c r="B1685" s="19" t="s">
        <v>24239</v>
      </c>
      <c r="C1685" s="20" t="n">
        <f aca="false">ROUND(1.01/FX,2)</f>
        <v>0.14</v>
      </c>
      <c r="D1685" s="21" t="s">
        <v>24225</v>
      </c>
      <c r="E1685" s="21" t="s">
        <v>23562</v>
      </c>
      <c r="F1685" s="21" t="s">
        <v>13751</v>
      </c>
      <c r="G1685" s="21" t="s">
        <v>24118</v>
      </c>
      <c r="H1685" s="21" t="s">
        <v>24189</v>
      </c>
      <c r="I1685" s="21" t="s">
        <v>22841</v>
      </c>
      <c r="J1685" s="21" t="s">
        <v>3247</v>
      </c>
    </row>
    <row r="1686" customFormat="false" ht="28.35" hidden="false" customHeight="false" outlineLevel="0" collapsed="false">
      <c r="B1686" s="19" t="s">
        <v>24240</v>
      </c>
      <c r="C1686" s="20" t="n">
        <f aca="false">ROUND(1.15/FX,2)</f>
        <v>0.16</v>
      </c>
      <c r="D1686" s="21" t="s">
        <v>24225</v>
      </c>
      <c r="E1686" s="21" t="s">
        <v>23562</v>
      </c>
      <c r="F1686" s="21" t="s">
        <v>14013</v>
      </c>
      <c r="G1686" s="21" t="s">
        <v>24118</v>
      </c>
      <c r="H1686" s="21" t="s">
        <v>24189</v>
      </c>
      <c r="I1686" s="21" t="s">
        <v>11409</v>
      </c>
      <c r="J1686" s="21" t="s">
        <v>4000</v>
      </c>
    </row>
    <row r="1687" customFormat="false" ht="28.35" hidden="false" customHeight="false" outlineLevel="0" collapsed="false">
      <c r="B1687" s="19" t="s">
        <v>24241</v>
      </c>
      <c r="C1687" s="20" t="n">
        <f aca="false">ROUND(1.15/FX,2)</f>
        <v>0.16</v>
      </c>
      <c r="D1687" s="21" t="s">
        <v>24225</v>
      </c>
      <c r="E1687" s="21" t="s">
        <v>23562</v>
      </c>
      <c r="F1687" s="21" t="s">
        <v>14013</v>
      </c>
      <c r="G1687" s="21" t="s">
        <v>24118</v>
      </c>
      <c r="H1687" s="21" t="s">
        <v>24189</v>
      </c>
      <c r="I1687" s="21" t="s">
        <v>11411</v>
      </c>
      <c r="J1687" s="21" t="s">
        <v>4000</v>
      </c>
    </row>
    <row r="1688" customFormat="false" ht="28.35" hidden="false" customHeight="false" outlineLevel="0" collapsed="false">
      <c r="B1688" s="19" t="s">
        <v>24242</v>
      </c>
      <c r="C1688" s="20" t="n">
        <f aca="false">ROUND(1.01/FX,2)</f>
        <v>0.14</v>
      </c>
      <c r="D1688" s="21" t="s">
        <v>24225</v>
      </c>
      <c r="E1688" s="21" t="s">
        <v>23562</v>
      </c>
      <c r="F1688" s="21" t="s">
        <v>13751</v>
      </c>
      <c r="G1688" s="21" t="s">
        <v>24118</v>
      </c>
      <c r="H1688" s="21" t="s">
        <v>24189</v>
      </c>
      <c r="I1688" s="21" t="s">
        <v>11411</v>
      </c>
      <c r="J1688" s="21" t="s">
        <v>3247</v>
      </c>
    </row>
    <row r="1689" customFormat="false" ht="28.35" hidden="false" customHeight="false" outlineLevel="0" collapsed="false">
      <c r="B1689" s="19" t="s">
        <v>24243</v>
      </c>
      <c r="C1689" s="20" t="n">
        <f aca="false">ROUND(1.43/FX,2)</f>
        <v>0.2</v>
      </c>
      <c r="D1689" s="21" t="s">
        <v>24225</v>
      </c>
      <c r="E1689" s="21" t="s">
        <v>23562</v>
      </c>
      <c r="F1689" s="21" t="s">
        <v>13743</v>
      </c>
      <c r="G1689" s="21" t="s">
        <v>24118</v>
      </c>
      <c r="H1689" s="21" t="s">
        <v>24189</v>
      </c>
      <c r="I1689" s="21" t="s">
        <v>11413</v>
      </c>
      <c r="J1689" s="21" t="s">
        <v>4000</v>
      </c>
    </row>
    <row r="1690" customFormat="false" ht="28.35" hidden="false" customHeight="false" outlineLevel="0" collapsed="false">
      <c r="B1690" s="19" t="s">
        <v>24244</v>
      </c>
      <c r="C1690" s="20" t="n">
        <f aca="false">ROUND(1.01/FX,2)</f>
        <v>0.14</v>
      </c>
      <c r="D1690" s="21" t="s">
        <v>24225</v>
      </c>
      <c r="E1690" s="21" t="s">
        <v>23562</v>
      </c>
      <c r="F1690" s="21" t="s">
        <v>13751</v>
      </c>
      <c r="G1690" s="21" t="s">
        <v>24118</v>
      </c>
      <c r="H1690" s="21" t="s">
        <v>24189</v>
      </c>
      <c r="I1690" s="21" t="s">
        <v>11413</v>
      </c>
      <c r="J1690" s="21" t="s">
        <v>3247</v>
      </c>
    </row>
    <row r="1691" customFormat="false" ht="28.35" hidden="false" customHeight="false" outlineLevel="0" collapsed="false">
      <c r="B1691" s="19" t="s">
        <v>24245</v>
      </c>
      <c r="C1691" s="20" t="n">
        <f aca="false">ROUND(1.15/FX,2)</f>
        <v>0.16</v>
      </c>
      <c r="D1691" s="21" t="s">
        <v>24225</v>
      </c>
      <c r="E1691" s="21" t="s">
        <v>23562</v>
      </c>
      <c r="F1691" s="21" t="s">
        <v>14013</v>
      </c>
      <c r="G1691" s="21" t="s">
        <v>24118</v>
      </c>
      <c r="H1691" s="21" t="s">
        <v>24189</v>
      </c>
      <c r="I1691" s="21" t="s">
        <v>11415</v>
      </c>
      <c r="J1691" s="21" t="s">
        <v>4000</v>
      </c>
    </row>
    <row r="1692" customFormat="false" ht="28.35" hidden="false" customHeight="false" outlineLevel="0" collapsed="false">
      <c r="B1692" s="19" t="s">
        <v>24246</v>
      </c>
      <c r="C1692" s="20" t="n">
        <f aca="false">ROUND(1.01/FX,2)</f>
        <v>0.14</v>
      </c>
      <c r="D1692" s="21" t="s">
        <v>24225</v>
      </c>
      <c r="E1692" s="21" t="s">
        <v>23562</v>
      </c>
      <c r="F1692" s="21" t="s">
        <v>13751</v>
      </c>
      <c r="G1692" s="21" t="s">
        <v>24118</v>
      </c>
      <c r="H1692" s="21" t="s">
        <v>24189</v>
      </c>
      <c r="I1692" s="21" t="s">
        <v>11415</v>
      </c>
      <c r="J1692" s="21" t="s">
        <v>3247</v>
      </c>
    </row>
    <row r="1693" customFormat="false" ht="28.35" hidden="false" customHeight="false" outlineLevel="0" collapsed="false">
      <c r="B1693" s="19" t="s">
        <v>24247</v>
      </c>
      <c r="C1693" s="20" t="n">
        <f aca="false">ROUND(1.17/FX,2)</f>
        <v>0.16</v>
      </c>
      <c r="D1693" s="21" t="s">
        <v>24225</v>
      </c>
      <c r="E1693" s="21" t="s">
        <v>24248</v>
      </c>
      <c r="F1693" s="21" t="s">
        <v>13751</v>
      </c>
      <c r="G1693" s="21" t="s">
        <v>24118</v>
      </c>
      <c r="H1693" s="21" t="s">
        <v>24189</v>
      </c>
      <c r="I1693" s="21" t="s">
        <v>11411</v>
      </c>
      <c r="J1693" s="21" t="s">
        <v>15458</v>
      </c>
    </row>
    <row r="1694" customFormat="false" ht="28.35" hidden="false" customHeight="false" outlineLevel="0" collapsed="false">
      <c r="B1694" s="19" t="s">
        <v>24249</v>
      </c>
      <c r="C1694" s="20" t="n">
        <f aca="false">ROUND(1.17/FX,2)</f>
        <v>0.16</v>
      </c>
      <c r="D1694" s="21" t="s">
        <v>24225</v>
      </c>
      <c r="E1694" s="21" t="s">
        <v>24248</v>
      </c>
      <c r="F1694" s="21" t="s">
        <v>13751</v>
      </c>
      <c r="G1694" s="21" t="s">
        <v>24118</v>
      </c>
      <c r="H1694" s="21" t="s">
        <v>24189</v>
      </c>
      <c r="I1694" s="21" t="s">
        <v>11413</v>
      </c>
      <c r="J1694" s="21" t="s">
        <v>15458</v>
      </c>
    </row>
    <row r="1695" customFormat="false" ht="28.35" hidden="false" customHeight="false" outlineLevel="0" collapsed="false">
      <c r="B1695" s="19" t="s">
        <v>24250</v>
      </c>
      <c r="C1695" s="20" t="n">
        <f aca="false">ROUND(1.17/FX,2)</f>
        <v>0.16</v>
      </c>
      <c r="D1695" s="21" t="s">
        <v>24225</v>
      </c>
      <c r="E1695" s="21" t="s">
        <v>24248</v>
      </c>
      <c r="F1695" s="21" t="s">
        <v>13751</v>
      </c>
      <c r="G1695" s="21" t="s">
        <v>24118</v>
      </c>
      <c r="H1695" s="21" t="s">
        <v>24189</v>
      </c>
      <c r="I1695" s="21" t="s">
        <v>11415</v>
      </c>
      <c r="J1695" s="21" t="s">
        <v>15458</v>
      </c>
    </row>
    <row r="1696" customFormat="false" ht="28.35" hidden="false" customHeight="false" outlineLevel="0" collapsed="false">
      <c r="B1696" s="19" t="s">
        <v>24251</v>
      </c>
      <c r="C1696" s="20" t="n">
        <f aca="false">ROUND(1.15/FX,2)</f>
        <v>0.16</v>
      </c>
      <c r="D1696" s="21" t="s">
        <v>24225</v>
      </c>
      <c r="E1696" s="21" t="s">
        <v>23669</v>
      </c>
      <c r="F1696" s="21" t="s">
        <v>14013</v>
      </c>
      <c r="G1696" s="21" t="s">
        <v>24252</v>
      </c>
      <c r="H1696" s="21" t="s">
        <v>24189</v>
      </c>
      <c r="I1696" s="21" t="s">
        <v>11407</v>
      </c>
      <c r="J1696" s="21" t="s">
        <v>15458</v>
      </c>
    </row>
    <row r="1697" customFormat="false" ht="28.35" hidden="false" customHeight="false" outlineLevel="0" collapsed="false">
      <c r="B1697" s="19" t="s">
        <v>24253</v>
      </c>
      <c r="C1697" s="20" t="n">
        <f aca="false">ROUND(1.09/FX,2)</f>
        <v>0.15</v>
      </c>
      <c r="D1697" s="21" t="s">
        <v>24225</v>
      </c>
      <c r="E1697" s="21" t="s">
        <v>23669</v>
      </c>
      <c r="F1697" s="21" t="s">
        <v>13994</v>
      </c>
      <c r="G1697" s="21" t="s">
        <v>24252</v>
      </c>
      <c r="H1697" s="21" t="s">
        <v>24189</v>
      </c>
      <c r="I1697" s="21" t="s">
        <v>11409</v>
      </c>
      <c r="J1697" s="21" t="s">
        <v>15458</v>
      </c>
    </row>
    <row r="1698" customFormat="false" ht="28.35" hidden="false" customHeight="false" outlineLevel="0" collapsed="false">
      <c r="B1698" s="19" t="s">
        <v>24254</v>
      </c>
      <c r="C1698" s="20" t="n">
        <f aca="false">ROUND(1.09/FX,2)</f>
        <v>0.15</v>
      </c>
      <c r="D1698" s="21" t="s">
        <v>24225</v>
      </c>
      <c r="E1698" s="21" t="s">
        <v>23669</v>
      </c>
      <c r="F1698" s="21" t="s">
        <v>13994</v>
      </c>
      <c r="G1698" s="21" t="s">
        <v>24252</v>
      </c>
      <c r="H1698" s="21" t="s">
        <v>24189</v>
      </c>
      <c r="I1698" s="21" t="s">
        <v>11411</v>
      </c>
      <c r="J1698" s="21" t="s">
        <v>15458</v>
      </c>
    </row>
    <row r="1699" customFormat="false" ht="28.35" hidden="false" customHeight="false" outlineLevel="0" collapsed="false">
      <c r="B1699" s="19" t="s">
        <v>24255</v>
      </c>
      <c r="C1699" s="20" t="n">
        <f aca="false">ROUND(1.09/FX,2)</f>
        <v>0.15</v>
      </c>
      <c r="D1699" s="21" t="s">
        <v>24225</v>
      </c>
      <c r="E1699" s="21" t="s">
        <v>23669</v>
      </c>
      <c r="F1699" s="21" t="s">
        <v>13994</v>
      </c>
      <c r="G1699" s="21" t="s">
        <v>24252</v>
      </c>
      <c r="H1699" s="21" t="s">
        <v>24189</v>
      </c>
      <c r="I1699" s="21" t="s">
        <v>11413</v>
      </c>
      <c r="J1699" s="21" t="s">
        <v>15458</v>
      </c>
    </row>
    <row r="1700" customFormat="false" ht="28.35" hidden="false" customHeight="false" outlineLevel="0" collapsed="false">
      <c r="B1700" s="19" t="s">
        <v>24256</v>
      </c>
      <c r="C1700" s="20" t="n">
        <f aca="false">ROUND(0.42/FX,2)</f>
        <v>0.06</v>
      </c>
      <c r="D1700" s="21" t="s">
        <v>24225</v>
      </c>
      <c r="E1700" s="21" t="s">
        <v>23638</v>
      </c>
      <c r="F1700" s="21" t="s">
        <v>13732</v>
      </c>
      <c r="G1700" s="21" t="s">
        <v>24252</v>
      </c>
      <c r="H1700" s="21" t="s">
        <v>24189</v>
      </c>
      <c r="I1700" s="21" t="s">
        <v>11409</v>
      </c>
      <c r="J1700" s="21" t="s">
        <v>15458</v>
      </c>
    </row>
    <row r="1701" customFormat="false" ht="28.35" hidden="false" customHeight="false" outlineLevel="0" collapsed="false">
      <c r="B1701" s="19" t="s">
        <v>24257</v>
      </c>
      <c r="C1701" s="20" t="n">
        <f aca="false">ROUND(0.42/FX,2)</f>
        <v>0.06</v>
      </c>
      <c r="D1701" s="21" t="s">
        <v>24225</v>
      </c>
      <c r="E1701" s="21" t="s">
        <v>23638</v>
      </c>
      <c r="F1701" s="21" t="s">
        <v>13732</v>
      </c>
      <c r="G1701" s="21" t="s">
        <v>24252</v>
      </c>
      <c r="H1701" s="21" t="s">
        <v>24189</v>
      </c>
      <c r="I1701" s="21" t="s">
        <v>11411</v>
      </c>
      <c r="J1701" s="21" t="s">
        <v>15458</v>
      </c>
    </row>
    <row r="1702" customFormat="false" ht="28.35" hidden="false" customHeight="false" outlineLevel="0" collapsed="false">
      <c r="B1702" s="19" t="s">
        <v>24258</v>
      </c>
      <c r="C1702" s="20" t="n">
        <f aca="false">ROUND(0.6/FX,2)</f>
        <v>0.08</v>
      </c>
      <c r="D1702" s="21" t="s">
        <v>24225</v>
      </c>
      <c r="E1702" s="21" t="s">
        <v>23638</v>
      </c>
      <c r="F1702" s="21" t="s">
        <v>13732</v>
      </c>
      <c r="G1702" s="21" t="s">
        <v>24252</v>
      </c>
      <c r="H1702" s="21" t="s">
        <v>24189</v>
      </c>
      <c r="I1702" s="21" t="s">
        <v>11413</v>
      </c>
      <c r="J1702" s="21" t="s">
        <v>15458</v>
      </c>
    </row>
    <row r="1703" customFormat="false" ht="28.35" hidden="false" customHeight="false" outlineLevel="0" collapsed="false">
      <c r="B1703" s="19" t="s">
        <v>24259</v>
      </c>
      <c r="C1703" s="20" t="n">
        <f aca="false">ROUND(0.42/FX,2)</f>
        <v>0.06</v>
      </c>
      <c r="D1703" s="21" t="s">
        <v>24225</v>
      </c>
      <c r="E1703" s="21" t="s">
        <v>23638</v>
      </c>
      <c r="F1703" s="21" t="s">
        <v>13732</v>
      </c>
      <c r="G1703" s="21" t="s">
        <v>24252</v>
      </c>
      <c r="H1703" s="21" t="s">
        <v>24189</v>
      </c>
      <c r="I1703" s="21" t="s">
        <v>11415</v>
      </c>
      <c r="J1703" s="21" t="s">
        <v>15458</v>
      </c>
    </row>
    <row r="1704" customFormat="false" ht="28.35" hidden="false" customHeight="false" outlineLevel="0" collapsed="false">
      <c r="B1704" s="19" t="s">
        <v>24260</v>
      </c>
      <c r="C1704" s="20" t="n">
        <f aca="false">ROUND(5.72/FX,2)</f>
        <v>0.79</v>
      </c>
      <c r="D1704" s="21" t="s">
        <v>24225</v>
      </c>
      <c r="E1704" s="21" t="s">
        <v>23548</v>
      </c>
      <c r="F1704" s="21" t="s">
        <v>21725</v>
      </c>
      <c r="G1704" s="21" t="s">
        <v>24197</v>
      </c>
      <c r="H1704" s="21" t="s">
        <v>24189</v>
      </c>
      <c r="I1704" s="21" t="s">
        <v>11407</v>
      </c>
      <c r="J1704" s="21" t="s">
        <v>15458</v>
      </c>
    </row>
    <row r="1705" customFormat="false" ht="28.35" hidden="false" customHeight="false" outlineLevel="0" collapsed="false">
      <c r="B1705" s="19" t="s">
        <v>24261</v>
      </c>
      <c r="C1705" s="20" t="n">
        <f aca="false">ROUND(5.72/FX,2)</f>
        <v>0.79</v>
      </c>
      <c r="D1705" s="21" t="s">
        <v>24225</v>
      </c>
      <c r="E1705" s="21" t="s">
        <v>23548</v>
      </c>
      <c r="F1705" s="21" t="s">
        <v>21725</v>
      </c>
      <c r="G1705" s="21" t="s">
        <v>24197</v>
      </c>
      <c r="H1705" s="21" t="s">
        <v>24189</v>
      </c>
      <c r="I1705" s="21" t="s">
        <v>11409</v>
      </c>
      <c r="J1705" s="21" t="s">
        <v>15458</v>
      </c>
    </row>
    <row r="1706" customFormat="false" ht="28.35" hidden="false" customHeight="false" outlineLevel="0" collapsed="false">
      <c r="B1706" s="19" t="s">
        <v>24262</v>
      </c>
      <c r="C1706" s="20" t="n">
        <f aca="false">ROUND(5.72/FX,2)</f>
        <v>0.79</v>
      </c>
      <c r="D1706" s="21" t="s">
        <v>24225</v>
      </c>
      <c r="E1706" s="21" t="s">
        <v>23548</v>
      </c>
      <c r="F1706" s="21" t="s">
        <v>21725</v>
      </c>
      <c r="G1706" s="21" t="s">
        <v>24197</v>
      </c>
      <c r="H1706" s="21" t="s">
        <v>24189</v>
      </c>
      <c r="I1706" s="21" t="s">
        <v>11411</v>
      </c>
      <c r="J1706" s="21" t="s">
        <v>15458</v>
      </c>
    </row>
    <row r="1707" customFormat="false" ht="28.35" hidden="false" customHeight="false" outlineLevel="0" collapsed="false">
      <c r="B1707" s="19" t="s">
        <v>24263</v>
      </c>
      <c r="C1707" s="20" t="n">
        <f aca="false">ROUND(5.72/FX,2)</f>
        <v>0.79</v>
      </c>
      <c r="D1707" s="21" t="s">
        <v>24225</v>
      </c>
      <c r="E1707" s="21" t="s">
        <v>23548</v>
      </c>
      <c r="F1707" s="21" t="s">
        <v>21725</v>
      </c>
      <c r="G1707" s="21" t="s">
        <v>24197</v>
      </c>
      <c r="H1707" s="21" t="s">
        <v>24189</v>
      </c>
      <c r="I1707" s="21" t="s">
        <v>11413</v>
      </c>
      <c r="J1707" s="21" t="s">
        <v>15458</v>
      </c>
    </row>
    <row r="1708" customFormat="false" ht="28.35" hidden="false" customHeight="false" outlineLevel="0" collapsed="false">
      <c r="B1708" s="19" t="s">
        <v>24264</v>
      </c>
      <c r="C1708" s="20" t="n">
        <f aca="false">ROUND(0.78/FX,2)</f>
        <v>0.11</v>
      </c>
      <c r="D1708" s="21" t="s">
        <v>24225</v>
      </c>
      <c r="E1708" s="21" t="s">
        <v>23555</v>
      </c>
      <c r="F1708" s="21" t="s">
        <v>13732</v>
      </c>
      <c r="G1708" s="21" t="s">
        <v>24197</v>
      </c>
      <c r="H1708" s="21" t="s">
        <v>24189</v>
      </c>
      <c r="I1708" s="21" t="s">
        <v>11407</v>
      </c>
      <c r="J1708" s="21" t="s">
        <v>15458</v>
      </c>
    </row>
    <row r="1709" customFormat="false" ht="28.35" hidden="false" customHeight="false" outlineLevel="0" collapsed="false">
      <c r="B1709" s="19" t="s">
        <v>24265</v>
      </c>
      <c r="C1709" s="20" t="n">
        <f aca="false">ROUND(2.99/FX,2)</f>
        <v>0.42</v>
      </c>
      <c r="D1709" s="21" t="s">
        <v>24225</v>
      </c>
      <c r="E1709" s="21" t="s">
        <v>23555</v>
      </c>
      <c r="F1709" s="21" t="s">
        <v>13997</v>
      </c>
      <c r="G1709" s="21" t="s">
        <v>24197</v>
      </c>
      <c r="H1709" s="21" t="s">
        <v>24189</v>
      </c>
      <c r="I1709" s="21" t="s">
        <v>11409</v>
      </c>
      <c r="J1709" s="21" t="s">
        <v>15458</v>
      </c>
    </row>
    <row r="1710" customFormat="false" ht="28.35" hidden="false" customHeight="false" outlineLevel="0" collapsed="false">
      <c r="B1710" s="19" t="s">
        <v>24266</v>
      </c>
      <c r="C1710" s="20" t="n">
        <f aca="false">ROUND(2.99/FX,2)</f>
        <v>0.42</v>
      </c>
      <c r="D1710" s="21" t="s">
        <v>24225</v>
      </c>
      <c r="E1710" s="21" t="s">
        <v>23555</v>
      </c>
      <c r="F1710" s="21" t="s">
        <v>13997</v>
      </c>
      <c r="G1710" s="21" t="s">
        <v>24197</v>
      </c>
      <c r="H1710" s="21" t="s">
        <v>24189</v>
      </c>
      <c r="I1710" s="21" t="s">
        <v>11411</v>
      </c>
      <c r="J1710" s="21" t="s">
        <v>15458</v>
      </c>
    </row>
    <row r="1711" customFormat="false" ht="28.35" hidden="false" customHeight="false" outlineLevel="0" collapsed="false">
      <c r="B1711" s="19" t="s">
        <v>24267</v>
      </c>
      <c r="C1711" s="20" t="n">
        <f aca="false">ROUND(2.99/FX,2)</f>
        <v>0.42</v>
      </c>
      <c r="D1711" s="21" t="s">
        <v>24225</v>
      </c>
      <c r="E1711" s="21" t="s">
        <v>23555</v>
      </c>
      <c r="F1711" s="21" t="s">
        <v>13997</v>
      </c>
      <c r="G1711" s="21" t="s">
        <v>24197</v>
      </c>
      <c r="H1711" s="21" t="s">
        <v>24189</v>
      </c>
      <c r="I1711" s="21" t="s">
        <v>11413</v>
      </c>
      <c r="J1711" s="21" t="s">
        <v>15458</v>
      </c>
    </row>
    <row r="1712" customFormat="false" ht="28.35" hidden="false" customHeight="false" outlineLevel="0" collapsed="false">
      <c r="B1712" s="19" t="s">
        <v>24268</v>
      </c>
      <c r="C1712" s="20" t="n">
        <f aca="false">ROUND(2.99/FX,2)</f>
        <v>0.42</v>
      </c>
      <c r="D1712" s="21" t="s">
        <v>24225</v>
      </c>
      <c r="E1712" s="21" t="s">
        <v>23555</v>
      </c>
      <c r="F1712" s="21" t="s">
        <v>13997</v>
      </c>
      <c r="G1712" s="21" t="s">
        <v>24197</v>
      </c>
      <c r="H1712" s="21" t="s">
        <v>24189</v>
      </c>
      <c r="I1712" s="21" t="s">
        <v>11415</v>
      </c>
      <c r="J1712" s="21" t="s">
        <v>15458</v>
      </c>
    </row>
    <row r="1713" customFormat="false" ht="28.35" hidden="false" customHeight="false" outlineLevel="0" collapsed="false">
      <c r="B1713" s="19" t="s">
        <v>24269</v>
      </c>
      <c r="C1713" s="20" t="n">
        <f aca="false">ROUND(1.09/FX,2)</f>
        <v>0.15</v>
      </c>
      <c r="D1713" s="21" t="s">
        <v>24225</v>
      </c>
      <c r="E1713" s="21" t="s">
        <v>23562</v>
      </c>
      <c r="F1713" s="21" t="s">
        <v>13751</v>
      </c>
      <c r="G1713" s="21" t="s">
        <v>24197</v>
      </c>
      <c r="H1713" s="21" t="s">
        <v>24189</v>
      </c>
      <c r="I1713" s="21" t="s">
        <v>22841</v>
      </c>
      <c r="J1713" s="21" t="s">
        <v>4000</v>
      </c>
    </row>
    <row r="1714" customFormat="false" ht="28.35" hidden="false" customHeight="false" outlineLevel="0" collapsed="false">
      <c r="B1714" s="19" t="s">
        <v>24270</v>
      </c>
      <c r="C1714" s="20" t="n">
        <f aca="false">ROUND(3.77/FX,2)</f>
        <v>0.52</v>
      </c>
      <c r="D1714" s="21" t="s">
        <v>24225</v>
      </c>
      <c r="E1714" s="21" t="s">
        <v>23562</v>
      </c>
      <c r="F1714" s="21" t="s">
        <v>13997</v>
      </c>
      <c r="G1714" s="21" t="s">
        <v>24197</v>
      </c>
      <c r="H1714" s="21" t="s">
        <v>24189</v>
      </c>
      <c r="I1714" s="21" t="s">
        <v>22841</v>
      </c>
      <c r="J1714" s="21" t="s">
        <v>3247</v>
      </c>
    </row>
    <row r="1715" customFormat="false" ht="28.35" hidden="false" customHeight="false" outlineLevel="0" collapsed="false">
      <c r="B1715" s="19" t="s">
        <v>24271</v>
      </c>
      <c r="C1715" s="20" t="n">
        <f aca="false">ROUND(1.09/FX,2)</f>
        <v>0.15</v>
      </c>
      <c r="D1715" s="21" t="s">
        <v>24225</v>
      </c>
      <c r="E1715" s="21" t="s">
        <v>23562</v>
      </c>
      <c r="F1715" s="21" t="s">
        <v>13751</v>
      </c>
      <c r="G1715" s="21" t="s">
        <v>24197</v>
      </c>
      <c r="H1715" s="21" t="s">
        <v>24189</v>
      </c>
      <c r="I1715" s="21" t="s">
        <v>11409</v>
      </c>
      <c r="J1715" s="21" t="s">
        <v>4000</v>
      </c>
    </row>
    <row r="1716" customFormat="false" ht="28.35" hidden="false" customHeight="false" outlineLevel="0" collapsed="false">
      <c r="B1716" s="19" t="s">
        <v>24272</v>
      </c>
      <c r="C1716" s="20" t="n">
        <f aca="false">ROUND(7.5/FX,2)</f>
        <v>1.04</v>
      </c>
      <c r="D1716" s="21" t="s">
        <v>24225</v>
      </c>
      <c r="E1716" s="21" t="s">
        <v>23562</v>
      </c>
      <c r="F1716" s="21" t="s">
        <v>13997</v>
      </c>
      <c r="G1716" s="21" t="s">
        <v>24197</v>
      </c>
      <c r="H1716" s="21" t="s">
        <v>24189</v>
      </c>
      <c r="I1716" s="21" t="s">
        <v>11409</v>
      </c>
      <c r="J1716" s="21" t="s">
        <v>3247</v>
      </c>
    </row>
    <row r="1717" customFormat="false" ht="28.35" hidden="false" customHeight="false" outlineLevel="0" collapsed="false">
      <c r="B1717" s="19" t="s">
        <v>24273</v>
      </c>
      <c r="C1717" s="20" t="n">
        <f aca="false">ROUND(1.09/FX,2)</f>
        <v>0.15</v>
      </c>
      <c r="D1717" s="21" t="s">
        <v>24225</v>
      </c>
      <c r="E1717" s="21" t="s">
        <v>23562</v>
      </c>
      <c r="F1717" s="21" t="s">
        <v>13751</v>
      </c>
      <c r="G1717" s="21" t="s">
        <v>24197</v>
      </c>
      <c r="H1717" s="21" t="s">
        <v>24189</v>
      </c>
      <c r="I1717" s="21" t="s">
        <v>11411</v>
      </c>
      <c r="J1717" s="21" t="s">
        <v>4000</v>
      </c>
    </row>
    <row r="1718" customFormat="false" ht="28.35" hidden="false" customHeight="false" outlineLevel="0" collapsed="false">
      <c r="B1718" s="19" t="s">
        <v>24274</v>
      </c>
      <c r="C1718" s="20" t="n">
        <f aca="false">ROUND(3.77/FX,2)</f>
        <v>0.52</v>
      </c>
      <c r="D1718" s="21" t="s">
        <v>24225</v>
      </c>
      <c r="E1718" s="21" t="s">
        <v>23562</v>
      </c>
      <c r="F1718" s="21" t="s">
        <v>13997</v>
      </c>
      <c r="G1718" s="21" t="s">
        <v>24197</v>
      </c>
      <c r="H1718" s="21" t="s">
        <v>24189</v>
      </c>
      <c r="I1718" s="21" t="s">
        <v>11411</v>
      </c>
      <c r="J1718" s="21" t="s">
        <v>3247</v>
      </c>
    </row>
    <row r="1719" customFormat="false" ht="28.35" hidden="false" customHeight="false" outlineLevel="0" collapsed="false">
      <c r="B1719" s="19" t="s">
        <v>24275</v>
      </c>
      <c r="C1719" s="20" t="n">
        <f aca="false">ROUND(1.09/FX,2)</f>
        <v>0.15</v>
      </c>
      <c r="D1719" s="21" t="s">
        <v>24225</v>
      </c>
      <c r="E1719" s="21" t="s">
        <v>23562</v>
      </c>
      <c r="F1719" s="21" t="s">
        <v>13751</v>
      </c>
      <c r="G1719" s="21" t="s">
        <v>24197</v>
      </c>
      <c r="H1719" s="21" t="s">
        <v>24189</v>
      </c>
      <c r="I1719" s="21" t="s">
        <v>11413</v>
      </c>
      <c r="J1719" s="21" t="s">
        <v>4000</v>
      </c>
    </row>
    <row r="1720" customFormat="false" ht="28.35" hidden="false" customHeight="false" outlineLevel="0" collapsed="false">
      <c r="B1720" s="19" t="s">
        <v>24276</v>
      </c>
      <c r="C1720" s="20" t="n">
        <f aca="false">ROUND(3.77/FX,2)</f>
        <v>0.52</v>
      </c>
      <c r="D1720" s="21" t="s">
        <v>24225</v>
      </c>
      <c r="E1720" s="21" t="s">
        <v>23562</v>
      </c>
      <c r="F1720" s="21" t="s">
        <v>13997</v>
      </c>
      <c r="G1720" s="21" t="s">
        <v>24197</v>
      </c>
      <c r="H1720" s="21" t="s">
        <v>24189</v>
      </c>
      <c r="I1720" s="21" t="s">
        <v>11413</v>
      </c>
      <c r="J1720" s="21" t="s">
        <v>3247</v>
      </c>
    </row>
    <row r="1721" customFormat="false" ht="28.35" hidden="false" customHeight="false" outlineLevel="0" collapsed="false">
      <c r="B1721" s="19" t="s">
        <v>24277</v>
      </c>
      <c r="C1721" s="20" t="n">
        <f aca="false">ROUND(1.82/FX,2)</f>
        <v>0.25</v>
      </c>
      <c r="D1721" s="21" t="s">
        <v>24225</v>
      </c>
      <c r="E1721" s="21" t="s">
        <v>23562</v>
      </c>
      <c r="F1721" s="21" t="s">
        <v>13743</v>
      </c>
      <c r="G1721" s="21" t="s">
        <v>24197</v>
      </c>
      <c r="H1721" s="21" t="s">
        <v>24189</v>
      </c>
      <c r="I1721" s="21" t="s">
        <v>11415</v>
      </c>
      <c r="J1721" s="21" t="s">
        <v>4000</v>
      </c>
    </row>
    <row r="1722" customFormat="false" ht="28.35" hidden="false" customHeight="false" outlineLevel="0" collapsed="false">
      <c r="B1722" s="19" t="s">
        <v>24278</v>
      </c>
      <c r="C1722" s="20" t="n">
        <f aca="false">ROUND(0.65/FX,2)</f>
        <v>0.09</v>
      </c>
      <c r="D1722" s="21" t="s">
        <v>24225</v>
      </c>
      <c r="E1722" s="21" t="s">
        <v>23562</v>
      </c>
      <c r="F1722" s="21" t="s">
        <v>13739</v>
      </c>
      <c r="G1722" s="21" t="s">
        <v>24197</v>
      </c>
      <c r="H1722" s="21" t="s">
        <v>24189</v>
      </c>
      <c r="I1722" s="21" t="s">
        <v>11415</v>
      </c>
      <c r="J1722" s="21" t="s">
        <v>3247</v>
      </c>
    </row>
    <row r="1723" customFormat="false" ht="15" hidden="false" customHeight="false" outlineLevel="0" collapsed="false">
      <c r="B1723" s="19" t="s">
        <v>24279</v>
      </c>
      <c r="C1723" s="20" t="n">
        <f aca="false">ROUND(0.22/FX,2)</f>
        <v>0.03</v>
      </c>
      <c r="D1723" s="21" t="s">
        <v>23565</v>
      </c>
      <c r="E1723" s="21" t="s">
        <v>24226</v>
      </c>
      <c r="F1723" s="21" t="s">
        <v>13732</v>
      </c>
      <c r="G1723" s="21" t="s">
        <v>15458</v>
      </c>
      <c r="H1723" s="21" t="s">
        <v>24280</v>
      </c>
      <c r="I1723" s="21" t="s">
        <v>11407</v>
      </c>
      <c r="J1723" s="21" t="s">
        <v>15458</v>
      </c>
    </row>
    <row r="1724" customFormat="false" ht="15" hidden="false" customHeight="false" outlineLevel="0" collapsed="false">
      <c r="B1724" s="19" t="s">
        <v>24281</v>
      </c>
      <c r="C1724" s="20" t="n">
        <f aca="false">ROUND(1.14/FX,2)</f>
        <v>0.16</v>
      </c>
      <c r="D1724" s="21" t="s">
        <v>23565</v>
      </c>
      <c r="E1724" s="21" t="s">
        <v>24226</v>
      </c>
      <c r="F1724" s="21" t="s">
        <v>14013</v>
      </c>
      <c r="G1724" s="21" t="s">
        <v>15458</v>
      </c>
      <c r="H1724" s="21" t="s">
        <v>24280</v>
      </c>
      <c r="I1724" s="21" t="s">
        <v>11409</v>
      </c>
      <c r="J1724" s="21" t="s">
        <v>15458</v>
      </c>
    </row>
    <row r="1725" customFormat="false" ht="15" hidden="false" customHeight="false" outlineLevel="0" collapsed="false">
      <c r="B1725" s="19" t="s">
        <v>24282</v>
      </c>
      <c r="C1725" s="20" t="n">
        <f aca="false">ROUND(1.14/FX,2)</f>
        <v>0.16</v>
      </c>
      <c r="D1725" s="21" t="s">
        <v>23565</v>
      </c>
      <c r="E1725" s="21" t="s">
        <v>24226</v>
      </c>
      <c r="F1725" s="21" t="s">
        <v>14013</v>
      </c>
      <c r="G1725" s="21" t="s">
        <v>15458</v>
      </c>
      <c r="H1725" s="21" t="s">
        <v>24280</v>
      </c>
      <c r="I1725" s="21" t="s">
        <v>11411</v>
      </c>
      <c r="J1725" s="21" t="s">
        <v>15458</v>
      </c>
    </row>
    <row r="1726" customFormat="false" ht="15" hidden="false" customHeight="false" outlineLevel="0" collapsed="false">
      <c r="B1726" s="19" t="s">
        <v>24283</v>
      </c>
      <c r="C1726" s="20" t="n">
        <f aca="false">ROUND(0.65/FX,2)</f>
        <v>0.09</v>
      </c>
      <c r="D1726" s="21" t="s">
        <v>23565</v>
      </c>
      <c r="E1726" s="21" t="s">
        <v>23548</v>
      </c>
      <c r="F1726" s="21" t="s">
        <v>13997</v>
      </c>
      <c r="G1726" s="21" t="s">
        <v>15458</v>
      </c>
      <c r="H1726" s="21" t="s">
        <v>24280</v>
      </c>
      <c r="I1726" s="21" t="s">
        <v>11407</v>
      </c>
      <c r="J1726" s="21" t="s">
        <v>15458</v>
      </c>
    </row>
    <row r="1727" customFormat="false" ht="15" hidden="false" customHeight="false" outlineLevel="0" collapsed="false">
      <c r="B1727" s="19" t="s">
        <v>24284</v>
      </c>
      <c r="C1727" s="20" t="n">
        <f aca="false">ROUND(0.61/FX,2)</f>
        <v>0.08</v>
      </c>
      <c r="D1727" s="21" t="s">
        <v>23565</v>
      </c>
      <c r="E1727" s="21" t="s">
        <v>23548</v>
      </c>
      <c r="F1727" s="21" t="s">
        <v>13974</v>
      </c>
      <c r="G1727" s="21" t="s">
        <v>15458</v>
      </c>
      <c r="H1727" s="21" t="s">
        <v>24280</v>
      </c>
      <c r="I1727" s="21" t="s">
        <v>11409</v>
      </c>
      <c r="J1727" s="21" t="s">
        <v>15458</v>
      </c>
    </row>
    <row r="1728" customFormat="false" ht="15" hidden="false" customHeight="false" outlineLevel="0" collapsed="false">
      <c r="B1728" s="19" t="s">
        <v>24285</v>
      </c>
      <c r="C1728" s="20" t="n">
        <f aca="false">ROUND(0.61/FX,2)</f>
        <v>0.08</v>
      </c>
      <c r="D1728" s="21" t="s">
        <v>23565</v>
      </c>
      <c r="E1728" s="21" t="s">
        <v>23548</v>
      </c>
      <c r="F1728" s="21" t="s">
        <v>13974</v>
      </c>
      <c r="G1728" s="21" t="s">
        <v>15458</v>
      </c>
      <c r="H1728" s="21" t="s">
        <v>24280</v>
      </c>
      <c r="I1728" s="21" t="s">
        <v>11411</v>
      </c>
      <c r="J1728" s="21" t="s">
        <v>15458</v>
      </c>
    </row>
    <row r="1729" customFormat="false" ht="15" hidden="false" customHeight="false" outlineLevel="0" collapsed="false">
      <c r="B1729" s="19" t="s">
        <v>24286</v>
      </c>
      <c r="C1729" s="20" t="n">
        <f aca="false">ROUND(1.05/FX,2)</f>
        <v>0.15</v>
      </c>
      <c r="D1729" s="21" t="s">
        <v>23565</v>
      </c>
      <c r="E1729" s="21" t="s">
        <v>23552</v>
      </c>
      <c r="F1729" s="21" t="s">
        <v>24287</v>
      </c>
      <c r="G1729" s="21" t="s">
        <v>15458</v>
      </c>
      <c r="H1729" s="21" t="s">
        <v>24280</v>
      </c>
      <c r="I1729" s="21" t="s">
        <v>11407</v>
      </c>
      <c r="J1729" s="21" t="s">
        <v>15458</v>
      </c>
    </row>
    <row r="1730" customFormat="false" ht="15" hidden="false" customHeight="false" outlineLevel="0" collapsed="false">
      <c r="B1730" s="19" t="s">
        <v>24288</v>
      </c>
      <c r="C1730" s="20" t="n">
        <f aca="false">ROUND(0.52/FX,2)</f>
        <v>0.07</v>
      </c>
      <c r="D1730" s="21" t="s">
        <v>23565</v>
      </c>
      <c r="E1730" s="21" t="s">
        <v>23552</v>
      </c>
      <c r="F1730" s="21" t="s">
        <v>13997</v>
      </c>
      <c r="G1730" s="21" t="s">
        <v>15458</v>
      </c>
      <c r="H1730" s="21" t="s">
        <v>24280</v>
      </c>
      <c r="I1730" s="21" t="s">
        <v>11409</v>
      </c>
      <c r="J1730" s="21" t="s">
        <v>15458</v>
      </c>
    </row>
    <row r="1731" customFormat="false" ht="15" hidden="false" customHeight="false" outlineLevel="0" collapsed="false">
      <c r="B1731" s="19" t="s">
        <v>24289</v>
      </c>
      <c r="C1731" s="20" t="n">
        <f aca="false">ROUND(0.52/FX,2)</f>
        <v>0.07</v>
      </c>
      <c r="D1731" s="21" t="s">
        <v>23565</v>
      </c>
      <c r="E1731" s="21" t="s">
        <v>23552</v>
      </c>
      <c r="F1731" s="21" t="s">
        <v>13997</v>
      </c>
      <c r="G1731" s="21" t="s">
        <v>15458</v>
      </c>
      <c r="H1731" s="21" t="s">
        <v>24280</v>
      </c>
      <c r="I1731" s="21" t="s">
        <v>11411</v>
      </c>
      <c r="J1731" s="21" t="s">
        <v>15458</v>
      </c>
    </row>
    <row r="1732" customFormat="false" ht="15" hidden="false" customHeight="false" outlineLevel="0" collapsed="false">
      <c r="B1732" s="19" t="s">
        <v>24290</v>
      </c>
      <c r="C1732" s="20" t="n">
        <f aca="false">ROUND(0.52/FX,2)</f>
        <v>0.07</v>
      </c>
      <c r="D1732" s="21" t="s">
        <v>23565</v>
      </c>
      <c r="E1732" s="21" t="s">
        <v>23552</v>
      </c>
      <c r="F1732" s="21" t="s">
        <v>13997</v>
      </c>
      <c r="G1732" s="21" t="s">
        <v>15458</v>
      </c>
      <c r="H1732" s="21" t="s">
        <v>24280</v>
      </c>
      <c r="I1732" s="21" t="s">
        <v>11413</v>
      </c>
      <c r="J1732" s="21" t="s">
        <v>15458</v>
      </c>
    </row>
    <row r="1733" customFormat="false" ht="15" hidden="false" customHeight="false" outlineLevel="0" collapsed="false">
      <c r="B1733" s="19" t="s">
        <v>24291</v>
      </c>
      <c r="C1733" s="20" t="n">
        <f aca="false">ROUND(1.04/FX,2)</f>
        <v>0.14</v>
      </c>
      <c r="D1733" s="21" t="s">
        <v>23565</v>
      </c>
      <c r="E1733" s="21" t="s">
        <v>23555</v>
      </c>
      <c r="F1733" s="21" t="s">
        <v>13743</v>
      </c>
      <c r="G1733" s="21" t="s">
        <v>15458</v>
      </c>
      <c r="H1733" s="21" t="s">
        <v>24280</v>
      </c>
      <c r="I1733" s="21" t="s">
        <v>11407</v>
      </c>
      <c r="J1733" s="21" t="s">
        <v>15458</v>
      </c>
    </row>
    <row r="1734" customFormat="false" ht="15" hidden="false" customHeight="false" outlineLevel="0" collapsed="false">
      <c r="B1734" s="19" t="s">
        <v>24292</v>
      </c>
      <c r="C1734" s="20" t="n">
        <f aca="false">ROUND(1.04/FX,2)</f>
        <v>0.14</v>
      </c>
      <c r="D1734" s="21" t="s">
        <v>23565</v>
      </c>
      <c r="E1734" s="21" t="s">
        <v>23555</v>
      </c>
      <c r="F1734" s="21" t="s">
        <v>13981</v>
      </c>
      <c r="G1734" s="21" t="s">
        <v>15458</v>
      </c>
      <c r="H1734" s="21" t="s">
        <v>24280</v>
      </c>
      <c r="I1734" s="21" t="s">
        <v>11409</v>
      </c>
      <c r="J1734" s="21" t="s">
        <v>15458</v>
      </c>
    </row>
    <row r="1735" customFormat="false" ht="15" hidden="false" customHeight="false" outlineLevel="0" collapsed="false">
      <c r="B1735" s="19" t="s">
        <v>24293</v>
      </c>
      <c r="C1735" s="20" t="n">
        <f aca="false">ROUND(0.13/FX,2)</f>
        <v>0.02</v>
      </c>
      <c r="D1735" s="21" t="s">
        <v>23565</v>
      </c>
      <c r="E1735" s="21" t="s">
        <v>23555</v>
      </c>
      <c r="F1735" s="21" t="s">
        <v>13739</v>
      </c>
      <c r="G1735" s="21" t="s">
        <v>15458</v>
      </c>
      <c r="H1735" s="21" t="s">
        <v>24280</v>
      </c>
      <c r="I1735" s="21" t="s">
        <v>11411</v>
      </c>
      <c r="J1735" s="21" t="s">
        <v>15458</v>
      </c>
    </row>
    <row r="1736" customFormat="false" ht="15" hidden="false" customHeight="false" outlineLevel="0" collapsed="false">
      <c r="B1736" s="19" t="s">
        <v>24294</v>
      </c>
      <c r="C1736" s="20" t="n">
        <f aca="false">ROUND(1.04/FX,2)</f>
        <v>0.14</v>
      </c>
      <c r="D1736" s="21" t="s">
        <v>23565</v>
      </c>
      <c r="E1736" s="21" t="s">
        <v>23555</v>
      </c>
      <c r="F1736" s="21" t="s">
        <v>13981</v>
      </c>
      <c r="G1736" s="21" t="s">
        <v>15458</v>
      </c>
      <c r="H1736" s="21" t="s">
        <v>24280</v>
      </c>
      <c r="I1736" s="21" t="s">
        <v>11413</v>
      </c>
      <c r="J1736" s="21" t="s">
        <v>15458</v>
      </c>
    </row>
    <row r="1737" customFormat="false" ht="15" hidden="false" customHeight="false" outlineLevel="0" collapsed="false">
      <c r="B1737" s="19" t="s">
        <v>24295</v>
      </c>
      <c r="C1737" s="20" t="n">
        <f aca="false">ROUND(0.39/FX,2)</f>
        <v>0.05</v>
      </c>
      <c r="D1737" s="21" t="s">
        <v>23565</v>
      </c>
      <c r="E1737" s="21" t="s">
        <v>23555</v>
      </c>
      <c r="F1737" s="21" t="s">
        <v>13743</v>
      </c>
      <c r="G1737" s="21" t="s">
        <v>15458</v>
      </c>
      <c r="H1737" s="21" t="s">
        <v>24280</v>
      </c>
      <c r="I1737" s="21" t="s">
        <v>11415</v>
      </c>
      <c r="J1737" s="21" t="s">
        <v>15458</v>
      </c>
    </row>
    <row r="1738" customFormat="false" ht="15" hidden="false" customHeight="false" outlineLevel="0" collapsed="false">
      <c r="B1738" s="19" t="s">
        <v>24296</v>
      </c>
      <c r="C1738" s="20" t="n">
        <f aca="false">ROUND(1.08/FX,2)</f>
        <v>0.15</v>
      </c>
      <c r="D1738" s="21" t="s">
        <v>23565</v>
      </c>
      <c r="E1738" s="21" t="s">
        <v>23562</v>
      </c>
      <c r="F1738" s="21" t="s">
        <v>13988</v>
      </c>
      <c r="G1738" s="21" t="s">
        <v>15458</v>
      </c>
      <c r="H1738" s="21" t="s">
        <v>24280</v>
      </c>
      <c r="I1738" s="21" t="s">
        <v>11409</v>
      </c>
      <c r="J1738" s="21" t="s">
        <v>15458</v>
      </c>
    </row>
    <row r="1739" customFormat="false" ht="15" hidden="false" customHeight="false" outlineLevel="0" collapsed="false">
      <c r="B1739" s="19" t="s">
        <v>24297</v>
      </c>
      <c r="C1739" s="20" t="n">
        <f aca="false">ROUND(1.08/FX,2)</f>
        <v>0.15</v>
      </c>
      <c r="D1739" s="21" t="s">
        <v>23565</v>
      </c>
      <c r="E1739" s="21" t="s">
        <v>23562</v>
      </c>
      <c r="F1739" s="21" t="s">
        <v>13988</v>
      </c>
      <c r="G1739" s="21" t="s">
        <v>15458</v>
      </c>
      <c r="H1739" s="21" t="s">
        <v>24280</v>
      </c>
      <c r="I1739" s="21" t="s">
        <v>11411</v>
      </c>
      <c r="J1739" s="21" t="s">
        <v>15458</v>
      </c>
    </row>
    <row r="1740" customFormat="false" ht="15" hidden="false" customHeight="false" outlineLevel="0" collapsed="false">
      <c r="B1740" s="19" t="s">
        <v>24298</v>
      </c>
      <c r="C1740" s="20" t="n">
        <f aca="false">ROUND(1.08/FX,2)</f>
        <v>0.15</v>
      </c>
      <c r="D1740" s="21" t="s">
        <v>23565</v>
      </c>
      <c r="E1740" s="21" t="s">
        <v>23562</v>
      </c>
      <c r="F1740" s="21" t="s">
        <v>13988</v>
      </c>
      <c r="G1740" s="21" t="s">
        <v>15458</v>
      </c>
      <c r="H1740" s="21" t="s">
        <v>24280</v>
      </c>
      <c r="I1740" s="21" t="s">
        <v>11413</v>
      </c>
      <c r="J1740" s="21" t="s">
        <v>15458</v>
      </c>
    </row>
    <row r="1741" customFormat="false" ht="15" hidden="false" customHeight="false" outlineLevel="0" collapsed="false">
      <c r="B1741" s="19" t="s">
        <v>24299</v>
      </c>
      <c r="C1741" s="20" t="n">
        <f aca="false">ROUND(1.95/FX,2)</f>
        <v>0.27</v>
      </c>
      <c r="D1741" s="21" t="s">
        <v>23565</v>
      </c>
      <c r="E1741" s="21" t="s">
        <v>23562</v>
      </c>
      <c r="F1741" s="21" t="s">
        <v>13974</v>
      </c>
      <c r="G1741" s="21" t="s">
        <v>15458</v>
      </c>
      <c r="H1741" s="21" t="s">
        <v>24280</v>
      </c>
      <c r="I1741" s="21" t="s">
        <v>11415</v>
      </c>
      <c r="J1741" s="21" t="s">
        <v>15458</v>
      </c>
    </row>
    <row r="1742" customFormat="false" ht="15" hidden="false" customHeight="false" outlineLevel="0" collapsed="false">
      <c r="B1742" s="19" t="s">
        <v>24300</v>
      </c>
      <c r="C1742" s="20" t="n">
        <f aca="false">ROUND(1.43/FX,2)</f>
        <v>0.2</v>
      </c>
      <c r="D1742" s="21" t="s">
        <v>8669</v>
      </c>
      <c r="E1742" s="21" t="s">
        <v>23548</v>
      </c>
      <c r="F1742" s="21" t="s">
        <v>13743</v>
      </c>
      <c r="G1742" s="21" t="s">
        <v>15458</v>
      </c>
      <c r="H1742" s="21" t="s">
        <v>24280</v>
      </c>
      <c r="I1742" s="21" t="s">
        <v>11407</v>
      </c>
      <c r="J1742" s="21" t="s">
        <v>15458</v>
      </c>
    </row>
    <row r="1743" customFormat="false" ht="15" hidden="false" customHeight="false" outlineLevel="0" collapsed="false">
      <c r="B1743" s="19" t="s">
        <v>24301</v>
      </c>
      <c r="C1743" s="20" t="n">
        <f aca="false">ROUND(1.3/FX,2)</f>
        <v>0.18</v>
      </c>
      <c r="D1743" s="21" t="s">
        <v>8669</v>
      </c>
      <c r="E1743" s="21" t="s">
        <v>23548</v>
      </c>
      <c r="F1743" s="21" t="s">
        <v>13739</v>
      </c>
      <c r="G1743" s="21" t="s">
        <v>15458</v>
      </c>
      <c r="H1743" s="21" t="s">
        <v>24280</v>
      </c>
      <c r="I1743" s="21" t="s">
        <v>11409</v>
      </c>
      <c r="J1743" s="21" t="s">
        <v>15458</v>
      </c>
    </row>
    <row r="1744" customFormat="false" ht="15" hidden="false" customHeight="false" outlineLevel="0" collapsed="false">
      <c r="B1744" s="19" t="s">
        <v>24302</v>
      </c>
      <c r="C1744" s="20" t="n">
        <f aca="false">ROUND(1.3/FX,2)</f>
        <v>0.18</v>
      </c>
      <c r="D1744" s="21" t="s">
        <v>8669</v>
      </c>
      <c r="E1744" s="21" t="s">
        <v>23548</v>
      </c>
      <c r="F1744" s="21" t="s">
        <v>13739</v>
      </c>
      <c r="G1744" s="21" t="s">
        <v>15458</v>
      </c>
      <c r="H1744" s="21" t="s">
        <v>24280</v>
      </c>
      <c r="I1744" s="21" t="s">
        <v>11411</v>
      </c>
      <c r="J1744" s="21" t="s">
        <v>15458</v>
      </c>
    </row>
    <row r="1745" customFormat="false" ht="15" hidden="false" customHeight="false" outlineLevel="0" collapsed="false">
      <c r="B1745" s="19" t="s">
        <v>24303</v>
      </c>
      <c r="C1745" s="20" t="n">
        <f aca="false">ROUND(1.69/FX,2)</f>
        <v>0.23</v>
      </c>
      <c r="D1745" s="21" t="s">
        <v>8669</v>
      </c>
      <c r="E1745" s="21" t="s">
        <v>23552</v>
      </c>
      <c r="F1745" s="21" t="s">
        <v>13739</v>
      </c>
      <c r="G1745" s="21" t="s">
        <v>15458</v>
      </c>
      <c r="H1745" s="21" t="s">
        <v>24280</v>
      </c>
      <c r="I1745" s="21" t="s">
        <v>11409</v>
      </c>
      <c r="J1745" s="21" t="s">
        <v>15458</v>
      </c>
    </row>
    <row r="1746" customFormat="false" ht="15" hidden="false" customHeight="false" outlineLevel="0" collapsed="false">
      <c r="B1746" s="19" t="s">
        <v>24304</v>
      </c>
      <c r="C1746" s="20" t="n">
        <f aca="false">ROUND(1.56/FX,2)</f>
        <v>0.22</v>
      </c>
      <c r="D1746" s="21" t="s">
        <v>8669</v>
      </c>
      <c r="E1746" s="21" t="s">
        <v>23552</v>
      </c>
      <c r="F1746" s="21" t="s">
        <v>13739</v>
      </c>
      <c r="G1746" s="21" t="s">
        <v>15458</v>
      </c>
      <c r="H1746" s="21" t="s">
        <v>24280</v>
      </c>
      <c r="I1746" s="21" t="s">
        <v>11411</v>
      </c>
      <c r="J1746" s="21" t="s">
        <v>15458</v>
      </c>
    </row>
    <row r="1747" customFormat="false" ht="15" hidden="false" customHeight="false" outlineLevel="0" collapsed="false">
      <c r="B1747" s="19" t="s">
        <v>24305</v>
      </c>
      <c r="C1747" s="20" t="n">
        <f aca="false">ROUND(0.65/FX,2)</f>
        <v>0.09</v>
      </c>
      <c r="D1747" s="21" t="s">
        <v>8669</v>
      </c>
      <c r="E1747" s="21" t="s">
        <v>23552</v>
      </c>
      <c r="F1747" s="21" t="s">
        <v>13739</v>
      </c>
      <c r="G1747" s="21" t="s">
        <v>15458</v>
      </c>
      <c r="H1747" s="21" t="s">
        <v>24280</v>
      </c>
      <c r="I1747" s="21" t="s">
        <v>11413</v>
      </c>
      <c r="J1747" s="21" t="s">
        <v>15458</v>
      </c>
    </row>
    <row r="1748" customFormat="false" ht="15" hidden="false" customHeight="false" outlineLevel="0" collapsed="false">
      <c r="B1748" s="19" t="s">
        <v>24306</v>
      </c>
      <c r="C1748" s="20" t="n">
        <f aca="false">ROUND(1.09/FX,2)</f>
        <v>0.15</v>
      </c>
      <c r="D1748" s="21" t="s">
        <v>8669</v>
      </c>
      <c r="E1748" s="21" t="s">
        <v>23555</v>
      </c>
      <c r="F1748" s="21" t="s">
        <v>13739</v>
      </c>
      <c r="G1748" s="21" t="s">
        <v>15458</v>
      </c>
      <c r="H1748" s="21" t="s">
        <v>24280</v>
      </c>
      <c r="I1748" s="21" t="s">
        <v>11409</v>
      </c>
      <c r="J1748" s="21" t="s">
        <v>15458</v>
      </c>
    </row>
    <row r="1749" customFormat="false" ht="15" hidden="false" customHeight="false" outlineLevel="0" collapsed="false">
      <c r="B1749" s="19" t="s">
        <v>24307</v>
      </c>
      <c r="C1749" s="20" t="n">
        <f aca="false">ROUND(1.95/FX,2)</f>
        <v>0.27</v>
      </c>
      <c r="D1749" s="21" t="s">
        <v>8669</v>
      </c>
      <c r="E1749" s="21" t="s">
        <v>23555</v>
      </c>
      <c r="F1749" s="21" t="s">
        <v>13739</v>
      </c>
      <c r="G1749" s="21" t="s">
        <v>15458</v>
      </c>
      <c r="H1749" s="21" t="s">
        <v>24280</v>
      </c>
      <c r="I1749" s="21" t="s">
        <v>11411</v>
      </c>
      <c r="J1749" s="21" t="s">
        <v>15458</v>
      </c>
    </row>
    <row r="1750" customFormat="false" ht="15" hidden="false" customHeight="false" outlineLevel="0" collapsed="false">
      <c r="B1750" s="19" t="s">
        <v>24308</v>
      </c>
      <c r="C1750" s="20" t="n">
        <f aca="false">ROUND(1.09/FX,2)</f>
        <v>0.15</v>
      </c>
      <c r="D1750" s="21" t="s">
        <v>8669</v>
      </c>
      <c r="E1750" s="21" t="s">
        <v>23555</v>
      </c>
      <c r="F1750" s="21" t="s">
        <v>13739</v>
      </c>
      <c r="G1750" s="21" t="s">
        <v>15458</v>
      </c>
      <c r="H1750" s="21" t="s">
        <v>24280</v>
      </c>
      <c r="I1750" s="21" t="s">
        <v>11413</v>
      </c>
      <c r="J1750" s="21" t="s">
        <v>15458</v>
      </c>
    </row>
    <row r="1751" customFormat="false" ht="15" hidden="false" customHeight="false" outlineLevel="0" collapsed="false">
      <c r="B1751" s="19" t="s">
        <v>24309</v>
      </c>
      <c r="C1751" s="20" t="n">
        <f aca="false">ROUND(1.17/FX,2)</f>
        <v>0.16</v>
      </c>
      <c r="D1751" s="21" t="s">
        <v>8669</v>
      </c>
      <c r="E1751" s="21" t="s">
        <v>23555</v>
      </c>
      <c r="F1751" s="21" t="s">
        <v>13739</v>
      </c>
      <c r="G1751" s="21" t="s">
        <v>15458</v>
      </c>
      <c r="H1751" s="21" t="s">
        <v>24280</v>
      </c>
      <c r="I1751" s="21" t="s">
        <v>11415</v>
      </c>
      <c r="J1751" s="21" t="s">
        <v>15458</v>
      </c>
    </row>
    <row r="1752" customFormat="false" ht="15" hidden="false" customHeight="false" outlineLevel="0" collapsed="false">
      <c r="B1752" s="19" t="s">
        <v>24310</v>
      </c>
      <c r="C1752" s="20" t="n">
        <f aca="false">ROUND(1.2/FX,2)</f>
        <v>0.17</v>
      </c>
      <c r="D1752" s="21" t="s">
        <v>8669</v>
      </c>
      <c r="E1752" s="21" t="s">
        <v>23562</v>
      </c>
      <c r="F1752" s="21" t="s">
        <v>13739</v>
      </c>
      <c r="G1752" s="21" t="s">
        <v>15458</v>
      </c>
      <c r="H1752" s="21" t="s">
        <v>24280</v>
      </c>
      <c r="I1752" s="21" t="s">
        <v>11411</v>
      </c>
      <c r="J1752" s="21" t="s">
        <v>15458</v>
      </c>
    </row>
    <row r="1753" customFormat="false" ht="15" hidden="false" customHeight="false" outlineLevel="0" collapsed="false">
      <c r="B1753" s="19" t="s">
        <v>24311</v>
      </c>
      <c r="C1753" s="20" t="n">
        <f aca="false">ROUND(1.2/FX,2)</f>
        <v>0.17</v>
      </c>
      <c r="D1753" s="21" t="s">
        <v>8669</v>
      </c>
      <c r="E1753" s="21" t="s">
        <v>23562</v>
      </c>
      <c r="F1753" s="21" t="s">
        <v>13739</v>
      </c>
      <c r="G1753" s="21" t="s">
        <v>15458</v>
      </c>
      <c r="H1753" s="21" t="s">
        <v>24280</v>
      </c>
      <c r="I1753" s="21" t="s">
        <v>11413</v>
      </c>
      <c r="J1753" s="21" t="s">
        <v>15458</v>
      </c>
    </row>
    <row r="1754" customFormat="false" ht="15" hidden="false" customHeight="false" outlineLevel="0" collapsed="false">
      <c r="B1754" s="19" t="s">
        <v>24312</v>
      </c>
      <c r="C1754" s="20" t="n">
        <f aca="false">ROUND(0.52/FX,2)</f>
        <v>0.07</v>
      </c>
      <c r="D1754" s="21" t="s">
        <v>8669</v>
      </c>
      <c r="E1754" s="21" t="s">
        <v>23562</v>
      </c>
      <c r="F1754" s="21" t="s">
        <v>13732</v>
      </c>
      <c r="G1754" s="21" t="s">
        <v>15458</v>
      </c>
      <c r="H1754" s="21" t="s">
        <v>24280</v>
      </c>
      <c r="I1754" s="21" t="s">
        <v>11415</v>
      </c>
      <c r="J1754" s="21" t="s">
        <v>15458</v>
      </c>
    </row>
    <row r="1755" customFormat="false" ht="15" hidden="false" customHeight="false" outlineLevel="0" collapsed="false">
      <c r="B1755" s="19" t="s">
        <v>24313</v>
      </c>
      <c r="C1755" s="20" t="n">
        <f aca="false">ROUND(1.3/FX,2)</f>
        <v>0.18</v>
      </c>
      <c r="D1755" s="21" t="s">
        <v>8669</v>
      </c>
      <c r="E1755" s="21" t="s">
        <v>23638</v>
      </c>
      <c r="F1755" s="21" t="s">
        <v>13739</v>
      </c>
      <c r="G1755" s="21" t="s">
        <v>15458</v>
      </c>
      <c r="H1755" s="21" t="s">
        <v>24280</v>
      </c>
      <c r="I1755" s="21" t="s">
        <v>11411</v>
      </c>
      <c r="J1755" s="21" t="s">
        <v>15458</v>
      </c>
    </row>
    <row r="1756" customFormat="false" ht="15" hidden="false" customHeight="false" outlineLevel="0" collapsed="false">
      <c r="B1756" s="19" t="s">
        <v>24314</v>
      </c>
      <c r="C1756" s="20" t="n">
        <f aca="false">ROUND(1.3/FX,2)</f>
        <v>0.18</v>
      </c>
      <c r="D1756" s="21" t="s">
        <v>8669</v>
      </c>
      <c r="E1756" s="21" t="s">
        <v>23638</v>
      </c>
      <c r="F1756" s="21" t="s">
        <v>13739</v>
      </c>
      <c r="G1756" s="21" t="s">
        <v>15458</v>
      </c>
      <c r="H1756" s="21" t="s">
        <v>24280</v>
      </c>
      <c r="I1756" s="21" t="s">
        <v>11413</v>
      </c>
      <c r="J1756" s="21" t="s">
        <v>15458</v>
      </c>
    </row>
    <row r="1757" customFormat="false" ht="28.35" hidden="false" customHeight="false" outlineLevel="0" collapsed="false">
      <c r="B1757" s="19" t="s">
        <v>24315</v>
      </c>
      <c r="C1757" s="20" t="n">
        <f aca="false">ROUND(0.39/FX,2)</f>
        <v>0.05</v>
      </c>
      <c r="D1757" s="21" t="s">
        <v>24225</v>
      </c>
      <c r="E1757" s="21" t="s">
        <v>24316</v>
      </c>
      <c r="F1757" s="21" t="s">
        <v>13732</v>
      </c>
      <c r="G1757" s="21" t="s">
        <v>15458</v>
      </c>
      <c r="H1757" s="21" t="s">
        <v>24280</v>
      </c>
      <c r="I1757" s="21" t="s">
        <v>11409</v>
      </c>
      <c r="J1757" s="21" t="s">
        <v>15458</v>
      </c>
    </row>
    <row r="1758" customFormat="false" ht="28.35" hidden="false" customHeight="false" outlineLevel="0" collapsed="false">
      <c r="B1758" s="19" t="s">
        <v>24317</v>
      </c>
      <c r="C1758" s="20" t="n">
        <f aca="false">ROUND(0.39/FX,2)</f>
        <v>0.05</v>
      </c>
      <c r="D1758" s="21" t="s">
        <v>24225</v>
      </c>
      <c r="E1758" s="21" t="s">
        <v>24316</v>
      </c>
      <c r="F1758" s="21" t="s">
        <v>13732</v>
      </c>
      <c r="G1758" s="21" t="s">
        <v>15458</v>
      </c>
      <c r="H1758" s="21" t="s">
        <v>24280</v>
      </c>
      <c r="I1758" s="21" t="s">
        <v>11411</v>
      </c>
      <c r="J1758" s="21" t="s">
        <v>15458</v>
      </c>
    </row>
    <row r="1759" customFormat="false" ht="28.35" hidden="false" customHeight="false" outlineLevel="0" collapsed="false">
      <c r="B1759" s="19" t="s">
        <v>24318</v>
      </c>
      <c r="C1759" s="20" t="n">
        <f aca="false">ROUND(1.04/FX,2)</f>
        <v>0.14</v>
      </c>
      <c r="D1759" s="21" t="s">
        <v>24225</v>
      </c>
      <c r="E1759" s="21" t="s">
        <v>23669</v>
      </c>
      <c r="F1759" s="21" t="s">
        <v>13981</v>
      </c>
      <c r="G1759" s="21" t="s">
        <v>15458</v>
      </c>
      <c r="H1759" s="21" t="s">
        <v>24280</v>
      </c>
      <c r="I1759" s="21" t="s">
        <v>11409</v>
      </c>
      <c r="J1759" s="21" t="s">
        <v>15458</v>
      </c>
    </row>
    <row r="1760" customFormat="false" ht="28.35" hidden="false" customHeight="false" outlineLevel="0" collapsed="false">
      <c r="B1760" s="19" t="s">
        <v>24319</v>
      </c>
      <c r="C1760" s="20" t="n">
        <f aca="false">ROUND(1.04/FX,2)</f>
        <v>0.14</v>
      </c>
      <c r="D1760" s="21" t="s">
        <v>24225</v>
      </c>
      <c r="E1760" s="21" t="s">
        <v>23669</v>
      </c>
      <c r="F1760" s="21" t="s">
        <v>13981</v>
      </c>
      <c r="G1760" s="21" t="s">
        <v>15458</v>
      </c>
      <c r="H1760" s="21" t="s">
        <v>24280</v>
      </c>
      <c r="I1760" s="21" t="s">
        <v>11411</v>
      </c>
      <c r="J1760" s="21" t="s">
        <v>15458</v>
      </c>
    </row>
    <row r="1761" customFormat="false" ht="28.35" hidden="false" customHeight="false" outlineLevel="0" collapsed="false">
      <c r="B1761" s="19" t="s">
        <v>24320</v>
      </c>
      <c r="C1761" s="20" t="n">
        <f aca="false">ROUND(1.04/FX,2)</f>
        <v>0.14</v>
      </c>
      <c r="D1761" s="21" t="s">
        <v>24225</v>
      </c>
      <c r="E1761" s="21" t="s">
        <v>23638</v>
      </c>
      <c r="F1761" s="21" t="s">
        <v>13997</v>
      </c>
      <c r="G1761" s="21" t="s">
        <v>15458</v>
      </c>
      <c r="H1761" s="21" t="s">
        <v>24280</v>
      </c>
      <c r="I1761" s="21" t="s">
        <v>11409</v>
      </c>
      <c r="J1761" s="21" t="s">
        <v>15458</v>
      </c>
    </row>
    <row r="1762" customFormat="false" ht="28.35" hidden="false" customHeight="false" outlineLevel="0" collapsed="false">
      <c r="B1762" s="19" t="s">
        <v>24321</v>
      </c>
      <c r="C1762" s="20" t="n">
        <f aca="false">ROUND(1.04/FX,2)</f>
        <v>0.14</v>
      </c>
      <c r="D1762" s="21" t="s">
        <v>24225</v>
      </c>
      <c r="E1762" s="21" t="s">
        <v>23638</v>
      </c>
      <c r="F1762" s="21" t="s">
        <v>13997</v>
      </c>
      <c r="G1762" s="21" t="s">
        <v>15458</v>
      </c>
      <c r="H1762" s="21" t="s">
        <v>24280</v>
      </c>
      <c r="I1762" s="21" t="s">
        <v>11411</v>
      </c>
      <c r="J1762" s="21" t="s">
        <v>15458</v>
      </c>
    </row>
    <row r="1763" customFormat="false" ht="28.35" hidden="false" customHeight="false" outlineLevel="0" collapsed="false">
      <c r="B1763" s="19" t="s">
        <v>24322</v>
      </c>
      <c r="C1763" s="20" t="n">
        <f aca="false">ROUND(1.04/FX,2)</f>
        <v>0.14</v>
      </c>
      <c r="D1763" s="21" t="s">
        <v>24225</v>
      </c>
      <c r="E1763" s="21" t="s">
        <v>23638</v>
      </c>
      <c r="F1763" s="21" t="s">
        <v>13997</v>
      </c>
      <c r="G1763" s="21" t="s">
        <v>15458</v>
      </c>
      <c r="H1763" s="21" t="s">
        <v>24280</v>
      </c>
      <c r="I1763" s="21" t="s">
        <v>11413</v>
      </c>
      <c r="J1763" s="21" t="s">
        <v>15458</v>
      </c>
    </row>
    <row r="1766" customFormat="false" ht="61.5" hidden="false" customHeight="true" outlineLevel="0" collapsed="false">
      <c r="A1766" s="9"/>
      <c r="B1766" s="10" t="s">
        <v>24323</v>
      </c>
      <c r="C1766" s="10"/>
      <c r="D1766" s="10"/>
      <c r="E1766" s="10"/>
      <c r="F1766" s="10"/>
    </row>
    <row r="1767" customFormat="false" ht="15" hidden="false" customHeight="false" outlineLevel="0" collapsed="false">
      <c r="A1767" s="12" t="s">
        <v>700</v>
      </c>
      <c r="B1767" s="13" t="s">
        <v>701</v>
      </c>
      <c r="C1767" s="13" t="s">
        <v>702</v>
      </c>
      <c r="D1767" s="13" t="s">
        <v>6328</v>
      </c>
      <c r="E1767" s="13" t="s">
        <v>24064</v>
      </c>
      <c r="F1767" s="13" t="s">
        <v>24324</v>
      </c>
    </row>
    <row r="1768" customFormat="false" ht="30" hidden="false" customHeight="true" outlineLevel="0" collapsed="false">
      <c r="A1768" s="14" t="s">
        <v>706</v>
      </c>
      <c r="B1768" s="15" t="str">
        <f aca="false">IF(COUNTIFS($D$1771:$D$1778,IF(D1768="","*",D1768),$E$1771:$E$1778,IF(E1768="","*",E1768),$F$1771:$F$1778,IF(F1768="","*",F1768))=1,INDEX($B:$B,SUMPRODUCT(((D1768="")+($D$1771:$D$1778=D1768)&gt;0)*((E1768="")+($E$1771:$E$1778=E1768)&gt;0)*((F1768="")+($F$1771:$F$1778=F1768)&gt;0)*ROW($B$1771:$B$1778))),IF(COUNTIFS($D$1771:$D$1778,IF(D1768="","*",D1768),$E$1771:$E$1778,IF(E1768="","*",E1768),$F$1771:$F$1778,IF(F1768="","*",F1768))=0,"Not available",COUNTIFS($D$1771:$D$1778,IF(D1768="","*",D1768),$E$1771:$E$1778,IF(E1768="","*",E1768),$F$1771:$F$1778,IF(F1768="","*",F1768))&amp;" match, keep choosing"))</f>
        <v>BN-20-NH</v>
      </c>
      <c r="C1768" s="16" t="n">
        <f aca="false">IF(COUNTIFS($D$1771:$D$1778,IF(D1768="","*",D1768),$E$1771:$E$1778,IF(E1768="","*",E1768),$F$1771:$F$1778,IF(F1768="","*",F1768))=1,INDEX($C:$C,SUMPRODUCT(((D1768="")+($D$1771:$D$1778=D1768)&gt;0)*((E1768="")+($E$1771:$E$1778=E1768)&gt;0)*((F1768="")+($F$1771:$F$1778=F1768)&gt;0)*ROW($B$1771:$B$1778))),"")</f>
        <v>0.22</v>
      </c>
      <c r="D1768" s="17" t="s">
        <v>24325</v>
      </c>
      <c r="E1768" s="17" t="s">
        <v>23548</v>
      </c>
      <c r="F1768" s="17" t="s">
        <v>24326</v>
      </c>
    </row>
    <row r="1770" customFormat="false" ht="15" hidden="false" customHeight="false" outlineLevel="0" collapsed="false">
      <c r="B1770" s="18" t="s">
        <v>701</v>
      </c>
      <c r="C1770" s="18" t="s">
        <v>702</v>
      </c>
      <c r="D1770" s="18" t="s">
        <v>6328</v>
      </c>
      <c r="E1770" s="18" t="s">
        <v>24064</v>
      </c>
      <c r="F1770" s="18" t="s">
        <v>24324</v>
      </c>
    </row>
    <row r="1771" customFormat="false" ht="15" hidden="false" customHeight="false" outlineLevel="0" collapsed="false">
      <c r="B1771" s="19" t="s">
        <v>24327</v>
      </c>
      <c r="C1771" s="20" t="n">
        <f aca="false">ROUND(1.57/FX,2)</f>
        <v>0.22</v>
      </c>
      <c r="D1771" s="21" t="s">
        <v>24325</v>
      </c>
      <c r="E1771" s="21" t="s">
        <v>23548</v>
      </c>
      <c r="F1771" s="21" t="s">
        <v>24326</v>
      </c>
    </row>
    <row r="1772" customFormat="false" ht="15" hidden="false" customHeight="false" outlineLevel="0" collapsed="false">
      <c r="B1772" s="19" t="s">
        <v>24328</v>
      </c>
      <c r="C1772" s="20" t="n">
        <f aca="false">ROUND(2.42/FX,2)</f>
        <v>0.34</v>
      </c>
      <c r="D1772" s="21" t="s">
        <v>24329</v>
      </c>
      <c r="E1772" s="21" t="s">
        <v>23555</v>
      </c>
      <c r="F1772" s="21" t="s">
        <v>24330</v>
      </c>
    </row>
    <row r="1773" customFormat="false" ht="15" hidden="false" customHeight="false" outlineLevel="0" collapsed="false">
      <c r="B1773" s="19" t="s">
        <v>24331</v>
      </c>
      <c r="C1773" s="20" t="n">
        <f aca="false">ROUND(1.43/FX,2)</f>
        <v>0.2</v>
      </c>
      <c r="D1773" s="21" t="s">
        <v>24332</v>
      </c>
      <c r="E1773" s="21" t="s">
        <v>23548</v>
      </c>
      <c r="F1773" s="21" t="s">
        <v>24330</v>
      </c>
    </row>
    <row r="1774" customFormat="false" ht="15" hidden="false" customHeight="false" outlineLevel="0" collapsed="false">
      <c r="B1774" s="19" t="s">
        <v>24333</v>
      </c>
      <c r="C1774" s="20" t="n">
        <f aca="false">ROUND(1.3/FX,2)</f>
        <v>0.18</v>
      </c>
      <c r="D1774" s="21" t="s">
        <v>24332</v>
      </c>
      <c r="E1774" s="21" t="s">
        <v>23548</v>
      </c>
      <c r="F1774" s="21" t="s">
        <v>24326</v>
      </c>
    </row>
    <row r="1775" customFormat="false" ht="15" hidden="false" customHeight="false" outlineLevel="0" collapsed="false">
      <c r="B1775" s="19" t="s">
        <v>24334</v>
      </c>
      <c r="C1775" s="20" t="n">
        <f aca="false">ROUND(1.82/FX,2)</f>
        <v>0.25</v>
      </c>
      <c r="D1775" s="21" t="s">
        <v>24332</v>
      </c>
      <c r="E1775" s="21" t="s">
        <v>23552</v>
      </c>
      <c r="F1775" s="21" t="s">
        <v>24330</v>
      </c>
    </row>
    <row r="1776" customFormat="false" ht="15" hidden="false" customHeight="false" outlineLevel="0" collapsed="false">
      <c r="B1776" s="19" t="s">
        <v>24335</v>
      </c>
      <c r="C1776" s="20" t="n">
        <f aca="false">ROUND(1.82/FX,2)</f>
        <v>0.25</v>
      </c>
      <c r="D1776" s="21" t="s">
        <v>24332</v>
      </c>
      <c r="E1776" s="21" t="s">
        <v>23552</v>
      </c>
      <c r="F1776" s="21" t="s">
        <v>24326</v>
      </c>
    </row>
    <row r="1777" customFormat="false" ht="15" hidden="false" customHeight="false" outlineLevel="0" collapsed="false">
      <c r="B1777" s="19" t="s">
        <v>24336</v>
      </c>
      <c r="C1777" s="20" t="n">
        <f aca="false">ROUND(1.3/FX,2)</f>
        <v>0.18</v>
      </c>
      <c r="D1777" s="21" t="s">
        <v>24332</v>
      </c>
      <c r="E1777" s="21" t="s">
        <v>23555</v>
      </c>
      <c r="F1777" s="21" t="s">
        <v>24330</v>
      </c>
    </row>
    <row r="1778" customFormat="false" ht="15" hidden="false" customHeight="false" outlineLevel="0" collapsed="false">
      <c r="B1778" s="19" t="s">
        <v>24337</v>
      </c>
      <c r="C1778" s="20" t="n">
        <f aca="false">ROUND(1.95/FX,2)</f>
        <v>0.27</v>
      </c>
      <c r="D1778" s="21" t="s">
        <v>24332</v>
      </c>
      <c r="E1778" s="21" t="s">
        <v>23562</v>
      </c>
      <c r="F1778" s="21" t="s">
        <v>24330</v>
      </c>
    </row>
    <row r="1781" customFormat="false" ht="61.5" hidden="false" customHeight="true" outlineLevel="0" collapsed="false">
      <c r="A1781" s="9"/>
      <c r="B1781" s="10" t="s">
        <v>24338</v>
      </c>
      <c r="C1781" s="10"/>
      <c r="D1781" s="10"/>
      <c r="E1781" s="10"/>
    </row>
    <row r="1782" customFormat="false" ht="15" hidden="false" customHeight="false" outlineLevel="0" collapsed="false">
      <c r="A1782" s="12" t="s">
        <v>700</v>
      </c>
      <c r="B1782" s="13" t="s">
        <v>701</v>
      </c>
      <c r="C1782" s="13" t="s">
        <v>702</v>
      </c>
      <c r="D1782" s="13" t="s">
        <v>722</v>
      </c>
      <c r="E1782" s="13" t="s">
        <v>723</v>
      </c>
    </row>
    <row r="1783" customFormat="false" ht="30" hidden="false" customHeight="true" outlineLevel="0" collapsed="false">
      <c r="A1783" s="14" t="s">
        <v>706</v>
      </c>
      <c r="B1783" s="15" t="str">
        <f aca="false">IF(COUNTIFS($D$1786:$D$1812,IF(D1783="","*",D1783),$E$1786:$E$1812,IF(E1783="","*",E1783))=1,INDEX($B:$B,SUMPRODUCT(((D1783="")+($D$1786:$D$1812=D1783)&gt;0)*((E1783="")+($E$1786:$E$1812=E1783)&gt;0)*ROW($B$1786:$B$1812))),IF(COUNTIFS($D$1786:$D$1812,IF(D1783="","*",D1783),$E$1786:$E$1812,IF(E1783="","*",E1783))=0,"Not available",COUNTIFS($D$1786:$D$1812,IF(D1783="","*",D1783),$E$1786:$E$1812,IF(E1783="","*",E1783))&amp;" match, keep choosing"))</f>
        <v>AL-037-BK-2020</v>
      </c>
      <c r="C1783" s="16" t="n">
        <f aca="false">IF(COUNTIFS($D$1786:$D$1812,IF(D1783="","*",D1783),$E$1786:$E$1812,IF(E1783="","*",E1783))=1,INDEX($C:$C,SUMPRODUCT(((D1783="")+($D$1786:$D$1812=D1783)&gt;0)*((E1783="")+($E$1786:$E$1812=E1783)&gt;0)*ROW($B$1786:$B$1812))),"")</f>
        <v>0.22</v>
      </c>
      <c r="D1783" s="17" t="s">
        <v>724</v>
      </c>
      <c r="E1783" s="17" t="s">
        <v>16909</v>
      </c>
    </row>
    <row r="1785" customFormat="false" ht="15" hidden="false" customHeight="false" outlineLevel="0" collapsed="false">
      <c r="B1785" s="18" t="s">
        <v>701</v>
      </c>
      <c r="C1785" s="18" t="s">
        <v>702</v>
      </c>
      <c r="D1785" s="18" t="s">
        <v>722</v>
      </c>
      <c r="E1785" s="18" t="s">
        <v>723</v>
      </c>
    </row>
    <row r="1786" customFormat="false" ht="15" hidden="false" customHeight="false" outlineLevel="0" collapsed="false">
      <c r="B1786" s="19" t="s">
        <v>24339</v>
      </c>
      <c r="C1786" s="20" t="n">
        <f aca="false">ROUND(1.56/FX,2)</f>
        <v>0.22</v>
      </c>
      <c r="D1786" s="21" t="s">
        <v>724</v>
      </c>
      <c r="E1786" s="21" t="s">
        <v>16909</v>
      </c>
    </row>
    <row r="1787" customFormat="false" ht="15" hidden="false" customHeight="false" outlineLevel="0" collapsed="false">
      <c r="B1787" s="19" t="s">
        <v>24340</v>
      </c>
      <c r="C1787" s="20" t="n">
        <f aca="false">ROUND(1.13/FX,2)</f>
        <v>0.16</v>
      </c>
      <c r="D1787" s="21" t="s">
        <v>724</v>
      </c>
      <c r="E1787" s="21" t="s">
        <v>22839</v>
      </c>
    </row>
    <row r="1788" customFormat="false" ht="15" hidden="false" customHeight="false" outlineLevel="0" collapsed="false">
      <c r="B1788" s="19" t="s">
        <v>24341</v>
      </c>
      <c r="C1788" s="20" t="n">
        <f aca="false">ROUND(1.38/FX,2)</f>
        <v>0.19</v>
      </c>
      <c r="D1788" s="21" t="s">
        <v>724</v>
      </c>
      <c r="E1788" s="21" t="s">
        <v>16919</v>
      </c>
    </row>
    <row r="1789" customFormat="false" ht="15" hidden="false" customHeight="false" outlineLevel="0" collapsed="false">
      <c r="B1789" s="19" t="s">
        <v>24342</v>
      </c>
      <c r="C1789" s="20" t="n">
        <f aca="false">ROUND(2.02/FX,2)</f>
        <v>0.28</v>
      </c>
      <c r="D1789" s="21" t="s">
        <v>724</v>
      </c>
      <c r="E1789" s="21" t="s">
        <v>22850</v>
      </c>
    </row>
    <row r="1790" customFormat="false" ht="15" hidden="false" customHeight="false" outlineLevel="0" collapsed="false">
      <c r="B1790" s="19" t="s">
        <v>24343</v>
      </c>
      <c r="C1790" s="20" t="n">
        <f aca="false">ROUND(1.75/FX,2)</f>
        <v>0.24</v>
      </c>
      <c r="D1790" s="21" t="s">
        <v>724</v>
      </c>
      <c r="E1790" s="21" t="s">
        <v>24344</v>
      </c>
    </row>
    <row r="1791" customFormat="false" ht="15" hidden="false" customHeight="false" outlineLevel="0" collapsed="false">
      <c r="B1791" s="19" t="s">
        <v>24345</v>
      </c>
      <c r="C1791" s="20" t="n">
        <f aca="false">ROUND(2.5/FX,2)</f>
        <v>0.35</v>
      </c>
      <c r="D1791" s="21" t="s">
        <v>724</v>
      </c>
      <c r="E1791" s="21" t="s">
        <v>24346</v>
      </c>
    </row>
    <row r="1792" customFormat="false" ht="15" hidden="false" customHeight="false" outlineLevel="0" collapsed="false">
      <c r="B1792" s="19" t="s">
        <v>24347</v>
      </c>
      <c r="C1792" s="20" t="n">
        <f aca="false">ROUND(2.8/FX,2)</f>
        <v>0.39</v>
      </c>
      <c r="D1792" s="21" t="s">
        <v>724</v>
      </c>
      <c r="E1792" s="21" t="s">
        <v>24348</v>
      </c>
    </row>
    <row r="1793" customFormat="false" ht="15" hidden="false" customHeight="false" outlineLevel="0" collapsed="false">
      <c r="B1793" s="19" t="s">
        <v>24349</v>
      </c>
      <c r="C1793" s="20" t="n">
        <f aca="false">ROUND(3.75/FX,2)</f>
        <v>0.52</v>
      </c>
      <c r="D1793" s="21" t="s">
        <v>724</v>
      </c>
      <c r="E1793" s="21" t="s">
        <v>24350</v>
      </c>
    </row>
    <row r="1794" customFormat="false" ht="15" hidden="false" customHeight="false" outlineLevel="0" collapsed="false">
      <c r="B1794" s="19" t="s">
        <v>24351</v>
      </c>
      <c r="C1794" s="20" t="n">
        <f aca="false">ROUND(1.98/FX,2)</f>
        <v>0.28</v>
      </c>
      <c r="D1794" s="21" t="s">
        <v>724</v>
      </c>
      <c r="E1794" s="21" t="s">
        <v>24352</v>
      </c>
    </row>
    <row r="1795" customFormat="false" ht="15" hidden="false" customHeight="false" outlineLevel="0" collapsed="false">
      <c r="B1795" s="19" t="s">
        <v>24353</v>
      </c>
      <c r="C1795" s="20" t="n">
        <f aca="false">ROUND(2.5/FX,2)</f>
        <v>0.35</v>
      </c>
      <c r="D1795" s="21" t="s">
        <v>724</v>
      </c>
      <c r="E1795" s="21" t="s">
        <v>24354</v>
      </c>
    </row>
    <row r="1796" customFormat="false" ht="15" hidden="false" customHeight="false" outlineLevel="0" collapsed="false">
      <c r="B1796" s="19" t="s">
        <v>24355</v>
      </c>
      <c r="C1796" s="20" t="n">
        <f aca="false">ROUND(2.8/FX,2)</f>
        <v>0.39</v>
      </c>
      <c r="D1796" s="21" t="s">
        <v>724</v>
      </c>
      <c r="E1796" s="21" t="s">
        <v>24356</v>
      </c>
    </row>
    <row r="1797" customFormat="false" ht="15" hidden="false" customHeight="false" outlineLevel="0" collapsed="false">
      <c r="B1797" s="19" t="s">
        <v>24357</v>
      </c>
      <c r="C1797" s="20" t="n">
        <f aca="false">ROUND(3.75/FX,2)</f>
        <v>0.52</v>
      </c>
      <c r="D1797" s="21" t="s">
        <v>724</v>
      </c>
      <c r="E1797" s="21" t="s">
        <v>24358</v>
      </c>
    </row>
    <row r="1798" customFormat="false" ht="15" hidden="false" customHeight="false" outlineLevel="0" collapsed="false">
      <c r="B1798" s="19" t="s">
        <v>24359</v>
      </c>
      <c r="C1798" s="20" t="n">
        <f aca="false">ROUND(1.17/FX,2)</f>
        <v>0.16</v>
      </c>
      <c r="D1798" s="21" t="s">
        <v>6336</v>
      </c>
      <c r="E1798" s="21" t="s">
        <v>24360</v>
      </c>
    </row>
    <row r="1799" customFormat="false" ht="28.35" hidden="false" customHeight="false" outlineLevel="0" collapsed="false">
      <c r="B1799" s="19" t="s">
        <v>24361</v>
      </c>
      <c r="C1799" s="20" t="n">
        <f aca="false">ROUND(1.36/FX,2)</f>
        <v>0.19</v>
      </c>
      <c r="D1799" s="21" t="s">
        <v>6336</v>
      </c>
      <c r="E1799" s="21" t="s">
        <v>24362</v>
      </c>
    </row>
    <row r="1800" customFormat="false" ht="28.35" hidden="false" customHeight="false" outlineLevel="0" collapsed="false">
      <c r="B1800" s="19" t="s">
        <v>24363</v>
      </c>
      <c r="C1800" s="20" t="n">
        <f aca="false">ROUND(1.59/FX,2)</f>
        <v>0.22</v>
      </c>
      <c r="D1800" s="21" t="s">
        <v>6336</v>
      </c>
      <c r="E1800" s="21" t="s">
        <v>24364</v>
      </c>
    </row>
    <row r="1801" customFormat="false" ht="15" hidden="false" customHeight="false" outlineLevel="0" collapsed="false">
      <c r="B1801" s="19" t="s">
        <v>24365</v>
      </c>
      <c r="C1801" s="20" t="n">
        <f aca="false">ROUND(1.17/FX,2)</f>
        <v>0.16</v>
      </c>
      <c r="D1801" s="21" t="s">
        <v>6549</v>
      </c>
      <c r="E1801" s="21" t="s">
        <v>16909</v>
      </c>
    </row>
    <row r="1802" customFormat="false" ht="15" hidden="false" customHeight="false" outlineLevel="0" collapsed="false">
      <c r="B1802" s="19" t="s">
        <v>24366</v>
      </c>
      <c r="C1802" s="20" t="n">
        <f aca="false">ROUND(1/FX,2)</f>
        <v>0.14</v>
      </c>
      <c r="D1802" s="21" t="s">
        <v>6549</v>
      </c>
      <c r="E1802" s="21" t="s">
        <v>22839</v>
      </c>
    </row>
    <row r="1803" customFormat="false" ht="15" hidden="false" customHeight="false" outlineLevel="0" collapsed="false">
      <c r="B1803" s="19" t="s">
        <v>24367</v>
      </c>
      <c r="C1803" s="20" t="n">
        <f aca="false">ROUND(1.26/FX,2)</f>
        <v>0.18</v>
      </c>
      <c r="D1803" s="21" t="s">
        <v>6549</v>
      </c>
      <c r="E1803" s="21" t="s">
        <v>16919</v>
      </c>
    </row>
    <row r="1804" customFormat="false" ht="15" hidden="false" customHeight="false" outlineLevel="0" collapsed="false">
      <c r="B1804" s="19" t="s">
        <v>24368</v>
      </c>
      <c r="C1804" s="20" t="n">
        <f aca="false">ROUND(1.76/FX,2)</f>
        <v>0.24</v>
      </c>
      <c r="D1804" s="21" t="s">
        <v>6549</v>
      </c>
      <c r="E1804" s="21" t="s">
        <v>22850</v>
      </c>
    </row>
    <row r="1805" customFormat="false" ht="15" hidden="false" customHeight="false" outlineLevel="0" collapsed="false">
      <c r="B1805" s="19" t="s">
        <v>24369</v>
      </c>
      <c r="C1805" s="20" t="n">
        <f aca="false">ROUND(1.36/FX,2)</f>
        <v>0.19</v>
      </c>
      <c r="D1805" s="21" t="s">
        <v>6549</v>
      </c>
      <c r="E1805" s="21" t="s">
        <v>24344</v>
      </c>
    </row>
    <row r="1806" customFormat="false" ht="15" hidden="false" customHeight="false" outlineLevel="0" collapsed="false">
      <c r="B1806" s="19" t="s">
        <v>24370</v>
      </c>
      <c r="C1806" s="20" t="n">
        <f aca="false">ROUND(2.29/FX,2)</f>
        <v>0.32</v>
      </c>
      <c r="D1806" s="21" t="s">
        <v>6549</v>
      </c>
      <c r="E1806" s="21" t="s">
        <v>24346</v>
      </c>
    </row>
    <row r="1807" customFormat="false" ht="15" hidden="false" customHeight="false" outlineLevel="0" collapsed="false">
      <c r="B1807" s="19" t="s">
        <v>24371</v>
      </c>
      <c r="C1807" s="20" t="n">
        <f aca="false">ROUND(2.79/FX,2)</f>
        <v>0.39</v>
      </c>
      <c r="D1807" s="21" t="s">
        <v>6549</v>
      </c>
      <c r="E1807" s="21" t="s">
        <v>24348</v>
      </c>
    </row>
    <row r="1808" customFormat="false" ht="15" hidden="false" customHeight="false" outlineLevel="0" collapsed="false">
      <c r="B1808" s="19" t="s">
        <v>24372</v>
      </c>
      <c r="C1808" s="20" t="n">
        <f aca="false">ROUND(3.49/FX,2)</f>
        <v>0.48</v>
      </c>
      <c r="D1808" s="21" t="s">
        <v>6549</v>
      </c>
      <c r="E1808" s="21" t="s">
        <v>24350</v>
      </c>
    </row>
    <row r="1809" customFormat="false" ht="15" hidden="false" customHeight="false" outlineLevel="0" collapsed="false">
      <c r="B1809" s="19" t="s">
        <v>24373</v>
      </c>
      <c r="C1809" s="20" t="n">
        <f aca="false">ROUND(1.59/FX,2)</f>
        <v>0.22</v>
      </c>
      <c r="D1809" s="21" t="s">
        <v>6549</v>
      </c>
      <c r="E1809" s="21" t="s">
        <v>24352</v>
      </c>
    </row>
    <row r="1810" customFormat="false" ht="15" hidden="false" customHeight="false" outlineLevel="0" collapsed="false">
      <c r="B1810" s="19" t="s">
        <v>24374</v>
      </c>
      <c r="C1810" s="20" t="n">
        <f aca="false">ROUND(2.29/FX,2)</f>
        <v>0.32</v>
      </c>
      <c r="D1810" s="21" t="s">
        <v>6549</v>
      </c>
      <c r="E1810" s="21" t="s">
        <v>24354</v>
      </c>
    </row>
    <row r="1811" customFormat="false" ht="15" hidden="false" customHeight="false" outlineLevel="0" collapsed="false">
      <c r="B1811" s="19" t="s">
        <v>24375</v>
      </c>
      <c r="C1811" s="20" t="n">
        <f aca="false">ROUND(2.79/FX,2)</f>
        <v>0.39</v>
      </c>
      <c r="D1811" s="21" t="s">
        <v>6549</v>
      </c>
      <c r="E1811" s="21" t="s">
        <v>24356</v>
      </c>
    </row>
    <row r="1812" customFormat="false" ht="15" hidden="false" customHeight="false" outlineLevel="0" collapsed="false">
      <c r="B1812" s="19" t="s">
        <v>24376</v>
      </c>
      <c r="C1812" s="20" t="n">
        <f aca="false">ROUND(3.49/FX,2)</f>
        <v>0.48</v>
      </c>
      <c r="D1812" s="21" t="s">
        <v>6549</v>
      </c>
      <c r="E1812" s="21" t="s">
        <v>24358</v>
      </c>
    </row>
    <row r="1815" customFormat="false" ht="61.5" hidden="false" customHeight="true" outlineLevel="0" collapsed="false">
      <c r="A1815" s="9"/>
      <c r="B1815" s="10" t="s">
        <v>24377</v>
      </c>
      <c r="C1815" s="10"/>
      <c r="D1815" s="10"/>
      <c r="E1815" s="10"/>
      <c r="F1815" s="10"/>
      <c r="G1815" s="10"/>
    </row>
    <row r="1816" customFormat="false" ht="15" hidden="false" customHeight="false" outlineLevel="0" collapsed="false">
      <c r="A1816" s="12" t="s">
        <v>700</v>
      </c>
      <c r="B1816" s="13" t="s">
        <v>701</v>
      </c>
      <c r="C1816" s="13" t="s">
        <v>702</v>
      </c>
      <c r="D1816" s="13" t="s">
        <v>722</v>
      </c>
      <c r="E1816" s="13" t="s">
        <v>704</v>
      </c>
      <c r="F1816" s="13" t="s">
        <v>723</v>
      </c>
      <c r="G1816" s="13" t="s">
        <v>6523</v>
      </c>
    </row>
    <row r="1817" customFormat="false" ht="30" hidden="false" customHeight="true" outlineLevel="0" collapsed="false">
      <c r="A1817" s="14" t="s">
        <v>706</v>
      </c>
      <c r="B1817" s="15" t="str">
        <f aca="false">IF(COUNTIFS($D$1820:$D$1851,IF(D1817="","*",D1817),$E$1820:$E$1851,IF(E1817="","*",E1817),$F$1820:$F$1851,IF(F1817="","*",F1817),$G$1820:$G$1851,IF(G1817="","*",G1817))=1,INDEX($B:$B,SUMPRODUCT(((D1817="")+($D$1820:$D$1851=D1817)&gt;0)*((E1817="")+($E$1820:$E$1851=E1817)&gt;0)*((F1817="")+($F$1820:$F$1851=F1817)&gt;0)*((G1817="")+($G$1820:$G$1851=G1817)&gt;0)*ROW($B$1820:$B$1851))),IF(COUNTIFS($D$1820:$D$1851,IF(D1817="","*",D1817),$E$1820:$E$1851,IF(E1817="","*",E1817),$F$1820:$F$1851,IF(F1817="","*",F1817),$G$1820:$G$1851,IF(G1817="","*",G1817))=0,"Not available",COUNTIFS($D$1820:$D$1851,IF(D1817="","*",D1817),$E$1820:$E$1851,IF(E1817="","*",E1817),$F$1820:$F$1851,IF(F1817="","*",F1817),$G$1820:$G$1851,IF(G1817="","*",G1817))&amp;" match, keep choosing"))</f>
        <v>AL-018-26x22-BK-ZN</v>
      </c>
      <c r="C1817" s="16" t="n">
        <f aca="false">IF(COUNTIFS($D$1820:$D$1851,IF(D1817="","*",D1817),$E$1820:$E$1851,IF(E1817="","*",E1817),$F$1820:$F$1851,IF(F1817="","*",F1817),$G$1820:$G$1851,IF(G1817="","*",G1817))=1,INDEX($C:$C,SUMPRODUCT(((D1817="")+($D$1820:$D$1851=D1817)&gt;0)*((E1817="")+($E$1820:$E$1851=E1817)&gt;0)*((F1817="")+($F$1820:$F$1851=F1817)&gt;0)*((G1817="")+($G$1820:$G$1851=G1817)&gt;0)*ROW($B$1820:$B$1851))),"")</f>
        <v>0.33</v>
      </c>
      <c r="D1817" s="17" t="s">
        <v>724</v>
      </c>
      <c r="E1817" s="17" t="s">
        <v>14713</v>
      </c>
      <c r="F1817" s="17" t="s">
        <v>734</v>
      </c>
      <c r="G1817" s="17" t="s">
        <v>24378</v>
      </c>
    </row>
    <row r="1819" customFormat="false" ht="15" hidden="false" customHeight="false" outlineLevel="0" collapsed="false">
      <c r="B1819" s="18" t="s">
        <v>701</v>
      </c>
      <c r="C1819" s="18" t="s">
        <v>702</v>
      </c>
      <c r="D1819" s="18" t="s">
        <v>722</v>
      </c>
      <c r="E1819" s="18" t="s">
        <v>704</v>
      </c>
      <c r="F1819" s="18" t="s">
        <v>723</v>
      </c>
      <c r="G1819" s="18" t="s">
        <v>6523</v>
      </c>
    </row>
    <row r="1820" customFormat="false" ht="15" hidden="false" customHeight="false" outlineLevel="0" collapsed="false">
      <c r="B1820" s="19" t="s">
        <v>24379</v>
      </c>
      <c r="C1820" s="20" t="n">
        <f aca="false">ROUND(2.34/FX,2)</f>
        <v>0.33</v>
      </c>
      <c r="D1820" s="21" t="s">
        <v>724</v>
      </c>
      <c r="E1820" s="21" t="s">
        <v>14713</v>
      </c>
      <c r="F1820" s="21" t="s">
        <v>734</v>
      </c>
      <c r="G1820" s="21" t="s">
        <v>24378</v>
      </c>
    </row>
    <row r="1821" customFormat="false" ht="15" hidden="false" customHeight="false" outlineLevel="0" collapsed="false">
      <c r="B1821" s="19" t="s">
        <v>24380</v>
      </c>
      <c r="C1821" s="20" t="n">
        <f aca="false">ROUND(2.34/FX,2)</f>
        <v>0.33</v>
      </c>
      <c r="D1821" s="21" t="s">
        <v>6336</v>
      </c>
      <c r="E1821" s="21" t="s">
        <v>14713</v>
      </c>
      <c r="F1821" s="21" t="s">
        <v>19357</v>
      </c>
      <c r="G1821" s="21" t="s">
        <v>24378</v>
      </c>
    </row>
    <row r="1822" customFormat="false" ht="28.35" hidden="false" customHeight="false" outlineLevel="0" collapsed="false">
      <c r="B1822" s="19" t="s">
        <v>24381</v>
      </c>
      <c r="C1822" s="20" t="n">
        <f aca="false">ROUND(1.3/FX,2)</f>
        <v>0.18</v>
      </c>
      <c r="D1822" s="21" t="s">
        <v>724</v>
      </c>
      <c r="E1822" s="21" t="s">
        <v>6336</v>
      </c>
      <c r="F1822" s="21" t="s">
        <v>24382</v>
      </c>
      <c r="G1822" s="21" t="s">
        <v>24383</v>
      </c>
    </row>
    <row r="1823" customFormat="false" ht="28.35" hidden="false" customHeight="false" outlineLevel="0" collapsed="false">
      <c r="B1823" s="19" t="s">
        <v>24384</v>
      </c>
      <c r="C1823" s="20" t="n">
        <f aca="false">ROUND(1.76/FX,2)</f>
        <v>0.24</v>
      </c>
      <c r="D1823" s="21" t="s">
        <v>751</v>
      </c>
      <c r="E1823" s="21" t="s">
        <v>6336</v>
      </c>
      <c r="F1823" s="21" t="s">
        <v>24382</v>
      </c>
      <c r="G1823" s="21" t="s">
        <v>24383</v>
      </c>
    </row>
    <row r="1824" customFormat="false" ht="15" hidden="false" customHeight="false" outlineLevel="0" collapsed="false">
      <c r="B1824" s="19" t="s">
        <v>24385</v>
      </c>
      <c r="C1824" s="20" t="n">
        <f aca="false">ROUND(2.99/FX,2)</f>
        <v>0.42</v>
      </c>
      <c r="D1824" s="21" t="s">
        <v>724</v>
      </c>
      <c r="E1824" s="21" t="s">
        <v>6336</v>
      </c>
      <c r="F1824" s="21" t="s">
        <v>24386</v>
      </c>
      <c r="G1824" s="21" t="s">
        <v>6336</v>
      </c>
    </row>
    <row r="1825" customFormat="false" ht="15" hidden="false" customHeight="false" outlineLevel="0" collapsed="false">
      <c r="B1825" s="19" t="s">
        <v>24387</v>
      </c>
      <c r="C1825" s="20" t="n">
        <f aca="false">ROUND(3.25/FX,2)</f>
        <v>0.45</v>
      </c>
      <c r="D1825" s="21" t="s">
        <v>724</v>
      </c>
      <c r="E1825" s="21" t="s">
        <v>6336</v>
      </c>
      <c r="F1825" s="21" t="s">
        <v>24388</v>
      </c>
      <c r="G1825" s="21" t="s">
        <v>6336</v>
      </c>
    </row>
    <row r="1826" customFormat="false" ht="15" hidden="false" customHeight="false" outlineLevel="0" collapsed="false">
      <c r="B1826" s="19" t="s">
        <v>24389</v>
      </c>
      <c r="C1826" s="20" t="n">
        <f aca="false">ROUND(0.46/FX,2)</f>
        <v>0.06</v>
      </c>
      <c r="D1826" s="21" t="s">
        <v>724</v>
      </c>
      <c r="E1826" s="21" t="s">
        <v>6336</v>
      </c>
      <c r="F1826" s="21" t="s">
        <v>24390</v>
      </c>
      <c r="G1826" s="21" t="s">
        <v>6336</v>
      </c>
    </row>
    <row r="1827" customFormat="false" ht="28.35" hidden="false" customHeight="false" outlineLevel="0" collapsed="false">
      <c r="B1827" s="19" t="s">
        <v>24391</v>
      </c>
      <c r="C1827" s="20" t="n">
        <f aca="false">ROUND(0.91/FX,2)</f>
        <v>0.13</v>
      </c>
      <c r="D1827" s="21" t="s">
        <v>724</v>
      </c>
      <c r="E1827" s="21" t="s">
        <v>6336</v>
      </c>
      <c r="F1827" s="21" t="s">
        <v>24392</v>
      </c>
      <c r="G1827" s="21" t="s">
        <v>6336</v>
      </c>
    </row>
    <row r="1828" customFormat="false" ht="15" hidden="false" customHeight="false" outlineLevel="0" collapsed="false">
      <c r="B1828" s="19" t="s">
        <v>24393</v>
      </c>
      <c r="C1828" s="20" t="n">
        <f aca="false">ROUND(0.98/FX,2)</f>
        <v>0.14</v>
      </c>
      <c r="D1828" s="21" t="s">
        <v>724</v>
      </c>
      <c r="E1828" s="21" t="s">
        <v>6336</v>
      </c>
      <c r="F1828" s="21" t="s">
        <v>24394</v>
      </c>
      <c r="G1828" s="21" t="s">
        <v>6336</v>
      </c>
    </row>
    <row r="1829" customFormat="false" ht="15" hidden="false" customHeight="false" outlineLevel="0" collapsed="false">
      <c r="B1829" s="19" t="s">
        <v>24395</v>
      </c>
      <c r="C1829" s="20" t="n">
        <f aca="false">ROUND(1/FX,2)</f>
        <v>0.14</v>
      </c>
      <c r="D1829" s="21" t="s">
        <v>724</v>
      </c>
      <c r="E1829" s="21" t="s">
        <v>6336</v>
      </c>
      <c r="F1829" s="21" t="s">
        <v>24396</v>
      </c>
      <c r="G1829" s="21" t="s">
        <v>6336</v>
      </c>
    </row>
    <row r="1830" customFormat="false" ht="15" hidden="false" customHeight="false" outlineLevel="0" collapsed="false">
      <c r="B1830" s="19" t="s">
        <v>24397</v>
      </c>
      <c r="C1830" s="20" t="n">
        <f aca="false">ROUND(1.3/FX,2)</f>
        <v>0.18</v>
      </c>
      <c r="D1830" s="21" t="s">
        <v>724</v>
      </c>
      <c r="E1830" s="21" t="s">
        <v>14713</v>
      </c>
      <c r="F1830" s="21" t="s">
        <v>24398</v>
      </c>
      <c r="G1830" s="21" t="s">
        <v>6336</v>
      </c>
    </row>
    <row r="1831" customFormat="false" ht="15" hidden="false" customHeight="false" outlineLevel="0" collapsed="false">
      <c r="B1831" s="19" t="s">
        <v>24399</v>
      </c>
      <c r="C1831" s="20" t="n">
        <f aca="false">ROUND(1.95/FX,2)</f>
        <v>0.27</v>
      </c>
      <c r="D1831" s="21" t="s">
        <v>724</v>
      </c>
      <c r="E1831" s="21" t="s">
        <v>14713</v>
      </c>
      <c r="F1831" s="21" t="s">
        <v>24400</v>
      </c>
      <c r="G1831" s="21" t="s">
        <v>6336</v>
      </c>
    </row>
    <row r="1832" customFormat="false" ht="15" hidden="false" customHeight="false" outlineLevel="0" collapsed="false">
      <c r="B1832" s="19" t="s">
        <v>24401</v>
      </c>
      <c r="C1832" s="20" t="n">
        <f aca="false">ROUND(1.95/FX,2)</f>
        <v>0.27</v>
      </c>
      <c r="D1832" s="21" t="s">
        <v>724</v>
      </c>
      <c r="E1832" s="21" t="s">
        <v>14713</v>
      </c>
      <c r="F1832" s="21" t="s">
        <v>3317</v>
      </c>
      <c r="G1832" s="21" t="s">
        <v>6336</v>
      </c>
    </row>
    <row r="1833" customFormat="false" ht="28.35" hidden="false" customHeight="false" outlineLevel="0" collapsed="false">
      <c r="B1833" s="19" t="s">
        <v>24402</v>
      </c>
      <c r="C1833" s="20" t="n">
        <f aca="false">ROUND(3.03/FX,2)</f>
        <v>0.42</v>
      </c>
      <c r="D1833" s="21" t="s">
        <v>724</v>
      </c>
      <c r="E1833" s="21" t="s">
        <v>14713</v>
      </c>
      <c r="F1833" s="21" t="s">
        <v>24403</v>
      </c>
      <c r="G1833" s="21" t="s">
        <v>6336</v>
      </c>
    </row>
    <row r="1834" customFormat="false" ht="28.35" hidden="false" customHeight="false" outlineLevel="0" collapsed="false">
      <c r="B1834" s="19" t="s">
        <v>24404</v>
      </c>
      <c r="C1834" s="20" t="n">
        <f aca="false">ROUND(3.75/FX,2)</f>
        <v>0.52</v>
      </c>
      <c r="D1834" s="21" t="s">
        <v>724</v>
      </c>
      <c r="E1834" s="21" t="s">
        <v>14713</v>
      </c>
      <c r="F1834" s="21" t="s">
        <v>24405</v>
      </c>
      <c r="G1834" s="21" t="s">
        <v>6336</v>
      </c>
    </row>
    <row r="1835" customFormat="false" ht="15" hidden="false" customHeight="false" outlineLevel="0" collapsed="false">
      <c r="B1835" s="19" t="s">
        <v>24406</v>
      </c>
      <c r="C1835" s="20" t="n">
        <f aca="false">ROUND(3.25/FX,2)</f>
        <v>0.45</v>
      </c>
      <c r="D1835" s="21" t="s">
        <v>724</v>
      </c>
      <c r="E1835" s="21" t="s">
        <v>14713</v>
      </c>
      <c r="F1835" s="21" t="s">
        <v>24407</v>
      </c>
      <c r="G1835" s="21" t="s">
        <v>6336</v>
      </c>
    </row>
    <row r="1836" customFormat="false" ht="28.35" hidden="false" customHeight="false" outlineLevel="0" collapsed="false">
      <c r="B1836" s="19" t="s">
        <v>24408</v>
      </c>
      <c r="C1836" s="20" t="n">
        <f aca="false">ROUND(3.33/FX,2)</f>
        <v>0.46</v>
      </c>
      <c r="D1836" s="21" t="s">
        <v>724</v>
      </c>
      <c r="E1836" s="21" t="s">
        <v>14713</v>
      </c>
      <c r="F1836" s="21" t="s">
        <v>24409</v>
      </c>
      <c r="G1836" s="21" t="s">
        <v>6336</v>
      </c>
    </row>
    <row r="1837" customFormat="false" ht="28.35" hidden="false" customHeight="false" outlineLevel="0" collapsed="false">
      <c r="B1837" s="19" t="s">
        <v>24410</v>
      </c>
      <c r="C1837" s="20" t="n">
        <f aca="false">ROUND(3.55/FX,2)</f>
        <v>0.49</v>
      </c>
      <c r="D1837" s="21" t="s">
        <v>724</v>
      </c>
      <c r="E1837" s="21" t="s">
        <v>14713</v>
      </c>
      <c r="F1837" s="21" t="s">
        <v>24411</v>
      </c>
      <c r="G1837" s="21" t="s">
        <v>6336</v>
      </c>
    </row>
    <row r="1838" customFormat="false" ht="15" hidden="false" customHeight="false" outlineLevel="0" collapsed="false">
      <c r="B1838" s="19" t="s">
        <v>24412</v>
      </c>
      <c r="C1838" s="20" t="n">
        <f aca="false">ROUND(4.29/FX,2)</f>
        <v>0.6</v>
      </c>
      <c r="D1838" s="21" t="s">
        <v>724</v>
      </c>
      <c r="E1838" s="21" t="s">
        <v>14713</v>
      </c>
      <c r="F1838" s="21" t="s">
        <v>22850</v>
      </c>
      <c r="G1838" s="21" t="s">
        <v>6336</v>
      </c>
    </row>
    <row r="1839" customFormat="false" ht="15" hidden="false" customHeight="false" outlineLevel="0" collapsed="false">
      <c r="B1839" s="19" t="s">
        <v>24413</v>
      </c>
      <c r="C1839" s="20" t="n">
        <f aca="false">ROUND(2.67/FX,2)</f>
        <v>0.37</v>
      </c>
      <c r="D1839" s="21" t="s">
        <v>6549</v>
      </c>
      <c r="E1839" s="21" t="s">
        <v>6336</v>
      </c>
      <c r="F1839" s="21" t="s">
        <v>24386</v>
      </c>
      <c r="G1839" s="21" t="s">
        <v>6336</v>
      </c>
    </row>
    <row r="1840" customFormat="false" ht="15" hidden="false" customHeight="false" outlineLevel="0" collapsed="false">
      <c r="B1840" s="19" t="s">
        <v>24414</v>
      </c>
      <c r="C1840" s="20" t="n">
        <f aca="false">ROUND(2.8/FX,2)</f>
        <v>0.39</v>
      </c>
      <c r="D1840" s="21" t="s">
        <v>6549</v>
      </c>
      <c r="E1840" s="21" t="s">
        <v>6336</v>
      </c>
      <c r="F1840" s="21" t="s">
        <v>24388</v>
      </c>
      <c r="G1840" s="21" t="s">
        <v>6336</v>
      </c>
    </row>
    <row r="1841" customFormat="false" ht="15" hidden="false" customHeight="false" outlineLevel="0" collapsed="false">
      <c r="B1841" s="19" t="s">
        <v>24415</v>
      </c>
      <c r="C1841" s="20" t="n">
        <f aca="false">ROUND(3.4/FX,2)</f>
        <v>0.47</v>
      </c>
      <c r="D1841" s="21" t="s">
        <v>6549</v>
      </c>
      <c r="E1841" s="21" t="s">
        <v>6336</v>
      </c>
      <c r="F1841" s="21" t="s">
        <v>24416</v>
      </c>
      <c r="G1841" s="21" t="s">
        <v>6336</v>
      </c>
    </row>
    <row r="1842" customFormat="false" ht="15" hidden="false" customHeight="false" outlineLevel="0" collapsed="false">
      <c r="B1842" s="19" t="s">
        <v>24417</v>
      </c>
      <c r="C1842" s="20" t="n">
        <f aca="false">ROUND(1.3/FX,2)</f>
        <v>0.18</v>
      </c>
      <c r="D1842" s="21" t="s">
        <v>6549</v>
      </c>
      <c r="E1842" s="21" t="s">
        <v>14713</v>
      </c>
      <c r="F1842" s="21" t="s">
        <v>24398</v>
      </c>
      <c r="G1842" s="21" t="s">
        <v>6336</v>
      </c>
    </row>
    <row r="1843" customFormat="false" ht="15" hidden="false" customHeight="false" outlineLevel="0" collapsed="false">
      <c r="B1843" s="19" t="s">
        <v>24418</v>
      </c>
      <c r="C1843" s="20" t="n">
        <f aca="false">ROUND(1.69/FX,2)</f>
        <v>0.23</v>
      </c>
      <c r="D1843" s="21" t="s">
        <v>6549</v>
      </c>
      <c r="E1843" s="21" t="s">
        <v>14713</v>
      </c>
      <c r="F1843" s="21" t="s">
        <v>24400</v>
      </c>
      <c r="G1843" s="21" t="s">
        <v>6336</v>
      </c>
    </row>
    <row r="1844" customFormat="false" ht="15" hidden="false" customHeight="false" outlineLevel="0" collapsed="false">
      <c r="B1844" s="19" t="s">
        <v>24419</v>
      </c>
      <c r="C1844" s="20" t="n">
        <f aca="false">ROUND(1.95/FX,2)</f>
        <v>0.27</v>
      </c>
      <c r="D1844" s="21" t="s">
        <v>6549</v>
      </c>
      <c r="E1844" s="21" t="s">
        <v>14713</v>
      </c>
      <c r="F1844" s="21" t="s">
        <v>3317</v>
      </c>
      <c r="G1844" s="21" t="s">
        <v>6336</v>
      </c>
    </row>
    <row r="1845" customFormat="false" ht="28.35" hidden="false" customHeight="false" outlineLevel="0" collapsed="false">
      <c r="B1845" s="19" t="s">
        <v>24420</v>
      </c>
      <c r="C1845" s="20" t="n">
        <f aca="false">ROUND(3.03/FX,2)</f>
        <v>0.42</v>
      </c>
      <c r="D1845" s="21" t="s">
        <v>6549</v>
      </c>
      <c r="E1845" s="21" t="s">
        <v>14713</v>
      </c>
      <c r="F1845" s="21" t="s">
        <v>24403</v>
      </c>
      <c r="G1845" s="21" t="s">
        <v>6336</v>
      </c>
    </row>
    <row r="1846" customFormat="false" ht="28.35" hidden="false" customHeight="false" outlineLevel="0" collapsed="false">
      <c r="B1846" s="19" t="s">
        <v>24421</v>
      </c>
      <c r="C1846" s="20" t="n">
        <f aca="false">ROUND(2.3/FX,2)</f>
        <v>0.32</v>
      </c>
      <c r="D1846" s="21" t="s">
        <v>6549</v>
      </c>
      <c r="E1846" s="21" t="s">
        <v>14713</v>
      </c>
      <c r="F1846" s="21" t="s">
        <v>24405</v>
      </c>
      <c r="G1846" s="21" t="s">
        <v>6336</v>
      </c>
    </row>
    <row r="1847" customFormat="false" ht="15" hidden="false" customHeight="false" outlineLevel="0" collapsed="false">
      <c r="B1847" s="19" t="s">
        <v>24422</v>
      </c>
      <c r="C1847" s="20" t="n">
        <f aca="false">ROUND(3.12/FX,2)</f>
        <v>0.43</v>
      </c>
      <c r="D1847" s="21" t="s">
        <v>6549</v>
      </c>
      <c r="E1847" s="21" t="s">
        <v>14713</v>
      </c>
      <c r="F1847" s="21" t="s">
        <v>24407</v>
      </c>
      <c r="G1847" s="21" t="s">
        <v>6336</v>
      </c>
    </row>
    <row r="1848" customFormat="false" ht="28.35" hidden="false" customHeight="false" outlineLevel="0" collapsed="false">
      <c r="B1848" s="19" t="s">
        <v>24423</v>
      </c>
      <c r="C1848" s="20" t="n">
        <f aca="false">ROUND(3.12/FX,2)</f>
        <v>0.43</v>
      </c>
      <c r="D1848" s="21" t="s">
        <v>6549</v>
      </c>
      <c r="E1848" s="21" t="s">
        <v>14713</v>
      </c>
      <c r="F1848" s="21" t="s">
        <v>24409</v>
      </c>
      <c r="G1848" s="21" t="s">
        <v>6336</v>
      </c>
    </row>
    <row r="1849" customFormat="false" ht="28.35" hidden="false" customHeight="false" outlineLevel="0" collapsed="false">
      <c r="B1849" s="19" t="s">
        <v>24424</v>
      </c>
      <c r="C1849" s="20" t="n">
        <f aca="false">ROUND(3.16/FX,2)</f>
        <v>0.44</v>
      </c>
      <c r="D1849" s="21" t="s">
        <v>6549</v>
      </c>
      <c r="E1849" s="21" t="s">
        <v>14713</v>
      </c>
      <c r="F1849" s="21" t="s">
        <v>24411</v>
      </c>
      <c r="G1849" s="21" t="s">
        <v>6336</v>
      </c>
    </row>
    <row r="1850" customFormat="false" ht="15" hidden="false" customHeight="false" outlineLevel="0" collapsed="false">
      <c r="B1850" s="19" t="s">
        <v>24425</v>
      </c>
      <c r="C1850" s="20" t="n">
        <f aca="false">ROUND(4.06/FX,2)</f>
        <v>0.56</v>
      </c>
      <c r="D1850" s="21" t="s">
        <v>6549</v>
      </c>
      <c r="E1850" s="21" t="s">
        <v>14713</v>
      </c>
      <c r="F1850" s="21" t="s">
        <v>22850</v>
      </c>
      <c r="G1850" s="21" t="s">
        <v>6336</v>
      </c>
    </row>
    <row r="1851" customFormat="false" ht="15" hidden="false" customHeight="false" outlineLevel="0" collapsed="false">
      <c r="B1851" s="19" t="s">
        <v>24426</v>
      </c>
      <c r="C1851" s="20" t="n">
        <f aca="false">ROUND(7.34/FX,2)</f>
        <v>1.02</v>
      </c>
      <c r="D1851" s="21" t="s">
        <v>6336</v>
      </c>
      <c r="E1851" s="21" t="s">
        <v>14713</v>
      </c>
      <c r="F1851" s="21" t="s">
        <v>24427</v>
      </c>
      <c r="G1851" s="21" t="s">
        <v>6336</v>
      </c>
    </row>
    <row r="1854" customFormat="false" ht="61.5" hidden="false" customHeight="true" outlineLevel="0" collapsed="false">
      <c r="A1854" s="9"/>
      <c r="B1854" s="10" t="s">
        <v>24428</v>
      </c>
      <c r="C1854" s="10"/>
      <c r="D1854" s="10"/>
    </row>
    <row r="1855" customFormat="false" ht="15" hidden="false" customHeight="false" outlineLevel="0" collapsed="false">
      <c r="B1855" s="18" t="s">
        <v>701</v>
      </c>
      <c r="C1855" s="18" t="s">
        <v>702</v>
      </c>
      <c r="D1855" s="18" t="s">
        <v>5610</v>
      </c>
    </row>
    <row r="1856" customFormat="false" ht="15" hidden="false" customHeight="false" outlineLevel="0" collapsed="false">
      <c r="B1856" s="19" t="s">
        <v>24429</v>
      </c>
      <c r="C1856" s="20" t="n">
        <f aca="false">ROUND(1.3/FX,2)</f>
        <v>0.18</v>
      </c>
      <c r="D1856" s="22" t="s">
        <v>5612</v>
      </c>
    </row>
    <row r="1859" customFormat="false" ht="61.5" hidden="false" customHeight="true" outlineLevel="0" collapsed="false">
      <c r="A1859" s="9"/>
      <c r="B1859" s="10" t="s">
        <v>24430</v>
      </c>
      <c r="C1859" s="10"/>
      <c r="D1859" s="10"/>
    </row>
    <row r="1860" customFormat="false" ht="15" hidden="false" customHeight="false" outlineLevel="0" collapsed="false">
      <c r="A1860" s="12" t="s">
        <v>700</v>
      </c>
      <c r="B1860" s="13" t="s">
        <v>701</v>
      </c>
      <c r="C1860" s="13" t="s">
        <v>702</v>
      </c>
      <c r="D1860" s="13" t="s">
        <v>723</v>
      </c>
    </row>
    <row r="1861" customFormat="false" ht="30" hidden="false" customHeight="true" outlineLevel="0" collapsed="false">
      <c r="A1861" s="14" t="s">
        <v>706</v>
      </c>
      <c r="B1861" s="15" t="str">
        <f aca="false">IF(COUNTIFS($D$1864:$D$1865,IF(D1861="","*",D1861))=1,INDEX($B:$B,SUMPRODUCT(((D1861="")+($D$1864:$D$1865=D1861)&gt;0)*ROW($B$1864:$B$1865))),IF(COUNTIFS($D$1864:$D$1865,IF(D1861="","*",D1861))=0,"Not available",COUNTIFS($D$1864:$D$1865,IF(D1861="","*",D1861))&amp;" match, keep choosing"))</f>
        <v>AL-034-YSA</v>
      </c>
      <c r="C1861" s="16" t="n">
        <f aca="false">IF(COUNTIFS($D$1864:$D$1865,IF(D1861="","*",D1861))=1,INDEX($C:$C,SUMPRODUCT(((D1861="")+($D$1864:$D$1865=D1861)&gt;0)*ROW($B$1864:$B$1865))),"")</f>
        <v>4.33</v>
      </c>
      <c r="D1861" s="17" t="s">
        <v>24431</v>
      </c>
    </row>
    <row r="1863" customFormat="false" ht="15" hidden="false" customHeight="false" outlineLevel="0" collapsed="false">
      <c r="B1863" s="18" t="s">
        <v>701</v>
      </c>
      <c r="C1863" s="18" t="s">
        <v>702</v>
      </c>
      <c r="D1863" s="18" t="s">
        <v>723</v>
      </c>
    </row>
    <row r="1864" customFormat="false" ht="15" hidden="false" customHeight="false" outlineLevel="0" collapsed="false">
      <c r="B1864" s="19" t="s">
        <v>24432</v>
      </c>
      <c r="C1864" s="20" t="n">
        <f aca="false">ROUND(31.2/FX,2)</f>
        <v>4.33</v>
      </c>
      <c r="D1864" s="21" t="s">
        <v>24431</v>
      </c>
    </row>
    <row r="1865" customFormat="false" ht="15" hidden="false" customHeight="false" outlineLevel="0" collapsed="false">
      <c r="B1865" s="19" t="s">
        <v>24433</v>
      </c>
      <c r="C1865" s="20" t="n">
        <f aca="false">ROUND(31.2/FX,2)</f>
        <v>4.33</v>
      </c>
      <c r="D1865" s="21" t="s">
        <v>24434</v>
      </c>
    </row>
    <row r="1868" customFormat="false" ht="61.5" hidden="false" customHeight="true" outlineLevel="0" collapsed="false">
      <c r="A1868" s="9"/>
      <c r="B1868" s="10" t="s">
        <v>24435</v>
      </c>
      <c r="C1868" s="10"/>
      <c r="D1868" s="10"/>
      <c r="E1868" s="10"/>
    </row>
    <row r="1869" customFormat="false" ht="15" hidden="false" customHeight="false" outlineLevel="0" collapsed="false">
      <c r="A1869" s="12" t="s">
        <v>700</v>
      </c>
      <c r="B1869" s="13" t="s">
        <v>701</v>
      </c>
      <c r="C1869" s="13" t="s">
        <v>702</v>
      </c>
      <c r="D1869" s="13" t="s">
        <v>722</v>
      </c>
      <c r="E1869" s="13" t="s">
        <v>723</v>
      </c>
    </row>
    <row r="1870" customFormat="false" ht="30" hidden="false" customHeight="true" outlineLevel="0" collapsed="false">
      <c r="A1870" s="14" t="s">
        <v>706</v>
      </c>
      <c r="B1870" s="15" t="str">
        <f aca="false">IF(COUNTIFS($D$1873:$D$1915,IF(D1870="","*",D1870),$E$1873:$E$1915,IF(E1870="","*",E1870))=1,INDEX($B:$B,SUMPRODUCT(((D1870="")+($D$1873:$D$1915=D1870)&gt;0)*((E1870="")+($E$1873:$E$1915=E1870)&gt;0)*ROW($B$1873:$B$1915))),IF(COUNTIFS($D$1873:$D$1915,IF(D1870="","*",D1870),$E$1873:$E$1915,IF(E1870="","*",E1870))=0,"Not available",COUNTIFS($D$1873:$D$1915,IF(D1870="","*",D1870),$E$1873:$E$1915,IF(E1870="","*",E1870))&amp;" match, keep choosing"))</f>
        <v>AL-007-BK-EU-1515-2H-M4-SL</v>
      </c>
      <c r="C1870" s="16" t="n">
        <f aca="false">IF(COUNTIFS($D$1873:$D$1915,IF(D1870="","*",D1870),$E$1873:$E$1915,IF(E1870="","*",E1870))=1,INDEX($C:$C,SUMPRODUCT(((D1870="")+($D$1873:$D$1915=D1870)&gt;0)*((E1870="")+($E$1873:$E$1915=E1870)&gt;0)*ROW($B$1873:$B$1915))),"")</f>
        <v>0.1</v>
      </c>
      <c r="D1870" s="17" t="s">
        <v>724</v>
      </c>
      <c r="E1870" s="17" t="s">
        <v>24436</v>
      </c>
    </row>
    <row r="1872" customFormat="false" ht="15" hidden="false" customHeight="false" outlineLevel="0" collapsed="false">
      <c r="B1872" s="18" t="s">
        <v>701</v>
      </c>
      <c r="C1872" s="18" t="s">
        <v>702</v>
      </c>
      <c r="D1872" s="18" t="s">
        <v>722</v>
      </c>
      <c r="E1872" s="18" t="s">
        <v>723</v>
      </c>
    </row>
    <row r="1873" customFormat="false" ht="28.35" hidden="false" customHeight="false" outlineLevel="0" collapsed="false">
      <c r="B1873" s="19" t="s">
        <v>24437</v>
      </c>
      <c r="C1873" s="20" t="n">
        <f aca="false">ROUND(0.72/FX,2)</f>
        <v>0.1</v>
      </c>
      <c r="D1873" s="21" t="s">
        <v>724</v>
      </c>
      <c r="E1873" s="21" t="s">
        <v>24436</v>
      </c>
    </row>
    <row r="1874" customFormat="false" ht="28.35" hidden="false" customHeight="false" outlineLevel="0" collapsed="false">
      <c r="B1874" s="19" t="s">
        <v>24438</v>
      </c>
      <c r="C1874" s="20" t="n">
        <f aca="false">ROUND(1.95/FX,2)</f>
        <v>0.27</v>
      </c>
      <c r="D1874" s="21" t="s">
        <v>724</v>
      </c>
      <c r="E1874" s="21" t="s">
        <v>24439</v>
      </c>
    </row>
    <row r="1875" customFormat="false" ht="28.35" hidden="false" customHeight="false" outlineLevel="0" collapsed="false">
      <c r="B1875" s="19" t="s">
        <v>24440</v>
      </c>
      <c r="C1875" s="20" t="n">
        <f aca="false">ROUND(2.67/FX,2)</f>
        <v>0.37</v>
      </c>
      <c r="D1875" s="21" t="s">
        <v>724</v>
      </c>
      <c r="E1875" s="21" t="s">
        <v>24441</v>
      </c>
    </row>
    <row r="1876" customFormat="false" ht="28.35" hidden="false" customHeight="false" outlineLevel="0" collapsed="false">
      <c r="B1876" s="19" t="s">
        <v>24442</v>
      </c>
      <c r="C1876" s="20" t="n">
        <f aca="false">ROUND(2.21/FX,2)</f>
        <v>0.31</v>
      </c>
      <c r="D1876" s="21" t="s">
        <v>724</v>
      </c>
      <c r="E1876" s="21" t="s">
        <v>24443</v>
      </c>
    </row>
    <row r="1877" customFormat="false" ht="28.35" hidden="false" customHeight="false" outlineLevel="0" collapsed="false">
      <c r="B1877" s="19" t="s">
        <v>24444</v>
      </c>
      <c r="C1877" s="20" t="n">
        <f aca="false">ROUND(2.86/FX,2)</f>
        <v>0.4</v>
      </c>
      <c r="D1877" s="21" t="s">
        <v>724</v>
      </c>
      <c r="E1877" s="21" t="s">
        <v>24445</v>
      </c>
    </row>
    <row r="1878" customFormat="false" ht="28.35" hidden="false" customHeight="false" outlineLevel="0" collapsed="false">
      <c r="B1878" s="19" t="s">
        <v>24446</v>
      </c>
      <c r="C1878" s="20" t="n">
        <f aca="false">ROUND(0.69/FX,2)</f>
        <v>0.1</v>
      </c>
      <c r="D1878" s="21" t="s">
        <v>724</v>
      </c>
      <c r="E1878" s="21" t="s">
        <v>24447</v>
      </c>
    </row>
    <row r="1879" customFormat="false" ht="28.35" hidden="false" customHeight="false" outlineLevel="0" collapsed="false">
      <c r="B1879" s="19" t="s">
        <v>24448</v>
      </c>
      <c r="C1879" s="20" t="n">
        <f aca="false">ROUND(0.72/FX,2)</f>
        <v>0.1</v>
      </c>
      <c r="D1879" s="21" t="s">
        <v>724</v>
      </c>
      <c r="E1879" s="21" t="s">
        <v>24449</v>
      </c>
    </row>
    <row r="1880" customFormat="false" ht="28.35" hidden="false" customHeight="false" outlineLevel="0" collapsed="false">
      <c r="B1880" s="19" t="s">
        <v>24450</v>
      </c>
      <c r="C1880" s="20" t="n">
        <f aca="false">ROUND(0.59/FX,2)</f>
        <v>0.08</v>
      </c>
      <c r="D1880" s="21" t="s">
        <v>724</v>
      </c>
      <c r="E1880" s="21" t="s">
        <v>24451</v>
      </c>
    </row>
    <row r="1881" customFormat="false" ht="28.35" hidden="false" customHeight="false" outlineLevel="0" collapsed="false">
      <c r="B1881" s="19" t="s">
        <v>24452</v>
      </c>
      <c r="C1881" s="20" t="n">
        <f aca="false">ROUND(0.62/FX,2)</f>
        <v>0.09</v>
      </c>
      <c r="D1881" s="21" t="s">
        <v>724</v>
      </c>
      <c r="E1881" s="21" t="s">
        <v>24453</v>
      </c>
    </row>
    <row r="1882" customFormat="false" ht="28.35" hidden="false" customHeight="false" outlineLevel="0" collapsed="false">
      <c r="B1882" s="19" t="s">
        <v>24454</v>
      </c>
      <c r="C1882" s="20" t="n">
        <f aca="false">ROUND(1.56/FX,2)</f>
        <v>0.22</v>
      </c>
      <c r="D1882" s="21" t="s">
        <v>724</v>
      </c>
      <c r="E1882" s="21" t="s">
        <v>24455</v>
      </c>
    </row>
    <row r="1883" customFormat="false" ht="28.35" hidden="false" customHeight="false" outlineLevel="0" collapsed="false">
      <c r="B1883" s="19" t="s">
        <v>24456</v>
      </c>
      <c r="C1883" s="20" t="n">
        <f aca="false">ROUND(2.54/FX,2)</f>
        <v>0.35</v>
      </c>
      <c r="D1883" s="21" t="s">
        <v>724</v>
      </c>
      <c r="E1883" s="21" t="s">
        <v>24457</v>
      </c>
    </row>
    <row r="1884" customFormat="false" ht="41.75" hidden="false" customHeight="false" outlineLevel="0" collapsed="false">
      <c r="B1884" s="19" t="s">
        <v>24458</v>
      </c>
      <c r="C1884" s="20" t="n">
        <f aca="false">ROUND(0.52/FX,2)</f>
        <v>0.07</v>
      </c>
      <c r="D1884" s="21" t="s">
        <v>6336</v>
      </c>
      <c r="E1884" s="21" t="s">
        <v>24459</v>
      </c>
    </row>
    <row r="1885" customFormat="false" ht="41.75" hidden="false" customHeight="false" outlineLevel="0" collapsed="false">
      <c r="B1885" s="19" t="s">
        <v>24460</v>
      </c>
      <c r="C1885" s="20" t="n">
        <f aca="false">ROUND(0.77/FX,2)</f>
        <v>0.11</v>
      </c>
      <c r="D1885" s="21" t="s">
        <v>6336</v>
      </c>
      <c r="E1885" s="21" t="s">
        <v>24461</v>
      </c>
    </row>
    <row r="1886" customFormat="false" ht="41.75" hidden="false" customHeight="false" outlineLevel="0" collapsed="false">
      <c r="B1886" s="19" t="s">
        <v>24462</v>
      </c>
      <c r="C1886" s="20" t="n">
        <f aca="false">ROUND(0.67/FX,2)</f>
        <v>0.09</v>
      </c>
      <c r="D1886" s="21" t="s">
        <v>6336</v>
      </c>
      <c r="E1886" s="21" t="s">
        <v>24463</v>
      </c>
    </row>
    <row r="1887" customFormat="false" ht="41.75" hidden="false" customHeight="false" outlineLevel="0" collapsed="false">
      <c r="B1887" s="19" t="s">
        <v>24464</v>
      </c>
      <c r="C1887" s="20" t="n">
        <f aca="false">ROUND(0.83/FX,2)</f>
        <v>0.12</v>
      </c>
      <c r="D1887" s="21" t="s">
        <v>6336</v>
      </c>
      <c r="E1887" s="21" t="s">
        <v>24465</v>
      </c>
    </row>
    <row r="1888" customFormat="false" ht="41.75" hidden="false" customHeight="false" outlineLevel="0" collapsed="false">
      <c r="B1888" s="19" t="s">
        <v>24466</v>
      </c>
      <c r="C1888" s="20" t="n">
        <f aca="false">ROUND(0.69/FX,2)</f>
        <v>0.1</v>
      </c>
      <c r="D1888" s="21" t="s">
        <v>6336</v>
      </c>
      <c r="E1888" s="21" t="s">
        <v>24467</v>
      </c>
    </row>
    <row r="1889" customFormat="false" ht="41.75" hidden="false" customHeight="false" outlineLevel="0" collapsed="false">
      <c r="B1889" s="19" t="s">
        <v>24468</v>
      </c>
      <c r="C1889" s="20" t="n">
        <f aca="false">ROUND(1.56/FX,2)</f>
        <v>0.22</v>
      </c>
      <c r="D1889" s="21" t="s">
        <v>6336</v>
      </c>
      <c r="E1889" s="21" t="s">
        <v>24469</v>
      </c>
    </row>
    <row r="1890" customFormat="false" ht="41.75" hidden="false" customHeight="false" outlineLevel="0" collapsed="false">
      <c r="B1890" s="19" t="s">
        <v>24470</v>
      </c>
      <c r="C1890" s="20" t="n">
        <f aca="false">ROUND(2.34/FX,2)</f>
        <v>0.33</v>
      </c>
      <c r="D1890" s="21" t="s">
        <v>6336</v>
      </c>
      <c r="E1890" s="21" t="s">
        <v>24471</v>
      </c>
    </row>
    <row r="1891" customFormat="false" ht="41.75" hidden="false" customHeight="false" outlineLevel="0" collapsed="false">
      <c r="B1891" s="19" t="s">
        <v>24472</v>
      </c>
      <c r="C1891" s="20" t="n">
        <f aca="false">ROUND(2.54/FX,2)</f>
        <v>0.35</v>
      </c>
      <c r="D1891" s="21" t="s">
        <v>6336</v>
      </c>
      <c r="E1891" s="21" t="s">
        <v>24473</v>
      </c>
    </row>
    <row r="1892" customFormat="false" ht="41.75" hidden="false" customHeight="false" outlineLevel="0" collapsed="false">
      <c r="B1892" s="19" t="s">
        <v>24474</v>
      </c>
      <c r="C1892" s="20" t="n">
        <f aca="false">ROUND(2.08/FX,2)</f>
        <v>0.29</v>
      </c>
      <c r="D1892" s="21" t="s">
        <v>6336</v>
      </c>
      <c r="E1892" s="21" t="s">
        <v>24475</v>
      </c>
    </row>
    <row r="1893" customFormat="false" ht="41.75" hidden="false" customHeight="false" outlineLevel="0" collapsed="false">
      <c r="B1893" s="19" t="s">
        <v>24476</v>
      </c>
      <c r="C1893" s="20" t="n">
        <f aca="false">ROUND(0.52/FX,2)</f>
        <v>0.07</v>
      </c>
      <c r="D1893" s="21" t="s">
        <v>6336</v>
      </c>
      <c r="E1893" s="21" t="s">
        <v>24477</v>
      </c>
    </row>
    <row r="1894" customFormat="false" ht="41.75" hidden="false" customHeight="false" outlineLevel="0" collapsed="false">
      <c r="B1894" s="19" t="s">
        <v>24478</v>
      </c>
      <c r="C1894" s="20" t="n">
        <f aca="false">ROUND(65/FX,2)</f>
        <v>9.03</v>
      </c>
      <c r="D1894" s="21" t="s">
        <v>6336</v>
      </c>
      <c r="E1894" s="21" t="s">
        <v>24479</v>
      </c>
    </row>
    <row r="1895" customFormat="false" ht="41.75" hidden="false" customHeight="false" outlineLevel="0" collapsed="false">
      <c r="B1895" s="19" t="s">
        <v>24480</v>
      </c>
      <c r="C1895" s="20" t="n">
        <f aca="false">ROUND(0.55/FX,2)</f>
        <v>0.08</v>
      </c>
      <c r="D1895" s="21" t="s">
        <v>6336</v>
      </c>
      <c r="E1895" s="21" t="s">
        <v>24481</v>
      </c>
    </row>
    <row r="1896" customFormat="false" ht="41.75" hidden="false" customHeight="false" outlineLevel="0" collapsed="false">
      <c r="B1896" s="19" t="s">
        <v>24482</v>
      </c>
      <c r="C1896" s="20" t="n">
        <f aca="false">ROUND(0.52/FX,2)</f>
        <v>0.07</v>
      </c>
      <c r="D1896" s="21" t="s">
        <v>6336</v>
      </c>
      <c r="E1896" s="21" t="s">
        <v>24483</v>
      </c>
    </row>
    <row r="1897" customFormat="false" ht="41.75" hidden="false" customHeight="false" outlineLevel="0" collapsed="false">
      <c r="B1897" s="19" t="s">
        <v>24484</v>
      </c>
      <c r="C1897" s="20" t="n">
        <f aca="false">ROUND(0.73/FX,2)</f>
        <v>0.1</v>
      </c>
      <c r="D1897" s="21" t="s">
        <v>6336</v>
      </c>
      <c r="E1897" s="21" t="s">
        <v>24485</v>
      </c>
    </row>
    <row r="1898" customFormat="false" ht="41.75" hidden="false" customHeight="false" outlineLevel="0" collapsed="false">
      <c r="B1898" s="19" t="s">
        <v>24486</v>
      </c>
      <c r="C1898" s="20" t="n">
        <f aca="false">ROUND(1.7/FX,2)</f>
        <v>0.24</v>
      </c>
      <c r="D1898" s="21" t="s">
        <v>6336</v>
      </c>
      <c r="E1898" s="21" t="s">
        <v>24487</v>
      </c>
    </row>
    <row r="1899" customFormat="false" ht="41.75" hidden="false" customHeight="false" outlineLevel="0" collapsed="false">
      <c r="B1899" s="19" t="s">
        <v>24488</v>
      </c>
      <c r="C1899" s="20" t="n">
        <f aca="false">ROUND(1.6/FX,2)</f>
        <v>0.22</v>
      </c>
      <c r="D1899" s="21" t="s">
        <v>6336</v>
      </c>
      <c r="E1899" s="21" t="s">
        <v>24489</v>
      </c>
    </row>
    <row r="1900" customFormat="false" ht="41.75" hidden="false" customHeight="false" outlineLevel="0" collapsed="false">
      <c r="B1900" s="19" t="s">
        <v>24490</v>
      </c>
      <c r="C1900" s="20" t="n">
        <f aca="false">ROUND(1.3/FX,2)</f>
        <v>0.18</v>
      </c>
      <c r="D1900" s="21" t="s">
        <v>6336</v>
      </c>
      <c r="E1900" s="21" t="s">
        <v>24491</v>
      </c>
    </row>
    <row r="1901" customFormat="false" ht="41.75" hidden="false" customHeight="false" outlineLevel="0" collapsed="false">
      <c r="B1901" s="19" t="s">
        <v>24492</v>
      </c>
      <c r="C1901" s="20" t="n">
        <f aca="false">ROUND(1.44/FX,2)</f>
        <v>0.2</v>
      </c>
      <c r="D1901" s="21" t="s">
        <v>6336</v>
      </c>
      <c r="E1901" s="21" t="s">
        <v>24493</v>
      </c>
    </row>
    <row r="1902" customFormat="false" ht="41.75" hidden="false" customHeight="false" outlineLevel="0" collapsed="false">
      <c r="B1902" s="19" t="s">
        <v>24494</v>
      </c>
      <c r="C1902" s="20" t="n">
        <f aca="false">ROUND(1.34/FX,2)</f>
        <v>0.19</v>
      </c>
      <c r="D1902" s="21" t="s">
        <v>6336</v>
      </c>
      <c r="E1902" s="21" t="s">
        <v>24495</v>
      </c>
    </row>
    <row r="1903" customFormat="false" ht="41.75" hidden="false" customHeight="false" outlineLevel="0" collapsed="false">
      <c r="B1903" s="19" t="s">
        <v>24496</v>
      </c>
      <c r="C1903" s="20" t="n">
        <f aca="false">ROUND(1.55/FX,2)</f>
        <v>0.22</v>
      </c>
      <c r="D1903" s="21" t="s">
        <v>6336</v>
      </c>
      <c r="E1903" s="21" t="s">
        <v>24497</v>
      </c>
    </row>
    <row r="1904" customFormat="false" ht="41.75" hidden="false" customHeight="false" outlineLevel="0" collapsed="false">
      <c r="B1904" s="19" t="s">
        <v>24498</v>
      </c>
      <c r="C1904" s="20" t="n">
        <f aca="false">ROUND(1.72/FX,2)</f>
        <v>0.24</v>
      </c>
      <c r="D1904" s="21" t="s">
        <v>6336</v>
      </c>
      <c r="E1904" s="21" t="s">
        <v>24499</v>
      </c>
    </row>
    <row r="1905" customFormat="false" ht="41.75" hidden="false" customHeight="false" outlineLevel="0" collapsed="false">
      <c r="B1905" s="19" t="s">
        <v>24500</v>
      </c>
      <c r="C1905" s="20" t="n">
        <f aca="false">ROUND(1.62/FX,2)</f>
        <v>0.23</v>
      </c>
      <c r="D1905" s="21" t="s">
        <v>6336</v>
      </c>
      <c r="E1905" s="21" t="s">
        <v>24501</v>
      </c>
    </row>
    <row r="1906" customFormat="false" ht="41.75" hidden="false" customHeight="false" outlineLevel="0" collapsed="false">
      <c r="B1906" s="19" t="s">
        <v>24502</v>
      </c>
      <c r="C1906" s="20" t="n">
        <f aca="false">ROUND(1.68/FX,2)</f>
        <v>0.23</v>
      </c>
      <c r="D1906" s="21" t="s">
        <v>6336</v>
      </c>
      <c r="E1906" s="21" t="s">
        <v>24503</v>
      </c>
    </row>
    <row r="1907" customFormat="false" ht="41.75" hidden="false" customHeight="false" outlineLevel="0" collapsed="false">
      <c r="B1907" s="19" t="s">
        <v>24504</v>
      </c>
      <c r="C1907" s="20" t="n">
        <f aca="false">ROUND(2.12/FX,2)</f>
        <v>0.29</v>
      </c>
      <c r="D1907" s="21" t="s">
        <v>6336</v>
      </c>
      <c r="E1907" s="21" t="s">
        <v>24505</v>
      </c>
    </row>
    <row r="1908" customFormat="false" ht="41.75" hidden="false" customHeight="false" outlineLevel="0" collapsed="false">
      <c r="B1908" s="19" t="s">
        <v>24506</v>
      </c>
      <c r="C1908" s="20" t="n">
        <f aca="false">ROUND(2.33/FX,2)</f>
        <v>0.32</v>
      </c>
      <c r="D1908" s="21" t="s">
        <v>6336</v>
      </c>
      <c r="E1908" s="21" t="s">
        <v>24507</v>
      </c>
    </row>
    <row r="1909" customFormat="false" ht="41.75" hidden="false" customHeight="false" outlineLevel="0" collapsed="false">
      <c r="B1909" s="19" t="s">
        <v>24508</v>
      </c>
      <c r="C1909" s="20" t="n">
        <f aca="false">ROUND(1.6/FX,2)</f>
        <v>0.22</v>
      </c>
      <c r="D1909" s="21" t="s">
        <v>6336</v>
      </c>
      <c r="E1909" s="21" t="s">
        <v>24509</v>
      </c>
    </row>
    <row r="1910" customFormat="false" ht="41.75" hidden="false" customHeight="false" outlineLevel="0" collapsed="false">
      <c r="B1910" s="19" t="s">
        <v>24510</v>
      </c>
      <c r="C1910" s="20" t="n">
        <f aca="false">ROUND(0.72/FX,2)</f>
        <v>0.1</v>
      </c>
      <c r="D1910" s="21" t="s">
        <v>6336</v>
      </c>
      <c r="E1910" s="21" t="s">
        <v>24511</v>
      </c>
    </row>
    <row r="1911" customFormat="false" ht="41.75" hidden="false" customHeight="false" outlineLevel="0" collapsed="false">
      <c r="B1911" s="19" t="s">
        <v>24512</v>
      </c>
      <c r="C1911" s="20" t="n">
        <f aca="false">ROUND(1.65/FX,2)</f>
        <v>0.23</v>
      </c>
      <c r="D1911" s="21" t="s">
        <v>6336</v>
      </c>
      <c r="E1911" s="21" t="s">
        <v>24513</v>
      </c>
    </row>
    <row r="1912" customFormat="false" ht="41.75" hidden="false" customHeight="false" outlineLevel="0" collapsed="false">
      <c r="B1912" s="19" t="s">
        <v>24514</v>
      </c>
      <c r="C1912" s="20" t="n">
        <f aca="false">ROUND(1.38/FX,2)</f>
        <v>0.19</v>
      </c>
      <c r="D1912" s="21" t="s">
        <v>6336</v>
      </c>
      <c r="E1912" s="21" t="s">
        <v>24515</v>
      </c>
    </row>
    <row r="1913" customFormat="false" ht="41.75" hidden="false" customHeight="false" outlineLevel="0" collapsed="false">
      <c r="B1913" s="19" t="s">
        <v>24516</v>
      </c>
      <c r="C1913" s="20" t="n">
        <f aca="false">ROUND(1.53/FX,2)</f>
        <v>0.21</v>
      </c>
      <c r="D1913" s="21" t="s">
        <v>6336</v>
      </c>
      <c r="E1913" s="21" t="s">
        <v>24517</v>
      </c>
    </row>
    <row r="1914" customFormat="false" ht="41.75" hidden="false" customHeight="false" outlineLevel="0" collapsed="false">
      <c r="B1914" s="19" t="s">
        <v>24518</v>
      </c>
      <c r="C1914" s="20" t="n">
        <f aca="false">ROUND(2.21/FX,2)</f>
        <v>0.31</v>
      </c>
      <c r="D1914" s="21" t="s">
        <v>6336</v>
      </c>
      <c r="E1914" s="21" t="s">
        <v>24519</v>
      </c>
    </row>
    <row r="1915" customFormat="false" ht="41.75" hidden="false" customHeight="false" outlineLevel="0" collapsed="false">
      <c r="B1915" s="19" t="s">
        <v>24520</v>
      </c>
      <c r="C1915" s="20" t="n">
        <f aca="false">ROUND(2.7/FX,2)</f>
        <v>0.38</v>
      </c>
      <c r="D1915" s="21" t="s">
        <v>6336</v>
      </c>
      <c r="E1915" s="21" t="s">
        <v>24521</v>
      </c>
    </row>
    <row r="1918" customFormat="false" ht="61.5" hidden="false" customHeight="true" outlineLevel="0" collapsed="false">
      <c r="A1918" s="9"/>
      <c r="B1918" s="10" t="s">
        <v>24522</v>
      </c>
      <c r="C1918" s="10"/>
      <c r="D1918" s="10"/>
      <c r="E1918" s="10"/>
      <c r="F1918" s="10"/>
    </row>
    <row r="1919" customFormat="false" ht="15" hidden="false" customHeight="false" outlineLevel="0" collapsed="false">
      <c r="A1919" s="12" t="s">
        <v>700</v>
      </c>
      <c r="B1919" s="13" t="s">
        <v>701</v>
      </c>
      <c r="C1919" s="13" t="s">
        <v>702</v>
      </c>
      <c r="D1919" s="13" t="s">
        <v>722</v>
      </c>
      <c r="E1919" s="13" t="s">
        <v>704</v>
      </c>
      <c r="F1919" s="13" t="s">
        <v>723</v>
      </c>
    </row>
    <row r="1920" customFormat="false" ht="30" hidden="false" customHeight="true" outlineLevel="0" collapsed="false">
      <c r="A1920" s="14" t="s">
        <v>706</v>
      </c>
      <c r="B1920" s="15" t="str">
        <f aca="false">IF(COUNTIFS($D$1923:$D$1986,IF(D1920="","*",D1920),$E$1923:$E$1986,IF(E1920="","*",E1920),$F$1923:$F$1986,IF(F1920="","*",F1920))=1,INDEX($B:$B,SUMPRODUCT(((D1920="")+($D$1923:$D$1986=D1920)&gt;0)*((E1920="")+($E$1923:$E$1986=E1920)&gt;0)*((F1920="")+($F$1923:$F$1986=F1920)&gt;0)*ROW($B$1923:$B$1986))),IF(COUNTIFS($D$1923:$D$1986,IF(D1920="","*",D1920),$E$1923:$E$1986,IF(E1920="","*",E1920),$F$1923:$F$1986,IF(F1920="","*",F1920))=0,"Not available",COUNTIFS($D$1923:$D$1986,IF(D1920="","*",D1920),$E$1923:$E$1986,IF(E1920="","*",E1920),$F$1923:$F$1986,IF(F1920="","*",F1920))&amp;" match, keep choosing"))</f>
        <v>AL-064-2020-AK-GZ</v>
      </c>
      <c r="C1920" s="16" t="n">
        <f aca="false">IF(COUNTIFS($D$1923:$D$1986,IF(D1920="","*",D1920),$E$1923:$E$1986,IF(E1920="","*",E1920),$F$1923:$F$1986,IF(F1920="","*",F1920))=1,INDEX($C:$C,SUMPRODUCT(((D1920="")+($D$1923:$D$1986=D1920)&gt;0)*((E1920="")+($E$1923:$E$1986=E1920)&gt;0)*((F1920="")+($F$1923:$F$1986=F1920)&gt;0)*ROW($B$1923:$B$1986))),"")</f>
        <v>0.09</v>
      </c>
      <c r="D1920" s="17" t="s">
        <v>6336</v>
      </c>
      <c r="E1920" s="17" t="s">
        <v>6336</v>
      </c>
      <c r="F1920" s="17" t="s">
        <v>24523</v>
      </c>
    </row>
    <row r="1922" customFormat="false" ht="15" hidden="false" customHeight="false" outlineLevel="0" collapsed="false">
      <c r="B1922" s="18" t="s">
        <v>701</v>
      </c>
      <c r="C1922" s="18" t="s">
        <v>702</v>
      </c>
      <c r="D1922" s="18" t="s">
        <v>722</v>
      </c>
      <c r="E1922" s="18" t="s">
        <v>704</v>
      </c>
      <c r="F1922" s="18" t="s">
        <v>723</v>
      </c>
    </row>
    <row r="1923" customFormat="false" ht="15" hidden="false" customHeight="false" outlineLevel="0" collapsed="false">
      <c r="B1923" s="19" t="s">
        <v>24524</v>
      </c>
      <c r="C1923" s="20" t="n">
        <f aca="false">ROUND(0.65/FX,2)</f>
        <v>0.09</v>
      </c>
      <c r="D1923" s="21" t="s">
        <v>6336</v>
      </c>
      <c r="E1923" s="21" t="s">
        <v>6336</v>
      </c>
      <c r="F1923" s="21" t="s">
        <v>24523</v>
      </c>
    </row>
    <row r="1924" customFormat="false" ht="15" hidden="false" customHeight="false" outlineLevel="0" collapsed="false">
      <c r="B1924" s="19" t="s">
        <v>24525</v>
      </c>
      <c r="C1924" s="20" t="n">
        <f aca="false">ROUND(1.17/FX,2)</f>
        <v>0.16</v>
      </c>
      <c r="D1924" s="21" t="s">
        <v>6336</v>
      </c>
      <c r="E1924" s="21" t="s">
        <v>6336</v>
      </c>
      <c r="F1924" s="21" t="s">
        <v>24526</v>
      </c>
    </row>
    <row r="1925" customFormat="false" ht="15" hidden="false" customHeight="false" outlineLevel="0" collapsed="false">
      <c r="B1925" s="19" t="s">
        <v>24527</v>
      </c>
      <c r="C1925" s="20" t="n">
        <f aca="false">ROUND(1.17/FX,2)</f>
        <v>0.16</v>
      </c>
      <c r="D1925" s="21" t="s">
        <v>6336</v>
      </c>
      <c r="E1925" s="21" t="s">
        <v>6336</v>
      </c>
      <c r="F1925" s="21" t="s">
        <v>24528</v>
      </c>
    </row>
    <row r="1926" customFormat="false" ht="15" hidden="false" customHeight="false" outlineLevel="0" collapsed="false">
      <c r="B1926" s="19" t="s">
        <v>24529</v>
      </c>
      <c r="C1926" s="20" t="n">
        <f aca="false">ROUND(1.43/FX,2)</f>
        <v>0.2</v>
      </c>
      <c r="D1926" s="21" t="s">
        <v>6336</v>
      </c>
      <c r="E1926" s="21" t="s">
        <v>6336</v>
      </c>
      <c r="F1926" s="21" t="s">
        <v>24530</v>
      </c>
    </row>
    <row r="1927" customFormat="false" ht="41.75" hidden="false" customHeight="false" outlineLevel="0" collapsed="false">
      <c r="B1927" s="19" t="s">
        <v>24531</v>
      </c>
      <c r="C1927" s="20" t="n">
        <f aca="false">ROUND(3.11/FX,2)</f>
        <v>0.43</v>
      </c>
      <c r="D1927" s="21" t="s">
        <v>724</v>
      </c>
      <c r="E1927" s="21" t="s">
        <v>6336</v>
      </c>
      <c r="F1927" s="21" t="s">
        <v>24532</v>
      </c>
    </row>
    <row r="1928" customFormat="false" ht="41.75" hidden="false" customHeight="false" outlineLevel="0" collapsed="false">
      <c r="B1928" s="19" t="s">
        <v>24533</v>
      </c>
      <c r="C1928" s="20" t="n">
        <f aca="false">ROUND(7.67/FX,2)</f>
        <v>1.07</v>
      </c>
      <c r="D1928" s="21" t="s">
        <v>724</v>
      </c>
      <c r="E1928" s="21" t="s">
        <v>6336</v>
      </c>
      <c r="F1928" s="21" t="s">
        <v>24534</v>
      </c>
    </row>
    <row r="1929" customFormat="false" ht="41.75" hidden="false" customHeight="false" outlineLevel="0" collapsed="false">
      <c r="B1929" s="19" t="s">
        <v>24535</v>
      </c>
      <c r="C1929" s="20" t="n">
        <f aca="false">ROUND(8.19/FX,2)</f>
        <v>1.14</v>
      </c>
      <c r="D1929" s="21" t="s">
        <v>724</v>
      </c>
      <c r="E1929" s="21" t="s">
        <v>6336</v>
      </c>
      <c r="F1929" s="21" t="s">
        <v>24536</v>
      </c>
    </row>
    <row r="1930" customFormat="false" ht="41.75" hidden="false" customHeight="false" outlineLevel="0" collapsed="false">
      <c r="B1930" s="19" t="s">
        <v>24537</v>
      </c>
      <c r="C1930" s="20" t="n">
        <f aca="false">ROUND(6.18/FX,2)</f>
        <v>0.86</v>
      </c>
      <c r="D1930" s="21" t="s">
        <v>724</v>
      </c>
      <c r="E1930" s="21" t="s">
        <v>6336</v>
      </c>
      <c r="F1930" s="21" t="s">
        <v>24538</v>
      </c>
    </row>
    <row r="1931" customFormat="false" ht="41.75" hidden="false" customHeight="false" outlineLevel="0" collapsed="false">
      <c r="B1931" s="19" t="s">
        <v>24539</v>
      </c>
      <c r="C1931" s="20" t="n">
        <f aca="false">ROUND(5.92/FX,2)</f>
        <v>0.82</v>
      </c>
      <c r="D1931" s="21" t="s">
        <v>724</v>
      </c>
      <c r="E1931" s="21" t="s">
        <v>6336</v>
      </c>
      <c r="F1931" s="21" t="s">
        <v>24540</v>
      </c>
    </row>
    <row r="1932" customFormat="false" ht="41.75" hidden="false" customHeight="false" outlineLevel="0" collapsed="false">
      <c r="B1932" s="19" t="s">
        <v>24541</v>
      </c>
      <c r="C1932" s="20" t="n">
        <f aca="false">ROUND(11.96/FX,2)</f>
        <v>1.66</v>
      </c>
      <c r="D1932" s="21" t="s">
        <v>724</v>
      </c>
      <c r="E1932" s="21" t="s">
        <v>6336</v>
      </c>
      <c r="F1932" s="21" t="s">
        <v>24542</v>
      </c>
    </row>
    <row r="1933" customFormat="false" ht="41.75" hidden="false" customHeight="false" outlineLevel="0" collapsed="false">
      <c r="B1933" s="19" t="s">
        <v>24543</v>
      </c>
      <c r="C1933" s="20" t="n">
        <f aca="false">ROUND(12.48/FX,2)</f>
        <v>1.73</v>
      </c>
      <c r="D1933" s="21" t="s">
        <v>724</v>
      </c>
      <c r="E1933" s="21" t="s">
        <v>6336</v>
      </c>
      <c r="F1933" s="21" t="s">
        <v>24544</v>
      </c>
    </row>
    <row r="1934" customFormat="false" ht="41.75" hidden="false" customHeight="false" outlineLevel="0" collapsed="false">
      <c r="B1934" s="19" t="s">
        <v>24545</v>
      </c>
      <c r="C1934" s="20" t="n">
        <f aca="false">ROUND(6.76/FX,2)</f>
        <v>0.94</v>
      </c>
      <c r="D1934" s="21" t="s">
        <v>724</v>
      </c>
      <c r="E1934" s="21" t="s">
        <v>6336</v>
      </c>
      <c r="F1934" s="21" t="s">
        <v>24546</v>
      </c>
    </row>
    <row r="1935" customFormat="false" ht="41.75" hidden="false" customHeight="false" outlineLevel="0" collapsed="false">
      <c r="B1935" s="19" t="s">
        <v>24547</v>
      </c>
      <c r="C1935" s="20" t="n">
        <f aca="false">ROUND(6.24/FX,2)</f>
        <v>0.87</v>
      </c>
      <c r="D1935" s="21" t="s">
        <v>724</v>
      </c>
      <c r="E1935" s="21" t="s">
        <v>6336</v>
      </c>
      <c r="F1935" s="21" t="s">
        <v>24548</v>
      </c>
    </row>
    <row r="1936" customFormat="false" ht="41.75" hidden="false" customHeight="false" outlineLevel="0" collapsed="false">
      <c r="B1936" s="19" t="s">
        <v>24549</v>
      </c>
      <c r="C1936" s="20" t="n">
        <f aca="false">ROUND(15.47/FX,2)</f>
        <v>2.15</v>
      </c>
      <c r="D1936" s="21" t="s">
        <v>724</v>
      </c>
      <c r="E1936" s="21" t="s">
        <v>6336</v>
      </c>
      <c r="F1936" s="21" t="s">
        <v>24550</v>
      </c>
    </row>
    <row r="1937" customFormat="false" ht="41.75" hidden="false" customHeight="false" outlineLevel="0" collapsed="false">
      <c r="B1937" s="19" t="s">
        <v>24551</v>
      </c>
      <c r="C1937" s="20" t="n">
        <f aca="false">ROUND(14.95/FX,2)</f>
        <v>2.08</v>
      </c>
      <c r="D1937" s="21" t="s">
        <v>724</v>
      </c>
      <c r="E1937" s="21" t="s">
        <v>6336</v>
      </c>
      <c r="F1937" s="21" t="s">
        <v>24552</v>
      </c>
    </row>
    <row r="1938" customFormat="false" ht="28.35" hidden="false" customHeight="false" outlineLevel="0" collapsed="false">
      <c r="B1938" s="19" t="s">
        <v>24553</v>
      </c>
      <c r="C1938" s="20" t="n">
        <f aca="false">ROUND(4.16/FX,2)</f>
        <v>0.58</v>
      </c>
      <c r="D1938" s="21" t="s">
        <v>724</v>
      </c>
      <c r="E1938" s="21" t="s">
        <v>14713</v>
      </c>
      <c r="F1938" s="21" t="s">
        <v>24554</v>
      </c>
    </row>
    <row r="1939" customFormat="false" ht="28.35" hidden="false" customHeight="false" outlineLevel="0" collapsed="false">
      <c r="B1939" s="19" t="s">
        <v>24555</v>
      </c>
      <c r="C1939" s="20" t="n">
        <f aca="false">ROUND(15.47/FX,2)</f>
        <v>2.15</v>
      </c>
      <c r="D1939" s="21" t="s">
        <v>724</v>
      </c>
      <c r="E1939" s="21" t="s">
        <v>14713</v>
      </c>
      <c r="F1939" s="21" t="s">
        <v>24556</v>
      </c>
    </row>
    <row r="1940" customFormat="false" ht="28.35" hidden="false" customHeight="false" outlineLevel="0" collapsed="false">
      <c r="B1940" s="19" t="s">
        <v>24557</v>
      </c>
      <c r="C1940" s="20" t="n">
        <f aca="false">ROUND(15.99/FX,2)</f>
        <v>2.22</v>
      </c>
      <c r="D1940" s="21" t="s">
        <v>724</v>
      </c>
      <c r="E1940" s="21" t="s">
        <v>14713</v>
      </c>
      <c r="F1940" s="21" t="s">
        <v>24558</v>
      </c>
    </row>
    <row r="1941" customFormat="false" ht="28.35" hidden="false" customHeight="false" outlineLevel="0" collapsed="false">
      <c r="B1941" s="19" t="s">
        <v>24559</v>
      </c>
      <c r="C1941" s="20" t="n">
        <f aca="false">ROUND(12.42/FX,2)</f>
        <v>1.73</v>
      </c>
      <c r="D1941" s="21" t="s">
        <v>724</v>
      </c>
      <c r="E1941" s="21" t="s">
        <v>14713</v>
      </c>
      <c r="F1941" s="21" t="s">
        <v>24560</v>
      </c>
    </row>
    <row r="1942" customFormat="false" ht="28.35" hidden="false" customHeight="false" outlineLevel="0" collapsed="false">
      <c r="B1942" s="19" t="s">
        <v>24561</v>
      </c>
      <c r="C1942" s="20" t="n">
        <f aca="false">ROUND(12.16/FX,2)</f>
        <v>1.69</v>
      </c>
      <c r="D1942" s="21" t="s">
        <v>724</v>
      </c>
      <c r="E1942" s="21" t="s">
        <v>14713</v>
      </c>
      <c r="F1942" s="21" t="s">
        <v>24562</v>
      </c>
    </row>
    <row r="1943" customFormat="false" ht="28.35" hidden="false" customHeight="false" outlineLevel="0" collapsed="false">
      <c r="B1943" s="19" t="s">
        <v>24563</v>
      </c>
      <c r="C1943" s="20" t="n">
        <f aca="false">ROUND(28.21/FX,2)</f>
        <v>3.92</v>
      </c>
      <c r="D1943" s="21" t="s">
        <v>724</v>
      </c>
      <c r="E1943" s="21" t="s">
        <v>14713</v>
      </c>
      <c r="F1943" s="21" t="s">
        <v>24564</v>
      </c>
    </row>
    <row r="1944" customFormat="false" ht="28.35" hidden="false" customHeight="false" outlineLevel="0" collapsed="false">
      <c r="B1944" s="19" t="s">
        <v>24565</v>
      </c>
      <c r="C1944" s="20" t="n">
        <f aca="false">ROUND(27.69/FX,2)</f>
        <v>3.85</v>
      </c>
      <c r="D1944" s="21" t="s">
        <v>724</v>
      </c>
      <c r="E1944" s="21" t="s">
        <v>14713</v>
      </c>
      <c r="F1944" s="21" t="s">
        <v>24566</v>
      </c>
    </row>
    <row r="1945" customFormat="false" ht="28.35" hidden="false" customHeight="false" outlineLevel="0" collapsed="false">
      <c r="B1945" s="19" t="s">
        <v>24567</v>
      </c>
      <c r="C1945" s="20" t="n">
        <f aca="false">ROUND(13.26/FX,2)</f>
        <v>1.84</v>
      </c>
      <c r="D1945" s="21" t="s">
        <v>724</v>
      </c>
      <c r="E1945" s="21" t="s">
        <v>14713</v>
      </c>
      <c r="F1945" s="21" t="s">
        <v>24568</v>
      </c>
    </row>
    <row r="1946" customFormat="false" ht="28.35" hidden="false" customHeight="false" outlineLevel="0" collapsed="false">
      <c r="B1946" s="19" t="s">
        <v>24569</v>
      </c>
      <c r="C1946" s="20" t="n">
        <f aca="false">ROUND(13/FX,2)</f>
        <v>1.81</v>
      </c>
      <c r="D1946" s="21" t="s">
        <v>724</v>
      </c>
      <c r="E1946" s="21" t="s">
        <v>14713</v>
      </c>
      <c r="F1946" s="21" t="s">
        <v>24570</v>
      </c>
    </row>
    <row r="1947" customFormat="false" ht="28.35" hidden="false" customHeight="false" outlineLevel="0" collapsed="false">
      <c r="B1947" s="19" t="s">
        <v>24571</v>
      </c>
      <c r="C1947" s="20" t="n">
        <f aca="false">ROUND(36.66/FX,2)</f>
        <v>5.09</v>
      </c>
      <c r="D1947" s="21" t="s">
        <v>724</v>
      </c>
      <c r="E1947" s="21" t="s">
        <v>14713</v>
      </c>
      <c r="F1947" s="21" t="s">
        <v>24572</v>
      </c>
    </row>
    <row r="1948" customFormat="false" ht="28.35" hidden="false" customHeight="false" outlineLevel="0" collapsed="false">
      <c r="B1948" s="19" t="s">
        <v>24573</v>
      </c>
      <c r="C1948" s="20" t="n">
        <f aca="false">ROUND(35.23/FX,2)</f>
        <v>4.89</v>
      </c>
      <c r="D1948" s="21" t="s">
        <v>724</v>
      </c>
      <c r="E1948" s="21" t="s">
        <v>14713</v>
      </c>
      <c r="F1948" s="21" t="s">
        <v>24574</v>
      </c>
    </row>
    <row r="1949" customFormat="false" ht="28.35" hidden="false" customHeight="false" outlineLevel="0" collapsed="false">
      <c r="B1949" s="19" t="s">
        <v>24575</v>
      </c>
      <c r="C1949" s="20" t="n">
        <f aca="false">ROUND(2.6/FX,2)</f>
        <v>0.36</v>
      </c>
      <c r="D1949" s="21" t="s">
        <v>6549</v>
      </c>
      <c r="E1949" s="21" t="s">
        <v>6336</v>
      </c>
      <c r="F1949" s="21" t="s">
        <v>24576</v>
      </c>
    </row>
    <row r="1950" customFormat="false" ht="41.75" hidden="false" customHeight="false" outlineLevel="0" collapsed="false">
      <c r="B1950" s="19" t="s">
        <v>24577</v>
      </c>
      <c r="C1950" s="20" t="n">
        <f aca="false">ROUND(3.25/FX,2)</f>
        <v>0.45</v>
      </c>
      <c r="D1950" s="21" t="s">
        <v>6549</v>
      </c>
      <c r="E1950" s="21" t="s">
        <v>6336</v>
      </c>
      <c r="F1950" s="21" t="s">
        <v>24532</v>
      </c>
    </row>
    <row r="1951" customFormat="false" ht="41.75" hidden="false" customHeight="false" outlineLevel="0" collapsed="false">
      <c r="B1951" s="19" t="s">
        <v>24578</v>
      </c>
      <c r="C1951" s="20" t="n">
        <f aca="false">ROUND(4.94/FX,2)</f>
        <v>0.69</v>
      </c>
      <c r="D1951" s="21" t="s">
        <v>6549</v>
      </c>
      <c r="E1951" s="21" t="s">
        <v>6336</v>
      </c>
      <c r="F1951" s="21" t="s">
        <v>24579</v>
      </c>
    </row>
    <row r="1952" customFormat="false" ht="41.75" hidden="false" customHeight="false" outlineLevel="0" collapsed="false">
      <c r="B1952" s="19" t="s">
        <v>24580</v>
      </c>
      <c r="C1952" s="20" t="n">
        <f aca="false">ROUND(5.2/FX,2)</f>
        <v>0.72</v>
      </c>
      <c r="D1952" s="21" t="s">
        <v>6549</v>
      </c>
      <c r="E1952" s="21" t="s">
        <v>6336</v>
      </c>
      <c r="F1952" s="21" t="s">
        <v>24581</v>
      </c>
    </row>
    <row r="1953" customFormat="false" ht="41.75" hidden="false" customHeight="false" outlineLevel="0" collapsed="false">
      <c r="B1953" s="19" t="s">
        <v>24582</v>
      </c>
      <c r="C1953" s="20" t="n">
        <f aca="false">ROUND(7.8/FX,2)</f>
        <v>1.08</v>
      </c>
      <c r="D1953" s="21" t="s">
        <v>6549</v>
      </c>
      <c r="E1953" s="21" t="s">
        <v>6336</v>
      </c>
      <c r="F1953" s="21" t="s">
        <v>24583</v>
      </c>
    </row>
    <row r="1954" customFormat="false" ht="41.75" hidden="false" customHeight="false" outlineLevel="0" collapsed="false">
      <c r="B1954" s="19" t="s">
        <v>24584</v>
      </c>
      <c r="C1954" s="20" t="n">
        <f aca="false">ROUND(7.8/FX,2)</f>
        <v>1.08</v>
      </c>
      <c r="D1954" s="21" t="s">
        <v>6549</v>
      </c>
      <c r="E1954" s="21" t="s">
        <v>6336</v>
      </c>
      <c r="F1954" s="21" t="s">
        <v>24534</v>
      </c>
    </row>
    <row r="1955" customFormat="false" ht="41.75" hidden="false" customHeight="false" outlineLevel="0" collapsed="false">
      <c r="B1955" s="19" t="s">
        <v>24585</v>
      </c>
      <c r="C1955" s="20" t="n">
        <f aca="false">ROUND(8.19/FX,2)</f>
        <v>1.14</v>
      </c>
      <c r="D1955" s="21" t="s">
        <v>6549</v>
      </c>
      <c r="E1955" s="21" t="s">
        <v>6336</v>
      </c>
      <c r="F1955" s="21" t="s">
        <v>24536</v>
      </c>
    </row>
    <row r="1956" customFormat="false" ht="41.75" hidden="false" customHeight="false" outlineLevel="0" collapsed="false">
      <c r="B1956" s="19" t="s">
        <v>24586</v>
      </c>
      <c r="C1956" s="20" t="n">
        <f aca="false">ROUND(6.37/FX,2)</f>
        <v>0.88</v>
      </c>
      <c r="D1956" s="21" t="s">
        <v>6549</v>
      </c>
      <c r="E1956" s="21" t="s">
        <v>6336</v>
      </c>
      <c r="F1956" s="21" t="s">
        <v>24538</v>
      </c>
    </row>
    <row r="1957" customFormat="false" ht="41.75" hidden="false" customHeight="false" outlineLevel="0" collapsed="false">
      <c r="B1957" s="19" t="s">
        <v>24587</v>
      </c>
      <c r="C1957" s="20" t="n">
        <f aca="false">ROUND(6.11/FX,2)</f>
        <v>0.85</v>
      </c>
      <c r="D1957" s="21" t="s">
        <v>6549</v>
      </c>
      <c r="E1957" s="21" t="s">
        <v>6336</v>
      </c>
      <c r="F1957" s="21" t="s">
        <v>24540</v>
      </c>
    </row>
    <row r="1958" customFormat="false" ht="41.75" hidden="false" customHeight="false" outlineLevel="0" collapsed="false">
      <c r="B1958" s="19" t="s">
        <v>24588</v>
      </c>
      <c r="C1958" s="20" t="n">
        <f aca="false">ROUND(11.96/FX,2)</f>
        <v>1.66</v>
      </c>
      <c r="D1958" s="21" t="s">
        <v>6549</v>
      </c>
      <c r="E1958" s="21" t="s">
        <v>6336</v>
      </c>
      <c r="F1958" s="21" t="s">
        <v>24542</v>
      </c>
    </row>
    <row r="1959" customFormat="false" ht="41.75" hidden="false" customHeight="false" outlineLevel="0" collapsed="false">
      <c r="B1959" s="19" t="s">
        <v>24589</v>
      </c>
      <c r="C1959" s="20" t="n">
        <f aca="false">ROUND(10.4/FX,2)</f>
        <v>1.44</v>
      </c>
      <c r="D1959" s="21" t="s">
        <v>6549</v>
      </c>
      <c r="E1959" s="21" t="s">
        <v>6336</v>
      </c>
      <c r="F1959" s="21" t="s">
        <v>24544</v>
      </c>
    </row>
    <row r="1960" customFormat="false" ht="41.75" hidden="false" customHeight="false" outlineLevel="0" collapsed="false">
      <c r="B1960" s="19" t="s">
        <v>24590</v>
      </c>
      <c r="C1960" s="20" t="n">
        <f aca="false">ROUND(7.02/FX,2)</f>
        <v>0.98</v>
      </c>
      <c r="D1960" s="21" t="s">
        <v>6549</v>
      </c>
      <c r="E1960" s="21" t="s">
        <v>6336</v>
      </c>
      <c r="F1960" s="21" t="s">
        <v>24546</v>
      </c>
    </row>
    <row r="1961" customFormat="false" ht="41.75" hidden="false" customHeight="false" outlineLevel="0" collapsed="false">
      <c r="B1961" s="19" t="s">
        <v>24591</v>
      </c>
      <c r="C1961" s="20" t="n">
        <f aca="false">ROUND(6.76/FX,2)</f>
        <v>0.94</v>
      </c>
      <c r="D1961" s="21" t="s">
        <v>6549</v>
      </c>
      <c r="E1961" s="21" t="s">
        <v>6336</v>
      </c>
      <c r="F1961" s="21" t="s">
        <v>24548</v>
      </c>
    </row>
    <row r="1962" customFormat="false" ht="41.75" hidden="false" customHeight="false" outlineLevel="0" collapsed="false">
      <c r="B1962" s="19" t="s">
        <v>24592</v>
      </c>
      <c r="C1962" s="20" t="n">
        <f aca="false">ROUND(11.96/FX,2)</f>
        <v>1.66</v>
      </c>
      <c r="D1962" s="21" t="s">
        <v>6549</v>
      </c>
      <c r="E1962" s="21" t="s">
        <v>6336</v>
      </c>
      <c r="F1962" s="21" t="s">
        <v>24593</v>
      </c>
    </row>
    <row r="1963" customFormat="false" ht="41.75" hidden="false" customHeight="false" outlineLevel="0" collapsed="false">
      <c r="B1963" s="19" t="s">
        <v>24594</v>
      </c>
      <c r="C1963" s="20" t="n">
        <f aca="false">ROUND(13.2/FX,2)</f>
        <v>1.83</v>
      </c>
      <c r="D1963" s="21" t="s">
        <v>6549</v>
      </c>
      <c r="E1963" s="21" t="s">
        <v>6336</v>
      </c>
      <c r="F1963" s="21" t="s">
        <v>24595</v>
      </c>
    </row>
    <row r="1964" customFormat="false" ht="41.75" hidden="false" customHeight="false" outlineLevel="0" collapsed="false">
      <c r="B1964" s="19" t="s">
        <v>24596</v>
      </c>
      <c r="C1964" s="20" t="n">
        <f aca="false">ROUND(11.96/FX,2)</f>
        <v>1.66</v>
      </c>
      <c r="D1964" s="21" t="s">
        <v>6549</v>
      </c>
      <c r="E1964" s="21" t="s">
        <v>6336</v>
      </c>
      <c r="F1964" s="21" t="s">
        <v>24552</v>
      </c>
    </row>
    <row r="1965" customFormat="false" ht="15" hidden="false" customHeight="false" outlineLevel="0" collapsed="false">
      <c r="B1965" s="19" t="s">
        <v>24597</v>
      </c>
      <c r="C1965" s="20" t="n">
        <f aca="false">ROUND(3.51/FX,2)</f>
        <v>0.49</v>
      </c>
      <c r="D1965" s="21" t="s">
        <v>6549</v>
      </c>
      <c r="E1965" s="21" t="s">
        <v>14713</v>
      </c>
      <c r="F1965" s="21" t="s">
        <v>24598</v>
      </c>
    </row>
    <row r="1966" customFormat="false" ht="28.35" hidden="false" customHeight="false" outlineLevel="0" collapsed="false">
      <c r="B1966" s="19" t="s">
        <v>24599</v>
      </c>
      <c r="C1966" s="20" t="n">
        <f aca="false">ROUND(4.68/FX,2)</f>
        <v>0.65</v>
      </c>
      <c r="D1966" s="21" t="s">
        <v>6549</v>
      </c>
      <c r="E1966" s="21" t="s">
        <v>14713</v>
      </c>
      <c r="F1966" s="21" t="s">
        <v>24600</v>
      </c>
    </row>
    <row r="1967" customFormat="false" ht="28.35" hidden="false" customHeight="false" outlineLevel="0" collapsed="false">
      <c r="B1967" s="19" t="s">
        <v>24601</v>
      </c>
      <c r="C1967" s="20" t="n">
        <f aca="false">ROUND(4.16/FX,2)</f>
        <v>0.58</v>
      </c>
      <c r="D1967" s="21" t="s">
        <v>6549</v>
      </c>
      <c r="E1967" s="21" t="s">
        <v>14713</v>
      </c>
      <c r="F1967" s="21" t="s">
        <v>24554</v>
      </c>
    </row>
    <row r="1968" customFormat="false" ht="28.35" hidden="false" customHeight="false" outlineLevel="0" collapsed="false">
      <c r="B1968" s="19" t="s">
        <v>24602</v>
      </c>
      <c r="C1968" s="20" t="n">
        <f aca="false">ROUND(5.85/FX,2)</f>
        <v>0.81</v>
      </c>
      <c r="D1968" s="21" t="s">
        <v>6549</v>
      </c>
      <c r="E1968" s="21" t="s">
        <v>14713</v>
      </c>
      <c r="F1968" s="21" t="s">
        <v>24603</v>
      </c>
    </row>
    <row r="1969" customFormat="false" ht="28.35" hidden="false" customHeight="false" outlineLevel="0" collapsed="false">
      <c r="B1969" s="19" t="s">
        <v>24604</v>
      </c>
      <c r="C1969" s="20" t="n">
        <f aca="false">ROUND(5.2/FX,2)</f>
        <v>0.72</v>
      </c>
      <c r="D1969" s="21" t="s">
        <v>6549</v>
      </c>
      <c r="E1969" s="21" t="s">
        <v>14713</v>
      </c>
      <c r="F1969" s="21" t="s">
        <v>24605</v>
      </c>
    </row>
    <row r="1970" customFormat="false" ht="28.35" hidden="false" customHeight="false" outlineLevel="0" collapsed="false">
      <c r="B1970" s="19" t="s">
        <v>24606</v>
      </c>
      <c r="C1970" s="20" t="n">
        <f aca="false">ROUND(7.28/FX,2)</f>
        <v>1.01</v>
      </c>
      <c r="D1970" s="21" t="s">
        <v>6549</v>
      </c>
      <c r="E1970" s="21" t="s">
        <v>14713</v>
      </c>
      <c r="F1970" s="21" t="s">
        <v>24607</v>
      </c>
    </row>
    <row r="1971" customFormat="false" ht="28.35" hidden="false" customHeight="false" outlineLevel="0" collapsed="false">
      <c r="B1971" s="19" t="s">
        <v>24608</v>
      </c>
      <c r="C1971" s="20" t="n">
        <f aca="false">ROUND(6.37/FX,2)</f>
        <v>0.88</v>
      </c>
      <c r="D1971" s="21" t="s">
        <v>6549</v>
      </c>
      <c r="E1971" s="21" t="s">
        <v>14713</v>
      </c>
      <c r="F1971" s="21" t="s">
        <v>24609</v>
      </c>
    </row>
    <row r="1972" customFormat="false" ht="28.35" hidden="false" customHeight="false" outlineLevel="0" collapsed="false">
      <c r="B1972" s="19" t="s">
        <v>24610</v>
      </c>
      <c r="C1972" s="20" t="n">
        <f aca="false">ROUND(7.67/FX,2)</f>
        <v>1.07</v>
      </c>
      <c r="D1972" s="21" t="s">
        <v>6549</v>
      </c>
      <c r="E1972" s="21" t="s">
        <v>14713</v>
      </c>
      <c r="F1972" s="21" t="s">
        <v>24611</v>
      </c>
    </row>
    <row r="1973" customFormat="false" ht="28.35" hidden="false" customHeight="false" outlineLevel="0" collapsed="false">
      <c r="B1973" s="19" t="s">
        <v>24612</v>
      </c>
      <c r="C1973" s="20" t="n">
        <f aca="false">ROUND(15.47/FX,2)</f>
        <v>2.15</v>
      </c>
      <c r="D1973" s="21" t="s">
        <v>6549</v>
      </c>
      <c r="E1973" s="21" t="s">
        <v>14713</v>
      </c>
      <c r="F1973" s="21" t="s">
        <v>24556</v>
      </c>
    </row>
    <row r="1974" customFormat="false" ht="28.35" hidden="false" customHeight="false" outlineLevel="0" collapsed="false">
      <c r="B1974" s="19" t="s">
        <v>24613</v>
      </c>
      <c r="C1974" s="20" t="n">
        <f aca="false">ROUND(15.99/FX,2)</f>
        <v>2.22</v>
      </c>
      <c r="D1974" s="21" t="s">
        <v>6549</v>
      </c>
      <c r="E1974" s="21" t="s">
        <v>14713</v>
      </c>
      <c r="F1974" s="21" t="s">
        <v>24558</v>
      </c>
    </row>
    <row r="1975" customFormat="false" ht="28.35" hidden="false" customHeight="false" outlineLevel="0" collapsed="false">
      <c r="B1975" s="19" t="s">
        <v>24614</v>
      </c>
      <c r="C1975" s="20" t="n">
        <f aca="false">ROUND(12.4/FX,2)</f>
        <v>1.72</v>
      </c>
      <c r="D1975" s="21" t="s">
        <v>6549</v>
      </c>
      <c r="E1975" s="21" t="s">
        <v>14713</v>
      </c>
      <c r="F1975" s="21" t="s">
        <v>24560</v>
      </c>
    </row>
    <row r="1976" customFormat="false" ht="28.35" hidden="false" customHeight="false" outlineLevel="0" collapsed="false">
      <c r="B1976" s="19" t="s">
        <v>24615</v>
      </c>
      <c r="C1976" s="20" t="n">
        <f aca="false">ROUND(11.05/FX,2)</f>
        <v>1.53</v>
      </c>
      <c r="D1976" s="21" t="s">
        <v>6549</v>
      </c>
      <c r="E1976" s="21" t="s">
        <v>14713</v>
      </c>
      <c r="F1976" s="21" t="s">
        <v>24616</v>
      </c>
    </row>
    <row r="1977" customFormat="false" ht="28.35" hidden="false" customHeight="false" outlineLevel="0" collapsed="false">
      <c r="B1977" s="19" t="s">
        <v>24617</v>
      </c>
      <c r="C1977" s="20" t="n">
        <f aca="false">ROUND(12.14/FX,2)</f>
        <v>1.69</v>
      </c>
      <c r="D1977" s="21" t="s">
        <v>6549</v>
      </c>
      <c r="E1977" s="21" t="s">
        <v>14713</v>
      </c>
      <c r="F1977" s="21" t="s">
        <v>24562</v>
      </c>
    </row>
    <row r="1978" customFormat="false" ht="28.35" hidden="false" customHeight="false" outlineLevel="0" collapsed="false">
      <c r="B1978" s="19" t="s">
        <v>24618</v>
      </c>
      <c r="C1978" s="20" t="n">
        <f aca="false">ROUND(12.48/FX,2)</f>
        <v>1.73</v>
      </c>
      <c r="D1978" s="21" t="s">
        <v>6549</v>
      </c>
      <c r="E1978" s="21" t="s">
        <v>14713</v>
      </c>
      <c r="F1978" s="21" t="s">
        <v>24619</v>
      </c>
    </row>
    <row r="1979" customFormat="false" ht="15" hidden="false" customHeight="false" outlineLevel="0" collapsed="false">
      <c r="B1979" s="19" t="s">
        <v>24620</v>
      </c>
      <c r="C1979" s="20" t="n">
        <f aca="false">ROUND(26/FX,2)</f>
        <v>3.61</v>
      </c>
      <c r="D1979" s="21" t="s">
        <v>6549</v>
      </c>
      <c r="E1979" s="21" t="s">
        <v>14713</v>
      </c>
      <c r="F1979" s="21" t="s">
        <v>24621</v>
      </c>
    </row>
    <row r="1980" customFormat="false" ht="15" hidden="false" customHeight="false" outlineLevel="0" collapsed="false">
      <c r="B1980" s="19" t="s">
        <v>24622</v>
      </c>
      <c r="C1980" s="20" t="n">
        <f aca="false">ROUND(29.25/FX,2)</f>
        <v>4.06</v>
      </c>
      <c r="D1980" s="21" t="s">
        <v>6549</v>
      </c>
      <c r="E1980" s="21" t="s">
        <v>14713</v>
      </c>
      <c r="F1980" s="21" t="s">
        <v>24623</v>
      </c>
    </row>
    <row r="1981" customFormat="false" ht="28.35" hidden="false" customHeight="false" outlineLevel="0" collapsed="false">
      <c r="B1981" s="19" t="s">
        <v>24624</v>
      </c>
      <c r="C1981" s="20" t="n">
        <f aca="false">ROUND(28.21/FX,2)</f>
        <v>3.92</v>
      </c>
      <c r="D1981" s="21" t="s">
        <v>6549</v>
      </c>
      <c r="E1981" s="21" t="s">
        <v>14713</v>
      </c>
      <c r="F1981" s="21" t="s">
        <v>24564</v>
      </c>
    </row>
    <row r="1982" customFormat="false" ht="28.35" hidden="false" customHeight="false" outlineLevel="0" collapsed="false">
      <c r="B1982" s="19" t="s">
        <v>24625</v>
      </c>
      <c r="C1982" s="20" t="n">
        <f aca="false">ROUND(27.69/FX,2)</f>
        <v>3.85</v>
      </c>
      <c r="D1982" s="21" t="s">
        <v>6549</v>
      </c>
      <c r="E1982" s="21" t="s">
        <v>14713</v>
      </c>
      <c r="F1982" s="21" t="s">
        <v>24566</v>
      </c>
    </row>
    <row r="1983" customFormat="false" ht="28.35" hidden="false" customHeight="false" outlineLevel="0" collapsed="false">
      <c r="B1983" s="19" t="s">
        <v>24626</v>
      </c>
      <c r="C1983" s="20" t="n">
        <f aca="false">ROUND(15.34/FX,2)</f>
        <v>2.13</v>
      </c>
      <c r="D1983" s="21" t="s">
        <v>6549</v>
      </c>
      <c r="E1983" s="21" t="s">
        <v>14713</v>
      </c>
      <c r="F1983" s="21" t="s">
        <v>24568</v>
      </c>
    </row>
    <row r="1984" customFormat="false" ht="28.35" hidden="false" customHeight="false" outlineLevel="0" collapsed="false">
      <c r="B1984" s="19" t="s">
        <v>24627</v>
      </c>
      <c r="C1984" s="20" t="n">
        <f aca="false">ROUND(14.82/FX,2)</f>
        <v>2.06</v>
      </c>
      <c r="D1984" s="21" t="s">
        <v>6549</v>
      </c>
      <c r="E1984" s="21" t="s">
        <v>14713</v>
      </c>
      <c r="F1984" s="21" t="s">
        <v>24570</v>
      </c>
    </row>
    <row r="1985" customFormat="false" ht="28.35" hidden="false" customHeight="false" outlineLevel="0" collapsed="false">
      <c r="B1985" s="19" t="s">
        <v>24628</v>
      </c>
      <c r="C1985" s="20" t="n">
        <f aca="false">ROUND(36.66/FX,2)</f>
        <v>5.09</v>
      </c>
      <c r="D1985" s="21" t="s">
        <v>6549</v>
      </c>
      <c r="E1985" s="21" t="s">
        <v>14713</v>
      </c>
      <c r="F1985" s="21" t="s">
        <v>24572</v>
      </c>
    </row>
    <row r="1986" customFormat="false" ht="28.35" hidden="false" customHeight="false" outlineLevel="0" collapsed="false">
      <c r="B1986" s="19" t="s">
        <v>24629</v>
      </c>
      <c r="C1986" s="20" t="n">
        <f aca="false">ROUND(35.23/FX,2)</f>
        <v>4.89</v>
      </c>
      <c r="D1986" s="21" t="s">
        <v>6549</v>
      </c>
      <c r="E1986" s="21" t="s">
        <v>14713</v>
      </c>
      <c r="F1986" s="21" t="s">
        <v>24574</v>
      </c>
    </row>
    <row r="1989" customFormat="false" ht="61.5" hidden="false" customHeight="true" outlineLevel="0" collapsed="false">
      <c r="A1989" s="9"/>
      <c r="B1989" s="10" t="s">
        <v>24630</v>
      </c>
      <c r="C1989" s="10"/>
      <c r="D1989" s="10"/>
    </row>
    <row r="1990" customFormat="false" ht="15" hidden="false" customHeight="false" outlineLevel="0" collapsed="false">
      <c r="A1990" s="12" t="s">
        <v>700</v>
      </c>
      <c r="B1990" s="13" t="s">
        <v>701</v>
      </c>
      <c r="C1990" s="13" t="s">
        <v>702</v>
      </c>
      <c r="D1990" s="13" t="s">
        <v>723</v>
      </c>
    </row>
    <row r="1991" customFormat="false" ht="30" hidden="false" customHeight="true" outlineLevel="0" collapsed="false">
      <c r="A1991" s="14" t="s">
        <v>706</v>
      </c>
      <c r="B1991" s="15" t="str">
        <f aca="false">IF(COUNTIFS($D$1994:$D$2001,IF(D1991="","*",D1991))=1,INDEX($B:$B,SUMPRODUCT(((D1991="")+($D$1994:$D$2001=D1991)&gt;0)*ROW($B$1994:$B$2001))),IF(COUNTIFS($D$1994:$D$2001,IF(D1991="","*",D1991))=0,"Not available",COUNTIFS($D$1994:$D$2001,IF(D1991="","*",D1991))&amp;" match, keep choosing"))</f>
        <v>AL-056-EU-2020</v>
      </c>
      <c r="C1991" s="16" t="n">
        <f aca="false">IF(COUNTIFS($D$1994:$D$2001,IF(D1991="","*",D1991))=1,INDEX($C:$C,SUMPRODUCT(((D1991="")+($D$1994:$D$2001=D1991)&gt;0)*ROW($B$1994:$B$2001))),"")</f>
        <v>0.35</v>
      </c>
      <c r="D1991" s="17" t="s">
        <v>23034</v>
      </c>
    </row>
    <row r="1993" customFormat="false" ht="15" hidden="false" customHeight="false" outlineLevel="0" collapsed="false">
      <c r="B1993" s="18" t="s">
        <v>701</v>
      </c>
      <c r="C1993" s="18" t="s">
        <v>702</v>
      </c>
      <c r="D1993" s="18" t="s">
        <v>723</v>
      </c>
    </row>
    <row r="1994" customFormat="false" ht="15" hidden="false" customHeight="false" outlineLevel="0" collapsed="false">
      <c r="B1994" s="19" t="s">
        <v>24631</v>
      </c>
      <c r="C1994" s="20" t="n">
        <f aca="false">ROUND(2.5/FX,2)</f>
        <v>0.35</v>
      </c>
      <c r="D1994" s="21" t="s">
        <v>23034</v>
      </c>
    </row>
    <row r="1995" customFormat="false" ht="28.35" hidden="false" customHeight="false" outlineLevel="0" collapsed="false">
      <c r="B1995" s="19" t="s">
        <v>24632</v>
      </c>
      <c r="C1995" s="20" t="n">
        <f aca="false">ROUND(3.54/FX,2)</f>
        <v>0.49</v>
      </c>
      <c r="D1995" s="21" t="s">
        <v>24633</v>
      </c>
    </row>
    <row r="1996" customFormat="false" ht="15" hidden="false" customHeight="false" outlineLevel="0" collapsed="false">
      <c r="B1996" s="19" t="s">
        <v>24634</v>
      </c>
      <c r="C1996" s="20" t="n">
        <f aca="false">ROUND(11.57/FX,2)</f>
        <v>1.61</v>
      </c>
      <c r="D1996" s="21" t="s">
        <v>23038</v>
      </c>
    </row>
    <row r="1997" customFormat="false" ht="28.35" hidden="false" customHeight="false" outlineLevel="0" collapsed="false">
      <c r="B1997" s="19" t="s">
        <v>24635</v>
      </c>
      <c r="C1997" s="20" t="n">
        <f aca="false">ROUND(12.57/FX,2)</f>
        <v>1.75</v>
      </c>
      <c r="D1997" s="21" t="s">
        <v>24636</v>
      </c>
    </row>
    <row r="1998" customFormat="false" ht="15" hidden="false" customHeight="false" outlineLevel="0" collapsed="false">
      <c r="B1998" s="19" t="s">
        <v>24637</v>
      </c>
      <c r="C1998" s="20" t="n">
        <f aca="false">ROUND(15.34/FX,2)</f>
        <v>2.13</v>
      </c>
      <c r="D1998" s="21" t="s">
        <v>23041</v>
      </c>
    </row>
    <row r="1999" customFormat="false" ht="28.35" hidden="false" customHeight="false" outlineLevel="0" collapsed="false">
      <c r="B1999" s="19" t="s">
        <v>24638</v>
      </c>
      <c r="C1999" s="20" t="n">
        <f aca="false">ROUND(17.64/FX,2)</f>
        <v>2.45</v>
      </c>
      <c r="D1999" s="21" t="s">
        <v>24639</v>
      </c>
    </row>
    <row r="2000" customFormat="false" ht="15" hidden="false" customHeight="false" outlineLevel="0" collapsed="false">
      <c r="B2000" s="19" t="s">
        <v>24640</v>
      </c>
      <c r="C2000" s="20" t="n">
        <f aca="false">ROUND(20.8/FX,2)</f>
        <v>2.89</v>
      </c>
      <c r="D2000" s="21" t="s">
        <v>23265</v>
      </c>
    </row>
    <row r="2001" customFormat="false" ht="28.35" hidden="false" customHeight="false" outlineLevel="0" collapsed="false">
      <c r="B2001" s="19" t="s">
        <v>24641</v>
      </c>
      <c r="C2001" s="20" t="n">
        <f aca="false">ROUND(21.8/FX,2)</f>
        <v>3.03</v>
      </c>
      <c r="D2001" s="21" t="s">
        <v>24642</v>
      </c>
    </row>
    <row r="2004" customFormat="false" ht="61.5" hidden="false" customHeight="true" outlineLevel="0" collapsed="false">
      <c r="A2004" s="9"/>
      <c r="B2004" s="10" t="s">
        <v>24643</v>
      </c>
      <c r="C2004" s="10"/>
      <c r="D2004" s="10"/>
      <c r="E2004" s="10"/>
    </row>
    <row r="2005" customFormat="false" ht="15" hidden="false" customHeight="false" outlineLevel="0" collapsed="false">
      <c r="A2005" s="12" t="s">
        <v>700</v>
      </c>
      <c r="B2005" s="13" t="s">
        <v>701</v>
      </c>
      <c r="C2005" s="13" t="s">
        <v>702</v>
      </c>
      <c r="D2005" s="13" t="s">
        <v>722</v>
      </c>
      <c r="E2005" s="13" t="s">
        <v>723</v>
      </c>
    </row>
    <row r="2006" customFormat="false" ht="30" hidden="false" customHeight="true" outlineLevel="0" collapsed="false">
      <c r="A2006" s="14" t="s">
        <v>706</v>
      </c>
      <c r="B2006" s="15" t="str">
        <f aca="false">IF(COUNTIFS($D$2009:$D$2064,IF(D2006="","*",D2006),$E$2009:$E$2064,IF(E2006="","*",E2006))=1,INDEX($B:$B,SUMPRODUCT(((D2006="")+($D$2009:$D$2064=D2006)&gt;0)*((E2006="")+($E$2009:$E$2064=E2006)&gt;0)*ROW($B$2009:$B$2064))),IF(COUNTIFS($D$2009:$D$2064,IF(D2006="","*",D2006),$E$2009:$E$2064,IF(E2006="","*",E2006))=0,"Not available",COUNTIFS($D$2009:$D$2064,IF(D2006="","*",D2006),$E$2009:$E$2064,IF(E2006="","*",E2006))&amp;" match, keep choosing"))</f>
        <v>AL-024-BK-2020-2H</v>
      </c>
      <c r="C2006" s="16" t="n">
        <f aca="false">IF(COUNTIFS($D$2009:$D$2064,IF(D2006="","*",D2006),$E$2009:$E$2064,IF(E2006="","*",E2006))=1,INDEX($C:$C,SUMPRODUCT(((D2006="")+($D$2009:$D$2064=D2006)&gt;0)*((E2006="")+($E$2009:$E$2064=E2006)&gt;0)*ROW($B$2009:$B$2064))),"")</f>
        <v>0.45</v>
      </c>
      <c r="D2006" s="17" t="s">
        <v>724</v>
      </c>
      <c r="E2006" s="17" t="s">
        <v>23151</v>
      </c>
    </row>
    <row r="2008" customFormat="false" ht="15" hidden="false" customHeight="false" outlineLevel="0" collapsed="false">
      <c r="B2008" s="18" t="s">
        <v>701</v>
      </c>
      <c r="C2008" s="18" t="s">
        <v>702</v>
      </c>
      <c r="D2008" s="18" t="s">
        <v>722</v>
      </c>
      <c r="E2008" s="18" t="s">
        <v>723</v>
      </c>
    </row>
    <row r="2009" customFormat="false" ht="15" hidden="false" customHeight="false" outlineLevel="0" collapsed="false">
      <c r="B2009" s="19" t="s">
        <v>24644</v>
      </c>
      <c r="C2009" s="20" t="n">
        <f aca="false">ROUND(3.25/FX,2)</f>
        <v>0.45</v>
      </c>
      <c r="D2009" s="21" t="s">
        <v>724</v>
      </c>
      <c r="E2009" s="21" t="s">
        <v>23151</v>
      </c>
    </row>
    <row r="2010" customFormat="false" ht="15" hidden="false" customHeight="false" outlineLevel="0" collapsed="false">
      <c r="B2010" s="19" t="s">
        <v>24645</v>
      </c>
      <c r="C2010" s="20" t="n">
        <f aca="false">ROUND(8.45/FX,2)</f>
        <v>1.17</v>
      </c>
      <c r="D2010" s="21" t="s">
        <v>724</v>
      </c>
      <c r="E2010" s="21" t="s">
        <v>23154</v>
      </c>
    </row>
    <row r="2011" customFormat="false" ht="15" hidden="false" customHeight="false" outlineLevel="0" collapsed="false">
      <c r="B2011" s="19" t="s">
        <v>24646</v>
      </c>
      <c r="C2011" s="20" t="n">
        <f aca="false">ROUND(8.45/FX,2)</f>
        <v>1.17</v>
      </c>
      <c r="D2011" s="21" t="s">
        <v>724</v>
      </c>
      <c r="E2011" s="21" t="s">
        <v>23156</v>
      </c>
    </row>
    <row r="2012" customFormat="false" ht="15" hidden="false" customHeight="false" outlineLevel="0" collapsed="false">
      <c r="B2012" s="19" t="s">
        <v>24647</v>
      </c>
      <c r="C2012" s="20" t="n">
        <f aca="false">ROUND(15.6/FX,2)</f>
        <v>2.17</v>
      </c>
      <c r="D2012" s="21" t="s">
        <v>724</v>
      </c>
      <c r="E2012" s="21" t="s">
        <v>23159</v>
      </c>
    </row>
    <row r="2013" customFormat="false" ht="15" hidden="false" customHeight="false" outlineLevel="0" collapsed="false">
      <c r="B2013" s="19" t="s">
        <v>24648</v>
      </c>
      <c r="C2013" s="20" t="n">
        <f aca="false">ROUND(7.67/FX,2)</f>
        <v>1.07</v>
      </c>
      <c r="D2013" s="21" t="s">
        <v>724</v>
      </c>
      <c r="E2013" s="21" t="s">
        <v>24649</v>
      </c>
    </row>
    <row r="2014" customFormat="false" ht="15" hidden="false" customHeight="false" outlineLevel="0" collapsed="false">
      <c r="B2014" s="19" t="s">
        <v>24650</v>
      </c>
      <c r="C2014" s="20" t="n">
        <f aca="false">ROUND(6.5/FX,2)</f>
        <v>0.9</v>
      </c>
      <c r="D2014" s="21" t="s">
        <v>724</v>
      </c>
      <c r="E2014" s="21" t="s">
        <v>23165</v>
      </c>
    </row>
    <row r="2015" customFormat="false" ht="15" hidden="false" customHeight="false" outlineLevel="0" collapsed="false">
      <c r="B2015" s="19" t="s">
        <v>24651</v>
      </c>
      <c r="C2015" s="20" t="n">
        <f aca="false">ROUND(9.1/FX,2)</f>
        <v>1.26</v>
      </c>
      <c r="D2015" s="21" t="s">
        <v>724</v>
      </c>
      <c r="E2015" s="21" t="s">
        <v>23085</v>
      </c>
    </row>
    <row r="2016" customFormat="false" ht="15" hidden="false" customHeight="false" outlineLevel="0" collapsed="false">
      <c r="B2016" s="19" t="s">
        <v>24652</v>
      </c>
      <c r="C2016" s="20" t="n">
        <f aca="false">ROUND(9.1/FX,2)</f>
        <v>1.26</v>
      </c>
      <c r="D2016" s="21" t="s">
        <v>724</v>
      </c>
      <c r="E2016" s="21" t="s">
        <v>24653</v>
      </c>
    </row>
    <row r="2017" customFormat="false" ht="15" hidden="false" customHeight="false" outlineLevel="0" collapsed="false">
      <c r="B2017" s="19" t="s">
        <v>24654</v>
      </c>
      <c r="C2017" s="20" t="n">
        <f aca="false">ROUND(16.9/FX,2)</f>
        <v>2.35</v>
      </c>
      <c r="D2017" s="21" t="s">
        <v>724</v>
      </c>
      <c r="E2017" s="21" t="s">
        <v>24655</v>
      </c>
    </row>
    <row r="2018" customFormat="false" ht="15" hidden="false" customHeight="false" outlineLevel="0" collapsed="false">
      <c r="B2018" s="19" t="s">
        <v>24656</v>
      </c>
      <c r="C2018" s="20" t="n">
        <f aca="false">ROUND(31.2/FX,2)</f>
        <v>4.33</v>
      </c>
      <c r="D2018" s="21" t="s">
        <v>724</v>
      </c>
      <c r="E2018" s="21" t="s">
        <v>24657</v>
      </c>
    </row>
    <row r="2019" customFormat="false" ht="15" hidden="false" customHeight="false" outlineLevel="0" collapsed="false">
      <c r="B2019" s="19" t="s">
        <v>24658</v>
      </c>
      <c r="C2019" s="20" t="n">
        <f aca="false">ROUND(36.4/FX,2)</f>
        <v>5.06</v>
      </c>
      <c r="D2019" s="21" t="s">
        <v>724</v>
      </c>
      <c r="E2019" s="21" t="s">
        <v>24659</v>
      </c>
    </row>
    <row r="2020" customFormat="false" ht="15" hidden="false" customHeight="false" outlineLevel="0" collapsed="false">
      <c r="B2020" s="19" t="s">
        <v>24660</v>
      </c>
      <c r="C2020" s="20" t="n">
        <f aca="false">ROUND(8.45/FX,2)</f>
        <v>1.17</v>
      </c>
      <c r="D2020" s="21" t="s">
        <v>724</v>
      </c>
      <c r="E2020" s="21" t="s">
        <v>23170</v>
      </c>
    </row>
    <row r="2021" customFormat="false" ht="15" hidden="false" customHeight="false" outlineLevel="0" collapsed="false">
      <c r="B2021" s="19" t="s">
        <v>24661</v>
      </c>
      <c r="C2021" s="20" t="n">
        <f aca="false">ROUND(13.91/FX,2)</f>
        <v>1.93</v>
      </c>
      <c r="D2021" s="21" t="s">
        <v>724</v>
      </c>
      <c r="E2021" s="21" t="s">
        <v>23089</v>
      </c>
    </row>
    <row r="2022" customFormat="false" ht="15" hidden="false" customHeight="false" outlineLevel="0" collapsed="false">
      <c r="B2022" s="19" t="s">
        <v>24662</v>
      </c>
      <c r="C2022" s="20" t="n">
        <f aca="false">ROUND(13.91/FX,2)</f>
        <v>1.93</v>
      </c>
      <c r="D2022" s="21" t="s">
        <v>724</v>
      </c>
      <c r="E2022" s="21" t="s">
        <v>24663</v>
      </c>
    </row>
    <row r="2023" customFormat="false" ht="15" hidden="false" customHeight="false" outlineLevel="0" collapsed="false">
      <c r="B2023" s="19" t="s">
        <v>24664</v>
      </c>
      <c r="C2023" s="20" t="n">
        <f aca="false">ROUND(28.6/FX,2)</f>
        <v>3.97</v>
      </c>
      <c r="D2023" s="21" t="s">
        <v>724</v>
      </c>
      <c r="E2023" s="21" t="s">
        <v>24665</v>
      </c>
    </row>
    <row r="2024" customFormat="false" ht="15" hidden="false" customHeight="false" outlineLevel="0" collapsed="false">
      <c r="B2024" s="19" t="s">
        <v>24666</v>
      </c>
      <c r="C2024" s="20" t="n">
        <f aca="false">ROUND(9.75/FX,2)</f>
        <v>1.35</v>
      </c>
      <c r="D2024" s="21" t="s">
        <v>724</v>
      </c>
      <c r="E2024" s="21" t="s">
        <v>23173</v>
      </c>
    </row>
    <row r="2025" customFormat="false" ht="15" hidden="false" customHeight="false" outlineLevel="0" collapsed="false">
      <c r="B2025" s="19" t="s">
        <v>24667</v>
      </c>
      <c r="C2025" s="20" t="n">
        <f aca="false">ROUND(16.25/FX,2)</f>
        <v>2.26</v>
      </c>
      <c r="D2025" s="21" t="s">
        <v>724</v>
      </c>
      <c r="E2025" s="21" t="s">
        <v>23177</v>
      </c>
    </row>
    <row r="2026" customFormat="false" ht="15" hidden="false" customHeight="false" outlineLevel="0" collapsed="false">
      <c r="B2026" s="19" t="s">
        <v>24668</v>
      </c>
      <c r="C2026" s="20" t="n">
        <f aca="false">ROUND(16.25/FX,2)</f>
        <v>2.26</v>
      </c>
      <c r="D2026" s="21" t="s">
        <v>724</v>
      </c>
      <c r="E2026" s="21" t="s">
        <v>24669</v>
      </c>
    </row>
    <row r="2027" customFormat="false" ht="15" hidden="false" customHeight="false" outlineLevel="0" collapsed="false">
      <c r="B2027" s="19" t="s">
        <v>24670</v>
      </c>
      <c r="C2027" s="20" t="n">
        <f aca="false">ROUND(31.2/FX,2)</f>
        <v>4.33</v>
      </c>
      <c r="D2027" s="21" t="s">
        <v>724</v>
      </c>
      <c r="E2027" s="21" t="s">
        <v>24671</v>
      </c>
    </row>
    <row r="2028" customFormat="false" ht="15" hidden="false" customHeight="false" outlineLevel="0" collapsed="false">
      <c r="B2028" s="19" t="s">
        <v>24672</v>
      </c>
      <c r="C2028" s="20" t="n">
        <f aca="false">ROUND(31.2/FX,2)</f>
        <v>4.33</v>
      </c>
      <c r="D2028" s="21" t="s">
        <v>6362</v>
      </c>
      <c r="E2028" s="21" t="s">
        <v>24657</v>
      </c>
    </row>
    <row r="2029" customFormat="false" ht="15" hidden="false" customHeight="false" outlineLevel="0" collapsed="false">
      <c r="B2029" s="19" t="s">
        <v>24673</v>
      </c>
      <c r="C2029" s="20" t="n">
        <f aca="false">ROUND(36.4/FX,2)</f>
        <v>5.06</v>
      </c>
      <c r="D2029" s="21" t="s">
        <v>6362</v>
      </c>
      <c r="E2029" s="21" t="s">
        <v>24659</v>
      </c>
    </row>
    <row r="2030" customFormat="false" ht="28.35" hidden="false" customHeight="false" outlineLevel="0" collapsed="false">
      <c r="B2030" s="19" t="s">
        <v>24674</v>
      </c>
      <c r="C2030" s="20" t="n">
        <f aca="false">ROUND(1.95/FX,2)</f>
        <v>0.27</v>
      </c>
      <c r="D2030" s="21" t="s">
        <v>6549</v>
      </c>
      <c r="E2030" s="21" t="s">
        <v>24675</v>
      </c>
    </row>
    <row r="2031" customFormat="false" ht="28.35" hidden="false" customHeight="false" outlineLevel="0" collapsed="false">
      <c r="B2031" s="19" t="s">
        <v>24676</v>
      </c>
      <c r="C2031" s="20" t="n">
        <f aca="false">ROUND(3.38/FX,2)</f>
        <v>0.47</v>
      </c>
      <c r="D2031" s="21" t="s">
        <v>6549</v>
      </c>
      <c r="E2031" s="21" t="s">
        <v>24677</v>
      </c>
    </row>
    <row r="2032" customFormat="false" ht="28.35" hidden="false" customHeight="false" outlineLevel="0" collapsed="false">
      <c r="B2032" s="19" t="s">
        <v>24678</v>
      </c>
      <c r="C2032" s="20" t="n">
        <f aca="false">ROUND(6.24/FX,2)</f>
        <v>0.87</v>
      </c>
      <c r="D2032" s="21" t="s">
        <v>6549</v>
      </c>
      <c r="E2032" s="21" t="s">
        <v>24679</v>
      </c>
    </row>
    <row r="2033" customFormat="false" ht="28.35" hidden="false" customHeight="false" outlineLevel="0" collapsed="false">
      <c r="B2033" s="19" t="s">
        <v>24680</v>
      </c>
      <c r="C2033" s="20" t="n">
        <f aca="false">ROUND(5.72/FX,2)</f>
        <v>0.79</v>
      </c>
      <c r="D2033" s="21" t="s">
        <v>6549</v>
      </c>
      <c r="E2033" s="21" t="s">
        <v>24681</v>
      </c>
    </row>
    <row r="2034" customFormat="false" ht="28.35" hidden="false" customHeight="false" outlineLevel="0" collapsed="false">
      <c r="B2034" s="19" t="s">
        <v>24682</v>
      </c>
      <c r="C2034" s="20" t="n">
        <f aca="false">ROUND(11.31/FX,2)</f>
        <v>1.57</v>
      </c>
      <c r="D2034" s="21" t="s">
        <v>6549</v>
      </c>
      <c r="E2034" s="21" t="s">
        <v>24683</v>
      </c>
    </row>
    <row r="2035" customFormat="false" ht="15" hidden="false" customHeight="false" outlineLevel="0" collapsed="false">
      <c r="B2035" s="19" t="s">
        <v>24684</v>
      </c>
      <c r="C2035" s="20" t="n">
        <f aca="false">ROUND(2.99/FX,2)</f>
        <v>0.42</v>
      </c>
      <c r="D2035" s="21" t="s">
        <v>751</v>
      </c>
      <c r="E2035" s="21" t="s">
        <v>23151</v>
      </c>
    </row>
    <row r="2036" customFormat="false" ht="15" hidden="false" customHeight="false" outlineLevel="0" collapsed="false">
      <c r="B2036" s="19" t="s">
        <v>24685</v>
      </c>
      <c r="C2036" s="20" t="n">
        <f aca="false">ROUND(5.85/FX,2)</f>
        <v>0.81</v>
      </c>
      <c r="D2036" s="21" t="s">
        <v>751</v>
      </c>
      <c r="E2036" s="21" t="s">
        <v>23154</v>
      </c>
    </row>
    <row r="2037" customFormat="false" ht="15" hidden="false" customHeight="false" outlineLevel="0" collapsed="false">
      <c r="B2037" s="19" t="s">
        <v>24686</v>
      </c>
      <c r="C2037" s="20" t="n">
        <f aca="false">ROUND(7.8/FX,2)</f>
        <v>1.08</v>
      </c>
      <c r="D2037" s="21" t="s">
        <v>751</v>
      </c>
      <c r="E2037" s="21" t="s">
        <v>23156</v>
      </c>
    </row>
    <row r="2038" customFormat="false" ht="15" hidden="false" customHeight="false" outlineLevel="0" collapsed="false">
      <c r="B2038" s="19" t="s">
        <v>24687</v>
      </c>
      <c r="C2038" s="20" t="n">
        <f aca="false">ROUND(14.3/FX,2)</f>
        <v>1.99</v>
      </c>
      <c r="D2038" s="21" t="s">
        <v>751</v>
      </c>
      <c r="E2038" s="21" t="s">
        <v>23159</v>
      </c>
    </row>
    <row r="2039" customFormat="false" ht="15" hidden="false" customHeight="false" outlineLevel="0" collapsed="false">
      <c r="B2039" s="19" t="s">
        <v>24688</v>
      </c>
      <c r="C2039" s="20" t="n">
        <f aca="false">ROUND(20.8/FX,2)</f>
        <v>2.89</v>
      </c>
      <c r="D2039" s="21" t="s">
        <v>751</v>
      </c>
      <c r="E2039" s="21" t="s">
        <v>24689</v>
      </c>
    </row>
    <row r="2040" customFormat="false" ht="15" hidden="false" customHeight="false" outlineLevel="0" collapsed="false">
      <c r="B2040" s="19" t="s">
        <v>24690</v>
      </c>
      <c r="C2040" s="20" t="n">
        <f aca="false">ROUND(9.75/FX,2)</f>
        <v>1.35</v>
      </c>
      <c r="D2040" s="21" t="s">
        <v>751</v>
      </c>
      <c r="E2040" s="21" t="s">
        <v>24691</v>
      </c>
    </row>
    <row r="2041" customFormat="false" ht="15" hidden="false" customHeight="false" outlineLevel="0" collapsed="false">
      <c r="B2041" s="19" t="s">
        <v>24692</v>
      </c>
      <c r="C2041" s="20" t="n">
        <f aca="false">ROUND(23.4/FX,2)</f>
        <v>3.25</v>
      </c>
      <c r="D2041" s="21" t="s">
        <v>751</v>
      </c>
      <c r="E2041" s="21" t="s">
        <v>24693</v>
      </c>
    </row>
    <row r="2042" customFormat="false" ht="15" hidden="false" customHeight="false" outlineLevel="0" collapsed="false">
      <c r="B2042" s="19" t="s">
        <v>24694</v>
      </c>
      <c r="C2042" s="20" t="n">
        <f aca="false">ROUND(11.05/FX,2)</f>
        <v>1.53</v>
      </c>
      <c r="D2042" s="21" t="s">
        <v>751</v>
      </c>
      <c r="E2042" s="21" t="s">
        <v>24695</v>
      </c>
    </row>
    <row r="2043" customFormat="false" ht="15" hidden="false" customHeight="false" outlineLevel="0" collapsed="false">
      <c r="B2043" s="19" t="s">
        <v>24696</v>
      </c>
      <c r="C2043" s="20" t="n">
        <f aca="false">ROUND(7.67/FX,2)</f>
        <v>1.07</v>
      </c>
      <c r="D2043" s="21" t="s">
        <v>751</v>
      </c>
      <c r="E2043" s="21" t="s">
        <v>24649</v>
      </c>
    </row>
    <row r="2044" customFormat="false" ht="15" hidden="false" customHeight="false" outlineLevel="0" collapsed="false">
      <c r="B2044" s="19" t="s">
        <v>24697</v>
      </c>
      <c r="C2044" s="20" t="n">
        <f aca="false">ROUND(28.6/FX,2)</f>
        <v>3.97</v>
      </c>
      <c r="D2044" s="21" t="s">
        <v>751</v>
      </c>
      <c r="E2044" s="21" t="s">
        <v>24698</v>
      </c>
    </row>
    <row r="2045" customFormat="false" ht="15" hidden="false" customHeight="false" outlineLevel="0" collapsed="false">
      <c r="B2045" s="19" t="s">
        <v>24699</v>
      </c>
      <c r="C2045" s="20" t="n">
        <f aca="false">ROUND(23.4/FX,2)</f>
        <v>3.25</v>
      </c>
      <c r="D2045" s="21" t="s">
        <v>751</v>
      </c>
      <c r="E2045" s="21" t="s">
        <v>24700</v>
      </c>
    </row>
    <row r="2046" customFormat="false" ht="15" hidden="false" customHeight="false" outlineLevel="0" collapsed="false">
      <c r="B2046" s="19" t="s">
        <v>24701</v>
      </c>
      <c r="C2046" s="20" t="n">
        <f aca="false">ROUND(4.42/FX,2)</f>
        <v>0.61</v>
      </c>
      <c r="D2046" s="21" t="s">
        <v>751</v>
      </c>
      <c r="E2046" s="21" t="s">
        <v>23165</v>
      </c>
    </row>
    <row r="2047" customFormat="false" ht="15" hidden="false" customHeight="false" outlineLevel="0" collapsed="false">
      <c r="B2047" s="19" t="s">
        <v>24702</v>
      </c>
      <c r="C2047" s="20" t="n">
        <f aca="false">ROUND(6.5/FX,2)</f>
        <v>0.9</v>
      </c>
      <c r="D2047" s="21" t="s">
        <v>751</v>
      </c>
      <c r="E2047" s="21" t="s">
        <v>23085</v>
      </c>
    </row>
    <row r="2048" customFormat="false" ht="15" hidden="false" customHeight="false" outlineLevel="0" collapsed="false">
      <c r="B2048" s="19" t="s">
        <v>24703</v>
      </c>
      <c r="C2048" s="20" t="n">
        <f aca="false">ROUND(8.45/FX,2)</f>
        <v>1.17</v>
      </c>
      <c r="D2048" s="21" t="s">
        <v>751</v>
      </c>
      <c r="E2048" s="21" t="s">
        <v>24653</v>
      </c>
    </row>
    <row r="2049" customFormat="false" ht="15" hidden="false" customHeight="false" outlineLevel="0" collapsed="false">
      <c r="B2049" s="19" t="s">
        <v>24704</v>
      </c>
      <c r="C2049" s="20" t="n">
        <f aca="false">ROUND(15.6/FX,2)</f>
        <v>2.17</v>
      </c>
      <c r="D2049" s="21" t="s">
        <v>751</v>
      </c>
      <c r="E2049" s="21" t="s">
        <v>24655</v>
      </c>
    </row>
    <row r="2050" customFormat="false" ht="15" hidden="false" customHeight="false" outlineLevel="0" collapsed="false">
      <c r="B2050" s="19" t="s">
        <v>24705</v>
      </c>
      <c r="C2050" s="20" t="n">
        <f aca="false">ROUND(24.7/FX,2)</f>
        <v>3.43</v>
      </c>
      <c r="D2050" s="21" t="s">
        <v>751</v>
      </c>
      <c r="E2050" s="21" t="s">
        <v>24706</v>
      </c>
    </row>
    <row r="2051" customFormat="false" ht="15" hidden="false" customHeight="false" outlineLevel="0" collapsed="false">
      <c r="B2051" s="19" t="s">
        <v>24707</v>
      </c>
      <c r="C2051" s="20" t="n">
        <f aca="false">ROUND(16.9/FX,2)</f>
        <v>2.35</v>
      </c>
      <c r="D2051" s="21" t="s">
        <v>751</v>
      </c>
      <c r="E2051" s="21" t="s">
        <v>24708</v>
      </c>
    </row>
    <row r="2052" customFormat="false" ht="15" hidden="false" customHeight="false" outlineLevel="0" collapsed="false">
      <c r="B2052" s="19" t="s">
        <v>24709</v>
      </c>
      <c r="C2052" s="20" t="n">
        <f aca="false">ROUND(45.5/FX,2)</f>
        <v>6.32</v>
      </c>
      <c r="D2052" s="21" t="s">
        <v>751</v>
      </c>
      <c r="E2052" s="21" t="s">
        <v>24710</v>
      </c>
    </row>
    <row r="2053" customFormat="false" ht="15" hidden="false" customHeight="false" outlineLevel="0" collapsed="false">
      <c r="B2053" s="19" t="s">
        <v>24711</v>
      </c>
      <c r="C2053" s="20" t="n">
        <f aca="false">ROUND(28.6/FX,2)</f>
        <v>3.97</v>
      </c>
      <c r="D2053" s="21" t="s">
        <v>751</v>
      </c>
      <c r="E2053" s="21" t="s">
        <v>24657</v>
      </c>
    </row>
    <row r="2054" customFormat="false" ht="15" hidden="false" customHeight="false" outlineLevel="0" collapsed="false">
      <c r="B2054" s="19" t="s">
        <v>24712</v>
      </c>
      <c r="C2054" s="20" t="n">
        <f aca="false">ROUND(58.5/FX,2)</f>
        <v>8.13</v>
      </c>
      <c r="D2054" s="21" t="s">
        <v>751</v>
      </c>
      <c r="E2054" s="21" t="s">
        <v>24713</v>
      </c>
    </row>
    <row r="2055" customFormat="false" ht="15" hidden="false" customHeight="false" outlineLevel="0" collapsed="false">
      <c r="B2055" s="19" t="s">
        <v>24714</v>
      </c>
      <c r="C2055" s="20" t="n">
        <f aca="false">ROUND(33.8/FX,2)</f>
        <v>4.69</v>
      </c>
      <c r="D2055" s="21" t="s">
        <v>751</v>
      </c>
      <c r="E2055" s="21" t="s">
        <v>24659</v>
      </c>
    </row>
    <row r="2056" customFormat="false" ht="15" hidden="false" customHeight="false" outlineLevel="0" collapsed="false">
      <c r="B2056" s="19" t="s">
        <v>24715</v>
      </c>
      <c r="C2056" s="20" t="n">
        <f aca="false">ROUND(6.37/FX,2)</f>
        <v>0.88</v>
      </c>
      <c r="D2056" s="21" t="s">
        <v>751</v>
      </c>
      <c r="E2056" s="21" t="s">
        <v>23170</v>
      </c>
    </row>
    <row r="2057" customFormat="false" ht="15" hidden="false" customHeight="false" outlineLevel="0" collapsed="false">
      <c r="B2057" s="19" t="s">
        <v>24716</v>
      </c>
      <c r="C2057" s="20" t="n">
        <f aca="false">ROUND(12.35/FX,2)</f>
        <v>1.72</v>
      </c>
      <c r="D2057" s="21" t="s">
        <v>751</v>
      </c>
      <c r="E2057" s="21" t="s">
        <v>23089</v>
      </c>
    </row>
    <row r="2058" customFormat="false" ht="15" hidden="false" customHeight="false" outlineLevel="0" collapsed="false">
      <c r="B2058" s="19" t="s">
        <v>24717</v>
      </c>
      <c r="C2058" s="20" t="n">
        <f aca="false">ROUND(13.26/FX,2)</f>
        <v>1.84</v>
      </c>
      <c r="D2058" s="21" t="s">
        <v>751</v>
      </c>
      <c r="E2058" s="21" t="s">
        <v>24663</v>
      </c>
    </row>
    <row r="2059" customFormat="false" ht="15" hidden="false" customHeight="false" outlineLevel="0" collapsed="false">
      <c r="B2059" s="19" t="s">
        <v>24718</v>
      </c>
      <c r="C2059" s="20" t="n">
        <f aca="false">ROUND(27.3/FX,2)</f>
        <v>3.79</v>
      </c>
      <c r="D2059" s="21" t="s">
        <v>751</v>
      </c>
      <c r="E2059" s="21" t="s">
        <v>24665</v>
      </c>
    </row>
    <row r="2060" customFormat="false" ht="15" hidden="false" customHeight="false" outlineLevel="0" collapsed="false">
      <c r="B2060" s="19" t="s">
        <v>24719</v>
      </c>
      <c r="C2060" s="20" t="n">
        <f aca="false">ROUND(9.1/FX,2)</f>
        <v>1.26</v>
      </c>
      <c r="D2060" s="21" t="s">
        <v>751</v>
      </c>
      <c r="E2060" s="21" t="s">
        <v>23173</v>
      </c>
    </row>
    <row r="2061" customFormat="false" ht="15" hidden="false" customHeight="false" outlineLevel="0" collapsed="false">
      <c r="B2061" s="19" t="s">
        <v>24720</v>
      </c>
      <c r="C2061" s="20" t="n">
        <f aca="false">ROUND(21.32/FX,2)</f>
        <v>2.96</v>
      </c>
      <c r="D2061" s="21" t="s">
        <v>751</v>
      </c>
      <c r="E2061" s="21" t="s">
        <v>23177</v>
      </c>
    </row>
    <row r="2062" customFormat="false" ht="15" hidden="false" customHeight="false" outlineLevel="0" collapsed="false">
      <c r="B2062" s="19" t="s">
        <v>24721</v>
      </c>
      <c r="C2062" s="20" t="n">
        <f aca="false">ROUND(15.6/FX,2)</f>
        <v>2.17</v>
      </c>
      <c r="D2062" s="21" t="s">
        <v>751</v>
      </c>
      <c r="E2062" s="21" t="s">
        <v>24669</v>
      </c>
    </row>
    <row r="2063" customFormat="false" ht="15" hidden="false" customHeight="false" outlineLevel="0" collapsed="false">
      <c r="B2063" s="19" t="s">
        <v>24722</v>
      </c>
      <c r="C2063" s="20" t="n">
        <f aca="false">ROUND(29.9/FX,2)</f>
        <v>4.15</v>
      </c>
      <c r="D2063" s="21" t="s">
        <v>751</v>
      </c>
      <c r="E2063" s="21" t="s">
        <v>24671</v>
      </c>
    </row>
    <row r="2064" customFormat="false" ht="15" hidden="false" customHeight="false" outlineLevel="0" collapsed="false">
      <c r="B2064" s="19" t="s">
        <v>24723</v>
      </c>
      <c r="C2064" s="20" t="n">
        <f aca="false">ROUND(33.8/FX,2)</f>
        <v>4.69</v>
      </c>
      <c r="D2064" s="21" t="s">
        <v>751</v>
      </c>
      <c r="E2064" s="21" t="s">
        <v>24724</v>
      </c>
    </row>
    <row r="2067" customFormat="false" ht="61.5" hidden="false" customHeight="true" outlineLevel="0" collapsed="false">
      <c r="A2067" s="9"/>
      <c r="B2067" s="10" t="s">
        <v>24725</v>
      </c>
      <c r="C2067" s="10"/>
      <c r="D2067" s="10"/>
      <c r="E2067" s="10"/>
    </row>
    <row r="2068" customFormat="false" ht="15" hidden="false" customHeight="false" outlineLevel="0" collapsed="false">
      <c r="A2068" s="12" t="s">
        <v>700</v>
      </c>
      <c r="B2068" s="13" t="s">
        <v>701</v>
      </c>
      <c r="C2068" s="13" t="s">
        <v>702</v>
      </c>
      <c r="D2068" s="13" t="s">
        <v>722</v>
      </c>
      <c r="E2068" s="13" t="s">
        <v>723</v>
      </c>
    </row>
    <row r="2069" customFormat="false" ht="30" hidden="false" customHeight="true" outlineLevel="0" collapsed="false">
      <c r="A2069" s="14" t="s">
        <v>706</v>
      </c>
      <c r="B2069" s="15" t="str">
        <f aca="false">IF(COUNTIFS($D$2072:$D$2096,IF(D2069="","*",D2069),$E$2072:$E$2096,IF(E2069="","*",E2069))=1,INDEX($B:$B,SUMPRODUCT(((D2069="")+($D$2072:$D$2096=D2069)&gt;0)*((E2069="")+($E$2072:$E$2096=E2069)&gt;0)*ROW($B$2072:$B$2096))),IF(COUNTIFS($D$2072:$D$2096,IF(D2069="","*",D2069),$E$2072:$E$2096,IF(E2069="","*",E2069))=0,"Not available",COUNTIFS($D$2072:$D$2096,IF(D2069="","*",D2069),$E$2072:$E$2096,IF(E2069="","*",E2069))&amp;" match, keep choosing"))</f>
        <v>AL-032-BK-EU1515-8H-HLS</v>
      </c>
      <c r="C2069" s="16" t="n">
        <f aca="false">IF(COUNTIFS($D$2072:$D$2096,IF(D2069="","*",D2069),$E$2072:$E$2096,IF(E2069="","*",E2069))=1,INDEX($C:$C,SUMPRODUCT(((D2069="")+($D$2072:$D$2096=D2069)&gt;0)*((E2069="")+($E$2072:$E$2096=E2069)&gt;0)*ROW($B$2072:$B$2096))),"")</f>
        <v>0.23</v>
      </c>
      <c r="D2069" s="17" t="s">
        <v>724</v>
      </c>
      <c r="E2069" s="17" t="s">
        <v>24726</v>
      </c>
    </row>
    <row r="2071" customFormat="false" ht="15" hidden="false" customHeight="false" outlineLevel="0" collapsed="false">
      <c r="B2071" s="18" t="s">
        <v>701</v>
      </c>
      <c r="C2071" s="18" t="s">
        <v>702</v>
      </c>
      <c r="D2071" s="18" t="s">
        <v>722</v>
      </c>
      <c r="E2071" s="18" t="s">
        <v>723</v>
      </c>
    </row>
    <row r="2072" customFormat="false" ht="28.35" hidden="false" customHeight="false" outlineLevel="0" collapsed="false">
      <c r="B2072" s="19" t="s">
        <v>24727</v>
      </c>
      <c r="C2072" s="20" t="n">
        <f aca="false">ROUND(1.69/FX,2)</f>
        <v>0.23</v>
      </c>
      <c r="D2072" s="21" t="s">
        <v>724</v>
      </c>
      <c r="E2072" s="21" t="s">
        <v>24726</v>
      </c>
    </row>
    <row r="2073" customFormat="false" ht="28.35" hidden="false" customHeight="false" outlineLevel="0" collapsed="false">
      <c r="B2073" s="19" t="s">
        <v>24728</v>
      </c>
      <c r="C2073" s="20" t="n">
        <f aca="false">ROUND(1.56/FX,2)</f>
        <v>0.22</v>
      </c>
      <c r="D2073" s="21" t="s">
        <v>724</v>
      </c>
      <c r="E2073" s="21" t="s">
        <v>24729</v>
      </c>
    </row>
    <row r="2074" customFormat="false" ht="28.35" hidden="false" customHeight="false" outlineLevel="0" collapsed="false">
      <c r="B2074" s="19" t="s">
        <v>24730</v>
      </c>
      <c r="C2074" s="20" t="n">
        <f aca="false">ROUND(1.72/FX,2)</f>
        <v>0.24</v>
      </c>
      <c r="D2074" s="21" t="s">
        <v>724</v>
      </c>
      <c r="E2074" s="21" t="s">
        <v>24731</v>
      </c>
    </row>
    <row r="2075" customFormat="false" ht="28.35" hidden="false" customHeight="false" outlineLevel="0" collapsed="false">
      <c r="B2075" s="19" t="s">
        <v>24732</v>
      </c>
      <c r="C2075" s="20" t="n">
        <f aca="false">ROUND(1.62/FX,2)</f>
        <v>0.23</v>
      </c>
      <c r="D2075" s="21" t="s">
        <v>724</v>
      </c>
      <c r="E2075" s="21" t="s">
        <v>24733</v>
      </c>
    </row>
    <row r="2076" customFormat="false" ht="28.35" hidden="false" customHeight="false" outlineLevel="0" collapsed="false">
      <c r="B2076" s="19" t="s">
        <v>24734</v>
      </c>
      <c r="C2076" s="20" t="n">
        <f aca="false">ROUND(1.95/FX,2)</f>
        <v>0.27</v>
      </c>
      <c r="D2076" s="21" t="s">
        <v>724</v>
      </c>
      <c r="E2076" s="21" t="s">
        <v>24735</v>
      </c>
    </row>
    <row r="2077" customFormat="false" ht="28.35" hidden="false" customHeight="false" outlineLevel="0" collapsed="false">
      <c r="B2077" s="19" t="s">
        <v>24736</v>
      </c>
      <c r="C2077" s="20" t="n">
        <f aca="false">ROUND(5.46/FX,2)</f>
        <v>0.76</v>
      </c>
      <c r="D2077" s="21" t="s">
        <v>724</v>
      </c>
      <c r="E2077" s="21" t="s">
        <v>24737</v>
      </c>
    </row>
    <row r="2078" customFormat="false" ht="28.35" hidden="false" customHeight="false" outlineLevel="0" collapsed="false">
      <c r="B2078" s="19" t="s">
        <v>24738</v>
      </c>
      <c r="C2078" s="20" t="n">
        <f aca="false">ROUND(8.36/FX,2)</f>
        <v>1.16</v>
      </c>
      <c r="D2078" s="21" t="s">
        <v>724</v>
      </c>
      <c r="E2078" s="21" t="s">
        <v>24739</v>
      </c>
    </row>
    <row r="2079" customFormat="false" ht="28.35" hidden="false" customHeight="false" outlineLevel="0" collapsed="false">
      <c r="B2079" s="19" t="s">
        <v>24740</v>
      </c>
      <c r="C2079" s="20" t="n">
        <f aca="false">ROUND(1.77/FX,2)</f>
        <v>0.25</v>
      </c>
      <c r="D2079" s="21" t="s">
        <v>724</v>
      </c>
      <c r="E2079" s="21" t="s">
        <v>24741</v>
      </c>
    </row>
    <row r="2080" customFormat="false" ht="28.35" hidden="false" customHeight="false" outlineLevel="0" collapsed="false">
      <c r="B2080" s="19" t="s">
        <v>24742</v>
      </c>
      <c r="C2080" s="20" t="n">
        <f aca="false">ROUND(4.55/FX,2)</f>
        <v>0.63</v>
      </c>
      <c r="D2080" s="21" t="s">
        <v>724</v>
      </c>
      <c r="E2080" s="21" t="s">
        <v>24743</v>
      </c>
    </row>
    <row r="2081" customFormat="false" ht="28.35" hidden="false" customHeight="false" outlineLevel="0" collapsed="false">
      <c r="B2081" s="19" t="s">
        <v>24744</v>
      </c>
      <c r="C2081" s="20" t="n">
        <f aca="false">ROUND(8.45/FX,2)</f>
        <v>1.17</v>
      </c>
      <c r="D2081" s="21" t="s">
        <v>724</v>
      </c>
      <c r="E2081" s="21" t="s">
        <v>24745</v>
      </c>
    </row>
    <row r="2082" customFormat="false" ht="28.35" hidden="false" customHeight="false" outlineLevel="0" collapsed="false">
      <c r="B2082" s="19" t="s">
        <v>24746</v>
      </c>
      <c r="C2082" s="20" t="n">
        <f aca="false">ROUND(6.89/FX,2)</f>
        <v>0.96</v>
      </c>
      <c r="D2082" s="21" t="s">
        <v>6549</v>
      </c>
      <c r="E2082" s="21" t="s">
        <v>24747</v>
      </c>
    </row>
    <row r="2083" customFormat="false" ht="28.35" hidden="false" customHeight="false" outlineLevel="0" collapsed="false">
      <c r="B2083" s="19" t="s">
        <v>24748</v>
      </c>
      <c r="C2083" s="20" t="n">
        <f aca="false">ROUND(1.56/FX,2)</f>
        <v>0.22</v>
      </c>
      <c r="D2083" s="21" t="s">
        <v>6549</v>
      </c>
      <c r="E2083" s="21" t="s">
        <v>24726</v>
      </c>
    </row>
    <row r="2084" customFormat="false" ht="28.35" hidden="false" customHeight="false" outlineLevel="0" collapsed="false">
      <c r="B2084" s="19" t="s">
        <v>24749</v>
      </c>
      <c r="C2084" s="20" t="n">
        <f aca="false">ROUND(1.56/FX,2)</f>
        <v>0.22</v>
      </c>
      <c r="D2084" s="21" t="s">
        <v>6549</v>
      </c>
      <c r="E2084" s="21" t="s">
        <v>24729</v>
      </c>
    </row>
    <row r="2085" customFormat="false" ht="28.35" hidden="false" customHeight="false" outlineLevel="0" collapsed="false">
      <c r="B2085" s="19" t="s">
        <v>24750</v>
      </c>
      <c r="C2085" s="20" t="n">
        <f aca="false">ROUND(1.72/FX,2)</f>
        <v>0.24</v>
      </c>
      <c r="D2085" s="21" t="s">
        <v>6549</v>
      </c>
      <c r="E2085" s="21" t="s">
        <v>24731</v>
      </c>
    </row>
    <row r="2086" customFormat="false" ht="28.35" hidden="false" customHeight="false" outlineLevel="0" collapsed="false">
      <c r="B2086" s="19" t="s">
        <v>24751</v>
      </c>
      <c r="C2086" s="20" t="n">
        <f aca="false">ROUND(1.62/FX,2)</f>
        <v>0.23</v>
      </c>
      <c r="D2086" s="21" t="s">
        <v>6549</v>
      </c>
      <c r="E2086" s="21" t="s">
        <v>24733</v>
      </c>
    </row>
    <row r="2087" customFormat="false" ht="28.35" hidden="false" customHeight="false" outlineLevel="0" collapsed="false">
      <c r="B2087" s="19" t="s">
        <v>24752</v>
      </c>
      <c r="C2087" s="20" t="n">
        <f aca="false">ROUND(1.78/FX,2)</f>
        <v>0.25</v>
      </c>
      <c r="D2087" s="21" t="s">
        <v>6549</v>
      </c>
      <c r="E2087" s="21" t="s">
        <v>24753</v>
      </c>
    </row>
    <row r="2088" customFormat="false" ht="28.35" hidden="false" customHeight="false" outlineLevel="0" collapsed="false">
      <c r="B2088" s="19" t="s">
        <v>24754</v>
      </c>
      <c r="C2088" s="20" t="n">
        <f aca="false">ROUND(2.01/FX,2)</f>
        <v>0.28</v>
      </c>
      <c r="D2088" s="21" t="s">
        <v>6549</v>
      </c>
      <c r="E2088" s="21" t="s">
        <v>24755</v>
      </c>
    </row>
    <row r="2089" customFormat="false" ht="28.35" hidden="false" customHeight="false" outlineLevel="0" collapsed="false">
      <c r="B2089" s="19" t="s">
        <v>24756</v>
      </c>
      <c r="C2089" s="20" t="n">
        <f aca="false">ROUND(1.91/FX,2)</f>
        <v>0.27</v>
      </c>
      <c r="D2089" s="21" t="s">
        <v>6549</v>
      </c>
      <c r="E2089" s="21" t="s">
        <v>24757</v>
      </c>
    </row>
    <row r="2090" customFormat="false" ht="28.35" hidden="false" customHeight="false" outlineLevel="0" collapsed="false">
      <c r="B2090" s="19" t="s">
        <v>24758</v>
      </c>
      <c r="C2090" s="20" t="n">
        <f aca="false">ROUND(3.38/FX,2)</f>
        <v>0.47</v>
      </c>
      <c r="D2090" s="21" t="s">
        <v>6549</v>
      </c>
      <c r="E2090" s="21" t="s">
        <v>24759</v>
      </c>
    </row>
    <row r="2091" customFormat="false" ht="28.35" hidden="false" customHeight="false" outlineLevel="0" collapsed="false">
      <c r="B2091" s="19" t="s">
        <v>24760</v>
      </c>
      <c r="C2091" s="20" t="n">
        <f aca="false">ROUND(3.65/FX,2)</f>
        <v>0.51</v>
      </c>
      <c r="D2091" s="21" t="s">
        <v>6549</v>
      </c>
      <c r="E2091" s="21" t="s">
        <v>24761</v>
      </c>
    </row>
    <row r="2092" customFormat="false" ht="28.35" hidden="false" customHeight="false" outlineLevel="0" collapsed="false">
      <c r="B2092" s="19" t="s">
        <v>24762</v>
      </c>
      <c r="C2092" s="20" t="n">
        <f aca="false">ROUND(3.55/FX,2)</f>
        <v>0.49</v>
      </c>
      <c r="D2092" s="21" t="s">
        <v>6549</v>
      </c>
      <c r="E2092" s="21" t="s">
        <v>24763</v>
      </c>
    </row>
    <row r="2093" customFormat="false" ht="28.35" hidden="false" customHeight="false" outlineLevel="0" collapsed="false">
      <c r="B2093" s="19" t="s">
        <v>24764</v>
      </c>
      <c r="C2093" s="20" t="n">
        <f aca="false">ROUND(7.11/FX,2)</f>
        <v>0.99</v>
      </c>
      <c r="D2093" s="21" t="s">
        <v>6549</v>
      </c>
      <c r="E2093" s="21" t="s">
        <v>24739</v>
      </c>
    </row>
    <row r="2094" customFormat="false" ht="28.35" hidden="false" customHeight="false" outlineLevel="0" collapsed="false">
      <c r="B2094" s="19" t="s">
        <v>24765</v>
      </c>
      <c r="C2094" s="20" t="n">
        <f aca="false">ROUND(1.95/FX,2)</f>
        <v>0.27</v>
      </c>
      <c r="D2094" s="21" t="s">
        <v>6549</v>
      </c>
      <c r="E2094" s="21" t="s">
        <v>24741</v>
      </c>
    </row>
    <row r="2095" customFormat="false" ht="28.35" hidden="false" customHeight="false" outlineLevel="0" collapsed="false">
      <c r="B2095" s="19" t="s">
        <v>24766</v>
      </c>
      <c r="C2095" s="20" t="n">
        <f aca="false">ROUND(4.55/FX,2)</f>
        <v>0.63</v>
      </c>
      <c r="D2095" s="21" t="s">
        <v>6549</v>
      </c>
      <c r="E2095" s="21" t="s">
        <v>24743</v>
      </c>
    </row>
    <row r="2096" customFormat="false" ht="28.35" hidden="false" customHeight="false" outlineLevel="0" collapsed="false">
      <c r="B2096" s="19" t="s">
        <v>24767</v>
      </c>
      <c r="C2096" s="20" t="n">
        <f aca="false">ROUND(8.45/FX,2)</f>
        <v>1.17</v>
      </c>
      <c r="D2096" s="21" t="s">
        <v>6549</v>
      </c>
      <c r="E2096" s="21" t="s">
        <v>24745</v>
      </c>
    </row>
    <row r="2099" customFormat="false" ht="61.5" hidden="false" customHeight="true" outlineLevel="0" collapsed="false">
      <c r="A2099" s="9"/>
      <c r="B2099" s="10" t="s">
        <v>24768</v>
      </c>
      <c r="C2099" s="10"/>
      <c r="D2099" s="10"/>
      <c r="E2099" s="10"/>
      <c r="F2099" s="10"/>
    </row>
    <row r="2100" customFormat="false" ht="15" hidden="false" customHeight="true" outlineLevel="0" collapsed="false">
      <c r="B2100" s="11" t="s">
        <v>21919</v>
      </c>
      <c r="C2100" s="11"/>
      <c r="D2100" s="11"/>
      <c r="E2100" s="11"/>
      <c r="F2100" s="11"/>
    </row>
    <row r="2101" customFormat="false" ht="15" hidden="false" customHeight="false" outlineLevel="0" collapsed="false">
      <c r="A2101" s="12" t="s">
        <v>700</v>
      </c>
      <c r="B2101" s="13" t="s">
        <v>701</v>
      </c>
      <c r="C2101" s="13" t="s">
        <v>702</v>
      </c>
      <c r="D2101" s="13" t="s">
        <v>722</v>
      </c>
      <c r="E2101" s="13" t="s">
        <v>6328</v>
      </c>
      <c r="F2101" s="13" t="s">
        <v>13701</v>
      </c>
    </row>
    <row r="2102" customFormat="false" ht="30" hidden="false" customHeight="true" outlineLevel="0" collapsed="false">
      <c r="A2102" s="14" t="s">
        <v>706</v>
      </c>
      <c r="B2102" s="15" t="str">
        <f aca="false">IF(COUNTIFS($D$2105:$D$2122,IF(D2102="","*",D2102),$E$2105:$E$2122,IF(E2102="","*",E2102),$F$2105:$F$2122,IF(F2102="","*",F2102))=1,INDEX($B:$B,SUMPRODUCT(((D2102="")+($D$2105:$D$2122=D2102)&gt;0)*((E2102="")+($E$2105:$E$2122=E2102)&gt;0)*((F2102="")+($F$2105:$F$2122=F2102)&gt;0)*ROW($B$2105:$B$2122))),IF(COUNTIFS($D$2105:$D$2122,IF(D2102="","*",D2102),$E$2105:$E$2122,IF(E2102="","*",E2102),$F$2105:$F$2122,IF(F2102="","*",F2102))=0,"Not available",COUNTIFS($D$2105:$D$2122,IF(D2102="","*",D2102),$E$2105:$E$2122,IF(E2102="","*",E2102),$F$2105:$F$2122,IF(F2102="","*",F2102))&amp;" match, keep choosing"))</f>
        <v>AL-057-BK-KJ120-M8</v>
      </c>
      <c r="C2102" s="16" t="n">
        <f aca="false">IF(COUNTIFS($D$2105:$D$2122,IF(D2102="","*",D2102),$E$2105:$E$2122,IF(E2102="","*",E2102),$F$2105:$F$2122,IF(F2102="","*",F2102))=1,INDEX($C:$C,SUMPRODUCT(((D2102="")+($D$2105:$D$2122=D2102)&gt;0)*((E2102="")+($E$2105:$E$2122=E2102)&gt;0)*((F2102="")+($F$2105:$F$2122=F2102)&gt;0)*ROW($B$2105:$B$2122))),"")</f>
        <v>0.43</v>
      </c>
      <c r="D2102" s="17" t="s">
        <v>724</v>
      </c>
      <c r="E2102" s="17" t="s">
        <v>24769</v>
      </c>
      <c r="F2102" s="17" t="s">
        <v>11415</v>
      </c>
    </row>
    <row r="2104" customFormat="false" ht="15" hidden="false" customHeight="false" outlineLevel="0" collapsed="false">
      <c r="B2104" s="18" t="s">
        <v>701</v>
      </c>
      <c r="C2104" s="18" t="s">
        <v>702</v>
      </c>
      <c r="D2104" s="18" t="s">
        <v>722</v>
      </c>
      <c r="E2104" s="18" t="s">
        <v>6328</v>
      </c>
      <c r="F2104" s="18" t="s">
        <v>13701</v>
      </c>
    </row>
    <row r="2105" customFormat="false" ht="15" hidden="false" customHeight="false" outlineLevel="0" collapsed="false">
      <c r="B2105" s="19" t="s">
        <v>24770</v>
      </c>
      <c r="C2105" s="20" t="n">
        <f aca="false">ROUND(3.12/FX,2)</f>
        <v>0.43</v>
      </c>
      <c r="D2105" s="21" t="s">
        <v>724</v>
      </c>
      <c r="E2105" s="21" t="s">
        <v>24769</v>
      </c>
      <c r="F2105" s="21" t="s">
        <v>11415</v>
      </c>
    </row>
    <row r="2106" customFormat="false" ht="15" hidden="false" customHeight="false" outlineLevel="0" collapsed="false">
      <c r="B2106" s="19" t="s">
        <v>24771</v>
      </c>
      <c r="C2106" s="20" t="n">
        <f aca="false">ROUND(4.55/FX,2)</f>
        <v>0.63</v>
      </c>
      <c r="D2106" s="21" t="s">
        <v>724</v>
      </c>
      <c r="E2106" s="21" t="s">
        <v>24772</v>
      </c>
      <c r="F2106" s="21" t="s">
        <v>11415</v>
      </c>
    </row>
    <row r="2107" customFormat="false" ht="15" hidden="false" customHeight="false" outlineLevel="0" collapsed="false">
      <c r="B2107" s="19" t="s">
        <v>24773</v>
      </c>
      <c r="C2107" s="20" t="n">
        <f aca="false">ROUND(4.68/FX,2)</f>
        <v>0.65</v>
      </c>
      <c r="D2107" s="21" t="s">
        <v>724</v>
      </c>
      <c r="E2107" s="21" t="s">
        <v>24774</v>
      </c>
      <c r="F2107" s="21" t="s">
        <v>11415</v>
      </c>
    </row>
    <row r="2108" customFormat="false" ht="15" hidden="false" customHeight="false" outlineLevel="0" collapsed="false">
      <c r="B2108" s="19" t="s">
        <v>24775</v>
      </c>
      <c r="C2108" s="20" t="n">
        <f aca="false">ROUND(5.98/FX,2)</f>
        <v>0.83</v>
      </c>
      <c r="D2108" s="21" t="s">
        <v>724</v>
      </c>
      <c r="E2108" s="21" t="s">
        <v>24776</v>
      </c>
      <c r="F2108" s="21" t="s">
        <v>11415</v>
      </c>
    </row>
    <row r="2109" customFormat="false" ht="15" hidden="false" customHeight="false" outlineLevel="0" collapsed="false">
      <c r="B2109" s="19" t="s">
        <v>24777</v>
      </c>
      <c r="C2109" s="20" t="n">
        <f aca="false">ROUND(6.76/FX,2)</f>
        <v>0.94</v>
      </c>
      <c r="D2109" s="21" t="s">
        <v>724</v>
      </c>
      <c r="E2109" s="21" t="s">
        <v>24778</v>
      </c>
      <c r="F2109" s="21" t="s">
        <v>11415</v>
      </c>
    </row>
    <row r="2110" customFormat="false" ht="15" hidden="false" customHeight="false" outlineLevel="0" collapsed="false">
      <c r="B2110" s="19" t="s">
        <v>24779</v>
      </c>
      <c r="C2110" s="20" t="n">
        <f aca="false">ROUND(8.45/FX,2)</f>
        <v>1.17</v>
      </c>
      <c r="D2110" s="21" t="s">
        <v>724</v>
      </c>
      <c r="E2110" s="21" t="s">
        <v>24780</v>
      </c>
      <c r="F2110" s="21" t="s">
        <v>11415</v>
      </c>
    </row>
    <row r="2111" customFormat="false" ht="15" hidden="false" customHeight="false" outlineLevel="0" collapsed="false">
      <c r="B2111" s="19" t="s">
        <v>24781</v>
      </c>
      <c r="C2111" s="20" t="n">
        <f aca="false">ROUND(10.4/FX,2)</f>
        <v>1.44</v>
      </c>
      <c r="D2111" s="21" t="s">
        <v>724</v>
      </c>
      <c r="E2111" s="21" t="s">
        <v>24782</v>
      </c>
      <c r="F2111" s="21" t="s">
        <v>11415</v>
      </c>
    </row>
    <row r="2112" customFormat="false" ht="15" hidden="false" customHeight="false" outlineLevel="0" collapsed="false">
      <c r="B2112" s="19" t="s">
        <v>24783</v>
      </c>
      <c r="C2112" s="20" t="n">
        <f aca="false">ROUND(2.28/FX,2)</f>
        <v>0.32</v>
      </c>
      <c r="D2112" s="21" t="s">
        <v>724</v>
      </c>
      <c r="E2112" s="21" t="s">
        <v>24784</v>
      </c>
      <c r="F2112" s="21" t="s">
        <v>11413</v>
      </c>
    </row>
    <row r="2113" customFormat="false" ht="15" hidden="false" customHeight="false" outlineLevel="0" collapsed="false">
      <c r="B2113" s="19" t="s">
        <v>24785</v>
      </c>
      <c r="C2113" s="20" t="n">
        <f aca="false">ROUND(2.73/FX,2)</f>
        <v>0.38</v>
      </c>
      <c r="D2113" s="21" t="s">
        <v>724</v>
      </c>
      <c r="E2113" s="21" t="s">
        <v>24784</v>
      </c>
      <c r="F2113" s="21" t="s">
        <v>11415</v>
      </c>
    </row>
    <row r="2114" customFormat="false" ht="15" hidden="false" customHeight="false" outlineLevel="0" collapsed="false">
      <c r="B2114" s="19" t="s">
        <v>24786</v>
      </c>
      <c r="C2114" s="20" t="n">
        <f aca="false">ROUND(4.68/FX,2)</f>
        <v>0.65</v>
      </c>
      <c r="D2114" s="21" t="s">
        <v>6362</v>
      </c>
      <c r="E2114" s="21" t="s">
        <v>24769</v>
      </c>
      <c r="F2114" s="21" t="s">
        <v>11415</v>
      </c>
    </row>
    <row r="2115" customFormat="false" ht="15" hidden="false" customHeight="false" outlineLevel="0" collapsed="false">
      <c r="B2115" s="19" t="s">
        <v>24787</v>
      </c>
      <c r="C2115" s="20" t="n">
        <f aca="false">ROUND(6.24/FX,2)</f>
        <v>0.87</v>
      </c>
      <c r="D2115" s="21" t="s">
        <v>6362</v>
      </c>
      <c r="E2115" s="21" t="s">
        <v>24772</v>
      </c>
      <c r="F2115" s="21" t="s">
        <v>11415</v>
      </c>
    </row>
    <row r="2116" customFormat="false" ht="15" hidden="false" customHeight="false" outlineLevel="0" collapsed="false">
      <c r="B2116" s="19" t="s">
        <v>24788</v>
      </c>
      <c r="C2116" s="20" t="n">
        <f aca="false">ROUND(6.63/FX,2)</f>
        <v>0.92</v>
      </c>
      <c r="D2116" s="21" t="s">
        <v>6362</v>
      </c>
      <c r="E2116" s="21" t="s">
        <v>24774</v>
      </c>
      <c r="F2116" s="21" t="s">
        <v>11415</v>
      </c>
    </row>
    <row r="2117" customFormat="false" ht="15" hidden="false" customHeight="false" outlineLevel="0" collapsed="false">
      <c r="B2117" s="19" t="s">
        <v>24789</v>
      </c>
      <c r="C2117" s="20" t="n">
        <f aca="false">ROUND(8.45/FX,2)</f>
        <v>1.17</v>
      </c>
      <c r="D2117" s="21" t="s">
        <v>6362</v>
      </c>
      <c r="E2117" s="21" t="s">
        <v>24776</v>
      </c>
      <c r="F2117" s="21" t="s">
        <v>11415</v>
      </c>
    </row>
    <row r="2118" customFormat="false" ht="15" hidden="false" customHeight="false" outlineLevel="0" collapsed="false">
      <c r="B2118" s="19" t="s">
        <v>24790</v>
      </c>
      <c r="C2118" s="20" t="n">
        <f aca="false">ROUND(9.36/FX,2)</f>
        <v>1.3</v>
      </c>
      <c r="D2118" s="21" t="s">
        <v>6362</v>
      </c>
      <c r="E2118" s="21" t="s">
        <v>24778</v>
      </c>
      <c r="F2118" s="21" t="s">
        <v>11415</v>
      </c>
    </row>
    <row r="2119" customFormat="false" ht="15" hidden="false" customHeight="false" outlineLevel="0" collapsed="false">
      <c r="B2119" s="19" t="s">
        <v>24791</v>
      </c>
      <c r="C2119" s="20" t="n">
        <f aca="false">ROUND(10.66/FX,2)</f>
        <v>1.48</v>
      </c>
      <c r="D2119" s="21" t="s">
        <v>6362</v>
      </c>
      <c r="E2119" s="21" t="s">
        <v>24780</v>
      </c>
      <c r="F2119" s="21" t="s">
        <v>11415</v>
      </c>
    </row>
    <row r="2120" customFormat="false" ht="15" hidden="false" customHeight="false" outlineLevel="0" collapsed="false">
      <c r="B2120" s="19" t="s">
        <v>24792</v>
      </c>
      <c r="C2120" s="20" t="n">
        <f aca="false">ROUND(12.35/FX,2)</f>
        <v>1.72</v>
      </c>
      <c r="D2120" s="21" t="s">
        <v>6362</v>
      </c>
      <c r="E2120" s="21" t="s">
        <v>24782</v>
      </c>
      <c r="F2120" s="21" t="s">
        <v>11415</v>
      </c>
    </row>
    <row r="2121" customFormat="false" ht="15" hidden="false" customHeight="false" outlineLevel="0" collapsed="false">
      <c r="B2121" s="19" t="s">
        <v>24793</v>
      </c>
      <c r="C2121" s="20" t="n">
        <f aca="false">ROUND(3.63/FX,2)</f>
        <v>0.5</v>
      </c>
      <c r="D2121" s="21" t="s">
        <v>6362</v>
      </c>
      <c r="E2121" s="21" t="s">
        <v>24784</v>
      </c>
      <c r="F2121" s="21" t="s">
        <v>11413</v>
      </c>
    </row>
    <row r="2122" customFormat="false" ht="15" hidden="false" customHeight="false" outlineLevel="0" collapsed="false">
      <c r="B2122" s="19" t="s">
        <v>24794</v>
      </c>
      <c r="C2122" s="20" t="n">
        <f aca="false">ROUND(3.77/FX,2)</f>
        <v>0.52</v>
      </c>
      <c r="D2122" s="21" t="s">
        <v>6362</v>
      </c>
      <c r="E2122" s="21" t="s">
        <v>24784</v>
      </c>
      <c r="F2122" s="21" t="s">
        <v>11415</v>
      </c>
    </row>
    <row r="2125" customFormat="false" ht="61.5" hidden="false" customHeight="true" outlineLevel="0" collapsed="false">
      <c r="A2125" s="9"/>
      <c r="B2125" s="10" t="s">
        <v>24795</v>
      </c>
      <c r="C2125" s="10"/>
      <c r="D2125" s="10"/>
      <c r="E2125" s="10"/>
    </row>
    <row r="2126" customFormat="false" ht="15" hidden="false" customHeight="true" outlineLevel="0" collapsed="false">
      <c r="B2126" s="11" t="s">
        <v>24796</v>
      </c>
      <c r="C2126" s="11"/>
      <c r="D2126" s="11"/>
      <c r="E2126" s="11"/>
    </row>
    <row r="2127" customFormat="false" ht="15" hidden="false" customHeight="false" outlineLevel="0" collapsed="false">
      <c r="A2127" s="12" t="s">
        <v>700</v>
      </c>
      <c r="B2127" s="13" t="s">
        <v>701</v>
      </c>
      <c r="C2127" s="13" t="s">
        <v>702</v>
      </c>
      <c r="D2127" s="13" t="s">
        <v>24797</v>
      </c>
      <c r="E2127" s="13" t="s">
        <v>24798</v>
      </c>
    </row>
    <row r="2128" customFormat="false" ht="30" hidden="false" customHeight="true" outlineLevel="0" collapsed="false">
      <c r="A2128" s="14" t="s">
        <v>706</v>
      </c>
      <c r="B2128" s="15" t="str">
        <f aca="false">IF(COUNTIFS($D$2131:$D$2136,IF(D2128="","*",D2128),$E$2131:$E$2136,IF(E2128="","*",E2128))=1,INDEX($B:$B,SUMPRODUCT(((D2128="")+($D$2131:$D$2136=D2128)&gt;0)*((E2128="")+($E$2131:$E$2136=E2128)&gt;0)*ROW($B$2131:$B$2136))),IF(COUNTIFS($D$2131:$D$2136,IF(D2128="","*",D2128),$E$2131:$E$2136,IF(E2128="","*",E2128))=0,"Not available",COUNTIFS($D$2131:$D$2136,IF(D2128="","*",D2128),$E$2131:$E$2136,IF(E2128="","*",E2128))&amp;" match, keep choosing"))</f>
        <v>6061-3x214x214</v>
      </c>
      <c r="C2128" s="16" t="n">
        <f aca="false">IF(COUNTIFS($D$2131:$D$2136,IF(D2128="","*",D2128),$E$2131:$E$2136,IF(E2128="","*",E2128))=1,INDEX($C:$C,SUMPRODUCT(((D2128="")+($D$2131:$D$2136=D2128)&gt;0)*((E2128="")+($E$2131:$E$2136=E2128)&gt;0)*ROW($B$2131:$B$2136))),"")</f>
        <v>1.63</v>
      </c>
      <c r="D2128" s="17" t="s">
        <v>839</v>
      </c>
      <c r="E2128" s="17" t="s">
        <v>24799</v>
      </c>
    </row>
    <row r="2130" customFormat="false" ht="15" hidden="false" customHeight="false" outlineLevel="0" collapsed="false">
      <c r="B2130" s="18" t="s">
        <v>701</v>
      </c>
      <c r="C2130" s="18" t="s">
        <v>702</v>
      </c>
      <c r="D2130" s="18" t="s">
        <v>24797</v>
      </c>
      <c r="E2130" s="18" t="s">
        <v>24798</v>
      </c>
    </row>
    <row r="2131" customFormat="false" ht="15" hidden="false" customHeight="false" outlineLevel="0" collapsed="false">
      <c r="B2131" s="19" t="s">
        <v>24800</v>
      </c>
      <c r="C2131" s="20" t="n">
        <f aca="false">ROUND(11.7/FX,2)</f>
        <v>1.63</v>
      </c>
      <c r="D2131" s="21" t="s">
        <v>839</v>
      </c>
      <c r="E2131" s="21" t="s">
        <v>24799</v>
      </c>
    </row>
    <row r="2132" customFormat="false" ht="15" hidden="false" customHeight="false" outlineLevel="0" collapsed="false">
      <c r="B2132" s="19" t="s">
        <v>24801</v>
      </c>
      <c r="C2132" s="20" t="n">
        <f aca="false">ROUND(26/FX,2)</f>
        <v>3.61</v>
      </c>
      <c r="D2132" s="21" t="s">
        <v>839</v>
      </c>
      <c r="E2132" s="21" t="s">
        <v>24802</v>
      </c>
    </row>
    <row r="2133" customFormat="false" ht="15" hidden="false" customHeight="false" outlineLevel="0" collapsed="false">
      <c r="B2133" s="19" t="s">
        <v>24803</v>
      </c>
      <c r="C2133" s="20" t="n">
        <f aca="false">ROUND(18.98/FX,2)</f>
        <v>2.64</v>
      </c>
      <c r="D2133" s="21" t="s">
        <v>841</v>
      </c>
      <c r="E2133" s="21" t="s">
        <v>24804</v>
      </c>
    </row>
    <row r="2134" customFormat="false" ht="15" hidden="false" customHeight="false" outlineLevel="0" collapsed="false">
      <c r="B2134" s="19" t="s">
        <v>24805</v>
      </c>
      <c r="C2134" s="20" t="n">
        <f aca="false">ROUND(58.07/FX,2)</f>
        <v>8.07</v>
      </c>
      <c r="D2134" s="21" t="s">
        <v>841</v>
      </c>
      <c r="E2134" s="21" t="s">
        <v>24806</v>
      </c>
    </row>
    <row r="2135" customFormat="false" ht="15" hidden="false" customHeight="false" outlineLevel="0" collapsed="false">
      <c r="B2135" s="19" t="s">
        <v>24807</v>
      </c>
      <c r="C2135" s="20" t="n">
        <f aca="false">ROUND(47.45/FX,2)</f>
        <v>6.59</v>
      </c>
      <c r="D2135" s="21" t="s">
        <v>789</v>
      </c>
      <c r="E2135" s="21" t="s">
        <v>24808</v>
      </c>
    </row>
    <row r="2136" customFormat="false" ht="15" hidden="false" customHeight="false" outlineLevel="0" collapsed="false">
      <c r="B2136" s="19" t="s">
        <v>24809</v>
      </c>
      <c r="C2136" s="20" t="n">
        <f aca="false">ROUND(5.85/FX,2)</f>
        <v>0.81</v>
      </c>
      <c r="D2136" s="21" t="s">
        <v>789</v>
      </c>
      <c r="E2136" s="21" t="s">
        <v>24810</v>
      </c>
    </row>
    <row r="2139" customFormat="false" ht="61.5" hidden="false" customHeight="true" outlineLevel="0" collapsed="false">
      <c r="A2139" s="9"/>
      <c r="B2139" s="10" t="s">
        <v>24811</v>
      </c>
      <c r="C2139" s="10"/>
      <c r="D2139" s="10"/>
      <c r="E2139" s="10"/>
      <c r="F2139" s="10"/>
    </row>
    <row r="2140" customFormat="false" ht="15" hidden="false" customHeight="false" outlineLevel="0" collapsed="false">
      <c r="A2140" s="12" t="s">
        <v>700</v>
      </c>
      <c r="B2140" s="13" t="s">
        <v>701</v>
      </c>
      <c r="C2140" s="13" t="s">
        <v>702</v>
      </c>
      <c r="D2140" s="13" t="s">
        <v>722</v>
      </c>
      <c r="E2140" s="13" t="s">
        <v>6159</v>
      </c>
      <c r="F2140" s="13" t="s">
        <v>11716</v>
      </c>
    </row>
    <row r="2141" customFormat="false" ht="30" hidden="false" customHeight="true" outlineLevel="0" collapsed="false">
      <c r="A2141" s="14" t="s">
        <v>706</v>
      </c>
      <c r="B2141" s="15" t="str">
        <f aca="false">IF(COUNTIFS($D$2144:$D$2212,IF(D2141="","*",D2141),$E$2144:$E$2212,IF(E2141="","*",E2141),$F$2144:$F$2212,IF(F2141="","*",F2141))=1,INDEX($B:$B,SUMPRODUCT(((D2141="")+($D$2144:$D$2212=D2141)&gt;0)*((E2141="")+($E$2144:$E$2212=E2141)&gt;0)*((F2141="")+($F$2144:$F$2212=F2141)&gt;0)*ROW($B$2144:$B$2212))),IF(COUNTIFS($D$2144:$D$2212,IF(D2141="","*",D2141),$E$2144:$E$2212,IF(E2141="","*",E2141),$F$2144:$F$2212,IF(F2141="","*",F2141))=0,"Not available",COUNTIFS($D$2144:$D$2212,IF(D2141="","*",D2141),$E$2144:$E$2212,IF(E2141="","*",E2141),$F$2144:$F$2212,IF(F2141="","*",F2141))&amp;" match, keep choosing"))</f>
        <v>GB15120-SV-L100</v>
      </c>
      <c r="C2141" s="16" t="n">
        <f aca="false">IF(COUNTIFS($D$2144:$D$2212,IF(D2141="","*",D2141),$E$2144:$E$2212,IF(E2141="","*",E2141),$F$2144:$F$2212,IF(F2141="","*",F2141))=1,INDEX($C:$C,SUMPRODUCT(((D2141="")+($D$2144:$D$2212=D2141)&gt;0)*((E2141="")+($E$2144:$E$2212=E2141)&gt;0)*((F2141="")+($F$2144:$F$2212=F2141)&gt;0)*ROW($B$2144:$B$2212))),"")</f>
        <v>0.93</v>
      </c>
      <c r="D2141" s="17" t="s">
        <v>6549</v>
      </c>
      <c r="E2141" s="17" t="s">
        <v>24812</v>
      </c>
      <c r="F2141" s="17" t="s">
        <v>2600</v>
      </c>
    </row>
    <row r="2143" customFormat="false" ht="15" hidden="false" customHeight="false" outlineLevel="0" collapsed="false">
      <c r="B2143" s="18" t="s">
        <v>701</v>
      </c>
      <c r="C2143" s="18" t="s">
        <v>702</v>
      </c>
      <c r="D2143" s="18" t="s">
        <v>722</v>
      </c>
      <c r="E2143" s="18" t="s">
        <v>6159</v>
      </c>
      <c r="F2143" s="18" t="s">
        <v>11716</v>
      </c>
    </row>
    <row r="2144" customFormat="false" ht="15" hidden="false" customHeight="false" outlineLevel="0" collapsed="false">
      <c r="B2144" s="19" t="s">
        <v>24813</v>
      </c>
      <c r="C2144" s="20" t="n">
        <f aca="false">ROUND(6.7/FX,2)</f>
        <v>0.93</v>
      </c>
      <c r="D2144" s="21" t="s">
        <v>6549</v>
      </c>
      <c r="E2144" s="21" t="s">
        <v>24812</v>
      </c>
      <c r="F2144" s="21" t="s">
        <v>2600</v>
      </c>
    </row>
    <row r="2145" customFormat="false" ht="15" hidden="false" customHeight="false" outlineLevel="0" collapsed="false">
      <c r="B2145" s="19" t="s">
        <v>24814</v>
      </c>
      <c r="C2145" s="20" t="n">
        <f aca="false">ROUND(10.05/FX,2)</f>
        <v>1.4</v>
      </c>
      <c r="D2145" s="21" t="s">
        <v>6549</v>
      </c>
      <c r="E2145" s="21" t="s">
        <v>24812</v>
      </c>
      <c r="F2145" s="21" t="s">
        <v>2851</v>
      </c>
    </row>
    <row r="2146" customFormat="false" ht="15" hidden="false" customHeight="false" outlineLevel="0" collapsed="false">
      <c r="B2146" s="19" t="s">
        <v>24815</v>
      </c>
      <c r="C2146" s="20" t="n">
        <f aca="false">ROUND(13.4/FX,2)</f>
        <v>1.86</v>
      </c>
      <c r="D2146" s="21" t="s">
        <v>6549</v>
      </c>
      <c r="E2146" s="21" t="s">
        <v>24812</v>
      </c>
      <c r="F2146" s="21" t="s">
        <v>1048</v>
      </c>
    </row>
    <row r="2147" customFormat="false" ht="15" hidden="false" customHeight="false" outlineLevel="0" collapsed="false">
      <c r="B2147" s="19" t="s">
        <v>24816</v>
      </c>
      <c r="C2147" s="20" t="n">
        <f aca="false">ROUND(16.75/FX,2)</f>
        <v>2.33</v>
      </c>
      <c r="D2147" s="21" t="s">
        <v>6549</v>
      </c>
      <c r="E2147" s="21" t="s">
        <v>24812</v>
      </c>
      <c r="F2147" s="21" t="s">
        <v>1323</v>
      </c>
    </row>
    <row r="2148" customFormat="false" ht="15" hidden="false" customHeight="false" outlineLevel="0" collapsed="false">
      <c r="B2148" s="19" t="s">
        <v>24817</v>
      </c>
      <c r="C2148" s="20" t="n">
        <f aca="false">ROUND(20.1/FX,2)</f>
        <v>2.79</v>
      </c>
      <c r="D2148" s="21" t="s">
        <v>6549</v>
      </c>
      <c r="E2148" s="21" t="s">
        <v>24812</v>
      </c>
      <c r="F2148" s="21" t="s">
        <v>1520</v>
      </c>
    </row>
    <row r="2149" customFormat="false" ht="15" hidden="false" customHeight="false" outlineLevel="0" collapsed="false">
      <c r="B2149" s="19" t="s">
        <v>24818</v>
      </c>
      <c r="C2149" s="20" t="n">
        <f aca="false">ROUND(25.46/FX,2)</f>
        <v>3.54</v>
      </c>
      <c r="D2149" s="21" t="s">
        <v>6549</v>
      </c>
      <c r="E2149" s="21" t="s">
        <v>24812</v>
      </c>
      <c r="F2149" s="21" t="s">
        <v>1685</v>
      </c>
    </row>
    <row r="2150" customFormat="false" ht="15" hidden="false" customHeight="false" outlineLevel="0" collapsed="false">
      <c r="B2150" s="19" t="s">
        <v>24819</v>
      </c>
      <c r="C2150" s="20" t="n">
        <f aca="false">ROUND(36.85/FX,2)</f>
        <v>5.12</v>
      </c>
      <c r="D2150" s="21" t="s">
        <v>6549</v>
      </c>
      <c r="E2150" s="21" t="s">
        <v>24812</v>
      </c>
      <c r="F2150" s="21" t="s">
        <v>2187</v>
      </c>
    </row>
    <row r="2151" customFormat="false" ht="15" hidden="false" customHeight="false" outlineLevel="0" collapsed="false">
      <c r="B2151" s="19" t="s">
        <v>24820</v>
      </c>
      <c r="C2151" s="20" t="n">
        <f aca="false">ROUND(33.6/FX,2)</f>
        <v>4.67</v>
      </c>
      <c r="D2151" s="21" t="s">
        <v>724</v>
      </c>
      <c r="E2151" s="21" t="s">
        <v>24821</v>
      </c>
      <c r="F2151" s="21" t="s">
        <v>1268</v>
      </c>
    </row>
    <row r="2152" customFormat="false" ht="15" hidden="false" customHeight="false" outlineLevel="0" collapsed="false">
      <c r="B2152" s="19" t="s">
        <v>24822</v>
      </c>
      <c r="C2152" s="20" t="n">
        <f aca="false">ROUND(35/FX,2)</f>
        <v>4.86</v>
      </c>
      <c r="D2152" s="21" t="s">
        <v>724</v>
      </c>
      <c r="E2152" s="21" t="s">
        <v>24821</v>
      </c>
      <c r="F2152" s="21" t="s">
        <v>1323</v>
      </c>
    </row>
    <row r="2153" customFormat="false" ht="15" hidden="false" customHeight="false" outlineLevel="0" collapsed="false">
      <c r="B2153" s="19" t="s">
        <v>24823</v>
      </c>
      <c r="C2153" s="20" t="n">
        <f aca="false">ROUND(40.6/FX,2)</f>
        <v>5.64</v>
      </c>
      <c r="D2153" s="21" t="s">
        <v>724</v>
      </c>
      <c r="E2153" s="21" t="s">
        <v>24821</v>
      </c>
      <c r="F2153" s="21" t="s">
        <v>1495</v>
      </c>
    </row>
    <row r="2154" customFormat="false" ht="15" hidden="false" customHeight="false" outlineLevel="0" collapsed="false">
      <c r="B2154" s="19" t="s">
        <v>24824</v>
      </c>
      <c r="C2154" s="20" t="n">
        <f aca="false">ROUND(42/FX,2)</f>
        <v>5.83</v>
      </c>
      <c r="D2154" s="21" t="s">
        <v>724</v>
      </c>
      <c r="E2154" s="21" t="s">
        <v>24821</v>
      </c>
      <c r="F2154" s="21" t="s">
        <v>1520</v>
      </c>
    </row>
    <row r="2155" customFormat="false" ht="15" hidden="false" customHeight="false" outlineLevel="0" collapsed="false">
      <c r="B2155" s="19" t="s">
        <v>24825</v>
      </c>
      <c r="C2155" s="20" t="n">
        <f aca="false">ROUND(44.8/FX,2)</f>
        <v>6.22</v>
      </c>
      <c r="D2155" s="21" t="s">
        <v>724</v>
      </c>
      <c r="E2155" s="21" t="s">
        <v>24821</v>
      </c>
      <c r="F2155" s="21" t="s">
        <v>1570</v>
      </c>
    </row>
    <row r="2156" customFormat="false" ht="15" hidden="false" customHeight="false" outlineLevel="0" collapsed="false">
      <c r="B2156" s="19" t="s">
        <v>24826</v>
      </c>
      <c r="C2156" s="20" t="n">
        <f aca="false">ROUND(56/FX,2)</f>
        <v>7.78</v>
      </c>
      <c r="D2156" s="21" t="s">
        <v>724</v>
      </c>
      <c r="E2156" s="21" t="s">
        <v>24821</v>
      </c>
      <c r="F2156" s="21" t="s">
        <v>2002</v>
      </c>
    </row>
    <row r="2157" customFormat="false" ht="15" hidden="false" customHeight="false" outlineLevel="0" collapsed="false">
      <c r="B2157" s="19" t="s">
        <v>24827</v>
      </c>
      <c r="C2157" s="20" t="n">
        <f aca="false">ROUND(70/FX,2)</f>
        <v>9.72</v>
      </c>
      <c r="D2157" s="21" t="s">
        <v>724</v>
      </c>
      <c r="E2157" s="21" t="s">
        <v>24821</v>
      </c>
      <c r="F2157" s="21" t="s">
        <v>2142</v>
      </c>
    </row>
    <row r="2158" customFormat="false" ht="15" hidden="false" customHeight="false" outlineLevel="0" collapsed="false">
      <c r="B2158" s="19" t="s">
        <v>24828</v>
      </c>
      <c r="C2158" s="20" t="n">
        <f aca="false">ROUND(11.85/FX,2)</f>
        <v>1.65</v>
      </c>
      <c r="D2158" s="21" t="s">
        <v>6549</v>
      </c>
      <c r="E2158" s="21" t="s">
        <v>24821</v>
      </c>
      <c r="F2158" s="21" t="s">
        <v>2600</v>
      </c>
    </row>
    <row r="2159" customFormat="false" ht="15" hidden="false" customHeight="false" outlineLevel="0" collapsed="false">
      <c r="B2159" s="19" t="s">
        <v>24829</v>
      </c>
      <c r="C2159" s="20" t="n">
        <f aca="false">ROUND(118.5/FX,2)</f>
        <v>16.46</v>
      </c>
      <c r="D2159" s="21" t="s">
        <v>6549</v>
      </c>
      <c r="E2159" s="21" t="s">
        <v>24821</v>
      </c>
      <c r="F2159" s="21" t="s">
        <v>1733</v>
      </c>
    </row>
    <row r="2160" customFormat="false" ht="15" hidden="false" customHeight="false" outlineLevel="0" collapsed="false">
      <c r="B2160" s="19" t="s">
        <v>24830</v>
      </c>
      <c r="C2160" s="20" t="n">
        <f aca="false">ROUND(23.7/FX,2)</f>
        <v>3.29</v>
      </c>
      <c r="D2160" s="21" t="s">
        <v>6549</v>
      </c>
      <c r="E2160" s="21" t="s">
        <v>24821</v>
      </c>
      <c r="F2160" s="21" t="s">
        <v>1048</v>
      </c>
    </row>
    <row r="2161" customFormat="false" ht="15" hidden="false" customHeight="false" outlineLevel="0" collapsed="false">
      <c r="B2161" s="19" t="s">
        <v>24831</v>
      </c>
      <c r="C2161" s="20" t="n">
        <f aca="false">ROUND(27.26/FX,2)</f>
        <v>3.79</v>
      </c>
      <c r="D2161" s="21" t="s">
        <v>6549</v>
      </c>
      <c r="E2161" s="21" t="s">
        <v>24821</v>
      </c>
      <c r="F2161" s="21" t="s">
        <v>1213</v>
      </c>
    </row>
    <row r="2162" customFormat="false" ht="15" hidden="false" customHeight="false" outlineLevel="0" collapsed="false">
      <c r="B2162" s="19" t="s">
        <v>24832</v>
      </c>
      <c r="C2162" s="20" t="n">
        <f aca="false">ROUND(34.37/FX,2)</f>
        <v>4.77</v>
      </c>
      <c r="D2162" s="21" t="s">
        <v>6549</v>
      </c>
      <c r="E2162" s="21" t="s">
        <v>24821</v>
      </c>
      <c r="F2162" s="21" t="s">
        <v>1495</v>
      </c>
    </row>
    <row r="2163" customFormat="false" ht="15" hidden="false" customHeight="false" outlineLevel="0" collapsed="false">
      <c r="B2163" s="19" t="s">
        <v>24833</v>
      </c>
      <c r="C2163" s="20" t="n">
        <f aca="false">ROUND(39/FX,2)</f>
        <v>5.42</v>
      </c>
      <c r="D2163" s="21" t="s">
        <v>6549</v>
      </c>
      <c r="E2163" s="21" t="s">
        <v>24821</v>
      </c>
      <c r="F2163" s="21" t="s">
        <v>1520</v>
      </c>
    </row>
    <row r="2164" customFormat="false" ht="15" hidden="false" customHeight="false" outlineLevel="0" collapsed="false">
      <c r="B2164" s="19" t="s">
        <v>24834</v>
      </c>
      <c r="C2164" s="20" t="n">
        <f aca="false">ROUND(37.92/FX,2)</f>
        <v>5.27</v>
      </c>
      <c r="D2164" s="21" t="s">
        <v>6549</v>
      </c>
      <c r="E2164" s="21" t="s">
        <v>24821</v>
      </c>
      <c r="F2164" s="21" t="s">
        <v>1570</v>
      </c>
    </row>
    <row r="2165" customFormat="false" ht="15" hidden="false" customHeight="false" outlineLevel="0" collapsed="false">
      <c r="B2165" s="19" t="s">
        <v>24835</v>
      </c>
      <c r="C2165" s="20" t="n">
        <f aca="false">ROUND(45.03/FX,2)</f>
        <v>6.25</v>
      </c>
      <c r="D2165" s="21" t="s">
        <v>6549</v>
      </c>
      <c r="E2165" s="21" t="s">
        <v>24821</v>
      </c>
      <c r="F2165" s="21" t="s">
        <v>1685</v>
      </c>
    </row>
    <row r="2166" customFormat="false" ht="15" hidden="false" customHeight="false" outlineLevel="0" collapsed="false">
      <c r="B2166" s="19" t="s">
        <v>24836</v>
      </c>
      <c r="C2166" s="20" t="n">
        <f aca="false">ROUND(47.4/FX,2)</f>
        <v>6.58</v>
      </c>
      <c r="D2166" s="21" t="s">
        <v>6549</v>
      </c>
      <c r="E2166" s="21" t="s">
        <v>24821</v>
      </c>
      <c r="F2166" s="21" t="s">
        <v>2002</v>
      </c>
    </row>
    <row r="2167" customFormat="false" ht="15" hidden="false" customHeight="false" outlineLevel="0" collapsed="false">
      <c r="B2167" s="19" t="s">
        <v>24837</v>
      </c>
      <c r="C2167" s="20" t="n">
        <f aca="false">ROUND(49.77/FX,2)</f>
        <v>6.91</v>
      </c>
      <c r="D2167" s="21" t="s">
        <v>6549</v>
      </c>
      <c r="E2167" s="21" t="s">
        <v>24821</v>
      </c>
      <c r="F2167" s="21" t="s">
        <v>2022</v>
      </c>
    </row>
    <row r="2168" customFormat="false" ht="15" hidden="false" customHeight="false" outlineLevel="0" collapsed="false">
      <c r="B2168" s="19" t="s">
        <v>24838</v>
      </c>
      <c r="C2168" s="20" t="n">
        <f aca="false">ROUND(50.96/FX,2)</f>
        <v>7.08</v>
      </c>
      <c r="D2168" s="21" t="s">
        <v>6549</v>
      </c>
      <c r="E2168" s="21" t="s">
        <v>24821</v>
      </c>
      <c r="F2168" s="21" t="s">
        <v>2037</v>
      </c>
    </row>
    <row r="2169" customFormat="false" ht="15" hidden="false" customHeight="false" outlineLevel="0" collapsed="false">
      <c r="B2169" s="19" t="s">
        <v>24839</v>
      </c>
      <c r="C2169" s="20" t="n">
        <f aca="false">ROUND(53.33/FX,2)</f>
        <v>7.41</v>
      </c>
      <c r="D2169" s="21" t="s">
        <v>6549</v>
      </c>
      <c r="E2169" s="21" t="s">
        <v>24821</v>
      </c>
      <c r="F2169" s="21" t="s">
        <v>2067</v>
      </c>
    </row>
    <row r="2170" customFormat="false" ht="15" hidden="false" customHeight="false" outlineLevel="0" collapsed="false">
      <c r="B2170" s="19" t="s">
        <v>24840</v>
      </c>
      <c r="C2170" s="20" t="n">
        <f aca="false">ROUND(59.25/FX,2)</f>
        <v>8.23</v>
      </c>
      <c r="D2170" s="21" t="s">
        <v>6549</v>
      </c>
      <c r="E2170" s="21" t="s">
        <v>24821</v>
      </c>
      <c r="F2170" s="21" t="s">
        <v>2142</v>
      </c>
    </row>
    <row r="2171" customFormat="false" ht="15" hidden="false" customHeight="false" outlineLevel="0" collapsed="false">
      <c r="B2171" s="19" t="s">
        <v>24841</v>
      </c>
      <c r="C2171" s="20" t="n">
        <f aca="false">ROUND(71.1/FX,2)</f>
        <v>9.88</v>
      </c>
      <c r="D2171" s="21" t="s">
        <v>6549</v>
      </c>
      <c r="E2171" s="21" t="s">
        <v>24821</v>
      </c>
      <c r="F2171" s="21" t="s">
        <v>2227</v>
      </c>
    </row>
    <row r="2172" customFormat="false" ht="15" hidden="false" customHeight="false" outlineLevel="0" collapsed="false">
      <c r="B2172" s="19" t="s">
        <v>24842</v>
      </c>
      <c r="C2172" s="20" t="n">
        <f aca="false">ROUND(75.84/FX,2)</f>
        <v>10.53</v>
      </c>
      <c r="D2172" s="21" t="s">
        <v>6549</v>
      </c>
      <c r="E2172" s="21" t="s">
        <v>24821</v>
      </c>
      <c r="F2172" s="21" t="s">
        <v>2279</v>
      </c>
    </row>
    <row r="2173" customFormat="false" ht="15" hidden="false" customHeight="false" outlineLevel="0" collapsed="false">
      <c r="B2173" s="19" t="s">
        <v>24843</v>
      </c>
      <c r="C2173" s="20" t="n">
        <f aca="false">ROUND(77.03/FX,2)</f>
        <v>10.7</v>
      </c>
      <c r="D2173" s="21" t="s">
        <v>6549</v>
      </c>
      <c r="E2173" s="21" t="s">
        <v>24821</v>
      </c>
      <c r="F2173" s="21" t="s">
        <v>2297</v>
      </c>
    </row>
    <row r="2174" customFormat="false" ht="15" hidden="false" customHeight="false" outlineLevel="0" collapsed="false">
      <c r="B2174" s="19" t="s">
        <v>24844</v>
      </c>
      <c r="C2174" s="20" t="n">
        <f aca="false">ROUND(2.4/FX,2)</f>
        <v>0.33</v>
      </c>
      <c r="D2174" s="21" t="s">
        <v>6549</v>
      </c>
      <c r="E2174" s="21" t="s">
        <v>24845</v>
      </c>
      <c r="F2174" s="21" t="s">
        <v>2600</v>
      </c>
    </row>
    <row r="2175" customFormat="false" ht="15" hidden="false" customHeight="false" outlineLevel="0" collapsed="false">
      <c r="B2175" s="19" t="s">
        <v>24846</v>
      </c>
      <c r="C2175" s="20" t="n">
        <f aca="false">ROUND(3.6/FX,2)</f>
        <v>0.5</v>
      </c>
      <c r="D2175" s="21" t="s">
        <v>6549</v>
      </c>
      <c r="E2175" s="21" t="s">
        <v>24845</v>
      </c>
      <c r="F2175" s="21" t="s">
        <v>2851</v>
      </c>
    </row>
    <row r="2176" customFormat="false" ht="15" hidden="false" customHeight="false" outlineLevel="0" collapsed="false">
      <c r="B2176" s="19" t="s">
        <v>24847</v>
      </c>
      <c r="C2176" s="20" t="n">
        <f aca="false">ROUND(4.08/FX,2)</f>
        <v>0.57</v>
      </c>
      <c r="D2176" s="21" t="s">
        <v>6549</v>
      </c>
      <c r="E2176" s="21" t="s">
        <v>24845</v>
      </c>
      <c r="F2176" s="21" t="s">
        <v>883</v>
      </c>
    </row>
    <row r="2177" customFormat="false" ht="15" hidden="false" customHeight="false" outlineLevel="0" collapsed="false">
      <c r="B2177" s="19" t="s">
        <v>24848</v>
      </c>
      <c r="C2177" s="20" t="n">
        <f aca="false">ROUND(4.8/FX,2)</f>
        <v>0.67</v>
      </c>
      <c r="D2177" s="21" t="s">
        <v>6549</v>
      </c>
      <c r="E2177" s="21" t="s">
        <v>24845</v>
      </c>
      <c r="F2177" s="21" t="s">
        <v>1048</v>
      </c>
    </row>
    <row r="2178" customFormat="false" ht="15" hidden="false" customHeight="false" outlineLevel="0" collapsed="false">
      <c r="B2178" s="19" t="s">
        <v>24849</v>
      </c>
      <c r="C2178" s="20" t="n">
        <f aca="false">ROUND(8.4/FX,2)</f>
        <v>1.17</v>
      </c>
      <c r="D2178" s="21" t="s">
        <v>6549</v>
      </c>
      <c r="E2178" s="21" t="s">
        <v>24845</v>
      </c>
      <c r="F2178" s="21" t="s">
        <v>1635</v>
      </c>
    </row>
    <row r="2179" customFormat="false" ht="15" hidden="false" customHeight="false" outlineLevel="0" collapsed="false">
      <c r="B2179" s="19" t="s">
        <v>24850</v>
      </c>
      <c r="C2179" s="20" t="n">
        <f aca="false">ROUND(12/FX,2)</f>
        <v>1.67</v>
      </c>
      <c r="D2179" s="21" t="s">
        <v>6549</v>
      </c>
      <c r="E2179" s="21" t="s">
        <v>24845</v>
      </c>
      <c r="F2179" s="21" t="s">
        <v>2142</v>
      </c>
    </row>
    <row r="2180" customFormat="false" ht="15" hidden="false" customHeight="false" outlineLevel="0" collapsed="false">
      <c r="B2180" s="19" t="s">
        <v>24851</v>
      </c>
      <c r="C2180" s="20" t="n">
        <f aca="false">ROUND(3/FX,2)</f>
        <v>0.42</v>
      </c>
      <c r="D2180" s="21" t="s">
        <v>6549</v>
      </c>
      <c r="E2180" s="21" t="s">
        <v>24852</v>
      </c>
      <c r="F2180" s="21" t="s">
        <v>2851</v>
      </c>
    </row>
    <row r="2181" customFormat="false" ht="15" hidden="false" customHeight="false" outlineLevel="0" collapsed="false">
      <c r="B2181" s="19" t="s">
        <v>24853</v>
      </c>
      <c r="C2181" s="20" t="n">
        <f aca="false">ROUND(4/FX,2)</f>
        <v>0.56</v>
      </c>
      <c r="D2181" s="21" t="s">
        <v>6549</v>
      </c>
      <c r="E2181" s="21" t="s">
        <v>24852</v>
      </c>
      <c r="F2181" s="21" t="s">
        <v>1048</v>
      </c>
    </row>
    <row r="2182" customFormat="false" ht="15" hidden="false" customHeight="false" outlineLevel="0" collapsed="false">
      <c r="B2182" s="19" t="s">
        <v>24854</v>
      </c>
      <c r="C2182" s="20" t="n">
        <f aca="false">ROUND(5/FX,2)</f>
        <v>0.69</v>
      </c>
      <c r="D2182" s="21" t="s">
        <v>6549</v>
      </c>
      <c r="E2182" s="21" t="s">
        <v>24852</v>
      </c>
      <c r="F2182" s="21" t="s">
        <v>1323</v>
      </c>
    </row>
    <row r="2183" customFormat="false" ht="15" hidden="false" customHeight="false" outlineLevel="0" collapsed="false">
      <c r="B2183" s="19" t="s">
        <v>24855</v>
      </c>
      <c r="C2183" s="20" t="n">
        <f aca="false">ROUND(46/FX,2)</f>
        <v>6.39</v>
      </c>
      <c r="D2183" s="21" t="s">
        <v>6549</v>
      </c>
      <c r="E2183" s="21" t="s">
        <v>24856</v>
      </c>
      <c r="F2183" s="21" t="s">
        <v>1733</v>
      </c>
    </row>
    <row r="2184" customFormat="false" ht="15" hidden="false" customHeight="false" outlineLevel="0" collapsed="false">
      <c r="B2184" s="19" t="s">
        <v>24857</v>
      </c>
      <c r="C2184" s="20" t="n">
        <f aca="false">ROUND(6.9/FX,2)</f>
        <v>0.96</v>
      </c>
      <c r="D2184" s="21" t="s">
        <v>6549</v>
      </c>
      <c r="E2184" s="21" t="s">
        <v>24856</v>
      </c>
      <c r="F2184" s="21" t="s">
        <v>2851</v>
      </c>
    </row>
    <row r="2185" customFormat="false" ht="15" hidden="false" customHeight="false" outlineLevel="0" collapsed="false">
      <c r="B2185" s="19" t="s">
        <v>24858</v>
      </c>
      <c r="C2185" s="20" t="n">
        <f aca="false">ROUND(9.2/FX,2)</f>
        <v>1.28</v>
      </c>
      <c r="D2185" s="21" t="s">
        <v>6549</v>
      </c>
      <c r="E2185" s="21" t="s">
        <v>24856</v>
      </c>
      <c r="F2185" s="21" t="s">
        <v>1048</v>
      </c>
    </row>
    <row r="2186" customFormat="false" ht="15" hidden="false" customHeight="false" outlineLevel="0" collapsed="false">
      <c r="B2186" s="19" t="s">
        <v>24859</v>
      </c>
      <c r="C2186" s="20" t="n">
        <f aca="false">ROUND(11.5/FX,2)</f>
        <v>1.6</v>
      </c>
      <c r="D2186" s="21" t="s">
        <v>6549</v>
      </c>
      <c r="E2186" s="21" t="s">
        <v>24856</v>
      </c>
      <c r="F2186" s="21" t="s">
        <v>1323</v>
      </c>
    </row>
    <row r="2187" customFormat="false" ht="15" hidden="false" customHeight="false" outlineLevel="0" collapsed="false">
      <c r="B2187" s="19" t="s">
        <v>24860</v>
      </c>
      <c r="C2187" s="20" t="n">
        <f aca="false">ROUND(23/FX,2)</f>
        <v>3.19</v>
      </c>
      <c r="D2187" s="21" t="s">
        <v>6549</v>
      </c>
      <c r="E2187" s="21" t="s">
        <v>24856</v>
      </c>
      <c r="F2187" s="21" t="s">
        <v>2142</v>
      </c>
    </row>
    <row r="2188" customFormat="false" ht="15" hidden="false" customHeight="false" outlineLevel="0" collapsed="false">
      <c r="B2188" s="19" t="s">
        <v>24861</v>
      </c>
      <c r="C2188" s="20" t="n">
        <f aca="false">ROUND(23.92/FX,2)</f>
        <v>3.32</v>
      </c>
      <c r="D2188" s="21" t="s">
        <v>6549</v>
      </c>
      <c r="E2188" s="21" t="s">
        <v>24856</v>
      </c>
      <c r="F2188" s="21" t="s">
        <v>2162</v>
      </c>
    </row>
    <row r="2189" customFormat="false" ht="15" hidden="false" customHeight="false" outlineLevel="0" collapsed="false">
      <c r="B2189" s="19" t="s">
        <v>24862</v>
      </c>
      <c r="C2189" s="20" t="n">
        <f aca="false">ROUND(32.2/FX,2)</f>
        <v>4.47</v>
      </c>
      <c r="D2189" s="21" t="s">
        <v>6549</v>
      </c>
      <c r="E2189" s="21" t="s">
        <v>24856</v>
      </c>
      <c r="F2189" s="21" t="s">
        <v>2351</v>
      </c>
    </row>
    <row r="2190" customFormat="false" ht="15" hidden="false" customHeight="false" outlineLevel="0" collapsed="false">
      <c r="B2190" s="19" t="s">
        <v>24863</v>
      </c>
      <c r="C2190" s="20" t="n">
        <f aca="false">ROUND(8.52/FX,2)</f>
        <v>1.18</v>
      </c>
      <c r="D2190" s="21" t="s">
        <v>6549</v>
      </c>
      <c r="E2190" s="21" t="s">
        <v>24864</v>
      </c>
      <c r="F2190" s="21" t="s">
        <v>1048</v>
      </c>
    </row>
    <row r="2191" customFormat="false" ht="15" hidden="false" customHeight="false" outlineLevel="0" collapsed="false">
      <c r="B2191" s="19" t="s">
        <v>24865</v>
      </c>
      <c r="C2191" s="20" t="n">
        <f aca="false">ROUND(10.65/FX,2)</f>
        <v>1.48</v>
      </c>
      <c r="D2191" s="21" t="s">
        <v>6549</v>
      </c>
      <c r="E2191" s="21" t="s">
        <v>24864</v>
      </c>
      <c r="F2191" s="21" t="s">
        <v>1323</v>
      </c>
    </row>
    <row r="2192" customFormat="false" ht="15" hidden="false" customHeight="false" outlineLevel="0" collapsed="false">
      <c r="B2192" s="19" t="s">
        <v>24866</v>
      </c>
      <c r="C2192" s="20" t="n">
        <f aca="false">ROUND(21.3/FX,2)</f>
        <v>2.96</v>
      </c>
      <c r="D2192" s="21" t="s">
        <v>6549</v>
      </c>
      <c r="E2192" s="21" t="s">
        <v>24864</v>
      </c>
      <c r="F2192" s="21" t="s">
        <v>2142</v>
      </c>
    </row>
    <row r="2193" customFormat="false" ht="15" hidden="false" customHeight="false" outlineLevel="0" collapsed="false">
      <c r="B2193" s="19" t="s">
        <v>24867</v>
      </c>
      <c r="C2193" s="20" t="n">
        <f aca="false">ROUND(12.45/FX,2)</f>
        <v>1.73</v>
      </c>
      <c r="D2193" s="21" t="s">
        <v>6549</v>
      </c>
      <c r="E2193" s="21" t="s">
        <v>24868</v>
      </c>
      <c r="F2193" s="21" t="s">
        <v>2851</v>
      </c>
    </row>
    <row r="2194" customFormat="false" ht="15" hidden="false" customHeight="false" outlineLevel="0" collapsed="false">
      <c r="B2194" s="19" t="s">
        <v>24869</v>
      </c>
      <c r="C2194" s="20" t="n">
        <f aca="false">ROUND(124.5/FX,2)</f>
        <v>17.29</v>
      </c>
      <c r="D2194" s="21" t="s">
        <v>6549</v>
      </c>
      <c r="E2194" s="21" t="s">
        <v>24868</v>
      </c>
      <c r="F2194" s="21" t="s">
        <v>1881</v>
      </c>
    </row>
    <row r="2195" customFormat="false" ht="15" hidden="false" customHeight="false" outlineLevel="0" collapsed="false">
      <c r="B2195" s="19" t="s">
        <v>24870</v>
      </c>
      <c r="C2195" s="20" t="n">
        <f aca="false">ROUND(14.11/FX,2)</f>
        <v>1.96</v>
      </c>
      <c r="D2195" s="21" t="s">
        <v>6549</v>
      </c>
      <c r="E2195" s="21" t="s">
        <v>24868</v>
      </c>
      <c r="F2195" s="21" t="s">
        <v>883</v>
      </c>
    </row>
    <row r="2196" customFormat="false" ht="15" hidden="false" customHeight="false" outlineLevel="0" collapsed="false">
      <c r="B2196" s="19" t="s">
        <v>24871</v>
      </c>
      <c r="C2196" s="20" t="n">
        <f aca="false">ROUND(16.6/FX,2)</f>
        <v>2.31</v>
      </c>
      <c r="D2196" s="21" t="s">
        <v>6549</v>
      </c>
      <c r="E2196" s="21" t="s">
        <v>24868</v>
      </c>
      <c r="F2196" s="21" t="s">
        <v>1048</v>
      </c>
    </row>
    <row r="2197" customFormat="false" ht="15" hidden="false" customHeight="false" outlineLevel="0" collapsed="false">
      <c r="B2197" s="19" t="s">
        <v>24872</v>
      </c>
      <c r="C2197" s="20" t="n">
        <f aca="false">ROUND(20.75/FX,2)</f>
        <v>2.88</v>
      </c>
      <c r="D2197" s="21" t="s">
        <v>6549</v>
      </c>
      <c r="E2197" s="21" t="s">
        <v>24868</v>
      </c>
      <c r="F2197" s="21" t="s">
        <v>1323</v>
      </c>
    </row>
    <row r="2198" customFormat="false" ht="15" hidden="false" customHeight="false" outlineLevel="0" collapsed="false">
      <c r="B2198" s="19" t="s">
        <v>24873</v>
      </c>
      <c r="C2198" s="20" t="n">
        <f aca="false">ROUND(24.9/FX,2)</f>
        <v>3.46</v>
      </c>
      <c r="D2198" s="21" t="s">
        <v>6549</v>
      </c>
      <c r="E2198" s="21" t="s">
        <v>24868</v>
      </c>
      <c r="F2198" s="21" t="s">
        <v>1520</v>
      </c>
    </row>
    <row r="2199" customFormat="false" ht="15" hidden="false" customHeight="false" outlineLevel="0" collapsed="false">
      <c r="B2199" s="19" t="s">
        <v>24874</v>
      </c>
      <c r="C2199" s="20" t="n">
        <f aca="false">ROUND(29.88/FX,2)</f>
        <v>4.15</v>
      </c>
      <c r="D2199" s="21" t="s">
        <v>6549</v>
      </c>
      <c r="E2199" s="21" t="s">
        <v>24868</v>
      </c>
      <c r="F2199" s="21" t="s">
        <v>1655</v>
      </c>
    </row>
    <row r="2200" customFormat="false" ht="15" hidden="false" customHeight="false" outlineLevel="0" collapsed="false">
      <c r="B2200" s="19" t="s">
        <v>24875</v>
      </c>
      <c r="C2200" s="20" t="n">
        <f aca="false">ROUND(33.2/FX,2)</f>
        <v>4.61</v>
      </c>
      <c r="D2200" s="21" t="s">
        <v>6549</v>
      </c>
      <c r="E2200" s="21" t="s">
        <v>24868</v>
      </c>
      <c r="F2200" s="21" t="s">
        <v>2002</v>
      </c>
    </row>
    <row r="2201" customFormat="false" ht="15" hidden="false" customHeight="false" outlineLevel="0" collapsed="false">
      <c r="B2201" s="19" t="s">
        <v>24876</v>
      </c>
      <c r="C2201" s="20" t="n">
        <f aca="false">ROUND(37.35/FX,2)</f>
        <v>5.19</v>
      </c>
      <c r="D2201" s="21" t="s">
        <v>6549</v>
      </c>
      <c r="E2201" s="21" t="s">
        <v>24868</v>
      </c>
      <c r="F2201" s="21" t="s">
        <v>2067</v>
      </c>
    </row>
    <row r="2202" customFormat="false" ht="15" hidden="false" customHeight="false" outlineLevel="0" collapsed="false">
      <c r="B2202" s="19" t="s">
        <v>24877</v>
      </c>
      <c r="C2202" s="20" t="n">
        <f aca="false">ROUND(41.5/FX,2)</f>
        <v>5.76</v>
      </c>
      <c r="D2202" s="21" t="s">
        <v>6549</v>
      </c>
      <c r="E2202" s="21" t="s">
        <v>24868</v>
      </c>
      <c r="F2202" s="21" t="s">
        <v>2142</v>
      </c>
    </row>
    <row r="2203" customFormat="false" ht="15" hidden="false" customHeight="false" outlineLevel="0" collapsed="false">
      <c r="B2203" s="19" t="s">
        <v>24878</v>
      </c>
      <c r="C2203" s="20" t="n">
        <f aca="false">ROUND(43.58/FX,2)</f>
        <v>6.05</v>
      </c>
      <c r="D2203" s="21" t="s">
        <v>6549</v>
      </c>
      <c r="E2203" s="21" t="s">
        <v>24868</v>
      </c>
      <c r="F2203" s="21" t="s">
        <v>3675</v>
      </c>
    </row>
    <row r="2204" customFormat="false" ht="15" hidden="false" customHeight="false" outlineLevel="0" collapsed="false">
      <c r="B2204" s="19" t="s">
        <v>24879</v>
      </c>
      <c r="C2204" s="20" t="n">
        <f aca="false">ROUND(62.25/FX,2)</f>
        <v>8.65</v>
      </c>
      <c r="D2204" s="21" t="s">
        <v>6549</v>
      </c>
      <c r="E2204" s="21" t="s">
        <v>24868</v>
      </c>
      <c r="F2204" s="21" t="s">
        <v>2400</v>
      </c>
    </row>
    <row r="2205" customFormat="false" ht="15" hidden="false" customHeight="false" outlineLevel="0" collapsed="false">
      <c r="B2205" s="19" t="s">
        <v>24880</v>
      </c>
      <c r="C2205" s="20" t="n">
        <f aca="false">ROUND(10.59/FX,2)</f>
        <v>1.47</v>
      </c>
      <c r="D2205" s="21" t="s">
        <v>6549</v>
      </c>
      <c r="E2205" s="21" t="s">
        <v>24881</v>
      </c>
      <c r="F2205" s="21" t="s">
        <v>2851</v>
      </c>
    </row>
    <row r="2206" customFormat="false" ht="15" hidden="false" customHeight="false" outlineLevel="0" collapsed="false">
      <c r="B2206" s="19" t="s">
        <v>24882</v>
      </c>
      <c r="C2206" s="20" t="n">
        <f aca="false">ROUND(21.18/FX,2)</f>
        <v>2.94</v>
      </c>
      <c r="D2206" s="21" t="s">
        <v>6549</v>
      </c>
      <c r="E2206" s="21" t="s">
        <v>24881</v>
      </c>
      <c r="F2206" s="21" t="s">
        <v>1520</v>
      </c>
    </row>
    <row r="2207" customFormat="false" ht="15" hidden="false" customHeight="false" outlineLevel="0" collapsed="false">
      <c r="B2207" s="19" t="s">
        <v>24883</v>
      </c>
      <c r="C2207" s="20" t="n">
        <f aca="false">ROUND(18.41/FX,2)</f>
        <v>2.56</v>
      </c>
      <c r="D2207" s="21" t="s">
        <v>6549</v>
      </c>
      <c r="E2207" s="21" t="s">
        <v>24884</v>
      </c>
      <c r="F2207" s="21" t="s">
        <v>1048</v>
      </c>
    </row>
    <row r="2208" customFormat="false" ht="15" hidden="false" customHeight="false" outlineLevel="0" collapsed="false">
      <c r="B2208" s="19" t="s">
        <v>24885</v>
      </c>
      <c r="C2208" s="20" t="n">
        <f aca="false">ROUND(22.68/FX,2)</f>
        <v>3.15</v>
      </c>
      <c r="D2208" s="21" t="s">
        <v>6549</v>
      </c>
      <c r="E2208" s="21" t="s">
        <v>24884</v>
      </c>
      <c r="F2208" s="21" t="s">
        <v>1323</v>
      </c>
    </row>
    <row r="2209" customFormat="false" ht="15" hidden="false" customHeight="false" outlineLevel="0" collapsed="false">
      <c r="B2209" s="19" t="s">
        <v>24886</v>
      </c>
      <c r="C2209" s="20" t="n">
        <f aca="false">ROUND(27.21/FX,2)</f>
        <v>3.78</v>
      </c>
      <c r="D2209" s="21" t="s">
        <v>6549</v>
      </c>
      <c r="E2209" s="21" t="s">
        <v>24884</v>
      </c>
      <c r="F2209" s="21" t="s">
        <v>1520</v>
      </c>
    </row>
    <row r="2210" customFormat="false" ht="15" hidden="false" customHeight="false" outlineLevel="0" collapsed="false">
      <c r="B2210" s="19" t="s">
        <v>24887</v>
      </c>
      <c r="C2210" s="20" t="n">
        <f aca="false">ROUND(29.02/FX,2)</f>
        <v>4.03</v>
      </c>
      <c r="D2210" s="21" t="s">
        <v>6549</v>
      </c>
      <c r="E2210" s="21" t="s">
        <v>24884</v>
      </c>
      <c r="F2210" s="21" t="s">
        <v>1570</v>
      </c>
    </row>
    <row r="2211" customFormat="false" ht="15" hidden="false" customHeight="false" outlineLevel="0" collapsed="false">
      <c r="B2211" s="19" t="s">
        <v>24888</v>
      </c>
      <c r="C2211" s="20" t="n">
        <f aca="false">ROUND(33.56/FX,2)</f>
        <v>4.66</v>
      </c>
      <c r="D2211" s="21" t="s">
        <v>6549</v>
      </c>
      <c r="E2211" s="21" t="s">
        <v>24884</v>
      </c>
      <c r="F2211" s="21" t="s">
        <v>1670</v>
      </c>
    </row>
    <row r="2212" customFormat="false" ht="15" hidden="false" customHeight="false" outlineLevel="0" collapsed="false">
      <c r="B2212" s="19" t="s">
        <v>24889</v>
      </c>
      <c r="C2212" s="20" t="n">
        <f aca="false">ROUND(38.09/FX,2)</f>
        <v>5.29</v>
      </c>
      <c r="D2212" s="21" t="s">
        <v>6549</v>
      </c>
      <c r="E2212" s="21" t="s">
        <v>24884</v>
      </c>
      <c r="F2212" s="21" t="s">
        <v>2022</v>
      </c>
    </row>
    <row r="2215" customFormat="false" ht="61.5" hidden="false" customHeight="true" outlineLevel="0" collapsed="false">
      <c r="A2215" s="9"/>
      <c r="B2215" s="10" t="s">
        <v>24890</v>
      </c>
      <c r="C2215" s="10"/>
      <c r="D2215" s="10"/>
      <c r="E2215" s="10"/>
      <c r="F2215" s="10"/>
    </row>
    <row r="2216" customFormat="false" ht="15" hidden="false" customHeight="false" outlineLevel="0" collapsed="false">
      <c r="A2216" s="12" t="s">
        <v>700</v>
      </c>
      <c r="B2216" s="13" t="s">
        <v>701</v>
      </c>
      <c r="C2216" s="13" t="s">
        <v>702</v>
      </c>
      <c r="D2216" s="13" t="s">
        <v>722</v>
      </c>
      <c r="E2216" s="13" t="s">
        <v>6159</v>
      </c>
      <c r="F2216" s="13" t="s">
        <v>11716</v>
      </c>
    </row>
    <row r="2217" customFormat="false" ht="30" hidden="false" customHeight="true" outlineLevel="0" collapsed="false">
      <c r="A2217" s="14" t="s">
        <v>706</v>
      </c>
      <c r="B2217" s="15" t="str">
        <f aca="false">IF(COUNTIFS($D$2220:$D$2669,IF(D2217="","*",D2217),$E$2220:$E$2669,IF(E2217="","*",E2217),$F$2220:$F$2669,IF(F2217="","*",F2217))=1,INDEX($B:$B,SUMPRODUCT(((D2217="")+($D$2220:$D$2669=D2217)&gt;0)*((E2217="")+($E$2220:$E$2669=E2217)&gt;0)*((F2217="")+($F$2220:$F$2669=F2217)&gt;0)*ROW($B$2220:$B$2669))),IF(COUNTIFS($D$2220:$D$2669,IF(D2217="","*",D2217),$E$2220:$E$2669,IF(E2217="","*",E2217),$F$2220:$F$2669,IF(F2217="","*",F2217))=0,"Not available",COUNTIFS($D$2220:$D$2669,IF(D2217="","*",D2217),$E$2220:$E$2669,IF(E2217="","*",E2217),$F$2220:$F$2669,IF(F2217="","*",F2217))&amp;" match, keep choosing"))</f>
        <v>EU1020-SV-L100</v>
      </c>
      <c r="C2217" s="16" t="n">
        <f aca="false">IF(COUNTIFS($D$2220:$D$2669,IF(D2217="","*",D2217),$E$2220:$E$2669,IF(E2217="","*",E2217),$F$2220:$F$2669,IF(F2217="","*",F2217))=1,INDEX($C:$C,SUMPRODUCT(((D2217="")+($D$2220:$D$2669=D2217)&gt;0)*((E2217="")+($E$2220:$E$2669=E2217)&gt;0)*((F2217="")+($F$2220:$F$2669=F2217)&gt;0)*ROW($B$2220:$B$2669))),"")</f>
        <v>0.17</v>
      </c>
      <c r="D2217" s="17" t="s">
        <v>6549</v>
      </c>
      <c r="E2217" s="17" t="s">
        <v>12208</v>
      </c>
      <c r="F2217" s="17" t="s">
        <v>2600</v>
      </c>
    </row>
    <row r="2219" customFormat="false" ht="15" hidden="false" customHeight="false" outlineLevel="0" collapsed="false">
      <c r="B2219" s="18" t="s">
        <v>701</v>
      </c>
      <c r="C2219" s="18" t="s">
        <v>702</v>
      </c>
      <c r="D2219" s="18" t="s">
        <v>722</v>
      </c>
      <c r="E2219" s="18" t="s">
        <v>6159</v>
      </c>
      <c r="F2219" s="18" t="s">
        <v>11716</v>
      </c>
    </row>
    <row r="2220" customFormat="false" ht="15" hidden="false" customHeight="false" outlineLevel="0" collapsed="false">
      <c r="B2220" s="19" t="s">
        <v>24891</v>
      </c>
      <c r="C2220" s="20" t="n">
        <f aca="false">ROUND(1.2/FX,2)</f>
        <v>0.17</v>
      </c>
      <c r="D2220" s="21" t="s">
        <v>6549</v>
      </c>
      <c r="E2220" s="21" t="s">
        <v>12208</v>
      </c>
      <c r="F2220" s="21" t="s">
        <v>2600</v>
      </c>
    </row>
    <row r="2221" customFormat="false" ht="15" hidden="false" customHeight="false" outlineLevel="0" collapsed="false">
      <c r="B2221" s="19" t="s">
        <v>24892</v>
      </c>
      <c r="C2221" s="20" t="n">
        <f aca="false">ROUND(14.4/FX,2)</f>
        <v>2</v>
      </c>
      <c r="D2221" s="21" t="s">
        <v>6549</v>
      </c>
      <c r="E2221" s="21" t="s">
        <v>12208</v>
      </c>
      <c r="F2221" s="21" t="s">
        <v>3253</v>
      </c>
    </row>
    <row r="2222" customFormat="false" ht="15" hidden="false" customHeight="false" outlineLevel="0" collapsed="false">
      <c r="B2222" s="19" t="s">
        <v>24893</v>
      </c>
      <c r="C2222" s="20" t="n">
        <f aca="false">ROUND(1.8/FX,2)</f>
        <v>0.25</v>
      </c>
      <c r="D2222" s="21" t="s">
        <v>6549</v>
      </c>
      <c r="E2222" s="21" t="s">
        <v>12208</v>
      </c>
      <c r="F2222" s="21" t="s">
        <v>2851</v>
      </c>
    </row>
    <row r="2223" customFormat="false" ht="15" hidden="false" customHeight="false" outlineLevel="0" collapsed="false">
      <c r="B2223" s="19" t="s">
        <v>24894</v>
      </c>
      <c r="C2223" s="20" t="n">
        <f aca="false">ROUND(2.1/FX,2)</f>
        <v>0.29</v>
      </c>
      <c r="D2223" s="21" t="s">
        <v>6549</v>
      </c>
      <c r="E2223" s="21" t="s">
        <v>12208</v>
      </c>
      <c r="F2223" s="21" t="s">
        <v>6497</v>
      </c>
    </row>
    <row r="2224" customFormat="false" ht="15" hidden="false" customHeight="false" outlineLevel="0" collapsed="false">
      <c r="B2224" s="19" t="s">
        <v>24895</v>
      </c>
      <c r="C2224" s="20" t="n">
        <f aca="false">ROUND(2.16/FX,2)</f>
        <v>0.3</v>
      </c>
      <c r="D2224" s="21" t="s">
        <v>6549</v>
      </c>
      <c r="E2224" s="21" t="s">
        <v>12208</v>
      </c>
      <c r="F2224" s="21" t="s">
        <v>938</v>
      </c>
    </row>
    <row r="2225" customFormat="false" ht="15" hidden="false" customHeight="false" outlineLevel="0" collapsed="false">
      <c r="B2225" s="19" t="s">
        <v>24896</v>
      </c>
      <c r="C2225" s="20" t="n">
        <f aca="false">ROUND(2.4/FX,2)</f>
        <v>0.33</v>
      </c>
      <c r="D2225" s="21" t="s">
        <v>6549</v>
      </c>
      <c r="E2225" s="21" t="s">
        <v>12208</v>
      </c>
      <c r="F2225" s="21" t="s">
        <v>1048</v>
      </c>
    </row>
    <row r="2226" customFormat="false" ht="15" hidden="false" customHeight="false" outlineLevel="0" collapsed="false">
      <c r="B2226" s="19" t="s">
        <v>24897</v>
      </c>
      <c r="C2226" s="20" t="n">
        <f aca="false">ROUND(2.54/FX,2)</f>
        <v>0.35</v>
      </c>
      <c r="D2226" s="21" t="s">
        <v>6549</v>
      </c>
      <c r="E2226" s="21" t="s">
        <v>12208</v>
      </c>
      <c r="F2226" s="21" t="s">
        <v>1114</v>
      </c>
    </row>
    <row r="2227" customFormat="false" ht="15" hidden="false" customHeight="false" outlineLevel="0" collapsed="false">
      <c r="B2227" s="19" t="s">
        <v>24898</v>
      </c>
      <c r="C2227" s="20" t="n">
        <f aca="false">ROUND(3.97/FX,2)</f>
        <v>0.55</v>
      </c>
      <c r="D2227" s="21" t="s">
        <v>6549</v>
      </c>
      <c r="E2227" s="21" t="s">
        <v>12208</v>
      </c>
      <c r="F2227" s="21" t="s">
        <v>24899</v>
      </c>
    </row>
    <row r="2228" customFormat="false" ht="15" hidden="false" customHeight="false" outlineLevel="0" collapsed="false">
      <c r="B2228" s="19" t="s">
        <v>24900</v>
      </c>
      <c r="C2228" s="20" t="n">
        <f aca="false">ROUND(4.8/FX,2)</f>
        <v>0.67</v>
      </c>
      <c r="D2228" s="21" t="s">
        <v>6549</v>
      </c>
      <c r="E2228" s="21" t="s">
        <v>12208</v>
      </c>
      <c r="F2228" s="21" t="s">
        <v>2002</v>
      </c>
    </row>
    <row r="2229" customFormat="false" ht="15" hidden="false" customHeight="false" outlineLevel="0" collapsed="false">
      <c r="B2229" s="19" t="s">
        <v>24901</v>
      </c>
      <c r="C2229" s="20" t="n">
        <f aca="false">ROUND(6/FX,2)</f>
        <v>0.83</v>
      </c>
      <c r="D2229" s="21" t="s">
        <v>6549</v>
      </c>
      <c r="E2229" s="21" t="s">
        <v>12208</v>
      </c>
      <c r="F2229" s="21" t="s">
        <v>2142</v>
      </c>
    </row>
    <row r="2230" customFormat="false" ht="15" hidden="false" customHeight="false" outlineLevel="0" collapsed="false">
      <c r="B2230" s="19" t="s">
        <v>24902</v>
      </c>
      <c r="C2230" s="20" t="n">
        <f aca="false">ROUND(6.6/FX,2)</f>
        <v>0.92</v>
      </c>
      <c r="D2230" s="21" t="s">
        <v>6549</v>
      </c>
      <c r="E2230" s="21" t="s">
        <v>12208</v>
      </c>
      <c r="F2230" s="21" t="s">
        <v>2187</v>
      </c>
    </row>
    <row r="2231" customFormat="false" ht="15" hidden="false" customHeight="false" outlineLevel="0" collapsed="false">
      <c r="B2231" s="19" t="s">
        <v>24903</v>
      </c>
      <c r="C2231" s="20" t="n">
        <f aca="false">ROUND(9.6/FX,2)</f>
        <v>1.33</v>
      </c>
      <c r="D2231" s="21" t="s">
        <v>6549</v>
      </c>
      <c r="E2231" s="21" t="s">
        <v>12208</v>
      </c>
      <c r="F2231" s="21" t="s">
        <v>2440</v>
      </c>
    </row>
    <row r="2232" customFormat="false" ht="15" hidden="false" customHeight="false" outlineLevel="0" collapsed="false">
      <c r="B2232" s="19" t="s">
        <v>24904</v>
      </c>
      <c r="C2232" s="20" t="n">
        <f aca="false">ROUND(6.6/FX,2)</f>
        <v>0.92</v>
      </c>
      <c r="D2232" s="21" t="s">
        <v>6549</v>
      </c>
      <c r="E2232" s="21" t="s">
        <v>24905</v>
      </c>
      <c r="F2232" s="21" t="s">
        <v>2851</v>
      </c>
    </row>
    <row r="2233" customFormat="false" ht="15" hidden="false" customHeight="false" outlineLevel="0" collapsed="false">
      <c r="B2233" s="19" t="s">
        <v>24906</v>
      </c>
      <c r="C2233" s="20" t="n">
        <f aca="false">ROUND(13.2/FX,2)</f>
        <v>1.83</v>
      </c>
      <c r="D2233" s="21" t="s">
        <v>6549</v>
      </c>
      <c r="E2233" s="21" t="s">
        <v>24905</v>
      </c>
      <c r="F2233" s="21" t="s">
        <v>1520</v>
      </c>
    </row>
    <row r="2234" customFormat="false" ht="15" hidden="false" customHeight="false" outlineLevel="0" collapsed="false">
      <c r="B2234" s="19" t="s">
        <v>24907</v>
      </c>
      <c r="C2234" s="20" t="n">
        <f aca="false">ROUND(9.36/FX,2)</f>
        <v>1.3</v>
      </c>
      <c r="D2234" s="21" t="s">
        <v>6549</v>
      </c>
      <c r="E2234" s="21" t="s">
        <v>24908</v>
      </c>
      <c r="F2234" s="21" t="s">
        <v>2851</v>
      </c>
    </row>
    <row r="2235" customFormat="false" ht="15" hidden="false" customHeight="false" outlineLevel="0" collapsed="false">
      <c r="B2235" s="19" t="s">
        <v>24909</v>
      </c>
      <c r="C2235" s="20" t="n">
        <f aca="false">ROUND(11.23/FX,2)</f>
        <v>1.56</v>
      </c>
      <c r="D2235" s="21" t="s">
        <v>6549</v>
      </c>
      <c r="E2235" s="21" t="s">
        <v>24908</v>
      </c>
      <c r="F2235" s="21" t="s">
        <v>938</v>
      </c>
    </row>
    <row r="2236" customFormat="false" ht="15" hidden="false" customHeight="false" outlineLevel="0" collapsed="false">
      <c r="B2236" s="19" t="s">
        <v>24910</v>
      </c>
      <c r="C2236" s="20" t="n">
        <f aca="false">ROUND(12.48/FX,2)</f>
        <v>1.73</v>
      </c>
      <c r="D2236" s="21" t="s">
        <v>6549</v>
      </c>
      <c r="E2236" s="21" t="s">
        <v>24908</v>
      </c>
      <c r="F2236" s="21" t="s">
        <v>1048</v>
      </c>
    </row>
    <row r="2237" customFormat="false" ht="15" hidden="false" customHeight="false" outlineLevel="0" collapsed="false">
      <c r="B2237" s="19" t="s">
        <v>24911</v>
      </c>
      <c r="C2237" s="20" t="n">
        <f aca="false">ROUND(18.72/FX,2)</f>
        <v>2.6</v>
      </c>
      <c r="D2237" s="21" t="s">
        <v>6549</v>
      </c>
      <c r="E2237" s="21" t="s">
        <v>24908</v>
      </c>
      <c r="F2237" s="21" t="s">
        <v>1520</v>
      </c>
    </row>
    <row r="2238" customFormat="false" ht="15" hidden="false" customHeight="false" outlineLevel="0" collapsed="false">
      <c r="B2238" s="19" t="s">
        <v>24912</v>
      </c>
      <c r="C2238" s="20" t="n">
        <f aca="false">ROUND(21.84/FX,2)</f>
        <v>3.03</v>
      </c>
      <c r="D2238" s="21" t="s">
        <v>6549</v>
      </c>
      <c r="E2238" s="21" t="s">
        <v>24908</v>
      </c>
      <c r="F2238" s="21" t="s">
        <v>1635</v>
      </c>
    </row>
    <row r="2239" customFormat="false" ht="15" hidden="false" customHeight="false" outlineLevel="0" collapsed="false">
      <c r="B2239" s="19" t="s">
        <v>24913</v>
      </c>
      <c r="C2239" s="20" t="n">
        <f aca="false">ROUND(24.96/FX,2)</f>
        <v>3.47</v>
      </c>
      <c r="D2239" s="21" t="s">
        <v>6549</v>
      </c>
      <c r="E2239" s="21" t="s">
        <v>24908</v>
      </c>
      <c r="F2239" s="21" t="s">
        <v>2002</v>
      </c>
    </row>
    <row r="2240" customFormat="false" ht="15" hidden="false" customHeight="false" outlineLevel="0" collapsed="false">
      <c r="B2240" s="19" t="s">
        <v>24914</v>
      </c>
      <c r="C2240" s="20" t="n">
        <f aca="false">ROUND(26.21/FX,2)</f>
        <v>3.64</v>
      </c>
      <c r="D2240" s="21" t="s">
        <v>6549</v>
      </c>
      <c r="E2240" s="21" t="s">
        <v>24908</v>
      </c>
      <c r="F2240" s="21" t="s">
        <v>2022</v>
      </c>
    </row>
    <row r="2241" customFormat="false" ht="15" hidden="false" customHeight="false" outlineLevel="0" collapsed="false">
      <c r="B2241" s="19" t="s">
        <v>24915</v>
      </c>
      <c r="C2241" s="20" t="n">
        <f aca="false">ROUND(28.08/FX,2)</f>
        <v>3.9</v>
      </c>
      <c r="D2241" s="21" t="s">
        <v>6549</v>
      </c>
      <c r="E2241" s="21" t="s">
        <v>24908</v>
      </c>
      <c r="F2241" s="21" t="s">
        <v>2067</v>
      </c>
    </row>
    <row r="2242" customFormat="false" ht="15" hidden="false" customHeight="false" outlineLevel="0" collapsed="false">
      <c r="B2242" s="19" t="s">
        <v>24916</v>
      </c>
      <c r="C2242" s="20" t="n">
        <f aca="false">ROUND(37.44/FX,2)</f>
        <v>5.2</v>
      </c>
      <c r="D2242" s="21" t="s">
        <v>6549</v>
      </c>
      <c r="E2242" s="21" t="s">
        <v>24908</v>
      </c>
      <c r="F2242" s="21" t="s">
        <v>2227</v>
      </c>
    </row>
    <row r="2243" customFormat="false" ht="15" hidden="false" customHeight="false" outlineLevel="0" collapsed="false">
      <c r="B2243" s="19" t="s">
        <v>24917</v>
      </c>
      <c r="C2243" s="20" t="n">
        <f aca="false">ROUND(1.72/FX,2)</f>
        <v>0.24</v>
      </c>
      <c r="D2243" s="21" t="s">
        <v>724</v>
      </c>
      <c r="E2243" s="21" t="s">
        <v>16909</v>
      </c>
      <c r="F2243" s="21" t="s">
        <v>2600</v>
      </c>
    </row>
    <row r="2244" customFormat="false" ht="15" hidden="false" customHeight="false" outlineLevel="0" collapsed="false">
      <c r="B2244" s="19" t="s">
        <v>24918</v>
      </c>
      <c r="C2244" s="20" t="n">
        <f aca="false">ROUND(2.32/FX,2)</f>
        <v>0.32</v>
      </c>
      <c r="D2244" s="21" t="s">
        <v>724</v>
      </c>
      <c r="E2244" s="21" t="s">
        <v>16909</v>
      </c>
      <c r="F2244" s="21" t="s">
        <v>12223</v>
      </c>
    </row>
    <row r="2245" customFormat="false" ht="15" hidden="false" customHeight="false" outlineLevel="0" collapsed="false">
      <c r="B2245" s="19" t="s">
        <v>24919</v>
      </c>
      <c r="C2245" s="20" t="n">
        <f aca="false">ROUND(2.41/FX,2)</f>
        <v>0.33</v>
      </c>
      <c r="D2245" s="21" t="s">
        <v>724</v>
      </c>
      <c r="E2245" s="21" t="s">
        <v>16909</v>
      </c>
      <c r="F2245" s="21" t="s">
        <v>2801</v>
      </c>
    </row>
    <row r="2246" customFormat="false" ht="15" hidden="false" customHeight="false" outlineLevel="0" collapsed="false">
      <c r="B2246" s="19" t="s">
        <v>24920</v>
      </c>
      <c r="C2246" s="20" t="n">
        <f aca="false">ROUND(2.58/FX,2)</f>
        <v>0.36</v>
      </c>
      <c r="D2246" s="21" t="s">
        <v>724</v>
      </c>
      <c r="E2246" s="21" t="s">
        <v>16909</v>
      </c>
      <c r="F2246" s="21" t="s">
        <v>2851</v>
      </c>
    </row>
    <row r="2247" customFormat="false" ht="15" hidden="false" customHeight="false" outlineLevel="0" collapsed="false">
      <c r="B2247" s="19" t="s">
        <v>24921</v>
      </c>
      <c r="C2247" s="20" t="n">
        <f aca="false">ROUND(25.8/FX,2)</f>
        <v>3.58</v>
      </c>
      <c r="D2247" s="21" t="s">
        <v>724</v>
      </c>
      <c r="E2247" s="21" t="s">
        <v>16909</v>
      </c>
      <c r="F2247" s="21" t="s">
        <v>1881</v>
      </c>
    </row>
    <row r="2248" customFormat="false" ht="15" hidden="false" customHeight="false" outlineLevel="0" collapsed="false">
      <c r="B2248" s="19" t="s">
        <v>24922</v>
      </c>
      <c r="C2248" s="20" t="n">
        <f aca="false">ROUND(3.1/FX,2)</f>
        <v>0.43</v>
      </c>
      <c r="D2248" s="21" t="s">
        <v>724</v>
      </c>
      <c r="E2248" s="21" t="s">
        <v>16909</v>
      </c>
      <c r="F2248" s="21" t="s">
        <v>938</v>
      </c>
    </row>
    <row r="2249" customFormat="false" ht="15" hidden="false" customHeight="false" outlineLevel="0" collapsed="false">
      <c r="B2249" s="19" t="s">
        <v>24923</v>
      </c>
      <c r="C2249" s="20" t="n">
        <f aca="false">ROUND(3.44/FX,2)</f>
        <v>0.48</v>
      </c>
      <c r="D2249" s="21" t="s">
        <v>724</v>
      </c>
      <c r="E2249" s="21" t="s">
        <v>16909</v>
      </c>
      <c r="F2249" s="21" t="s">
        <v>1048</v>
      </c>
    </row>
    <row r="2250" customFormat="false" ht="15" hidden="false" customHeight="false" outlineLevel="0" collapsed="false">
      <c r="B2250" s="19" t="s">
        <v>24924</v>
      </c>
      <c r="C2250" s="20" t="n">
        <f aca="false">ROUND(3.78/FX,2)</f>
        <v>0.53</v>
      </c>
      <c r="D2250" s="21" t="s">
        <v>724</v>
      </c>
      <c r="E2250" s="21" t="s">
        <v>16909</v>
      </c>
      <c r="F2250" s="21" t="s">
        <v>1158</v>
      </c>
    </row>
    <row r="2251" customFormat="false" ht="15" hidden="false" customHeight="false" outlineLevel="0" collapsed="false">
      <c r="B2251" s="19" t="s">
        <v>24925</v>
      </c>
      <c r="C2251" s="20" t="n">
        <f aca="false">ROUND(4.13/FX,2)</f>
        <v>0.57</v>
      </c>
      <c r="D2251" s="21" t="s">
        <v>724</v>
      </c>
      <c r="E2251" s="21" t="s">
        <v>16909</v>
      </c>
      <c r="F2251" s="21" t="s">
        <v>1268</v>
      </c>
    </row>
    <row r="2252" customFormat="false" ht="15" hidden="false" customHeight="false" outlineLevel="0" collapsed="false">
      <c r="B2252" s="19" t="s">
        <v>24926</v>
      </c>
      <c r="C2252" s="20" t="n">
        <f aca="false">ROUND(4.21/FX,2)</f>
        <v>0.58</v>
      </c>
      <c r="D2252" s="21" t="s">
        <v>724</v>
      </c>
      <c r="E2252" s="21" t="s">
        <v>16909</v>
      </c>
      <c r="F2252" s="21" t="s">
        <v>6278</v>
      </c>
    </row>
    <row r="2253" customFormat="false" ht="15" hidden="false" customHeight="false" outlineLevel="0" collapsed="false">
      <c r="B2253" s="19" t="s">
        <v>24927</v>
      </c>
      <c r="C2253" s="20" t="n">
        <f aca="false">ROUND(4.3/FX,2)</f>
        <v>0.6</v>
      </c>
      <c r="D2253" s="21" t="s">
        <v>724</v>
      </c>
      <c r="E2253" s="21" t="s">
        <v>16909</v>
      </c>
      <c r="F2253" s="21" t="s">
        <v>1323</v>
      </c>
    </row>
    <row r="2254" customFormat="false" ht="15" hidden="false" customHeight="false" outlineLevel="0" collapsed="false">
      <c r="B2254" s="19" t="s">
        <v>24928</v>
      </c>
      <c r="C2254" s="20" t="n">
        <f aca="false">ROUND(4.39/FX,2)</f>
        <v>0.61</v>
      </c>
      <c r="D2254" s="21" t="s">
        <v>724</v>
      </c>
      <c r="E2254" s="21" t="s">
        <v>16909</v>
      </c>
      <c r="F2254" s="21" t="s">
        <v>4083</v>
      </c>
    </row>
    <row r="2255" customFormat="false" ht="15" hidden="false" customHeight="false" outlineLevel="0" collapsed="false">
      <c r="B2255" s="19" t="s">
        <v>24929</v>
      </c>
      <c r="C2255" s="20" t="n">
        <f aca="false">ROUND(4.64/FX,2)</f>
        <v>0.64</v>
      </c>
      <c r="D2255" s="21" t="s">
        <v>724</v>
      </c>
      <c r="E2255" s="21" t="s">
        <v>16909</v>
      </c>
      <c r="F2255" s="21" t="s">
        <v>1433</v>
      </c>
    </row>
    <row r="2256" customFormat="false" ht="15" hidden="false" customHeight="false" outlineLevel="0" collapsed="false">
      <c r="B2256" s="19" t="s">
        <v>24930</v>
      </c>
      <c r="C2256" s="20" t="n">
        <f aca="false">ROUND(4.9/FX,2)</f>
        <v>0.68</v>
      </c>
      <c r="D2256" s="21" t="s">
        <v>724</v>
      </c>
      <c r="E2256" s="21" t="s">
        <v>16909</v>
      </c>
      <c r="F2256" s="21" t="s">
        <v>4197</v>
      </c>
    </row>
    <row r="2257" customFormat="false" ht="15" hidden="false" customHeight="false" outlineLevel="0" collapsed="false">
      <c r="B2257" s="19" t="s">
        <v>24931</v>
      </c>
      <c r="C2257" s="20" t="n">
        <f aca="false">ROUND(5.16/FX,2)</f>
        <v>0.72</v>
      </c>
      <c r="D2257" s="21" t="s">
        <v>724</v>
      </c>
      <c r="E2257" s="21" t="s">
        <v>16909</v>
      </c>
      <c r="F2257" s="21" t="s">
        <v>1520</v>
      </c>
    </row>
    <row r="2258" customFormat="false" ht="15" hidden="false" customHeight="false" outlineLevel="0" collapsed="false">
      <c r="B2258" s="19" t="s">
        <v>24932</v>
      </c>
      <c r="C2258" s="20" t="n">
        <f aca="false">ROUND(5.21/FX,2)</f>
        <v>0.72</v>
      </c>
      <c r="D2258" s="21" t="s">
        <v>724</v>
      </c>
      <c r="E2258" s="21" t="s">
        <v>16909</v>
      </c>
      <c r="F2258" s="21" t="s">
        <v>4254</v>
      </c>
    </row>
    <row r="2259" customFormat="false" ht="15" hidden="false" customHeight="false" outlineLevel="0" collapsed="false">
      <c r="B2259" s="19" t="s">
        <v>24933</v>
      </c>
      <c r="C2259" s="20" t="n">
        <f aca="false">ROUND(5.25/FX,2)</f>
        <v>0.73</v>
      </c>
      <c r="D2259" s="21" t="s">
        <v>724</v>
      </c>
      <c r="E2259" s="21" t="s">
        <v>16909</v>
      </c>
      <c r="F2259" s="21" t="s">
        <v>4925</v>
      </c>
    </row>
    <row r="2260" customFormat="false" ht="15" hidden="false" customHeight="false" outlineLevel="0" collapsed="false">
      <c r="B2260" s="19" t="s">
        <v>24934</v>
      </c>
      <c r="C2260" s="20" t="n">
        <f aca="false">ROUND(5.5/FX,2)</f>
        <v>0.76</v>
      </c>
      <c r="D2260" s="21" t="s">
        <v>724</v>
      </c>
      <c r="E2260" s="21" t="s">
        <v>16909</v>
      </c>
      <c r="F2260" s="21" t="s">
        <v>1570</v>
      </c>
    </row>
    <row r="2261" customFormat="false" ht="15" hidden="false" customHeight="false" outlineLevel="0" collapsed="false">
      <c r="B2261" s="19" t="s">
        <v>24935</v>
      </c>
      <c r="C2261" s="20" t="n">
        <f aca="false">ROUND(5.56/FX,2)</f>
        <v>0.77</v>
      </c>
      <c r="D2261" s="21" t="s">
        <v>724</v>
      </c>
      <c r="E2261" s="21" t="s">
        <v>16909</v>
      </c>
      <c r="F2261" s="21" t="s">
        <v>24936</v>
      </c>
    </row>
    <row r="2262" customFormat="false" ht="15" hidden="false" customHeight="false" outlineLevel="0" collapsed="false">
      <c r="B2262" s="19" t="s">
        <v>24937</v>
      </c>
      <c r="C2262" s="20" t="n">
        <f aca="false">ROUND(5.57/FX,2)</f>
        <v>0.77</v>
      </c>
      <c r="D2262" s="21" t="s">
        <v>724</v>
      </c>
      <c r="E2262" s="21" t="s">
        <v>16909</v>
      </c>
      <c r="F2262" s="21" t="s">
        <v>24938</v>
      </c>
    </row>
    <row r="2263" customFormat="false" ht="15" hidden="false" customHeight="false" outlineLevel="0" collapsed="false">
      <c r="B2263" s="19" t="s">
        <v>24939</v>
      </c>
      <c r="C2263" s="20" t="n">
        <f aca="false">ROUND(5.81/FX,2)</f>
        <v>0.81</v>
      </c>
      <c r="D2263" s="21" t="s">
        <v>724</v>
      </c>
      <c r="E2263" s="21" t="s">
        <v>16909</v>
      </c>
      <c r="F2263" s="21" t="s">
        <v>1610</v>
      </c>
    </row>
    <row r="2264" customFormat="false" ht="15" hidden="false" customHeight="false" outlineLevel="0" collapsed="false">
      <c r="B2264" s="19" t="s">
        <v>24940</v>
      </c>
      <c r="C2264" s="20" t="n">
        <f aca="false">ROUND(5.84/FX,2)</f>
        <v>0.81</v>
      </c>
      <c r="D2264" s="21" t="s">
        <v>724</v>
      </c>
      <c r="E2264" s="21" t="s">
        <v>16909</v>
      </c>
      <c r="F2264" s="21" t="s">
        <v>1615</v>
      </c>
    </row>
    <row r="2265" customFormat="false" ht="15" hidden="false" customHeight="false" outlineLevel="0" collapsed="false">
      <c r="B2265" s="19" t="s">
        <v>24941</v>
      </c>
      <c r="C2265" s="20" t="n">
        <f aca="false">ROUND(5.87/FX,2)</f>
        <v>0.82</v>
      </c>
      <c r="D2265" s="21" t="s">
        <v>724</v>
      </c>
      <c r="E2265" s="21" t="s">
        <v>16909</v>
      </c>
      <c r="F2265" s="21" t="s">
        <v>24942</v>
      </c>
    </row>
    <row r="2266" customFormat="false" ht="15" hidden="false" customHeight="false" outlineLevel="0" collapsed="false">
      <c r="B2266" s="19" t="s">
        <v>24943</v>
      </c>
      <c r="C2266" s="20" t="n">
        <f aca="false">ROUND(6.02/FX,2)</f>
        <v>0.84</v>
      </c>
      <c r="D2266" s="21" t="s">
        <v>724</v>
      </c>
      <c r="E2266" s="21" t="s">
        <v>16909</v>
      </c>
      <c r="F2266" s="21" t="s">
        <v>1635</v>
      </c>
    </row>
    <row r="2267" customFormat="false" ht="15" hidden="false" customHeight="false" outlineLevel="0" collapsed="false">
      <c r="B2267" s="19" t="s">
        <v>24944</v>
      </c>
      <c r="C2267" s="20" t="n">
        <f aca="false">ROUND(6.04/FX,2)</f>
        <v>0.84</v>
      </c>
      <c r="D2267" s="21" t="s">
        <v>724</v>
      </c>
      <c r="E2267" s="21" t="s">
        <v>16909</v>
      </c>
      <c r="F2267" s="21" t="s">
        <v>4406</v>
      </c>
    </row>
    <row r="2268" customFormat="false" ht="15" hidden="false" customHeight="false" outlineLevel="0" collapsed="false">
      <c r="B2268" s="19" t="s">
        <v>24945</v>
      </c>
      <c r="C2268" s="20" t="n">
        <f aca="false">ROUND(6.11/FX,2)</f>
        <v>0.85</v>
      </c>
      <c r="D2268" s="21" t="s">
        <v>724</v>
      </c>
      <c r="E2268" s="21" t="s">
        <v>16909</v>
      </c>
      <c r="F2268" s="21" t="s">
        <v>5008</v>
      </c>
    </row>
    <row r="2269" customFormat="false" ht="15" hidden="false" customHeight="false" outlineLevel="0" collapsed="false">
      <c r="B2269" s="19" t="s">
        <v>24946</v>
      </c>
      <c r="C2269" s="20" t="n">
        <f aca="false">ROUND(6.19/FX,2)</f>
        <v>0.86</v>
      </c>
      <c r="D2269" s="21" t="s">
        <v>724</v>
      </c>
      <c r="E2269" s="21" t="s">
        <v>16909</v>
      </c>
      <c r="F2269" s="21" t="s">
        <v>1655</v>
      </c>
    </row>
    <row r="2270" customFormat="false" ht="15" hidden="false" customHeight="false" outlineLevel="0" collapsed="false">
      <c r="B2270" s="19" t="s">
        <v>24947</v>
      </c>
      <c r="C2270" s="20" t="n">
        <f aca="false">ROUND(6.54/FX,2)</f>
        <v>0.91</v>
      </c>
      <c r="D2270" s="21" t="s">
        <v>724</v>
      </c>
      <c r="E2270" s="21" t="s">
        <v>16909</v>
      </c>
      <c r="F2270" s="21" t="s">
        <v>1685</v>
      </c>
    </row>
    <row r="2271" customFormat="false" ht="15" hidden="false" customHeight="false" outlineLevel="0" collapsed="false">
      <c r="B2271" s="19" t="s">
        <v>24948</v>
      </c>
      <c r="C2271" s="20" t="n">
        <f aca="false">ROUND(6.88/FX,2)</f>
        <v>0.96</v>
      </c>
      <c r="D2271" s="21" t="s">
        <v>724</v>
      </c>
      <c r="E2271" s="21" t="s">
        <v>16909</v>
      </c>
      <c r="F2271" s="21" t="s">
        <v>2002</v>
      </c>
    </row>
    <row r="2272" customFormat="false" ht="15" hidden="false" customHeight="false" outlineLevel="0" collapsed="false">
      <c r="B2272" s="19" t="s">
        <v>24949</v>
      </c>
      <c r="C2272" s="20" t="n">
        <f aca="false">ROUND(6.97/FX,2)</f>
        <v>0.97</v>
      </c>
      <c r="D2272" s="21" t="s">
        <v>724</v>
      </c>
      <c r="E2272" s="21" t="s">
        <v>16909</v>
      </c>
      <c r="F2272" s="21" t="s">
        <v>3366</v>
      </c>
    </row>
    <row r="2273" customFormat="false" ht="15" hidden="false" customHeight="false" outlineLevel="0" collapsed="false">
      <c r="B2273" s="19" t="s">
        <v>24950</v>
      </c>
      <c r="C2273" s="20" t="n">
        <f aca="false">ROUND(7.05/FX,2)</f>
        <v>0.98</v>
      </c>
      <c r="D2273" s="21" t="s">
        <v>724</v>
      </c>
      <c r="E2273" s="21" t="s">
        <v>16909</v>
      </c>
      <c r="F2273" s="21" t="s">
        <v>2017</v>
      </c>
    </row>
    <row r="2274" customFormat="false" ht="15" hidden="false" customHeight="false" outlineLevel="0" collapsed="false">
      <c r="B2274" s="19" t="s">
        <v>24951</v>
      </c>
      <c r="C2274" s="20" t="n">
        <f aca="false">ROUND(7.14/FX,2)</f>
        <v>0.99</v>
      </c>
      <c r="D2274" s="21" t="s">
        <v>724</v>
      </c>
      <c r="E2274" s="21" t="s">
        <v>16909</v>
      </c>
      <c r="F2274" s="21" t="s">
        <v>5128</v>
      </c>
    </row>
    <row r="2275" customFormat="false" ht="15" hidden="false" customHeight="false" outlineLevel="0" collapsed="false">
      <c r="B2275" s="19" t="s">
        <v>24952</v>
      </c>
      <c r="C2275" s="20" t="n">
        <f aca="false">ROUND(7.22/FX,2)</f>
        <v>1</v>
      </c>
      <c r="D2275" s="21" t="s">
        <v>724</v>
      </c>
      <c r="E2275" s="21" t="s">
        <v>16909</v>
      </c>
      <c r="F2275" s="21" t="s">
        <v>2022</v>
      </c>
    </row>
    <row r="2276" customFormat="false" ht="15" hidden="false" customHeight="false" outlineLevel="0" collapsed="false">
      <c r="B2276" s="19" t="s">
        <v>24953</v>
      </c>
      <c r="C2276" s="20" t="n">
        <f aca="false">ROUND(7.4/FX,2)</f>
        <v>1.03</v>
      </c>
      <c r="D2276" s="21" t="s">
        <v>724</v>
      </c>
      <c r="E2276" s="21" t="s">
        <v>16909</v>
      </c>
      <c r="F2276" s="21" t="s">
        <v>2037</v>
      </c>
    </row>
    <row r="2277" customFormat="false" ht="15" hidden="false" customHeight="false" outlineLevel="0" collapsed="false">
      <c r="B2277" s="19" t="s">
        <v>24954</v>
      </c>
      <c r="C2277" s="20" t="n">
        <f aca="false">ROUND(7.48/FX,2)</f>
        <v>1.04</v>
      </c>
      <c r="D2277" s="21" t="s">
        <v>724</v>
      </c>
      <c r="E2277" s="21" t="s">
        <v>16909</v>
      </c>
      <c r="F2277" s="21" t="s">
        <v>3444</v>
      </c>
    </row>
    <row r="2278" customFormat="false" ht="15" hidden="false" customHeight="false" outlineLevel="0" collapsed="false">
      <c r="B2278" s="19" t="s">
        <v>24955</v>
      </c>
      <c r="C2278" s="20" t="n">
        <f aca="false">ROUND(7.57/FX,2)</f>
        <v>1.05</v>
      </c>
      <c r="D2278" s="21" t="s">
        <v>724</v>
      </c>
      <c r="E2278" s="21" t="s">
        <v>16909</v>
      </c>
      <c r="F2278" s="21" t="s">
        <v>2052</v>
      </c>
    </row>
    <row r="2279" customFormat="false" ht="15" hidden="false" customHeight="false" outlineLevel="0" collapsed="false">
      <c r="B2279" s="19" t="s">
        <v>24956</v>
      </c>
      <c r="C2279" s="20" t="n">
        <f aca="false">ROUND(7.74/FX,2)</f>
        <v>1.08</v>
      </c>
      <c r="D2279" s="21" t="s">
        <v>724</v>
      </c>
      <c r="E2279" s="21" t="s">
        <v>16909</v>
      </c>
      <c r="F2279" s="21" t="s">
        <v>2067</v>
      </c>
    </row>
    <row r="2280" customFormat="false" ht="15" hidden="false" customHeight="false" outlineLevel="0" collapsed="false">
      <c r="B2280" s="19" t="s">
        <v>24957</v>
      </c>
      <c r="C2280" s="20" t="n">
        <f aca="false">ROUND(7.91/FX,2)</f>
        <v>1.1</v>
      </c>
      <c r="D2280" s="21" t="s">
        <v>724</v>
      </c>
      <c r="E2280" s="21" t="s">
        <v>16909</v>
      </c>
      <c r="F2280" s="21" t="s">
        <v>2082</v>
      </c>
    </row>
    <row r="2281" customFormat="false" ht="15" hidden="false" customHeight="false" outlineLevel="0" collapsed="false">
      <c r="B2281" s="19" t="s">
        <v>24958</v>
      </c>
      <c r="C2281" s="20" t="n">
        <f aca="false">ROUND(8.26/FX,2)</f>
        <v>1.15</v>
      </c>
      <c r="D2281" s="21" t="s">
        <v>724</v>
      </c>
      <c r="E2281" s="21" t="s">
        <v>16909</v>
      </c>
      <c r="F2281" s="21" t="s">
        <v>2112</v>
      </c>
    </row>
    <row r="2282" customFormat="false" ht="15" hidden="false" customHeight="false" outlineLevel="0" collapsed="false">
      <c r="B2282" s="19" t="s">
        <v>24959</v>
      </c>
      <c r="C2282" s="20" t="n">
        <f aca="false">ROUND(8.6/FX,2)</f>
        <v>1.19</v>
      </c>
      <c r="D2282" s="21" t="s">
        <v>724</v>
      </c>
      <c r="E2282" s="21" t="s">
        <v>16909</v>
      </c>
      <c r="F2282" s="21" t="s">
        <v>2142</v>
      </c>
    </row>
    <row r="2283" customFormat="false" ht="15" hidden="false" customHeight="false" outlineLevel="0" collapsed="false">
      <c r="B2283" s="19" t="s">
        <v>24960</v>
      </c>
      <c r="C2283" s="20" t="n">
        <f aca="false">ROUND(8.77/FX,2)</f>
        <v>1.22</v>
      </c>
      <c r="D2283" s="21" t="s">
        <v>724</v>
      </c>
      <c r="E2283" s="21" t="s">
        <v>16909</v>
      </c>
      <c r="F2283" s="21" t="s">
        <v>3637</v>
      </c>
    </row>
    <row r="2284" customFormat="false" ht="15" hidden="false" customHeight="false" outlineLevel="0" collapsed="false">
      <c r="B2284" s="19" t="s">
        <v>24961</v>
      </c>
      <c r="C2284" s="20" t="n">
        <f aca="false">ROUND(9.03/FX,2)</f>
        <v>1.25</v>
      </c>
      <c r="D2284" s="21" t="s">
        <v>724</v>
      </c>
      <c r="E2284" s="21" t="s">
        <v>16909</v>
      </c>
      <c r="F2284" s="21" t="s">
        <v>3675</v>
      </c>
    </row>
    <row r="2285" customFormat="false" ht="15" hidden="false" customHeight="false" outlineLevel="0" collapsed="false">
      <c r="B2285" s="19" t="s">
        <v>24962</v>
      </c>
      <c r="C2285" s="20" t="n">
        <f aca="false">ROUND(9.29/FX,2)</f>
        <v>1.29</v>
      </c>
      <c r="D2285" s="21" t="s">
        <v>724</v>
      </c>
      <c r="E2285" s="21" t="s">
        <v>16909</v>
      </c>
      <c r="F2285" s="21" t="s">
        <v>2182</v>
      </c>
    </row>
    <row r="2286" customFormat="false" ht="15" hidden="false" customHeight="false" outlineLevel="0" collapsed="false">
      <c r="B2286" s="19" t="s">
        <v>24963</v>
      </c>
      <c r="C2286" s="20" t="n">
        <f aca="false">ROUND(9.46/FX,2)</f>
        <v>1.31</v>
      </c>
      <c r="D2286" s="21" t="s">
        <v>724</v>
      </c>
      <c r="E2286" s="21" t="s">
        <v>16909</v>
      </c>
      <c r="F2286" s="21" t="s">
        <v>2187</v>
      </c>
    </row>
    <row r="2287" customFormat="false" ht="15" hidden="false" customHeight="false" outlineLevel="0" collapsed="false">
      <c r="B2287" s="19" t="s">
        <v>24964</v>
      </c>
      <c r="C2287" s="20" t="n">
        <f aca="false">ROUND(9.63/FX,2)</f>
        <v>1.34</v>
      </c>
      <c r="D2287" s="21" t="s">
        <v>724</v>
      </c>
      <c r="E2287" s="21" t="s">
        <v>16909</v>
      </c>
      <c r="F2287" s="21" t="s">
        <v>11740</v>
      </c>
    </row>
    <row r="2288" customFormat="false" ht="15" hidden="false" customHeight="false" outlineLevel="0" collapsed="false">
      <c r="B2288" s="19" t="s">
        <v>24965</v>
      </c>
      <c r="C2288" s="20" t="n">
        <f aca="false">ROUND(10.15/FX,2)</f>
        <v>1.41</v>
      </c>
      <c r="D2288" s="21" t="s">
        <v>724</v>
      </c>
      <c r="E2288" s="21" t="s">
        <v>16909</v>
      </c>
      <c r="F2288" s="21" t="s">
        <v>12287</v>
      </c>
    </row>
    <row r="2289" customFormat="false" ht="15" hidden="false" customHeight="false" outlineLevel="0" collapsed="false">
      <c r="B2289" s="19" t="s">
        <v>24966</v>
      </c>
      <c r="C2289" s="20" t="n">
        <f aca="false">ROUND(10.32/FX,2)</f>
        <v>1.43</v>
      </c>
      <c r="D2289" s="21" t="s">
        <v>724</v>
      </c>
      <c r="E2289" s="21" t="s">
        <v>16909</v>
      </c>
      <c r="F2289" s="21" t="s">
        <v>2227</v>
      </c>
    </row>
    <row r="2290" customFormat="false" ht="15" hidden="false" customHeight="false" outlineLevel="0" collapsed="false">
      <c r="B2290" s="19" t="s">
        <v>24967</v>
      </c>
      <c r="C2290" s="20" t="n">
        <f aca="false">ROUND(10.49/FX,2)</f>
        <v>1.46</v>
      </c>
      <c r="D2290" s="21" t="s">
        <v>724</v>
      </c>
      <c r="E2290" s="21" t="s">
        <v>16909</v>
      </c>
      <c r="F2290" s="21" t="s">
        <v>2242</v>
      </c>
    </row>
    <row r="2291" customFormat="false" ht="15" hidden="false" customHeight="false" outlineLevel="0" collapsed="false">
      <c r="B2291" s="19" t="s">
        <v>24968</v>
      </c>
      <c r="C2291" s="20" t="n">
        <f aca="false">ROUND(11.01/FX,2)</f>
        <v>1.53</v>
      </c>
      <c r="D2291" s="21" t="s">
        <v>724</v>
      </c>
      <c r="E2291" s="21" t="s">
        <v>16909</v>
      </c>
      <c r="F2291" s="21" t="s">
        <v>2279</v>
      </c>
    </row>
    <row r="2292" customFormat="false" ht="15" hidden="false" customHeight="false" outlineLevel="0" collapsed="false">
      <c r="B2292" s="19" t="s">
        <v>24969</v>
      </c>
      <c r="C2292" s="20" t="n">
        <f aca="false">ROUND(11.18/FX,2)</f>
        <v>1.55</v>
      </c>
      <c r="D2292" s="21" t="s">
        <v>724</v>
      </c>
      <c r="E2292" s="21" t="s">
        <v>16909</v>
      </c>
      <c r="F2292" s="21" t="s">
        <v>2297</v>
      </c>
    </row>
    <row r="2293" customFormat="false" ht="15" hidden="false" customHeight="false" outlineLevel="0" collapsed="false">
      <c r="B2293" s="19" t="s">
        <v>24970</v>
      </c>
      <c r="C2293" s="20" t="n">
        <f aca="false">ROUND(12.9/FX,2)</f>
        <v>1.79</v>
      </c>
      <c r="D2293" s="21" t="s">
        <v>724</v>
      </c>
      <c r="E2293" s="21" t="s">
        <v>16909</v>
      </c>
      <c r="F2293" s="21" t="s">
        <v>2400</v>
      </c>
    </row>
    <row r="2294" customFormat="false" ht="15" hidden="false" customHeight="false" outlineLevel="0" collapsed="false">
      <c r="B2294" s="19" t="s">
        <v>24971</v>
      </c>
      <c r="C2294" s="20" t="n">
        <f aca="false">ROUND(13.76/FX,2)</f>
        <v>1.91</v>
      </c>
      <c r="D2294" s="21" t="s">
        <v>724</v>
      </c>
      <c r="E2294" s="21" t="s">
        <v>16909</v>
      </c>
      <c r="F2294" s="21" t="s">
        <v>2440</v>
      </c>
    </row>
    <row r="2295" customFormat="false" ht="15" hidden="false" customHeight="false" outlineLevel="0" collapsed="false">
      <c r="B2295" s="19" t="s">
        <v>24972</v>
      </c>
      <c r="C2295" s="20" t="n">
        <f aca="false">ROUND(1.52/FX,2)</f>
        <v>0.21</v>
      </c>
      <c r="D2295" s="21" t="s">
        <v>6549</v>
      </c>
      <c r="E2295" s="21" t="s">
        <v>16909</v>
      </c>
      <c r="F2295" s="21" t="s">
        <v>2600</v>
      </c>
    </row>
    <row r="2296" customFormat="false" ht="15" hidden="false" customHeight="false" outlineLevel="0" collapsed="false">
      <c r="B2296" s="19" t="s">
        <v>24973</v>
      </c>
      <c r="C2296" s="20" t="n">
        <f aca="false">ROUND(1.83/FX,2)</f>
        <v>0.25</v>
      </c>
      <c r="D2296" s="21" t="s">
        <v>6549</v>
      </c>
      <c r="E2296" s="21" t="s">
        <v>16909</v>
      </c>
      <c r="F2296" s="21" t="s">
        <v>2651</v>
      </c>
    </row>
    <row r="2297" customFormat="false" ht="15" hidden="false" customHeight="false" outlineLevel="0" collapsed="false">
      <c r="B2297" s="19" t="s">
        <v>24974</v>
      </c>
      <c r="C2297" s="20" t="n">
        <f aca="false">ROUND(2.05/FX,2)</f>
        <v>0.28</v>
      </c>
      <c r="D2297" s="21" t="s">
        <v>6549</v>
      </c>
      <c r="E2297" s="21" t="s">
        <v>16909</v>
      </c>
      <c r="F2297" s="21" t="s">
        <v>12223</v>
      </c>
    </row>
    <row r="2298" customFormat="false" ht="15" hidden="false" customHeight="false" outlineLevel="0" collapsed="false">
      <c r="B2298" s="19" t="s">
        <v>24975</v>
      </c>
      <c r="C2298" s="20" t="n">
        <f aca="false">ROUND(2.13/FX,2)</f>
        <v>0.3</v>
      </c>
      <c r="D2298" s="21" t="s">
        <v>6549</v>
      </c>
      <c r="E2298" s="21" t="s">
        <v>16909</v>
      </c>
      <c r="F2298" s="21" t="s">
        <v>2801</v>
      </c>
    </row>
    <row r="2299" customFormat="false" ht="15" hidden="false" customHeight="false" outlineLevel="0" collapsed="false">
      <c r="B2299" s="19" t="s">
        <v>24976</v>
      </c>
      <c r="C2299" s="20" t="n">
        <f aca="false">ROUND(2.46/FX,2)</f>
        <v>0.34</v>
      </c>
      <c r="D2299" s="21" t="s">
        <v>6549</v>
      </c>
      <c r="E2299" s="21" t="s">
        <v>16909</v>
      </c>
      <c r="F2299" s="21" t="s">
        <v>2851</v>
      </c>
    </row>
    <row r="2300" customFormat="false" ht="15" hidden="false" customHeight="false" outlineLevel="0" collapsed="false">
      <c r="B2300" s="19" t="s">
        <v>24977</v>
      </c>
      <c r="C2300" s="20" t="n">
        <f aca="false">ROUND(2.36/FX,2)</f>
        <v>0.33</v>
      </c>
      <c r="D2300" s="21" t="s">
        <v>6549</v>
      </c>
      <c r="E2300" s="21" t="s">
        <v>16909</v>
      </c>
      <c r="F2300" s="21" t="s">
        <v>12736</v>
      </c>
    </row>
    <row r="2301" customFormat="false" ht="15" hidden="false" customHeight="false" outlineLevel="0" collapsed="false">
      <c r="B2301" s="19" t="s">
        <v>24978</v>
      </c>
      <c r="C2301" s="20" t="n">
        <f aca="false">ROUND(2.43/FX,2)</f>
        <v>0.34</v>
      </c>
      <c r="D2301" s="21" t="s">
        <v>6549</v>
      </c>
      <c r="E2301" s="21" t="s">
        <v>16909</v>
      </c>
      <c r="F2301" s="21" t="s">
        <v>2901</v>
      </c>
    </row>
    <row r="2302" customFormat="false" ht="15" hidden="false" customHeight="false" outlineLevel="0" collapsed="false">
      <c r="B2302" s="19" t="s">
        <v>24979</v>
      </c>
      <c r="C2302" s="20" t="n">
        <f aca="false">ROUND(2.74/FX,2)</f>
        <v>0.38</v>
      </c>
      <c r="D2302" s="21" t="s">
        <v>6549</v>
      </c>
      <c r="E2302" s="21" t="s">
        <v>16909</v>
      </c>
      <c r="F2302" s="21" t="s">
        <v>938</v>
      </c>
    </row>
    <row r="2303" customFormat="false" ht="15" hidden="false" customHeight="false" outlineLevel="0" collapsed="false">
      <c r="B2303" s="19" t="s">
        <v>24980</v>
      </c>
      <c r="C2303" s="20" t="n">
        <f aca="false">ROUND(2.87/FX,2)</f>
        <v>0.4</v>
      </c>
      <c r="D2303" s="21" t="s">
        <v>6549</v>
      </c>
      <c r="E2303" s="21" t="s">
        <v>16909</v>
      </c>
      <c r="F2303" s="21" t="s">
        <v>3925</v>
      </c>
    </row>
    <row r="2304" customFormat="false" ht="15" hidden="false" customHeight="false" outlineLevel="0" collapsed="false">
      <c r="B2304" s="19" t="s">
        <v>24981</v>
      </c>
      <c r="C2304" s="20" t="n">
        <f aca="false">ROUND(3.41/FX,2)</f>
        <v>0.47</v>
      </c>
      <c r="D2304" s="21" t="s">
        <v>6549</v>
      </c>
      <c r="E2304" s="21" t="s">
        <v>16909</v>
      </c>
      <c r="F2304" s="21" t="s">
        <v>1048</v>
      </c>
    </row>
    <row r="2305" customFormat="false" ht="15" hidden="false" customHeight="false" outlineLevel="0" collapsed="false">
      <c r="B2305" s="19" t="s">
        <v>24982</v>
      </c>
      <c r="C2305" s="20" t="n">
        <f aca="false">ROUND(3.19/FX,2)</f>
        <v>0.44</v>
      </c>
      <c r="D2305" s="21" t="s">
        <v>6549</v>
      </c>
      <c r="E2305" s="21" t="s">
        <v>16909</v>
      </c>
      <c r="F2305" s="21" t="s">
        <v>1103</v>
      </c>
    </row>
    <row r="2306" customFormat="false" ht="15" hidden="false" customHeight="false" outlineLevel="0" collapsed="false">
      <c r="B2306" s="19" t="s">
        <v>24983</v>
      </c>
      <c r="C2306" s="20" t="n">
        <f aca="false">ROUND(3.34/FX,2)</f>
        <v>0.46</v>
      </c>
      <c r="D2306" s="21" t="s">
        <v>6549</v>
      </c>
      <c r="E2306" s="21" t="s">
        <v>16909</v>
      </c>
      <c r="F2306" s="21" t="s">
        <v>1158</v>
      </c>
    </row>
    <row r="2307" customFormat="false" ht="15" hidden="false" customHeight="false" outlineLevel="0" collapsed="false">
      <c r="B2307" s="19" t="s">
        <v>24984</v>
      </c>
      <c r="C2307" s="20" t="n">
        <f aca="false">ROUND(3.5/FX,2)</f>
        <v>0.49</v>
      </c>
      <c r="D2307" s="21" t="s">
        <v>6549</v>
      </c>
      <c r="E2307" s="21" t="s">
        <v>16909</v>
      </c>
      <c r="F2307" s="21" t="s">
        <v>1213</v>
      </c>
    </row>
    <row r="2308" customFormat="false" ht="15" hidden="false" customHeight="false" outlineLevel="0" collapsed="false">
      <c r="B2308" s="19" t="s">
        <v>24985</v>
      </c>
      <c r="C2308" s="20" t="n">
        <f aca="false">ROUND(3.57/FX,2)</f>
        <v>0.5</v>
      </c>
      <c r="D2308" s="21" t="s">
        <v>6549</v>
      </c>
      <c r="E2308" s="21" t="s">
        <v>16909</v>
      </c>
      <c r="F2308" s="21" t="s">
        <v>4826</v>
      </c>
    </row>
    <row r="2309" customFormat="false" ht="15" hidden="false" customHeight="false" outlineLevel="0" collapsed="false">
      <c r="B2309" s="19" t="s">
        <v>24986</v>
      </c>
      <c r="C2309" s="20" t="n">
        <f aca="false">ROUND(4.15/FX,2)</f>
        <v>0.58</v>
      </c>
      <c r="D2309" s="21" t="s">
        <v>6549</v>
      </c>
      <c r="E2309" s="21" t="s">
        <v>16909</v>
      </c>
      <c r="F2309" s="21" t="s">
        <v>1268</v>
      </c>
    </row>
    <row r="2310" customFormat="false" ht="15" hidden="false" customHeight="false" outlineLevel="0" collapsed="false">
      <c r="B2310" s="19" t="s">
        <v>24987</v>
      </c>
      <c r="C2310" s="20" t="n">
        <f aca="false">ROUND(3.8/FX,2)</f>
        <v>0.53</v>
      </c>
      <c r="D2310" s="21" t="s">
        <v>6549</v>
      </c>
      <c r="E2310" s="21" t="s">
        <v>16909</v>
      </c>
      <c r="F2310" s="21" t="s">
        <v>1323</v>
      </c>
    </row>
    <row r="2311" customFormat="false" ht="15" hidden="false" customHeight="false" outlineLevel="0" collapsed="false">
      <c r="B2311" s="19" t="s">
        <v>24988</v>
      </c>
      <c r="C2311" s="20" t="n">
        <f aca="false">ROUND(3.88/FX,2)</f>
        <v>0.54</v>
      </c>
      <c r="D2311" s="21" t="s">
        <v>6549</v>
      </c>
      <c r="E2311" s="21" t="s">
        <v>16909</v>
      </c>
      <c r="F2311" s="21" t="s">
        <v>4083</v>
      </c>
    </row>
    <row r="2312" customFormat="false" ht="15" hidden="false" customHeight="false" outlineLevel="0" collapsed="false">
      <c r="B2312" s="19" t="s">
        <v>24989</v>
      </c>
      <c r="C2312" s="20" t="n">
        <f aca="false">ROUND(3.95/FX,2)</f>
        <v>0.55</v>
      </c>
      <c r="D2312" s="21" t="s">
        <v>6549</v>
      </c>
      <c r="E2312" s="21" t="s">
        <v>16909</v>
      </c>
      <c r="F2312" s="21" t="s">
        <v>1378</v>
      </c>
    </row>
    <row r="2313" customFormat="false" ht="15" hidden="false" customHeight="false" outlineLevel="0" collapsed="false">
      <c r="B2313" s="19" t="s">
        <v>24990</v>
      </c>
      <c r="C2313" s="20" t="n">
        <f aca="false">ROUND(4.33/FX,2)</f>
        <v>0.6</v>
      </c>
      <c r="D2313" s="21" t="s">
        <v>6549</v>
      </c>
      <c r="E2313" s="21" t="s">
        <v>16909</v>
      </c>
      <c r="F2313" s="21" t="s">
        <v>4197</v>
      </c>
    </row>
    <row r="2314" customFormat="false" ht="15" hidden="false" customHeight="false" outlineLevel="0" collapsed="false">
      <c r="B2314" s="19" t="s">
        <v>24991</v>
      </c>
      <c r="C2314" s="20" t="n">
        <f aca="false">ROUND(5/FX,2)</f>
        <v>0.69</v>
      </c>
      <c r="D2314" s="21" t="s">
        <v>6549</v>
      </c>
      <c r="E2314" s="21" t="s">
        <v>16909</v>
      </c>
      <c r="F2314" s="21" t="s">
        <v>1520</v>
      </c>
    </row>
    <row r="2315" customFormat="false" ht="15" hidden="false" customHeight="false" outlineLevel="0" collapsed="false">
      <c r="B2315" s="19" t="s">
        <v>24992</v>
      </c>
      <c r="C2315" s="20" t="n">
        <f aca="false">ROUND(4.61/FX,2)</f>
        <v>0.64</v>
      </c>
      <c r="D2315" s="21" t="s">
        <v>6549</v>
      </c>
      <c r="E2315" s="21" t="s">
        <v>16909</v>
      </c>
      <c r="F2315" s="21" t="s">
        <v>4254</v>
      </c>
    </row>
    <row r="2316" customFormat="false" ht="15" hidden="false" customHeight="false" outlineLevel="0" collapsed="false">
      <c r="B2316" s="19" t="s">
        <v>24993</v>
      </c>
      <c r="C2316" s="20" t="n">
        <f aca="false">ROUND(4.83/FX,2)</f>
        <v>0.67</v>
      </c>
      <c r="D2316" s="21" t="s">
        <v>6549</v>
      </c>
      <c r="E2316" s="21" t="s">
        <v>16909</v>
      </c>
      <c r="F2316" s="21" t="s">
        <v>1540</v>
      </c>
    </row>
    <row r="2317" customFormat="false" ht="15" hidden="false" customHeight="false" outlineLevel="0" collapsed="false">
      <c r="B2317" s="19" t="s">
        <v>24994</v>
      </c>
      <c r="C2317" s="20" t="n">
        <f aca="false">ROUND(4.71/FX,2)</f>
        <v>0.65</v>
      </c>
      <c r="D2317" s="21" t="s">
        <v>6549</v>
      </c>
      <c r="E2317" s="21" t="s">
        <v>16909</v>
      </c>
      <c r="F2317" s="21" t="s">
        <v>1545</v>
      </c>
    </row>
    <row r="2318" customFormat="false" ht="15" hidden="false" customHeight="false" outlineLevel="0" collapsed="false">
      <c r="B2318" s="19" t="s">
        <v>24995</v>
      </c>
      <c r="C2318" s="20" t="n">
        <f aca="false">ROUND(4.79/FX,2)</f>
        <v>0.67</v>
      </c>
      <c r="D2318" s="21" t="s">
        <v>6549</v>
      </c>
      <c r="E2318" s="21" t="s">
        <v>16909</v>
      </c>
      <c r="F2318" s="21" t="s">
        <v>4292</v>
      </c>
    </row>
    <row r="2319" customFormat="false" ht="15" hidden="false" customHeight="false" outlineLevel="0" collapsed="false">
      <c r="B2319" s="19" t="s">
        <v>24996</v>
      </c>
      <c r="C2319" s="20" t="n">
        <f aca="false">ROUND(4.86/FX,2)</f>
        <v>0.68</v>
      </c>
      <c r="D2319" s="21" t="s">
        <v>6549</v>
      </c>
      <c r="E2319" s="21" t="s">
        <v>16909</v>
      </c>
      <c r="F2319" s="21" t="s">
        <v>1570</v>
      </c>
    </row>
    <row r="2320" customFormat="false" ht="15" hidden="false" customHeight="false" outlineLevel="0" collapsed="false">
      <c r="B2320" s="19" t="s">
        <v>24997</v>
      </c>
      <c r="C2320" s="20" t="n">
        <f aca="false">ROUND(4.94/FX,2)</f>
        <v>0.69</v>
      </c>
      <c r="D2320" s="21" t="s">
        <v>6549</v>
      </c>
      <c r="E2320" s="21" t="s">
        <v>16909</v>
      </c>
      <c r="F2320" s="21" t="s">
        <v>4958</v>
      </c>
    </row>
    <row r="2321" customFormat="false" ht="15" hidden="false" customHeight="false" outlineLevel="0" collapsed="false">
      <c r="B2321" s="19" t="s">
        <v>24998</v>
      </c>
      <c r="C2321" s="20" t="n">
        <f aca="false">ROUND(5.02/FX,2)</f>
        <v>0.7</v>
      </c>
      <c r="D2321" s="21" t="s">
        <v>6549</v>
      </c>
      <c r="E2321" s="21" t="s">
        <v>16909</v>
      </c>
      <c r="F2321" s="21" t="s">
        <v>1595</v>
      </c>
    </row>
    <row r="2322" customFormat="false" ht="15" hidden="false" customHeight="false" outlineLevel="0" collapsed="false">
      <c r="B2322" s="19" t="s">
        <v>24999</v>
      </c>
      <c r="C2322" s="20" t="n">
        <f aca="false">ROUND(5.17/FX,2)</f>
        <v>0.72</v>
      </c>
      <c r="D2322" s="21" t="s">
        <v>6549</v>
      </c>
      <c r="E2322" s="21" t="s">
        <v>16909</v>
      </c>
      <c r="F2322" s="21" t="s">
        <v>1615</v>
      </c>
    </row>
    <row r="2323" customFormat="false" ht="15" hidden="false" customHeight="false" outlineLevel="0" collapsed="false">
      <c r="B2323" s="19" t="s">
        <v>25000</v>
      </c>
      <c r="C2323" s="20" t="n">
        <f aca="false">ROUND(5.32/FX,2)</f>
        <v>0.74</v>
      </c>
      <c r="D2323" s="21" t="s">
        <v>6549</v>
      </c>
      <c r="E2323" s="21" t="s">
        <v>16909</v>
      </c>
      <c r="F2323" s="21" t="s">
        <v>1635</v>
      </c>
    </row>
    <row r="2324" customFormat="false" ht="15" hidden="false" customHeight="false" outlineLevel="0" collapsed="false">
      <c r="B2324" s="19" t="s">
        <v>25001</v>
      </c>
      <c r="C2324" s="20" t="n">
        <f aca="false">ROUND(5.47/FX,2)</f>
        <v>0.76</v>
      </c>
      <c r="D2324" s="21" t="s">
        <v>6549</v>
      </c>
      <c r="E2324" s="21" t="s">
        <v>16909</v>
      </c>
      <c r="F2324" s="21" t="s">
        <v>1655</v>
      </c>
    </row>
    <row r="2325" customFormat="false" ht="15" hidden="false" customHeight="false" outlineLevel="0" collapsed="false">
      <c r="B2325" s="19" t="s">
        <v>25002</v>
      </c>
      <c r="C2325" s="20" t="n">
        <f aca="false">ROUND(5.62/FX,2)</f>
        <v>0.78</v>
      </c>
      <c r="D2325" s="21" t="s">
        <v>6549</v>
      </c>
      <c r="E2325" s="21" t="s">
        <v>16909</v>
      </c>
      <c r="F2325" s="21" t="s">
        <v>1670</v>
      </c>
    </row>
    <row r="2326" customFormat="false" ht="15" hidden="false" customHeight="false" outlineLevel="0" collapsed="false">
      <c r="B2326" s="19" t="s">
        <v>25003</v>
      </c>
      <c r="C2326" s="20" t="n">
        <f aca="false">ROUND(5.78/FX,2)</f>
        <v>0.8</v>
      </c>
      <c r="D2326" s="21" t="s">
        <v>6549</v>
      </c>
      <c r="E2326" s="21" t="s">
        <v>16909</v>
      </c>
      <c r="F2326" s="21" t="s">
        <v>1685</v>
      </c>
    </row>
    <row r="2327" customFormat="false" ht="15" hidden="false" customHeight="false" outlineLevel="0" collapsed="false">
      <c r="B2327" s="19" t="s">
        <v>25004</v>
      </c>
      <c r="C2327" s="20" t="n">
        <f aca="false">ROUND(5.93/FX,2)</f>
        <v>0.82</v>
      </c>
      <c r="D2327" s="21" t="s">
        <v>6549</v>
      </c>
      <c r="E2327" s="21" t="s">
        <v>16909</v>
      </c>
      <c r="F2327" s="21" t="s">
        <v>1982</v>
      </c>
    </row>
    <row r="2328" customFormat="false" ht="15" hidden="false" customHeight="false" outlineLevel="0" collapsed="false">
      <c r="B2328" s="19" t="s">
        <v>25005</v>
      </c>
      <c r="C2328" s="20" t="n">
        <f aca="false">ROUND(6.7/FX,2)</f>
        <v>0.93</v>
      </c>
      <c r="D2328" s="21" t="s">
        <v>6549</v>
      </c>
      <c r="E2328" s="21" t="s">
        <v>16909</v>
      </c>
      <c r="F2328" s="21" t="s">
        <v>2002</v>
      </c>
    </row>
    <row r="2329" customFormat="false" ht="15" hidden="false" customHeight="false" outlineLevel="0" collapsed="false">
      <c r="B2329" s="19" t="s">
        <v>25006</v>
      </c>
      <c r="C2329" s="20" t="n">
        <f aca="false">ROUND(6.23/FX,2)</f>
        <v>0.87</v>
      </c>
      <c r="D2329" s="21" t="s">
        <v>6549</v>
      </c>
      <c r="E2329" s="21" t="s">
        <v>16909</v>
      </c>
      <c r="F2329" s="21" t="s">
        <v>2017</v>
      </c>
    </row>
    <row r="2330" customFormat="false" ht="15" hidden="false" customHeight="false" outlineLevel="0" collapsed="false">
      <c r="B2330" s="19" t="s">
        <v>25007</v>
      </c>
      <c r="C2330" s="20" t="n">
        <f aca="false">ROUND(6.3/FX,2)</f>
        <v>0.88</v>
      </c>
      <c r="D2330" s="21" t="s">
        <v>6549</v>
      </c>
      <c r="E2330" s="21" t="s">
        <v>16909</v>
      </c>
      <c r="F2330" s="21" t="s">
        <v>5128</v>
      </c>
    </row>
    <row r="2331" customFormat="false" ht="15" hidden="false" customHeight="false" outlineLevel="0" collapsed="false">
      <c r="B2331" s="19" t="s">
        <v>25008</v>
      </c>
      <c r="C2331" s="20" t="n">
        <f aca="false">ROUND(6.38/FX,2)</f>
        <v>0.89</v>
      </c>
      <c r="D2331" s="21" t="s">
        <v>6549</v>
      </c>
      <c r="E2331" s="21" t="s">
        <v>16909</v>
      </c>
      <c r="F2331" s="21" t="s">
        <v>2022</v>
      </c>
    </row>
    <row r="2332" customFormat="false" ht="15" hidden="false" customHeight="false" outlineLevel="0" collapsed="false">
      <c r="B2332" s="19" t="s">
        <v>25009</v>
      </c>
      <c r="C2332" s="20" t="n">
        <f aca="false">ROUND(6.51/FX,2)</f>
        <v>0.9</v>
      </c>
      <c r="D2332" s="21" t="s">
        <v>6549</v>
      </c>
      <c r="E2332" s="21" t="s">
        <v>16909</v>
      </c>
      <c r="F2332" s="21" t="s">
        <v>2032</v>
      </c>
    </row>
    <row r="2333" customFormat="false" ht="15" hidden="false" customHeight="false" outlineLevel="0" collapsed="false">
      <c r="B2333" s="19" t="s">
        <v>25010</v>
      </c>
      <c r="C2333" s="20" t="n">
        <f aca="false">ROUND(6.54/FX,2)</f>
        <v>0.91</v>
      </c>
      <c r="D2333" s="21" t="s">
        <v>6549</v>
      </c>
      <c r="E2333" s="21" t="s">
        <v>16909</v>
      </c>
      <c r="F2333" s="21" t="s">
        <v>2037</v>
      </c>
    </row>
    <row r="2334" customFormat="false" ht="15" hidden="false" customHeight="false" outlineLevel="0" collapsed="false">
      <c r="B2334" s="19" t="s">
        <v>25011</v>
      </c>
      <c r="C2334" s="20" t="n">
        <f aca="false">ROUND(6.69/FX,2)</f>
        <v>0.93</v>
      </c>
      <c r="D2334" s="21" t="s">
        <v>6549</v>
      </c>
      <c r="E2334" s="21" t="s">
        <v>16909</v>
      </c>
      <c r="F2334" s="21" t="s">
        <v>2052</v>
      </c>
    </row>
    <row r="2335" customFormat="false" ht="15" hidden="false" customHeight="false" outlineLevel="0" collapsed="false">
      <c r="B2335" s="19" t="s">
        <v>25012</v>
      </c>
      <c r="C2335" s="20" t="n">
        <f aca="false">ROUND(6.84/FX,2)</f>
        <v>0.95</v>
      </c>
      <c r="D2335" s="21" t="s">
        <v>6549</v>
      </c>
      <c r="E2335" s="21" t="s">
        <v>16909</v>
      </c>
      <c r="F2335" s="21" t="s">
        <v>2067</v>
      </c>
    </row>
    <row r="2336" customFormat="false" ht="15" hidden="false" customHeight="false" outlineLevel="0" collapsed="false">
      <c r="B2336" s="19" t="s">
        <v>25013</v>
      </c>
      <c r="C2336" s="20" t="n">
        <f aca="false">ROUND(6.99/FX,2)</f>
        <v>0.97</v>
      </c>
      <c r="D2336" s="21" t="s">
        <v>6549</v>
      </c>
      <c r="E2336" s="21" t="s">
        <v>16909</v>
      </c>
      <c r="F2336" s="21" t="s">
        <v>2082</v>
      </c>
    </row>
    <row r="2337" customFormat="false" ht="15" hidden="false" customHeight="false" outlineLevel="0" collapsed="false">
      <c r="B2337" s="19" t="s">
        <v>25014</v>
      </c>
      <c r="C2337" s="20" t="n">
        <f aca="false">ROUND(7.14/FX,2)</f>
        <v>0.99</v>
      </c>
      <c r="D2337" s="21" t="s">
        <v>6549</v>
      </c>
      <c r="E2337" s="21" t="s">
        <v>16909</v>
      </c>
      <c r="F2337" s="21" t="s">
        <v>2097</v>
      </c>
    </row>
    <row r="2338" customFormat="false" ht="15" hidden="false" customHeight="false" outlineLevel="0" collapsed="false">
      <c r="B2338" s="19" t="s">
        <v>25015</v>
      </c>
      <c r="C2338" s="20" t="n">
        <f aca="false">ROUND(7.22/FX,2)</f>
        <v>1</v>
      </c>
      <c r="D2338" s="21" t="s">
        <v>6549</v>
      </c>
      <c r="E2338" s="21" t="s">
        <v>16909</v>
      </c>
      <c r="F2338" s="21" t="s">
        <v>5263</v>
      </c>
    </row>
    <row r="2339" customFormat="false" ht="15" hidden="false" customHeight="false" outlineLevel="0" collapsed="false">
      <c r="B2339" s="19" t="s">
        <v>25016</v>
      </c>
      <c r="C2339" s="20" t="n">
        <f aca="false">ROUND(7.3/FX,2)</f>
        <v>1.01</v>
      </c>
      <c r="D2339" s="21" t="s">
        <v>6549</v>
      </c>
      <c r="E2339" s="21" t="s">
        <v>16909</v>
      </c>
      <c r="F2339" s="21" t="s">
        <v>2112</v>
      </c>
    </row>
    <row r="2340" customFormat="false" ht="15" hidden="false" customHeight="false" outlineLevel="0" collapsed="false">
      <c r="B2340" s="19" t="s">
        <v>25017</v>
      </c>
      <c r="C2340" s="20" t="n">
        <f aca="false">ROUND(7.42/FX,2)</f>
        <v>1.03</v>
      </c>
      <c r="D2340" s="21" t="s">
        <v>6549</v>
      </c>
      <c r="E2340" s="21" t="s">
        <v>16909</v>
      </c>
      <c r="F2340" s="21" t="s">
        <v>2122</v>
      </c>
    </row>
    <row r="2341" customFormat="false" ht="15" hidden="false" customHeight="false" outlineLevel="0" collapsed="false">
      <c r="B2341" s="19" t="s">
        <v>25018</v>
      </c>
      <c r="C2341" s="20" t="n">
        <f aca="false">ROUND(7.45/FX,2)</f>
        <v>1.03</v>
      </c>
      <c r="D2341" s="21" t="s">
        <v>6549</v>
      </c>
      <c r="E2341" s="21" t="s">
        <v>16909</v>
      </c>
      <c r="F2341" s="21" t="s">
        <v>2127</v>
      </c>
    </row>
    <row r="2342" customFormat="false" ht="15" hidden="false" customHeight="false" outlineLevel="0" collapsed="false">
      <c r="B2342" s="19" t="s">
        <v>25019</v>
      </c>
      <c r="C2342" s="20" t="n">
        <f aca="false">ROUND(7.52/FX,2)</f>
        <v>1.04</v>
      </c>
      <c r="D2342" s="21" t="s">
        <v>6549</v>
      </c>
      <c r="E2342" s="21" t="s">
        <v>16909</v>
      </c>
      <c r="F2342" s="21" t="s">
        <v>3597</v>
      </c>
    </row>
    <row r="2343" customFormat="false" ht="15" hidden="false" customHeight="false" outlineLevel="0" collapsed="false">
      <c r="B2343" s="19" t="s">
        <v>25020</v>
      </c>
      <c r="C2343" s="20" t="n">
        <f aca="false">ROUND(2.06/FX,2)</f>
        <v>0.29</v>
      </c>
      <c r="D2343" s="21" t="s">
        <v>6549</v>
      </c>
      <c r="E2343" s="21" t="s">
        <v>16909</v>
      </c>
      <c r="F2343" s="21" t="s">
        <v>2911</v>
      </c>
    </row>
    <row r="2344" customFormat="false" ht="15" hidden="false" customHeight="false" outlineLevel="0" collapsed="false">
      <c r="B2344" s="19" t="s">
        <v>25021</v>
      </c>
      <c r="C2344" s="20" t="n">
        <f aca="false">ROUND(7.6/FX,2)</f>
        <v>1.06</v>
      </c>
      <c r="D2344" s="21" t="s">
        <v>6549</v>
      </c>
      <c r="E2344" s="21" t="s">
        <v>16909</v>
      </c>
      <c r="F2344" s="21" t="s">
        <v>2142</v>
      </c>
    </row>
    <row r="2345" customFormat="false" ht="15" hidden="false" customHeight="false" outlineLevel="0" collapsed="false">
      <c r="B2345" s="19" t="s">
        <v>25022</v>
      </c>
      <c r="C2345" s="20" t="n">
        <f aca="false">ROUND(7.68/FX,2)</f>
        <v>1.07</v>
      </c>
      <c r="D2345" s="21" t="s">
        <v>6549</v>
      </c>
      <c r="E2345" s="21" t="s">
        <v>16909</v>
      </c>
      <c r="F2345" s="21" t="s">
        <v>5337</v>
      </c>
    </row>
    <row r="2346" customFormat="false" ht="15" hidden="false" customHeight="false" outlineLevel="0" collapsed="false">
      <c r="B2346" s="19" t="s">
        <v>25023</v>
      </c>
      <c r="C2346" s="20" t="n">
        <f aca="false">ROUND(7.75/FX,2)</f>
        <v>1.08</v>
      </c>
      <c r="D2346" s="21" t="s">
        <v>6549</v>
      </c>
      <c r="E2346" s="21" t="s">
        <v>16909</v>
      </c>
      <c r="F2346" s="21" t="s">
        <v>3637</v>
      </c>
    </row>
    <row r="2347" customFormat="false" ht="15" hidden="false" customHeight="false" outlineLevel="0" collapsed="false">
      <c r="B2347" s="19" t="s">
        <v>25024</v>
      </c>
      <c r="C2347" s="20" t="n">
        <f aca="false">ROUND(7.82/FX,2)</f>
        <v>1.09</v>
      </c>
      <c r="D2347" s="21" t="s">
        <v>6549</v>
      </c>
      <c r="E2347" s="21" t="s">
        <v>16909</v>
      </c>
      <c r="F2347" s="21" t="s">
        <v>5362</v>
      </c>
    </row>
    <row r="2348" customFormat="false" ht="15" hidden="false" customHeight="false" outlineLevel="0" collapsed="false">
      <c r="B2348" s="19" t="s">
        <v>25025</v>
      </c>
      <c r="C2348" s="20" t="n">
        <f aca="false">ROUND(7.9/FX,2)</f>
        <v>1.1</v>
      </c>
      <c r="D2348" s="21" t="s">
        <v>6549</v>
      </c>
      <c r="E2348" s="21" t="s">
        <v>16909</v>
      </c>
      <c r="F2348" s="21" t="s">
        <v>2162</v>
      </c>
    </row>
    <row r="2349" customFormat="false" ht="15" hidden="false" customHeight="false" outlineLevel="0" collapsed="false">
      <c r="B2349" s="19" t="s">
        <v>25026</v>
      </c>
      <c r="C2349" s="20" t="n">
        <f aca="false">ROUND(7.98/FX,2)</f>
        <v>1.11</v>
      </c>
      <c r="D2349" s="21" t="s">
        <v>6549</v>
      </c>
      <c r="E2349" s="21" t="s">
        <v>16909</v>
      </c>
      <c r="F2349" s="21" t="s">
        <v>3675</v>
      </c>
    </row>
    <row r="2350" customFormat="false" ht="15" hidden="false" customHeight="false" outlineLevel="0" collapsed="false">
      <c r="B2350" s="19" t="s">
        <v>25027</v>
      </c>
      <c r="C2350" s="20" t="n">
        <f aca="false">ROUND(8.06/FX,2)</f>
        <v>1.12</v>
      </c>
      <c r="D2350" s="21" t="s">
        <v>6549</v>
      </c>
      <c r="E2350" s="21" t="s">
        <v>16909</v>
      </c>
      <c r="F2350" s="21" t="s">
        <v>2177</v>
      </c>
    </row>
    <row r="2351" customFormat="false" ht="15" hidden="false" customHeight="false" outlineLevel="0" collapsed="false">
      <c r="B2351" s="19" t="s">
        <v>25028</v>
      </c>
      <c r="C2351" s="20" t="n">
        <f aca="false">ROUND(8.36/FX,2)</f>
        <v>1.16</v>
      </c>
      <c r="D2351" s="21" t="s">
        <v>6549</v>
      </c>
      <c r="E2351" s="21" t="s">
        <v>16909</v>
      </c>
      <c r="F2351" s="21" t="s">
        <v>2187</v>
      </c>
    </row>
    <row r="2352" customFormat="false" ht="15" hidden="false" customHeight="false" outlineLevel="0" collapsed="false">
      <c r="B2352" s="19" t="s">
        <v>25029</v>
      </c>
      <c r="C2352" s="20" t="n">
        <f aca="false">ROUND(8.51/FX,2)</f>
        <v>1.18</v>
      </c>
      <c r="D2352" s="21" t="s">
        <v>6549</v>
      </c>
      <c r="E2352" s="21" t="s">
        <v>16909</v>
      </c>
      <c r="F2352" s="21" t="s">
        <v>11740</v>
      </c>
    </row>
    <row r="2353" customFormat="false" ht="15" hidden="false" customHeight="false" outlineLevel="0" collapsed="false">
      <c r="B2353" s="19" t="s">
        <v>25030</v>
      </c>
      <c r="C2353" s="20" t="n">
        <f aca="false">ROUND(9.12/FX,2)</f>
        <v>1.27</v>
      </c>
      <c r="D2353" s="21" t="s">
        <v>6549</v>
      </c>
      <c r="E2353" s="21" t="s">
        <v>16909</v>
      </c>
      <c r="F2353" s="21" t="s">
        <v>2227</v>
      </c>
    </row>
    <row r="2354" customFormat="false" ht="15" hidden="false" customHeight="false" outlineLevel="0" collapsed="false">
      <c r="B2354" s="19" t="s">
        <v>25031</v>
      </c>
      <c r="C2354" s="20" t="n">
        <f aca="false">ROUND(9.88/FX,2)</f>
        <v>1.37</v>
      </c>
      <c r="D2354" s="21" t="s">
        <v>6549</v>
      </c>
      <c r="E2354" s="21" t="s">
        <v>16909</v>
      </c>
      <c r="F2354" s="21" t="s">
        <v>2297</v>
      </c>
    </row>
    <row r="2355" customFormat="false" ht="15" hidden="false" customHeight="false" outlineLevel="0" collapsed="false">
      <c r="B2355" s="19" t="s">
        <v>25032</v>
      </c>
      <c r="C2355" s="20" t="n">
        <f aca="false">ROUND(10.64/FX,2)</f>
        <v>1.48</v>
      </c>
      <c r="D2355" s="21" t="s">
        <v>6549</v>
      </c>
      <c r="E2355" s="21" t="s">
        <v>16909</v>
      </c>
      <c r="F2355" s="21" t="s">
        <v>2351</v>
      </c>
    </row>
    <row r="2356" customFormat="false" ht="15" hidden="false" customHeight="false" outlineLevel="0" collapsed="false">
      <c r="B2356" s="19" t="s">
        <v>25033</v>
      </c>
      <c r="C2356" s="20" t="n">
        <f aca="false">ROUND(11.25/FX,2)</f>
        <v>1.56</v>
      </c>
      <c r="D2356" s="21" t="s">
        <v>6549</v>
      </c>
      <c r="E2356" s="21" t="s">
        <v>16909</v>
      </c>
      <c r="F2356" s="21" t="s">
        <v>2390</v>
      </c>
    </row>
    <row r="2357" customFormat="false" ht="15" hidden="false" customHeight="false" outlineLevel="0" collapsed="false">
      <c r="B2357" s="19" t="s">
        <v>25034</v>
      </c>
      <c r="C2357" s="20" t="n">
        <f aca="false">ROUND(11.55/FX,2)</f>
        <v>1.6</v>
      </c>
      <c r="D2357" s="21" t="s">
        <v>6549</v>
      </c>
      <c r="E2357" s="21" t="s">
        <v>16909</v>
      </c>
      <c r="F2357" s="21" t="s">
        <v>2410</v>
      </c>
    </row>
    <row r="2358" customFormat="false" ht="15" hidden="false" customHeight="false" outlineLevel="0" collapsed="false">
      <c r="B2358" s="19" t="s">
        <v>25035</v>
      </c>
      <c r="C2358" s="20" t="n">
        <f aca="false">ROUND(11.7/FX,2)</f>
        <v>1.63</v>
      </c>
      <c r="D2358" s="21" t="s">
        <v>6549</v>
      </c>
      <c r="E2358" s="21" t="s">
        <v>16909</v>
      </c>
      <c r="F2358" s="21" t="s">
        <v>2420</v>
      </c>
    </row>
    <row r="2359" customFormat="false" ht="15" hidden="false" customHeight="false" outlineLevel="0" collapsed="false">
      <c r="B2359" s="19" t="s">
        <v>25036</v>
      </c>
      <c r="C2359" s="20" t="n">
        <f aca="false">ROUND(11.86/FX,2)</f>
        <v>1.65</v>
      </c>
      <c r="D2359" s="21" t="s">
        <v>6549</v>
      </c>
      <c r="E2359" s="21" t="s">
        <v>16909</v>
      </c>
      <c r="F2359" s="21" t="s">
        <v>6291</v>
      </c>
    </row>
    <row r="2360" customFormat="false" ht="15" hidden="false" customHeight="false" outlineLevel="0" collapsed="false">
      <c r="B2360" s="19" t="s">
        <v>25037</v>
      </c>
      <c r="C2360" s="20" t="n">
        <f aca="false">ROUND(12.16/FX,2)</f>
        <v>1.69</v>
      </c>
      <c r="D2360" s="21" t="s">
        <v>6549</v>
      </c>
      <c r="E2360" s="21" t="s">
        <v>16909</v>
      </c>
      <c r="F2360" s="21" t="s">
        <v>2440</v>
      </c>
    </row>
    <row r="2361" customFormat="false" ht="15" hidden="false" customHeight="false" outlineLevel="0" collapsed="false">
      <c r="B2361" s="19" t="s">
        <v>25038</v>
      </c>
      <c r="C2361" s="20" t="n">
        <f aca="false">ROUND(13.68/FX,2)</f>
        <v>1.9</v>
      </c>
      <c r="D2361" s="21" t="s">
        <v>6549</v>
      </c>
      <c r="E2361" s="21" t="s">
        <v>16909</v>
      </c>
      <c r="F2361" s="21" t="s">
        <v>2500</v>
      </c>
    </row>
    <row r="2362" customFormat="false" ht="15" hidden="false" customHeight="false" outlineLevel="0" collapsed="false">
      <c r="B2362" s="19" t="s">
        <v>25039</v>
      </c>
      <c r="C2362" s="20" t="n">
        <f aca="false">ROUND(1.78/FX,2)</f>
        <v>0.25</v>
      </c>
      <c r="D2362" s="21" t="s">
        <v>724</v>
      </c>
      <c r="E2362" s="21" t="s">
        <v>25040</v>
      </c>
      <c r="F2362" s="21" t="s">
        <v>2600</v>
      </c>
    </row>
    <row r="2363" customFormat="false" ht="15" hidden="false" customHeight="false" outlineLevel="0" collapsed="false">
      <c r="B2363" s="19" t="s">
        <v>25041</v>
      </c>
      <c r="C2363" s="20" t="n">
        <f aca="false">ROUND(1.51/FX,2)</f>
        <v>0.21</v>
      </c>
      <c r="D2363" s="21" t="s">
        <v>6549</v>
      </c>
      <c r="E2363" s="21" t="s">
        <v>25040</v>
      </c>
      <c r="F2363" s="21" t="s">
        <v>2600</v>
      </c>
    </row>
    <row r="2364" customFormat="false" ht="15" hidden="false" customHeight="false" outlineLevel="0" collapsed="false">
      <c r="B2364" s="19" t="s">
        <v>25042</v>
      </c>
      <c r="C2364" s="20" t="n">
        <f aca="false">ROUND(15.1/FX,2)</f>
        <v>2.1</v>
      </c>
      <c r="D2364" s="21" t="s">
        <v>6549</v>
      </c>
      <c r="E2364" s="21" t="s">
        <v>25040</v>
      </c>
      <c r="F2364" s="21" t="s">
        <v>1733</v>
      </c>
    </row>
    <row r="2365" customFormat="false" ht="15" hidden="false" customHeight="false" outlineLevel="0" collapsed="false">
      <c r="B2365" s="19" t="s">
        <v>25043</v>
      </c>
      <c r="C2365" s="20" t="n">
        <f aca="false">ROUND(1.98/FX,2)</f>
        <v>0.28</v>
      </c>
      <c r="D2365" s="21" t="s">
        <v>6549</v>
      </c>
      <c r="E2365" s="21" t="s">
        <v>25040</v>
      </c>
      <c r="F2365" s="21" t="s">
        <v>2751</v>
      </c>
    </row>
    <row r="2366" customFormat="false" ht="15" hidden="false" customHeight="false" outlineLevel="0" collapsed="false">
      <c r="B2366" s="19" t="s">
        <v>25044</v>
      </c>
      <c r="C2366" s="20" t="n">
        <f aca="false">ROUND(2.27/FX,2)</f>
        <v>0.32</v>
      </c>
      <c r="D2366" s="21" t="s">
        <v>6549</v>
      </c>
      <c r="E2366" s="21" t="s">
        <v>25040</v>
      </c>
      <c r="F2366" s="21" t="s">
        <v>2851</v>
      </c>
    </row>
    <row r="2367" customFormat="false" ht="15" hidden="false" customHeight="false" outlineLevel="0" collapsed="false">
      <c r="B2367" s="19" t="s">
        <v>25045</v>
      </c>
      <c r="C2367" s="20" t="n">
        <f aca="false">ROUND(3.02/FX,2)</f>
        <v>0.42</v>
      </c>
      <c r="D2367" s="21" t="s">
        <v>6549</v>
      </c>
      <c r="E2367" s="21" t="s">
        <v>25040</v>
      </c>
      <c r="F2367" s="21" t="s">
        <v>1048</v>
      </c>
    </row>
    <row r="2368" customFormat="false" ht="15" hidden="false" customHeight="false" outlineLevel="0" collapsed="false">
      <c r="B2368" s="19" t="s">
        <v>25046</v>
      </c>
      <c r="C2368" s="20" t="n">
        <f aca="false">ROUND(5.29/FX,2)</f>
        <v>0.73</v>
      </c>
      <c r="D2368" s="21" t="s">
        <v>6549</v>
      </c>
      <c r="E2368" s="21" t="s">
        <v>25040</v>
      </c>
      <c r="F2368" s="21" t="s">
        <v>1635</v>
      </c>
    </row>
    <row r="2369" customFormat="false" ht="15" hidden="false" customHeight="false" outlineLevel="0" collapsed="false">
      <c r="B2369" s="19" t="s">
        <v>25047</v>
      </c>
      <c r="C2369" s="20" t="n">
        <f aca="false">ROUND(6.04/FX,2)</f>
        <v>0.84</v>
      </c>
      <c r="D2369" s="21" t="s">
        <v>6549</v>
      </c>
      <c r="E2369" s="21" t="s">
        <v>25040</v>
      </c>
      <c r="F2369" s="21" t="s">
        <v>2002</v>
      </c>
    </row>
    <row r="2370" customFormat="false" ht="15" hidden="false" customHeight="false" outlineLevel="0" collapsed="false">
      <c r="B2370" s="19" t="s">
        <v>25048</v>
      </c>
      <c r="C2370" s="20" t="n">
        <f aca="false">ROUND(1.72/FX,2)</f>
        <v>0.24</v>
      </c>
      <c r="D2370" s="21" t="s">
        <v>724</v>
      </c>
      <c r="E2370" s="21" t="s">
        <v>25049</v>
      </c>
      <c r="F2370" s="21" t="s">
        <v>2600</v>
      </c>
    </row>
    <row r="2371" customFormat="false" ht="15" hidden="false" customHeight="false" outlineLevel="0" collapsed="false">
      <c r="B2371" s="19" t="s">
        <v>25050</v>
      </c>
      <c r="C2371" s="20" t="n">
        <f aca="false">ROUND(17.2/FX,2)</f>
        <v>2.39</v>
      </c>
      <c r="D2371" s="21" t="s">
        <v>724</v>
      </c>
      <c r="E2371" s="21" t="s">
        <v>25049</v>
      </c>
      <c r="F2371" s="21" t="s">
        <v>1733</v>
      </c>
    </row>
    <row r="2372" customFormat="false" ht="15" hidden="false" customHeight="false" outlineLevel="0" collapsed="false">
      <c r="B2372" s="19" t="s">
        <v>25051</v>
      </c>
      <c r="C2372" s="20" t="n">
        <f aca="false">ROUND(18.92/FX,2)</f>
        <v>2.63</v>
      </c>
      <c r="D2372" s="21" t="s">
        <v>724</v>
      </c>
      <c r="E2372" s="21" t="s">
        <v>25049</v>
      </c>
      <c r="F2372" s="21" t="s">
        <v>1768</v>
      </c>
    </row>
    <row r="2373" customFormat="false" ht="15" hidden="false" customHeight="false" outlineLevel="0" collapsed="false">
      <c r="B2373" s="19" t="s">
        <v>25052</v>
      </c>
      <c r="C2373" s="20" t="n">
        <f aca="false">ROUND(2.32/FX,2)</f>
        <v>0.32</v>
      </c>
      <c r="D2373" s="21" t="s">
        <v>724</v>
      </c>
      <c r="E2373" s="21" t="s">
        <v>25049</v>
      </c>
      <c r="F2373" s="21" t="s">
        <v>12223</v>
      </c>
    </row>
    <row r="2374" customFormat="false" ht="15" hidden="false" customHeight="false" outlineLevel="0" collapsed="false">
      <c r="B2374" s="19" t="s">
        <v>25053</v>
      </c>
      <c r="C2374" s="20" t="n">
        <f aca="false">ROUND(2.41/FX,2)</f>
        <v>0.33</v>
      </c>
      <c r="D2374" s="21" t="s">
        <v>724</v>
      </c>
      <c r="E2374" s="21" t="s">
        <v>25049</v>
      </c>
      <c r="F2374" s="21" t="s">
        <v>2801</v>
      </c>
    </row>
    <row r="2375" customFormat="false" ht="15" hidden="false" customHeight="false" outlineLevel="0" collapsed="false">
      <c r="B2375" s="19" t="s">
        <v>25054</v>
      </c>
      <c r="C2375" s="20" t="n">
        <f aca="false">ROUND(2.58/FX,2)</f>
        <v>0.36</v>
      </c>
      <c r="D2375" s="21" t="s">
        <v>724</v>
      </c>
      <c r="E2375" s="21" t="s">
        <v>25049</v>
      </c>
      <c r="F2375" s="21" t="s">
        <v>2851</v>
      </c>
    </row>
    <row r="2376" customFormat="false" ht="15" hidden="false" customHeight="false" outlineLevel="0" collapsed="false">
      <c r="B2376" s="19" t="s">
        <v>25055</v>
      </c>
      <c r="C2376" s="20" t="n">
        <f aca="false">ROUND(3.1/FX,2)</f>
        <v>0.43</v>
      </c>
      <c r="D2376" s="21" t="s">
        <v>724</v>
      </c>
      <c r="E2376" s="21" t="s">
        <v>25049</v>
      </c>
      <c r="F2376" s="21" t="s">
        <v>938</v>
      </c>
    </row>
    <row r="2377" customFormat="false" ht="15" hidden="false" customHeight="false" outlineLevel="0" collapsed="false">
      <c r="B2377" s="19" t="s">
        <v>25056</v>
      </c>
      <c r="C2377" s="20" t="n">
        <f aca="false">ROUND(3.44/FX,2)</f>
        <v>0.48</v>
      </c>
      <c r="D2377" s="21" t="s">
        <v>724</v>
      </c>
      <c r="E2377" s="21" t="s">
        <v>25049</v>
      </c>
      <c r="F2377" s="21" t="s">
        <v>1048</v>
      </c>
    </row>
    <row r="2378" customFormat="false" ht="15" hidden="false" customHeight="false" outlineLevel="0" collapsed="false">
      <c r="B2378" s="19" t="s">
        <v>25057</v>
      </c>
      <c r="C2378" s="20" t="n">
        <f aca="false">ROUND(4.3/FX,2)</f>
        <v>0.6</v>
      </c>
      <c r="D2378" s="21" t="s">
        <v>724</v>
      </c>
      <c r="E2378" s="21" t="s">
        <v>25049</v>
      </c>
      <c r="F2378" s="21" t="s">
        <v>1323</v>
      </c>
    </row>
    <row r="2379" customFormat="false" ht="15" hidden="false" customHeight="false" outlineLevel="0" collapsed="false">
      <c r="B2379" s="19" t="s">
        <v>25058</v>
      </c>
      <c r="C2379" s="20" t="n">
        <f aca="false">ROUND(4.47/FX,2)</f>
        <v>0.62</v>
      </c>
      <c r="D2379" s="21" t="s">
        <v>724</v>
      </c>
      <c r="E2379" s="21" t="s">
        <v>25049</v>
      </c>
      <c r="F2379" s="21" t="s">
        <v>1378</v>
      </c>
    </row>
    <row r="2380" customFormat="false" ht="15" hidden="false" customHeight="false" outlineLevel="0" collapsed="false">
      <c r="B2380" s="19" t="s">
        <v>25059</v>
      </c>
      <c r="C2380" s="20" t="n">
        <f aca="false">ROUND(4.64/FX,2)</f>
        <v>0.64</v>
      </c>
      <c r="D2380" s="21" t="s">
        <v>724</v>
      </c>
      <c r="E2380" s="21" t="s">
        <v>25049</v>
      </c>
      <c r="F2380" s="21" t="s">
        <v>1433</v>
      </c>
    </row>
    <row r="2381" customFormat="false" ht="15" hidden="false" customHeight="false" outlineLevel="0" collapsed="false">
      <c r="B2381" s="19" t="s">
        <v>25060</v>
      </c>
      <c r="C2381" s="20" t="n">
        <f aca="false">ROUND(4.82/FX,2)</f>
        <v>0.67</v>
      </c>
      <c r="D2381" s="21" t="s">
        <v>724</v>
      </c>
      <c r="E2381" s="21" t="s">
        <v>25049</v>
      </c>
      <c r="F2381" s="21" t="s">
        <v>1470</v>
      </c>
    </row>
    <row r="2382" customFormat="false" ht="15" hidden="false" customHeight="false" outlineLevel="0" collapsed="false">
      <c r="B2382" s="19" t="s">
        <v>25061</v>
      </c>
      <c r="C2382" s="20" t="n">
        <f aca="false">ROUND(4.9/FX,2)</f>
        <v>0.68</v>
      </c>
      <c r="D2382" s="21" t="s">
        <v>724</v>
      </c>
      <c r="E2382" s="21" t="s">
        <v>25049</v>
      </c>
      <c r="F2382" s="21" t="s">
        <v>4197</v>
      </c>
    </row>
    <row r="2383" customFormat="false" ht="15" hidden="false" customHeight="false" outlineLevel="0" collapsed="false">
      <c r="B2383" s="19" t="s">
        <v>25062</v>
      </c>
      <c r="C2383" s="20" t="n">
        <f aca="false">ROUND(5.16/FX,2)</f>
        <v>0.72</v>
      </c>
      <c r="D2383" s="21" t="s">
        <v>724</v>
      </c>
      <c r="E2383" s="21" t="s">
        <v>25049</v>
      </c>
      <c r="F2383" s="21" t="s">
        <v>1520</v>
      </c>
    </row>
    <row r="2384" customFormat="false" ht="15" hidden="false" customHeight="false" outlineLevel="0" collapsed="false">
      <c r="B2384" s="19" t="s">
        <v>25063</v>
      </c>
      <c r="C2384" s="20" t="n">
        <f aca="false">ROUND(5.33/FX,2)</f>
        <v>0.74</v>
      </c>
      <c r="D2384" s="21" t="s">
        <v>724</v>
      </c>
      <c r="E2384" s="21" t="s">
        <v>25049</v>
      </c>
      <c r="F2384" s="21" t="s">
        <v>1545</v>
      </c>
    </row>
    <row r="2385" customFormat="false" ht="15" hidden="false" customHeight="false" outlineLevel="0" collapsed="false">
      <c r="B2385" s="19" t="s">
        <v>25064</v>
      </c>
      <c r="C2385" s="20" t="n">
        <f aca="false">ROUND(5.38/FX,2)</f>
        <v>0.75</v>
      </c>
      <c r="D2385" s="21" t="s">
        <v>724</v>
      </c>
      <c r="E2385" s="21" t="s">
        <v>25049</v>
      </c>
      <c r="F2385" s="21" t="s">
        <v>25065</v>
      </c>
    </row>
    <row r="2386" customFormat="false" ht="15" hidden="false" customHeight="false" outlineLevel="0" collapsed="false">
      <c r="B2386" s="19" t="s">
        <v>25066</v>
      </c>
      <c r="C2386" s="20" t="n">
        <f aca="false">ROUND(5.5/FX,2)</f>
        <v>0.76</v>
      </c>
      <c r="D2386" s="21" t="s">
        <v>724</v>
      </c>
      <c r="E2386" s="21" t="s">
        <v>25049</v>
      </c>
      <c r="F2386" s="21" t="s">
        <v>1570</v>
      </c>
    </row>
    <row r="2387" customFormat="false" ht="15" hidden="false" customHeight="false" outlineLevel="0" collapsed="false">
      <c r="B2387" s="19" t="s">
        <v>25067</v>
      </c>
      <c r="C2387" s="20" t="n">
        <f aca="false">ROUND(5.68/FX,2)</f>
        <v>0.79</v>
      </c>
      <c r="D2387" s="21" t="s">
        <v>724</v>
      </c>
      <c r="E2387" s="21" t="s">
        <v>25049</v>
      </c>
      <c r="F2387" s="21" t="s">
        <v>1595</v>
      </c>
    </row>
    <row r="2388" customFormat="false" ht="15" hidden="false" customHeight="false" outlineLevel="0" collapsed="false">
      <c r="B2388" s="19" t="s">
        <v>25068</v>
      </c>
      <c r="C2388" s="20" t="n">
        <f aca="false">ROUND(5.76/FX,2)</f>
        <v>0.8</v>
      </c>
      <c r="D2388" s="21" t="s">
        <v>724</v>
      </c>
      <c r="E2388" s="21" t="s">
        <v>25049</v>
      </c>
      <c r="F2388" s="21" t="s">
        <v>4975</v>
      </c>
    </row>
    <row r="2389" customFormat="false" ht="15" hidden="false" customHeight="false" outlineLevel="0" collapsed="false">
      <c r="B2389" s="19" t="s">
        <v>25069</v>
      </c>
      <c r="C2389" s="20" t="n">
        <f aca="false">ROUND(5.85/FX,2)</f>
        <v>0.81</v>
      </c>
      <c r="D2389" s="21" t="s">
        <v>724</v>
      </c>
      <c r="E2389" s="21" t="s">
        <v>25049</v>
      </c>
      <c r="F2389" s="21" t="s">
        <v>1615</v>
      </c>
    </row>
    <row r="2390" customFormat="false" ht="15" hidden="false" customHeight="false" outlineLevel="0" collapsed="false">
      <c r="B2390" s="19" t="s">
        <v>25070</v>
      </c>
      <c r="C2390" s="20" t="n">
        <f aca="false">ROUND(6.02/FX,2)</f>
        <v>0.84</v>
      </c>
      <c r="D2390" s="21" t="s">
        <v>724</v>
      </c>
      <c r="E2390" s="21" t="s">
        <v>25049</v>
      </c>
      <c r="F2390" s="21" t="s">
        <v>1635</v>
      </c>
    </row>
    <row r="2391" customFormat="false" ht="15" hidden="false" customHeight="false" outlineLevel="0" collapsed="false">
      <c r="B2391" s="19" t="s">
        <v>25071</v>
      </c>
      <c r="C2391" s="20" t="n">
        <f aca="false">ROUND(6.19/FX,2)</f>
        <v>0.86</v>
      </c>
      <c r="D2391" s="21" t="s">
        <v>724</v>
      </c>
      <c r="E2391" s="21" t="s">
        <v>25049</v>
      </c>
      <c r="F2391" s="21" t="s">
        <v>1655</v>
      </c>
    </row>
    <row r="2392" customFormat="false" ht="15" hidden="false" customHeight="false" outlineLevel="0" collapsed="false">
      <c r="B2392" s="19" t="s">
        <v>25072</v>
      </c>
      <c r="C2392" s="20" t="n">
        <f aca="false">ROUND(6.34/FX,2)</f>
        <v>0.88</v>
      </c>
      <c r="D2392" s="21" t="s">
        <v>724</v>
      </c>
      <c r="E2392" s="21" t="s">
        <v>25049</v>
      </c>
      <c r="F2392" s="21" t="s">
        <v>1670</v>
      </c>
    </row>
    <row r="2393" customFormat="false" ht="15" hidden="false" customHeight="false" outlineLevel="0" collapsed="false">
      <c r="B2393" s="19" t="s">
        <v>25073</v>
      </c>
      <c r="C2393" s="20" t="n">
        <f aca="false">ROUND(6.54/FX,2)</f>
        <v>0.91</v>
      </c>
      <c r="D2393" s="21" t="s">
        <v>724</v>
      </c>
      <c r="E2393" s="21" t="s">
        <v>25049</v>
      </c>
      <c r="F2393" s="21" t="s">
        <v>1685</v>
      </c>
    </row>
    <row r="2394" customFormat="false" ht="15" hidden="false" customHeight="false" outlineLevel="0" collapsed="false">
      <c r="B2394" s="19" t="s">
        <v>25074</v>
      </c>
      <c r="C2394" s="20" t="n">
        <f aca="false">ROUND(6.62/FX,2)</f>
        <v>0.92</v>
      </c>
      <c r="D2394" s="21" t="s">
        <v>724</v>
      </c>
      <c r="E2394" s="21" t="s">
        <v>25049</v>
      </c>
      <c r="F2394" s="21" t="s">
        <v>5058</v>
      </c>
    </row>
    <row r="2395" customFormat="false" ht="15" hidden="false" customHeight="false" outlineLevel="0" collapsed="false">
      <c r="B2395" s="19" t="s">
        <v>25075</v>
      </c>
      <c r="C2395" s="20" t="n">
        <f aca="false">ROUND(6.71/FX,2)</f>
        <v>0.93</v>
      </c>
      <c r="D2395" s="21" t="s">
        <v>724</v>
      </c>
      <c r="E2395" s="21" t="s">
        <v>25049</v>
      </c>
      <c r="F2395" s="21" t="s">
        <v>1982</v>
      </c>
    </row>
    <row r="2396" customFormat="false" ht="15" hidden="false" customHeight="false" outlineLevel="0" collapsed="false">
      <c r="B2396" s="19" t="s">
        <v>25076</v>
      </c>
      <c r="C2396" s="20" t="n">
        <f aca="false">ROUND(6.88/FX,2)</f>
        <v>0.96</v>
      </c>
      <c r="D2396" s="21" t="s">
        <v>724</v>
      </c>
      <c r="E2396" s="21" t="s">
        <v>25049</v>
      </c>
      <c r="F2396" s="21" t="s">
        <v>2002</v>
      </c>
    </row>
    <row r="2397" customFormat="false" ht="15" hidden="false" customHeight="false" outlineLevel="0" collapsed="false">
      <c r="B2397" s="19" t="s">
        <v>25077</v>
      </c>
      <c r="C2397" s="20" t="n">
        <f aca="false">ROUND(6.97/FX,2)</f>
        <v>0.97</v>
      </c>
      <c r="D2397" s="21" t="s">
        <v>724</v>
      </c>
      <c r="E2397" s="21" t="s">
        <v>25049</v>
      </c>
      <c r="F2397" s="21" t="s">
        <v>3366</v>
      </c>
    </row>
    <row r="2398" customFormat="false" ht="15" hidden="false" customHeight="false" outlineLevel="0" collapsed="false">
      <c r="B2398" s="19" t="s">
        <v>25078</v>
      </c>
      <c r="C2398" s="20" t="n">
        <f aca="false">ROUND(7.05/FX,2)</f>
        <v>0.98</v>
      </c>
      <c r="D2398" s="21" t="s">
        <v>724</v>
      </c>
      <c r="E2398" s="21" t="s">
        <v>25049</v>
      </c>
      <c r="F2398" s="21" t="s">
        <v>2017</v>
      </c>
    </row>
    <row r="2399" customFormat="false" ht="15" hidden="false" customHeight="false" outlineLevel="0" collapsed="false">
      <c r="B2399" s="19" t="s">
        <v>25079</v>
      </c>
      <c r="C2399" s="20" t="n">
        <f aca="false">ROUND(7.14/FX,2)</f>
        <v>0.99</v>
      </c>
      <c r="D2399" s="21" t="s">
        <v>724</v>
      </c>
      <c r="E2399" s="21" t="s">
        <v>25049</v>
      </c>
      <c r="F2399" s="21" t="s">
        <v>5128</v>
      </c>
    </row>
    <row r="2400" customFormat="false" ht="15" hidden="false" customHeight="false" outlineLevel="0" collapsed="false">
      <c r="B2400" s="19" t="s">
        <v>25080</v>
      </c>
      <c r="C2400" s="20" t="n">
        <f aca="false">ROUND(7.22/FX,2)</f>
        <v>1</v>
      </c>
      <c r="D2400" s="21" t="s">
        <v>724</v>
      </c>
      <c r="E2400" s="21" t="s">
        <v>25049</v>
      </c>
      <c r="F2400" s="21" t="s">
        <v>2022</v>
      </c>
    </row>
    <row r="2401" customFormat="false" ht="15" hidden="false" customHeight="false" outlineLevel="0" collapsed="false">
      <c r="B2401" s="19" t="s">
        <v>25081</v>
      </c>
      <c r="C2401" s="20" t="n">
        <f aca="false">ROUND(7.4/FX,2)</f>
        <v>1.03</v>
      </c>
      <c r="D2401" s="21" t="s">
        <v>724</v>
      </c>
      <c r="E2401" s="21" t="s">
        <v>25049</v>
      </c>
      <c r="F2401" s="21" t="s">
        <v>2037</v>
      </c>
    </row>
    <row r="2402" customFormat="false" ht="15" hidden="false" customHeight="false" outlineLevel="0" collapsed="false">
      <c r="B2402" s="19" t="s">
        <v>25082</v>
      </c>
      <c r="C2402" s="20" t="n">
        <f aca="false">ROUND(7.48/FX,2)</f>
        <v>1.04</v>
      </c>
      <c r="D2402" s="21" t="s">
        <v>724</v>
      </c>
      <c r="E2402" s="21" t="s">
        <v>25049</v>
      </c>
      <c r="F2402" s="21" t="s">
        <v>3444</v>
      </c>
    </row>
    <row r="2403" customFormat="false" ht="15" hidden="false" customHeight="false" outlineLevel="0" collapsed="false">
      <c r="B2403" s="19" t="s">
        <v>25083</v>
      </c>
      <c r="C2403" s="20" t="n">
        <f aca="false">ROUND(7.57/FX,2)</f>
        <v>1.05</v>
      </c>
      <c r="D2403" s="21" t="s">
        <v>724</v>
      </c>
      <c r="E2403" s="21" t="s">
        <v>25049</v>
      </c>
      <c r="F2403" s="21" t="s">
        <v>2052</v>
      </c>
    </row>
    <row r="2404" customFormat="false" ht="15" hidden="false" customHeight="false" outlineLevel="0" collapsed="false">
      <c r="B2404" s="19" t="s">
        <v>25084</v>
      </c>
      <c r="C2404" s="20" t="n">
        <f aca="false">ROUND(7.59/FX,2)</f>
        <v>1.05</v>
      </c>
      <c r="D2404" s="21" t="s">
        <v>724</v>
      </c>
      <c r="E2404" s="21" t="s">
        <v>25049</v>
      </c>
      <c r="F2404" s="21" t="s">
        <v>3459</v>
      </c>
    </row>
    <row r="2405" customFormat="false" ht="15" hidden="false" customHeight="false" outlineLevel="0" collapsed="false">
      <c r="B2405" s="19" t="s">
        <v>25085</v>
      </c>
      <c r="C2405" s="20" t="n">
        <f aca="false">ROUND(7.79/FX,2)</f>
        <v>1.08</v>
      </c>
      <c r="D2405" s="21" t="s">
        <v>724</v>
      </c>
      <c r="E2405" s="21" t="s">
        <v>25049</v>
      </c>
      <c r="F2405" s="21" t="s">
        <v>2067</v>
      </c>
    </row>
    <row r="2406" customFormat="false" ht="15" hidden="false" customHeight="false" outlineLevel="0" collapsed="false">
      <c r="B2406" s="19" t="s">
        <v>25086</v>
      </c>
      <c r="C2406" s="20" t="n">
        <f aca="false">ROUND(7.91/FX,2)</f>
        <v>1.1</v>
      </c>
      <c r="D2406" s="21" t="s">
        <v>724</v>
      </c>
      <c r="E2406" s="21" t="s">
        <v>25049</v>
      </c>
      <c r="F2406" s="21" t="s">
        <v>2082</v>
      </c>
    </row>
    <row r="2407" customFormat="false" ht="15" hidden="false" customHeight="false" outlineLevel="0" collapsed="false">
      <c r="B2407" s="19" t="s">
        <v>25087</v>
      </c>
      <c r="C2407" s="20" t="n">
        <f aca="false">ROUND(8.08/FX,2)</f>
        <v>1.12</v>
      </c>
      <c r="D2407" s="21" t="s">
        <v>724</v>
      </c>
      <c r="E2407" s="21" t="s">
        <v>25049</v>
      </c>
      <c r="F2407" s="21" t="s">
        <v>2097</v>
      </c>
    </row>
    <row r="2408" customFormat="false" ht="15" hidden="false" customHeight="false" outlineLevel="0" collapsed="false">
      <c r="B2408" s="19" t="s">
        <v>25088</v>
      </c>
      <c r="C2408" s="20" t="n">
        <f aca="false">ROUND(8.39/FX,2)</f>
        <v>1.17</v>
      </c>
      <c r="D2408" s="21" t="s">
        <v>724</v>
      </c>
      <c r="E2408" s="21" t="s">
        <v>25049</v>
      </c>
      <c r="F2408" s="21" t="s">
        <v>2122</v>
      </c>
    </row>
    <row r="2409" customFormat="false" ht="15" hidden="false" customHeight="false" outlineLevel="0" collapsed="false">
      <c r="B2409" s="19" t="s">
        <v>25089</v>
      </c>
      <c r="C2409" s="20" t="n">
        <f aca="false">ROUND(8.43/FX,2)</f>
        <v>1.17</v>
      </c>
      <c r="D2409" s="21" t="s">
        <v>724</v>
      </c>
      <c r="E2409" s="21" t="s">
        <v>25049</v>
      </c>
      <c r="F2409" s="21" t="s">
        <v>2127</v>
      </c>
    </row>
    <row r="2410" customFormat="false" ht="15" hidden="false" customHeight="false" outlineLevel="0" collapsed="false">
      <c r="B2410" s="19" t="s">
        <v>25090</v>
      </c>
      <c r="C2410" s="20" t="n">
        <f aca="false">ROUND(8.6/FX,2)</f>
        <v>1.19</v>
      </c>
      <c r="D2410" s="21" t="s">
        <v>724</v>
      </c>
      <c r="E2410" s="21" t="s">
        <v>25049</v>
      </c>
      <c r="F2410" s="21" t="s">
        <v>2142</v>
      </c>
    </row>
    <row r="2411" customFormat="false" ht="15" hidden="false" customHeight="false" outlineLevel="0" collapsed="false">
      <c r="B2411" s="19" t="s">
        <v>25091</v>
      </c>
      <c r="C2411" s="20" t="n">
        <f aca="false">ROUND(8.65/FX,2)</f>
        <v>1.2</v>
      </c>
      <c r="D2411" s="21" t="s">
        <v>724</v>
      </c>
      <c r="E2411" s="21" t="s">
        <v>25049</v>
      </c>
      <c r="F2411" s="21" t="s">
        <v>25092</v>
      </c>
    </row>
    <row r="2412" customFormat="false" ht="15" hidden="false" customHeight="false" outlineLevel="0" collapsed="false">
      <c r="B2412" s="19" t="s">
        <v>25093</v>
      </c>
      <c r="C2412" s="20" t="n">
        <f aca="false">ROUND(8.94/FX,2)</f>
        <v>1.24</v>
      </c>
      <c r="D2412" s="21" t="s">
        <v>724</v>
      </c>
      <c r="E2412" s="21" t="s">
        <v>25049</v>
      </c>
      <c r="F2412" s="21" t="s">
        <v>2162</v>
      </c>
    </row>
    <row r="2413" customFormat="false" ht="15" hidden="false" customHeight="false" outlineLevel="0" collapsed="false">
      <c r="B2413" s="19" t="s">
        <v>25094</v>
      </c>
      <c r="C2413" s="20" t="n">
        <f aca="false">ROUND(9.11/FX,2)</f>
        <v>1.27</v>
      </c>
      <c r="D2413" s="21" t="s">
        <v>724</v>
      </c>
      <c r="E2413" s="21" t="s">
        <v>25049</v>
      </c>
      <c r="F2413" s="21" t="s">
        <v>2177</v>
      </c>
    </row>
    <row r="2414" customFormat="false" ht="15" hidden="false" customHeight="false" outlineLevel="0" collapsed="false">
      <c r="B2414" s="19" t="s">
        <v>25095</v>
      </c>
      <c r="C2414" s="20" t="n">
        <f aca="false">ROUND(9.29/FX,2)</f>
        <v>1.29</v>
      </c>
      <c r="D2414" s="21" t="s">
        <v>724</v>
      </c>
      <c r="E2414" s="21" t="s">
        <v>25049</v>
      </c>
      <c r="F2414" s="21" t="s">
        <v>2182</v>
      </c>
    </row>
    <row r="2415" customFormat="false" ht="15" hidden="false" customHeight="false" outlineLevel="0" collapsed="false">
      <c r="B2415" s="19" t="s">
        <v>25096</v>
      </c>
      <c r="C2415" s="20" t="n">
        <f aca="false">ROUND(9.46/FX,2)</f>
        <v>1.31</v>
      </c>
      <c r="D2415" s="21" t="s">
        <v>724</v>
      </c>
      <c r="E2415" s="21" t="s">
        <v>25049</v>
      </c>
      <c r="F2415" s="21" t="s">
        <v>2187</v>
      </c>
    </row>
    <row r="2416" customFormat="false" ht="15" hidden="false" customHeight="false" outlineLevel="0" collapsed="false">
      <c r="B2416" s="19" t="s">
        <v>25097</v>
      </c>
      <c r="C2416" s="20" t="n">
        <f aca="false">ROUND(9.63/FX,2)</f>
        <v>1.34</v>
      </c>
      <c r="D2416" s="21" t="s">
        <v>724</v>
      </c>
      <c r="E2416" s="21" t="s">
        <v>25049</v>
      </c>
      <c r="F2416" s="21" t="s">
        <v>11740</v>
      </c>
    </row>
    <row r="2417" customFormat="false" ht="15" hidden="false" customHeight="false" outlineLevel="0" collapsed="false">
      <c r="B2417" s="19" t="s">
        <v>25098</v>
      </c>
      <c r="C2417" s="20" t="n">
        <f aca="false">ROUND(9.8/FX,2)</f>
        <v>1.36</v>
      </c>
      <c r="D2417" s="21" t="s">
        <v>724</v>
      </c>
      <c r="E2417" s="21" t="s">
        <v>25049</v>
      </c>
      <c r="F2417" s="21" t="s">
        <v>2212</v>
      </c>
    </row>
    <row r="2418" customFormat="false" ht="15" hidden="false" customHeight="false" outlineLevel="0" collapsed="false">
      <c r="B2418" s="19" t="s">
        <v>25099</v>
      </c>
      <c r="C2418" s="20" t="n">
        <f aca="false">ROUND(10.32/FX,2)</f>
        <v>1.43</v>
      </c>
      <c r="D2418" s="21" t="s">
        <v>724</v>
      </c>
      <c r="E2418" s="21" t="s">
        <v>25049</v>
      </c>
      <c r="F2418" s="21" t="s">
        <v>2227</v>
      </c>
    </row>
    <row r="2419" customFormat="false" ht="15" hidden="false" customHeight="false" outlineLevel="0" collapsed="false">
      <c r="B2419" s="19" t="s">
        <v>25100</v>
      </c>
      <c r="C2419" s="20" t="n">
        <f aca="false">ROUND(10.66/FX,2)</f>
        <v>1.48</v>
      </c>
      <c r="D2419" s="21" t="s">
        <v>724</v>
      </c>
      <c r="E2419" s="21" t="s">
        <v>25049</v>
      </c>
      <c r="F2419" s="21" t="s">
        <v>5448</v>
      </c>
    </row>
    <row r="2420" customFormat="false" ht="15" hidden="false" customHeight="false" outlineLevel="0" collapsed="false">
      <c r="B2420" s="19" t="s">
        <v>25101</v>
      </c>
      <c r="C2420" s="20" t="n">
        <f aca="false">ROUND(11.01/FX,2)</f>
        <v>1.53</v>
      </c>
      <c r="D2420" s="21" t="s">
        <v>724</v>
      </c>
      <c r="E2420" s="21" t="s">
        <v>25049</v>
      </c>
      <c r="F2420" s="21" t="s">
        <v>2279</v>
      </c>
    </row>
    <row r="2421" customFormat="false" ht="15" hidden="false" customHeight="false" outlineLevel="0" collapsed="false">
      <c r="B2421" s="19" t="s">
        <v>25102</v>
      </c>
      <c r="C2421" s="20" t="n">
        <f aca="false">ROUND(11.18/FX,2)</f>
        <v>1.55</v>
      </c>
      <c r="D2421" s="21" t="s">
        <v>724</v>
      </c>
      <c r="E2421" s="21" t="s">
        <v>25049</v>
      </c>
      <c r="F2421" s="21" t="s">
        <v>2297</v>
      </c>
    </row>
    <row r="2422" customFormat="false" ht="15" hidden="false" customHeight="false" outlineLevel="0" collapsed="false">
      <c r="B2422" s="19" t="s">
        <v>25103</v>
      </c>
      <c r="C2422" s="20" t="n">
        <f aca="false">ROUND(12.04/FX,2)</f>
        <v>1.67</v>
      </c>
      <c r="D2422" s="21" t="s">
        <v>724</v>
      </c>
      <c r="E2422" s="21" t="s">
        <v>25049</v>
      </c>
      <c r="F2422" s="21" t="s">
        <v>2351</v>
      </c>
    </row>
    <row r="2423" customFormat="false" ht="15" hidden="false" customHeight="false" outlineLevel="0" collapsed="false">
      <c r="B2423" s="19" t="s">
        <v>25104</v>
      </c>
      <c r="C2423" s="20" t="n">
        <f aca="false">ROUND(12.9/FX,2)</f>
        <v>1.79</v>
      </c>
      <c r="D2423" s="21" t="s">
        <v>724</v>
      </c>
      <c r="E2423" s="21" t="s">
        <v>25049</v>
      </c>
      <c r="F2423" s="21" t="s">
        <v>2400</v>
      </c>
    </row>
    <row r="2424" customFormat="false" ht="15" hidden="false" customHeight="false" outlineLevel="0" collapsed="false">
      <c r="B2424" s="19" t="s">
        <v>25105</v>
      </c>
      <c r="C2424" s="20" t="n">
        <f aca="false">ROUND(2.67/FX,2)</f>
        <v>0.37</v>
      </c>
      <c r="D2424" s="21" t="s">
        <v>724</v>
      </c>
      <c r="E2424" s="21" t="s">
        <v>25049</v>
      </c>
      <c r="F2424" s="21" t="s">
        <v>3061</v>
      </c>
    </row>
    <row r="2425" customFormat="false" ht="15" hidden="false" customHeight="false" outlineLevel="0" collapsed="false">
      <c r="B2425" s="19" t="s">
        <v>25106</v>
      </c>
      <c r="C2425" s="20" t="n">
        <f aca="false">ROUND(13.76/FX,2)</f>
        <v>1.91</v>
      </c>
      <c r="D2425" s="21" t="s">
        <v>724</v>
      </c>
      <c r="E2425" s="21" t="s">
        <v>25049</v>
      </c>
      <c r="F2425" s="21" t="s">
        <v>2440</v>
      </c>
    </row>
    <row r="2426" customFormat="false" ht="15" hidden="false" customHeight="false" outlineLevel="0" collapsed="false">
      <c r="B2426" s="19" t="s">
        <v>25107</v>
      </c>
      <c r="C2426" s="20" t="n">
        <f aca="false">ROUND(15.2/FX,2)</f>
        <v>2.11</v>
      </c>
      <c r="D2426" s="21" t="s">
        <v>6549</v>
      </c>
      <c r="E2426" s="21" t="s">
        <v>25049</v>
      </c>
      <c r="F2426" s="21" t="s">
        <v>1733</v>
      </c>
    </row>
    <row r="2427" customFormat="false" ht="15" hidden="false" customHeight="false" outlineLevel="0" collapsed="false">
      <c r="B2427" s="19" t="s">
        <v>25108</v>
      </c>
      <c r="C2427" s="20" t="n">
        <f aca="false">ROUND(18.24/FX,2)</f>
        <v>2.53</v>
      </c>
      <c r="D2427" s="21" t="s">
        <v>6549</v>
      </c>
      <c r="E2427" s="21" t="s">
        <v>25049</v>
      </c>
      <c r="F2427" s="21" t="s">
        <v>3253</v>
      </c>
    </row>
    <row r="2428" customFormat="false" ht="15" hidden="false" customHeight="false" outlineLevel="0" collapsed="false">
      <c r="B2428" s="19" t="s">
        <v>25109</v>
      </c>
      <c r="C2428" s="20" t="n">
        <f aca="false">ROUND(2.58/FX,2)</f>
        <v>0.36</v>
      </c>
      <c r="D2428" s="21" t="s">
        <v>6549</v>
      </c>
      <c r="E2428" s="21" t="s">
        <v>25049</v>
      </c>
      <c r="F2428" s="21" t="s">
        <v>2871</v>
      </c>
    </row>
    <row r="2429" customFormat="false" ht="15" hidden="false" customHeight="false" outlineLevel="0" collapsed="false">
      <c r="B2429" s="19" t="s">
        <v>25110</v>
      </c>
      <c r="C2429" s="20" t="n">
        <f aca="false">ROUND(3.04/FX,2)</f>
        <v>0.42</v>
      </c>
      <c r="D2429" s="21" t="s">
        <v>6549</v>
      </c>
      <c r="E2429" s="21" t="s">
        <v>25049</v>
      </c>
      <c r="F2429" s="21" t="s">
        <v>1048</v>
      </c>
    </row>
    <row r="2430" customFormat="false" ht="15" hidden="false" customHeight="false" outlineLevel="0" collapsed="false">
      <c r="B2430" s="19" t="s">
        <v>25111</v>
      </c>
      <c r="C2430" s="20" t="n">
        <f aca="false">ROUND(3.34/FX,2)</f>
        <v>0.46</v>
      </c>
      <c r="D2430" s="21" t="s">
        <v>6549</v>
      </c>
      <c r="E2430" s="21" t="s">
        <v>25049</v>
      </c>
      <c r="F2430" s="21" t="s">
        <v>1158</v>
      </c>
    </row>
    <row r="2431" customFormat="false" ht="15" hidden="false" customHeight="false" outlineLevel="0" collapsed="false">
      <c r="B2431" s="19" t="s">
        <v>25112</v>
      </c>
      <c r="C2431" s="20" t="n">
        <f aca="false">ROUND(3.8/FX,2)</f>
        <v>0.53</v>
      </c>
      <c r="D2431" s="21" t="s">
        <v>6549</v>
      </c>
      <c r="E2431" s="21" t="s">
        <v>25049</v>
      </c>
      <c r="F2431" s="21" t="s">
        <v>1323</v>
      </c>
    </row>
    <row r="2432" customFormat="false" ht="15" hidden="false" customHeight="false" outlineLevel="0" collapsed="false">
      <c r="B2432" s="19" t="s">
        <v>25113</v>
      </c>
      <c r="C2432" s="20" t="n">
        <f aca="false">ROUND(3.95/FX,2)</f>
        <v>0.55</v>
      </c>
      <c r="D2432" s="21" t="s">
        <v>6549</v>
      </c>
      <c r="E2432" s="21" t="s">
        <v>25049</v>
      </c>
      <c r="F2432" s="21" t="s">
        <v>1378</v>
      </c>
    </row>
    <row r="2433" customFormat="false" ht="15" hidden="false" customHeight="false" outlineLevel="0" collapsed="false">
      <c r="B2433" s="19" t="s">
        <v>25114</v>
      </c>
      <c r="C2433" s="20" t="n">
        <f aca="false">ROUND(4.1/FX,2)</f>
        <v>0.57</v>
      </c>
      <c r="D2433" s="21" t="s">
        <v>6549</v>
      </c>
      <c r="E2433" s="21" t="s">
        <v>25049</v>
      </c>
      <c r="F2433" s="21" t="s">
        <v>1433</v>
      </c>
    </row>
    <row r="2434" customFormat="false" ht="15" hidden="false" customHeight="false" outlineLevel="0" collapsed="false">
      <c r="B2434" s="19" t="s">
        <v>25115</v>
      </c>
      <c r="C2434" s="20" t="n">
        <f aca="false">ROUND(4.56/FX,2)</f>
        <v>0.63</v>
      </c>
      <c r="D2434" s="21" t="s">
        <v>6549</v>
      </c>
      <c r="E2434" s="21" t="s">
        <v>25049</v>
      </c>
      <c r="F2434" s="21" t="s">
        <v>1520</v>
      </c>
    </row>
    <row r="2435" customFormat="false" ht="15" hidden="false" customHeight="false" outlineLevel="0" collapsed="false">
      <c r="B2435" s="19" t="s">
        <v>25116</v>
      </c>
      <c r="C2435" s="20" t="n">
        <f aca="false">ROUND(5.02/FX,2)</f>
        <v>0.7</v>
      </c>
      <c r="D2435" s="21" t="s">
        <v>6549</v>
      </c>
      <c r="E2435" s="21" t="s">
        <v>25049</v>
      </c>
      <c r="F2435" s="21" t="s">
        <v>1595</v>
      </c>
    </row>
    <row r="2436" customFormat="false" ht="15" hidden="false" customHeight="false" outlineLevel="0" collapsed="false">
      <c r="B2436" s="19" t="s">
        <v>25117</v>
      </c>
      <c r="C2436" s="20" t="n">
        <f aca="false">ROUND(5.17/FX,2)</f>
        <v>0.72</v>
      </c>
      <c r="D2436" s="21" t="s">
        <v>6549</v>
      </c>
      <c r="E2436" s="21" t="s">
        <v>25049</v>
      </c>
      <c r="F2436" s="21" t="s">
        <v>1615</v>
      </c>
    </row>
    <row r="2437" customFormat="false" ht="15" hidden="false" customHeight="false" outlineLevel="0" collapsed="false">
      <c r="B2437" s="19" t="s">
        <v>25118</v>
      </c>
      <c r="C2437" s="20" t="n">
        <f aca="false">ROUND(5.32/FX,2)</f>
        <v>0.74</v>
      </c>
      <c r="D2437" s="21" t="s">
        <v>6549</v>
      </c>
      <c r="E2437" s="21" t="s">
        <v>25049</v>
      </c>
      <c r="F2437" s="21" t="s">
        <v>1635</v>
      </c>
    </row>
    <row r="2438" customFormat="false" ht="15" hidden="false" customHeight="false" outlineLevel="0" collapsed="false">
      <c r="B2438" s="19" t="s">
        <v>25119</v>
      </c>
      <c r="C2438" s="20" t="n">
        <f aca="false">ROUND(5.78/FX,2)</f>
        <v>0.8</v>
      </c>
      <c r="D2438" s="21" t="s">
        <v>6549</v>
      </c>
      <c r="E2438" s="21" t="s">
        <v>25049</v>
      </c>
      <c r="F2438" s="21" t="s">
        <v>1685</v>
      </c>
    </row>
    <row r="2439" customFormat="false" ht="15" hidden="false" customHeight="false" outlineLevel="0" collapsed="false">
      <c r="B2439" s="19" t="s">
        <v>25120</v>
      </c>
      <c r="C2439" s="20" t="n">
        <f aca="false">ROUND(6.08/FX,2)</f>
        <v>0.84</v>
      </c>
      <c r="D2439" s="21" t="s">
        <v>6549</v>
      </c>
      <c r="E2439" s="21" t="s">
        <v>25049</v>
      </c>
      <c r="F2439" s="21" t="s">
        <v>2002</v>
      </c>
    </row>
    <row r="2440" customFormat="false" ht="15" hidden="false" customHeight="false" outlineLevel="0" collapsed="false">
      <c r="B2440" s="19" t="s">
        <v>25121</v>
      </c>
      <c r="C2440" s="20" t="n">
        <f aca="false">ROUND(6.23/FX,2)</f>
        <v>0.87</v>
      </c>
      <c r="D2440" s="21" t="s">
        <v>6549</v>
      </c>
      <c r="E2440" s="21" t="s">
        <v>25049</v>
      </c>
      <c r="F2440" s="21" t="s">
        <v>2017</v>
      </c>
    </row>
    <row r="2441" customFormat="false" ht="15" hidden="false" customHeight="false" outlineLevel="0" collapsed="false">
      <c r="B2441" s="19" t="s">
        <v>25122</v>
      </c>
      <c r="C2441" s="20" t="n">
        <f aca="false">ROUND(6.38/FX,2)</f>
        <v>0.89</v>
      </c>
      <c r="D2441" s="21" t="s">
        <v>6549</v>
      </c>
      <c r="E2441" s="21" t="s">
        <v>25049</v>
      </c>
      <c r="F2441" s="21" t="s">
        <v>2022</v>
      </c>
    </row>
    <row r="2442" customFormat="false" ht="15" hidden="false" customHeight="false" outlineLevel="0" collapsed="false">
      <c r="B2442" s="19" t="s">
        <v>25123</v>
      </c>
      <c r="C2442" s="20" t="n">
        <f aca="false">ROUND(6.69/FX,2)</f>
        <v>0.93</v>
      </c>
      <c r="D2442" s="21" t="s">
        <v>6549</v>
      </c>
      <c r="E2442" s="21" t="s">
        <v>25049</v>
      </c>
      <c r="F2442" s="21" t="s">
        <v>2052</v>
      </c>
    </row>
    <row r="2443" customFormat="false" ht="15" hidden="false" customHeight="false" outlineLevel="0" collapsed="false">
      <c r="B2443" s="19" t="s">
        <v>25124</v>
      </c>
      <c r="C2443" s="20" t="n">
        <f aca="false">ROUND(6.84/FX,2)</f>
        <v>0.95</v>
      </c>
      <c r="D2443" s="21" t="s">
        <v>6549</v>
      </c>
      <c r="E2443" s="21" t="s">
        <v>25049</v>
      </c>
      <c r="F2443" s="21" t="s">
        <v>2067</v>
      </c>
    </row>
    <row r="2444" customFormat="false" ht="15" hidden="false" customHeight="false" outlineLevel="0" collapsed="false">
      <c r="B2444" s="19" t="s">
        <v>25125</v>
      </c>
      <c r="C2444" s="20" t="n">
        <f aca="false">ROUND(6.99/FX,2)</f>
        <v>0.97</v>
      </c>
      <c r="D2444" s="21" t="s">
        <v>6549</v>
      </c>
      <c r="E2444" s="21" t="s">
        <v>25049</v>
      </c>
      <c r="F2444" s="21" t="s">
        <v>2082</v>
      </c>
    </row>
    <row r="2445" customFormat="false" ht="15" hidden="false" customHeight="false" outlineLevel="0" collapsed="false">
      <c r="B2445" s="19" t="s">
        <v>25126</v>
      </c>
      <c r="C2445" s="20" t="n">
        <f aca="false">ROUND(7.14/FX,2)</f>
        <v>0.99</v>
      </c>
      <c r="D2445" s="21" t="s">
        <v>6549</v>
      </c>
      <c r="E2445" s="21" t="s">
        <v>25049</v>
      </c>
      <c r="F2445" s="21" t="s">
        <v>2097</v>
      </c>
    </row>
    <row r="2446" customFormat="false" ht="15" hidden="false" customHeight="false" outlineLevel="0" collapsed="false">
      <c r="B2446" s="19" t="s">
        <v>25127</v>
      </c>
      <c r="C2446" s="20" t="n">
        <f aca="false">ROUND(7.3/FX,2)</f>
        <v>1.01</v>
      </c>
      <c r="D2446" s="21" t="s">
        <v>6549</v>
      </c>
      <c r="E2446" s="21" t="s">
        <v>25049</v>
      </c>
      <c r="F2446" s="21" t="s">
        <v>2112</v>
      </c>
    </row>
    <row r="2447" customFormat="false" ht="15" hidden="false" customHeight="false" outlineLevel="0" collapsed="false">
      <c r="B2447" s="19" t="s">
        <v>25128</v>
      </c>
      <c r="C2447" s="20" t="n">
        <f aca="false">ROUND(7.42/FX,2)</f>
        <v>1.03</v>
      </c>
      <c r="D2447" s="21" t="s">
        <v>6549</v>
      </c>
      <c r="E2447" s="21" t="s">
        <v>25049</v>
      </c>
      <c r="F2447" s="21" t="s">
        <v>2122</v>
      </c>
    </row>
    <row r="2448" customFormat="false" ht="15" hidden="false" customHeight="false" outlineLevel="0" collapsed="false">
      <c r="B2448" s="19" t="s">
        <v>25129</v>
      </c>
      <c r="C2448" s="20" t="n">
        <f aca="false">ROUND(7.45/FX,2)</f>
        <v>1.03</v>
      </c>
      <c r="D2448" s="21" t="s">
        <v>6549</v>
      </c>
      <c r="E2448" s="21" t="s">
        <v>25049</v>
      </c>
      <c r="F2448" s="21" t="s">
        <v>2127</v>
      </c>
    </row>
    <row r="2449" customFormat="false" ht="15" hidden="false" customHeight="false" outlineLevel="0" collapsed="false">
      <c r="B2449" s="19" t="s">
        <v>25130</v>
      </c>
      <c r="C2449" s="20" t="n">
        <f aca="false">ROUND(7.51/FX,2)</f>
        <v>1.04</v>
      </c>
      <c r="D2449" s="21" t="s">
        <v>6549</v>
      </c>
      <c r="E2449" s="21" t="s">
        <v>25049</v>
      </c>
      <c r="F2449" s="21" t="s">
        <v>2137</v>
      </c>
    </row>
    <row r="2450" customFormat="false" ht="15" hidden="false" customHeight="false" outlineLevel="0" collapsed="false">
      <c r="B2450" s="19" t="s">
        <v>25131</v>
      </c>
      <c r="C2450" s="20" t="n">
        <f aca="false">ROUND(7.6/FX,2)</f>
        <v>1.06</v>
      </c>
      <c r="D2450" s="21" t="s">
        <v>6549</v>
      </c>
      <c r="E2450" s="21" t="s">
        <v>25049</v>
      </c>
      <c r="F2450" s="21" t="s">
        <v>2142</v>
      </c>
    </row>
    <row r="2451" customFormat="false" ht="15" hidden="false" customHeight="false" outlineLevel="0" collapsed="false">
      <c r="B2451" s="19" t="s">
        <v>25132</v>
      </c>
      <c r="C2451" s="20" t="n">
        <f aca="false">ROUND(7.9/FX,2)</f>
        <v>1.1</v>
      </c>
      <c r="D2451" s="21" t="s">
        <v>6549</v>
      </c>
      <c r="E2451" s="21" t="s">
        <v>25049</v>
      </c>
      <c r="F2451" s="21" t="s">
        <v>2162</v>
      </c>
    </row>
    <row r="2452" customFormat="false" ht="15" hidden="false" customHeight="false" outlineLevel="0" collapsed="false">
      <c r="B2452" s="19" t="s">
        <v>25133</v>
      </c>
      <c r="C2452" s="20" t="n">
        <f aca="false">ROUND(8.36/FX,2)</f>
        <v>1.16</v>
      </c>
      <c r="D2452" s="21" t="s">
        <v>6549</v>
      </c>
      <c r="E2452" s="21" t="s">
        <v>25049</v>
      </c>
      <c r="F2452" s="21" t="s">
        <v>2187</v>
      </c>
    </row>
    <row r="2453" customFormat="false" ht="15" hidden="false" customHeight="false" outlineLevel="0" collapsed="false">
      <c r="B2453" s="19" t="s">
        <v>25134</v>
      </c>
      <c r="C2453" s="20" t="n">
        <f aca="false">ROUND(9.12/FX,2)</f>
        <v>1.27</v>
      </c>
      <c r="D2453" s="21" t="s">
        <v>6549</v>
      </c>
      <c r="E2453" s="21" t="s">
        <v>25049</v>
      </c>
      <c r="F2453" s="21" t="s">
        <v>2227</v>
      </c>
    </row>
    <row r="2454" customFormat="false" ht="15" hidden="false" customHeight="false" outlineLevel="0" collapsed="false">
      <c r="B2454" s="19" t="s">
        <v>25135</v>
      </c>
      <c r="C2454" s="20" t="n">
        <f aca="false">ROUND(9.42/FX,2)</f>
        <v>1.31</v>
      </c>
      <c r="D2454" s="21" t="s">
        <v>6549</v>
      </c>
      <c r="E2454" s="21" t="s">
        <v>25049</v>
      </c>
      <c r="F2454" s="21" t="s">
        <v>5448</v>
      </c>
    </row>
    <row r="2455" customFormat="false" ht="15" hidden="false" customHeight="false" outlineLevel="0" collapsed="false">
      <c r="B2455" s="19" t="s">
        <v>25136</v>
      </c>
      <c r="C2455" s="20" t="n">
        <f aca="false">ROUND(9.58/FX,2)</f>
        <v>1.33</v>
      </c>
      <c r="D2455" s="21" t="s">
        <v>6549</v>
      </c>
      <c r="E2455" s="21" t="s">
        <v>25049</v>
      </c>
      <c r="F2455" s="21" t="s">
        <v>2261</v>
      </c>
    </row>
    <row r="2456" customFormat="false" ht="15" hidden="false" customHeight="false" outlineLevel="0" collapsed="false">
      <c r="B2456" s="19" t="s">
        <v>25137</v>
      </c>
      <c r="C2456" s="20" t="n">
        <f aca="false">ROUND(9.88/FX,2)</f>
        <v>1.37</v>
      </c>
      <c r="D2456" s="21" t="s">
        <v>6549</v>
      </c>
      <c r="E2456" s="21" t="s">
        <v>25049</v>
      </c>
      <c r="F2456" s="21" t="s">
        <v>2297</v>
      </c>
    </row>
    <row r="2457" customFormat="false" ht="15" hidden="false" customHeight="false" outlineLevel="0" collapsed="false">
      <c r="B2457" s="19" t="s">
        <v>25138</v>
      </c>
      <c r="C2457" s="20" t="n">
        <f aca="false">ROUND(10.64/FX,2)</f>
        <v>1.48</v>
      </c>
      <c r="D2457" s="21" t="s">
        <v>6549</v>
      </c>
      <c r="E2457" s="21" t="s">
        <v>25049</v>
      </c>
      <c r="F2457" s="21" t="s">
        <v>2351</v>
      </c>
    </row>
    <row r="2458" customFormat="false" ht="15" hidden="false" customHeight="false" outlineLevel="0" collapsed="false">
      <c r="B2458" s="19" t="s">
        <v>25139</v>
      </c>
      <c r="C2458" s="20" t="n">
        <f aca="false">ROUND(11.4/FX,2)</f>
        <v>1.58</v>
      </c>
      <c r="D2458" s="21" t="s">
        <v>6549</v>
      </c>
      <c r="E2458" s="21" t="s">
        <v>25049</v>
      </c>
      <c r="F2458" s="21" t="s">
        <v>2400</v>
      </c>
    </row>
    <row r="2459" customFormat="false" ht="15" hidden="false" customHeight="false" outlineLevel="0" collapsed="false">
      <c r="B2459" s="19" t="s">
        <v>25140</v>
      </c>
      <c r="C2459" s="20" t="n">
        <f aca="false">ROUND(12.6/FX,2)</f>
        <v>1.75</v>
      </c>
      <c r="D2459" s="21" t="s">
        <v>6549</v>
      </c>
      <c r="E2459" s="21" t="s">
        <v>25049</v>
      </c>
      <c r="F2459" s="21" t="s">
        <v>2440</v>
      </c>
    </row>
    <row r="2460" customFormat="false" ht="15" hidden="false" customHeight="false" outlineLevel="0" collapsed="false">
      <c r="B2460" s="19" t="s">
        <v>25141</v>
      </c>
      <c r="C2460" s="20" t="n">
        <f aca="false">ROUND(13.68/FX,2)</f>
        <v>1.9</v>
      </c>
      <c r="D2460" s="21" t="s">
        <v>6549</v>
      </c>
      <c r="E2460" s="21" t="s">
        <v>25049</v>
      </c>
      <c r="F2460" s="21" t="s">
        <v>2500</v>
      </c>
    </row>
    <row r="2461" customFormat="false" ht="15" hidden="false" customHeight="false" outlineLevel="0" collapsed="false">
      <c r="B2461" s="19" t="s">
        <v>25142</v>
      </c>
      <c r="C2461" s="20" t="n">
        <f aca="false">ROUND(2.9/FX,2)</f>
        <v>0.4</v>
      </c>
      <c r="D2461" s="21" t="s">
        <v>724</v>
      </c>
      <c r="E2461" s="21" t="s">
        <v>12422</v>
      </c>
      <c r="F2461" s="21" t="s">
        <v>2600</v>
      </c>
    </row>
    <row r="2462" customFormat="false" ht="15" hidden="false" customHeight="false" outlineLevel="0" collapsed="false">
      <c r="B2462" s="19" t="s">
        <v>25143</v>
      </c>
      <c r="C2462" s="20" t="n">
        <f aca="false">ROUND(29/FX,2)</f>
        <v>4.03</v>
      </c>
      <c r="D2462" s="21" t="s">
        <v>724</v>
      </c>
      <c r="E2462" s="21" t="s">
        <v>12422</v>
      </c>
      <c r="F2462" s="21" t="s">
        <v>1733</v>
      </c>
    </row>
    <row r="2463" customFormat="false" ht="15" hidden="false" customHeight="false" outlineLevel="0" collapsed="false">
      <c r="B2463" s="19" t="s">
        <v>25144</v>
      </c>
      <c r="C2463" s="20" t="n">
        <f aca="false">ROUND(3.48/FX,2)</f>
        <v>0.48</v>
      </c>
      <c r="D2463" s="21" t="s">
        <v>724</v>
      </c>
      <c r="E2463" s="21" t="s">
        <v>12422</v>
      </c>
      <c r="F2463" s="21" t="s">
        <v>2701</v>
      </c>
    </row>
    <row r="2464" customFormat="false" ht="15" hidden="false" customHeight="false" outlineLevel="0" collapsed="false">
      <c r="B2464" s="19" t="s">
        <v>25145</v>
      </c>
      <c r="C2464" s="20" t="n">
        <f aca="false">ROUND(4.35/FX,2)</f>
        <v>0.6</v>
      </c>
      <c r="D2464" s="21" t="s">
        <v>724</v>
      </c>
      <c r="E2464" s="21" t="s">
        <v>12422</v>
      </c>
      <c r="F2464" s="21" t="s">
        <v>2851</v>
      </c>
    </row>
    <row r="2465" customFormat="false" ht="15" hidden="false" customHeight="false" outlineLevel="0" collapsed="false">
      <c r="B2465" s="19" t="s">
        <v>25146</v>
      </c>
      <c r="C2465" s="20" t="n">
        <f aca="false">ROUND(5.8/FX,2)</f>
        <v>0.81</v>
      </c>
      <c r="D2465" s="21" t="s">
        <v>724</v>
      </c>
      <c r="E2465" s="21" t="s">
        <v>12422</v>
      </c>
      <c r="F2465" s="21" t="s">
        <v>1048</v>
      </c>
    </row>
    <row r="2466" customFormat="false" ht="15" hidden="false" customHeight="false" outlineLevel="0" collapsed="false">
      <c r="B2466" s="19" t="s">
        <v>25147</v>
      </c>
      <c r="C2466" s="20" t="n">
        <f aca="false">ROUND(6.96/FX,2)</f>
        <v>0.97</v>
      </c>
      <c r="D2466" s="21" t="s">
        <v>724</v>
      </c>
      <c r="E2466" s="21" t="s">
        <v>12422</v>
      </c>
      <c r="F2466" s="21" t="s">
        <v>1268</v>
      </c>
    </row>
    <row r="2467" customFormat="false" ht="15" hidden="false" customHeight="false" outlineLevel="0" collapsed="false">
      <c r="B2467" s="19" t="s">
        <v>25148</v>
      </c>
      <c r="C2467" s="20" t="n">
        <f aca="false">ROUND(7.25/FX,2)</f>
        <v>1.01</v>
      </c>
      <c r="D2467" s="21" t="s">
        <v>724</v>
      </c>
      <c r="E2467" s="21" t="s">
        <v>12422</v>
      </c>
      <c r="F2467" s="21" t="s">
        <v>1323</v>
      </c>
    </row>
    <row r="2468" customFormat="false" ht="15" hidden="false" customHeight="false" outlineLevel="0" collapsed="false">
      <c r="B2468" s="19" t="s">
        <v>25149</v>
      </c>
      <c r="C2468" s="20" t="n">
        <f aca="false">ROUND(8.7/FX,2)</f>
        <v>1.21</v>
      </c>
      <c r="D2468" s="21" t="s">
        <v>724</v>
      </c>
      <c r="E2468" s="21" t="s">
        <v>12422</v>
      </c>
      <c r="F2468" s="21" t="s">
        <v>1520</v>
      </c>
    </row>
    <row r="2469" customFormat="false" ht="15" hidden="false" customHeight="false" outlineLevel="0" collapsed="false">
      <c r="B2469" s="19" t="s">
        <v>25150</v>
      </c>
      <c r="C2469" s="20" t="n">
        <f aca="false">ROUND(9.08/FX,2)</f>
        <v>1.26</v>
      </c>
      <c r="D2469" s="21" t="s">
        <v>724</v>
      </c>
      <c r="E2469" s="21" t="s">
        <v>12422</v>
      </c>
      <c r="F2469" s="21" t="s">
        <v>25065</v>
      </c>
    </row>
    <row r="2470" customFormat="false" ht="15" hidden="false" customHeight="false" outlineLevel="0" collapsed="false">
      <c r="B2470" s="19" t="s">
        <v>25151</v>
      </c>
      <c r="C2470" s="20" t="n">
        <f aca="false">ROUND(9.28/FX,2)</f>
        <v>1.29</v>
      </c>
      <c r="D2470" s="21" t="s">
        <v>724</v>
      </c>
      <c r="E2470" s="21" t="s">
        <v>12422</v>
      </c>
      <c r="F2470" s="21" t="s">
        <v>1570</v>
      </c>
    </row>
    <row r="2471" customFormat="false" ht="15" hidden="false" customHeight="false" outlineLevel="0" collapsed="false">
      <c r="B2471" s="19" t="s">
        <v>25152</v>
      </c>
      <c r="C2471" s="20" t="n">
        <f aca="false">ROUND(9.86/FX,2)</f>
        <v>1.37</v>
      </c>
      <c r="D2471" s="21" t="s">
        <v>724</v>
      </c>
      <c r="E2471" s="21" t="s">
        <v>12422</v>
      </c>
      <c r="F2471" s="21" t="s">
        <v>1615</v>
      </c>
    </row>
    <row r="2472" customFormat="false" ht="15" hidden="false" customHeight="false" outlineLevel="0" collapsed="false">
      <c r="B2472" s="19" t="s">
        <v>25153</v>
      </c>
      <c r="C2472" s="20" t="n">
        <f aca="false">ROUND(10.15/FX,2)</f>
        <v>1.41</v>
      </c>
      <c r="D2472" s="21" t="s">
        <v>724</v>
      </c>
      <c r="E2472" s="21" t="s">
        <v>12422</v>
      </c>
      <c r="F2472" s="21" t="s">
        <v>1635</v>
      </c>
    </row>
    <row r="2473" customFormat="false" ht="15" hidden="false" customHeight="false" outlineLevel="0" collapsed="false">
      <c r="B2473" s="19" t="s">
        <v>25154</v>
      </c>
      <c r="C2473" s="20" t="n">
        <f aca="false">ROUND(10.56/FX,2)</f>
        <v>1.47</v>
      </c>
      <c r="D2473" s="21" t="s">
        <v>724</v>
      </c>
      <c r="E2473" s="21" t="s">
        <v>12422</v>
      </c>
      <c r="F2473" s="21" t="s">
        <v>1660</v>
      </c>
    </row>
    <row r="2474" customFormat="false" ht="15" hidden="false" customHeight="false" outlineLevel="0" collapsed="false">
      <c r="B2474" s="19" t="s">
        <v>25155</v>
      </c>
      <c r="C2474" s="20" t="n">
        <f aca="false">ROUND(11.02/FX,2)</f>
        <v>1.53</v>
      </c>
      <c r="D2474" s="21" t="s">
        <v>724</v>
      </c>
      <c r="E2474" s="21" t="s">
        <v>12422</v>
      </c>
      <c r="F2474" s="21" t="s">
        <v>1685</v>
      </c>
    </row>
    <row r="2475" customFormat="false" ht="15" hidden="false" customHeight="false" outlineLevel="0" collapsed="false">
      <c r="B2475" s="19" t="s">
        <v>25156</v>
      </c>
      <c r="C2475" s="20" t="n">
        <f aca="false">ROUND(11.6/FX,2)</f>
        <v>1.61</v>
      </c>
      <c r="D2475" s="21" t="s">
        <v>724</v>
      </c>
      <c r="E2475" s="21" t="s">
        <v>12422</v>
      </c>
      <c r="F2475" s="21" t="s">
        <v>2002</v>
      </c>
    </row>
    <row r="2476" customFormat="false" ht="15" hidden="false" customHeight="false" outlineLevel="0" collapsed="false">
      <c r="B2476" s="19" t="s">
        <v>25157</v>
      </c>
      <c r="C2476" s="20" t="n">
        <f aca="false">ROUND(12.18/FX,2)</f>
        <v>1.69</v>
      </c>
      <c r="D2476" s="21" t="s">
        <v>724</v>
      </c>
      <c r="E2476" s="21" t="s">
        <v>12422</v>
      </c>
      <c r="F2476" s="21" t="s">
        <v>2022</v>
      </c>
    </row>
    <row r="2477" customFormat="false" ht="15" hidden="false" customHeight="false" outlineLevel="0" collapsed="false">
      <c r="B2477" s="19" t="s">
        <v>25158</v>
      </c>
      <c r="C2477" s="20" t="n">
        <f aca="false">ROUND(13.38/FX,2)</f>
        <v>1.86</v>
      </c>
      <c r="D2477" s="21" t="s">
        <v>724</v>
      </c>
      <c r="E2477" s="21" t="s">
        <v>12422</v>
      </c>
      <c r="F2477" s="21" t="s">
        <v>2037</v>
      </c>
    </row>
    <row r="2478" customFormat="false" ht="15" hidden="false" customHeight="false" outlineLevel="0" collapsed="false">
      <c r="B2478" s="19" t="s">
        <v>25159</v>
      </c>
      <c r="C2478" s="20" t="n">
        <f aca="false">ROUND(12.76/FX,2)</f>
        <v>1.77</v>
      </c>
      <c r="D2478" s="21" t="s">
        <v>724</v>
      </c>
      <c r="E2478" s="21" t="s">
        <v>12422</v>
      </c>
      <c r="F2478" s="21" t="s">
        <v>2052</v>
      </c>
    </row>
    <row r="2479" customFormat="false" ht="15" hidden="false" customHeight="false" outlineLevel="0" collapsed="false">
      <c r="B2479" s="19" t="s">
        <v>25160</v>
      </c>
      <c r="C2479" s="20" t="n">
        <f aca="false">ROUND(13.34/FX,2)</f>
        <v>1.85</v>
      </c>
      <c r="D2479" s="21" t="s">
        <v>724</v>
      </c>
      <c r="E2479" s="21" t="s">
        <v>12422</v>
      </c>
      <c r="F2479" s="21" t="s">
        <v>2082</v>
      </c>
    </row>
    <row r="2480" customFormat="false" ht="15" hidden="false" customHeight="false" outlineLevel="0" collapsed="false">
      <c r="B2480" s="19" t="s">
        <v>25161</v>
      </c>
      <c r="C2480" s="20" t="n">
        <f aca="false">ROUND(13.63/FX,2)</f>
        <v>1.89</v>
      </c>
      <c r="D2480" s="21" t="s">
        <v>724</v>
      </c>
      <c r="E2480" s="21" t="s">
        <v>12422</v>
      </c>
      <c r="F2480" s="21" t="s">
        <v>2097</v>
      </c>
    </row>
    <row r="2481" customFormat="false" ht="15" hidden="false" customHeight="false" outlineLevel="0" collapsed="false">
      <c r="B2481" s="19" t="s">
        <v>25162</v>
      </c>
      <c r="C2481" s="20" t="n">
        <f aca="false">ROUND(13.92/FX,2)</f>
        <v>1.93</v>
      </c>
      <c r="D2481" s="21" t="s">
        <v>724</v>
      </c>
      <c r="E2481" s="21" t="s">
        <v>12422</v>
      </c>
      <c r="F2481" s="21" t="s">
        <v>2112</v>
      </c>
    </row>
    <row r="2482" customFormat="false" ht="15" hidden="false" customHeight="false" outlineLevel="0" collapsed="false">
      <c r="B2482" s="19" t="s">
        <v>25163</v>
      </c>
      <c r="C2482" s="20" t="n">
        <f aca="false">ROUND(14.5/FX,2)</f>
        <v>2.01</v>
      </c>
      <c r="D2482" s="21" t="s">
        <v>724</v>
      </c>
      <c r="E2482" s="21" t="s">
        <v>12422</v>
      </c>
      <c r="F2482" s="21" t="s">
        <v>2142</v>
      </c>
    </row>
    <row r="2483" customFormat="false" ht="15" hidden="false" customHeight="false" outlineLevel="0" collapsed="false">
      <c r="B2483" s="19" t="s">
        <v>25164</v>
      </c>
      <c r="C2483" s="20" t="n">
        <f aca="false">ROUND(15.95/FX,2)</f>
        <v>2.22</v>
      </c>
      <c r="D2483" s="21" t="s">
        <v>724</v>
      </c>
      <c r="E2483" s="21" t="s">
        <v>12422</v>
      </c>
      <c r="F2483" s="21" t="s">
        <v>2187</v>
      </c>
    </row>
    <row r="2484" customFormat="false" ht="15" hidden="false" customHeight="false" outlineLevel="0" collapsed="false">
      <c r="B2484" s="19" t="s">
        <v>25165</v>
      </c>
      <c r="C2484" s="20" t="n">
        <f aca="false">ROUND(17.4/FX,2)</f>
        <v>2.42</v>
      </c>
      <c r="D2484" s="21" t="s">
        <v>724</v>
      </c>
      <c r="E2484" s="21" t="s">
        <v>12422</v>
      </c>
      <c r="F2484" s="21" t="s">
        <v>2227</v>
      </c>
    </row>
    <row r="2485" customFormat="false" ht="15" hidden="false" customHeight="false" outlineLevel="0" collapsed="false">
      <c r="B2485" s="19" t="s">
        <v>25166</v>
      </c>
      <c r="C2485" s="20" t="n">
        <f aca="false">ROUND(20.3/FX,2)</f>
        <v>2.82</v>
      </c>
      <c r="D2485" s="21" t="s">
        <v>724</v>
      </c>
      <c r="E2485" s="21" t="s">
        <v>12422</v>
      </c>
      <c r="F2485" s="21" t="s">
        <v>2351</v>
      </c>
    </row>
    <row r="2486" customFormat="false" ht="15" hidden="false" customHeight="false" outlineLevel="0" collapsed="false">
      <c r="B2486" s="19" t="s">
        <v>25167</v>
      </c>
      <c r="C2486" s="20" t="n">
        <f aca="false">ROUND(23.2/FX,2)</f>
        <v>3.22</v>
      </c>
      <c r="D2486" s="21" t="s">
        <v>724</v>
      </c>
      <c r="E2486" s="21" t="s">
        <v>12422</v>
      </c>
      <c r="F2486" s="21" t="s">
        <v>2440</v>
      </c>
    </row>
    <row r="2487" customFormat="false" ht="15" hidden="false" customHeight="false" outlineLevel="0" collapsed="false">
      <c r="B2487" s="19" t="s">
        <v>25168</v>
      </c>
      <c r="C2487" s="20" t="n">
        <f aca="false">ROUND(2.75/FX,2)</f>
        <v>0.38</v>
      </c>
      <c r="D2487" s="21" t="s">
        <v>6549</v>
      </c>
      <c r="E2487" s="21" t="s">
        <v>12422</v>
      </c>
      <c r="F2487" s="21" t="s">
        <v>2600</v>
      </c>
    </row>
    <row r="2488" customFormat="false" ht="15" hidden="false" customHeight="false" outlineLevel="0" collapsed="false">
      <c r="B2488" s="19" t="s">
        <v>25169</v>
      </c>
      <c r="C2488" s="20" t="n">
        <f aca="false">ROUND(4.12/FX,2)</f>
        <v>0.57</v>
      </c>
      <c r="D2488" s="21" t="s">
        <v>6549</v>
      </c>
      <c r="E2488" s="21" t="s">
        <v>12422</v>
      </c>
      <c r="F2488" s="21" t="s">
        <v>2851</v>
      </c>
    </row>
    <row r="2489" customFormat="false" ht="15" hidden="false" customHeight="false" outlineLevel="0" collapsed="false">
      <c r="B2489" s="19" t="s">
        <v>25170</v>
      </c>
      <c r="C2489" s="20" t="n">
        <f aca="false">ROUND(5.5/FX,2)</f>
        <v>0.76</v>
      </c>
      <c r="D2489" s="21" t="s">
        <v>6549</v>
      </c>
      <c r="E2489" s="21" t="s">
        <v>12422</v>
      </c>
      <c r="F2489" s="21" t="s">
        <v>1048</v>
      </c>
    </row>
    <row r="2490" customFormat="false" ht="15" hidden="false" customHeight="false" outlineLevel="0" collapsed="false">
      <c r="B2490" s="19" t="s">
        <v>25171</v>
      </c>
      <c r="C2490" s="20" t="n">
        <f aca="false">ROUND(6.88/FX,2)</f>
        <v>0.96</v>
      </c>
      <c r="D2490" s="21" t="s">
        <v>6549</v>
      </c>
      <c r="E2490" s="21" t="s">
        <v>12422</v>
      </c>
      <c r="F2490" s="21" t="s">
        <v>1323</v>
      </c>
    </row>
    <row r="2491" customFormat="false" ht="15" hidden="false" customHeight="false" outlineLevel="0" collapsed="false">
      <c r="B2491" s="19" t="s">
        <v>25172</v>
      </c>
      <c r="C2491" s="20" t="n">
        <f aca="false">ROUND(8.25/FX,2)</f>
        <v>1.15</v>
      </c>
      <c r="D2491" s="21" t="s">
        <v>6549</v>
      </c>
      <c r="E2491" s="21" t="s">
        <v>12422</v>
      </c>
      <c r="F2491" s="21" t="s">
        <v>1520</v>
      </c>
    </row>
    <row r="2492" customFormat="false" ht="15" hidden="false" customHeight="false" outlineLevel="0" collapsed="false">
      <c r="B2492" s="19" t="s">
        <v>25173</v>
      </c>
      <c r="C2492" s="20" t="n">
        <f aca="false">ROUND(8.53/FX,2)</f>
        <v>1.18</v>
      </c>
      <c r="D2492" s="21" t="s">
        <v>6549</v>
      </c>
      <c r="E2492" s="21" t="s">
        <v>12422</v>
      </c>
      <c r="F2492" s="21" t="s">
        <v>1545</v>
      </c>
    </row>
    <row r="2493" customFormat="false" ht="15" hidden="false" customHeight="false" outlineLevel="0" collapsed="false">
      <c r="B2493" s="19" t="s">
        <v>25174</v>
      </c>
      <c r="C2493" s="20" t="n">
        <f aca="false">ROUND(8.61/FX,2)</f>
        <v>1.2</v>
      </c>
      <c r="D2493" s="21" t="s">
        <v>6549</v>
      </c>
      <c r="E2493" s="21" t="s">
        <v>12422</v>
      </c>
      <c r="F2493" s="21" t="s">
        <v>25065</v>
      </c>
    </row>
    <row r="2494" customFormat="false" ht="15" hidden="false" customHeight="false" outlineLevel="0" collapsed="false">
      <c r="B2494" s="19" t="s">
        <v>25175</v>
      </c>
      <c r="C2494" s="20" t="n">
        <f aca="false">ROUND(9.35/FX,2)</f>
        <v>1.3</v>
      </c>
      <c r="D2494" s="21" t="s">
        <v>6549</v>
      </c>
      <c r="E2494" s="21" t="s">
        <v>12422</v>
      </c>
      <c r="F2494" s="21" t="s">
        <v>1615</v>
      </c>
    </row>
    <row r="2495" customFormat="false" ht="15" hidden="false" customHeight="false" outlineLevel="0" collapsed="false">
      <c r="B2495" s="19" t="s">
        <v>25176</v>
      </c>
      <c r="C2495" s="20" t="n">
        <f aca="false">ROUND(9.63/FX,2)</f>
        <v>1.34</v>
      </c>
      <c r="D2495" s="21" t="s">
        <v>6549</v>
      </c>
      <c r="E2495" s="21" t="s">
        <v>12422</v>
      </c>
      <c r="F2495" s="21" t="s">
        <v>1635</v>
      </c>
    </row>
    <row r="2496" customFormat="false" ht="15" hidden="false" customHeight="false" outlineLevel="0" collapsed="false">
      <c r="B2496" s="19" t="s">
        <v>25177</v>
      </c>
      <c r="C2496" s="20" t="n">
        <f aca="false">ROUND(10.45/FX,2)</f>
        <v>1.45</v>
      </c>
      <c r="D2496" s="21" t="s">
        <v>6549</v>
      </c>
      <c r="E2496" s="21" t="s">
        <v>12422</v>
      </c>
      <c r="F2496" s="21" t="s">
        <v>1685</v>
      </c>
    </row>
    <row r="2497" customFormat="false" ht="15" hidden="false" customHeight="false" outlineLevel="0" collapsed="false">
      <c r="B2497" s="19" t="s">
        <v>25178</v>
      </c>
      <c r="C2497" s="20" t="n">
        <f aca="false">ROUND(10.73/FX,2)</f>
        <v>1.49</v>
      </c>
      <c r="D2497" s="21" t="s">
        <v>6549</v>
      </c>
      <c r="E2497" s="21" t="s">
        <v>12422</v>
      </c>
      <c r="F2497" s="21" t="s">
        <v>1982</v>
      </c>
    </row>
    <row r="2498" customFormat="false" ht="15" hidden="false" customHeight="false" outlineLevel="0" collapsed="false">
      <c r="B2498" s="19" t="s">
        <v>25179</v>
      </c>
      <c r="C2498" s="20" t="n">
        <f aca="false">ROUND(11/FX,2)</f>
        <v>1.53</v>
      </c>
      <c r="D2498" s="21" t="s">
        <v>6549</v>
      </c>
      <c r="E2498" s="21" t="s">
        <v>12422</v>
      </c>
      <c r="F2498" s="21" t="s">
        <v>2002</v>
      </c>
    </row>
    <row r="2499" customFormat="false" ht="15" hidden="false" customHeight="false" outlineLevel="0" collapsed="false">
      <c r="B2499" s="19" t="s">
        <v>25180</v>
      </c>
      <c r="C2499" s="20" t="n">
        <f aca="false">ROUND(11.55/FX,2)</f>
        <v>1.6</v>
      </c>
      <c r="D2499" s="21" t="s">
        <v>6549</v>
      </c>
      <c r="E2499" s="21" t="s">
        <v>12422</v>
      </c>
      <c r="F2499" s="21" t="s">
        <v>2022</v>
      </c>
    </row>
    <row r="2500" customFormat="false" ht="15" hidden="false" customHeight="false" outlineLevel="0" collapsed="false">
      <c r="B2500" s="19" t="s">
        <v>25181</v>
      </c>
      <c r="C2500" s="20" t="n">
        <f aca="false">ROUND(11.83/FX,2)</f>
        <v>1.64</v>
      </c>
      <c r="D2500" s="21" t="s">
        <v>6549</v>
      </c>
      <c r="E2500" s="21" t="s">
        <v>12422</v>
      </c>
      <c r="F2500" s="21" t="s">
        <v>2037</v>
      </c>
    </row>
    <row r="2501" customFormat="false" ht="15" hidden="false" customHeight="false" outlineLevel="0" collapsed="false">
      <c r="B2501" s="19" t="s">
        <v>25182</v>
      </c>
      <c r="C2501" s="20" t="n">
        <f aca="false">ROUND(12.1/FX,2)</f>
        <v>1.68</v>
      </c>
      <c r="D2501" s="21" t="s">
        <v>6549</v>
      </c>
      <c r="E2501" s="21" t="s">
        <v>12422</v>
      </c>
      <c r="F2501" s="21" t="s">
        <v>2052</v>
      </c>
    </row>
    <row r="2502" customFormat="false" ht="15" hidden="false" customHeight="false" outlineLevel="0" collapsed="false">
      <c r="B2502" s="19" t="s">
        <v>25183</v>
      </c>
      <c r="C2502" s="20" t="n">
        <f aca="false">ROUND(12.24/FX,2)</f>
        <v>1.7</v>
      </c>
      <c r="D2502" s="21" t="s">
        <v>6549</v>
      </c>
      <c r="E2502" s="21" t="s">
        <v>12422</v>
      </c>
      <c r="F2502" s="21" t="s">
        <v>12271</v>
      </c>
    </row>
    <row r="2503" customFormat="false" ht="15" hidden="false" customHeight="false" outlineLevel="0" collapsed="false">
      <c r="B2503" s="19" t="s">
        <v>25184</v>
      </c>
      <c r="C2503" s="20" t="n">
        <f aca="false">ROUND(12.38/FX,2)</f>
        <v>1.72</v>
      </c>
      <c r="D2503" s="21" t="s">
        <v>6549</v>
      </c>
      <c r="E2503" s="21" t="s">
        <v>12422</v>
      </c>
      <c r="F2503" s="21" t="s">
        <v>2067</v>
      </c>
    </row>
    <row r="2504" customFormat="false" ht="15" hidden="false" customHeight="false" outlineLevel="0" collapsed="false">
      <c r="B2504" s="19" t="s">
        <v>25185</v>
      </c>
      <c r="C2504" s="20" t="n">
        <f aca="false">ROUND(12.93/FX,2)</f>
        <v>1.8</v>
      </c>
      <c r="D2504" s="21" t="s">
        <v>6549</v>
      </c>
      <c r="E2504" s="21" t="s">
        <v>12422</v>
      </c>
      <c r="F2504" s="21" t="s">
        <v>2097</v>
      </c>
    </row>
    <row r="2505" customFormat="false" ht="15" hidden="false" customHeight="false" outlineLevel="0" collapsed="false">
      <c r="B2505" s="19" t="s">
        <v>25186</v>
      </c>
      <c r="C2505" s="20" t="n">
        <f aca="false">ROUND(2.68/FX,2)</f>
        <v>0.37</v>
      </c>
      <c r="D2505" s="21" t="s">
        <v>6549</v>
      </c>
      <c r="E2505" s="21" t="s">
        <v>12422</v>
      </c>
      <c r="F2505" s="21" t="s">
        <v>2911</v>
      </c>
    </row>
    <row r="2506" customFormat="false" ht="15" hidden="false" customHeight="false" outlineLevel="0" collapsed="false">
      <c r="B2506" s="19" t="s">
        <v>25187</v>
      </c>
      <c r="C2506" s="20" t="n">
        <f aca="false">ROUND(13.75/FX,2)</f>
        <v>1.91</v>
      </c>
      <c r="D2506" s="21" t="s">
        <v>6549</v>
      </c>
      <c r="E2506" s="21" t="s">
        <v>12422</v>
      </c>
      <c r="F2506" s="21" t="s">
        <v>2142</v>
      </c>
    </row>
    <row r="2507" customFormat="false" ht="15" hidden="false" customHeight="false" outlineLevel="0" collapsed="false">
      <c r="B2507" s="19" t="s">
        <v>25188</v>
      </c>
      <c r="C2507" s="20" t="n">
        <f aca="false">ROUND(16.5/FX,2)</f>
        <v>2.29</v>
      </c>
      <c r="D2507" s="21" t="s">
        <v>6549</v>
      </c>
      <c r="E2507" s="21" t="s">
        <v>12422</v>
      </c>
      <c r="F2507" s="21" t="s">
        <v>2227</v>
      </c>
    </row>
    <row r="2508" customFormat="false" ht="15" hidden="false" customHeight="false" outlineLevel="0" collapsed="false">
      <c r="B2508" s="19" t="s">
        <v>25189</v>
      </c>
      <c r="C2508" s="20" t="n">
        <f aca="false">ROUND(2.9/FX,2)</f>
        <v>0.4</v>
      </c>
      <c r="D2508" s="21" t="s">
        <v>724</v>
      </c>
      <c r="E2508" s="21" t="s">
        <v>25190</v>
      </c>
      <c r="F2508" s="21" t="s">
        <v>2600</v>
      </c>
    </row>
    <row r="2509" customFormat="false" ht="15" hidden="false" customHeight="false" outlineLevel="0" collapsed="false">
      <c r="B2509" s="19" t="s">
        <v>25191</v>
      </c>
      <c r="C2509" s="20" t="n">
        <f aca="false">ROUND(29/FX,2)</f>
        <v>4.03</v>
      </c>
      <c r="D2509" s="21" t="s">
        <v>724</v>
      </c>
      <c r="E2509" s="21" t="s">
        <v>25190</v>
      </c>
      <c r="F2509" s="21" t="s">
        <v>1733</v>
      </c>
    </row>
    <row r="2510" customFormat="false" ht="15" hidden="false" customHeight="false" outlineLevel="0" collapsed="false">
      <c r="B2510" s="19" t="s">
        <v>25192</v>
      </c>
      <c r="C2510" s="20" t="n">
        <f aca="false">ROUND(31.9/FX,2)</f>
        <v>4.43</v>
      </c>
      <c r="D2510" s="21" t="s">
        <v>724</v>
      </c>
      <c r="E2510" s="21" t="s">
        <v>25190</v>
      </c>
      <c r="F2510" s="21" t="s">
        <v>1768</v>
      </c>
    </row>
    <row r="2511" customFormat="false" ht="15" hidden="false" customHeight="false" outlineLevel="0" collapsed="false">
      <c r="B2511" s="19" t="s">
        <v>25193</v>
      </c>
      <c r="C2511" s="20" t="n">
        <f aca="false">ROUND(34.8/FX,2)</f>
        <v>4.83</v>
      </c>
      <c r="D2511" s="21" t="s">
        <v>724</v>
      </c>
      <c r="E2511" s="21" t="s">
        <v>25190</v>
      </c>
      <c r="F2511" s="21" t="s">
        <v>3253</v>
      </c>
    </row>
    <row r="2512" customFormat="false" ht="15" hidden="false" customHeight="false" outlineLevel="0" collapsed="false">
      <c r="B2512" s="19" t="s">
        <v>25194</v>
      </c>
      <c r="C2512" s="20" t="n">
        <f aca="false">ROUND(3.77/FX,2)</f>
        <v>0.52</v>
      </c>
      <c r="D2512" s="21" t="s">
        <v>724</v>
      </c>
      <c r="E2512" s="21" t="s">
        <v>25190</v>
      </c>
      <c r="F2512" s="21" t="s">
        <v>2751</v>
      </c>
    </row>
    <row r="2513" customFormat="false" ht="15" hidden="false" customHeight="false" outlineLevel="0" collapsed="false">
      <c r="B2513" s="19" t="s">
        <v>25195</v>
      </c>
      <c r="C2513" s="20" t="n">
        <f aca="false">ROUND(4.35/FX,2)</f>
        <v>0.6</v>
      </c>
      <c r="D2513" s="21" t="s">
        <v>724</v>
      </c>
      <c r="E2513" s="21" t="s">
        <v>25190</v>
      </c>
      <c r="F2513" s="21" t="s">
        <v>2851</v>
      </c>
    </row>
    <row r="2514" customFormat="false" ht="15" hidden="false" customHeight="false" outlineLevel="0" collapsed="false">
      <c r="B2514" s="19" t="s">
        <v>25196</v>
      </c>
      <c r="C2514" s="20" t="n">
        <f aca="false">ROUND(5.8/FX,2)</f>
        <v>0.81</v>
      </c>
      <c r="D2514" s="21" t="s">
        <v>724</v>
      </c>
      <c r="E2514" s="21" t="s">
        <v>25190</v>
      </c>
      <c r="F2514" s="21" t="s">
        <v>1048</v>
      </c>
    </row>
    <row r="2515" customFormat="false" ht="15" hidden="false" customHeight="false" outlineLevel="0" collapsed="false">
      <c r="B2515" s="19" t="s">
        <v>25197</v>
      </c>
      <c r="C2515" s="20" t="n">
        <f aca="false">ROUND(6.09/FX,2)</f>
        <v>0.85</v>
      </c>
      <c r="D2515" s="21" t="s">
        <v>724</v>
      </c>
      <c r="E2515" s="21" t="s">
        <v>25190</v>
      </c>
      <c r="F2515" s="21" t="s">
        <v>1103</v>
      </c>
    </row>
    <row r="2516" customFormat="false" ht="15" hidden="false" customHeight="false" outlineLevel="0" collapsed="false">
      <c r="B2516" s="19" t="s">
        <v>25198</v>
      </c>
      <c r="C2516" s="20" t="n">
        <f aca="false">ROUND(6.58/FX,2)</f>
        <v>0.91</v>
      </c>
      <c r="D2516" s="21" t="s">
        <v>724</v>
      </c>
      <c r="E2516" s="21" t="s">
        <v>25190</v>
      </c>
      <c r="F2516" s="21" t="s">
        <v>25199</v>
      </c>
    </row>
    <row r="2517" customFormat="false" ht="15" hidden="false" customHeight="false" outlineLevel="0" collapsed="false">
      <c r="B2517" s="19" t="s">
        <v>25200</v>
      </c>
      <c r="C2517" s="20" t="n">
        <f aca="false">ROUND(6.96/FX,2)</f>
        <v>0.97</v>
      </c>
      <c r="D2517" s="21" t="s">
        <v>724</v>
      </c>
      <c r="E2517" s="21" t="s">
        <v>25190</v>
      </c>
      <c r="F2517" s="21" t="s">
        <v>1268</v>
      </c>
    </row>
    <row r="2518" customFormat="false" ht="15" hidden="false" customHeight="false" outlineLevel="0" collapsed="false">
      <c r="B2518" s="19" t="s">
        <v>25201</v>
      </c>
      <c r="C2518" s="20" t="n">
        <f aca="false">ROUND(7.25/FX,2)</f>
        <v>1.01</v>
      </c>
      <c r="D2518" s="21" t="s">
        <v>724</v>
      </c>
      <c r="E2518" s="21" t="s">
        <v>25190</v>
      </c>
      <c r="F2518" s="21" t="s">
        <v>1323</v>
      </c>
    </row>
    <row r="2519" customFormat="false" ht="15" hidden="false" customHeight="false" outlineLevel="0" collapsed="false">
      <c r="B2519" s="19" t="s">
        <v>25202</v>
      </c>
      <c r="C2519" s="20" t="n">
        <f aca="false">ROUND(7.54/FX,2)</f>
        <v>1.05</v>
      </c>
      <c r="D2519" s="21" t="s">
        <v>724</v>
      </c>
      <c r="E2519" s="21" t="s">
        <v>25190</v>
      </c>
      <c r="F2519" s="21" t="s">
        <v>1378</v>
      </c>
    </row>
    <row r="2520" customFormat="false" ht="15" hidden="false" customHeight="false" outlineLevel="0" collapsed="false">
      <c r="B2520" s="19" t="s">
        <v>25203</v>
      </c>
      <c r="C2520" s="20" t="n">
        <f aca="false">ROUND(8.56/FX,2)</f>
        <v>1.19</v>
      </c>
      <c r="D2520" s="21" t="s">
        <v>724</v>
      </c>
      <c r="E2520" s="21" t="s">
        <v>25190</v>
      </c>
      <c r="F2520" s="21" t="s">
        <v>4908</v>
      </c>
    </row>
    <row r="2521" customFormat="false" ht="15" hidden="false" customHeight="false" outlineLevel="0" collapsed="false">
      <c r="B2521" s="19" t="s">
        <v>25204</v>
      </c>
      <c r="C2521" s="20" t="n">
        <f aca="false">ROUND(8.7/FX,2)</f>
        <v>1.21</v>
      </c>
      <c r="D2521" s="21" t="s">
        <v>724</v>
      </c>
      <c r="E2521" s="21" t="s">
        <v>25190</v>
      </c>
      <c r="F2521" s="21" t="s">
        <v>1520</v>
      </c>
    </row>
    <row r="2522" customFormat="false" ht="15" hidden="false" customHeight="false" outlineLevel="0" collapsed="false">
      <c r="B2522" s="19" t="s">
        <v>25205</v>
      </c>
      <c r="C2522" s="20" t="n">
        <f aca="false">ROUND(9.08/FX,2)</f>
        <v>1.26</v>
      </c>
      <c r="D2522" s="21" t="s">
        <v>724</v>
      </c>
      <c r="E2522" s="21" t="s">
        <v>25190</v>
      </c>
      <c r="F2522" s="21" t="s">
        <v>25065</v>
      </c>
    </row>
    <row r="2523" customFormat="false" ht="15" hidden="false" customHeight="false" outlineLevel="0" collapsed="false">
      <c r="B2523" s="19" t="s">
        <v>25206</v>
      </c>
      <c r="C2523" s="20" t="n">
        <f aca="false">ROUND(9.6/FX,2)</f>
        <v>1.33</v>
      </c>
      <c r="D2523" s="21" t="s">
        <v>724</v>
      </c>
      <c r="E2523" s="21" t="s">
        <v>25190</v>
      </c>
      <c r="F2523" s="21" t="s">
        <v>24899</v>
      </c>
    </row>
    <row r="2524" customFormat="false" ht="15" hidden="false" customHeight="false" outlineLevel="0" collapsed="false">
      <c r="B2524" s="19" t="s">
        <v>25207</v>
      </c>
      <c r="C2524" s="20" t="n">
        <f aca="false">ROUND(9.66/FX,2)</f>
        <v>1.34</v>
      </c>
      <c r="D2524" s="21" t="s">
        <v>724</v>
      </c>
      <c r="E2524" s="21" t="s">
        <v>25190</v>
      </c>
      <c r="F2524" s="21" t="s">
        <v>4349</v>
      </c>
    </row>
    <row r="2525" customFormat="false" ht="15" hidden="false" customHeight="false" outlineLevel="0" collapsed="false">
      <c r="B2525" s="19" t="s">
        <v>25208</v>
      </c>
      <c r="C2525" s="20" t="n">
        <f aca="false">ROUND(9.86/FX,2)</f>
        <v>1.37</v>
      </c>
      <c r="D2525" s="21" t="s">
        <v>724</v>
      </c>
      <c r="E2525" s="21" t="s">
        <v>25190</v>
      </c>
      <c r="F2525" s="21" t="s">
        <v>1615</v>
      </c>
    </row>
    <row r="2526" customFormat="false" ht="15" hidden="false" customHeight="false" outlineLevel="0" collapsed="false">
      <c r="B2526" s="19" t="s">
        <v>25209</v>
      </c>
      <c r="C2526" s="20" t="n">
        <f aca="false">ROUND(9.89/FX,2)</f>
        <v>1.37</v>
      </c>
      <c r="D2526" s="21" t="s">
        <v>724</v>
      </c>
      <c r="E2526" s="21" t="s">
        <v>25190</v>
      </c>
      <c r="F2526" s="21" t="s">
        <v>24942</v>
      </c>
    </row>
    <row r="2527" customFormat="false" ht="15" hidden="false" customHeight="false" outlineLevel="0" collapsed="false">
      <c r="B2527" s="19" t="s">
        <v>25210</v>
      </c>
      <c r="C2527" s="20" t="n">
        <f aca="false">ROUND(10.15/FX,2)</f>
        <v>1.41</v>
      </c>
      <c r="D2527" s="21" t="s">
        <v>724</v>
      </c>
      <c r="E2527" s="21" t="s">
        <v>25190</v>
      </c>
      <c r="F2527" s="21" t="s">
        <v>1635</v>
      </c>
    </row>
    <row r="2528" customFormat="false" ht="15" hidden="false" customHeight="false" outlineLevel="0" collapsed="false">
      <c r="B2528" s="19" t="s">
        <v>25211</v>
      </c>
      <c r="C2528" s="20" t="n">
        <f aca="false">ROUND(10.44/FX,2)</f>
        <v>1.45</v>
      </c>
      <c r="D2528" s="21" t="s">
        <v>724</v>
      </c>
      <c r="E2528" s="21" t="s">
        <v>25190</v>
      </c>
      <c r="F2528" s="21" t="s">
        <v>1655</v>
      </c>
    </row>
    <row r="2529" customFormat="false" ht="15" hidden="false" customHeight="false" outlineLevel="0" collapsed="false">
      <c r="B2529" s="19" t="s">
        <v>25212</v>
      </c>
      <c r="C2529" s="20" t="n">
        <f aca="false">ROUND(10.73/FX,2)</f>
        <v>1.49</v>
      </c>
      <c r="D2529" s="21" t="s">
        <v>724</v>
      </c>
      <c r="E2529" s="21" t="s">
        <v>25190</v>
      </c>
      <c r="F2529" s="21" t="s">
        <v>1670</v>
      </c>
    </row>
    <row r="2530" customFormat="false" ht="15" hidden="false" customHeight="false" outlineLevel="0" collapsed="false">
      <c r="B2530" s="19" t="s">
        <v>25213</v>
      </c>
      <c r="C2530" s="20" t="n">
        <f aca="false">ROUND(11.02/FX,2)</f>
        <v>1.53</v>
      </c>
      <c r="D2530" s="21" t="s">
        <v>724</v>
      </c>
      <c r="E2530" s="21" t="s">
        <v>25190</v>
      </c>
      <c r="F2530" s="21" t="s">
        <v>1685</v>
      </c>
    </row>
    <row r="2531" customFormat="false" ht="15" hidden="false" customHeight="false" outlineLevel="0" collapsed="false">
      <c r="B2531" s="19" t="s">
        <v>25214</v>
      </c>
      <c r="C2531" s="20" t="n">
        <f aca="false">ROUND(11.17/FX,2)</f>
        <v>1.55</v>
      </c>
      <c r="D2531" s="21" t="s">
        <v>724</v>
      </c>
      <c r="E2531" s="21" t="s">
        <v>25190</v>
      </c>
      <c r="F2531" s="21" t="s">
        <v>5058</v>
      </c>
    </row>
    <row r="2532" customFormat="false" ht="15" hidden="false" customHeight="false" outlineLevel="0" collapsed="false">
      <c r="B2532" s="19" t="s">
        <v>25215</v>
      </c>
      <c r="C2532" s="20" t="n">
        <f aca="false">ROUND(11.6/FX,2)</f>
        <v>1.61</v>
      </c>
      <c r="D2532" s="21" t="s">
        <v>724</v>
      </c>
      <c r="E2532" s="21" t="s">
        <v>25190</v>
      </c>
      <c r="F2532" s="21" t="s">
        <v>2002</v>
      </c>
    </row>
    <row r="2533" customFormat="false" ht="15" hidden="false" customHeight="false" outlineLevel="0" collapsed="false">
      <c r="B2533" s="19" t="s">
        <v>25216</v>
      </c>
      <c r="C2533" s="20" t="n">
        <f aca="false">ROUND(12.01/FX,2)</f>
        <v>1.67</v>
      </c>
      <c r="D2533" s="21" t="s">
        <v>724</v>
      </c>
      <c r="E2533" s="21" t="s">
        <v>25190</v>
      </c>
      <c r="F2533" s="21" t="s">
        <v>3390</v>
      </c>
    </row>
    <row r="2534" customFormat="false" ht="15" hidden="false" customHeight="false" outlineLevel="0" collapsed="false">
      <c r="B2534" s="19" t="s">
        <v>25217</v>
      </c>
      <c r="C2534" s="20" t="n">
        <f aca="false">ROUND(12.56/FX,2)</f>
        <v>1.74</v>
      </c>
      <c r="D2534" s="21" t="s">
        <v>724</v>
      </c>
      <c r="E2534" s="21" t="s">
        <v>25190</v>
      </c>
      <c r="F2534" s="21" t="s">
        <v>25218</v>
      </c>
    </row>
    <row r="2535" customFormat="false" ht="15" hidden="false" customHeight="false" outlineLevel="0" collapsed="false">
      <c r="B2535" s="19" t="s">
        <v>25219</v>
      </c>
      <c r="C2535" s="20" t="n">
        <f aca="false">ROUND(12.76/FX,2)</f>
        <v>1.77</v>
      </c>
      <c r="D2535" s="21" t="s">
        <v>724</v>
      </c>
      <c r="E2535" s="21" t="s">
        <v>25190</v>
      </c>
      <c r="F2535" s="21" t="s">
        <v>2052</v>
      </c>
    </row>
    <row r="2536" customFormat="false" ht="15" hidden="false" customHeight="false" outlineLevel="0" collapsed="false">
      <c r="B2536" s="19" t="s">
        <v>25220</v>
      </c>
      <c r="C2536" s="20" t="n">
        <f aca="false">ROUND(12.99/FX,2)</f>
        <v>1.8</v>
      </c>
      <c r="D2536" s="21" t="s">
        <v>724</v>
      </c>
      <c r="E2536" s="21" t="s">
        <v>25190</v>
      </c>
      <c r="F2536" s="21" t="s">
        <v>2062</v>
      </c>
    </row>
    <row r="2537" customFormat="false" ht="15" hidden="false" customHeight="false" outlineLevel="0" collapsed="false">
      <c r="B2537" s="19" t="s">
        <v>25221</v>
      </c>
      <c r="C2537" s="20" t="n">
        <f aca="false">ROUND(13.05/FX,2)</f>
        <v>1.81</v>
      </c>
      <c r="D2537" s="21" t="s">
        <v>724</v>
      </c>
      <c r="E2537" s="21" t="s">
        <v>25190</v>
      </c>
      <c r="F2537" s="21" t="s">
        <v>2067</v>
      </c>
    </row>
    <row r="2538" customFormat="false" ht="15" hidden="false" customHeight="false" outlineLevel="0" collapsed="false">
      <c r="B2538" s="19" t="s">
        <v>25222</v>
      </c>
      <c r="C2538" s="20" t="n">
        <f aca="false">ROUND(13.17/FX,2)</f>
        <v>1.83</v>
      </c>
      <c r="D2538" s="21" t="s">
        <v>724</v>
      </c>
      <c r="E2538" s="21" t="s">
        <v>25190</v>
      </c>
      <c r="F2538" s="21" t="s">
        <v>2072</v>
      </c>
    </row>
    <row r="2539" customFormat="false" ht="15" hidden="false" customHeight="false" outlineLevel="0" collapsed="false">
      <c r="B2539" s="19" t="s">
        <v>25223</v>
      </c>
      <c r="C2539" s="20" t="n">
        <f aca="false">ROUND(13.34/FX,2)</f>
        <v>1.85</v>
      </c>
      <c r="D2539" s="21" t="s">
        <v>724</v>
      </c>
      <c r="E2539" s="21" t="s">
        <v>25190</v>
      </c>
      <c r="F2539" s="21" t="s">
        <v>2082</v>
      </c>
    </row>
    <row r="2540" customFormat="false" ht="15" hidden="false" customHeight="false" outlineLevel="0" collapsed="false">
      <c r="B2540" s="19" t="s">
        <v>25224</v>
      </c>
      <c r="C2540" s="20" t="n">
        <f aca="false">ROUND(13.43/FX,2)</f>
        <v>1.87</v>
      </c>
      <c r="D2540" s="21" t="s">
        <v>724</v>
      </c>
      <c r="E2540" s="21" t="s">
        <v>25190</v>
      </c>
      <c r="F2540" s="21" t="s">
        <v>25225</v>
      </c>
    </row>
    <row r="2541" customFormat="false" ht="15" hidden="false" customHeight="false" outlineLevel="0" collapsed="false">
      <c r="B2541" s="19" t="s">
        <v>25226</v>
      </c>
      <c r="C2541" s="20" t="n">
        <f aca="false">ROUND(13.49/FX,2)</f>
        <v>1.87</v>
      </c>
      <c r="D2541" s="21" t="s">
        <v>724</v>
      </c>
      <c r="E2541" s="21" t="s">
        <v>25190</v>
      </c>
      <c r="F2541" s="21" t="s">
        <v>3520</v>
      </c>
    </row>
    <row r="2542" customFormat="false" ht="15" hidden="false" customHeight="false" outlineLevel="0" collapsed="false">
      <c r="B2542" s="19" t="s">
        <v>25227</v>
      </c>
      <c r="C2542" s="20" t="n">
        <f aca="false">ROUND(13.63/FX,2)</f>
        <v>1.89</v>
      </c>
      <c r="D2542" s="21" t="s">
        <v>724</v>
      </c>
      <c r="E2542" s="21" t="s">
        <v>25190</v>
      </c>
      <c r="F2542" s="21" t="s">
        <v>2097</v>
      </c>
    </row>
    <row r="2543" customFormat="false" ht="15" hidden="false" customHeight="false" outlineLevel="0" collapsed="false">
      <c r="B2543" s="19" t="s">
        <v>25228</v>
      </c>
      <c r="C2543" s="20" t="n">
        <f aca="false">ROUND(14.07/FX,2)</f>
        <v>1.95</v>
      </c>
      <c r="D2543" s="21" t="s">
        <v>724</v>
      </c>
      <c r="E2543" s="21" t="s">
        <v>25190</v>
      </c>
      <c r="F2543" s="21" t="s">
        <v>5288</v>
      </c>
    </row>
    <row r="2544" customFormat="false" ht="15" hidden="false" customHeight="false" outlineLevel="0" collapsed="false">
      <c r="B2544" s="19" t="s">
        <v>25229</v>
      </c>
      <c r="C2544" s="20" t="n">
        <f aca="false">ROUND(14.15/FX,2)</f>
        <v>1.97</v>
      </c>
      <c r="D2544" s="21" t="s">
        <v>724</v>
      </c>
      <c r="E2544" s="21" t="s">
        <v>25190</v>
      </c>
      <c r="F2544" s="21" t="s">
        <v>2122</v>
      </c>
    </row>
    <row r="2545" customFormat="false" ht="15" hidden="false" customHeight="false" outlineLevel="0" collapsed="false">
      <c r="B2545" s="19" t="s">
        <v>25230</v>
      </c>
      <c r="C2545" s="20" t="n">
        <f aca="false">ROUND(14.32/FX,2)</f>
        <v>1.99</v>
      </c>
      <c r="D2545" s="21" t="s">
        <v>724</v>
      </c>
      <c r="E2545" s="21" t="s">
        <v>25190</v>
      </c>
      <c r="F2545" s="21" t="s">
        <v>2137</v>
      </c>
    </row>
    <row r="2546" customFormat="false" ht="15" hidden="false" customHeight="false" outlineLevel="0" collapsed="false">
      <c r="B2546" s="19" t="s">
        <v>25231</v>
      </c>
      <c r="C2546" s="20" t="n">
        <f aca="false">ROUND(14.5/FX,2)</f>
        <v>2.01</v>
      </c>
      <c r="D2546" s="21" t="s">
        <v>724</v>
      </c>
      <c r="E2546" s="21" t="s">
        <v>25190</v>
      </c>
      <c r="F2546" s="21" t="s">
        <v>2142</v>
      </c>
    </row>
    <row r="2547" customFormat="false" ht="15" hidden="false" customHeight="false" outlineLevel="0" collapsed="false">
      <c r="B2547" s="19" t="s">
        <v>25232</v>
      </c>
      <c r="C2547" s="20" t="n">
        <f aca="false">ROUND(15.08/FX,2)</f>
        <v>2.09</v>
      </c>
      <c r="D2547" s="21" t="s">
        <v>724</v>
      </c>
      <c r="E2547" s="21" t="s">
        <v>25190</v>
      </c>
      <c r="F2547" s="21" t="s">
        <v>2162</v>
      </c>
    </row>
    <row r="2548" customFormat="false" ht="15" hidden="false" customHeight="false" outlineLevel="0" collapsed="false">
      <c r="B2548" s="19" t="s">
        <v>25233</v>
      </c>
      <c r="C2548" s="20" t="n">
        <f aca="false">ROUND(15.37/FX,2)</f>
        <v>2.13</v>
      </c>
      <c r="D2548" s="21" t="s">
        <v>724</v>
      </c>
      <c r="E2548" s="21" t="s">
        <v>25190</v>
      </c>
      <c r="F2548" s="21" t="s">
        <v>2177</v>
      </c>
    </row>
    <row r="2549" customFormat="false" ht="15" hidden="false" customHeight="false" outlineLevel="0" collapsed="false">
      <c r="B2549" s="19" t="s">
        <v>25234</v>
      </c>
      <c r="C2549" s="20" t="n">
        <f aca="false">ROUND(15.95/FX,2)</f>
        <v>2.22</v>
      </c>
      <c r="D2549" s="21" t="s">
        <v>724</v>
      </c>
      <c r="E2549" s="21" t="s">
        <v>25190</v>
      </c>
      <c r="F2549" s="21" t="s">
        <v>2187</v>
      </c>
    </row>
    <row r="2550" customFormat="false" ht="15" hidden="false" customHeight="false" outlineLevel="0" collapsed="false">
      <c r="B2550" s="19" t="s">
        <v>25235</v>
      </c>
      <c r="C2550" s="20" t="n">
        <f aca="false">ROUND(16.07/FX,2)</f>
        <v>2.23</v>
      </c>
      <c r="D2550" s="21" t="s">
        <v>724</v>
      </c>
      <c r="E2550" s="21" t="s">
        <v>25190</v>
      </c>
      <c r="F2550" s="21" t="s">
        <v>2192</v>
      </c>
    </row>
    <row r="2551" customFormat="false" ht="15" hidden="false" customHeight="false" outlineLevel="0" collapsed="false">
      <c r="B2551" s="19" t="s">
        <v>25236</v>
      </c>
      <c r="C2551" s="20" t="n">
        <f aca="false">ROUND(16.24/FX,2)</f>
        <v>2.26</v>
      </c>
      <c r="D2551" s="21" t="s">
        <v>724</v>
      </c>
      <c r="E2551" s="21" t="s">
        <v>25190</v>
      </c>
      <c r="F2551" s="21" t="s">
        <v>11740</v>
      </c>
    </row>
    <row r="2552" customFormat="false" ht="15" hidden="false" customHeight="false" outlineLevel="0" collapsed="false">
      <c r="B2552" s="19" t="s">
        <v>25237</v>
      </c>
      <c r="C2552" s="20" t="n">
        <f aca="false">ROUND(17.4/FX,2)</f>
        <v>2.42</v>
      </c>
      <c r="D2552" s="21" t="s">
        <v>724</v>
      </c>
      <c r="E2552" s="21" t="s">
        <v>25190</v>
      </c>
      <c r="F2552" s="21" t="s">
        <v>2227</v>
      </c>
    </row>
    <row r="2553" customFormat="false" ht="15" hidden="false" customHeight="false" outlineLevel="0" collapsed="false">
      <c r="B2553" s="19" t="s">
        <v>25238</v>
      </c>
      <c r="C2553" s="20" t="n">
        <f aca="false">ROUND(17.98/FX,2)</f>
        <v>2.5</v>
      </c>
      <c r="D2553" s="21" t="s">
        <v>724</v>
      </c>
      <c r="E2553" s="21" t="s">
        <v>25190</v>
      </c>
      <c r="F2553" s="21" t="s">
        <v>5448</v>
      </c>
    </row>
    <row r="2554" customFormat="false" ht="15" hidden="false" customHeight="false" outlineLevel="0" collapsed="false">
      <c r="B2554" s="19" t="s">
        <v>25239</v>
      </c>
      <c r="C2554" s="20" t="n">
        <f aca="false">ROUND(18.85/FX,2)</f>
        <v>2.62</v>
      </c>
      <c r="D2554" s="21" t="s">
        <v>724</v>
      </c>
      <c r="E2554" s="21" t="s">
        <v>25190</v>
      </c>
      <c r="F2554" s="21" t="s">
        <v>2297</v>
      </c>
    </row>
    <row r="2555" customFormat="false" ht="15" hidden="false" customHeight="false" outlineLevel="0" collapsed="false">
      <c r="B2555" s="19" t="s">
        <v>25240</v>
      </c>
      <c r="C2555" s="20" t="n">
        <f aca="false">ROUND(4.08/FX,2)</f>
        <v>0.57</v>
      </c>
      <c r="D2555" s="21" t="s">
        <v>724</v>
      </c>
      <c r="E2555" s="21" t="s">
        <v>25190</v>
      </c>
      <c r="F2555" s="21" t="s">
        <v>3141</v>
      </c>
    </row>
    <row r="2556" customFormat="false" ht="15" hidden="false" customHeight="false" outlineLevel="0" collapsed="false">
      <c r="B2556" s="19" t="s">
        <v>25241</v>
      </c>
      <c r="C2556" s="20" t="n">
        <f aca="false">ROUND(2.75/FX,2)</f>
        <v>0.38</v>
      </c>
      <c r="D2556" s="21" t="s">
        <v>6549</v>
      </c>
      <c r="E2556" s="21" t="s">
        <v>25190</v>
      </c>
      <c r="F2556" s="21" t="s">
        <v>2600</v>
      </c>
    </row>
    <row r="2557" customFormat="false" ht="15" hidden="false" customHeight="false" outlineLevel="0" collapsed="false">
      <c r="B2557" s="19" t="s">
        <v>25242</v>
      </c>
      <c r="C2557" s="20" t="n">
        <f aca="false">ROUND(3.03/FX,2)</f>
        <v>0.42</v>
      </c>
      <c r="D2557" s="21" t="s">
        <v>6549</v>
      </c>
      <c r="E2557" s="21" t="s">
        <v>25190</v>
      </c>
      <c r="F2557" s="21" t="s">
        <v>2651</v>
      </c>
    </row>
    <row r="2558" customFormat="false" ht="15" hidden="false" customHeight="false" outlineLevel="0" collapsed="false">
      <c r="B2558" s="19" t="s">
        <v>25243</v>
      </c>
      <c r="C2558" s="20" t="n">
        <f aca="false">ROUND(30.25/FX,2)</f>
        <v>4.2</v>
      </c>
      <c r="D2558" s="21" t="s">
        <v>6549</v>
      </c>
      <c r="E2558" s="21" t="s">
        <v>25190</v>
      </c>
      <c r="F2558" s="21" t="s">
        <v>1768</v>
      </c>
    </row>
    <row r="2559" customFormat="false" ht="15" hidden="false" customHeight="false" outlineLevel="0" collapsed="false">
      <c r="B2559" s="19" t="s">
        <v>25244</v>
      </c>
      <c r="C2559" s="20" t="n">
        <f aca="false">ROUND(5.23/FX,2)</f>
        <v>0.73</v>
      </c>
      <c r="D2559" s="21" t="s">
        <v>6549</v>
      </c>
      <c r="E2559" s="21" t="s">
        <v>25190</v>
      </c>
      <c r="F2559" s="21" t="s">
        <v>993</v>
      </c>
    </row>
    <row r="2560" customFormat="false" ht="15" hidden="false" customHeight="false" outlineLevel="0" collapsed="false">
      <c r="B2560" s="19" t="s">
        <v>25245</v>
      </c>
      <c r="C2560" s="20" t="n">
        <f aca="false">ROUND(5.5/FX,2)</f>
        <v>0.76</v>
      </c>
      <c r="D2560" s="21" t="s">
        <v>6549</v>
      </c>
      <c r="E2560" s="21" t="s">
        <v>25190</v>
      </c>
      <c r="F2560" s="21" t="s">
        <v>1048</v>
      </c>
    </row>
    <row r="2561" customFormat="false" ht="15" hidden="false" customHeight="false" outlineLevel="0" collapsed="false">
      <c r="B2561" s="19" t="s">
        <v>25246</v>
      </c>
      <c r="C2561" s="20" t="n">
        <f aca="false">ROUND(6.33/FX,2)</f>
        <v>0.88</v>
      </c>
      <c r="D2561" s="21" t="s">
        <v>6549</v>
      </c>
      <c r="E2561" s="21" t="s">
        <v>25190</v>
      </c>
      <c r="F2561" s="21" t="s">
        <v>1213</v>
      </c>
    </row>
    <row r="2562" customFormat="false" ht="15" hidden="false" customHeight="false" outlineLevel="0" collapsed="false">
      <c r="B2562" s="19" t="s">
        <v>25247</v>
      </c>
      <c r="C2562" s="20" t="n">
        <f aca="false">ROUND(6.88/FX,2)</f>
        <v>0.96</v>
      </c>
      <c r="D2562" s="21" t="s">
        <v>6549</v>
      </c>
      <c r="E2562" s="21" t="s">
        <v>25190</v>
      </c>
      <c r="F2562" s="21" t="s">
        <v>1323</v>
      </c>
    </row>
    <row r="2563" customFormat="false" ht="15" hidden="false" customHeight="false" outlineLevel="0" collapsed="false">
      <c r="B2563" s="19" t="s">
        <v>25248</v>
      </c>
      <c r="C2563" s="20" t="n">
        <f aca="false">ROUND(7.29/FX,2)</f>
        <v>1.01</v>
      </c>
      <c r="D2563" s="21" t="s">
        <v>6549</v>
      </c>
      <c r="E2563" s="21" t="s">
        <v>25190</v>
      </c>
      <c r="F2563" s="21" t="s">
        <v>4130</v>
      </c>
    </row>
    <row r="2564" customFormat="false" ht="15" hidden="false" customHeight="false" outlineLevel="0" collapsed="false">
      <c r="B2564" s="19" t="s">
        <v>25249</v>
      </c>
      <c r="C2564" s="20" t="n">
        <f aca="false">ROUND(7.43/FX,2)</f>
        <v>1.03</v>
      </c>
      <c r="D2564" s="21" t="s">
        <v>6549</v>
      </c>
      <c r="E2564" s="21" t="s">
        <v>25190</v>
      </c>
      <c r="F2564" s="21" t="s">
        <v>1433</v>
      </c>
    </row>
    <row r="2565" customFormat="false" ht="15" hidden="false" customHeight="false" outlineLevel="0" collapsed="false">
      <c r="B2565" s="19" t="s">
        <v>25250</v>
      </c>
      <c r="C2565" s="20" t="n">
        <f aca="false">ROUND(8.25/FX,2)</f>
        <v>1.15</v>
      </c>
      <c r="D2565" s="21" t="s">
        <v>6549</v>
      </c>
      <c r="E2565" s="21" t="s">
        <v>25190</v>
      </c>
      <c r="F2565" s="21" t="s">
        <v>1520</v>
      </c>
    </row>
    <row r="2566" customFormat="false" ht="15" hidden="false" customHeight="false" outlineLevel="0" collapsed="false">
      <c r="B2566" s="19" t="s">
        <v>25251</v>
      </c>
      <c r="C2566" s="20" t="n">
        <f aca="false">ROUND(8.61/FX,2)</f>
        <v>1.2</v>
      </c>
      <c r="D2566" s="21" t="s">
        <v>6549</v>
      </c>
      <c r="E2566" s="21" t="s">
        <v>25190</v>
      </c>
      <c r="F2566" s="21" t="s">
        <v>25065</v>
      </c>
    </row>
    <row r="2567" customFormat="false" ht="15" hidden="false" customHeight="false" outlineLevel="0" collapsed="false">
      <c r="B2567" s="19" t="s">
        <v>25252</v>
      </c>
      <c r="C2567" s="20" t="n">
        <f aca="false">ROUND(9.08/FX,2)</f>
        <v>1.26</v>
      </c>
      <c r="D2567" s="21" t="s">
        <v>6549</v>
      </c>
      <c r="E2567" s="21" t="s">
        <v>25190</v>
      </c>
      <c r="F2567" s="21" t="s">
        <v>1595</v>
      </c>
    </row>
    <row r="2568" customFormat="false" ht="15" hidden="false" customHeight="false" outlineLevel="0" collapsed="false">
      <c r="B2568" s="19" t="s">
        <v>25253</v>
      </c>
      <c r="C2568" s="20" t="n">
        <f aca="false">ROUND(9.35/FX,2)</f>
        <v>1.3</v>
      </c>
      <c r="D2568" s="21" t="s">
        <v>6549</v>
      </c>
      <c r="E2568" s="21" t="s">
        <v>25190</v>
      </c>
      <c r="F2568" s="21" t="s">
        <v>1615</v>
      </c>
    </row>
    <row r="2569" customFormat="false" ht="15" hidden="false" customHeight="false" outlineLevel="0" collapsed="false">
      <c r="B2569" s="19" t="s">
        <v>25254</v>
      </c>
      <c r="C2569" s="20" t="n">
        <f aca="false">ROUND(9.9/FX,2)</f>
        <v>1.38</v>
      </c>
      <c r="D2569" s="21" t="s">
        <v>6549</v>
      </c>
      <c r="E2569" s="21" t="s">
        <v>25190</v>
      </c>
      <c r="F2569" s="21" t="s">
        <v>1655</v>
      </c>
    </row>
    <row r="2570" customFormat="false" ht="15" hidden="false" customHeight="false" outlineLevel="0" collapsed="false">
      <c r="B2570" s="19" t="s">
        <v>25255</v>
      </c>
      <c r="C2570" s="20" t="n">
        <f aca="false">ROUND(10.18/FX,2)</f>
        <v>1.41</v>
      </c>
      <c r="D2570" s="21" t="s">
        <v>6549</v>
      </c>
      <c r="E2570" s="21" t="s">
        <v>25190</v>
      </c>
      <c r="F2570" s="21" t="s">
        <v>1670</v>
      </c>
    </row>
    <row r="2571" customFormat="false" ht="15" hidden="false" customHeight="false" outlineLevel="0" collapsed="false">
      <c r="B2571" s="19" t="s">
        <v>25256</v>
      </c>
      <c r="C2571" s="20" t="n">
        <f aca="false">ROUND(11/FX,2)</f>
        <v>1.53</v>
      </c>
      <c r="D2571" s="21" t="s">
        <v>6549</v>
      </c>
      <c r="E2571" s="21" t="s">
        <v>25190</v>
      </c>
      <c r="F2571" s="21" t="s">
        <v>2002</v>
      </c>
    </row>
    <row r="2572" customFormat="false" ht="15" hidden="false" customHeight="false" outlineLevel="0" collapsed="false">
      <c r="B2572" s="19" t="s">
        <v>25257</v>
      </c>
      <c r="C2572" s="20" t="n">
        <f aca="false">ROUND(11.55/FX,2)</f>
        <v>1.6</v>
      </c>
      <c r="D2572" s="21" t="s">
        <v>6549</v>
      </c>
      <c r="E2572" s="21" t="s">
        <v>25190</v>
      </c>
      <c r="F2572" s="21" t="s">
        <v>2022</v>
      </c>
    </row>
    <row r="2573" customFormat="false" ht="15" hidden="false" customHeight="false" outlineLevel="0" collapsed="false">
      <c r="B2573" s="19" t="s">
        <v>25258</v>
      </c>
      <c r="C2573" s="20" t="n">
        <f aca="false">ROUND(11.91/FX,2)</f>
        <v>1.65</v>
      </c>
      <c r="D2573" s="21" t="s">
        <v>6549</v>
      </c>
      <c r="E2573" s="21" t="s">
        <v>25190</v>
      </c>
      <c r="F2573" s="21" t="s">
        <v>25218</v>
      </c>
    </row>
    <row r="2574" customFormat="false" ht="15" hidden="false" customHeight="false" outlineLevel="0" collapsed="false">
      <c r="B2574" s="19" t="s">
        <v>25259</v>
      </c>
      <c r="C2574" s="20" t="n">
        <f aca="false">ROUND(13.22/FX,2)</f>
        <v>1.84</v>
      </c>
      <c r="D2574" s="21" t="s">
        <v>6549</v>
      </c>
      <c r="E2574" s="21" t="s">
        <v>25190</v>
      </c>
      <c r="F2574" s="21" t="s">
        <v>2062</v>
      </c>
    </row>
    <row r="2575" customFormat="false" ht="15" hidden="false" customHeight="false" outlineLevel="0" collapsed="false">
      <c r="B2575" s="19" t="s">
        <v>25260</v>
      </c>
      <c r="C2575" s="20" t="n">
        <f aca="false">ROUND(12.38/FX,2)</f>
        <v>1.72</v>
      </c>
      <c r="D2575" s="21" t="s">
        <v>6549</v>
      </c>
      <c r="E2575" s="21" t="s">
        <v>25190</v>
      </c>
      <c r="F2575" s="21" t="s">
        <v>2067</v>
      </c>
    </row>
    <row r="2576" customFormat="false" ht="15" hidden="false" customHeight="false" outlineLevel="0" collapsed="false">
      <c r="B2576" s="19" t="s">
        <v>25261</v>
      </c>
      <c r="C2576" s="20" t="n">
        <f aca="false">ROUND(12.49/FX,2)</f>
        <v>1.73</v>
      </c>
      <c r="D2576" s="21" t="s">
        <v>6549</v>
      </c>
      <c r="E2576" s="21" t="s">
        <v>25190</v>
      </c>
      <c r="F2576" s="21" t="s">
        <v>2072</v>
      </c>
    </row>
    <row r="2577" customFormat="false" ht="15" hidden="false" customHeight="false" outlineLevel="0" collapsed="false">
      <c r="B2577" s="19" t="s">
        <v>25262</v>
      </c>
      <c r="C2577" s="20" t="n">
        <f aca="false">ROUND(12.65/FX,2)</f>
        <v>1.76</v>
      </c>
      <c r="D2577" s="21" t="s">
        <v>6549</v>
      </c>
      <c r="E2577" s="21" t="s">
        <v>25190</v>
      </c>
      <c r="F2577" s="21" t="s">
        <v>2082</v>
      </c>
    </row>
    <row r="2578" customFormat="false" ht="15" hidden="false" customHeight="false" outlineLevel="0" collapsed="false">
      <c r="B2578" s="19" t="s">
        <v>25263</v>
      </c>
      <c r="C2578" s="20" t="n">
        <f aca="false">ROUND(13.42/FX,2)</f>
        <v>1.86</v>
      </c>
      <c r="D2578" s="21" t="s">
        <v>6549</v>
      </c>
      <c r="E2578" s="21" t="s">
        <v>25190</v>
      </c>
      <c r="F2578" s="21" t="s">
        <v>2122</v>
      </c>
    </row>
    <row r="2579" customFormat="false" ht="15" hidden="false" customHeight="false" outlineLevel="0" collapsed="false">
      <c r="B2579" s="19" t="s">
        <v>25264</v>
      </c>
      <c r="C2579" s="20" t="n">
        <f aca="false">ROUND(13.59/FX,2)</f>
        <v>1.89</v>
      </c>
      <c r="D2579" s="21" t="s">
        <v>6549</v>
      </c>
      <c r="E2579" s="21" t="s">
        <v>25190</v>
      </c>
      <c r="F2579" s="21" t="s">
        <v>2137</v>
      </c>
    </row>
    <row r="2580" customFormat="false" ht="15" hidden="false" customHeight="false" outlineLevel="0" collapsed="false">
      <c r="B2580" s="19" t="s">
        <v>25265</v>
      </c>
      <c r="C2580" s="20" t="n">
        <f aca="false">ROUND(13.61/FX,2)</f>
        <v>1.89</v>
      </c>
      <c r="D2580" s="21" t="s">
        <v>6549</v>
      </c>
      <c r="E2580" s="21" t="s">
        <v>25190</v>
      </c>
      <c r="F2580" s="21" t="s">
        <v>3597</v>
      </c>
    </row>
    <row r="2581" customFormat="false" ht="15" hidden="false" customHeight="false" outlineLevel="0" collapsed="false">
      <c r="B2581" s="19" t="s">
        <v>25266</v>
      </c>
      <c r="C2581" s="20" t="n">
        <f aca="false">ROUND(13.75/FX,2)</f>
        <v>1.91</v>
      </c>
      <c r="D2581" s="21" t="s">
        <v>6549</v>
      </c>
      <c r="E2581" s="21" t="s">
        <v>25190</v>
      </c>
      <c r="F2581" s="21" t="s">
        <v>2142</v>
      </c>
    </row>
    <row r="2582" customFormat="false" ht="15" hidden="false" customHeight="false" outlineLevel="0" collapsed="false">
      <c r="B2582" s="19" t="s">
        <v>25267</v>
      </c>
      <c r="C2582" s="20" t="n">
        <f aca="false">ROUND(14.3/FX,2)</f>
        <v>1.99</v>
      </c>
      <c r="D2582" s="21" t="s">
        <v>6549</v>
      </c>
      <c r="E2582" s="21" t="s">
        <v>25190</v>
      </c>
      <c r="F2582" s="21" t="s">
        <v>2162</v>
      </c>
    </row>
    <row r="2583" customFormat="false" ht="15" hidden="false" customHeight="false" outlineLevel="0" collapsed="false">
      <c r="B2583" s="19" t="s">
        <v>25268</v>
      </c>
      <c r="C2583" s="20" t="n">
        <f aca="false">ROUND(15.4/FX,2)</f>
        <v>2.14</v>
      </c>
      <c r="D2583" s="21" t="s">
        <v>6549</v>
      </c>
      <c r="E2583" s="21" t="s">
        <v>25190</v>
      </c>
      <c r="F2583" s="21" t="s">
        <v>11740</v>
      </c>
    </row>
    <row r="2584" customFormat="false" ht="15" hidden="false" customHeight="false" outlineLevel="0" collapsed="false">
      <c r="B2584" s="19" t="s">
        <v>25269</v>
      </c>
      <c r="C2584" s="20" t="n">
        <f aca="false">ROUND(16.5/FX,2)</f>
        <v>2.29</v>
      </c>
      <c r="D2584" s="21" t="s">
        <v>6549</v>
      </c>
      <c r="E2584" s="21" t="s">
        <v>25190</v>
      </c>
      <c r="F2584" s="21" t="s">
        <v>2227</v>
      </c>
    </row>
    <row r="2585" customFormat="false" ht="15" hidden="false" customHeight="false" outlineLevel="0" collapsed="false">
      <c r="B2585" s="19" t="s">
        <v>25270</v>
      </c>
      <c r="C2585" s="20" t="n">
        <f aca="false">ROUND(18.29/FX,2)</f>
        <v>2.54</v>
      </c>
      <c r="D2585" s="21" t="s">
        <v>6549</v>
      </c>
      <c r="E2585" s="21" t="s">
        <v>25190</v>
      </c>
      <c r="F2585" s="21" t="s">
        <v>6516</v>
      </c>
    </row>
    <row r="2586" customFormat="false" ht="15" hidden="false" customHeight="false" outlineLevel="0" collapsed="false">
      <c r="B2586" s="19" t="s">
        <v>25271</v>
      </c>
      <c r="C2586" s="20" t="n">
        <f aca="false">ROUND(19.25/FX,2)</f>
        <v>2.67</v>
      </c>
      <c r="D2586" s="21" t="s">
        <v>6549</v>
      </c>
      <c r="E2586" s="21" t="s">
        <v>25190</v>
      </c>
      <c r="F2586" s="21" t="s">
        <v>2351</v>
      </c>
    </row>
    <row r="2587" customFormat="false" ht="15" hidden="false" customHeight="false" outlineLevel="0" collapsed="false">
      <c r="B2587" s="19" t="s">
        <v>25272</v>
      </c>
      <c r="C2587" s="20" t="n">
        <f aca="false">ROUND(20.49/FX,2)</f>
        <v>2.85</v>
      </c>
      <c r="D2587" s="21" t="s">
        <v>6549</v>
      </c>
      <c r="E2587" s="21" t="s">
        <v>25190</v>
      </c>
      <c r="F2587" s="21" t="s">
        <v>25273</v>
      </c>
    </row>
    <row r="2588" customFormat="false" ht="15" hidden="false" customHeight="false" outlineLevel="0" collapsed="false">
      <c r="B2588" s="19" t="s">
        <v>25274</v>
      </c>
      <c r="C2588" s="20" t="n">
        <f aca="false">ROUND(20.63/FX,2)</f>
        <v>2.87</v>
      </c>
      <c r="D2588" s="21" t="s">
        <v>6549</v>
      </c>
      <c r="E2588" s="21" t="s">
        <v>25190</v>
      </c>
      <c r="F2588" s="21" t="s">
        <v>2400</v>
      </c>
    </row>
    <row r="2589" customFormat="false" ht="15" hidden="false" customHeight="false" outlineLevel="0" collapsed="false">
      <c r="B2589" s="19" t="s">
        <v>25275</v>
      </c>
      <c r="C2589" s="20" t="n">
        <f aca="false">ROUND(25.14/FX,2)</f>
        <v>3.49</v>
      </c>
      <c r="D2589" s="21" t="s">
        <v>6549</v>
      </c>
      <c r="E2589" s="21" t="s">
        <v>25190</v>
      </c>
      <c r="F2589" s="21" t="s">
        <v>25276</v>
      </c>
    </row>
    <row r="2590" customFormat="false" ht="15" hidden="false" customHeight="false" outlineLevel="0" collapsed="false">
      <c r="B2590" s="19" t="s">
        <v>25277</v>
      </c>
      <c r="C2590" s="20" t="n">
        <f aca="false">ROUND(26.24/FX,2)</f>
        <v>3.64</v>
      </c>
      <c r="D2590" s="21" t="s">
        <v>6549</v>
      </c>
      <c r="E2590" s="21" t="s">
        <v>25190</v>
      </c>
      <c r="F2590" s="21" t="s">
        <v>25278</v>
      </c>
    </row>
    <row r="2591" customFormat="false" ht="15" hidden="false" customHeight="false" outlineLevel="0" collapsed="false">
      <c r="B2591" s="19" t="s">
        <v>25279</v>
      </c>
      <c r="C2591" s="20" t="n">
        <f aca="false">ROUND(3.85/FX,2)</f>
        <v>0.53</v>
      </c>
      <c r="D2591" s="21" t="s">
        <v>6549</v>
      </c>
      <c r="E2591" s="21" t="s">
        <v>25280</v>
      </c>
      <c r="F2591" s="21" t="s">
        <v>2600</v>
      </c>
    </row>
    <row r="2592" customFormat="false" ht="15" hidden="false" customHeight="false" outlineLevel="0" collapsed="false">
      <c r="B2592" s="19" t="s">
        <v>25281</v>
      </c>
      <c r="C2592" s="20" t="n">
        <f aca="false">ROUND(5.78/FX,2)</f>
        <v>0.8</v>
      </c>
      <c r="D2592" s="21" t="s">
        <v>6549</v>
      </c>
      <c r="E2592" s="21" t="s">
        <v>25280</v>
      </c>
      <c r="F2592" s="21" t="s">
        <v>2851</v>
      </c>
    </row>
    <row r="2593" customFormat="false" ht="15" hidden="false" customHeight="false" outlineLevel="0" collapsed="false">
      <c r="B2593" s="19" t="s">
        <v>25282</v>
      </c>
      <c r="C2593" s="20" t="n">
        <f aca="false">ROUND(7.7/FX,2)</f>
        <v>1.07</v>
      </c>
      <c r="D2593" s="21" t="s">
        <v>6549</v>
      </c>
      <c r="E2593" s="21" t="s">
        <v>25280</v>
      </c>
      <c r="F2593" s="21" t="s">
        <v>1048</v>
      </c>
    </row>
    <row r="2594" customFormat="false" ht="15" hidden="false" customHeight="false" outlineLevel="0" collapsed="false">
      <c r="B2594" s="19" t="s">
        <v>25283</v>
      </c>
      <c r="C2594" s="20" t="n">
        <f aca="false">ROUND(15.4/FX,2)</f>
        <v>2.14</v>
      </c>
      <c r="D2594" s="21" t="s">
        <v>6549</v>
      </c>
      <c r="E2594" s="21" t="s">
        <v>25280</v>
      </c>
      <c r="F2594" s="21" t="s">
        <v>2002</v>
      </c>
    </row>
    <row r="2595" customFormat="false" ht="15" hidden="false" customHeight="false" outlineLevel="0" collapsed="false">
      <c r="B2595" s="19" t="s">
        <v>25284</v>
      </c>
      <c r="C2595" s="20" t="n">
        <f aca="false">ROUND(21.17/FX,2)</f>
        <v>2.94</v>
      </c>
      <c r="D2595" s="21" t="s">
        <v>6549</v>
      </c>
      <c r="E2595" s="21" t="s">
        <v>25280</v>
      </c>
      <c r="F2595" s="21" t="s">
        <v>2187</v>
      </c>
    </row>
    <row r="2596" customFormat="false" ht="15" hidden="false" customHeight="false" outlineLevel="0" collapsed="false">
      <c r="B2596" s="19" t="s">
        <v>25285</v>
      </c>
      <c r="C2596" s="20" t="n">
        <f aca="false">ROUND(23.1/FX,2)</f>
        <v>3.21</v>
      </c>
      <c r="D2596" s="21" t="s">
        <v>6549</v>
      </c>
      <c r="E2596" s="21" t="s">
        <v>25280</v>
      </c>
      <c r="F2596" s="21" t="s">
        <v>2227</v>
      </c>
    </row>
    <row r="2597" customFormat="false" ht="15" hidden="false" customHeight="false" outlineLevel="0" collapsed="false">
      <c r="B2597" s="19" t="s">
        <v>25286</v>
      </c>
      <c r="C2597" s="20" t="n">
        <f aca="false">ROUND(41.3/FX,2)</f>
        <v>5.74</v>
      </c>
      <c r="D2597" s="21" t="s">
        <v>724</v>
      </c>
      <c r="E2597" s="21" t="s">
        <v>25287</v>
      </c>
      <c r="F2597" s="21" t="s">
        <v>1733</v>
      </c>
    </row>
    <row r="2598" customFormat="false" ht="15" hidden="false" customHeight="false" outlineLevel="0" collapsed="false">
      <c r="B2598" s="19" t="s">
        <v>25288</v>
      </c>
      <c r="C2598" s="20" t="n">
        <f aca="false">ROUND(47.91/FX,2)</f>
        <v>6.65</v>
      </c>
      <c r="D2598" s="21" t="s">
        <v>724</v>
      </c>
      <c r="E2598" s="21" t="s">
        <v>25287</v>
      </c>
      <c r="F2598" s="21" t="s">
        <v>25289</v>
      </c>
    </row>
    <row r="2599" customFormat="false" ht="15" hidden="false" customHeight="false" outlineLevel="0" collapsed="false">
      <c r="B2599" s="19" t="s">
        <v>25290</v>
      </c>
      <c r="C2599" s="20" t="n">
        <f aca="false">ROUND(8.26/FX,2)</f>
        <v>1.15</v>
      </c>
      <c r="D2599" s="21" t="s">
        <v>724</v>
      </c>
      <c r="E2599" s="21" t="s">
        <v>25287</v>
      </c>
      <c r="F2599" s="21" t="s">
        <v>1048</v>
      </c>
    </row>
    <row r="2600" customFormat="false" ht="15" hidden="false" customHeight="false" outlineLevel="0" collapsed="false">
      <c r="B2600" s="19" t="s">
        <v>25291</v>
      </c>
      <c r="C2600" s="20" t="n">
        <f aca="false">ROUND(10.33/FX,2)</f>
        <v>1.43</v>
      </c>
      <c r="D2600" s="21" t="s">
        <v>724</v>
      </c>
      <c r="E2600" s="21" t="s">
        <v>25287</v>
      </c>
      <c r="F2600" s="21" t="s">
        <v>1323</v>
      </c>
    </row>
    <row r="2601" customFormat="false" ht="15" hidden="false" customHeight="false" outlineLevel="0" collapsed="false">
      <c r="B2601" s="19" t="s">
        <v>25292</v>
      </c>
      <c r="C2601" s="20" t="n">
        <f aca="false">ROUND(12.39/FX,2)</f>
        <v>1.72</v>
      </c>
      <c r="D2601" s="21" t="s">
        <v>724</v>
      </c>
      <c r="E2601" s="21" t="s">
        <v>25287</v>
      </c>
      <c r="F2601" s="21" t="s">
        <v>1520</v>
      </c>
    </row>
    <row r="2602" customFormat="false" ht="15" hidden="false" customHeight="false" outlineLevel="0" collapsed="false">
      <c r="B2602" s="19" t="s">
        <v>25293</v>
      </c>
      <c r="C2602" s="20" t="n">
        <f aca="false">ROUND(13.22/FX,2)</f>
        <v>1.84</v>
      </c>
      <c r="D2602" s="21" t="s">
        <v>724</v>
      </c>
      <c r="E2602" s="21" t="s">
        <v>25287</v>
      </c>
      <c r="F2602" s="21" t="s">
        <v>1570</v>
      </c>
    </row>
    <row r="2603" customFormat="false" ht="15" hidden="false" customHeight="false" outlineLevel="0" collapsed="false">
      <c r="B2603" s="19" t="s">
        <v>25294</v>
      </c>
      <c r="C2603" s="20" t="n">
        <f aca="false">ROUND(16.52/FX,2)</f>
        <v>2.29</v>
      </c>
      <c r="D2603" s="21" t="s">
        <v>724</v>
      </c>
      <c r="E2603" s="21" t="s">
        <v>25287</v>
      </c>
      <c r="F2603" s="21" t="s">
        <v>2002</v>
      </c>
    </row>
    <row r="2604" customFormat="false" ht="15" hidden="false" customHeight="false" outlineLevel="0" collapsed="false">
      <c r="B2604" s="19" t="s">
        <v>25295</v>
      </c>
      <c r="C2604" s="20" t="n">
        <f aca="false">ROUND(20.07/FX,2)</f>
        <v>2.79</v>
      </c>
      <c r="D2604" s="21" t="s">
        <v>724</v>
      </c>
      <c r="E2604" s="21" t="s">
        <v>25287</v>
      </c>
      <c r="F2604" s="21" t="s">
        <v>3574</v>
      </c>
    </row>
    <row r="2605" customFormat="false" ht="15" hidden="false" customHeight="false" outlineLevel="0" collapsed="false">
      <c r="B2605" s="19" t="s">
        <v>25296</v>
      </c>
      <c r="C2605" s="20" t="n">
        <f aca="false">ROUND(20.65/FX,2)</f>
        <v>2.87</v>
      </c>
      <c r="D2605" s="21" t="s">
        <v>724</v>
      </c>
      <c r="E2605" s="21" t="s">
        <v>25287</v>
      </c>
      <c r="F2605" s="21" t="s">
        <v>2142</v>
      </c>
    </row>
    <row r="2606" customFormat="false" ht="15" hidden="false" customHeight="false" outlineLevel="0" collapsed="false">
      <c r="B2606" s="19" t="s">
        <v>25297</v>
      </c>
      <c r="C2606" s="20" t="n">
        <f aca="false">ROUND(24.78/FX,2)</f>
        <v>3.44</v>
      </c>
      <c r="D2606" s="21" t="s">
        <v>724</v>
      </c>
      <c r="E2606" s="21" t="s">
        <v>25287</v>
      </c>
      <c r="F2606" s="21" t="s">
        <v>2227</v>
      </c>
    </row>
    <row r="2607" customFormat="false" ht="15" hidden="false" customHeight="false" outlineLevel="0" collapsed="false">
      <c r="B2607" s="19" t="s">
        <v>25298</v>
      </c>
      <c r="C2607" s="20" t="n">
        <f aca="false">ROUND(28.91/FX,2)</f>
        <v>4.02</v>
      </c>
      <c r="D2607" s="21" t="s">
        <v>724</v>
      </c>
      <c r="E2607" s="21" t="s">
        <v>25287</v>
      </c>
      <c r="F2607" s="21" t="s">
        <v>2351</v>
      </c>
    </row>
    <row r="2608" customFormat="false" ht="15" hidden="false" customHeight="false" outlineLevel="0" collapsed="false">
      <c r="B2608" s="19" t="s">
        <v>25299</v>
      </c>
      <c r="C2608" s="20" t="n">
        <f aca="false">ROUND(38.5/FX,2)</f>
        <v>5.35</v>
      </c>
      <c r="D2608" s="21" t="s">
        <v>6549</v>
      </c>
      <c r="E2608" s="21" t="s">
        <v>25287</v>
      </c>
      <c r="F2608" s="21" t="s">
        <v>1733</v>
      </c>
    </row>
    <row r="2609" customFormat="false" ht="15" hidden="false" customHeight="false" outlineLevel="0" collapsed="false">
      <c r="B2609" s="19" t="s">
        <v>25300</v>
      </c>
      <c r="C2609" s="20" t="n">
        <f aca="false">ROUND(7.7/FX,2)</f>
        <v>1.07</v>
      </c>
      <c r="D2609" s="21" t="s">
        <v>6549</v>
      </c>
      <c r="E2609" s="21" t="s">
        <v>25287</v>
      </c>
      <c r="F2609" s="21" t="s">
        <v>1048</v>
      </c>
    </row>
    <row r="2610" customFormat="false" ht="15" hidden="false" customHeight="false" outlineLevel="0" collapsed="false">
      <c r="B2610" s="19" t="s">
        <v>25301</v>
      </c>
      <c r="C2610" s="20" t="n">
        <f aca="false">ROUND(9.63/FX,2)</f>
        <v>1.34</v>
      </c>
      <c r="D2610" s="21" t="s">
        <v>6549</v>
      </c>
      <c r="E2610" s="21" t="s">
        <v>25287</v>
      </c>
      <c r="F2610" s="21" t="s">
        <v>1323</v>
      </c>
    </row>
    <row r="2611" customFormat="false" ht="15" hidden="false" customHeight="false" outlineLevel="0" collapsed="false">
      <c r="B2611" s="19" t="s">
        <v>25302</v>
      </c>
      <c r="C2611" s="20" t="n">
        <f aca="false">ROUND(11.5/FX,2)</f>
        <v>1.6</v>
      </c>
      <c r="D2611" s="21" t="s">
        <v>6549</v>
      </c>
      <c r="E2611" s="21" t="s">
        <v>25287</v>
      </c>
      <c r="F2611" s="21" t="s">
        <v>1520</v>
      </c>
    </row>
    <row r="2612" customFormat="false" ht="15" hidden="false" customHeight="false" outlineLevel="0" collapsed="false">
      <c r="B2612" s="19" t="s">
        <v>25303</v>
      </c>
      <c r="C2612" s="20" t="n">
        <f aca="false">ROUND(14.63/FX,2)</f>
        <v>2.03</v>
      </c>
      <c r="D2612" s="21" t="s">
        <v>6549</v>
      </c>
      <c r="E2612" s="21" t="s">
        <v>25287</v>
      </c>
      <c r="F2612" s="21" t="s">
        <v>1685</v>
      </c>
    </row>
    <row r="2613" customFormat="false" ht="15" hidden="false" customHeight="false" outlineLevel="0" collapsed="false">
      <c r="B2613" s="19" t="s">
        <v>25304</v>
      </c>
      <c r="C2613" s="20" t="n">
        <f aca="false">ROUND(15.4/FX,2)</f>
        <v>2.14</v>
      </c>
      <c r="D2613" s="21" t="s">
        <v>6549</v>
      </c>
      <c r="E2613" s="21" t="s">
        <v>25287</v>
      </c>
      <c r="F2613" s="21" t="s">
        <v>2002</v>
      </c>
    </row>
    <row r="2614" customFormat="false" ht="15" hidden="false" customHeight="false" outlineLevel="0" collapsed="false">
      <c r="B2614" s="19" t="s">
        <v>25305</v>
      </c>
      <c r="C2614" s="20" t="n">
        <f aca="false">ROUND(19.25/FX,2)</f>
        <v>2.67</v>
      </c>
      <c r="D2614" s="21" t="s">
        <v>6549</v>
      </c>
      <c r="E2614" s="21" t="s">
        <v>25287</v>
      </c>
      <c r="F2614" s="21" t="s">
        <v>2142</v>
      </c>
    </row>
    <row r="2615" customFormat="false" ht="15" hidden="false" customHeight="false" outlineLevel="0" collapsed="false">
      <c r="B2615" s="19" t="s">
        <v>25306</v>
      </c>
      <c r="C2615" s="20" t="n">
        <f aca="false">ROUND(23.1/FX,2)</f>
        <v>3.21</v>
      </c>
      <c r="D2615" s="21" t="s">
        <v>6549</v>
      </c>
      <c r="E2615" s="21" t="s">
        <v>25287</v>
      </c>
      <c r="F2615" s="21" t="s">
        <v>2227</v>
      </c>
    </row>
    <row r="2616" customFormat="false" ht="15" hidden="false" customHeight="false" outlineLevel="0" collapsed="false">
      <c r="B2616" s="19" t="s">
        <v>25307</v>
      </c>
      <c r="C2616" s="20" t="n">
        <f aca="false">ROUND(7.98/FX,2)</f>
        <v>1.11</v>
      </c>
      <c r="D2616" s="21" t="s">
        <v>6549</v>
      </c>
      <c r="E2616" s="21" t="s">
        <v>25308</v>
      </c>
      <c r="F2616" s="21" t="s">
        <v>2851</v>
      </c>
    </row>
    <row r="2617" customFormat="false" ht="15" hidden="false" customHeight="false" outlineLevel="0" collapsed="false">
      <c r="B2617" s="19" t="s">
        <v>25309</v>
      </c>
      <c r="C2617" s="20" t="n">
        <f aca="false">ROUND(10.52/FX,2)</f>
        <v>1.46</v>
      </c>
      <c r="D2617" s="21" t="s">
        <v>6549</v>
      </c>
      <c r="E2617" s="21" t="s">
        <v>25308</v>
      </c>
      <c r="F2617" s="21" t="s">
        <v>1048</v>
      </c>
    </row>
    <row r="2618" customFormat="false" ht="15" hidden="false" customHeight="false" outlineLevel="0" collapsed="false">
      <c r="B2618" s="19" t="s">
        <v>25310</v>
      </c>
      <c r="C2618" s="20" t="n">
        <f aca="false">ROUND(4.85/FX,2)</f>
        <v>0.67</v>
      </c>
      <c r="D2618" s="21" t="s">
        <v>6549</v>
      </c>
      <c r="E2618" s="21" t="s">
        <v>25308</v>
      </c>
      <c r="F2618" s="21" t="s">
        <v>25311</v>
      </c>
    </row>
    <row r="2619" customFormat="false" ht="15" hidden="false" customHeight="false" outlineLevel="0" collapsed="false">
      <c r="B2619" s="19" t="s">
        <v>25312</v>
      </c>
      <c r="C2619" s="20" t="n">
        <f aca="false">ROUND(5.67/FX,2)</f>
        <v>0.79</v>
      </c>
      <c r="D2619" s="21" t="s">
        <v>724</v>
      </c>
      <c r="E2619" s="21" t="s">
        <v>25313</v>
      </c>
      <c r="F2619" s="21" t="s">
        <v>2600</v>
      </c>
    </row>
    <row r="2620" customFormat="false" ht="15" hidden="false" customHeight="false" outlineLevel="0" collapsed="false">
      <c r="B2620" s="19" t="s">
        <v>25314</v>
      </c>
      <c r="C2620" s="20" t="n">
        <f aca="false">ROUND(8.51/FX,2)</f>
        <v>1.18</v>
      </c>
      <c r="D2620" s="21" t="s">
        <v>724</v>
      </c>
      <c r="E2620" s="21" t="s">
        <v>25313</v>
      </c>
      <c r="F2620" s="21" t="s">
        <v>2851</v>
      </c>
    </row>
    <row r="2621" customFormat="false" ht="15" hidden="false" customHeight="false" outlineLevel="0" collapsed="false">
      <c r="B2621" s="19" t="s">
        <v>25315</v>
      </c>
      <c r="C2621" s="20" t="n">
        <f aca="false">ROUND(11.34/FX,2)</f>
        <v>1.58</v>
      </c>
      <c r="D2621" s="21" t="s">
        <v>724</v>
      </c>
      <c r="E2621" s="21" t="s">
        <v>25313</v>
      </c>
      <c r="F2621" s="21" t="s">
        <v>1048</v>
      </c>
    </row>
    <row r="2622" customFormat="false" ht="15" hidden="false" customHeight="false" outlineLevel="0" collapsed="false">
      <c r="B2622" s="19" t="s">
        <v>25316</v>
      </c>
      <c r="C2622" s="20" t="n">
        <f aca="false">ROUND(11.91/FX,2)</f>
        <v>1.65</v>
      </c>
      <c r="D2622" s="21" t="s">
        <v>724</v>
      </c>
      <c r="E2622" s="21" t="s">
        <v>25313</v>
      </c>
      <c r="F2622" s="21" t="s">
        <v>1103</v>
      </c>
    </row>
    <row r="2623" customFormat="false" ht="15" hidden="false" customHeight="false" outlineLevel="0" collapsed="false">
      <c r="B2623" s="19" t="s">
        <v>25317</v>
      </c>
      <c r="C2623" s="20" t="n">
        <f aca="false">ROUND(14.17/FX,2)</f>
        <v>1.97</v>
      </c>
      <c r="D2623" s="21" t="s">
        <v>724</v>
      </c>
      <c r="E2623" s="21" t="s">
        <v>25313</v>
      </c>
      <c r="F2623" s="21" t="s">
        <v>1323</v>
      </c>
    </row>
    <row r="2624" customFormat="false" ht="15" hidden="false" customHeight="false" outlineLevel="0" collapsed="false">
      <c r="B2624" s="19" t="s">
        <v>25318</v>
      </c>
      <c r="C2624" s="20" t="n">
        <f aca="false">ROUND(17.01/FX,2)</f>
        <v>2.36</v>
      </c>
      <c r="D2624" s="21" t="s">
        <v>724</v>
      </c>
      <c r="E2624" s="21" t="s">
        <v>25313</v>
      </c>
      <c r="F2624" s="21" t="s">
        <v>1520</v>
      </c>
    </row>
    <row r="2625" customFormat="false" ht="15" hidden="false" customHeight="false" outlineLevel="0" collapsed="false">
      <c r="B2625" s="19" t="s">
        <v>25319</v>
      </c>
      <c r="C2625" s="20" t="n">
        <f aca="false">ROUND(27.58/FX,2)</f>
        <v>3.83</v>
      </c>
      <c r="D2625" s="21" t="s">
        <v>724</v>
      </c>
      <c r="E2625" s="21" t="s">
        <v>25313</v>
      </c>
      <c r="F2625" s="21" t="s">
        <v>1545</v>
      </c>
    </row>
    <row r="2626" customFormat="false" ht="15" hidden="false" customHeight="false" outlineLevel="0" collapsed="false">
      <c r="B2626" s="19" t="s">
        <v>25320</v>
      </c>
      <c r="C2626" s="20" t="n">
        <f aca="false">ROUND(21.55/FX,2)</f>
        <v>2.99</v>
      </c>
      <c r="D2626" s="21" t="s">
        <v>724</v>
      </c>
      <c r="E2626" s="21" t="s">
        <v>25313</v>
      </c>
      <c r="F2626" s="21" t="s">
        <v>1685</v>
      </c>
    </row>
    <row r="2627" customFormat="false" ht="15" hidden="false" customHeight="false" outlineLevel="0" collapsed="false">
      <c r="B2627" s="19" t="s">
        <v>25321</v>
      </c>
      <c r="C2627" s="20" t="n">
        <f aca="false">ROUND(22.68/FX,2)</f>
        <v>3.15</v>
      </c>
      <c r="D2627" s="21" t="s">
        <v>724</v>
      </c>
      <c r="E2627" s="21" t="s">
        <v>25313</v>
      </c>
      <c r="F2627" s="21" t="s">
        <v>2002</v>
      </c>
    </row>
    <row r="2628" customFormat="false" ht="15" hidden="false" customHeight="false" outlineLevel="0" collapsed="false">
      <c r="B2628" s="19" t="s">
        <v>25322</v>
      </c>
      <c r="C2628" s="20" t="n">
        <f aca="false">ROUND(24.55/FX,2)</f>
        <v>3.41</v>
      </c>
      <c r="D2628" s="21" t="s">
        <v>724</v>
      </c>
      <c r="E2628" s="21" t="s">
        <v>25313</v>
      </c>
      <c r="F2628" s="21" t="s">
        <v>25218</v>
      </c>
    </row>
    <row r="2629" customFormat="false" ht="15" hidden="false" customHeight="false" outlineLevel="0" collapsed="false">
      <c r="B2629" s="19" t="s">
        <v>25323</v>
      </c>
      <c r="C2629" s="20" t="n">
        <f aca="false">ROUND(25.52/FX,2)</f>
        <v>3.54</v>
      </c>
      <c r="D2629" s="21" t="s">
        <v>724</v>
      </c>
      <c r="E2629" s="21" t="s">
        <v>25313</v>
      </c>
      <c r="F2629" s="21" t="s">
        <v>2067</v>
      </c>
    </row>
    <row r="2630" customFormat="false" ht="15" hidden="false" customHeight="false" outlineLevel="0" collapsed="false">
      <c r="B2630" s="19" t="s">
        <v>25324</v>
      </c>
      <c r="C2630" s="20" t="n">
        <f aca="false">ROUND(28.35/FX,2)</f>
        <v>3.94</v>
      </c>
      <c r="D2630" s="21" t="s">
        <v>724</v>
      </c>
      <c r="E2630" s="21" t="s">
        <v>25313</v>
      </c>
      <c r="F2630" s="21" t="s">
        <v>2142</v>
      </c>
    </row>
    <row r="2631" customFormat="false" ht="15" hidden="false" customHeight="false" outlineLevel="0" collapsed="false">
      <c r="B2631" s="19" t="s">
        <v>25325</v>
      </c>
      <c r="C2631" s="20" t="n">
        <f aca="false">ROUND(30.61/FX,2)</f>
        <v>4.25</v>
      </c>
      <c r="D2631" s="21" t="s">
        <v>724</v>
      </c>
      <c r="E2631" s="21" t="s">
        <v>25313</v>
      </c>
      <c r="F2631" s="21" t="s">
        <v>2182</v>
      </c>
    </row>
    <row r="2632" customFormat="false" ht="15" hidden="false" customHeight="false" outlineLevel="0" collapsed="false">
      <c r="B2632" s="19" t="s">
        <v>25326</v>
      </c>
      <c r="C2632" s="20" t="n">
        <f aca="false">ROUND(31.18/FX,2)</f>
        <v>4.33</v>
      </c>
      <c r="D2632" s="21" t="s">
        <v>724</v>
      </c>
      <c r="E2632" s="21" t="s">
        <v>25313</v>
      </c>
      <c r="F2632" s="21" t="s">
        <v>2187</v>
      </c>
    </row>
    <row r="2633" customFormat="false" ht="15" hidden="false" customHeight="false" outlineLevel="0" collapsed="false">
      <c r="B2633" s="19" t="s">
        <v>25327</v>
      </c>
      <c r="C2633" s="20" t="n">
        <f aca="false">ROUND(42.53/FX,2)</f>
        <v>5.91</v>
      </c>
      <c r="D2633" s="21" t="s">
        <v>724</v>
      </c>
      <c r="E2633" s="21" t="s">
        <v>25313</v>
      </c>
      <c r="F2633" s="21" t="s">
        <v>2400</v>
      </c>
    </row>
    <row r="2634" customFormat="false" ht="15" hidden="false" customHeight="false" outlineLevel="0" collapsed="false">
      <c r="B2634" s="19" t="s">
        <v>25328</v>
      </c>
      <c r="C2634" s="20" t="n">
        <f aca="false">ROUND(5.77/FX,2)</f>
        <v>0.8</v>
      </c>
      <c r="D2634" s="21" t="s">
        <v>6549</v>
      </c>
      <c r="E2634" s="21" t="s">
        <v>25313</v>
      </c>
      <c r="F2634" s="21" t="s">
        <v>2600</v>
      </c>
    </row>
    <row r="2635" customFormat="false" ht="15" hidden="false" customHeight="false" outlineLevel="0" collapsed="false">
      <c r="B2635" s="19" t="s">
        <v>25329</v>
      </c>
      <c r="C2635" s="20" t="n">
        <f aca="false">ROUND(18.41/FX,2)</f>
        <v>2.56</v>
      </c>
      <c r="D2635" s="21" t="s">
        <v>6549</v>
      </c>
      <c r="E2635" s="21" t="s">
        <v>25313</v>
      </c>
      <c r="F2635" s="21" t="s">
        <v>1635</v>
      </c>
    </row>
    <row r="2636" customFormat="false" ht="15" hidden="false" customHeight="false" outlineLevel="0" collapsed="false">
      <c r="B2636" s="19" t="s">
        <v>25330</v>
      </c>
      <c r="C2636" s="20" t="n">
        <f aca="false">ROUND(28.85/FX,2)</f>
        <v>4.01</v>
      </c>
      <c r="D2636" s="21" t="s">
        <v>6549</v>
      </c>
      <c r="E2636" s="21" t="s">
        <v>25313</v>
      </c>
      <c r="F2636" s="21" t="s">
        <v>2142</v>
      </c>
    </row>
    <row r="2637" customFormat="false" ht="15" hidden="false" customHeight="false" outlineLevel="0" collapsed="false">
      <c r="B2637" s="19" t="s">
        <v>25331</v>
      </c>
      <c r="C2637" s="20" t="n">
        <f aca="false">ROUND(21.93/FX,2)</f>
        <v>3.05</v>
      </c>
      <c r="D2637" s="21" t="s">
        <v>6549</v>
      </c>
      <c r="E2637" s="21" t="s">
        <v>25332</v>
      </c>
      <c r="F2637" s="21" t="s">
        <v>883</v>
      </c>
    </row>
    <row r="2638" customFormat="false" ht="15" hidden="false" customHeight="false" outlineLevel="0" collapsed="false">
      <c r="B2638" s="19" t="s">
        <v>25333</v>
      </c>
      <c r="C2638" s="20" t="n">
        <f aca="false">ROUND(43.86/FX,2)</f>
        <v>6.09</v>
      </c>
      <c r="D2638" s="21" t="s">
        <v>6549</v>
      </c>
      <c r="E2638" s="21" t="s">
        <v>25332</v>
      </c>
      <c r="F2638" s="21" t="s">
        <v>1615</v>
      </c>
    </row>
    <row r="2639" customFormat="false" ht="15" hidden="false" customHeight="false" outlineLevel="0" collapsed="false">
      <c r="B2639" s="19" t="s">
        <v>25334</v>
      </c>
      <c r="C2639" s="20" t="n">
        <f aca="false">ROUND(77.4/FX,2)</f>
        <v>10.75</v>
      </c>
      <c r="D2639" s="21" t="s">
        <v>6549</v>
      </c>
      <c r="E2639" s="21" t="s">
        <v>25332</v>
      </c>
      <c r="F2639" s="21" t="s">
        <v>2227</v>
      </c>
    </row>
    <row r="2640" customFormat="false" ht="15" hidden="false" customHeight="false" outlineLevel="0" collapsed="false">
      <c r="B2640" s="19" t="s">
        <v>25335</v>
      </c>
      <c r="C2640" s="20" t="n">
        <f aca="false">ROUND(83.85/FX,2)</f>
        <v>11.65</v>
      </c>
      <c r="D2640" s="21" t="s">
        <v>6549</v>
      </c>
      <c r="E2640" s="21" t="s">
        <v>25332</v>
      </c>
      <c r="F2640" s="21" t="s">
        <v>2297</v>
      </c>
    </row>
    <row r="2641" customFormat="false" ht="15" hidden="false" customHeight="false" outlineLevel="0" collapsed="false">
      <c r="B2641" s="19" t="s">
        <v>25336</v>
      </c>
      <c r="C2641" s="20" t="n">
        <f aca="false">ROUND(90.3/FX,2)</f>
        <v>12.54</v>
      </c>
      <c r="D2641" s="21" t="s">
        <v>6549</v>
      </c>
      <c r="E2641" s="21" t="s">
        <v>25332</v>
      </c>
      <c r="F2641" s="21" t="s">
        <v>2351</v>
      </c>
    </row>
    <row r="2642" customFormat="false" ht="15" hidden="false" customHeight="false" outlineLevel="0" collapsed="false">
      <c r="B2642" s="19" t="s">
        <v>25337</v>
      </c>
      <c r="C2642" s="20" t="n">
        <f aca="false">ROUND(9.4/FX,2)</f>
        <v>1.31</v>
      </c>
      <c r="D2642" s="21" t="s">
        <v>724</v>
      </c>
      <c r="E2642" s="21" t="s">
        <v>22839</v>
      </c>
      <c r="F2642" s="21" t="s">
        <v>1520</v>
      </c>
    </row>
    <row r="2643" customFormat="false" ht="15" hidden="false" customHeight="false" outlineLevel="0" collapsed="false">
      <c r="B2643" s="19" t="s">
        <v>25338</v>
      </c>
      <c r="C2643" s="20" t="n">
        <f aca="false">ROUND(10.15/FX,2)</f>
        <v>1.41</v>
      </c>
      <c r="D2643" s="21" t="s">
        <v>724</v>
      </c>
      <c r="E2643" s="21" t="s">
        <v>22839</v>
      </c>
      <c r="F2643" s="21" t="s">
        <v>1635</v>
      </c>
    </row>
    <row r="2644" customFormat="false" ht="15" hidden="false" customHeight="false" outlineLevel="0" collapsed="false">
      <c r="B2644" s="19" t="s">
        <v>25339</v>
      </c>
      <c r="C2644" s="20" t="n">
        <f aca="false">ROUND(11.89/FX,2)</f>
        <v>1.65</v>
      </c>
      <c r="D2644" s="21" t="s">
        <v>724</v>
      </c>
      <c r="E2644" s="21" t="s">
        <v>22839</v>
      </c>
      <c r="F2644" s="21" t="s">
        <v>2017</v>
      </c>
    </row>
    <row r="2645" customFormat="false" ht="15" hidden="false" customHeight="false" outlineLevel="0" collapsed="false">
      <c r="B2645" s="19" t="s">
        <v>25340</v>
      </c>
      <c r="C2645" s="20" t="n">
        <f aca="false">ROUND(15/FX,2)</f>
        <v>2.08</v>
      </c>
      <c r="D2645" s="21" t="s">
        <v>724</v>
      </c>
      <c r="E2645" s="21" t="s">
        <v>22839</v>
      </c>
      <c r="F2645" s="21" t="s">
        <v>2022</v>
      </c>
    </row>
    <row r="2646" customFormat="false" ht="15" hidden="false" customHeight="false" outlineLevel="0" collapsed="false">
      <c r="B2646" s="19" t="s">
        <v>25341</v>
      </c>
      <c r="C2646" s="20" t="n">
        <f aca="false">ROUND(13.34/FX,2)</f>
        <v>1.85</v>
      </c>
      <c r="D2646" s="21" t="s">
        <v>724</v>
      </c>
      <c r="E2646" s="21" t="s">
        <v>22839</v>
      </c>
      <c r="F2646" s="21" t="s">
        <v>2082</v>
      </c>
    </row>
    <row r="2647" customFormat="false" ht="15" hidden="false" customHeight="false" outlineLevel="0" collapsed="false">
      <c r="B2647" s="19" t="s">
        <v>25342</v>
      </c>
      <c r="C2647" s="20" t="n">
        <f aca="false">ROUND(13.63/FX,2)</f>
        <v>1.89</v>
      </c>
      <c r="D2647" s="21" t="s">
        <v>724</v>
      </c>
      <c r="E2647" s="21" t="s">
        <v>22839</v>
      </c>
      <c r="F2647" s="21" t="s">
        <v>2097</v>
      </c>
    </row>
    <row r="2648" customFormat="false" ht="15" hidden="false" customHeight="false" outlineLevel="0" collapsed="false">
      <c r="B2648" s="19" t="s">
        <v>25343</v>
      </c>
      <c r="C2648" s="20" t="n">
        <f aca="false">ROUND(14.5/FX,2)</f>
        <v>2.01</v>
      </c>
      <c r="D2648" s="21" t="s">
        <v>724</v>
      </c>
      <c r="E2648" s="21" t="s">
        <v>22839</v>
      </c>
      <c r="F2648" s="21" t="s">
        <v>2142</v>
      </c>
    </row>
    <row r="2649" customFormat="false" ht="15" hidden="false" customHeight="false" outlineLevel="0" collapsed="false">
      <c r="B2649" s="19" t="s">
        <v>25344</v>
      </c>
      <c r="C2649" s="20" t="n">
        <f aca="false">ROUND(15/FX,2)</f>
        <v>2.08</v>
      </c>
      <c r="D2649" s="21" t="s">
        <v>724</v>
      </c>
      <c r="E2649" s="21" t="s">
        <v>22839</v>
      </c>
      <c r="F2649" s="21" t="s">
        <v>2227</v>
      </c>
    </row>
    <row r="2650" customFormat="false" ht="15" hidden="false" customHeight="false" outlineLevel="0" collapsed="false">
      <c r="B2650" s="19" t="s">
        <v>25345</v>
      </c>
      <c r="C2650" s="20" t="n">
        <f aca="false">ROUND(21.75/FX,2)</f>
        <v>3.02</v>
      </c>
      <c r="D2650" s="21" t="s">
        <v>724</v>
      </c>
      <c r="E2650" s="21" t="s">
        <v>22839</v>
      </c>
      <c r="F2650" s="21" t="s">
        <v>2400</v>
      </c>
    </row>
    <row r="2651" customFormat="false" ht="15" hidden="false" customHeight="false" outlineLevel="0" collapsed="false">
      <c r="B2651" s="19" t="s">
        <v>25346</v>
      </c>
      <c r="C2651" s="20" t="n">
        <f aca="false">ROUND(26.1/FX,2)</f>
        <v>3.63</v>
      </c>
      <c r="D2651" s="21" t="s">
        <v>724</v>
      </c>
      <c r="E2651" s="21" t="s">
        <v>22839</v>
      </c>
      <c r="F2651" s="21" t="s">
        <v>2500</v>
      </c>
    </row>
    <row r="2652" customFormat="false" ht="15" hidden="false" customHeight="false" outlineLevel="0" collapsed="false">
      <c r="B2652" s="19" t="s">
        <v>25347</v>
      </c>
      <c r="C2652" s="20" t="n">
        <f aca="false">ROUND(27/FX,2)</f>
        <v>3.75</v>
      </c>
      <c r="D2652" s="21" t="s">
        <v>6549</v>
      </c>
      <c r="E2652" s="21" t="s">
        <v>22839</v>
      </c>
      <c r="F2652" s="21" t="s">
        <v>1733</v>
      </c>
    </row>
    <row r="2653" customFormat="false" ht="15" hidden="false" customHeight="false" outlineLevel="0" collapsed="false">
      <c r="B2653" s="19" t="s">
        <v>25348</v>
      </c>
      <c r="C2653" s="20" t="n">
        <f aca="false">ROUND(3.24/FX,2)</f>
        <v>0.45</v>
      </c>
      <c r="D2653" s="21" t="s">
        <v>6549</v>
      </c>
      <c r="E2653" s="21" t="s">
        <v>22839</v>
      </c>
      <c r="F2653" s="21" t="s">
        <v>2701</v>
      </c>
    </row>
    <row r="2654" customFormat="false" ht="15" hidden="false" customHeight="false" outlineLevel="0" collapsed="false">
      <c r="B2654" s="19" t="s">
        <v>25349</v>
      </c>
      <c r="C2654" s="20" t="n">
        <f aca="false">ROUND(5.4/FX,2)</f>
        <v>0.75</v>
      </c>
      <c r="D2654" s="21" t="s">
        <v>6549</v>
      </c>
      <c r="E2654" s="21" t="s">
        <v>22839</v>
      </c>
      <c r="F2654" s="21" t="s">
        <v>1048</v>
      </c>
    </row>
    <row r="2655" customFormat="false" ht="15" hidden="false" customHeight="false" outlineLevel="0" collapsed="false">
      <c r="B2655" s="19" t="s">
        <v>25350</v>
      </c>
      <c r="C2655" s="20" t="n">
        <f aca="false">ROUND(9.32/FX,2)</f>
        <v>1.29</v>
      </c>
      <c r="D2655" s="21" t="s">
        <v>6549</v>
      </c>
      <c r="E2655" s="21" t="s">
        <v>22839</v>
      </c>
      <c r="F2655" s="21" t="s">
        <v>4387</v>
      </c>
    </row>
    <row r="2656" customFormat="false" ht="15" hidden="false" customHeight="false" outlineLevel="0" collapsed="false">
      <c r="B2656" s="19" t="s">
        <v>25351</v>
      </c>
      <c r="C2656" s="20" t="n">
        <f aca="false">ROUND(10.8/FX,2)</f>
        <v>1.5</v>
      </c>
      <c r="D2656" s="21" t="s">
        <v>6549</v>
      </c>
      <c r="E2656" s="21" t="s">
        <v>22839</v>
      </c>
      <c r="F2656" s="21" t="s">
        <v>2002</v>
      </c>
    </row>
    <row r="2657" customFormat="false" ht="15" hidden="false" customHeight="false" outlineLevel="0" collapsed="false">
      <c r="B2657" s="19" t="s">
        <v>25352</v>
      </c>
      <c r="C2657" s="20" t="n">
        <f aca="false">ROUND(12.15/FX,2)</f>
        <v>1.69</v>
      </c>
      <c r="D2657" s="21" t="s">
        <v>6549</v>
      </c>
      <c r="E2657" s="21" t="s">
        <v>22839</v>
      </c>
      <c r="F2657" s="21" t="s">
        <v>2067</v>
      </c>
    </row>
    <row r="2658" customFormat="false" ht="15" hidden="false" customHeight="false" outlineLevel="0" collapsed="false">
      <c r="B2658" s="19" t="s">
        <v>25353</v>
      </c>
      <c r="C2658" s="20" t="n">
        <f aca="false">ROUND(12.42/FX,2)</f>
        <v>1.73</v>
      </c>
      <c r="D2658" s="21" t="s">
        <v>6549</v>
      </c>
      <c r="E2658" s="21" t="s">
        <v>22839</v>
      </c>
      <c r="F2658" s="21" t="s">
        <v>2082</v>
      </c>
    </row>
    <row r="2659" customFormat="false" ht="15" hidden="false" customHeight="false" outlineLevel="0" collapsed="false">
      <c r="B2659" s="19" t="s">
        <v>25354</v>
      </c>
      <c r="C2659" s="20" t="n">
        <f aca="false">ROUND(13.5/FX,2)</f>
        <v>1.88</v>
      </c>
      <c r="D2659" s="21" t="s">
        <v>6549</v>
      </c>
      <c r="E2659" s="21" t="s">
        <v>22839</v>
      </c>
      <c r="F2659" s="21" t="s">
        <v>2142</v>
      </c>
    </row>
    <row r="2660" customFormat="false" ht="15" hidden="false" customHeight="false" outlineLevel="0" collapsed="false">
      <c r="B2660" s="19" t="s">
        <v>25355</v>
      </c>
      <c r="C2660" s="20" t="n">
        <f aca="false">ROUND(14.85/FX,2)</f>
        <v>2.06</v>
      </c>
      <c r="D2660" s="21" t="s">
        <v>6549</v>
      </c>
      <c r="E2660" s="21" t="s">
        <v>22839</v>
      </c>
      <c r="F2660" s="21" t="s">
        <v>2187</v>
      </c>
    </row>
    <row r="2661" customFormat="false" ht="15" hidden="false" customHeight="false" outlineLevel="0" collapsed="false">
      <c r="B2661" s="19" t="s">
        <v>25356</v>
      </c>
      <c r="C2661" s="20" t="n">
        <f aca="false">ROUND(21.6/FX,2)</f>
        <v>3</v>
      </c>
      <c r="D2661" s="21" t="s">
        <v>6549</v>
      </c>
      <c r="E2661" s="21" t="s">
        <v>22839</v>
      </c>
      <c r="F2661" s="21" t="s">
        <v>2440</v>
      </c>
    </row>
    <row r="2662" customFormat="false" ht="15" hidden="false" customHeight="false" outlineLevel="0" collapsed="false">
      <c r="B2662" s="19" t="s">
        <v>25357</v>
      </c>
      <c r="C2662" s="20" t="n">
        <f aca="false">ROUND(67.2/FX,2)</f>
        <v>9.33</v>
      </c>
      <c r="D2662" s="21" t="s">
        <v>724</v>
      </c>
      <c r="E2662" s="21" t="s">
        <v>25358</v>
      </c>
      <c r="F2662" s="21" t="s">
        <v>3253</v>
      </c>
    </row>
    <row r="2663" customFormat="false" ht="15" hidden="false" customHeight="false" outlineLevel="0" collapsed="false">
      <c r="B2663" s="19" t="s">
        <v>25359</v>
      </c>
      <c r="C2663" s="20" t="n">
        <f aca="false">ROUND(4.5/FX,2)</f>
        <v>0.63</v>
      </c>
      <c r="D2663" s="21" t="s">
        <v>6549</v>
      </c>
      <c r="E2663" s="21" t="s">
        <v>25358</v>
      </c>
      <c r="F2663" s="21" t="s">
        <v>2600</v>
      </c>
    </row>
    <row r="2664" customFormat="false" ht="15" hidden="false" customHeight="false" outlineLevel="0" collapsed="false">
      <c r="B2664" s="19" t="s">
        <v>25360</v>
      </c>
      <c r="C2664" s="20" t="n">
        <f aca="false">ROUND(15.64/FX,2)</f>
        <v>2.17</v>
      </c>
      <c r="D2664" s="21" t="s">
        <v>6549</v>
      </c>
      <c r="E2664" s="21" t="s">
        <v>25358</v>
      </c>
      <c r="F2664" s="21" t="s">
        <v>1520</v>
      </c>
    </row>
    <row r="2665" customFormat="false" ht="15" hidden="false" customHeight="false" outlineLevel="0" collapsed="false">
      <c r="B2665" s="19" t="s">
        <v>25361</v>
      </c>
      <c r="C2665" s="20" t="n">
        <f aca="false">ROUND(8.4/FX,2)</f>
        <v>1.17</v>
      </c>
      <c r="D2665" s="21" t="s">
        <v>724</v>
      </c>
      <c r="E2665" s="21" t="s">
        <v>16919</v>
      </c>
      <c r="F2665" s="21" t="s">
        <v>1048</v>
      </c>
    </row>
    <row r="2666" customFormat="false" ht="15" hidden="false" customHeight="false" outlineLevel="0" collapsed="false">
      <c r="B2666" s="19" t="s">
        <v>25362</v>
      </c>
      <c r="C2666" s="20" t="n">
        <f aca="false">ROUND(21/FX,2)</f>
        <v>2.92</v>
      </c>
      <c r="D2666" s="21" t="s">
        <v>724</v>
      </c>
      <c r="E2666" s="21" t="s">
        <v>16919</v>
      </c>
      <c r="F2666" s="21" t="s">
        <v>2142</v>
      </c>
    </row>
    <row r="2667" customFormat="false" ht="15" hidden="false" customHeight="false" outlineLevel="0" collapsed="false">
      <c r="B2667" s="19" t="s">
        <v>25363</v>
      </c>
      <c r="C2667" s="20" t="n">
        <f aca="false">ROUND(31/FX,2)</f>
        <v>4.31</v>
      </c>
      <c r="D2667" s="21" t="s">
        <v>6549</v>
      </c>
      <c r="E2667" s="21" t="s">
        <v>16919</v>
      </c>
      <c r="F2667" s="21" t="s">
        <v>1733</v>
      </c>
    </row>
    <row r="2668" customFormat="false" ht="15" hidden="false" customHeight="false" outlineLevel="0" collapsed="false">
      <c r="B2668" s="19" t="s">
        <v>25364</v>
      </c>
      <c r="C2668" s="20" t="n">
        <f aca="false">ROUND(15.5/FX,2)</f>
        <v>2.15</v>
      </c>
      <c r="D2668" s="21" t="s">
        <v>6549</v>
      </c>
      <c r="E2668" s="21" t="s">
        <v>16919</v>
      </c>
      <c r="F2668" s="21" t="s">
        <v>2142</v>
      </c>
    </row>
    <row r="2669" customFormat="false" ht="15" hidden="false" customHeight="false" outlineLevel="0" collapsed="false">
      <c r="B2669" s="19" t="s">
        <v>25365</v>
      </c>
      <c r="C2669" s="20" t="n">
        <f aca="false">ROUND(63/FX,2)</f>
        <v>8.75</v>
      </c>
      <c r="D2669" s="21" t="s">
        <v>6549</v>
      </c>
      <c r="E2669" s="21" t="s">
        <v>25366</v>
      </c>
      <c r="F2669" s="21" t="s">
        <v>2400</v>
      </c>
    </row>
    <row r="2672" customFormat="false" ht="61.5" hidden="false" customHeight="true" outlineLevel="0" collapsed="false">
      <c r="A2672" s="9"/>
      <c r="B2672" s="10" t="s">
        <v>25367</v>
      </c>
      <c r="C2672" s="10"/>
      <c r="D2672" s="10"/>
    </row>
    <row r="2673" customFormat="false" ht="15" hidden="false" customHeight="false" outlineLevel="0" collapsed="false">
      <c r="A2673" s="12" t="s">
        <v>700</v>
      </c>
      <c r="B2673" s="13" t="s">
        <v>701</v>
      </c>
      <c r="C2673" s="13" t="s">
        <v>702</v>
      </c>
      <c r="D2673" s="13" t="s">
        <v>11716</v>
      </c>
    </row>
    <row r="2674" customFormat="false" ht="30" hidden="false" customHeight="true" outlineLevel="0" collapsed="false">
      <c r="A2674" s="14" t="s">
        <v>706</v>
      </c>
      <c r="B2674" s="15" t="str">
        <f aca="false">IF(COUNTIFS($D$2677:$D$2678,IF(D2674="","*",D2674))=1,INDEX($B:$B,SUMPRODUCT(((D2674="")+($D$2677:$D$2678=D2674)&gt;0)*ROW($B$2677:$B$2678))),IF(COUNTIFS($D$2677:$D$2678,IF(D2674="","*",D2674))=0,"Not available",COUNTIFS($D$2677:$D$2678,IF(D2674="","*",D2674))&amp;" match, keep choosing"))</f>
        <v>SQT-25x25x3-L200</v>
      </c>
      <c r="C2674" s="16" t="n">
        <f aca="false">IF(COUNTIFS($D$2677:$D$2678,IF(D2674="","*",D2674))=1,INDEX($C:$C,SUMPRODUCT(((D2674="")+($D$2677:$D$2678=D2674)&gt;0)*ROW($B$2677:$B$2678))),"")</f>
        <v>1.12</v>
      </c>
      <c r="D2674" s="17" t="s">
        <v>1048</v>
      </c>
    </row>
    <row r="2676" customFormat="false" ht="15" hidden="false" customHeight="false" outlineLevel="0" collapsed="false">
      <c r="B2676" s="18" t="s">
        <v>701</v>
      </c>
      <c r="C2676" s="18" t="s">
        <v>702</v>
      </c>
      <c r="D2676" s="18" t="s">
        <v>11716</v>
      </c>
    </row>
    <row r="2677" customFormat="false" ht="15" hidden="false" customHeight="false" outlineLevel="0" collapsed="false">
      <c r="B2677" s="19" t="s">
        <v>25368</v>
      </c>
      <c r="C2677" s="20" t="n">
        <f aca="false">ROUND(8.06/FX,2)</f>
        <v>1.12</v>
      </c>
      <c r="D2677" s="21" t="s">
        <v>1048</v>
      </c>
    </row>
    <row r="2678" customFormat="false" ht="15" hidden="false" customHeight="false" outlineLevel="0" collapsed="false">
      <c r="B2678" s="19" t="s">
        <v>25369</v>
      </c>
      <c r="C2678" s="20" t="n">
        <f aca="false">ROUND(10.24/FX,2)</f>
        <v>1.42</v>
      </c>
      <c r="D2678" s="21" t="s">
        <v>1635</v>
      </c>
    </row>
  </sheetData>
  <mergeCells count="87">
    <mergeCell ref="B1:D1"/>
    <mergeCell ref="B6:E6"/>
    <mergeCell ref="B15:D15"/>
    <mergeCell ref="B20:D20"/>
    <mergeCell ref="B25:E25"/>
    <mergeCell ref="B77:E77"/>
    <mergeCell ref="B106:D106"/>
    <mergeCell ref="B146:E146"/>
    <mergeCell ref="B191:E191"/>
    <mergeCell ref="B211:G211"/>
    <mergeCell ref="B451:E451"/>
    <mergeCell ref="B464:F464"/>
    <mergeCell ref="B515:F515"/>
    <mergeCell ref="B533:D533"/>
    <mergeCell ref="B543:G543"/>
    <mergeCell ref="B600:E600"/>
    <mergeCell ref="B614:D614"/>
    <mergeCell ref="B623:E623"/>
    <mergeCell ref="B634:D634"/>
    <mergeCell ref="B639:F639"/>
    <mergeCell ref="B655:F655"/>
    <mergeCell ref="B676:F676"/>
    <mergeCell ref="B689:F689"/>
    <mergeCell ref="B706:D706"/>
    <mergeCell ref="B711:E711"/>
    <mergeCell ref="B721:D721"/>
    <mergeCell ref="B731:D731"/>
    <mergeCell ref="B736:E736"/>
    <mergeCell ref="B809:F809"/>
    <mergeCell ref="B838:D838"/>
    <mergeCell ref="B843:E843"/>
    <mergeCell ref="B854:F854"/>
    <mergeCell ref="B887:F887"/>
    <mergeCell ref="B896:D896"/>
    <mergeCell ref="B901:F901"/>
    <mergeCell ref="B914:E914"/>
    <mergeCell ref="B939:D939"/>
    <mergeCell ref="B944:G944"/>
    <mergeCell ref="B976:D976"/>
    <mergeCell ref="B977:D977"/>
    <mergeCell ref="B988:D988"/>
    <mergeCell ref="B999:E999"/>
    <mergeCell ref="B1013:E1013"/>
    <mergeCell ref="B1024:F1024"/>
    <mergeCell ref="B1034:F1034"/>
    <mergeCell ref="B1077:E1077"/>
    <mergeCell ref="B1093:D1093"/>
    <mergeCell ref="B1098:H1098"/>
    <mergeCell ref="B1201:E1201"/>
    <mergeCell ref="B1214:E1214"/>
    <mergeCell ref="B1267:F1267"/>
    <mergeCell ref="B1296:I1296"/>
    <mergeCell ref="B1309:F1309"/>
    <mergeCell ref="B1372:E1372"/>
    <mergeCell ref="B1387:D1387"/>
    <mergeCell ref="B1392:D1392"/>
    <mergeCell ref="B1397:F1397"/>
    <mergeCell ref="B1416:E1416"/>
    <mergeCell ref="B1417:E1417"/>
    <mergeCell ref="B1437:F1437"/>
    <mergeCell ref="B1468:D1468"/>
    <mergeCell ref="B1469:D1469"/>
    <mergeCell ref="B1474:E1474"/>
    <mergeCell ref="B1485:E1485"/>
    <mergeCell ref="B1503:E1503"/>
    <mergeCell ref="B1520:E1520"/>
    <mergeCell ref="B1530:E1530"/>
    <mergeCell ref="B1546:D1546"/>
    <mergeCell ref="B1556:E1556"/>
    <mergeCell ref="B1569:J1569"/>
    <mergeCell ref="B1766:F1766"/>
    <mergeCell ref="B1781:E1781"/>
    <mergeCell ref="B1815:G1815"/>
    <mergeCell ref="B1854:D1854"/>
    <mergeCell ref="B1859:D1859"/>
    <mergeCell ref="B1868:E1868"/>
    <mergeCell ref="B1918:F1918"/>
    <mergeCell ref="B1989:D1989"/>
    <mergeCell ref="B2004:E2004"/>
    <mergeCell ref="B2067:E2067"/>
    <mergeCell ref="B2099:F2099"/>
    <mergeCell ref="B2100:F2100"/>
    <mergeCell ref="B2125:E2125"/>
    <mergeCell ref="B2126:E2126"/>
    <mergeCell ref="B2139:F2139"/>
    <mergeCell ref="B2215:F2215"/>
    <mergeCell ref="B2672:D2672"/>
  </mergeCells>
  <dataValidations count="167">
    <dataValidation allowBlank="true" error="Please choose from the list" errorStyle="stop" errorTitle="▶ Quick quote" operator="between" showDropDown="false" showErrorMessage="false" showInputMessage="false" sqref="D8" type="list">
      <formula1>_lists!$XF$1:$XF$2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" type="list">
      <formula1>_lists!$XG$1:$XG$2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7" type="list">
      <formula1>_lists!$XH$1:$XH$3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7" type="list">
      <formula1>_lists!$XI$1:$XI$21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9" type="list">
      <formula1>_lists!$XJ$1:$XJ$2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9" type="list">
      <formula1>_lists!$XK$1:$XK$22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8" type="list">
      <formula1>_lists!$XL$1:$XL$33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8" type="list">
      <formula1>_lists!$XM$1:$XM$38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8" type="list">
      <formula1>_lists!$XN$1:$XN$3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3" type="list">
      <formula1>_lists!$XO$1:$XO$2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3" type="list">
      <formula1>_lists!$XP$1:$XP$13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3" type="list">
      <formula1>_lists!$XQ$1:$XQ$3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3" type="list">
      <formula1>_lists!$XR$1:$XR$2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13" type="list">
      <formula1>_lists!$XS$1:$XS$7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13" type="list">
      <formula1>_lists!$XT$1:$XT$38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53" type="list">
      <formula1>_lists!$XU$1:$XU$5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53" type="list">
      <formula1>_lists!$XV$1:$XV$3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66" type="list">
      <formula1>_lists!$XW$1:$XW$2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66" type="list">
      <formula1>_lists!$XX$1:$XX$3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66" type="list">
      <formula1>_lists!$XY$1:$XY$44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7" type="list">
      <formula1>_lists!$XZ$1:$XZ$3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17" type="list">
      <formula1>_lists!$YA$1:$YA$2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17" type="list">
      <formula1>_lists!$YB$1:$YB$3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35" type="list">
      <formula1>_lists!$YC$1:$YC$3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45" type="list">
      <formula1>_lists!$YD$1:$YD$2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45" type="list">
      <formula1>_lists!$YE$1:$YE$10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45" type="list">
      <formula1>_lists!$YF$1:$YF$2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45" type="list">
      <formula1>_lists!$YG$1:$YG$48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02" type="list">
      <formula1>_lists!$YH$1:$YH$4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02" type="list">
      <formula1>_lists!$YI$1:$YI$6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16" type="list">
      <formula1>_lists!$YJ$1:$YJ$2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25" type="list">
      <formula1>_lists!$YK$1:$YK$2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25" type="list">
      <formula1>_lists!$YL$1:$YL$4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41" type="list">
      <formula1>_lists!$YM$1:$YM$2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41" type="list">
      <formula1>_lists!$YN$1:$YN$6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641" type="list">
      <formula1>_lists!$YO$1:$YO$3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57" type="list">
      <formula1>_lists!$YP$1:$YP$3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57" type="list">
      <formula1>_lists!$YQ$1:$YQ$2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657" type="list">
      <formula1>_lists!$YR$1:$YR$13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78" type="list">
      <formula1>_lists!$YS$1:$YS$3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78" type="list">
      <formula1>_lists!$YT$1:$YT$3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678" type="list">
      <formula1>_lists!$YU$1:$YU$2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91" type="list">
      <formula1>_lists!$YV$1:$YV$2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91" type="list">
      <formula1>_lists!$YW$1:$YW$7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691" type="list">
      <formula1>_lists!$YX$1:$YX$3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13" type="list">
      <formula1>_lists!$YY$1:$YY$2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13" type="list">
      <formula1>_lists!$YZ$1:$YZ$2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23" type="list">
      <formula1>_lists!$ZA$1:$ZA$3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38" type="list">
      <formula1>_lists!$ZB$1:$ZB$3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38" type="list">
      <formula1>_lists!$ZC$1:$ZC$55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11" type="list">
      <formula1>_lists!$ZD$1:$ZD$2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11" type="list">
      <formula1>_lists!$ZE$1:$ZE$18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11" type="list">
      <formula1>_lists!$ZF$1:$ZF$3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45" type="list">
      <formula1>_lists!$ZG$1:$ZG$4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45" type="list">
      <formula1>_lists!$ZH$1:$ZH$4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56" type="list">
      <formula1>_lists!$ZI$1:$ZI$2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56" type="list">
      <formula1>_lists!$ZJ$1:$ZJ$2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56" type="list">
      <formula1>_lists!$ZK$1:$ZK$25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89" type="list">
      <formula1>_lists!$ZL$1:$ZL$2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89" type="list">
      <formula1>_lists!$ZM$1:$ZM$2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89" type="list">
      <formula1>_lists!$ZN$1:$ZN$2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03" type="list">
      <formula1>_lists!$ZO$1:$ZO$2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03" type="list">
      <formula1>_lists!$ZP$1:$ZP$3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03" type="list">
      <formula1>_lists!$ZQ$1:$ZQ$3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16" type="list">
      <formula1>_lists!$ZR$1:$ZR$2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16" type="list">
      <formula1>_lists!$ZS$1:$ZS$18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46" type="list">
      <formula1>_lists!$ZT$1:$ZT$2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46" type="list">
      <formula1>_lists!$ZU$1:$ZU$3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46" type="list">
      <formula1>_lists!$ZV$1:$ZV$25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946" type="list">
      <formula1>_lists!$ZW$1:$ZW$2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79" type="list">
      <formula1>_lists!$ZX$1:$ZX$4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90" type="list">
      <formula1>_lists!$ZY$1:$ZY$4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01" type="list">
      <formula1>_lists!$ZZ$1:$ZZ$2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01" type="list">
      <formula1>_lists!$AAA$1:$AAA$4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15" type="list">
      <formula1>_lists!$AAB$1:$AAB$2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15" type="list">
      <formula1>_lists!$AAC$1:$AAC$3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26" type="list">
      <formula1>_lists!$AAD$1:$AAD$2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26" type="list">
      <formula1>_lists!$AAE$1:$AAE$3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26" type="list">
      <formula1>_lists!$AAF$1:$AAF$2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36" type="list">
      <formula1>_lists!$AAG$1:$AAG$3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36" type="list">
      <formula1>_lists!$AAH$1:$AAH$2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36" type="list">
      <formula1>_lists!$AAI$1:$AAI$33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79" type="list">
      <formula1>_lists!$AAJ$1:$AAJ$2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79" type="list">
      <formula1>_lists!$AAK$1:$AAK$9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00" type="list">
      <formula1>_lists!$AAL$1:$AAL$4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00" type="list">
      <formula1>_lists!$AAM$1:$AAM$8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100" type="list">
      <formula1>_lists!$AAN$1:$AAN$24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100" type="list">
      <formula1>_lists!$AAO$1:$AAO$9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100" type="list">
      <formula1>_lists!$AAP$1:$AAP$6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03" type="list">
      <formula1>_lists!$AAQ$1:$AAQ$4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03" type="list">
      <formula1>_lists!$AAR$1:$AAR$6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16" type="list">
      <formula1>_lists!$AAS$1:$AAS$3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16" type="list">
      <formula1>_lists!$AAT$1:$AAT$23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69" type="list">
      <formula1>_lists!$AAU$1:$AAU$2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69" type="list">
      <formula1>_lists!$AAV$1:$AAV$7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69" type="list">
      <formula1>_lists!$AAW$1:$AAW$18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98" type="list">
      <formula1>_lists!$AAX$1:$AAX$2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98" type="list">
      <formula1>_lists!$AAY$1:$AAY$5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98" type="list">
      <formula1>_lists!$AAZ$1:$AAZ$2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298" type="list">
      <formula1>_lists!$ABA$1:$ABA$3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298" type="list">
      <formula1>_lists!$ABB$1:$ABB$2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1298" type="list">
      <formula1>_lists!$ABC$1:$ABC$2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11" type="list">
      <formula1>_lists!$ABD$1:$ABD$2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11" type="list">
      <formula1>_lists!$ABE$1:$ABE$2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311" type="list">
      <formula1>_lists!$ABF$1:$ABF$56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74" type="list">
      <formula1>_lists!$ABG$1:$ABG$2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74" type="list">
      <formula1>_lists!$ABH$1:$ABH$8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399" type="list">
      <formula1>_lists!$ABI$1:$ABI$3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399" type="list">
      <formula1>_lists!$ABJ$1:$ABJ$4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399" type="list">
      <formula1>_lists!$ABK$1:$ABK$7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19" type="list">
      <formula1>_lists!$ABL$1:$ABL$4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19" type="list">
      <formula1>_lists!$ABM$1:$ABM$9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39" type="list">
      <formula1>_lists!$ABN$1:$ABN$3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39" type="list">
      <formula1>_lists!$ABO$1:$ABO$2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439" type="list">
      <formula1>_lists!$ABP$1:$ABP$18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76" type="list">
      <formula1>_lists!$ABQ$1:$ABQ$2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76" type="list">
      <formula1>_lists!$ABR$1:$ABR$2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87" type="list">
      <formula1>_lists!$ABS$1:$ABS$2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87" type="list">
      <formula1>_lists!$ABT$1:$ABT$11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05" type="list">
      <formula1>_lists!$ABU$1:$ABU$2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05" type="list">
      <formula1>_lists!$ABV$1:$ABV$5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22" type="list">
      <formula1>_lists!$ABW$1:$ABW$2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22" type="list">
      <formula1>_lists!$ABX$1:$ABX$2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32" type="list">
      <formula1>_lists!$ABY$1:$ABY$4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32" type="list">
      <formula1>_lists!$ABZ$1:$ABZ$5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48" type="list">
      <formula1>_lists!$ACA$1:$ACA$3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58" type="list">
      <formula1>_lists!$ACB$1:$ACB$2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58" type="list">
      <formula1>_lists!$ACC$1:$ACC$3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71" type="list">
      <formula1>_lists!$ACD$1:$ACD$4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71" type="list">
      <formula1>_lists!$ACE$1:$ACE$11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571" type="list">
      <formula1>_lists!$ACF$1:$ACF$14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571" type="list">
      <formula1>_lists!$ACG$1:$ACG$6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571" type="list">
      <formula1>_lists!$ACH$1:$ACH$4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1571" type="list">
      <formula1>_lists!$ACI$1:$ACI$6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J1571" type="list">
      <formula1>_lists!$ACJ$1:$ACJ$3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68" type="list">
      <formula1>_lists!$ACK$1:$ACK$3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68" type="list">
      <formula1>_lists!$ACL$1:$ACL$4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768" type="list">
      <formula1>_lists!$ACM$1:$ACM$2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783" type="list">
      <formula1>_lists!$ACN$1:$ACN$3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783" type="list">
      <formula1>_lists!$ACO$1:$ACO$15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17" type="list">
      <formula1>_lists!$ACP$1:$ACP$4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17" type="list">
      <formula1>_lists!$ACQ$1:$ACQ$2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817" type="list">
      <formula1>_lists!$ACR$1:$ACR$20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817" type="list">
      <formula1>_lists!$ACS$1:$ACS$3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61" type="list">
      <formula1>_lists!$ACT$1:$ACT$2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70" type="list">
      <formula1>_lists!$ACU$1:$ACU$2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870" type="list">
      <formula1>_lists!$ACV$1:$ACV$43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20" type="list">
      <formula1>_lists!$ACW$1:$ACW$3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20" type="list">
      <formula1>_lists!$ACX$1:$ACX$2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920" type="list">
      <formula1>_lists!$ACY$1:$ACY$43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91" type="list">
      <formula1>_lists!$ACZ$1:$ACZ$8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06" type="list">
      <formula1>_lists!$ADA$1:$ADA$4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06" type="list">
      <formula1>_lists!$ADB$1:$ADB$35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69" type="list">
      <formula1>_lists!$ADC$1:$ADC$2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69" type="list">
      <formula1>_lists!$ADD$1:$ADD$17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02" type="list">
      <formula1>_lists!$ADE$1:$ADE$2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02" type="list">
      <formula1>_lists!$ADF$1:$ADF$8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102" type="list">
      <formula1>_lists!$ADG$1:$ADG$2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28" type="list">
      <formula1>_lists!$ADH$1:$ADH$3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28" type="list">
      <formula1>_lists!$ADI$1:$ADI$6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41" type="list">
      <formula1>_lists!$ADJ$1:$ADJ$2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41" type="list">
      <formula1>_lists!$ADK$1:$ADK$9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141" type="list">
      <formula1>_lists!$ADL$1:$ADL$29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17" type="list">
      <formula1>_lists!$ADM$1:$ADM$2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17" type="list">
      <formula1>_lists!$ADN$1:$ADN$17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217" type="list">
      <formula1>_lists!$ADO$1:$ADO$129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74" type="list">
      <formula1>_lists!$ADP$1:$ADP$2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25370</v>
      </c>
      <c r="C1" s="10"/>
      <c r="D1" s="10"/>
      <c r="E1" s="10"/>
      <c r="F1" s="10"/>
    </row>
    <row r="2" customFormat="false" ht="15" hidden="false" customHeight="false" outlineLevel="0" collapsed="false">
      <c r="A2" s="12" t="s">
        <v>700</v>
      </c>
      <c r="B2" s="13" t="s">
        <v>701</v>
      </c>
      <c r="C2" s="13" t="s">
        <v>702</v>
      </c>
      <c r="D2" s="13" t="s">
        <v>705</v>
      </c>
      <c r="E2" s="13" t="s">
        <v>11716</v>
      </c>
      <c r="F2" s="13" t="s">
        <v>13701</v>
      </c>
    </row>
    <row r="3" customFormat="false" ht="30" hidden="false" customHeight="true" outlineLevel="0" collapsed="false">
      <c r="A3" s="14" t="s">
        <v>706</v>
      </c>
      <c r="B3" s="15" t="str">
        <f aca="false">IF(COUNTIFS($D$6:$D$227,IF(D3="","*",D3),$E$6:$E$227,IF(E3="","*",E3),$F$6:$F$227,IF(F3="","*",F3))=1,INDEX($B:$B,SUMPRODUCT(((D3="")+($D$6:$D$227=D3)&gt;0)*((E3="")+($E$6:$E$227=E3)&gt;0)*((F3="")+($F$6:$F$227=F3)&gt;0)*ROW($B$6:$B$227))),IF(COUNTIFS($D$6:$D$227,IF(D3="","*",D3),$E$6:$E$227,IF(E3="","*",E3),$F$6:$F$227,IF(F3="","*",F3))=0,"Not available",COUNTIFS($D$6:$D$227,IF(D3="","*",D3),$E$6:$E$227,IF(E3="","*",E3),$F$6:$F$227,IF(F3="","*",F3))&amp;" match, keep choosing"))</f>
        <v>I7380-G109-M1.6x10-P43</v>
      </c>
      <c r="C3" s="16" t="n">
        <f aca="false">IF(COUNTIFS($D$6:$D$227,IF(D3="","*",D3),$E$6:$E$227,IF(E3="","*",E3),$F$6:$F$227,IF(F3="","*",F3))=1,INDEX($C:$C,SUMPRODUCT(((D3="")+($D$6:$D$227=D3)&gt;0)*((E3="")+($E$6:$E$227=E3)&gt;0)*((F3="")+($F$6:$F$227=F3)&gt;0)*ROW($B$6:$B$227))),"")</f>
        <v>0.14</v>
      </c>
      <c r="D3" s="17" t="s">
        <v>25371</v>
      </c>
      <c r="E3" s="17" t="s">
        <v>707</v>
      </c>
      <c r="F3" s="17" t="s">
        <v>25372</v>
      </c>
    </row>
    <row r="5" customFormat="false" ht="15" hidden="false" customHeight="false" outlineLevel="0" collapsed="false">
      <c r="B5" s="18" t="s">
        <v>701</v>
      </c>
      <c r="C5" s="18" t="s">
        <v>702</v>
      </c>
      <c r="D5" s="18" t="s">
        <v>705</v>
      </c>
      <c r="E5" s="18" t="s">
        <v>11716</v>
      </c>
      <c r="F5" s="18" t="s">
        <v>13701</v>
      </c>
    </row>
    <row r="6" customFormat="false" ht="15" hidden="false" customHeight="false" outlineLevel="0" collapsed="false">
      <c r="B6" s="19" t="s">
        <v>25373</v>
      </c>
      <c r="C6" s="20" t="n">
        <f aca="false">ROUND(1.02/FX,2)</f>
        <v>0.14</v>
      </c>
      <c r="D6" s="21" t="s">
        <v>25371</v>
      </c>
      <c r="E6" s="21" t="s">
        <v>707</v>
      </c>
      <c r="F6" s="21" t="s">
        <v>25372</v>
      </c>
    </row>
    <row r="7" customFormat="false" ht="15" hidden="false" customHeight="false" outlineLevel="0" collapsed="false">
      <c r="B7" s="19" t="s">
        <v>25374</v>
      </c>
      <c r="C7" s="20" t="n">
        <f aca="false">ROUND(1.01/FX,2)</f>
        <v>0.14</v>
      </c>
      <c r="D7" s="21" t="s">
        <v>25375</v>
      </c>
      <c r="E7" s="21" t="s">
        <v>761</v>
      </c>
      <c r="F7" s="21" t="s">
        <v>25372</v>
      </c>
    </row>
    <row r="8" customFormat="false" ht="15" hidden="false" customHeight="false" outlineLevel="0" collapsed="false">
      <c r="B8" s="19" t="s">
        <v>25376</v>
      </c>
      <c r="C8" s="20" t="n">
        <f aca="false">ROUND(1.01/FX,2)</f>
        <v>0.14</v>
      </c>
      <c r="D8" s="21" t="s">
        <v>25377</v>
      </c>
      <c r="E8" s="21" t="s">
        <v>841</v>
      </c>
      <c r="F8" s="21" t="s">
        <v>25372</v>
      </c>
    </row>
    <row r="9" customFormat="false" ht="15" hidden="false" customHeight="false" outlineLevel="0" collapsed="false">
      <c r="B9" s="19" t="s">
        <v>25378</v>
      </c>
      <c r="C9" s="20" t="n">
        <f aca="false">ROUND(1.01/FX,2)</f>
        <v>0.14</v>
      </c>
      <c r="D9" s="21" t="s">
        <v>25377</v>
      </c>
      <c r="E9" s="21" t="s">
        <v>789</v>
      </c>
      <c r="F9" s="21" t="s">
        <v>25372</v>
      </c>
    </row>
    <row r="10" customFormat="false" ht="15" hidden="false" customHeight="false" outlineLevel="0" collapsed="false">
      <c r="B10" s="19" t="s">
        <v>25379</v>
      </c>
      <c r="C10" s="20" t="n">
        <f aca="false">ROUND(1.01/FX,2)</f>
        <v>0.14</v>
      </c>
      <c r="D10" s="21" t="s">
        <v>25377</v>
      </c>
      <c r="E10" s="21" t="s">
        <v>716</v>
      </c>
      <c r="F10" s="21" t="s">
        <v>25372</v>
      </c>
    </row>
    <row r="11" customFormat="false" ht="15" hidden="false" customHeight="false" outlineLevel="0" collapsed="false">
      <c r="B11" s="19" t="s">
        <v>25380</v>
      </c>
      <c r="C11" s="20" t="n">
        <f aca="false">ROUND(1.02/FX,2)</f>
        <v>0.14</v>
      </c>
      <c r="D11" s="21" t="s">
        <v>25371</v>
      </c>
      <c r="E11" s="21" t="s">
        <v>847</v>
      </c>
      <c r="F11" s="21" t="s">
        <v>25372</v>
      </c>
    </row>
    <row r="12" customFormat="false" ht="15" hidden="false" customHeight="false" outlineLevel="0" collapsed="false">
      <c r="B12" s="19" t="s">
        <v>25381</v>
      </c>
      <c r="C12" s="20" t="n">
        <f aca="false">ROUND(1.68/FX,2)</f>
        <v>0.23</v>
      </c>
      <c r="D12" s="21" t="s">
        <v>13732</v>
      </c>
      <c r="E12" s="21" t="s">
        <v>2600</v>
      </c>
      <c r="F12" s="21" t="s">
        <v>22841</v>
      </c>
    </row>
    <row r="13" customFormat="false" ht="15" hidden="false" customHeight="false" outlineLevel="0" collapsed="false">
      <c r="B13" s="19" t="s">
        <v>25382</v>
      </c>
      <c r="C13" s="20" t="n">
        <f aca="false">ROUND(2.63/FX,2)</f>
        <v>0.37</v>
      </c>
      <c r="D13" s="21" t="s">
        <v>13732</v>
      </c>
      <c r="E13" s="21" t="s">
        <v>2651</v>
      </c>
      <c r="F13" s="21" t="s">
        <v>22841</v>
      </c>
    </row>
    <row r="14" customFormat="false" ht="15" hidden="false" customHeight="false" outlineLevel="0" collapsed="false">
      <c r="B14" s="19" t="s">
        <v>25383</v>
      </c>
      <c r="C14" s="20" t="n">
        <f aca="false">ROUND(1.01/FX,2)</f>
        <v>0.14</v>
      </c>
      <c r="D14" s="21" t="s">
        <v>14013</v>
      </c>
      <c r="E14" s="21" t="s">
        <v>761</v>
      </c>
      <c r="F14" s="21" t="s">
        <v>22841</v>
      </c>
    </row>
    <row r="15" customFormat="false" ht="15" hidden="false" customHeight="false" outlineLevel="0" collapsed="false">
      <c r="B15" s="19" t="s">
        <v>25384</v>
      </c>
      <c r="C15" s="20" t="n">
        <f aca="false">ROUND(2.83/FX,2)</f>
        <v>0.39</v>
      </c>
      <c r="D15" s="21" t="s">
        <v>13732</v>
      </c>
      <c r="E15" s="21" t="s">
        <v>2701</v>
      </c>
      <c r="F15" s="21" t="s">
        <v>22841</v>
      </c>
    </row>
    <row r="16" customFormat="false" ht="15" hidden="false" customHeight="false" outlineLevel="0" collapsed="false">
      <c r="B16" s="19" t="s">
        <v>25385</v>
      </c>
      <c r="C16" s="20" t="n">
        <f aca="false">ROUND(3.02/FX,2)</f>
        <v>0.42</v>
      </c>
      <c r="D16" s="21" t="s">
        <v>13732</v>
      </c>
      <c r="E16" s="21" t="s">
        <v>2751</v>
      </c>
      <c r="F16" s="21" t="s">
        <v>22841</v>
      </c>
    </row>
    <row r="17" customFormat="false" ht="15" hidden="false" customHeight="false" outlineLevel="0" collapsed="false">
      <c r="B17" s="19" t="s">
        <v>25386</v>
      </c>
      <c r="C17" s="20" t="n">
        <f aca="false">ROUND(3.15/FX,2)</f>
        <v>0.44</v>
      </c>
      <c r="D17" s="21" t="s">
        <v>13732</v>
      </c>
      <c r="E17" s="21" t="s">
        <v>2801</v>
      </c>
      <c r="F17" s="21" t="s">
        <v>22841</v>
      </c>
    </row>
    <row r="18" customFormat="false" ht="15" hidden="false" customHeight="false" outlineLevel="0" collapsed="false">
      <c r="B18" s="19" t="s">
        <v>25387</v>
      </c>
      <c r="C18" s="20" t="n">
        <f aca="false">ROUND(3.41/FX,2)</f>
        <v>0.47</v>
      </c>
      <c r="D18" s="21" t="s">
        <v>13732</v>
      </c>
      <c r="E18" s="21" t="s">
        <v>2851</v>
      </c>
      <c r="F18" s="21" t="s">
        <v>22841</v>
      </c>
    </row>
    <row r="19" customFormat="false" ht="15" hidden="false" customHeight="false" outlineLevel="0" collapsed="false">
      <c r="B19" s="19" t="s">
        <v>25388</v>
      </c>
      <c r="C19" s="20" t="n">
        <f aca="false">ROUND(1.15/FX,2)</f>
        <v>0.16</v>
      </c>
      <c r="D19" s="21" t="s">
        <v>13743</v>
      </c>
      <c r="E19" s="21" t="s">
        <v>3833</v>
      </c>
      <c r="F19" s="21" t="s">
        <v>22841</v>
      </c>
    </row>
    <row r="20" customFormat="false" ht="15" hidden="false" customHeight="false" outlineLevel="0" collapsed="false">
      <c r="B20" s="19" t="s">
        <v>25389</v>
      </c>
      <c r="C20" s="20" t="n">
        <f aca="false">ROUND(1.08/FX,2)</f>
        <v>0.15</v>
      </c>
      <c r="D20" s="21" t="s">
        <v>14013</v>
      </c>
      <c r="E20" s="21" t="s">
        <v>4000</v>
      </c>
      <c r="F20" s="21" t="s">
        <v>22841</v>
      </c>
    </row>
    <row r="21" customFormat="false" ht="15" hidden="false" customHeight="false" outlineLevel="0" collapsed="false">
      <c r="B21" s="19" t="s">
        <v>25390</v>
      </c>
      <c r="C21" s="20" t="n">
        <f aca="false">ROUND(1/FX,2)</f>
        <v>0.14</v>
      </c>
      <c r="D21" s="21" t="s">
        <v>14013</v>
      </c>
      <c r="E21" s="21" t="s">
        <v>3247</v>
      </c>
      <c r="F21" s="21" t="s">
        <v>22841</v>
      </c>
    </row>
    <row r="22" customFormat="false" ht="15" hidden="false" customHeight="false" outlineLevel="0" collapsed="false">
      <c r="B22" s="19" t="s">
        <v>25391</v>
      </c>
      <c r="C22" s="20" t="n">
        <f aca="false">ROUND(1.16/FX,2)</f>
        <v>0.16</v>
      </c>
      <c r="D22" s="21" t="s">
        <v>14013</v>
      </c>
      <c r="E22" s="21" t="s">
        <v>3317</v>
      </c>
      <c r="F22" s="21" t="s">
        <v>22841</v>
      </c>
    </row>
    <row r="23" customFormat="false" ht="15" hidden="false" customHeight="false" outlineLevel="0" collapsed="false">
      <c r="B23" s="19" t="s">
        <v>25392</v>
      </c>
      <c r="C23" s="20" t="n">
        <f aca="false">ROUND(1.28/FX,2)</f>
        <v>0.18</v>
      </c>
      <c r="D23" s="21" t="s">
        <v>14013</v>
      </c>
      <c r="E23" s="21" t="s">
        <v>784</v>
      </c>
      <c r="F23" s="21" t="s">
        <v>22841</v>
      </c>
    </row>
    <row r="24" customFormat="false" ht="15" hidden="false" customHeight="false" outlineLevel="0" collapsed="false">
      <c r="B24" s="19" t="s">
        <v>25393</v>
      </c>
      <c r="C24" s="20" t="n">
        <f aca="false">ROUND(1.08/FX,2)</f>
        <v>0.15</v>
      </c>
      <c r="D24" s="21" t="s">
        <v>13751</v>
      </c>
      <c r="E24" s="21" t="s">
        <v>3328</v>
      </c>
      <c r="F24" s="21" t="s">
        <v>22841</v>
      </c>
    </row>
    <row r="25" customFormat="false" ht="15" hidden="false" customHeight="false" outlineLevel="0" collapsed="false">
      <c r="B25" s="19" t="s">
        <v>25394</v>
      </c>
      <c r="C25" s="20" t="n">
        <f aca="false">ROUND(1.14/FX,2)</f>
        <v>0.16</v>
      </c>
      <c r="D25" s="21" t="s">
        <v>13751</v>
      </c>
      <c r="E25" s="21" t="s">
        <v>6246</v>
      </c>
      <c r="F25" s="21" t="s">
        <v>22841</v>
      </c>
    </row>
    <row r="26" customFormat="false" ht="15" hidden="false" customHeight="false" outlineLevel="0" collapsed="false">
      <c r="B26" s="19" t="s">
        <v>25395</v>
      </c>
      <c r="C26" s="20" t="n">
        <f aca="false">ROUND(1.29/FX,2)</f>
        <v>0.18</v>
      </c>
      <c r="D26" s="21" t="s">
        <v>13751</v>
      </c>
      <c r="E26" s="21" t="s">
        <v>7358</v>
      </c>
      <c r="F26" s="21" t="s">
        <v>22841</v>
      </c>
    </row>
    <row r="27" customFormat="false" ht="15" hidden="false" customHeight="false" outlineLevel="0" collapsed="false">
      <c r="B27" s="19" t="s">
        <v>25396</v>
      </c>
      <c r="C27" s="20" t="n">
        <f aca="false">ROUND(1.47/FX,2)</f>
        <v>0.2</v>
      </c>
      <c r="D27" s="21" t="s">
        <v>13751</v>
      </c>
      <c r="E27" s="21" t="s">
        <v>2911</v>
      </c>
      <c r="F27" s="21" t="s">
        <v>22841</v>
      </c>
    </row>
    <row r="28" customFormat="false" ht="15" hidden="false" customHeight="false" outlineLevel="0" collapsed="false">
      <c r="B28" s="19" t="s">
        <v>25397</v>
      </c>
      <c r="C28" s="20" t="n">
        <f aca="false">ROUND(1.94/FX,2)</f>
        <v>0.27</v>
      </c>
      <c r="D28" s="21" t="s">
        <v>13739</v>
      </c>
      <c r="E28" s="21" t="s">
        <v>7275</v>
      </c>
      <c r="F28" s="21" t="s">
        <v>22841</v>
      </c>
    </row>
    <row r="29" customFormat="false" ht="15" hidden="false" customHeight="false" outlineLevel="0" collapsed="false">
      <c r="B29" s="19" t="s">
        <v>25398</v>
      </c>
      <c r="C29" s="20" t="n">
        <f aca="false">ROUND(1.1/FX,2)</f>
        <v>0.15</v>
      </c>
      <c r="D29" s="21" t="s">
        <v>13732</v>
      </c>
      <c r="E29" s="21" t="s">
        <v>2961</v>
      </c>
      <c r="F29" s="21" t="s">
        <v>22841</v>
      </c>
    </row>
    <row r="30" customFormat="false" ht="15" hidden="false" customHeight="false" outlineLevel="0" collapsed="false">
      <c r="B30" s="19" t="s">
        <v>25399</v>
      </c>
      <c r="C30" s="20" t="n">
        <f aca="false">ROUND(1.3/FX,2)</f>
        <v>0.18</v>
      </c>
      <c r="D30" s="21" t="s">
        <v>13732</v>
      </c>
      <c r="E30" s="21" t="s">
        <v>13817</v>
      </c>
      <c r="F30" s="21" t="s">
        <v>22841</v>
      </c>
    </row>
    <row r="31" customFormat="false" ht="15" hidden="false" customHeight="false" outlineLevel="0" collapsed="false">
      <c r="B31" s="19" t="s">
        <v>25400</v>
      </c>
      <c r="C31" s="20" t="n">
        <f aca="false">ROUND(1.18/FX,2)</f>
        <v>0.16</v>
      </c>
      <c r="D31" s="21" t="s">
        <v>13732</v>
      </c>
      <c r="E31" s="21" t="s">
        <v>3011</v>
      </c>
      <c r="F31" s="21" t="s">
        <v>22841</v>
      </c>
    </row>
    <row r="32" customFormat="false" ht="15" hidden="false" customHeight="false" outlineLevel="0" collapsed="false">
      <c r="B32" s="19" t="s">
        <v>25401</v>
      </c>
      <c r="C32" s="20" t="n">
        <f aca="false">ROUND(1.3/FX,2)</f>
        <v>0.18</v>
      </c>
      <c r="D32" s="21" t="s">
        <v>13732</v>
      </c>
      <c r="E32" s="21" t="s">
        <v>7396</v>
      </c>
      <c r="F32" s="21" t="s">
        <v>22841</v>
      </c>
    </row>
    <row r="33" customFormat="false" ht="15" hidden="false" customHeight="false" outlineLevel="0" collapsed="false">
      <c r="B33" s="19" t="s">
        <v>25402</v>
      </c>
      <c r="C33" s="20" t="n">
        <f aca="false">ROUND(1.46/FX,2)</f>
        <v>0.2</v>
      </c>
      <c r="D33" s="21" t="s">
        <v>13732</v>
      </c>
      <c r="E33" s="21" t="s">
        <v>3061</v>
      </c>
      <c r="F33" s="21" t="s">
        <v>22841</v>
      </c>
    </row>
    <row r="34" customFormat="false" ht="15" hidden="false" customHeight="false" outlineLevel="0" collapsed="false">
      <c r="B34" s="19" t="s">
        <v>25403</v>
      </c>
      <c r="C34" s="20" t="n">
        <f aca="false">ROUND(1.82/FX,2)</f>
        <v>0.25</v>
      </c>
      <c r="D34" s="21" t="s">
        <v>13732</v>
      </c>
      <c r="E34" s="21" t="s">
        <v>11870</v>
      </c>
      <c r="F34" s="21" t="s">
        <v>22841</v>
      </c>
    </row>
    <row r="35" customFormat="false" ht="15" hidden="false" customHeight="false" outlineLevel="0" collapsed="false">
      <c r="B35" s="19" t="s">
        <v>25404</v>
      </c>
      <c r="C35" s="20" t="n">
        <f aca="false">ROUND(1.55/FX,2)</f>
        <v>0.22</v>
      </c>
      <c r="D35" s="21" t="s">
        <v>13732</v>
      </c>
      <c r="E35" s="21" t="s">
        <v>3111</v>
      </c>
      <c r="F35" s="21" t="s">
        <v>22841</v>
      </c>
    </row>
    <row r="36" customFormat="false" ht="15" hidden="false" customHeight="false" outlineLevel="0" collapsed="false">
      <c r="B36" s="19" t="s">
        <v>25405</v>
      </c>
      <c r="C36" s="20" t="n">
        <f aca="false">ROUND(1.89/FX,2)</f>
        <v>0.26</v>
      </c>
      <c r="D36" s="21" t="s">
        <v>13732</v>
      </c>
      <c r="E36" s="21" t="s">
        <v>2600</v>
      </c>
      <c r="F36" s="21" t="s">
        <v>22844</v>
      </c>
    </row>
    <row r="37" customFormat="false" ht="15" hidden="false" customHeight="false" outlineLevel="0" collapsed="false">
      <c r="B37" s="19" t="s">
        <v>25406</v>
      </c>
      <c r="C37" s="20" t="n">
        <f aca="false">ROUND(3.08/FX,2)</f>
        <v>0.43</v>
      </c>
      <c r="D37" s="21" t="s">
        <v>13732</v>
      </c>
      <c r="E37" s="21" t="s">
        <v>2651</v>
      </c>
      <c r="F37" s="21" t="s">
        <v>22844</v>
      </c>
    </row>
    <row r="38" customFormat="false" ht="15" hidden="false" customHeight="false" outlineLevel="0" collapsed="false">
      <c r="B38" s="19" t="s">
        <v>25407</v>
      </c>
      <c r="C38" s="20" t="n">
        <f aca="false">ROUND(3.41/FX,2)</f>
        <v>0.47</v>
      </c>
      <c r="D38" s="21" t="s">
        <v>13732</v>
      </c>
      <c r="E38" s="21" t="s">
        <v>2701</v>
      </c>
      <c r="F38" s="21" t="s">
        <v>22844</v>
      </c>
    </row>
    <row r="39" customFormat="false" ht="15" hidden="false" customHeight="false" outlineLevel="0" collapsed="false">
      <c r="B39" s="19" t="s">
        <v>25408</v>
      </c>
      <c r="C39" s="20" t="n">
        <f aca="false">ROUND(3.73/FX,2)</f>
        <v>0.52</v>
      </c>
      <c r="D39" s="21" t="s">
        <v>13732</v>
      </c>
      <c r="E39" s="21" t="s">
        <v>2751</v>
      </c>
      <c r="F39" s="21" t="s">
        <v>22844</v>
      </c>
    </row>
    <row r="40" customFormat="false" ht="15" hidden="false" customHeight="false" outlineLevel="0" collapsed="false">
      <c r="B40" s="19" t="s">
        <v>25409</v>
      </c>
      <c r="C40" s="20" t="n">
        <f aca="false">ROUND(4.11/FX,2)</f>
        <v>0.57</v>
      </c>
      <c r="D40" s="21" t="s">
        <v>13732</v>
      </c>
      <c r="E40" s="21" t="s">
        <v>2801</v>
      </c>
      <c r="F40" s="21" t="s">
        <v>22844</v>
      </c>
    </row>
    <row r="41" customFormat="false" ht="15" hidden="false" customHeight="false" outlineLevel="0" collapsed="false">
      <c r="B41" s="19" t="s">
        <v>25410</v>
      </c>
      <c r="C41" s="20" t="n">
        <f aca="false">ROUND(4.37/FX,2)</f>
        <v>0.61</v>
      </c>
      <c r="D41" s="21" t="s">
        <v>13732</v>
      </c>
      <c r="E41" s="21" t="s">
        <v>2851</v>
      </c>
      <c r="F41" s="21" t="s">
        <v>22844</v>
      </c>
    </row>
    <row r="42" customFormat="false" ht="15" hidden="false" customHeight="false" outlineLevel="0" collapsed="false">
      <c r="B42" s="19" t="s">
        <v>25411</v>
      </c>
      <c r="C42" s="20" t="n">
        <f aca="false">ROUND(1.08/FX,2)</f>
        <v>0.15</v>
      </c>
      <c r="D42" s="21" t="s">
        <v>13751</v>
      </c>
      <c r="E42" s="21" t="s">
        <v>3833</v>
      </c>
      <c r="F42" s="21" t="s">
        <v>22844</v>
      </c>
    </row>
    <row r="43" customFormat="false" ht="15" hidden="false" customHeight="false" outlineLevel="0" collapsed="false">
      <c r="B43" s="19" t="s">
        <v>25412</v>
      </c>
      <c r="C43" s="20" t="n">
        <f aca="false">ROUND(1/FX,2)</f>
        <v>0.14</v>
      </c>
      <c r="D43" s="21" t="s">
        <v>13739</v>
      </c>
      <c r="E43" s="21" t="s">
        <v>3247</v>
      </c>
      <c r="F43" s="21" t="s">
        <v>22844</v>
      </c>
    </row>
    <row r="44" customFormat="false" ht="15" hidden="false" customHeight="false" outlineLevel="0" collapsed="false">
      <c r="B44" s="19" t="s">
        <v>25413</v>
      </c>
      <c r="C44" s="20" t="n">
        <f aca="false">ROUND(1/FX,2)</f>
        <v>0.14</v>
      </c>
      <c r="D44" s="21" t="s">
        <v>13739</v>
      </c>
      <c r="E44" s="21" t="s">
        <v>3317</v>
      </c>
      <c r="F44" s="21" t="s">
        <v>22844</v>
      </c>
    </row>
    <row r="45" customFormat="false" ht="15" hidden="false" customHeight="false" outlineLevel="0" collapsed="false">
      <c r="B45" s="19" t="s">
        <v>25414</v>
      </c>
      <c r="C45" s="20" t="n">
        <f aca="false">ROUND(1.14/FX,2)</f>
        <v>0.16</v>
      </c>
      <c r="D45" s="21" t="s">
        <v>13739</v>
      </c>
      <c r="E45" s="21" t="s">
        <v>784</v>
      </c>
      <c r="F45" s="21" t="s">
        <v>22844</v>
      </c>
    </row>
    <row r="46" customFormat="false" ht="15" hidden="false" customHeight="false" outlineLevel="0" collapsed="false">
      <c r="B46" s="19" t="s">
        <v>25415</v>
      </c>
      <c r="C46" s="20" t="n">
        <f aca="false">ROUND(1.38/FX,2)</f>
        <v>0.19</v>
      </c>
      <c r="D46" s="21" t="s">
        <v>13739</v>
      </c>
      <c r="E46" s="21" t="s">
        <v>3328</v>
      </c>
      <c r="F46" s="21" t="s">
        <v>22844</v>
      </c>
    </row>
    <row r="47" customFormat="false" ht="15" hidden="false" customHeight="false" outlineLevel="0" collapsed="false">
      <c r="B47" s="19" t="s">
        <v>25416</v>
      </c>
      <c r="C47" s="20" t="n">
        <f aca="false">ROUND(1.5/FX,2)</f>
        <v>0.21</v>
      </c>
      <c r="D47" s="21" t="s">
        <v>13739</v>
      </c>
      <c r="E47" s="21" t="s">
        <v>6246</v>
      </c>
      <c r="F47" s="21" t="s">
        <v>22844</v>
      </c>
    </row>
    <row r="48" customFormat="false" ht="15" hidden="false" customHeight="false" outlineLevel="0" collapsed="false">
      <c r="B48" s="19" t="s">
        <v>25417</v>
      </c>
      <c r="C48" s="20" t="n">
        <f aca="false">ROUND(1.68/FX,2)</f>
        <v>0.23</v>
      </c>
      <c r="D48" s="21" t="s">
        <v>13739</v>
      </c>
      <c r="E48" s="21" t="s">
        <v>7358</v>
      </c>
      <c r="F48" s="21" t="s">
        <v>22844</v>
      </c>
    </row>
    <row r="49" customFormat="false" ht="15" hidden="false" customHeight="false" outlineLevel="0" collapsed="false">
      <c r="B49" s="19" t="s">
        <v>25418</v>
      </c>
      <c r="C49" s="20" t="n">
        <f aca="false">ROUND(1.92/FX,2)</f>
        <v>0.27</v>
      </c>
      <c r="D49" s="21" t="s">
        <v>13739</v>
      </c>
      <c r="E49" s="21" t="s">
        <v>2911</v>
      </c>
      <c r="F49" s="21" t="s">
        <v>22844</v>
      </c>
    </row>
    <row r="50" customFormat="false" ht="15" hidden="false" customHeight="false" outlineLevel="0" collapsed="false">
      <c r="B50" s="19" t="s">
        <v>25419</v>
      </c>
      <c r="C50" s="20" t="n">
        <f aca="false">ROUND(1.2/FX,2)</f>
        <v>0.17</v>
      </c>
      <c r="D50" s="21" t="s">
        <v>13732</v>
      </c>
      <c r="E50" s="21" t="s">
        <v>7275</v>
      </c>
      <c r="F50" s="21" t="s">
        <v>22844</v>
      </c>
    </row>
    <row r="51" customFormat="false" ht="15" hidden="false" customHeight="false" outlineLevel="0" collapsed="false">
      <c r="B51" s="19" t="s">
        <v>25420</v>
      </c>
      <c r="C51" s="20" t="n">
        <f aca="false">ROUND(1.11/FX,2)</f>
        <v>0.15</v>
      </c>
      <c r="D51" s="21" t="s">
        <v>13732</v>
      </c>
      <c r="E51" s="21" t="s">
        <v>2961</v>
      </c>
      <c r="F51" s="21" t="s">
        <v>22844</v>
      </c>
    </row>
    <row r="52" customFormat="false" ht="15" hidden="false" customHeight="false" outlineLevel="0" collapsed="false">
      <c r="B52" s="19" t="s">
        <v>25421</v>
      </c>
      <c r="C52" s="20" t="n">
        <f aca="false">ROUND(1.2/FX,2)</f>
        <v>0.17</v>
      </c>
      <c r="D52" s="21" t="s">
        <v>13732</v>
      </c>
      <c r="E52" s="21" t="s">
        <v>13817</v>
      </c>
      <c r="F52" s="21" t="s">
        <v>22844</v>
      </c>
    </row>
    <row r="53" customFormat="false" ht="15" hidden="false" customHeight="false" outlineLevel="0" collapsed="false">
      <c r="B53" s="19" t="s">
        <v>25422</v>
      </c>
      <c r="C53" s="20" t="n">
        <f aca="false">ROUND(1.33/FX,2)</f>
        <v>0.18</v>
      </c>
      <c r="D53" s="21" t="s">
        <v>13732</v>
      </c>
      <c r="E53" s="21" t="s">
        <v>3011</v>
      </c>
      <c r="F53" s="21" t="s">
        <v>22844</v>
      </c>
    </row>
    <row r="54" customFormat="false" ht="15" hidden="false" customHeight="false" outlineLevel="0" collapsed="false">
      <c r="B54" s="19" t="s">
        <v>25423</v>
      </c>
      <c r="C54" s="20" t="n">
        <f aca="false">ROUND(1.39/FX,2)</f>
        <v>0.19</v>
      </c>
      <c r="D54" s="21" t="s">
        <v>13732</v>
      </c>
      <c r="E54" s="21" t="s">
        <v>7396</v>
      </c>
      <c r="F54" s="21" t="s">
        <v>22844</v>
      </c>
    </row>
    <row r="55" customFormat="false" ht="15" hidden="false" customHeight="false" outlineLevel="0" collapsed="false">
      <c r="B55" s="19" t="s">
        <v>25424</v>
      </c>
      <c r="C55" s="20" t="n">
        <f aca="false">ROUND(1.51/FX,2)</f>
        <v>0.21</v>
      </c>
      <c r="D55" s="21" t="s">
        <v>13732</v>
      </c>
      <c r="E55" s="21" t="s">
        <v>3061</v>
      </c>
      <c r="F55" s="21" t="s">
        <v>22844</v>
      </c>
    </row>
    <row r="56" customFormat="false" ht="15" hidden="false" customHeight="false" outlineLevel="0" collapsed="false">
      <c r="B56" s="19" t="s">
        <v>25425</v>
      </c>
      <c r="C56" s="20" t="n">
        <f aca="false">ROUND(1.7/FX,2)</f>
        <v>0.24</v>
      </c>
      <c r="D56" s="21" t="s">
        <v>13732</v>
      </c>
      <c r="E56" s="21" t="s">
        <v>3111</v>
      </c>
      <c r="F56" s="21" t="s">
        <v>22844</v>
      </c>
    </row>
    <row r="57" customFormat="false" ht="15" hidden="false" customHeight="false" outlineLevel="0" collapsed="false">
      <c r="B57" s="19" t="s">
        <v>25426</v>
      </c>
      <c r="C57" s="20" t="n">
        <f aca="false">ROUND(1.04/FX,2)</f>
        <v>0.14</v>
      </c>
      <c r="D57" s="21" t="s">
        <v>13732</v>
      </c>
      <c r="E57" s="21" t="s">
        <v>2600</v>
      </c>
      <c r="F57" s="21" t="s">
        <v>25427</v>
      </c>
    </row>
    <row r="58" customFormat="false" ht="15" hidden="false" customHeight="false" outlineLevel="0" collapsed="false">
      <c r="B58" s="19" t="s">
        <v>25428</v>
      </c>
      <c r="C58" s="20" t="n">
        <f aca="false">ROUND(1.68/FX,2)</f>
        <v>0.23</v>
      </c>
      <c r="D58" s="21" t="s">
        <v>13732</v>
      </c>
      <c r="E58" s="21" t="s">
        <v>784</v>
      </c>
      <c r="F58" s="21" t="s">
        <v>25427</v>
      </c>
    </row>
    <row r="59" customFormat="false" ht="15" hidden="false" customHeight="false" outlineLevel="0" collapsed="false">
      <c r="B59" s="19" t="s">
        <v>25429</v>
      </c>
      <c r="C59" s="20" t="n">
        <f aca="false">ROUND(1.85/FX,2)</f>
        <v>0.26</v>
      </c>
      <c r="D59" s="21" t="s">
        <v>13732</v>
      </c>
      <c r="E59" s="21" t="s">
        <v>3328</v>
      </c>
      <c r="F59" s="21" t="s">
        <v>25427</v>
      </c>
    </row>
    <row r="60" customFormat="false" ht="15" hidden="false" customHeight="false" outlineLevel="0" collapsed="false">
      <c r="B60" s="19" t="s">
        <v>25430</v>
      </c>
      <c r="C60" s="20" t="n">
        <f aca="false">ROUND(2.02/FX,2)</f>
        <v>0.28</v>
      </c>
      <c r="D60" s="21" t="s">
        <v>13732</v>
      </c>
      <c r="E60" s="21" t="s">
        <v>6246</v>
      </c>
      <c r="F60" s="21" t="s">
        <v>25427</v>
      </c>
    </row>
    <row r="61" customFormat="false" ht="15" hidden="false" customHeight="false" outlineLevel="0" collapsed="false">
      <c r="B61" s="19" t="s">
        <v>25431</v>
      </c>
      <c r="C61" s="20" t="n">
        <f aca="false">ROUND(2.2/FX,2)</f>
        <v>0.31</v>
      </c>
      <c r="D61" s="21" t="s">
        <v>13732</v>
      </c>
      <c r="E61" s="21" t="s">
        <v>7358</v>
      </c>
      <c r="F61" s="21" t="s">
        <v>25427</v>
      </c>
    </row>
    <row r="62" customFormat="false" ht="15" hidden="false" customHeight="false" outlineLevel="0" collapsed="false">
      <c r="B62" s="19" t="s">
        <v>25432</v>
      </c>
      <c r="C62" s="20" t="n">
        <f aca="false">ROUND(2.31/FX,2)</f>
        <v>0.32</v>
      </c>
      <c r="D62" s="21" t="s">
        <v>13732</v>
      </c>
      <c r="E62" s="21" t="s">
        <v>2911</v>
      </c>
      <c r="F62" s="21" t="s">
        <v>25427</v>
      </c>
    </row>
    <row r="63" customFormat="false" ht="15" hidden="false" customHeight="false" outlineLevel="0" collapsed="false">
      <c r="B63" s="19" t="s">
        <v>25433</v>
      </c>
      <c r="C63" s="20" t="n">
        <f aca="false">ROUND(2.55/FX,2)</f>
        <v>0.35</v>
      </c>
      <c r="D63" s="21" t="s">
        <v>13732</v>
      </c>
      <c r="E63" s="21" t="s">
        <v>7275</v>
      </c>
      <c r="F63" s="21" t="s">
        <v>25427</v>
      </c>
    </row>
    <row r="64" customFormat="false" ht="15" hidden="false" customHeight="false" outlineLevel="0" collapsed="false">
      <c r="B64" s="19" t="s">
        <v>25434</v>
      </c>
      <c r="C64" s="20" t="n">
        <f aca="false">ROUND(2.72/FX,2)</f>
        <v>0.38</v>
      </c>
      <c r="D64" s="21" t="s">
        <v>13732</v>
      </c>
      <c r="E64" s="21" t="s">
        <v>2961</v>
      </c>
      <c r="F64" s="21" t="s">
        <v>25427</v>
      </c>
    </row>
    <row r="65" customFormat="false" ht="15" hidden="false" customHeight="false" outlineLevel="0" collapsed="false">
      <c r="B65" s="19" t="s">
        <v>25435</v>
      </c>
      <c r="C65" s="20" t="n">
        <f aca="false">ROUND(3.07/FX,2)</f>
        <v>0.43</v>
      </c>
      <c r="D65" s="21" t="s">
        <v>13732</v>
      </c>
      <c r="E65" s="21" t="s">
        <v>3011</v>
      </c>
      <c r="F65" s="21" t="s">
        <v>25427</v>
      </c>
    </row>
    <row r="66" customFormat="false" ht="15" hidden="false" customHeight="false" outlineLevel="0" collapsed="false">
      <c r="B66" s="19" t="s">
        <v>25436</v>
      </c>
      <c r="C66" s="20" t="n">
        <f aca="false">ROUND(3.47/FX,2)</f>
        <v>0.48</v>
      </c>
      <c r="D66" s="21" t="s">
        <v>13732</v>
      </c>
      <c r="E66" s="21" t="s">
        <v>3061</v>
      </c>
      <c r="F66" s="21" t="s">
        <v>25427</v>
      </c>
    </row>
    <row r="67" customFormat="false" ht="15" hidden="false" customHeight="false" outlineLevel="0" collapsed="false">
      <c r="B67" s="19" t="s">
        <v>25437</v>
      </c>
      <c r="C67" s="20" t="n">
        <f aca="false">ROUND(3.76/FX,2)</f>
        <v>0.52</v>
      </c>
      <c r="D67" s="21" t="s">
        <v>13732</v>
      </c>
      <c r="E67" s="21" t="s">
        <v>3111</v>
      </c>
      <c r="F67" s="21" t="s">
        <v>25427</v>
      </c>
    </row>
    <row r="68" customFormat="false" ht="15" hidden="false" customHeight="false" outlineLevel="0" collapsed="false">
      <c r="B68" s="19" t="s">
        <v>25438</v>
      </c>
      <c r="C68" s="20" t="n">
        <f aca="false">ROUND(3.6/FX,2)</f>
        <v>0.5</v>
      </c>
      <c r="D68" s="21" t="s">
        <v>13732</v>
      </c>
      <c r="E68" s="21" t="s">
        <v>2600</v>
      </c>
      <c r="F68" s="21" t="s">
        <v>25439</v>
      </c>
    </row>
    <row r="69" customFormat="false" ht="15" hidden="false" customHeight="false" outlineLevel="0" collapsed="false">
      <c r="B69" s="19" t="s">
        <v>25440</v>
      </c>
      <c r="C69" s="20" t="n">
        <f aca="false">ROUND(4.34/FX,2)</f>
        <v>0.6</v>
      </c>
      <c r="D69" s="21" t="s">
        <v>13732</v>
      </c>
      <c r="E69" s="21" t="s">
        <v>2651</v>
      </c>
      <c r="F69" s="21" t="s">
        <v>25439</v>
      </c>
    </row>
    <row r="70" customFormat="false" ht="15" hidden="false" customHeight="false" outlineLevel="0" collapsed="false">
      <c r="B70" s="19" t="s">
        <v>25441</v>
      </c>
      <c r="C70" s="20" t="n">
        <f aca="false">ROUND(4.63/FX,2)</f>
        <v>0.64</v>
      </c>
      <c r="D70" s="21" t="s">
        <v>13732</v>
      </c>
      <c r="E70" s="21" t="s">
        <v>2701</v>
      </c>
      <c r="F70" s="21" t="s">
        <v>25439</v>
      </c>
    </row>
    <row r="71" customFormat="false" ht="15" hidden="false" customHeight="false" outlineLevel="0" collapsed="false">
      <c r="B71" s="19" t="s">
        <v>25442</v>
      </c>
      <c r="C71" s="20" t="n">
        <f aca="false">ROUND(6.66/FX,2)</f>
        <v>0.93</v>
      </c>
      <c r="D71" s="21" t="s">
        <v>13732</v>
      </c>
      <c r="E71" s="21" t="s">
        <v>2751</v>
      </c>
      <c r="F71" s="21" t="s">
        <v>25439</v>
      </c>
    </row>
    <row r="72" customFormat="false" ht="15" hidden="false" customHeight="false" outlineLevel="0" collapsed="false">
      <c r="B72" s="19" t="s">
        <v>25443</v>
      </c>
      <c r="C72" s="20" t="n">
        <f aca="false">ROUND(7.06/FX,2)</f>
        <v>0.98</v>
      </c>
      <c r="D72" s="21" t="s">
        <v>13732</v>
      </c>
      <c r="E72" s="21" t="s">
        <v>2801</v>
      </c>
      <c r="F72" s="21" t="s">
        <v>25439</v>
      </c>
    </row>
    <row r="73" customFormat="false" ht="15" hidden="false" customHeight="false" outlineLevel="0" collapsed="false">
      <c r="B73" s="19" t="s">
        <v>25444</v>
      </c>
      <c r="C73" s="20" t="n">
        <f aca="false">ROUND(7.45/FX,2)</f>
        <v>1.03</v>
      </c>
      <c r="D73" s="21" t="s">
        <v>13732</v>
      </c>
      <c r="E73" s="21" t="s">
        <v>2851</v>
      </c>
      <c r="F73" s="21" t="s">
        <v>25439</v>
      </c>
    </row>
    <row r="74" customFormat="false" ht="15" hidden="false" customHeight="false" outlineLevel="0" collapsed="false">
      <c r="B74" s="19" t="s">
        <v>25445</v>
      </c>
      <c r="C74" s="20" t="n">
        <f aca="false">ROUND(1.59/FX,2)</f>
        <v>0.22</v>
      </c>
      <c r="D74" s="21" t="s">
        <v>13732</v>
      </c>
      <c r="E74" s="21" t="s">
        <v>3317</v>
      </c>
      <c r="F74" s="21" t="s">
        <v>25439</v>
      </c>
    </row>
    <row r="75" customFormat="false" ht="15" hidden="false" customHeight="false" outlineLevel="0" collapsed="false">
      <c r="B75" s="19" t="s">
        <v>25446</v>
      </c>
      <c r="C75" s="20" t="n">
        <f aca="false">ROUND(1.59/FX,2)</f>
        <v>0.22</v>
      </c>
      <c r="D75" s="21" t="s">
        <v>13732</v>
      </c>
      <c r="E75" s="21" t="s">
        <v>784</v>
      </c>
      <c r="F75" s="21" t="s">
        <v>25439</v>
      </c>
    </row>
    <row r="76" customFormat="false" ht="15" hidden="false" customHeight="false" outlineLevel="0" collapsed="false">
      <c r="B76" s="19" t="s">
        <v>25447</v>
      </c>
      <c r="C76" s="20" t="n">
        <f aca="false">ROUND(1.72/FX,2)</f>
        <v>0.24</v>
      </c>
      <c r="D76" s="21" t="s">
        <v>13732</v>
      </c>
      <c r="E76" s="21" t="s">
        <v>3328</v>
      </c>
      <c r="F76" s="21" t="s">
        <v>25439</v>
      </c>
    </row>
    <row r="77" customFormat="false" ht="15" hidden="false" customHeight="false" outlineLevel="0" collapsed="false">
      <c r="B77" s="19" t="s">
        <v>25448</v>
      </c>
      <c r="C77" s="20" t="n">
        <f aca="false">ROUND(1.87/FX,2)</f>
        <v>0.26</v>
      </c>
      <c r="D77" s="21" t="s">
        <v>13732</v>
      </c>
      <c r="E77" s="21" t="s">
        <v>6246</v>
      </c>
      <c r="F77" s="21" t="s">
        <v>25439</v>
      </c>
    </row>
    <row r="78" customFormat="false" ht="15" hidden="false" customHeight="false" outlineLevel="0" collapsed="false">
      <c r="B78" s="19" t="s">
        <v>25449</v>
      </c>
      <c r="C78" s="20" t="n">
        <f aca="false">ROUND(2.05/FX,2)</f>
        <v>0.28</v>
      </c>
      <c r="D78" s="21" t="s">
        <v>13732</v>
      </c>
      <c r="E78" s="21" t="s">
        <v>7358</v>
      </c>
      <c r="F78" s="21" t="s">
        <v>25439</v>
      </c>
    </row>
    <row r="79" customFormat="false" ht="15" hidden="false" customHeight="false" outlineLevel="0" collapsed="false">
      <c r="B79" s="19" t="s">
        <v>25450</v>
      </c>
      <c r="C79" s="20" t="n">
        <f aca="false">ROUND(2.18/FX,2)</f>
        <v>0.3</v>
      </c>
      <c r="D79" s="21" t="s">
        <v>13732</v>
      </c>
      <c r="E79" s="21" t="s">
        <v>2911</v>
      </c>
      <c r="F79" s="21" t="s">
        <v>25439</v>
      </c>
    </row>
    <row r="80" customFormat="false" ht="15" hidden="false" customHeight="false" outlineLevel="0" collapsed="false">
      <c r="B80" s="19" t="s">
        <v>25451</v>
      </c>
      <c r="C80" s="20" t="n">
        <f aca="false">ROUND(2.34/FX,2)</f>
        <v>0.33</v>
      </c>
      <c r="D80" s="21" t="s">
        <v>13732</v>
      </c>
      <c r="E80" s="21" t="s">
        <v>7275</v>
      </c>
      <c r="F80" s="21" t="s">
        <v>25439</v>
      </c>
    </row>
    <row r="81" customFormat="false" ht="15" hidden="false" customHeight="false" outlineLevel="0" collapsed="false">
      <c r="B81" s="19" t="s">
        <v>25452</v>
      </c>
      <c r="C81" s="20" t="n">
        <f aca="false">ROUND(2.55/FX,2)</f>
        <v>0.35</v>
      </c>
      <c r="D81" s="21" t="s">
        <v>13732</v>
      </c>
      <c r="E81" s="21" t="s">
        <v>2961</v>
      </c>
      <c r="F81" s="21" t="s">
        <v>25439</v>
      </c>
    </row>
    <row r="82" customFormat="false" ht="15" hidden="false" customHeight="false" outlineLevel="0" collapsed="false">
      <c r="B82" s="19" t="s">
        <v>25453</v>
      </c>
      <c r="C82" s="20" t="n">
        <f aca="false">ROUND(2.68/FX,2)</f>
        <v>0.37</v>
      </c>
      <c r="D82" s="21" t="s">
        <v>13732</v>
      </c>
      <c r="E82" s="21" t="s">
        <v>13817</v>
      </c>
      <c r="F82" s="21" t="s">
        <v>25439</v>
      </c>
    </row>
    <row r="83" customFormat="false" ht="15" hidden="false" customHeight="false" outlineLevel="0" collapsed="false">
      <c r="B83" s="19" t="s">
        <v>25454</v>
      </c>
      <c r="C83" s="20" t="n">
        <f aca="false">ROUND(2.83/FX,2)</f>
        <v>0.39</v>
      </c>
      <c r="D83" s="21" t="s">
        <v>13732</v>
      </c>
      <c r="E83" s="21" t="s">
        <v>3011</v>
      </c>
      <c r="F83" s="21" t="s">
        <v>25439</v>
      </c>
    </row>
    <row r="84" customFormat="false" ht="15" hidden="false" customHeight="false" outlineLevel="0" collapsed="false">
      <c r="B84" s="19" t="s">
        <v>25455</v>
      </c>
      <c r="C84" s="20" t="n">
        <f aca="false">ROUND(3.02/FX,2)</f>
        <v>0.42</v>
      </c>
      <c r="D84" s="21" t="s">
        <v>13732</v>
      </c>
      <c r="E84" s="21" t="s">
        <v>7396</v>
      </c>
      <c r="F84" s="21" t="s">
        <v>25439</v>
      </c>
    </row>
    <row r="85" customFormat="false" ht="15" hidden="false" customHeight="false" outlineLevel="0" collapsed="false">
      <c r="B85" s="19" t="s">
        <v>25456</v>
      </c>
      <c r="C85" s="20" t="n">
        <f aca="false">ROUND(3.22/FX,2)</f>
        <v>0.45</v>
      </c>
      <c r="D85" s="21" t="s">
        <v>13732</v>
      </c>
      <c r="E85" s="21" t="s">
        <v>3061</v>
      </c>
      <c r="F85" s="21" t="s">
        <v>25439</v>
      </c>
    </row>
    <row r="86" customFormat="false" ht="15" hidden="false" customHeight="false" outlineLevel="0" collapsed="false">
      <c r="B86" s="19" t="s">
        <v>25457</v>
      </c>
      <c r="C86" s="20" t="n">
        <f aca="false">ROUND(3.35/FX,2)</f>
        <v>0.47</v>
      </c>
      <c r="D86" s="21" t="s">
        <v>13732</v>
      </c>
      <c r="E86" s="21" t="s">
        <v>3111</v>
      </c>
      <c r="F86" s="21" t="s">
        <v>25439</v>
      </c>
    </row>
    <row r="87" customFormat="false" ht="15" hidden="false" customHeight="false" outlineLevel="0" collapsed="false">
      <c r="B87" s="19" t="s">
        <v>25458</v>
      </c>
      <c r="C87" s="20" t="n">
        <f aca="false">ROUND(1.05/FX,2)</f>
        <v>0.15</v>
      </c>
      <c r="D87" s="21" t="s">
        <v>25459</v>
      </c>
      <c r="E87" s="21" t="s">
        <v>707</v>
      </c>
      <c r="F87" s="21" t="s">
        <v>25460</v>
      </c>
    </row>
    <row r="88" customFormat="false" ht="15" hidden="false" customHeight="false" outlineLevel="0" collapsed="false">
      <c r="B88" s="19" t="s">
        <v>25461</v>
      </c>
      <c r="C88" s="20" t="n">
        <f aca="false">ROUND(1.05/FX,2)</f>
        <v>0.15</v>
      </c>
      <c r="D88" s="21" t="s">
        <v>25462</v>
      </c>
      <c r="E88" s="21" t="s">
        <v>761</v>
      </c>
      <c r="F88" s="21" t="s">
        <v>25460</v>
      </c>
    </row>
    <row r="89" customFormat="false" ht="15" hidden="false" customHeight="false" outlineLevel="0" collapsed="false">
      <c r="B89" s="19" t="s">
        <v>25463</v>
      </c>
      <c r="C89" s="20" t="n">
        <f aca="false">ROUND(1.03/FX,2)</f>
        <v>0.14</v>
      </c>
      <c r="D89" s="21" t="s">
        <v>25464</v>
      </c>
      <c r="E89" s="21" t="s">
        <v>4721</v>
      </c>
      <c r="F89" s="21" t="s">
        <v>25460</v>
      </c>
    </row>
    <row r="90" customFormat="false" ht="15" hidden="false" customHeight="false" outlineLevel="0" collapsed="false">
      <c r="B90" s="19" t="s">
        <v>25465</v>
      </c>
      <c r="C90" s="20" t="n">
        <f aca="false">ROUND(1.06/FX,2)</f>
        <v>0.15</v>
      </c>
      <c r="D90" s="21" t="s">
        <v>21722</v>
      </c>
      <c r="E90" s="21" t="s">
        <v>3833</v>
      </c>
      <c r="F90" s="21" t="s">
        <v>25460</v>
      </c>
    </row>
    <row r="91" customFormat="false" ht="15" hidden="false" customHeight="false" outlineLevel="0" collapsed="false">
      <c r="B91" s="19" t="s">
        <v>25466</v>
      </c>
      <c r="C91" s="20" t="n">
        <f aca="false">ROUND(1.03/FX,2)</f>
        <v>0.14</v>
      </c>
      <c r="D91" s="21" t="s">
        <v>25467</v>
      </c>
      <c r="E91" s="21" t="s">
        <v>4000</v>
      </c>
      <c r="F91" s="21" t="s">
        <v>25460</v>
      </c>
    </row>
    <row r="92" customFormat="false" ht="15" hidden="false" customHeight="false" outlineLevel="0" collapsed="false">
      <c r="B92" s="19" t="s">
        <v>25468</v>
      </c>
      <c r="C92" s="20" t="n">
        <f aca="false">ROUND(1.02/FX,2)</f>
        <v>0.14</v>
      </c>
      <c r="D92" s="21" t="s">
        <v>25469</v>
      </c>
      <c r="E92" s="21" t="s">
        <v>3247</v>
      </c>
      <c r="F92" s="21" t="s">
        <v>25460</v>
      </c>
    </row>
    <row r="93" customFormat="false" ht="15" hidden="false" customHeight="false" outlineLevel="0" collapsed="false">
      <c r="B93" s="19" t="s">
        <v>25470</v>
      </c>
      <c r="C93" s="20" t="n">
        <f aca="false">ROUND(1.02/FX,2)</f>
        <v>0.14</v>
      </c>
      <c r="D93" s="21" t="s">
        <v>25471</v>
      </c>
      <c r="E93" s="21" t="s">
        <v>5097</v>
      </c>
      <c r="F93" s="21" t="s">
        <v>25460</v>
      </c>
    </row>
    <row r="94" customFormat="false" ht="15" hidden="false" customHeight="false" outlineLevel="0" collapsed="false">
      <c r="B94" s="19" t="s">
        <v>25472</v>
      </c>
      <c r="C94" s="20" t="n">
        <f aca="false">ROUND(1.02/FX,2)</f>
        <v>0.14</v>
      </c>
      <c r="D94" s="21" t="s">
        <v>25471</v>
      </c>
      <c r="E94" s="21" t="s">
        <v>3317</v>
      </c>
      <c r="F94" s="21" t="s">
        <v>25460</v>
      </c>
    </row>
    <row r="95" customFormat="false" ht="15" hidden="false" customHeight="false" outlineLevel="0" collapsed="false">
      <c r="B95" s="19" t="s">
        <v>25473</v>
      </c>
      <c r="C95" s="20" t="n">
        <f aca="false">ROUND(1/FX,2)</f>
        <v>0.14</v>
      </c>
      <c r="D95" s="21" t="s">
        <v>25474</v>
      </c>
      <c r="E95" s="21" t="s">
        <v>839</v>
      </c>
      <c r="F95" s="21" t="s">
        <v>25460</v>
      </c>
    </row>
    <row r="96" customFormat="false" ht="15" hidden="false" customHeight="false" outlineLevel="0" collapsed="false">
      <c r="B96" s="19" t="s">
        <v>25475</v>
      </c>
      <c r="C96" s="20" t="n">
        <f aca="false">ROUND(1.03/FX,2)</f>
        <v>0.14</v>
      </c>
      <c r="D96" s="21" t="s">
        <v>25459</v>
      </c>
      <c r="E96" s="21" t="s">
        <v>784</v>
      </c>
      <c r="F96" s="21" t="s">
        <v>25460</v>
      </c>
    </row>
    <row r="97" customFormat="false" ht="15" hidden="false" customHeight="false" outlineLevel="0" collapsed="false">
      <c r="B97" s="19" t="s">
        <v>25476</v>
      </c>
      <c r="C97" s="20" t="n">
        <f aca="false">ROUND(1.05/FX,2)</f>
        <v>0.15</v>
      </c>
      <c r="D97" s="21" t="s">
        <v>25459</v>
      </c>
      <c r="E97" s="21" t="s">
        <v>841</v>
      </c>
      <c r="F97" s="21" t="s">
        <v>25460</v>
      </c>
    </row>
    <row r="98" customFormat="false" ht="15" hidden="false" customHeight="false" outlineLevel="0" collapsed="false">
      <c r="B98" s="19" t="s">
        <v>25477</v>
      </c>
      <c r="C98" s="20" t="n">
        <f aca="false">ROUND(1.05/FX,2)</f>
        <v>0.15</v>
      </c>
      <c r="D98" s="21" t="s">
        <v>25459</v>
      </c>
      <c r="E98" s="21" t="s">
        <v>789</v>
      </c>
      <c r="F98" s="21" t="s">
        <v>25460</v>
      </c>
    </row>
    <row r="99" customFormat="false" ht="15" hidden="false" customHeight="false" outlineLevel="0" collapsed="false">
      <c r="B99" s="19" t="s">
        <v>25478</v>
      </c>
      <c r="C99" s="20" t="n">
        <f aca="false">ROUND(1.05/FX,2)</f>
        <v>0.15</v>
      </c>
      <c r="D99" s="21" t="s">
        <v>25459</v>
      </c>
      <c r="E99" s="21" t="s">
        <v>716</v>
      </c>
      <c r="F99" s="21" t="s">
        <v>25460</v>
      </c>
    </row>
    <row r="100" customFormat="false" ht="15" hidden="false" customHeight="false" outlineLevel="0" collapsed="false">
      <c r="B100" s="19" t="s">
        <v>25479</v>
      </c>
      <c r="C100" s="20" t="n">
        <f aca="false">ROUND(1.05/FX,2)</f>
        <v>0.15</v>
      </c>
      <c r="D100" s="21" t="s">
        <v>25459</v>
      </c>
      <c r="E100" s="21" t="s">
        <v>847</v>
      </c>
      <c r="F100" s="21" t="s">
        <v>25460</v>
      </c>
    </row>
    <row r="101" customFormat="false" ht="15" hidden="false" customHeight="false" outlineLevel="0" collapsed="false">
      <c r="B101" s="19" t="s">
        <v>25480</v>
      </c>
      <c r="C101" s="20" t="n">
        <f aca="false">ROUND(11.18/FX,2)</f>
        <v>1.55</v>
      </c>
      <c r="D101" s="21" t="s">
        <v>13732</v>
      </c>
      <c r="E101" s="21" t="s">
        <v>2600</v>
      </c>
      <c r="F101" s="21" t="s">
        <v>25481</v>
      </c>
    </row>
    <row r="102" customFormat="false" ht="15" hidden="false" customHeight="false" outlineLevel="0" collapsed="false">
      <c r="B102" s="19" t="s">
        <v>25482</v>
      </c>
      <c r="C102" s="20" t="n">
        <f aca="false">ROUND(9.72/FX,2)</f>
        <v>1.35</v>
      </c>
      <c r="D102" s="21" t="s">
        <v>13732</v>
      </c>
      <c r="E102" s="21" t="s">
        <v>2651</v>
      </c>
      <c r="F102" s="21" t="s">
        <v>25481</v>
      </c>
    </row>
    <row r="103" customFormat="false" ht="15" hidden="false" customHeight="false" outlineLevel="0" collapsed="false">
      <c r="B103" s="19" t="s">
        <v>25483</v>
      </c>
      <c r="C103" s="20" t="n">
        <f aca="false">ROUND(10.41/FX,2)</f>
        <v>1.45</v>
      </c>
      <c r="D103" s="21" t="s">
        <v>13732</v>
      </c>
      <c r="E103" s="21" t="s">
        <v>2701</v>
      </c>
      <c r="F103" s="21" t="s">
        <v>25481</v>
      </c>
    </row>
    <row r="104" customFormat="false" ht="15" hidden="false" customHeight="false" outlineLevel="0" collapsed="false">
      <c r="B104" s="19" t="s">
        <v>25484</v>
      </c>
      <c r="C104" s="20" t="n">
        <f aca="false">ROUND(11.3/FX,2)</f>
        <v>1.57</v>
      </c>
      <c r="D104" s="21" t="s">
        <v>13732</v>
      </c>
      <c r="E104" s="21" t="s">
        <v>2751</v>
      </c>
      <c r="F104" s="21" t="s">
        <v>25481</v>
      </c>
    </row>
    <row r="105" customFormat="false" ht="15" hidden="false" customHeight="false" outlineLevel="0" collapsed="false">
      <c r="B105" s="19" t="s">
        <v>25485</v>
      </c>
      <c r="C105" s="20" t="n">
        <f aca="false">ROUND(11.99/FX,2)</f>
        <v>1.67</v>
      </c>
      <c r="D105" s="21" t="s">
        <v>13732</v>
      </c>
      <c r="E105" s="21" t="s">
        <v>2801</v>
      </c>
      <c r="F105" s="21" t="s">
        <v>25481</v>
      </c>
    </row>
    <row r="106" customFormat="false" ht="15" hidden="false" customHeight="false" outlineLevel="0" collapsed="false">
      <c r="B106" s="19" t="s">
        <v>25486</v>
      </c>
      <c r="C106" s="20" t="n">
        <f aca="false">ROUND(12.68/FX,2)</f>
        <v>1.76</v>
      </c>
      <c r="D106" s="21" t="s">
        <v>13732</v>
      </c>
      <c r="E106" s="21" t="s">
        <v>2851</v>
      </c>
      <c r="F106" s="21" t="s">
        <v>25481</v>
      </c>
    </row>
    <row r="107" customFormat="false" ht="15" hidden="false" customHeight="false" outlineLevel="0" collapsed="false">
      <c r="B107" s="19" t="s">
        <v>25487</v>
      </c>
      <c r="C107" s="20" t="n">
        <f aca="false">ROUND(6.44/FX,2)</f>
        <v>0.89</v>
      </c>
      <c r="D107" s="21" t="s">
        <v>13732</v>
      </c>
      <c r="E107" s="21" t="s">
        <v>6246</v>
      </c>
      <c r="F107" s="21" t="s">
        <v>25481</v>
      </c>
    </row>
    <row r="108" customFormat="false" ht="15" hidden="false" customHeight="false" outlineLevel="0" collapsed="false">
      <c r="B108" s="19" t="s">
        <v>25488</v>
      </c>
      <c r="C108" s="20" t="n">
        <f aca="false">ROUND(6.89/FX,2)</f>
        <v>0.96</v>
      </c>
      <c r="D108" s="21" t="s">
        <v>13732</v>
      </c>
      <c r="E108" s="21" t="s">
        <v>2911</v>
      </c>
      <c r="F108" s="21" t="s">
        <v>25481</v>
      </c>
    </row>
    <row r="109" customFormat="false" ht="15" hidden="false" customHeight="false" outlineLevel="0" collapsed="false">
      <c r="B109" s="19" t="s">
        <v>25489</v>
      </c>
      <c r="C109" s="20" t="n">
        <f aca="false">ROUND(7.28/FX,2)</f>
        <v>1.01</v>
      </c>
      <c r="D109" s="21" t="s">
        <v>13732</v>
      </c>
      <c r="E109" s="21" t="s">
        <v>7275</v>
      </c>
      <c r="F109" s="21" t="s">
        <v>25481</v>
      </c>
    </row>
    <row r="110" customFormat="false" ht="15" hidden="false" customHeight="false" outlineLevel="0" collapsed="false">
      <c r="B110" s="19" t="s">
        <v>25490</v>
      </c>
      <c r="C110" s="20" t="n">
        <f aca="false">ROUND(8.13/FX,2)</f>
        <v>1.13</v>
      </c>
      <c r="D110" s="21" t="s">
        <v>13732</v>
      </c>
      <c r="E110" s="21" t="s">
        <v>2961</v>
      </c>
      <c r="F110" s="21" t="s">
        <v>25481</v>
      </c>
    </row>
    <row r="111" customFormat="false" ht="15" hidden="false" customHeight="false" outlineLevel="0" collapsed="false">
      <c r="B111" s="19" t="s">
        <v>25491</v>
      </c>
      <c r="C111" s="20" t="n">
        <f aca="false">ROUND(8.58/FX,2)</f>
        <v>1.19</v>
      </c>
      <c r="D111" s="21" t="s">
        <v>13732</v>
      </c>
      <c r="E111" s="21" t="s">
        <v>13817</v>
      </c>
      <c r="F111" s="21" t="s">
        <v>25481</v>
      </c>
    </row>
    <row r="112" customFormat="false" ht="15" hidden="false" customHeight="false" outlineLevel="0" collapsed="false">
      <c r="B112" s="19" t="s">
        <v>25492</v>
      </c>
      <c r="C112" s="20" t="n">
        <f aca="false">ROUND(8.58/FX,2)</f>
        <v>1.19</v>
      </c>
      <c r="D112" s="21" t="s">
        <v>13732</v>
      </c>
      <c r="E112" s="21" t="s">
        <v>3011</v>
      </c>
      <c r="F112" s="21" t="s">
        <v>25481</v>
      </c>
    </row>
    <row r="113" customFormat="false" ht="15" hidden="false" customHeight="false" outlineLevel="0" collapsed="false">
      <c r="B113" s="19" t="s">
        <v>25493</v>
      </c>
      <c r="C113" s="20" t="n">
        <f aca="false">ROUND(7.63/FX,2)</f>
        <v>1.06</v>
      </c>
      <c r="D113" s="21" t="s">
        <v>13732</v>
      </c>
      <c r="E113" s="21" t="s">
        <v>7396</v>
      </c>
      <c r="F113" s="21" t="s">
        <v>25481</v>
      </c>
    </row>
    <row r="114" customFormat="false" ht="15" hidden="false" customHeight="false" outlineLevel="0" collapsed="false">
      <c r="B114" s="19" t="s">
        <v>25494</v>
      </c>
      <c r="C114" s="20" t="n">
        <f aca="false">ROUND(9.43/FX,2)</f>
        <v>1.31</v>
      </c>
      <c r="D114" s="21" t="s">
        <v>13732</v>
      </c>
      <c r="E114" s="21" t="s">
        <v>3061</v>
      </c>
      <c r="F114" s="21" t="s">
        <v>25481</v>
      </c>
    </row>
    <row r="115" customFormat="false" ht="15" hidden="false" customHeight="false" outlineLevel="0" collapsed="false">
      <c r="B115" s="19" t="s">
        <v>25495</v>
      </c>
      <c r="C115" s="20" t="n">
        <f aca="false">ROUND(10.4/FX,2)</f>
        <v>1.44</v>
      </c>
      <c r="D115" s="21" t="s">
        <v>13732</v>
      </c>
      <c r="E115" s="21" t="s">
        <v>3111</v>
      </c>
      <c r="F115" s="21" t="s">
        <v>25481</v>
      </c>
    </row>
    <row r="116" customFormat="false" ht="15" hidden="false" customHeight="false" outlineLevel="0" collapsed="false">
      <c r="B116" s="19" t="s">
        <v>25496</v>
      </c>
      <c r="C116" s="20" t="n">
        <f aca="false">ROUND(1.05/FX,2)</f>
        <v>0.15</v>
      </c>
      <c r="D116" s="21" t="s">
        <v>25459</v>
      </c>
      <c r="E116" s="21" t="s">
        <v>707</v>
      </c>
      <c r="F116" s="21" t="s">
        <v>25497</v>
      </c>
    </row>
    <row r="117" customFormat="false" ht="15" hidden="false" customHeight="false" outlineLevel="0" collapsed="false">
      <c r="B117" s="19" t="s">
        <v>25498</v>
      </c>
      <c r="C117" s="20" t="n">
        <f aca="false">ROUND(1.05/FX,2)</f>
        <v>0.15</v>
      </c>
      <c r="D117" s="21" t="s">
        <v>25462</v>
      </c>
      <c r="E117" s="21" t="s">
        <v>761</v>
      </c>
      <c r="F117" s="21" t="s">
        <v>25497</v>
      </c>
    </row>
    <row r="118" customFormat="false" ht="15" hidden="false" customHeight="false" outlineLevel="0" collapsed="false">
      <c r="B118" s="19" t="s">
        <v>25499</v>
      </c>
      <c r="C118" s="20" t="n">
        <f aca="false">ROUND(1.02/FX,2)</f>
        <v>0.14</v>
      </c>
      <c r="D118" s="21" t="s">
        <v>25371</v>
      </c>
      <c r="E118" s="21" t="s">
        <v>4721</v>
      </c>
      <c r="F118" s="21" t="s">
        <v>25497</v>
      </c>
    </row>
    <row r="119" customFormat="false" ht="15" hidden="false" customHeight="false" outlineLevel="0" collapsed="false">
      <c r="B119" s="19" t="s">
        <v>25500</v>
      </c>
      <c r="C119" s="20" t="n">
        <f aca="false">ROUND(1.06/FX,2)</f>
        <v>0.15</v>
      </c>
      <c r="D119" s="21" t="s">
        <v>21722</v>
      </c>
      <c r="E119" s="21" t="s">
        <v>3833</v>
      </c>
      <c r="F119" s="21" t="s">
        <v>25497</v>
      </c>
    </row>
    <row r="120" customFormat="false" ht="15" hidden="false" customHeight="false" outlineLevel="0" collapsed="false">
      <c r="B120" s="19" t="s">
        <v>25501</v>
      </c>
      <c r="C120" s="20" t="n">
        <f aca="false">ROUND(1.03/FX,2)</f>
        <v>0.14</v>
      </c>
      <c r="D120" s="21" t="s">
        <v>25467</v>
      </c>
      <c r="E120" s="21" t="s">
        <v>4000</v>
      </c>
      <c r="F120" s="21" t="s">
        <v>25497</v>
      </c>
    </row>
    <row r="121" customFormat="false" ht="15" hidden="false" customHeight="false" outlineLevel="0" collapsed="false">
      <c r="B121" s="19" t="s">
        <v>25502</v>
      </c>
      <c r="C121" s="20" t="n">
        <f aca="false">ROUND(1.02/FX,2)</f>
        <v>0.14</v>
      </c>
      <c r="D121" s="21" t="s">
        <v>25469</v>
      </c>
      <c r="E121" s="21" t="s">
        <v>3247</v>
      </c>
      <c r="F121" s="21" t="s">
        <v>25497</v>
      </c>
    </row>
    <row r="122" customFormat="false" ht="15" hidden="false" customHeight="false" outlineLevel="0" collapsed="false">
      <c r="B122" s="19" t="s">
        <v>25503</v>
      </c>
      <c r="C122" s="20" t="n">
        <f aca="false">ROUND(1.06/FX,2)</f>
        <v>0.15</v>
      </c>
      <c r="D122" s="21" t="s">
        <v>13981</v>
      </c>
      <c r="E122" s="21" t="s">
        <v>5097</v>
      </c>
      <c r="F122" s="21" t="s">
        <v>25497</v>
      </c>
    </row>
    <row r="123" customFormat="false" ht="15" hidden="false" customHeight="false" outlineLevel="0" collapsed="false">
      <c r="B123" s="19" t="s">
        <v>25504</v>
      </c>
      <c r="C123" s="20" t="n">
        <f aca="false">ROUND(1.06/FX,2)</f>
        <v>0.15</v>
      </c>
      <c r="D123" s="21" t="s">
        <v>25459</v>
      </c>
      <c r="E123" s="21" t="s">
        <v>3317</v>
      </c>
      <c r="F123" s="21" t="s">
        <v>25497</v>
      </c>
    </row>
    <row r="124" customFormat="false" ht="15" hidden="false" customHeight="false" outlineLevel="0" collapsed="false">
      <c r="B124" s="19" t="s">
        <v>25505</v>
      </c>
      <c r="C124" s="20" t="n">
        <f aca="false">ROUND(1/FX,2)</f>
        <v>0.14</v>
      </c>
      <c r="D124" s="21" t="s">
        <v>25474</v>
      </c>
      <c r="E124" s="21" t="s">
        <v>839</v>
      </c>
      <c r="F124" s="21" t="s">
        <v>25497</v>
      </c>
    </row>
    <row r="125" customFormat="false" ht="15" hidden="false" customHeight="false" outlineLevel="0" collapsed="false">
      <c r="B125" s="19" t="s">
        <v>25506</v>
      </c>
      <c r="C125" s="20" t="n">
        <f aca="false">ROUND(1.01/FX,2)</f>
        <v>0.14</v>
      </c>
      <c r="D125" s="21" t="s">
        <v>13978</v>
      </c>
      <c r="E125" s="21" t="s">
        <v>784</v>
      </c>
      <c r="F125" s="21" t="s">
        <v>25497</v>
      </c>
    </row>
    <row r="126" customFormat="false" ht="15" hidden="false" customHeight="false" outlineLevel="0" collapsed="false">
      <c r="B126" s="19" t="s">
        <v>25507</v>
      </c>
      <c r="C126" s="20" t="n">
        <f aca="false">ROUND(1.05/FX,2)</f>
        <v>0.15</v>
      </c>
      <c r="D126" s="21" t="s">
        <v>25459</v>
      </c>
      <c r="E126" s="21" t="s">
        <v>841</v>
      </c>
      <c r="F126" s="21" t="s">
        <v>25497</v>
      </c>
    </row>
    <row r="127" customFormat="false" ht="15" hidden="false" customHeight="false" outlineLevel="0" collapsed="false">
      <c r="B127" s="19" t="s">
        <v>25508</v>
      </c>
      <c r="C127" s="20" t="n">
        <f aca="false">ROUND(1.05/FX,2)</f>
        <v>0.15</v>
      </c>
      <c r="D127" s="21" t="s">
        <v>25459</v>
      </c>
      <c r="E127" s="21" t="s">
        <v>789</v>
      </c>
      <c r="F127" s="21" t="s">
        <v>25497</v>
      </c>
    </row>
    <row r="128" customFormat="false" ht="15" hidden="false" customHeight="false" outlineLevel="0" collapsed="false">
      <c r="B128" s="19" t="s">
        <v>25509</v>
      </c>
      <c r="C128" s="20" t="n">
        <f aca="false">ROUND(1.05/FX,2)</f>
        <v>0.15</v>
      </c>
      <c r="D128" s="21" t="s">
        <v>25459</v>
      </c>
      <c r="E128" s="21" t="s">
        <v>716</v>
      </c>
      <c r="F128" s="21" t="s">
        <v>25497</v>
      </c>
    </row>
    <row r="129" customFormat="false" ht="15" hidden="false" customHeight="false" outlineLevel="0" collapsed="false">
      <c r="B129" s="19" t="s">
        <v>25510</v>
      </c>
      <c r="C129" s="20" t="n">
        <f aca="false">ROUND(1.05/FX,2)</f>
        <v>0.15</v>
      </c>
      <c r="D129" s="21" t="s">
        <v>25459</v>
      </c>
      <c r="E129" s="21" t="s">
        <v>847</v>
      </c>
      <c r="F129" s="21" t="s">
        <v>25497</v>
      </c>
    </row>
    <row r="130" customFormat="false" ht="15" hidden="false" customHeight="false" outlineLevel="0" collapsed="false">
      <c r="B130" s="19" t="s">
        <v>25511</v>
      </c>
      <c r="C130" s="20" t="n">
        <f aca="false">ROUND(1.01/FX,2)</f>
        <v>0.14</v>
      </c>
      <c r="D130" s="21" t="s">
        <v>25512</v>
      </c>
      <c r="E130" s="21" t="s">
        <v>707</v>
      </c>
      <c r="F130" s="21" t="s">
        <v>11407</v>
      </c>
    </row>
    <row r="131" customFormat="false" ht="15" hidden="false" customHeight="false" outlineLevel="0" collapsed="false">
      <c r="B131" s="19" t="s">
        <v>25513</v>
      </c>
      <c r="C131" s="20" t="n">
        <f aca="false">ROUND(1/FX,2)</f>
        <v>0.14</v>
      </c>
      <c r="D131" s="21" t="s">
        <v>25514</v>
      </c>
      <c r="E131" s="21" t="s">
        <v>761</v>
      </c>
      <c r="F131" s="21" t="s">
        <v>11407</v>
      </c>
    </row>
    <row r="132" customFormat="false" ht="15" hidden="false" customHeight="false" outlineLevel="0" collapsed="false">
      <c r="B132" s="19" t="s">
        <v>25515</v>
      </c>
      <c r="C132" s="20" t="n">
        <f aca="false">ROUND(1.02/FX,2)</f>
        <v>0.14</v>
      </c>
      <c r="D132" s="21" t="s">
        <v>25516</v>
      </c>
      <c r="E132" s="21" t="s">
        <v>4721</v>
      </c>
      <c r="F132" s="21" t="s">
        <v>11407</v>
      </c>
    </row>
    <row r="133" customFormat="false" ht="15" hidden="false" customHeight="false" outlineLevel="0" collapsed="false">
      <c r="B133" s="19" t="s">
        <v>25517</v>
      </c>
      <c r="C133" s="20" t="n">
        <f aca="false">ROUND(1/FX,2)</f>
        <v>0.14</v>
      </c>
      <c r="D133" s="21" t="s">
        <v>13974</v>
      </c>
      <c r="E133" s="21" t="s">
        <v>3833</v>
      </c>
      <c r="F133" s="21" t="s">
        <v>11407</v>
      </c>
    </row>
    <row r="134" customFormat="false" ht="15" hidden="false" customHeight="false" outlineLevel="0" collapsed="false">
      <c r="B134" s="19" t="s">
        <v>25518</v>
      </c>
      <c r="C134" s="20" t="n">
        <f aca="false">ROUND(1.02/FX,2)</f>
        <v>0.14</v>
      </c>
      <c r="D134" s="21" t="s">
        <v>25471</v>
      </c>
      <c r="E134" s="21" t="s">
        <v>3247</v>
      </c>
      <c r="F134" s="21" t="s">
        <v>11407</v>
      </c>
    </row>
    <row r="135" customFormat="false" ht="15" hidden="false" customHeight="false" outlineLevel="0" collapsed="false">
      <c r="B135" s="19" t="s">
        <v>25519</v>
      </c>
      <c r="C135" s="20" t="n">
        <f aca="false">ROUND(1.05/FX,2)</f>
        <v>0.15</v>
      </c>
      <c r="D135" s="21" t="s">
        <v>25459</v>
      </c>
      <c r="E135" s="21" t="s">
        <v>3317</v>
      </c>
      <c r="F135" s="21" t="s">
        <v>11407</v>
      </c>
    </row>
    <row r="136" customFormat="false" ht="15" hidden="false" customHeight="false" outlineLevel="0" collapsed="false">
      <c r="B136" s="19" t="s">
        <v>25520</v>
      </c>
      <c r="C136" s="20" t="n">
        <f aca="false">ROUND(1.04/FX,2)</f>
        <v>0.14</v>
      </c>
      <c r="D136" s="21" t="s">
        <v>13978</v>
      </c>
      <c r="E136" s="21" t="s">
        <v>784</v>
      </c>
      <c r="F136" s="21" t="s">
        <v>11407</v>
      </c>
    </row>
    <row r="137" customFormat="false" ht="15" hidden="false" customHeight="false" outlineLevel="0" collapsed="false">
      <c r="B137" s="19" t="s">
        <v>25521</v>
      </c>
      <c r="C137" s="20" t="n">
        <f aca="false">ROUND(1/FX,2)</f>
        <v>0.14</v>
      </c>
      <c r="D137" s="21" t="s">
        <v>13997</v>
      </c>
      <c r="E137" s="21" t="s">
        <v>3328</v>
      </c>
      <c r="F137" s="21" t="s">
        <v>11407</v>
      </c>
    </row>
    <row r="138" customFormat="false" ht="15" hidden="false" customHeight="false" outlineLevel="0" collapsed="false">
      <c r="B138" s="19" t="s">
        <v>25522</v>
      </c>
      <c r="C138" s="20" t="n">
        <f aca="false">ROUND(1.02/FX,2)</f>
        <v>0.14</v>
      </c>
      <c r="D138" s="21" t="s">
        <v>25523</v>
      </c>
      <c r="E138" s="21" t="s">
        <v>841</v>
      </c>
      <c r="F138" s="21" t="s">
        <v>11407</v>
      </c>
    </row>
    <row r="139" customFormat="false" ht="15" hidden="false" customHeight="false" outlineLevel="0" collapsed="false">
      <c r="B139" s="19" t="s">
        <v>25524</v>
      </c>
      <c r="C139" s="20" t="n">
        <f aca="false">ROUND(1.08/FX,2)</f>
        <v>0.15</v>
      </c>
      <c r="D139" s="21" t="s">
        <v>14016</v>
      </c>
      <c r="E139" s="21" t="s">
        <v>6246</v>
      </c>
      <c r="F139" s="21" t="s">
        <v>11407</v>
      </c>
    </row>
    <row r="140" customFormat="false" ht="15" hidden="false" customHeight="false" outlineLevel="0" collapsed="false">
      <c r="B140" s="19" t="s">
        <v>25525</v>
      </c>
      <c r="C140" s="20" t="n">
        <f aca="false">ROUND(1.12/FX,2)</f>
        <v>0.16</v>
      </c>
      <c r="D140" s="21" t="s">
        <v>14056</v>
      </c>
      <c r="E140" s="21" t="s">
        <v>7358</v>
      </c>
      <c r="F140" s="21" t="s">
        <v>11407</v>
      </c>
    </row>
    <row r="141" customFormat="false" ht="15" hidden="false" customHeight="false" outlineLevel="0" collapsed="false">
      <c r="B141" s="19" t="s">
        <v>25526</v>
      </c>
      <c r="C141" s="20" t="n">
        <f aca="false">ROUND(1.01/FX,2)</f>
        <v>0.14</v>
      </c>
      <c r="D141" s="21" t="s">
        <v>25375</v>
      </c>
      <c r="E141" s="21" t="s">
        <v>789</v>
      </c>
      <c r="F141" s="21" t="s">
        <v>11407</v>
      </c>
    </row>
    <row r="142" customFormat="false" ht="15" hidden="false" customHeight="false" outlineLevel="0" collapsed="false">
      <c r="B142" s="19" t="s">
        <v>25527</v>
      </c>
      <c r="C142" s="20" t="n">
        <f aca="false">ROUND(1.02/FX,2)</f>
        <v>0.14</v>
      </c>
      <c r="D142" s="21" t="s">
        <v>14007</v>
      </c>
      <c r="E142" s="21" t="s">
        <v>2911</v>
      </c>
      <c r="F142" s="21" t="s">
        <v>11407</v>
      </c>
    </row>
    <row r="143" customFormat="false" ht="15" hidden="false" customHeight="false" outlineLevel="0" collapsed="false">
      <c r="B143" s="19" t="s">
        <v>25528</v>
      </c>
      <c r="C143" s="20" t="n">
        <f aca="false">ROUND(1/FX,2)</f>
        <v>0.14</v>
      </c>
      <c r="D143" s="21" t="s">
        <v>25514</v>
      </c>
      <c r="E143" s="21" t="s">
        <v>716</v>
      </c>
      <c r="F143" s="21" t="s">
        <v>11407</v>
      </c>
    </row>
    <row r="144" customFormat="false" ht="15" hidden="false" customHeight="false" outlineLevel="0" collapsed="false">
      <c r="B144" s="19" t="s">
        <v>25529</v>
      </c>
      <c r="C144" s="20" t="n">
        <f aca="false">ROUND(1.01/FX,2)</f>
        <v>0.14</v>
      </c>
      <c r="D144" s="21" t="s">
        <v>25375</v>
      </c>
      <c r="E144" s="21" t="s">
        <v>847</v>
      </c>
      <c r="F144" s="21" t="s">
        <v>11407</v>
      </c>
    </row>
    <row r="145" customFormat="false" ht="15" hidden="false" customHeight="false" outlineLevel="0" collapsed="false">
      <c r="B145" s="19" t="s">
        <v>25530</v>
      </c>
      <c r="C145" s="20" t="n">
        <f aca="false">ROUND(1/FX,2)</f>
        <v>0.14</v>
      </c>
      <c r="D145" s="21" t="s">
        <v>25531</v>
      </c>
      <c r="E145" s="21" t="s">
        <v>707</v>
      </c>
      <c r="F145" s="21" t="s">
        <v>11409</v>
      </c>
    </row>
    <row r="146" customFormat="false" ht="15" hidden="false" customHeight="false" outlineLevel="0" collapsed="false">
      <c r="B146" s="19" t="s">
        <v>25532</v>
      </c>
      <c r="C146" s="20" t="n">
        <f aca="false">ROUND(1/FX,2)</f>
        <v>0.14</v>
      </c>
      <c r="D146" s="21" t="s">
        <v>25531</v>
      </c>
      <c r="E146" s="21" t="s">
        <v>761</v>
      </c>
      <c r="F146" s="21" t="s">
        <v>11409</v>
      </c>
    </row>
    <row r="147" customFormat="false" ht="15" hidden="false" customHeight="false" outlineLevel="0" collapsed="false">
      <c r="B147" s="19" t="s">
        <v>25533</v>
      </c>
      <c r="C147" s="20" t="n">
        <f aca="false">ROUND(0.29/FX,2)</f>
        <v>0.04</v>
      </c>
      <c r="D147" s="21" t="s">
        <v>13997</v>
      </c>
      <c r="E147" s="21" t="s">
        <v>4721</v>
      </c>
      <c r="F147" s="21" t="s">
        <v>11409</v>
      </c>
    </row>
    <row r="148" customFormat="false" ht="15" hidden="false" customHeight="false" outlineLevel="0" collapsed="false">
      <c r="B148" s="19" t="s">
        <v>25534</v>
      </c>
      <c r="C148" s="20" t="n">
        <f aca="false">ROUND(1/FX,2)</f>
        <v>0.14</v>
      </c>
      <c r="D148" s="21" t="s">
        <v>13974</v>
      </c>
      <c r="E148" s="21" t="s">
        <v>3833</v>
      </c>
      <c r="F148" s="21" t="s">
        <v>11409</v>
      </c>
    </row>
    <row r="149" customFormat="false" ht="15" hidden="false" customHeight="false" outlineLevel="0" collapsed="false">
      <c r="B149" s="19" t="s">
        <v>25535</v>
      </c>
      <c r="C149" s="20" t="n">
        <f aca="false">ROUND(1/FX,2)</f>
        <v>0.14</v>
      </c>
      <c r="D149" s="21" t="s">
        <v>25536</v>
      </c>
      <c r="E149" s="21" t="s">
        <v>4000</v>
      </c>
      <c r="F149" s="21" t="s">
        <v>11409</v>
      </c>
    </row>
    <row r="150" customFormat="false" ht="15" hidden="false" customHeight="false" outlineLevel="0" collapsed="false">
      <c r="B150" s="19" t="s">
        <v>25537</v>
      </c>
      <c r="C150" s="20" t="n">
        <f aca="false">ROUND(1.02/FX,2)</f>
        <v>0.14</v>
      </c>
      <c r="D150" s="21" t="s">
        <v>25471</v>
      </c>
      <c r="E150" s="21" t="s">
        <v>3247</v>
      </c>
      <c r="F150" s="21" t="s">
        <v>11409</v>
      </c>
    </row>
    <row r="151" customFormat="false" ht="15" hidden="false" customHeight="false" outlineLevel="0" collapsed="false">
      <c r="B151" s="19" t="s">
        <v>25538</v>
      </c>
      <c r="C151" s="20" t="n">
        <f aca="false">ROUND(1.04/FX,2)</f>
        <v>0.14</v>
      </c>
      <c r="D151" s="21" t="s">
        <v>24287</v>
      </c>
      <c r="E151" s="21" t="s">
        <v>5097</v>
      </c>
      <c r="F151" s="21" t="s">
        <v>11409</v>
      </c>
    </row>
    <row r="152" customFormat="false" ht="15" hidden="false" customHeight="false" outlineLevel="0" collapsed="false">
      <c r="B152" s="19" t="s">
        <v>25539</v>
      </c>
      <c r="C152" s="20" t="n">
        <f aca="false">ROUND(1.05/FX,2)</f>
        <v>0.15</v>
      </c>
      <c r="D152" s="21" t="s">
        <v>25459</v>
      </c>
      <c r="E152" s="21" t="s">
        <v>3317</v>
      </c>
      <c r="F152" s="21" t="s">
        <v>11409</v>
      </c>
    </row>
    <row r="153" customFormat="false" ht="15" hidden="false" customHeight="false" outlineLevel="0" collapsed="false">
      <c r="B153" s="19" t="s">
        <v>25540</v>
      </c>
      <c r="C153" s="20" t="n">
        <f aca="false">ROUND(1.04/FX,2)</f>
        <v>0.14</v>
      </c>
      <c r="D153" s="21" t="s">
        <v>13978</v>
      </c>
      <c r="E153" s="21" t="s">
        <v>784</v>
      </c>
      <c r="F153" s="21" t="s">
        <v>11409</v>
      </c>
    </row>
    <row r="154" customFormat="false" ht="15" hidden="false" customHeight="false" outlineLevel="0" collapsed="false">
      <c r="B154" s="19" t="s">
        <v>25541</v>
      </c>
      <c r="C154" s="20" t="n">
        <f aca="false">ROUND(1.1/FX,2)</f>
        <v>0.15</v>
      </c>
      <c r="D154" s="21" t="s">
        <v>13997</v>
      </c>
      <c r="E154" s="21" t="s">
        <v>3328</v>
      </c>
      <c r="F154" s="21" t="s">
        <v>11409</v>
      </c>
    </row>
    <row r="155" customFormat="false" ht="15" hidden="false" customHeight="false" outlineLevel="0" collapsed="false">
      <c r="B155" s="19" t="s">
        <v>25542</v>
      </c>
      <c r="C155" s="20" t="n">
        <f aca="false">ROUND(1.08/FX,2)</f>
        <v>0.15</v>
      </c>
      <c r="D155" s="21" t="s">
        <v>14016</v>
      </c>
      <c r="E155" s="21" t="s">
        <v>6246</v>
      </c>
      <c r="F155" s="21" t="s">
        <v>11409</v>
      </c>
    </row>
    <row r="156" customFormat="false" ht="15" hidden="false" customHeight="false" outlineLevel="0" collapsed="false">
      <c r="B156" s="19" t="s">
        <v>25543</v>
      </c>
      <c r="C156" s="20" t="n">
        <f aca="false">ROUND(1.12/FX,2)</f>
        <v>0.16</v>
      </c>
      <c r="D156" s="21" t="s">
        <v>14056</v>
      </c>
      <c r="E156" s="21" t="s">
        <v>7358</v>
      </c>
      <c r="F156" s="21" t="s">
        <v>11409</v>
      </c>
    </row>
    <row r="157" customFormat="false" ht="15" hidden="false" customHeight="false" outlineLevel="0" collapsed="false">
      <c r="B157" s="19" t="s">
        <v>25544</v>
      </c>
      <c r="C157" s="20" t="n">
        <f aca="false">ROUND(1.03/FX,2)</f>
        <v>0.14</v>
      </c>
      <c r="D157" s="21" t="s">
        <v>25545</v>
      </c>
      <c r="E157" s="21" t="s">
        <v>789</v>
      </c>
      <c r="F157" s="21" t="s">
        <v>11409</v>
      </c>
    </row>
    <row r="158" customFormat="false" ht="15" hidden="false" customHeight="false" outlineLevel="0" collapsed="false">
      <c r="B158" s="19" t="s">
        <v>25546</v>
      </c>
      <c r="C158" s="20" t="n">
        <f aca="false">ROUND(1.02/FX,2)</f>
        <v>0.14</v>
      </c>
      <c r="D158" s="21" t="s">
        <v>14007</v>
      </c>
      <c r="E158" s="21" t="s">
        <v>2911</v>
      </c>
      <c r="F158" s="21" t="s">
        <v>11409</v>
      </c>
    </row>
    <row r="159" customFormat="false" ht="15" hidden="false" customHeight="false" outlineLevel="0" collapsed="false">
      <c r="B159" s="19" t="s">
        <v>25547</v>
      </c>
      <c r="C159" s="20" t="n">
        <f aca="false">ROUND(1.02/FX,2)</f>
        <v>0.14</v>
      </c>
      <c r="D159" s="21" t="s">
        <v>25548</v>
      </c>
      <c r="E159" s="21" t="s">
        <v>716</v>
      </c>
      <c r="F159" s="21" t="s">
        <v>11409</v>
      </c>
    </row>
    <row r="160" customFormat="false" ht="15" hidden="false" customHeight="false" outlineLevel="0" collapsed="false">
      <c r="B160" s="19" t="s">
        <v>25549</v>
      </c>
      <c r="C160" s="20" t="n">
        <f aca="false">ROUND(1.02/FX,2)</f>
        <v>0.14</v>
      </c>
      <c r="D160" s="21" t="s">
        <v>25548</v>
      </c>
      <c r="E160" s="21" t="s">
        <v>847</v>
      </c>
      <c r="F160" s="21" t="s">
        <v>11409</v>
      </c>
    </row>
    <row r="161" customFormat="false" ht="15" hidden="false" customHeight="false" outlineLevel="0" collapsed="false">
      <c r="B161" s="19" t="s">
        <v>25550</v>
      </c>
      <c r="C161" s="20" t="n">
        <f aca="false">ROUND(1.01/FX,2)</f>
        <v>0.14</v>
      </c>
      <c r="D161" s="21" t="s">
        <v>14034</v>
      </c>
      <c r="E161" s="21" t="s">
        <v>707</v>
      </c>
      <c r="F161" s="21" t="s">
        <v>11411</v>
      </c>
    </row>
    <row r="162" customFormat="false" ht="15" hidden="false" customHeight="false" outlineLevel="0" collapsed="false">
      <c r="B162" s="19" t="s">
        <v>25551</v>
      </c>
      <c r="C162" s="20" t="n">
        <f aca="false">ROUND(1/FX,2)</f>
        <v>0.14</v>
      </c>
      <c r="D162" s="21" t="s">
        <v>13974</v>
      </c>
      <c r="E162" s="21" t="s">
        <v>761</v>
      </c>
      <c r="F162" s="21" t="s">
        <v>11411</v>
      </c>
    </row>
    <row r="163" customFormat="false" ht="15" hidden="false" customHeight="false" outlineLevel="0" collapsed="false">
      <c r="B163" s="19" t="s">
        <v>25552</v>
      </c>
      <c r="C163" s="20" t="n">
        <f aca="false">ROUND(1.01/FX,2)</f>
        <v>0.14</v>
      </c>
      <c r="D163" s="21" t="s">
        <v>24287</v>
      </c>
      <c r="E163" s="21" t="s">
        <v>4721</v>
      </c>
      <c r="F163" s="21" t="s">
        <v>11411</v>
      </c>
    </row>
    <row r="164" customFormat="false" ht="15" hidden="false" customHeight="false" outlineLevel="0" collapsed="false">
      <c r="B164" s="19" t="s">
        <v>25553</v>
      </c>
      <c r="C164" s="20" t="n">
        <f aca="false">ROUND(1.02/FX,2)</f>
        <v>0.14</v>
      </c>
      <c r="D164" s="21" t="s">
        <v>25471</v>
      </c>
      <c r="E164" s="21" t="s">
        <v>3833</v>
      </c>
      <c r="F164" s="21" t="s">
        <v>11411</v>
      </c>
    </row>
    <row r="165" customFormat="false" ht="15" hidden="false" customHeight="false" outlineLevel="0" collapsed="false">
      <c r="B165" s="19" t="s">
        <v>25554</v>
      </c>
      <c r="C165" s="20" t="n">
        <f aca="false">ROUND(1/FX,2)</f>
        <v>0.14</v>
      </c>
      <c r="D165" s="21" t="s">
        <v>25471</v>
      </c>
      <c r="E165" s="21" t="s">
        <v>4000</v>
      </c>
      <c r="F165" s="21" t="s">
        <v>11411</v>
      </c>
    </row>
    <row r="166" customFormat="false" ht="15" hidden="false" customHeight="false" outlineLevel="0" collapsed="false">
      <c r="B166" s="19" t="s">
        <v>25555</v>
      </c>
      <c r="C166" s="20" t="n">
        <f aca="false">ROUND(1.02/FX,2)</f>
        <v>0.14</v>
      </c>
      <c r="D166" s="21" t="s">
        <v>25471</v>
      </c>
      <c r="E166" s="21" t="s">
        <v>3247</v>
      </c>
      <c r="F166" s="21" t="s">
        <v>11411</v>
      </c>
    </row>
    <row r="167" customFormat="false" ht="15" hidden="false" customHeight="false" outlineLevel="0" collapsed="false">
      <c r="B167" s="19" t="s">
        <v>25556</v>
      </c>
      <c r="C167" s="20" t="n">
        <f aca="false">ROUND(1.04/FX,2)</f>
        <v>0.14</v>
      </c>
      <c r="D167" s="21" t="s">
        <v>13981</v>
      </c>
      <c r="E167" s="21" t="s">
        <v>5097</v>
      </c>
      <c r="F167" s="21" t="s">
        <v>11411</v>
      </c>
    </row>
    <row r="168" customFormat="false" ht="15" hidden="false" customHeight="false" outlineLevel="0" collapsed="false">
      <c r="B168" s="19" t="s">
        <v>25557</v>
      </c>
      <c r="C168" s="20" t="n">
        <f aca="false">ROUND(1.02/FX,2)</f>
        <v>0.14</v>
      </c>
      <c r="D168" s="21" t="s">
        <v>25471</v>
      </c>
      <c r="E168" s="21" t="s">
        <v>3317</v>
      </c>
      <c r="F168" s="21" t="s">
        <v>11411</v>
      </c>
    </row>
    <row r="169" customFormat="false" ht="15" hidden="false" customHeight="false" outlineLevel="0" collapsed="false">
      <c r="B169" s="19" t="s">
        <v>25558</v>
      </c>
      <c r="C169" s="20" t="n">
        <f aca="false">ROUND(1.04/FX,2)</f>
        <v>0.14</v>
      </c>
      <c r="D169" s="21" t="s">
        <v>13978</v>
      </c>
      <c r="E169" s="21" t="s">
        <v>784</v>
      </c>
      <c r="F169" s="21" t="s">
        <v>11411</v>
      </c>
    </row>
    <row r="170" customFormat="false" ht="15" hidden="false" customHeight="false" outlineLevel="0" collapsed="false">
      <c r="B170" s="19" t="s">
        <v>25559</v>
      </c>
      <c r="C170" s="20" t="n">
        <f aca="false">ROUND(1.08/FX,2)</f>
        <v>0.15</v>
      </c>
      <c r="D170" s="21" t="s">
        <v>14016</v>
      </c>
      <c r="E170" s="21" t="s">
        <v>3328</v>
      </c>
      <c r="F170" s="21" t="s">
        <v>11411</v>
      </c>
    </row>
    <row r="171" customFormat="false" ht="15" hidden="false" customHeight="false" outlineLevel="0" collapsed="false">
      <c r="B171" s="19" t="s">
        <v>25560</v>
      </c>
      <c r="C171" s="20" t="n">
        <f aca="false">ROUND(1.04/FX,2)</f>
        <v>0.14</v>
      </c>
      <c r="D171" s="21" t="s">
        <v>14056</v>
      </c>
      <c r="E171" s="21" t="s">
        <v>6246</v>
      </c>
      <c r="F171" s="21" t="s">
        <v>11411</v>
      </c>
    </row>
    <row r="172" customFormat="false" ht="15" hidden="false" customHeight="false" outlineLevel="0" collapsed="false">
      <c r="B172" s="19" t="s">
        <v>25561</v>
      </c>
      <c r="C172" s="20" t="n">
        <f aca="false">ROUND(1.05/FX,2)</f>
        <v>0.15</v>
      </c>
      <c r="D172" s="21" t="s">
        <v>13994</v>
      </c>
      <c r="E172" s="21" t="s">
        <v>7358</v>
      </c>
      <c r="F172" s="21" t="s">
        <v>11411</v>
      </c>
    </row>
    <row r="173" customFormat="false" ht="15" hidden="false" customHeight="false" outlineLevel="0" collapsed="false">
      <c r="B173" s="19" t="s">
        <v>25562</v>
      </c>
      <c r="C173" s="20" t="n">
        <f aca="false">ROUND(1.08/FX,2)</f>
        <v>0.15</v>
      </c>
      <c r="D173" s="21" t="s">
        <v>14007</v>
      </c>
      <c r="E173" s="21" t="s">
        <v>2911</v>
      </c>
      <c r="F173" s="21" t="s">
        <v>11411</v>
      </c>
    </row>
    <row r="174" customFormat="false" ht="15" hidden="false" customHeight="false" outlineLevel="0" collapsed="false">
      <c r="B174" s="19" t="s">
        <v>25563</v>
      </c>
      <c r="C174" s="20" t="n">
        <f aca="false">ROUND(1.05/FX,2)</f>
        <v>0.15</v>
      </c>
      <c r="D174" s="21" t="s">
        <v>14013</v>
      </c>
      <c r="E174" s="21" t="s">
        <v>7275</v>
      </c>
      <c r="F174" s="21" t="s">
        <v>11411</v>
      </c>
    </row>
    <row r="175" customFormat="false" ht="15" hidden="false" customHeight="false" outlineLevel="0" collapsed="false">
      <c r="B175" s="19" t="s">
        <v>25564</v>
      </c>
      <c r="C175" s="20" t="n">
        <f aca="false">ROUND(1/FX,2)</f>
        <v>0.14</v>
      </c>
      <c r="D175" s="21" t="s">
        <v>25531</v>
      </c>
      <c r="E175" s="21" t="s">
        <v>716</v>
      </c>
      <c r="F175" s="21" t="s">
        <v>11411</v>
      </c>
    </row>
    <row r="176" customFormat="false" ht="15" hidden="false" customHeight="false" outlineLevel="0" collapsed="false">
      <c r="B176" s="19" t="s">
        <v>25565</v>
      </c>
      <c r="C176" s="20" t="n">
        <f aca="false">ROUND(1.17/FX,2)</f>
        <v>0.16</v>
      </c>
      <c r="D176" s="21" t="s">
        <v>13743</v>
      </c>
      <c r="E176" s="21" t="s">
        <v>2961</v>
      </c>
      <c r="F176" s="21" t="s">
        <v>11411</v>
      </c>
    </row>
    <row r="177" customFormat="false" ht="15" hidden="false" customHeight="false" outlineLevel="0" collapsed="false">
      <c r="B177" s="19" t="s">
        <v>25566</v>
      </c>
      <c r="C177" s="20" t="n">
        <f aca="false">ROUND(1.02/FX,2)</f>
        <v>0.14</v>
      </c>
      <c r="D177" s="21" t="s">
        <v>25469</v>
      </c>
      <c r="E177" s="21" t="s">
        <v>847</v>
      </c>
      <c r="F177" s="21" t="s">
        <v>11411</v>
      </c>
    </row>
    <row r="178" customFormat="false" ht="15" hidden="false" customHeight="false" outlineLevel="0" collapsed="false">
      <c r="B178" s="19" t="s">
        <v>25567</v>
      </c>
      <c r="C178" s="20" t="n">
        <f aca="false">ROUND(1.02/FX,2)</f>
        <v>0.14</v>
      </c>
      <c r="D178" s="21" t="s">
        <v>25471</v>
      </c>
      <c r="E178" s="21" t="s">
        <v>707</v>
      </c>
      <c r="F178" s="21" t="s">
        <v>11413</v>
      </c>
    </row>
    <row r="179" customFormat="false" ht="15" hidden="false" customHeight="false" outlineLevel="0" collapsed="false">
      <c r="B179" s="19" t="s">
        <v>25568</v>
      </c>
      <c r="C179" s="20" t="n">
        <f aca="false">ROUND(1.22/FX,2)</f>
        <v>0.17</v>
      </c>
      <c r="D179" s="21" t="s">
        <v>13739</v>
      </c>
      <c r="E179" s="21" t="s">
        <v>2600</v>
      </c>
      <c r="F179" s="21" t="s">
        <v>11413</v>
      </c>
    </row>
    <row r="180" customFormat="false" ht="15" hidden="false" customHeight="false" outlineLevel="0" collapsed="false">
      <c r="B180" s="19" t="s">
        <v>25569</v>
      </c>
      <c r="C180" s="20" t="n">
        <f aca="false">ROUND(1.04/FX,2)</f>
        <v>0.14</v>
      </c>
      <c r="D180" s="21" t="s">
        <v>25462</v>
      </c>
      <c r="E180" s="21" t="s">
        <v>4721</v>
      </c>
      <c r="F180" s="21" t="s">
        <v>11413</v>
      </c>
    </row>
    <row r="181" customFormat="false" ht="15" hidden="false" customHeight="false" outlineLevel="0" collapsed="false">
      <c r="B181" s="19" t="s">
        <v>25570</v>
      </c>
      <c r="C181" s="20" t="n">
        <f aca="false">ROUND(1.05/FX,2)</f>
        <v>0.15</v>
      </c>
      <c r="D181" s="21" t="s">
        <v>25459</v>
      </c>
      <c r="E181" s="21" t="s">
        <v>3833</v>
      </c>
      <c r="F181" s="21" t="s">
        <v>11413</v>
      </c>
    </row>
    <row r="182" customFormat="false" ht="15" hidden="false" customHeight="false" outlineLevel="0" collapsed="false">
      <c r="B182" s="19" t="s">
        <v>25571</v>
      </c>
      <c r="C182" s="20" t="n">
        <f aca="false">ROUND(1.01/FX,2)</f>
        <v>0.14</v>
      </c>
      <c r="D182" s="21" t="s">
        <v>13978</v>
      </c>
      <c r="E182" s="21" t="s">
        <v>4000</v>
      </c>
      <c r="F182" s="21" t="s">
        <v>11413</v>
      </c>
    </row>
    <row r="183" customFormat="false" ht="15" hidden="false" customHeight="false" outlineLevel="0" collapsed="false">
      <c r="B183" s="19" t="s">
        <v>25572</v>
      </c>
      <c r="C183" s="20" t="n">
        <f aca="false">ROUND(0.08/FX,2)</f>
        <v>0.01</v>
      </c>
      <c r="D183" s="21" t="s">
        <v>13732</v>
      </c>
      <c r="E183" s="21" t="s">
        <v>3247</v>
      </c>
      <c r="F183" s="21" t="s">
        <v>11413</v>
      </c>
    </row>
    <row r="184" customFormat="false" ht="15" hidden="false" customHeight="false" outlineLevel="0" collapsed="false">
      <c r="B184" s="19" t="s">
        <v>25573</v>
      </c>
      <c r="C184" s="20" t="n">
        <f aca="false">ROUND(1/FX,2)</f>
        <v>0.14</v>
      </c>
      <c r="D184" s="21" t="s">
        <v>13988</v>
      </c>
      <c r="E184" s="21" t="s">
        <v>5097</v>
      </c>
      <c r="F184" s="21" t="s">
        <v>11413</v>
      </c>
    </row>
    <row r="185" customFormat="false" ht="15" hidden="false" customHeight="false" outlineLevel="0" collapsed="false">
      <c r="B185" s="19" t="s">
        <v>25574</v>
      </c>
      <c r="C185" s="20" t="n">
        <f aca="false">ROUND(1.08/FX,2)</f>
        <v>0.15</v>
      </c>
      <c r="D185" s="21" t="s">
        <v>21722</v>
      </c>
      <c r="E185" s="21" t="s">
        <v>3317</v>
      </c>
      <c r="F185" s="21" t="s">
        <v>11413</v>
      </c>
    </row>
    <row r="186" customFormat="false" ht="15" hidden="false" customHeight="false" outlineLevel="0" collapsed="false">
      <c r="B186" s="19" t="s">
        <v>25575</v>
      </c>
      <c r="C186" s="20" t="n">
        <f aca="false">ROUND(1/FX,2)</f>
        <v>0.14</v>
      </c>
      <c r="D186" s="21" t="s">
        <v>13997</v>
      </c>
      <c r="E186" s="21" t="s">
        <v>784</v>
      </c>
      <c r="F186" s="21" t="s">
        <v>11413</v>
      </c>
    </row>
    <row r="187" customFormat="false" ht="15" hidden="false" customHeight="false" outlineLevel="0" collapsed="false">
      <c r="B187" s="19" t="s">
        <v>25576</v>
      </c>
      <c r="C187" s="20" t="n">
        <f aca="false">ROUND(1.04/FX,2)</f>
        <v>0.14</v>
      </c>
      <c r="D187" s="21" t="s">
        <v>14056</v>
      </c>
      <c r="E187" s="21" t="s">
        <v>3328</v>
      </c>
      <c r="F187" s="21" t="s">
        <v>11413</v>
      </c>
    </row>
    <row r="188" customFormat="false" ht="15" hidden="false" customHeight="false" outlineLevel="0" collapsed="false">
      <c r="B188" s="19" t="s">
        <v>25577</v>
      </c>
      <c r="C188" s="20" t="n">
        <f aca="false">ROUND(1.05/FX,2)</f>
        <v>0.15</v>
      </c>
      <c r="D188" s="21" t="s">
        <v>13994</v>
      </c>
      <c r="E188" s="21" t="s">
        <v>6246</v>
      </c>
      <c r="F188" s="21" t="s">
        <v>11413</v>
      </c>
    </row>
    <row r="189" customFormat="false" ht="15" hidden="false" customHeight="false" outlineLevel="0" collapsed="false">
      <c r="B189" s="19" t="s">
        <v>25578</v>
      </c>
      <c r="C189" s="20" t="n">
        <f aca="false">ROUND(1.08/FX,2)</f>
        <v>0.15</v>
      </c>
      <c r="D189" s="21" t="s">
        <v>14007</v>
      </c>
      <c r="E189" s="21" t="s">
        <v>7358</v>
      </c>
      <c r="F189" s="21" t="s">
        <v>11413</v>
      </c>
    </row>
    <row r="190" customFormat="false" ht="15" hidden="false" customHeight="false" outlineLevel="0" collapsed="false">
      <c r="B190" s="19" t="s">
        <v>25579</v>
      </c>
      <c r="C190" s="20" t="n">
        <f aca="false">ROUND(1.04/FX,2)</f>
        <v>0.14</v>
      </c>
      <c r="D190" s="21" t="s">
        <v>24287</v>
      </c>
      <c r="E190" s="21" t="s">
        <v>789</v>
      </c>
      <c r="F190" s="21" t="s">
        <v>11413</v>
      </c>
    </row>
    <row r="191" customFormat="false" ht="15" hidden="false" customHeight="false" outlineLevel="0" collapsed="false">
      <c r="B191" s="19" t="s">
        <v>25580</v>
      </c>
      <c r="C191" s="20" t="n">
        <f aca="false">ROUND(1.1/FX,2)</f>
        <v>0.15</v>
      </c>
      <c r="D191" s="21" t="s">
        <v>13743</v>
      </c>
      <c r="E191" s="21" t="s">
        <v>2911</v>
      </c>
      <c r="F191" s="21" t="s">
        <v>11413</v>
      </c>
    </row>
    <row r="192" customFormat="false" ht="15" hidden="false" customHeight="false" outlineLevel="0" collapsed="false">
      <c r="B192" s="19" t="s">
        <v>25581</v>
      </c>
      <c r="C192" s="20" t="n">
        <f aca="false">ROUND(1.16/FX,2)</f>
        <v>0.16</v>
      </c>
      <c r="D192" s="21" t="s">
        <v>14013</v>
      </c>
      <c r="E192" s="21" t="s">
        <v>7275</v>
      </c>
      <c r="F192" s="21" t="s">
        <v>11413</v>
      </c>
    </row>
    <row r="193" customFormat="false" ht="15" hidden="false" customHeight="false" outlineLevel="0" collapsed="false">
      <c r="B193" s="19" t="s">
        <v>25582</v>
      </c>
      <c r="C193" s="20" t="n">
        <f aca="false">ROUND(1.01/FX,2)</f>
        <v>0.14</v>
      </c>
      <c r="D193" s="21" t="s">
        <v>24287</v>
      </c>
      <c r="E193" s="21" t="s">
        <v>716</v>
      </c>
      <c r="F193" s="21" t="s">
        <v>11413</v>
      </c>
    </row>
    <row r="194" customFormat="false" ht="15" hidden="false" customHeight="false" outlineLevel="0" collapsed="false">
      <c r="B194" s="19" t="s">
        <v>25583</v>
      </c>
      <c r="C194" s="20" t="n">
        <f aca="false">ROUND(1.03/FX,2)</f>
        <v>0.14</v>
      </c>
      <c r="D194" s="21" t="s">
        <v>13751</v>
      </c>
      <c r="E194" s="21" t="s">
        <v>2961</v>
      </c>
      <c r="F194" s="21" t="s">
        <v>11413</v>
      </c>
    </row>
    <row r="195" customFormat="false" ht="15" hidden="false" customHeight="false" outlineLevel="0" collapsed="false">
      <c r="B195" s="19" t="s">
        <v>25584</v>
      </c>
      <c r="C195" s="20" t="n">
        <f aca="false">ROUND(1.12/FX,2)</f>
        <v>0.16</v>
      </c>
      <c r="D195" s="21" t="s">
        <v>13751</v>
      </c>
      <c r="E195" s="21" t="s">
        <v>13817</v>
      </c>
      <c r="F195" s="21" t="s">
        <v>11413</v>
      </c>
    </row>
    <row r="196" customFormat="false" ht="15" hidden="false" customHeight="false" outlineLevel="0" collapsed="false">
      <c r="B196" s="19" t="s">
        <v>25585</v>
      </c>
      <c r="C196" s="20" t="n">
        <f aca="false">ROUND(1.21/FX,2)</f>
        <v>0.17</v>
      </c>
      <c r="D196" s="21" t="s">
        <v>13751</v>
      </c>
      <c r="E196" s="21" t="s">
        <v>3011</v>
      </c>
      <c r="F196" s="21" t="s">
        <v>11413</v>
      </c>
    </row>
    <row r="197" customFormat="false" ht="15" hidden="false" customHeight="false" outlineLevel="0" collapsed="false">
      <c r="B197" s="19" t="s">
        <v>25586</v>
      </c>
      <c r="C197" s="20" t="n">
        <f aca="false">ROUND(1.37/FX,2)</f>
        <v>0.19</v>
      </c>
      <c r="D197" s="21" t="s">
        <v>13751</v>
      </c>
      <c r="E197" s="21" t="s">
        <v>7396</v>
      </c>
      <c r="F197" s="21" t="s">
        <v>11413</v>
      </c>
    </row>
    <row r="198" customFormat="false" ht="15" hidden="false" customHeight="false" outlineLevel="0" collapsed="false">
      <c r="B198" s="19" t="s">
        <v>25587</v>
      </c>
      <c r="C198" s="20" t="n">
        <f aca="false">ROUND(1.02/FX,2)</f>
        <v>0.14</v>
      </c>
      <c r="D198" s="21" t="s">
        <v>25471</v>
      </c>
      <c r="E198" s="21" t="s">
        <v>847</v>
      </c>
      <c r="F198" s="21" t="s">
        <v>11413</v>
      </c>
    </row>
    <row r="199" customFormat="false" ht="15" hidden="false" customHeight="false" outlineLevel="0" collapsed="false">
      <c r="B199" s="19" t="s">
        <v>25588</v>
      </c>
      <c r="C199" s="20" t="n">
        <f aca="false">ROUND(1.41/FX,2)</f>
        <v>0.2</v>
      </c>
      <c r="D199" s="21" t="s">
        <v>13751</v>
      </c>
      <c r="E199" s="21" t="s">
        <v>3061</v>
      </c>
      <c r="F199" s="21" t="s">
        <v>11413</v>
      </c>
    </row>
    <row r="200" customFormat="false" ht="15" hidden="false" customHeight="false" outlineLevel="0" collapsed="false">
      <c r="B200" s="19" t="s">
        <v>25589</v>
      </c>
      <c r="C200" s="20" t="n">
        <f aca="false">ROUND(1.09/FX,2)</f>
        <v>0.15</v>
      </c>
      <c r="D200" s="21" t="s">
        <v>13739</v>
      </c>
      <c r="E200" s="21" t="s">
        <v>11870</v>
      </c>
      <c r="F200" s="21" t="s">
        <v>11413</v>
      </c>
    </row>
    <row r="201" customFormat="false" ht="15" hidden="false" customHeight="false" outlineLevel="0" collapsed="false">
      <c r="B201" s="19" t="s">
        <v>25590</v>
      </c>
      <c r="C201" s="20" t="n">
        <f aca="false">ROUND(1.09/FX,2)</f>
        <v>0.15</v>
      </c>
      <c r="D201" s="21" t="s">
        <v>13739</v>
      </c>
      <c r="E201" s="21" t="s">
        <v>3111</v>
      </c>
      <c r="F201" s="21" t="s">
        <v>11413</v>
      </c>
    </row>
    <row r="202" customFormat="false" ht="15" hidden="false" customHeight="false" outlineLevel="0" collapsed="false">
      <c r="B202" s="19" t="s">
        <v>25591</v>
      </c>
      <c r="C202" s="20" t="n">
        <f aca="false">ROUND(1.04/FX,2)</f>
        <v>0.14</v>
      </c>
      <c r="D202" s="21" t="s">
        <v>14056</v>
      </c>
      <c r="E202" s="21" t="s">
        <v>707</v>
      </c>
      <c r="F202" s="21" t="s">
        <v>11415</v>
      </c>
    </row>
    <row r="203" customFormat="false" ht="15" hidden="false" customHeight="false" outlineLevel="0" collapsed="false">
      <c r="B203" s="19" t="s">
        <v>25592</v>
      </c>
      <c r="C203" s="20" t="n">
        <f aca="false">ROUND(1.56/FX,2)</f>
        <v>0.22</v>
      </c>
      <c r="D203" s="21" t="s">
        <v>13739</v>
      </c>
      <c r="E203" s="21" t="s">
        <v>2600</v>
      </c>
      <c r="F203" s="21" t="s">
        <v>11415</v>
      </c>
    </row>
    <row r="204" customFormat="false" ht="15" hidden="false" customHeight="false" outlineLevel="0" collapsed="false">
      <c r="B204" s="19" t="s">
        <v>25593</v>
      </c>
      <c r="C204" s="20" t="n">
        <f aca="false">ROUND(1.74/FX,2)</f>
        <v>0.24</v>
      </c>
      <c r="D204" s="21" t="s">
        <v>13739</v>
      </c>
      <c r="E204" s="21" t="s">
        <v>2651</v>
      </c>
      <c r="F204" s="21" t="s">
        <v>11415</v>
      </c>
    </row>
    <row r="205" customFormat="false" ht="15" hidden="false" customHeight="false" outlineLevel="0" collapsed="false">
      <c r="B205" s="19" t="s">
        <v>25594</v>
      </c>
      <c r="C205" s="20" t="n">
        <f aca="false">ROUND(1.12/FX,2)</f>
        <v>0.16</v>
      </c>
      <c r="D205" s="21" t="s">
        <v>14056</v>
      </c>
      <c r="E205" s="21" t="s">
        <v>761</v>
      </c>
      <c r="F205" s="21" t="s">
        <v>11415</v>
      </c>
    </row>
    <row r="206" customFormat="false" ht="15" hidden="false" customHeight="false" outlineLevel="0" collapsed="false">
      <c r="B206" s="19" t="s">
        <v>25595</v>
      </c>
      <c r="C206" s="20" t="n">
        <f aca="false">ROUND(1.87/FX,2)</f>
        <v>0.26</v>
      </c>
      <c r="D206" s="21" t="s">
        <v>13739</v>
      </c>
      <c r="E206" s="21" t="s">
        <v>2701</v>
      </c>
      <c r="F206" s="21" t="s">
        <v>11415</v>
      </c>
    </row>
    <row r="207" customFormat="false" ht="15" hidden="false" customHeight="false" outlineLevel="0" collapsed="false">
      <c r="B207" s="19" t="s">
        <v>25596</v>
      </c>
      <c r="C207" s="20" t="n">
        <f aca="false">ROUND(1/FX,2)</f>
        <v>0.14</v>
      </c>
      <c r="D207" s="21" t="s">
        <v>13994</v>
      </c>
      <c r="E207" s="21" t="s">
        <v>4721</v>
      </c>
      <c r="F207" s="21" t="s">
        <v>11415</v>
      </c>
    </row>
    <row r="208" customFormat="false" ht="15" hidden="false" customHeight="false" outlineLevel="0" collapsed="false">
      <c r="B208" s="19" t="s">
        <v>25597</v>
      </c>
      <c r="C208" s="20" t="n">
        <f aca="false">ROUND(1.05/FX,2)</f>
        <v>0.15</v>
      </c>
      <c r="D208" s="21" t="s">
        <v>13994</v>
      </c>
      <c r="E208" s="21" t="s">
        <v>3833</v>
      </c>
      <c r="F208" s="21" t="s">
        <v>11415</v>
      </c>
    </row>
    <row r="209" customFormat="false" ht="15" hidden="false" customHeight="false" outlineLevel="0" collapsed="false">
      <c r="B209" s="19" t="s">
        <v>25598</v>
      </c>
      <c r="C209" s="20" t="n">
        <f aca="false">ROUND(1.1/FX,2)</f>
        <v>0.15</v>
      </c>
      <c r="D209" s="21" t="s">
        <v>13994</v>
      </c>
      <c r="E209" s="21" t="s">
        <v>4000</v>
      </c>
      <c r="F209" s="21" t="s">
        <v>11415</v>
      </c>
    </row>
    <row r="210" customFormat="false" ht="15" hidden="false" customHeight="false" outlineLevel="0" collapsed="false">
      <c r="B210" s="19" t="s">
        <v>25599</v>
      </c>
      <c r="C210" s="20" t="n">
        <f aca="false">ROUND(1.12/FX,2)</f>
        <v>0.16</v>
      </c>
      <c r="D210" s="21" t="s">
        <v>13994</v>
      </c>
      <c r="E210" s="21" t="s">
        <v>3247</v>
      </c>
      <c r="F210" s="21" t="s">
        <v>11415</v>
      </c>
    </row>
    <row r="211" customFormat="false" ht="15" hidden="false" customHeight="false" outlineLevel="0" collapsed="false">
      <c r="B211" s="19" t="s">
        <v>25600</v>
      </c>
      <c r="C211" s="20" t="n">
        <f aca="false">ROUND(1.1/FX,2)</f>
        <v>0.15</v>
      </c>
      <c r="D211" s="21" t="s">
        <v>14007</v>
      </c>
      <c r="E211" s="21" t="s">
        <v>5097</v>
      </c>
      <c r="F211" s="21" t="s">
        <v>11415</v>
      </c>
    </row>
    <row r="212" customFormat="false" ht="15" hidden="false" customHeight="false" outlineLevel="0" collapsed="false">
      <c r="B212" s="19" t="s">
        <v>25601</v>
      </c>
      <c r="C212" s="20" t="n">
        <f aca="false">ROUND(1.1/FX,2)</f>
        <v>0.15</v>
      </c>
      <c r="D212" s="21" t="s">
        <v>14007</v>
      </c>
      <c r="E212" s="21" t="s">
        <v>3317</v>
      </c>
      <c r="F212" s="21" t="s">
        <v>11415</v>
      </c>
    </row>
    <row r="213" customFormat="false" ht="15" hidden="false" customHeight="false" outlineLevel="0" collapsed="false">
      <c r="B213" s="19" t="s">
        <v>25602</v>
      </c>
      <c r="C213" s="20" t="n">
        <f aca="false">ROUND(1/FX,2)</f>
        <v>0.14</v>
      </c>
      <c r="D213" s="21" t="s">
        <v>13743</v>
      </c>
      <c r="E213" s="21" t="s">
        <v>784</v>
      </c>
      <c r="F213" s="21" t="s">
        <v>11415</v>
      </c>
    </row>
    <row r="214" customFormat="false" ht="15" hidden="false" customHeight="false" outlineLevel="0" collapsed="false">
      <c r="B214" s="19" t="s">
        <v>25603</v>
      </c>
      <c r="C214" s="20" t="n">
        <f aca="false">ROUND(1.1/FX,2)</f>
        <v>0.15</v>
      </c>
      <c r="D214" s="21" t="s">
        <v>13743</v>
      </c>
      <c r="E214" s="21" t="s">
        <v>3328</v>
      </c>
      <c r="F214" s="21" t="s">
        <v>11415</v>
      </c>
    </row>
    <row r="215" customFormat="false" ht="15" hidden="false" customHeight="false" outlineLevel="0" collapsed="false">
      <c r="B215" s="19" t="s">
        <v>25604</v>
      </c>
      <c r="C215" s="20" t="n">
        <f aca="false">ROUND(1.2/FX,2)</f>
        <v>0.17</v>
      </c>
      <c r="D215" s="21" t="s">
        <v>13743</v>
      </c>
      <c r="E215" s="21" t="s">
        <v>6246</v>
      </c>
      <c r="F215" s="21" t="s">
        <v>11415</v>
      </c>
    </row>
    <row r="216" customFormat="false" ht="15" hidden="false" customHeight="false" outlineLevel="0" collapsed="false">
      <c r="B216" s="19" t="s">
        <v>25605</v>
      </c>
      <c r="C216" s="20" t="n">
        <f aca="false">ROUND(1.08/FX,2)</f>
        <v>0.15</v>
      </c>
      <c r="D216" s="21" t="s">
        <v>14013</v>
      </c>
      <c r="E216" s="21" t="s">
        <v>7358</v>
      </c>
      <c r="F216" s="21" t="s">
        <v>11415</v>
      </c>
    </row>
    <row r="217" customFormat="false" ht="15" hidden="false" customHeight="false" outlineLevel="0" collapsed="false">
      <c r="B217" s="19" t="s">
        <v>25606</v>
      </c>
      <c r="C217" s="20" t="n">
        <f aca="false">ROUND(1.2/FX,2)</f>
        <v>0.17</v>
      </c>
      <c r="D217" s="21" t="s">
        <v>14013</v>
      </c>
      <c r="E217" s="21" t="s">
        <v>2911</v>
      </c>
      <c r="F217" s="21" t="s">
        <v>11415</v>
      </c>
    </row>
    <row r="218" customFormat="false" ht="15" hidden="false" customHeight="false" outlineLevel="0" collapsed="false">
      <c r="B218" s="19" t="s">
        <v>25607</v>
      </c>
      <c r="C218" s="20" t="n">
        <f aca="false">ROUND(1.14/FX,2)</f>
        <v>0.16</v>
      </c>
      <c r="D218" s="21" t="s">
        <v>13751</v>
      </c>
      <c r="E218" s="21" t="s">
        <v>7275</v>
      </c>
      <c r="F218" s="21" t="s">
        <v>11415</v>
      </c>
    </row>
    <row r="219" customFormat="false" ht="15" hidden="false" customHeight="false" outlineLevel="0" collapsed="false">
      <c r="B219" s="19" t="s">
        <v>25608</v>
      </c>
      <c r="C219" s="20" t="n">
        <f aca="false">ROUND(1.35/FX,2)</f>
        <v>0.19</v>
      </c>
      <c r="D219" s="21" t="s">
        <v>13751</v>
      </c>
      <c r="E219" s="21" t="s">
        <v>2961</v>
      </c>
      <c r="F219" s="21" t="s">
        <v>11415</v>
      </c>
    </row>
    <row r="220" customFormat="false" ht="15" hidden="false" customHeight="false" outlineLevel="0" collapsed="false">
      <c r="B220" s="19" t="s">
        <v>25609</v>
      </c>
      <c r="C220" s="20" t="n">
        <f aca="false">ROUND(1.02/FX,2)</f>
        <v>0.14</v>
      </c>
      <c r="D220" s="21" t="s">
        <v>13739</v>
      </c>
      <c r="E220" s="21" t="s">
        <v>13817</v>
      </c>
      <c r="F220" s="21" t="s">
        <v>11415</v>
      </c>
    </row>
    <row r="221" customFormat="false" ht="15" hidden="false" customHeight="false" outlineLevel="0" collapsed="false">
      <c r="B221" s="19" t="s">
        <v>25610</v>
      </c>
      <c r="C221" s="20" t="n">
        <f aca="false">ROUND(1.07/FX,2)</f>
        <v>0.15</v>
      </c>
      <c r="D221" s="21" t="s">
        <v>13739</v>
      </c>
      <c r="E221" s="21" t="s">
        <v>3011</v>
      </c>
      <c r="F221" s="21" t="s">
        <v>11415</v>
      </c>
    </row>
    <row r="222" customFormat="false" ht="15" hidden="false" customHeight="false" outlineLevel="0" collapsed="false">
      <c r="B222" s="19" t="s">
        <v>25611</v>
      </c>
      <c r="C222" s="20" t="n">
        <f aca="false">ROUND(1.12/FX,2)</f>
        <v>0.16</v>
      </c>
      <c r="D222" s="21" t="s">
        <v>13739</v>
      </c>
      <c r="E222" s="21" t="s">
        <v>7396</v>
      </c>
      <c r="F222" s="21" t="s">
        <v>11415</v>
      </c>
    </row>
    <row r="223" customFormat="false" ht="15" hidden="false" customHeight="false" outlineLevel="0" collapsed="false">
      <c r="B223" s="19" t="s">
        <v>25612</v>
      </c>
      <c r="C223" s="20" t="n">
        <f aca="false">ROUND(1.13/FX,2)</f>
        <v>0.16</v>
      </c>
      <c r="D223" s="21" t="s">
        <v>14016</v>
      </c>
      <c r="E223" s="21" t="s">
        <v>847</v>
      </c>
      <c r="F223" s="21" t="s">
        <v>11415</v>
      </c>
    </row>
    <row r="224" customFormat="false" ht="15" hidden="false" customHeight="false" outlineLevel="0" collapsed="false">
      <c r="B224" s="19" t="s">
        <v>25613</v>
      </c>
      <c r="C224" s="20" t="n">
        <f aca="false">ROUND(1.24/FX,2)</f>
        <v>0.17</v>
      </c>
      <c r="D224" s="21" t="s">
        <v>13739</v>
      </c>
      <c r="E224" s="21" t="s">
        <v>3061</v>
      </c>
      <c r="F224" s="21" t="s">
        <v>11415</v>
      </c>
    </row>
    <row r="225" customFormat="false" ht="15" hidden="false" customHeight="false" outlineLevel="0" collapsed="false">
      <c r="B225" s="19" t="s">
        <v>25614</v>
      </c>
      <c r="C225" s="20" t="n">
        <f aca="false">ROUND(1.34/FX,2)</f>
        <v>0.19</v>
      </c>
      <c r="D225" s="21" t="s">
        <v>13739</v>
      </c>
      <c r="E225" s="21" t="s">
        <v>11870</v>
      </c>
      <c r="F225" s="21" t="s">
        <v>11415</v>
      </c>
    </row>
    <row r="226" customFormat="false" ht="15" hidden="false" customHeight="false" outlineLevel="0" collapsed="false">
      <c r="B226" s="19" t="s">
        <v>25615</v>
      </c>
      <c r="C226" s="20" t="n">
        <f aca="false">ROUND(1.34/FX,2)</f>
        <v>0.19</v>
      </c>
      <c r="D226" s="21" t="s">
        <v>13739</v>
      </c>
      <c r="E226" s="21" t="s">
        <v>3111</v>
      </c>
      <c r="F226" s="21" t="s">
        <v>11415</v>
      </c>
    </row>
    <row r="227" customFormat="false" ht="15" hidden="false" customHeight="false" outlineLevel="0" collapsed="false">
      <c r="B227" s="19" t="s">
        <v>25616</v>
      </c>
      <c r="C227" s="20" t="n">
        <f aca="false">ROUND(1.8/FX,2)</f>
        <v>0.25</v>
      </c>
      <c r="D227" s="21" t="s">
        <v>13739</v>
      </c>
      <c r="E227" s="21" t="s">
        <v>12306</v>
      </c>
      <c r="F227" s="21" t="s">
        <v>11415</v>
      </c>
    </row>
    <row r="230" customFormat="false" ht="61.5" hidden="false" customHeight="true" outlineLevel="0" collapsed="false">
      <c r="A230" s="9"/>
      <c r="B230" s="10" t="s">
        <v>25617</v>
      </c>
      <c r="C230" s="10"/>
      <c r="D230" s="10"/>
      <c r="E230" s="10"/>
      <c r="F230" s="10"/>
      <c r="G230" s="10"/>
      <c r="H230" s="10"/>
    </row>
    <row r="231" customFormat="false" ht="15" hidden="false" customHeight="false" outlineLevel="0" collapsed="false">
      <c r="A231" s="12" t="s">
        <v>700</v>
      </c>
      <c r="B231" s="13" t="s">
        <v>701</v>
      </c>
      <c r="C231" s="13" t="s">
        <v>702</v>
      </c>
      <c r="D231" s="13" t="s">
        <v>705</v>
      </c>
      <c r="E231" s="13" t="s">
        <v>723</v>
      </c>
      <c r="F231" s="13" t="s">
        <v>11716</v>
      </c>
      <c r="G231" s="13" t="s">
        <v>13701</v>
      </c>
      <c r="H231" s="13" t="s">
        <v>25618</v>
      </c>
    </row>
    <row r="232" customFormat="false" ht="30" hidden="false" customHeight="true" outlineLevel="0" collapsed="false">
      <c r="A232" s="14" t="s">
        <v>706</v>
      </c>
      <c r="B232" s="15" t="str">
        <f aca="false">IF(COUNTIFS($D$235:$D$499,IF(D232="","*",D232),$E$235:$E$499,IF(E232="","*",E232),$F$235:$F$499,IF(F232="","*",F232),$G$235:$G$499,IF(G232="","*",G232),$H$235:$H$499,IF(H232="","*",H232))=1,INDEX($B:$B,SUMPRODUCT(((D232="")+($D$235:$D$499=D232)&gt;0)*((E232="")+($E$235:$E$499=E232)&gt;0)*((F232="")+($F$235:$F$499=F232)&gt;0)*((G232="")+($G$235:$G$499=G232)&gt;0)*((H232="")+($H$235:$H$499=H232)&gt;0)*ROW($B$235:$B$499))),IF(COUNTIFS($D$235:$D$499,IF(D232="","*",D232),$E$235:$E$499,IF(E232="","*",E232),$F$235:$F$499,IF(F232="","*",F232),$G$235:$G$499,IF(G232="","*",G232),$H$235:$H$499,IF(H232="","*",H232))=0,"Not available",COUNTIFS($D$235:$D$499,IF(D232="","*",D232),$E$235:$E$499,IF(E232="","*",E232),$F$235:$F$499,IF(F232="","*",F232),$G$235:$G$499,IF(G232="","*",G232),$H$235:$H$499,IF(H232="","*",H232))&amp;" match, keep choosing"))</f>
        <v>D912-G129-M10x100-HT-P1</v>
      </c>
      <c r="C232" s="16" t="n">
        <f aca="false">IF(COUNTIFS($D$235:$D$499,IF(D232="","*",D232),$E$235:$E$499,IF(E232="","*",E232),$F$235:$F$499,IF(F232="","*",F232),$G$235:$G$499,IF(G232="","*",G232),$H$235:$H$499,IF(H232="","*",H232))=1,INDEX($C:$C,SUMPRODUCT(((D232="")+($D$235:$D$499=D232)&gt;0)*((E232="")+($E$235:$E$499=E232)&gt;0)*((F232="")+($F$235:$F$499=F232)&gt;0)*((G232="")+($G$235:$G$499=G232)&gt;0)*((H232="")+($H$235:$H$499=H232)&gt;0)*ROW($B$235:$B$499))),"")</f>
        <v>0.15</v>
      </c>
      <c r="D232" s="17" t="s">
        <v>13732</v>
      </c>
      <c r="E232" s="17" t="s">
        <v>734</v>
      </c>
      <c r="F232" s="17" t="s">
        <v>2600</v>
      </c>
      <c r="G232" s="17" t="s">
        <v>22841</v>
      </c>
      <c r="H232" s="17" t="s">
        <v>25619</v>
      </c>
    </row>
    <row r="234" customFormat="false" ht="15" hidden="false" customHeight="false" outlineLevel="0" collapsed="false">
      <c r="B234" s="18" t="s">
        <v>701</v>
      </c>
      <c r="C234" s="18" t="s">
        <v>702</v>
      </c>
      <c r="D234" s="18" t="s">
        <v>705</v>
      </c>
      <c r="E234" s="18" t="s">
        <v>723</v>
      </c>
      <c r="F234" s="18" t="s">
        <v>11716</v>
      </c>
      <c r="G234" s="18" t="s">
        <v>13701</v>
      </c>
      <c r="H234" s="18" t="s">
        <v>25618</v>
      </c>
    </row>
    <row r="235" customFormat="false" ht="15" hidden="false" customHeight="false" outlineLevel="0" collapsed="false">
      <c r="B235" s="19" t="s">
        <v>25620</v>
      </c>
      <c r="C235" s="20" t="n">
        <f aca="false">ROUND(1.1/FX,2)</f>
        <v>0.15</v>
      </c>
      <c r="D235" s="21" t="s">
        <v>13732</v>
      </c>
      <c r="E235" s="21" t="s">
        <v>734</v>
      </c>
      <c r="F235" s="21" t="s">
        <v>2600</v>
      </c>
      <c r="G235" s="21" t="s">
        <v>22841</v>
      </c>
      <c r="H235" s="21" t="s">
        <v>25619</v>
      </c>
    </row>
    <row r="236" customFormat="false" ht="15" hidden="false" customHeight="false" outlineLevel="0" collapsed="false">
      <c r="B236" s="19" t="s">
        <v>25621</v>
      </c>
      <c r="C236" s="20" t="n">
        <f aca="false">ROUND(1.04/FX,2)</f>
        <v>0.14</v>
      </c>
      <c r="D236" s="21" t="s">
        <v>13732</v>
      </c>
      <c r="E236" s="21" t="s">
        <v>734</v>
      </c>
      <c r="F236" s="21" t="s">
        <v>2651</v>
      </c>
      <c r="G236" s="21" t="s">
        <v>22841</v>
      </c>
      <c r="H236" s="21" t="s">
        <v>25619</v>
      </c>
    </row>
    <row r="237" customFormat="false" ht="15" hidden="false" customHeight="false" outlineLevel="0" collapsed="false">
      <c r="B237" s="19" t="s">
        <v>25622</v>
      </c>
      <c r="C237" s="20" t="n">
        <f aca="false">ROUND(1.18/FX,2)</f>
        <v>0.16</v>
      </c>
      <c r="D237" s="21" t="s">
        <v>13732</v>
      </c>
      <c r="E237" s="21" t="s">
        <v>734</v>
      </c>
      <c r="F237" s="21" t="s">
        <v>2701</v>
      </c>
      <c r="G237" s="21" t="s">
        <v>22841</v>
      </c>
      <c r="H237" s="21" t="s">
        <v>25619</v>
      </c>
    </row>
    <row r="238" customFormat="false" ht="15" hidden="false" customHeight="false" outlineLevel="0" collapsed="false">
      <c r="B238" s="19" t="s">
        <v>25623</v>
      </c>
      <c r="C238" s="20" t="n">
        <f aca="false">ROUND(1.25/FX,2)</f>
        <v>0.17</v>
      </c>
      <c r="D238" s="21" t="s">
        <v>13732</v>
      </c>
      <c r="E238" s="21" t="s">
        <v>734</v>
      </c>
      <c r="F238" s="21" t="s">
        <v>2751</v>
      </c>
      <c r="G238" s="21" t="s">
        <v>22841</v>
      </c>
      <c r="H238" s="21" t="s">
        <v>25619</v>
      </c>
    </row>
    <row r="239" customFormat="false" ht="15" hidden="false" customHeight="false" outlineLevel="0" collapsed="false">
      <c r="B239" s="19" t="s">
        <v>25624</v>
      </c>
      <c r="C239" s="20" t="n">
        <f aca="false">ROUND(1.32/FX,2)</f>
        <v>0.18</v>
      </c>
      <c r="D239" s="21" t="s">
        <v>13732</v>
      </c>
      <c r="E239" s="21" t="s">
        <v>734</v>
      </c>
      <c r="F239" s="21" t="s">
        <v>2801</v>
      </c>
      <c r="G239" s="21" t="s">
        <v>22841</v>
      </c>
      <c r="H239" s="21" t="s">
        <v>25619</v>
      </c>
    </row>
    <row r="240" customFormat="false" ht="15" hidden="false" customHeight="false" outlineLevel="0" collapsed="false">
      <c r="B240" s="19" t="s">
        <v>25625</v>
      </c>
      <c r="C240" s="20" t="n">
        <f aca="false">ROUND(1.38/FX,2)</f>
        <v>0.19</v>
      </c>
      <c r="D240" s="21" t="s">
        <v>13732</v>
      </c>
      <c r="E240" s="21" t="s">
        <v>734</v>
      </c>
      <c r="F240" s="21" t="s">
        <v>2851</v>
      </c>
      <c r="G240" s="21" t="s">
        <v>22841</v>
      </c>
      <c r="H240" s="21" t="s">
        <v>25619</v>
      </c>
    </row>
    <row r="241" customFormat="false" ht="15" hidden="false" customHeight="false" outlineLevel="0" collapsed="false">
      <c r="B241" s="19" t="s">
        <v>25626</v>
      </c>
      <c r="C241" s="20" t="n">
        <f aca="false">ROUND(1.02/FX,2)</f>
        <v>0.14</v>
      </c>
      <c r="D241" s="21" t="s">
        <v>13751</v>
      </c>
      <c r="E241" s="21" t="s">
        <v>734</v>
      </c>
      <c r="F241" s="21" t="s">
        <v>3833</v>
      </c>
      <c r="G241" s="21" t="s">
        <v>22841</v>
      </c>
      <c r="H241" s="21" t="s">
        <v>25627</v>
      </c>
    </row>
    <row r="242" customFormat="false" ht="15" hidden="false" customHeight="false" outlineLevel="0" collapsed="false">
      <c r="B242" s="19" t="s">
        <v>25628</v>
      </c>
      <c r="C242" s="20" t="n">
        <f aca="false">ROUND(1.06/FX,2)</f>
        <v>0.15</v>
      </c>
      <c r="D242" s="21" t="s">
        <v>13751</v>
      </c>
      <c r="E242" s="21" t="s">
        <v>734</v>
      </c>
      <c r="F242" s="21" t="s">
        <v>3247</v>
      </c>
      <c r="G242" s="21" t="s">
        <v>22841</v>
      </c>
      <c r="H242" s="21" t="s">
        <v>25627</v>
      </c>
    </row>
    <row r="243" customFormat="false" ht="15" hidden="false" customHeight="false" outlineLevel="0" collapsed="false">
      <c r="B243" s="19" t="s">
        <v>25629</v>
      </c>
      <c r="C243" s="20" t="n">
        <f aca="false">ROUND(1.17/FX,2)</f>
        <v>0.16</v>
      </c>
      <c r="D243" s="21" t="s">
        <v>13751</v>
      </c>
      <c r="E243" s="21" t="s">
        <v>734</v>
      </c>
      <c r="F243" s="21" t="s">
        <v>3317</v>
      </c>
      <c r="G243" s="21" t="s">
        <v>22841</v>
      </c>
      <c r="H243" s="21" t="s">
        <v>25627</v>
      </c>
    </row>
    <row r="244" customFormat="false" ht="15" hidden="false" customHeight="false" outlineLevel="0" collapsed="false">
      <c r="B244" s="19" t="s">
        <v>25630</v>
      </c>
      <c r="C244" s="20" t="n">
        <f aca="false">ROUND(1.27/FX,2)</f>
        <v>0.18</v>
      </c>
      <c r="D244" s="21" t="s">
        <v>13751</v>
      </c>
      <c r="E244" s="21" t="s">
        <v>734</v>
      </c>
      <c r="F244" s="21" t="s">
        <v>784</v>
      </c>
      <c r="G244" s="21" t="s">
        <v>22841</v>
      </c>
      <c r="H244" s="21" t="s">
        <v>25627</v>
      </c>
    </row>
    <row r="245" customFormat="false" ht="15" hidden="false" customHeight="false" outlineLevel="0" collapsed="false">
      <c r="B245" s="19" t="s">
        <v>25631</v>
      </c>
      <c r="C245" s="20" t="n">
        <f aca="false">ROUND(1.32/FX,2)</f>
        <v>0.18</v>
      </c>
      <c r="D245" s="21" t="s">
        <v>13751</v>
      </c>
      <c r="E245" s="21" t="s">
        <v>734</v>
      </c>
      <c r="F245" s="21" t="s">
        <v>3328</v>
      </c>
      <c r="G245" s="21" t="s">
        <v>22841</v>
      </c>
      <c r="H245" s="21" t="s">
        <v>25627</v>
      </c>
    </row>
    <row r="246" customFormat="false" ht="15" hidden="false" customHeight="false" outlineLevel="0" collapsed="false">
      <c r="B246" s="19" t="s">
        <v>25632</v>
      </c>
      <c r="C246" s="20" t="n">
        <f aca="false">ROUND(1.48/FX,2)</f>
        <v>0.21</v>
      </c>
      <c r="D246" s="21" t="s">
        <v>13751</v>
      </c>
      <c r="E246" s="21" t="s">
        <v>734</v>
      </c>
      <c r="F246" s="21" t="s">
        <v>6246</v>
      </c>
      <c r="G246" s="21" t="s">
        <v>22841</v>
      </c>
      <c r="H246" s="21" t="s">
        <v>25627</v>
      </c>
    </row>
    <row r="247" customFormat="false" ht="15" hidden="false" customHeight="false" outlineLevel="0" collapsed="false">
      <c r="B247" s="19" t="s">
        <v>25633</v>
      </c>
      <c r="C247" s="20" t="n">
        <f aca="false">ROUND(1.07/FX,2)</f>
        <v>0.15</v>
      </c>
      <c r="D247" s="21" t="s">
        <v>13739</v>
      </c>
      <c r="E247" s="21" t="s">
        <v>734</v>
      </c>
      <c r="F247" s="21" t="s">
        <v>7358</v>
      </c>
      <c r="G247" s="21" t="s">
        <v>22841</v>
      </c>
      <c r="H247" s="21" t="s">
        <v>25627</v>
      </c>
    </row>
    <row r="248" customFormat="false" ht="15" hidden="false" customHeight="false" outlineLevel="0" collapsed="false">
      <c r="B248" s="19" t="s">
        <v>25634</v>
      </c>
      <c r="C248" s="20" t="n">
        <f aca="false">ROUND(1.18/FX,2)</f>
        <v>0.16</v>
      </c>
      <c r="D248" s="21" t="s">
        <v>13739</v>
      </c>
      <c r="E248" s="21" t="s">
        <v>734</v>
      </c>
      <c r="F248" s="21" t="s">
        <v>2911</v>
      </c>
      <c r="G248" s="21" t="s">
        <v>22841</v>
      </c>
      <c r="H248" s="21" t="s">
        <v>25627</v>
      </c>
    </row>
    <row r="249" customFormat="false" ht="15" hidden="false" customHeight="false" outlineLevel="0" collapsed="false">
      <c r="B249" s="19" t="s">
        <v>25635</v>
      </c>
      <c r="C249" s="20" t="n">
        <f aca="false">ROUND(1.29/FX,2)</f>
        <v>0.18</v>
      </c>
      <c r="D249" s="21" t="s">
        <v>13739</v>
      </c>
      <c r="E249" s="21" t="s">
        <v>734</v>
      </c>
      <c r="F249" s="21" t="s">
        <v>7275</v>
      </c>
      <c r="G249" s="21" t="s">
        <v>22841</v>
      </c>
      <c r="H249" s="21" t="s">
        <v>25619</v>
      </c>
    </row>
    <row r="250" customFormat="false" ht="15" hidden="false" customHeight="false" outlineLevel="0" collapsed="false">
      <c r="B250" s="19" t="s">
        <v>25636</v>
      </c>
      <c r="C250" s="20" t="n">
        <f aca="false">ROUND(1.36/FX,2)</f>
        <v>0.19</v>
      </c>
      <c r="D250" s="21" t="s">
        <v>13739</v>
      </c>
      <c r="E250" s="21" t="s">
        <v>734</v>
      </c>
      <c r="F250" s="21" t="s">
        <v>2961</v>
      </c>
      <c r="G250" s="21" t="s">
        <v>22841</v>
      </c>
      <c r="H250" s="21" t="s">
        <v>25619</v>
      </c>
    </row>
    <row r="251" customFormat="false" ht="15" hidden="false" customHeight="false" outlineLevel="0" collapsed="false">
      <c r="B251" s="19" t="s">
        <v>25637</v>
      </c>
      <c r="C251" s="20" t="n">
        <f aca="false">ROUND(1.44/FX,2)</f>
        <v>0.2</v>
      </c>
      <c r="D251" s="21" t="s">
        <v>13739</v>
      </c>
      <c r="E251" s="21" t="s">
        <v>734</v>
      </c>
      <c r="F251" s="21" t="s">
        <v>13817</v>
      </c>
      <c r="G251" s="21" t="s">
        <v>22841</v>
      </c>
      <c r="H251" s="21" t="s">
        <v>25619</v>
      </c>
    </row>
    <row r="252" customFormat="false" ht="15" hidden="false" customHeight="false" outlineLevel="0" collapsed="false">
      <c r="B252" s="19" t="s">
        <v>25638</v>
      </c>
      <c r="C252" s="20" t="n">
        <f aca="false">ROUND(1.59/FX,2)</f>
        <v>0.22</v>
      </c>
      <c r="D252" s="21" t="s">
        <v>13739</v>
      </c>
      <c r="E252" s="21" t="s">
        <v>734</v>
      </c>
      <c r="F252" s="21" t="s">
        <v>3011</v>
      </c>
      <c r="G252" s="21" t="s">
        <v>22841</v>
      </c>
      <c r="H252" s="21" t="s">
        <v>25619</v>
      </c>
    </row>
    <row r="253" customFormat="false" ht="15" hidden="false" customHeight="false" outlineLevel="0" collapsed="false">
      <c r="B253" s="19" t="s">
        <v>25639</v>
      </c>
      <c r="C253" s="20" t="n">
        <f aca="false">ROUND(1.69/FX,2)</f>
        <v>0.23</v>
      </c>
      <c r="D253" s="21" t="s">
        <v>13739</v>
      </c>
      <c r="E253" s="21" t="s">
        <v>734</v>
      </c>
      <c r="F253" s="21" t="s">
        <v>7396</v>
      </c>
      <c r="G253" s="21" t="s">
        <v>22841</v>
      </c>
      <c r="H253" s="21" t="s">
        <v>25619</v>
      </c>
    </row>
    <row r="254" customFormat="false" ht="15" hidden="false" customHeight="false" outlineLevel="0" collapsed="false">
      <c r="B254" s="19" t="s">
        <v>25640</v>
      </c>
      <c r="C254" s="20" t="n">
        <f aca="false">ROUND(1.84/FX,2)</f>
        <v>0.26</v>
      </c>
      <c r="D254" s="21" t="s">
        <v>13739</v>
      </c>
      <c r="E254" s="21" t="s">
        <v>734</v>
      </c>
      <c r="F254" s="21" t="s">
        <v>3061</v>
      </c>
      <c r="G254" s="21" t="s">
        <v>22841</v>
      </c>
      <c r="H254" s="21" t="s">
        <v>25619</v>
      </c>
    </row>
    <row r="255" customFormat="false" ht="15" hidden="false" customHeight="false" outlineLevel="0" collapsed="false">
      <c r="B255" s="19" t="s">
        <v>25641</v>
      </c>
      <c r="C255" s="20" t="n">
        <f aca="false">ROUND(1.01/FX,2)</f>
        <v>0.14</v>
      </c>
      <c r="D255" s="21" t="s">
        <v>13732</v>
      </c>
      <c r="E255" s="21" t="s">
        <v>734</v>
      </c>
      <c r="F255" s="21" t="s">
        <v>3111</v>
      </c>
      <c r="G255" s="21" t="s">
        <v>22841</v>
      </c>
      <c r="H255" s="21" t="s">
        <v>25619</v>
      </c>
    </row>
    <row r="256" customFormat="false" ht="15" hidden="false" customHeight="false" outlineLevel="0" collapsed="false">
      <c r="B256" s="19" t="s">
        <v>25642</v>
      </c>
      <c r="C256" s="20" t="n">
        <f aca="false">ROUND(1.45/FX,2)</f>
        <v>0.2</v>
      </c>
      <c r="D256" s="21" t="s">
        <v>13732</v>
      </c>
      <c r="E256" s="21" t="s">
        <v>734</v>
      </c>
      <c r="F256" s="21" t="s">
        <v>2600</v>
      </c>
      <c r="G256" s="21" t="s">
        <v>22844</v>
      </c>
      <c r="H256" s="21" t="s">
        <v>25619</v>
      </c>
    </row>
    <row r="257" customFormat="false" ht="15" hidden="false" customHeight="false" outlineLevel="0" collapsed="false">
      <c r="B257" s="19" t="s">
        <v>25643</v>
      </c>
      <c r="C257" s="20" t="n">
        <f aca="false">ROUND(1.38/FX,2)</f>
        <v>0.19</v>
      </c>
      <c r="D257" s="21" t="s">
        <v>13732</v>
      </c>
      <c r="E257" s="21" t="s">
        <v>734</v>
      </c>
      <c r="F257" s="21" t="s">
        <v>2651</v>
      </c>
      <c r="G257" s="21" t="s">
        <v>22844</v>
      </c>
      <c r="H257" s="21" t="s">
        <v>25619</v>
      </c>
    </row>
    <row r="258" customFormat="false" ht="15" hidden="false" customHeight="false" outlineLevel="0" collapsed="false">
      <c r="B258" s="19" t="s">
        <v>25644</v>
      </c>
      <c r="C258" s="20" t="n">
        <f aca="false">ROUND(1.46/FX,2)</f>
        <v>0.2</v>
      </c>
      <c r="D258" s="21" t="s">
        <v>13732</v>
      </c>
      <c r="E258" s="21" t="s">
        <v>734</v>
      </c>
      <c r="F258" s="21" t="s">
        <v>2701</v>
      </c>
      <c r="G258" s="21" t="s">
        <v>22844</v>
      </c>
      <c r="H258" s="21" t="s">
        <v>25619</v>
      </c>
    </row>
    <row r="259" customFormat="false" ht="15" hidden="false" customHeight="false" outlineLevel="0" collapsed="false">
      <c r="B259" s="19" t="s">
        <v>25645</v>
      </c>
      <c r="C259" s="20" t="n">
        <f aca="false">ROUND(1.58/FX,2)</f>
        <v>0.22</v>
      </c>
      <c r="D259" s="21" t="s">
        <v>13732</v>
      </c>
      <c r="E259" s="21" t="s">
        <v>734</v>
      </c>
      <c r="F259" s="21" t="s">
        <v>2751</v>
      </c>
      <c r="G259" s="21" t="s">
        <v>22844</v>
      </c>
      <c r="H259" s="21" t="s">
        <v>25619</v>
      </c>
    </row>
    <row r="260" customFormat="false" ht="15" hidden="false" customHeight="false" outlineLevel="0" collapsed="false">
      <c r="B260" s="19" t="s">
        <v>25646</v>
      </c>
      <c r="C260" s="20" t="n">
        <f aca="false">ROUND(1.7/FX,2)</f>
        <v>0.24</v>
      </c>
      <c r="D260" s="21" t="s">
        <v>13732</v>
      </c>
      <c r="E260" s="21" t="s">
        <v>734</v>
      </c>
      <c r="F260" s="21" t="s">
        <v>2801</v>
      </c>
      <c r="G260" s="21" t="s">
        <v>22844</v>
      </c>
      <c r="H260" s="21" t="s">
        <v>25619</v>
      </c>
    </row>
    <row r="261" customFormat="false" ht="15" hidden="false" customHeight="false" outlineLevel="0" collapsed="false">
      <c r="B261" s="19" t="s">
        <v>25647</v>
      </c>
      <c r="C261" s="20" t="n">
        <f aca="false">ROUND(1.81/FX,2)</f>
        <v>0.25</v>
      </c>
      <c r="D261" s="21" t="s">
        <v>13732</v>
      </c>
      <c r="E261" s="21" t="s">
        <v>734</v>
      </c>
      <c r="F261" s="21" t="s">
        <v>2851</v>
      </c>
      <c r="G261" s="21" t="s">
        <v>22844</v>
      </c>
      <c r="H261" s="21" t="s">
        <v>25619</v>
      </c>
    </row>
    <row r="262" customFormat="false" ht="15" hidden="false" customHeight="false" outlineLevel="0" collapsed="false">
      <c r="B262" s="19" t="s">
        <v>25648</v>
      </c>
      <c r="C262" s="20" t="n">
        <f aca="false">ROUND(1.44/FX,2)</f>
        <v>0.2</v>
      </c>
      <c r="D262" s="21" t="s">
        <v>13751</v>
      </c>
      <c r="E262" s="21" t="s">
        <v>734</v>
      </c>
      <c r="F262" s="21" t="s">
        <v>3833</v>
      </c>
      <c r="G262" s="21" t="s">
        <v>22844</v>
      </c>
      <c r="H262" s="21" t="s">
        <v>25627</v>
      </c>
    </row>
    <row r="263" customFormat="false" ht="15" hidden="false" customHeight="false" outlineLevel="0" collapsed="false">
      <c r="B263" s="19" t="s">
        <v>25649</v>
      </c>
      <c r="C263" s="20" t="n">
        <f aca="false">ROUND(1.48/FX,2)</f>
        <v>0.21</v>
      </c>
      <c r="D263" s="21" t="s">
        <v>13751</v>
      </c>
      <c r="E263" s="21" t="s">
        <v>734</v>
      </c>
      <c r="F263" s="21" t="s">
        <v>3247</v>
      </c>
      <c r="G263" s="21" t="s">
        <v>22844</v>
      </c>
      <c r="H263" s="21" t="s">
        <v>25627</v>
      </c>
    </row>
    <row r="264" customFormat="false" ht="15" hidden="false" customHeight="false" outlineLevel="0" collapsed="false">
      <c r="B264" s="19" t="s">
        <v>25650</v>
      </c>
      <c r="C264" s="20" t="n">
        <f aca="false">ROUND(1.06/FX,2)</f>
        <v>0.15</v>
      </c>
      <c r="D264" s="21" t="s">
        <v>13739</v>
      </c>
      <c r="E264" s="21" t="s">
        <v>734</v>
      </c>
      <c r="F264" s="21" t="s">
        <v>3317</v>
      </c>
      <c r="G264" s="21" t="s">
        <v>22844</v>
      </c>
      <c r="H264" s="21" t="s">
        <v>25627</v>
      </c>
    </row>
    <row r="265" customFormat="false" ht="15" hidden="false" customHeight="false" outlineLevel="0" collapsed="false">
      <c r="B265" s="19" t="s">
        <v>25651</v>
      </c>
      <c r="C265" s="20" t="n">
        <f aca="false">ROUND(1.16/FX,2)</f>
        <v>0.16</v>
      </c>
      <c r="D265" s="21" t="s">
        <v>13739</v>
      </c>
      <c r="E265" s="21" t="s">
        <v>734</v>
      </c>
      <c r="F265" s="21" t="s">
        <v>784</v>
      </c>
      <c r="G265" s="21" t="s">
        <v>22844</v>
      </c>
      <c r="H265" s="21" t="s">
        <v>25627</v>
      </c>
    </row>
    <row r="266" customFormat="false" ht="15" hidden="false" customHeight="false" outlineLevel="0" collapsed="false">
      <c r="B266" s="19" t="s">
        <v>25652</v>
      </c>
      <c r="C266" s="20" t="n">
        <f aca="false">ROUND(1.27/FX,2)</f>
        <v>0.18</v>
      </c>
      <c r="D266" s="21" t="s">
        <v>13739</v>
      </c>
      <c r="E266" s="21" t="s">
        <v>734</v>
      </c>
      <c r="F266" s="21" t="s">
        <v>3328</v>
      </c>
      <c r="G266" s="21" t="s">
        <v>22844</v>
      </c>
      <c r="H266" s="21" t="s">
        <v>25627</v>
      </c>
    </row>
    <row r="267" customFormat="false" ht="15" hidden="false" customHeight="false" outlineLevel="0" collapsed="false">
      <c r="B267" s="19" t="s">
        <v>25653</v>
      </c>
      <c r="C267" s="20" t="n">
        <f aca="false">ROUND(1.36/FX,2)</f>
        <v>0.19</v>
      </c>
      <c r="D267" s="21" t="s">
        <v>13739</v>
      </c>
      <c r="E267" s="21" t="s">
        <v>734</v>
      </c>
      <c r="F267" s="21" t="s">
        <v>6246</v>
      </c>
      <c r="G267" s="21" t="s">
        <v>22844</v>
      </c>
      <c r="H267" s="21" t="s">
        <v>25627</v>
      </c>
    </row>
    <row r="268" customFormat="false" ht="15" hidden="false" customHeight="false" outlineLevel="0" collapsed="false">
      <c r="B268" s="19" t="s">
        <v>25654</v>
      </c>
      <c r="C268" s="20" t="n">
        <f aca="false">ROUND(1.49/FX,2)</f>
        <v>0.21</v>
      </c>
      <c r="D268" s="21" t="s">
        <v>13739</v>
      </c>
      <c r="E268" s="21" t="s">
        <v>734</v>
      </c>
      <c r="F268" s="21" t="s">
        <v>7358</v>
      </c>
      <c r="G268" s="21" t="s">
        <v>22844</v>
      </c>
      <c r="H268" s="21" t="s">
        <v>25627</v>
      </c>
    </row>
    <row r="269" customFormat="false" ht="15" hidden="false" customHeight="false" outlineLevel="0" collapsed="false">
      <c r="B269" s="19" t="s">
        <v>25655</v>
      </c>
      <c r="C269" s="20" t="n">
        <f aca="false">ROUND(1.56/FX,2)</f>
        <v>0.22</v>
      </c>
      <c r="D269" s="21" t="s">
        <v>13739</v>
      </c>
      <c r="E269" s="21" t="s">
        <v>734</v>
      </c>
      <c r="F269" s="21" t="s">
        <v>2911</v>
      </c>
      <c r="G269" s="21" t="s">
        <v>22844</v>
      </c>
      <c r="H269" s="21" t="s">
        <v>25627</v>
      </c>
    </row>
    <row r="270" customFormat="false" ht="15" hidden="false" customHeight="false" outlineLevel="0" collapsed="false">
      <c r="B270" s="19" t="s">
        <v>25656</v>
      </c>
      <c r="C270" s="20" t="n">
        <f aca="false">ROUND(1.74/FX,2)</f>
        <v>0.24</v>
      </c>
      <c r="D270" s="21" t="s">
        <v>13739</v>
      </c>
      <c r="E270" s="21" t="s">
        <v>734</v>
      </c>
      <c r="F270" s="21" t="s">
        <v>7275</v>
      </c>
      <c r="G270" s="21" t="s">
        <v>22844</v>
      </c>
      <c r="H270" s="21" t="s">
        <v>25619</v>
      </c>
    </row>
    <row r="271" customFormat="false" ht="15" hidden="false" customHeight="false" outlineLevel="0" collapsed="false">
      <c r="B271" s="19" t="s">
        <v>25657</v>
      </c>
      <c r="C271" s="20" t="n">
        <f aca="false">ROUND(2/FX,2)</f>
        <v>0.28</v>
      </c>
      <c r="D271" s="21" t="s">
        <v>13739</v>
      </c>
      <c r="E271" s="21" t="s">
        <v>734</v>
      </c>
      <c r="F271" s="21" t="s">
        <v>2961</v>
      </c>
      <c r="G271" s="21" t="s">
        <v>22844</v>
      </c>
      <c r="H271" s="21" t="s">
        <v>25619</v>
      </c>
    </row>
    <row r="272" customFormat="false" ht="15" hidden="false" customHeight="false" outlineLevel="0" collapsed="false">
      <c r="B272" s="19" t="s">
        <v>25658</v>
      </c>
      <c r="C272" s="20" t="n">
        <f aca="false">ROUND(1.05/FX,2)</f>
        <v>0.15</v>
      </c>
      <c r="D272" s="21" t="s">
        <v>13732</v>
      </c>
      <c r="E272" s="21" t="s">
        <v>734</v>
      </c>
      <c r="F272" s="21" t="s">
        <v>13817</v>
      </c>
      <c r="G272" s="21" t="s">
        <v>22844</v>
      </c>
      <c r="H272" s="21" t="s">
        <v>25619</v>
      </c>
    </row>
    <row r="273" customFormat="false" ht="15" hidden="false" customHeight="false" outlineLevel="0" collapsed="false">
      <c r="B273" s="19" t="s">
        <v>25659</v>
      </c>
      <c r="C273" s="20" t="n">
        <f aca="false">ROUND(1.09/FX,2)</f>
        <v>0.15</v>
      </c>
      <c r="D273" s="21" t="s">
        <v>13732</v>
      </c>
      <c r="E273" s="21" t="s">
        <v>734</v>
      </c>
      <c r="F273" s="21" t="s">
        <v>3011</v>
      </c>
      <c r="G273" s="21" t="s">
        <v>22844</v>
      </c>
      <c r="H273" s="21" t="s">
        <v>25619</v>
      </c>
    </row>
    <row r="274" customFormat="false" ht="15" hidden="false" customHeight="false" outlineLevel="0" collapsed="false">
      <c r="B274" s="19" t="s">
        <v>25660</v>
      </c>
      <c r="C274" s="20" t="n">
        <f aca="false">ROUND(1.14/FX,2)</f>
        <v>0.16</v>
      </c>
      <c r="D274" s="21" t="s">
        <v>13732</v>
      </c>
      <c r="E274" s="21" t="s">
        <v>734</v>
      </c>
      <c r="F274" s="21" t="s">
        <v>7396</v>
      </c>
      <c r="G274" s="21" t="s">
        <v>22844</v>
      </c>
      <c r="H274" s="21" t="s">
        <v>25619</v>
      </c>
    </row>
    <row r="275" customFormat="false" ht="15" hidden="false" customHeight="false" outlineLevel="0" collapsed="false">
      <c r="B275" s="19" t="s">
        <v>25661</v>
      </c>
      <c r="C275" s="20" t="n">
        <f aca="false">ROUND(1.2/FX,2)</f>
        <v>0.17</v>
      </c>
      <c r="D275" s="21" t="s">
        <v>13732</v>
      </c>
      <c r="E275" s="21" t="s">
        <v>734</v>
      </c>
      <c r="F275" s="21" t="s">
        <v>3061</v>
      </c>
      <c r="G275" s="21" t="s">
        <v>22844</v>
      </c>
      <c r="H275" s="21" t="s">
        <v>25619</v>
      </c>
    </row>
    <row r="276" customFormat="false" ht="15" hidden="false" customHeight="false" outlineLevel="0" collapsed="false">
      <c r="B276" s="19" t="s">
        <v>25662</v>
      </c>
      <c r="C276" s="20" t="n">
        <f aca="false">ROUND(1.26/FX,2)</f>
        <v>0.18</v>
      </c>
      <c r="D276" s="21" t="s">
        <v>13732</v>
      </c>
      <c r="E276" s="21" t="s">
        <v>734</v>
      </c>
      <c r="F276" s="21" t="s">
        <v>3111</v>
      </c>
      <c r="G276" s="21" t="s">
        <v>22844</v>
      </c>
      <c r="H276" s="21" t="s">
        <v>25619</v>
      </c>
    </row>
    <row r="277" customFormat="false" ht="15" hidden="false" customHeight="false" outlineLevel="0" collapsed="false">
      <c r="B277" s="19" t="s">
        <v>25663</v>
      </c>
      <c r="C277" s="20" t="n">
        <f aca="false">ROUND(1.9/FX,2)</f>
        <v>0.26</v>
      </c>
      <c r="D277" s="21" t="s">
        <v>13732</v>
      </c>
      <c r="E277" s="21" t="s">
        <v>734</v>
      </c>
      <c r="F277" s="21" t="s">
        <v>2600</v>
      </c>
      <c r="G277" s="21" t="s">
        <v>25427</v>
      </c>
      <c r="H277" s="21" t="s">
        <v>25619</v>
      </c>
    </row>
    <row r="278" customFormat="false" ht="15" hidden="false" customHeight="false" outlineLevel="0" collapsed="false">
      <c r="B278" s="19" t="s">
        <v>25664</v>
      </c>
      <c r="C278" s="20" t="n">
        <f aca="false">ROUND(2.02/FX,2)</f>
        <v>0.28</v>
      </c>
      <c r="D278" s="21" t="s">
        <v>13732</v>
      </c>
      <c r="E278" s="21" t="s">
        <v>734</v>
      </c>
      <c r="F278" s="21" t="s">
        <v>2651</v>
      </c>
      <c r="G278" s="21" t="s">
        <v>25427</v>
      </c>
      <c r="H278" s="21" t="s">
        <v>25619</v>
      </c>
    </row>
    <row r="279" customFormat="false" ht="15" hidden="false" customHeight="false" outlineLevel="0" collapsed="false">
      <c r="B279" s="19" t="s">
        <v>25665</v>
      </c>
      <c r="C279" s="20" t="n">
        <f aca="false">ROUND(2.15/FX,2)</f>
        <v>0.3</v>
      </c>
      <c r="D279" s="21" t="s">
        <v>13732</v>
      </c>
      <c r="E279" s="21" t="s">
        <v>734</v>
      </c>
      <c r="F279" s="21" t="s">
        <v>2701</v>
      </c>
      <c r="G279" s="21" t="s">
        <v>25427</v>
      </c>
      <c r="H279" s="21" t="s">
        <v>25619</v>
      </c>
    </row>
    <row r="280" customFormat="false" ht="15" hidden="false" customHeight="false" outlineLevel="0" collapsed="false">
      <c r="B280" s="19" t="s">
        <v>25666</v>
      </c>
      <c r="C280" s="20" t="n">
        <f aca="false">ROUND(2.39/FX,2)</f>
        <v>0.33</v>
      </c>
      <c r="D280" s="21" t="s">
        <v>13732</v>
      </c>
      <c r="E280" s="21" t="s">
        <v>734</v>
      </c>
      <c r="F280" s="21" t="s">
        <v>2751</v>
      </c>
      <c r="G280" s="21" t="s">
        <v>25427</v>
      </c>
      <c r="H280" s="21" t="s">
        <v>25619</v>
      </c>
    </row>
    <row r="281" customFormat="false" ht="15" hidden="false" customHeight="false" outlineLevel="0" collapsed="false">
      <c r="B281" s="19" t="s">
        <v>25667</v>
      </c>
      <c r="C281" s="20" t="n">
        <f aca="false">ROUND(2.49/FX,2)</f>
        <v>0.35</v>
      </c>
      <c r="D281" s="21" t="s">
        <v>13732</v>
      </c>
      <c r="E281" s="21" t="s">
        <v>734</v>
      </c>
      <c r="F281" s="21" t="s">
        <v>2801</v>
      </c>
      <c r="G281" s="21" t="s">
        <v>25427</v>
      </c>
      <c r="H281" s="21" t="s">
        <v>25619</v>
      </c>
    </row>
    <row r="282" customFormat="false" ht="15" hidden="false" customHeight="false" outlineLevel="0" collapsed="false">
      <c r="B282" s="19" t="s">
        <v>25668</v>
      </c>
      <c r="C282" s="20" t="n">
        <f aca="false">ROUND(2.69/FX,2)</f>
        <v>0.37</v>
      </c>
      <c r="D282" s="21" t="s">
        <v>13732</v>
      </c>
      <c r="E282" s="21" t="s">
        <v>734</v>
      </c>
      <c r="F282" s="21" t="s">
        <v>2851</v>
      </c>
      <c r="G282" s="21" t="s">
        <v>25427</v>
      </c>
      <c r="H282" s="21" t="s">
        <v>25619</v>
      </c>
    </row>
    <row r="283" customFormat="false" ht="15" hidden="false" customHeight="false" outlineLevel="0" collapsed="false">
      <c r="B283" s="19" t="s">
        <v>25669</v>
      </c>
      <c r="C283" s="20" t="n">
        <f aca="false">ROUND(1.53/FX,2)</f>
        <v>0.21</v>
      </c>
      <c r="D283" s="21" t="s">
        <v>13739</v>
      </c>
      <c r="E283" s="21" t="s">
        <v>734</v>
      </c>
      <c r="F283" s="21" t="s">
        <v>784</v>
      </c>
      <c r="G283" s="21" t="s">
        <v>25427</v>
      </c>
      <c r="H283" s="21" t="s">
        <v>25627</v>
      </c>
    </row>
    <row r="284" customFormat="false" ht="15" hidden="false" customHeight="false" outlineLevel="0" collapsed="false">
      <c r="B284" s="19" t="s">
        <v>25670</v>
      </c>
      <c r="C284" s="20" t="n">
        <f aca="false">ROUND(1.67/FX,2)</f>
        <v>0.23</v>
      </c>
      <c r="D284" s="21" t="s">
        <v>13739</v>
      </c>
      <c r="E284" s="21" t="s">
        <v>734</v>
      </c>
      <c r="F284" s="21" t="s">
        <v>3328</v>
      </c>
      <c r="G284" s="21" t="s">
        <v>25427</v>
      </c>
      <c r="H284" s="21" t="s">
        <v>25627</v>
      </c>
    </row>
    <row r="285" customFormat="false" ht="15" hidden="false" customHeight="false" outlineLevel="0" collapsed="false">
      <c r="B285" s="19" t="s">
        <v>25671</v>
      </c>
      <c r="C285" s="20" t="n">
        <f aca="false">ROUND(1.8/FX,2)</f>
        <v>0.25</v>
      </c>
      <c r="D285" s="21" t="s">
        <v>13739</v>
      </c>
      <c r="E285" s="21" t="s">
        <v>734</v>
      </c>
      <c r="F285" s="21" t="s">
        <v>6246</v>
      </c>
      <c r="G285" s="21" t="s">
        <v>25427</v>
      </c>
      <c r="H285" s="21" t="s">
        <v>25627</v>
      </c>
    </row>
    <row r="286" customFormat="false" ht="15" hidden="false" customHeight="false" outlineLevel="0" collapsed="false">
      <c r="B286" s="19" t="s">
        <v>25672</v>
      </c>
      <c r="C286" s="20" t="n">
        <f aca="false">ROUND(1.95/FX,2)</f>
        <v>0.27</v>
      </c>
      <c r="D286" s="21" t="s">
        <v>13739</v>
      </c>
      <c r="E286" s="21" t="s">
        <v>734</v>
      </c>
      <c r="F286" s="21" t="s">
        <v>7358</v>
      </c>
      <c r="G286" s="21" t="s">
        <v>25427</v>
      </c>
      <c r="H286" s="21" t="s">
        <v>25627</v>
      </c>
    </row>
    <row r="287" customFormat="false" ht="15" hidden="false" customHeight="false" outlineLevel="0" collapsed="false">
      <c r="B287" s="19" t="s">
        <v>25673</v>
      </c>
      <c r="C287" s="20" t="n">
        <f aca="false">ROUND(1.04/FX,2)</f>
        <v>0.14</v>
      </c>
      <c r="D287" s="21" t="s">
        <v>13732</v>
      </c>
      <c r="E287" s="21" t="s">
        <v>734</v>
      </c>
      <c r="F287" s="21" t="s">
        <v>2911</v>
      </c>
      <c r="G287" s="21" t="s">
        <v>25427</v>
      </c>
      <c r="H287" s="21" t="s">
        <v>25627</v>
      </c>
    </row>
    <row r="288" customFormat="false" ht="15" hidden="false" customHeight="false" outlineLevel="0" collapsed="false">
      <c r="B288" s="19" t="s">
        <v>25674</v>
      </c>
      <c r="C288" s="20" t="n">
        <f aca="false">ROUND(1.12/FX,2)</f>
        <v>0.16</v>
      </c>
      <c r="D288" s="21" t="s">
        <v>13732</v>
      </c>
      <c r="E288" s="21" t="s">
        <v>734</v>
      </c>
      <c r="F288" s="21" t="s">
        <v>7275</v>
      </c>
      <c r="G288" s="21" t="s">
        <v>25427</v>
      </c>
      <c r="H288" s="21" t="s">
        <v>25627</v>
      </c>
    </row>
    <row r="289" customFormat="false" ht="15" hidden="false" customHeight="false" outlineLevel="0" collapsed="false">
      <c r="B289" s="19" t="s">
        <v>25675</v>
      </c>
      <c r="C289" s="20" t="n">
        <f aca="false">ROUND(1.21/FX,2)</f>
        <v>0.17</v>
      </c>
      <c r="D289" s="21" t="s">
        <v>13732</v>
      </c>
      <c r="E289" s="21" t="s">
        <v>734</v>
      </c>
      <c r="F289" s="21" t="s">
        <v>2961</v>
      </c>
      <c r="G289" s="21" t="s">
        <v>25427</v>
      </c>
      <c r="H289" s="21" t="s">
        <v>25619</v>
      </c>
    </row>
    <row r="290" customFormat="false" ht="15" hidden="false" customHeight="false" outlineLevel="0" collapsed="false">
      <c r="B290" s="19" t="s">
        <v>25676</v>
      </c>
      <c r="C290" s="20" t="n">
        <f aca="false">ROUND(1.28/FX,2)</f>
        <v>0.18</v>
      </c>
      <c r="D290" s="21" t="s">
        <v>13732</v>
      </c>
      <c r="E290" s="21" t="s">
        <v>734</v>
      </c>
      <c r="F290" s="21" t="s">
        <v>13817</v>
      </c>
      <c r="G290" s="21" t="s">
        <v>25427</v>
      </c>
      <c r="H290" s="21" t="s">
        <v>25619</v>
      </c>
    </row>
    <row r="291" customFormat="false" ht="15" hidden="false" customHeight="false" outlineLevel="0" collapsed="false">
      <c r="B291" s="19" t="s">
        <v>25677</v>
      </c>
      <c r="C291" s="20" t="n">
        <f aca="false">ROUND(1.36/FX,2)</f>
        <v>0.19</v>
      </c>
      <c r="D291" s="21" t="s">
        <v>13732</v>
      </c>
      <c r="E291" s="21" t="s">
        <v>734</v>
      </c>
      <c r="F291" s="21" t="s">
        <v>3011</v>
      </c>
      <c r="G291" s="21" t="s">
        <v>25427</v>
      </c>
      <c r="H291" s="21" t="s">
        <v>25619</v>
      </c>
    </row>
    <row r="292" customFormat="false" ht="15" hidden="false" customHeight="false" outlineLevel="0" collapsed="false">
      <c r="B292" s="19" t="s">
        <v>25678</v>
      </c>
      <c r="C292" s="20" t="n">
        <f aca="false">ROUND(1.42/FX,2)</f>
        <v>0.2</v>
      </c>
      <c r="D292" s="21" t="s">
        <v>13732</v>
      </c>
      <c r="E292" s="21" t="s">
        <v>734</v>
      </c>
      <c r="F292" s="21" t="s">
        <v>7396</v>
      </c>
      <c r="G292" s="21" t="s">
        <v>25427</v>
      </c>
      <c r="H292" s="21" t="s">
        <v>25619</v>
      </c>
    </row>
    <row r="293" customFormat="false" ht="15" hidden="false" customHeight="false" outlineLevel="0" collapsed="false">
      <c r="B293" s="19" t="s">
        <v>25679</v>
      </c>
      <c r="C293" s="20" t="n">
        <f aca="false">ROUND(1.53/FX,2)</f>
        <v>0.21</v>
      </c>
      <c r="D293" s="21" t="s">
        <v>13732</v>
      </c>
      <c r="E293" s="21" t="s">
        <v>734</v>
      </c>
      <c r="F293" s="21" t="s">
        <v>3061</v>
      </c>
      <c r="G293" s="21" t="s">
        <v>25427</v>
      </c>
      <c r="H293" s="21" t="s">
        <v>25619</v>
      </c>
    </row>
    <row r="294" customFormat="false" ht="15" hidden="false" customHeight="false" outlineLevel="0" collapsed="false">
      <c r="B294" s="19" t="s">
        <v>25680</v>
      </c>
      <c r="C294" s="20" t="n">
        <f aca="false">ROUND(1.79/FX,2)</f>
        <v>0.25</v>
      </c>
      <c r="D294" s="21" t="s">
        <v>13732</v>
      </c>
      <c r="E294" s="21" t="s">
        <v>734</v>
      </c>
      <c r="F294" s="21" t="s">
        <v>3111</v>
      </c>
      <c r="G294" s="21" t="s">
        <v>25427</v>
      </c>
      <c r="H294" s="21" t="s">
        <v>25619</v>
      </c>
    </row>
    <row r="295" customFormat="false" ht="15" hidden="false" customHeight="false" outlineLevel="0" collapsed="false">
      <c r="B295" s="19" t="s">
        <v>25681</v>
      </c>
      <c r="C295" s="20" t="n">
        <f aca="false">ROUND(2.3/FX,2)</f>
        <v>0.32</v>
      </c>
      <c r="D295" s="21" t="s">
        <v>13732</v>
      </c>
      <c r="E295" s="21" t="s">
        <v>734</v>
      </c>
      <c r="F295" s="21" t="s">
        <v>2600</v>
      </c>
      <c r="G295" s="21" t="s">
        <v>25439</v>
      </c>
      <c r="H295" s="21" t="s">
        <v>25619</v>
      </c>
    </row>
    <row r="296" customFormat="false" ht="15" hidden="false" customHeight="false" outlineLevel="0" collapsed="false">
      <c r="B296" s="19" t="s">
        <v>25682</v>
      </c>
      <c r="C296" s="20" t="n">
        <f aca="false">ROUND(2.49/FX,2)</f>
        <v>0.35</v>
      </c>
      <c r="D296" s="21" t="s">
        <v>13732</v>
      </c>
      <c r="E296" s="21" t="s">
        <v>734</v>
      </c>
      <c r="F296" s="21" t="s">
        <v>2651</v>
      </c>
      <c r="G296" s="21" t="s">
        <v>25439</v>
      </c>
      <c r="H296" s="21" t="s">
        <v>25619</v>
      </c>
    </row>
    <row r="297" customFormat="false" ht="15" hidden="false" customHeight="false" outlineLevel="0" collapsed="false">
      <c r="B297" s="19" t="s">
        <v>25683</v>
      </c>
      <c r="C297" s="20" t="n">
        <f aca="false">ROUND(2.71/FX,2)</f>
        <v>0.38</v>
      </c>
      <c r="D297" s="21" t="s">
        <v>13732</v>
      </c>
      <c r="E297" s="21" t="s">
        <v>734</v>
      </c>
      <c r="F297" s="21" t="s">
        <v>2701</v>
      </c>
      <c r="G297" s="21" t="s">
        <v>25439</v>
      </c>
      <c r="H297" s="21" t="s">
        <v>25619</v>
      </c>
    </row>
    <row r="298" customFormat="false" ht="15" hidden="false" customHeight="false" outlineLevel="0" collapsed="false">
      <c r="B298" s="19" t="s">
        <v>25684</v>
      </c>
      <c r="C298" s="20" t="n">
        <f aca="false">ROUND(2.93/FX,2)</f>
        <v>0.41</v>
      </c>
      <c r="D298" s="21" t="s">
        <v>13732</v>
      </c>
      <c r="E298" s="21" t="s">
        <v>734</v>
      </c>
      <c r="F298" s="21" t="s">
        <v>2751</v>
      </c>
      <c r="G298" s="21" t="s">
        <v>25439</v>
      </c>
      <c r="H298" s="21" t="s">
        <v>25619</v>
      </c>
    </row>
    <row r="299" customFormat="false" ht="15" hidden="false" customHeight="false" outlineLevel="0" collapsed="false">
      <c r="B299" s="19" t="s">
        <v>25685</v>
      </c>
      <c r="C299" s="20" t="n">
        <f aca="false">ROUND(3.06/FX,2)</f>
        <v>0.43</v>
      </c>
      <c r="D299" s="21" t="s">
        <v>13732</v>
      </c>
      <c r="E299" s="21" t="s">
        <v>734</v>
      </c>
      <c r="F299" s="21" t="s">
        <v>2801</v>
      </c>
      <c r="G299" s="21" t="s">
        <v>25439</v>
      </c>
      <c r="H299" s="21" t="s">
        <v>25619</v>
      </c>
    </row>
    <row r="300" customFormat="false" ht="15" hidden="false" customHeight="false" outlineLevel="0" collapsed="false">
      <c r="B300" s="19" t="s">
        <v>25686</v>
      </c>
      <c r="C300" s="20" t="n">
        <f aca="false">ROUND(3.42/FX,2)</f>
        <v>0.48</v>
      </c>
      <c r="D300" s="21" t="s">
        <v>13732</v>
      </c>
      <c r="E300" s="21" t="s">
        <v>734</v>
      </c>
      <c r="F300" s="21" t="s">
        <v>2851</v>
      </c>
      <c r="G300" s="21" t="s">
        <v>25439</v>
      </c>
      <c r="H300" s="21" t="s">
        <v>25619</v>
      </c>
    </row>
    <row r="301" customFormat="false" ht="15" hidden="false" customHeight="false" outlineLevel="0" collapsed="false">
      <c r="B301" s="19" t="s">
        <v>25687</v>
      </c>
      <c r="C301" s="20" t="n">
        <f aca="false">ROUND(1.01/FX,2)</f>
        <v>0.14</v>
      </c>
      <c r="D301" s="21" t="s">
        <v>13732</v>
      </c>
      <c r="E301" s="21" t="s">
        <v>734</v>
      </c>
      <c r="F301" s="21" t="s">
        <v>784</v>
      </c>
      <c r="G301" s="21" t="s">
        <v>25439</v>
      </c>
      <c r="H301" s="21" t="s">
        <v>25627</v>
      </c>
    </row>
    <row r="302" customFormat="false" ht="15" hidden="false" customHeight="false" outlineLevel="0" collapsed="false">
      <c r="B302" s="19" t="s">
        <v>25688</v>
      </c>
      <c r="C302" s="20" t="n">
        <f aca="false">ROUND(1.08/FX,2)</f>
        <v>0.15</v>
      </c>
      <c r="D302" s="21" t="s">
        <v>13732</v>
      </c>
      <c r="E302" s="21" t="s">
        <v>734</v>
      </c>
      <c r="F302" s="21" t="s">
        <v>3328</v>
      </c>
      <c r="G302" s="21" t="s">
        <v>25439</v>
      </c>
      <c r="H302" s="21" t="s">
        <v>25627</v>
      </c>
    </row>
    <row r="303" customFormat="false" ht="15" hidden="false" customHeight="false" outlineLevel="0" collapsed="false">
      <c r="B303" s="19" t="s">
        <v>25689</v>
      </c>
      <c r="C303" s="20" t="n">
        <f aca="false">ROUND(1.14/FX,2)</f>
        <v>0.16</v>
      </c>
      <c r="D303" s="21" t="s">
        <v>13732</v>
      </c>
      <c r="E303" s="21" t="s">
        <v>734</v>
      </c>
      <c r="F303" s="21" t="s">
        <v>6246</v>
      </c>
      <c r="G303" s="21" t="s">
        <v>25439</v>
      </c>
      <c r="H303" s="21" t="s">
        <v>25627</v>
      </c>
    </row>
    <row r="304" customFormat="false" ht="15" hidden="false" customHeight="false" outlineLevel="0" collapsed="false">
      <c r="B304" s="19" t="s">
        <v>25690</v>
      </c>
      <c r="C304" s="20" t="n">
        <f aca="false">ROUND(1.25/FX,2)</f>
        <v>0.17</v>
      </c>
      <c r="D304" s="21" t="s">
        <v>13732</v>
      </c>
      <c r="E304" s="21" t="s">
        <v>734</v>
      </c>
      <c r="F304" s="21" t="s">
        <v>7358</v>
      </c>
      <c r="G304" s="21" t="s">
        <v>25439</v>
      </c>
      <c r="H304" s="21" t="s">
        <v>25627</v>
      </c>
    </row>
    <row r="305" customFormat="false" ht="15" hidden="false" customHeight="false" outlineLevel="0" collapsed="false">
      <c r="B305" s="19" t="s">
        <v>25691</v>
      </c>
      <c r="C305" s="20" t="n">
        <f aca="false">ROUND(1.35/FX,2)</f>
        <v>0.19</v>
      </c>
      <c r="D305" s="21" t="s">
        <v>13732</v>
      </c>
      <c r="E305" s="21" t="s">
        <v>734</v>
      </c>
      <c r="F305" s="21" t="s">
        <v>2911</v>
      </c>
      <c r="G305" s="21" t="s">
        <v>25439</v>
      </c>
      <c r="H305" s="21" t="s">
        <v>25627</v>
      </c>
    </row>
    <row r="306" customFormat="false" ht="15" hidden="false" customHeight="false" outlineLevel="0" collapsed="false">
      <c r="B306" s="19" t="s">
        <v>25692</v>
      </c>
      <c r="C306" s="20" t="n">
        <f aca="false">ROUND(1.42/FX,2)</f>
        <v>0.2</v>
      </c>
      <c r="D306" s="21" t="s">
        <v>13732</v>
      </c>
      <c r="E306" s="21" t="s">
        <v>734</v>
      </c>
      <c r="F306" s="21" t="s">
        <v>7275</v>
      </c>
      <c r="G306" s="21" t="s">
        <v>25439</v>
      </c>
      <c r="H306" s="21" t="s">
        <v>25627</v>
      </c>
    </row>
    <row r="307" customFormat="false" ht="15" hidden="false" customHeight="false" outlineLevel="0" collapsed="false">
      <c r="B307" s="19" t="s">
        <v>25693</v>
      </c>
      <c r="C307" s="20" t="n">
        <f aca="false">ROUND(1.54/FX,2)</f>
        <v>0.21</v>
      </c>
      <c r="D307" s="21" t="s">
        <v>13732</v>
      </c>
      <c r="E307" s="21" t="s">
        <v>734</v>
      </c>
      <c r="F307" s="21" t="s">
        <v>2961</v>
      </c>
      <c r="G307" s="21" t="s">
        <v>25439</v>
      </c>
      <c r="H307" s="21" t="s">
        <v>25627</v>
      </c>
    </row>
    <row r="308" customFormat="false" ht="15" hidden="false" customHeight="false" outlineLevel="0" collapsed="false">
      <c r="B308" s="19" t="s">
        <v>25694</v>
      </c>
      <c r="C308" s="20" t="n">
        <f aca="false">ROUND(1.77/FX,2)</f>
        <v>0.25</v>
      </c>
      <c r="D308" s="21" t="s">
        <v>13732</v>
      </c>
      <c r="E308" s="21" t="s">
        <v>734</v>
      </c>
      <c r="F308" s="21" t="s">
        <v>13817</v>
      </c>
      <c r="G308" s="21" t="s">
        <v>25439</v>
      </c>
      <c r="H308" s="21" t="s">
        <v>25619</v>
      </c>
    </row>
    <row r="309" customFormat="false" ht="15" hidden="false" customHeight="false" outlineLevel="0" collapsed="false">
      <c r="B309" s="19" t="s">
        <v>25695</v>
      </c>
      <c r="C309" s="20" t="n">
        <f aca="false">ROUND(1.77/FX,2)</f>
        <v>0.25</v>
      </c>
      <c r="D309" s="21" t="s">
        <v>13732</v>
      </c>
      <c r="E309" s="21" t="s">
        <v>734</v>
      </c>
      <c r="F309" s="21" t="s">
        <v>3011</v>
      </c>
      <c r="G309" s="21" t="s">
        <v>25439</v>
      </c>
      <c r="H309" s="21" t="s">
        <v>25619</v>
      </c>
    </row>
    <row r="310" customFormat="false" ht="15" hidden="false" customHeight="false" outlineLevel="0" collapsed="false">
      <c r="B310" s="19" t="s">
        <v>25696</v>
      </c>
      <c r="C310" s="20" t="n">
        <f aca="false">ROUND(1.85/FX,2)</f>
        <v>0.26</v>
      </c>
      <c r="D310" s="21" t="s">
        <v>13732</v>
      </c>
      <c r="E310" s="21" t="s">
        <v>734</v>
      </c>
      <c r="F310" s="21" t="s">
        <v>7396</v>
      </c>
      <c r="G310" s="21" t="s">
        <v>25439</v>
      </c>
      <c r="H310" s="21" t="s">
        <v>25619</v>
      </c>
    </row>
    <row r="311" customFormat="false" ht="15" hidden="false" customHeight="false" outlineLevel="0" collapsed="false">
      <c r="B311" s="19" t="s">
        <v>25697</v>
      </c>
      <c r="C311" s="20" t="n">
        <f aca="false">ROUND(1.96/FX,2)</f>
        <v>0.27</v>
      </c>
      <c r="D311" s="21" t="s">
        <v>13732</v>
      </c>
      <c r="E311" s="21" t="s">
        <v>734</v>
      </c>
      <c r="F311" s="21" t="s">
        <v>3061</v>
      </c>
      <c r="G311" s="21" t="s">
        <v>25439</v>
      </c>
      <c r="H311" s="21" t="s">
        <v>25619</v>
      </c>
    </row>
    <row r="312" customFormat="false" ht="15" hidden="false" customHeight="false" outlineLevel="0" collapsed="false">
      <c r="B312" s="19" t="s">
        <v>25698</v>
      </c>
      <c r="C312" s="20" t="n">
        <f aca="false">ROUND(2.15/FX,2)</f>
        <v>0.3</v>
      </c>
      <c r="D312" s="21" t="s">
        <v>13732</v>
      </c>
      <c r="E312" s="21" t="s">
        <v>734</v>
      </c>
      <c r="F312" s="21" t="s">
        <v>11870</v>
      </c>
      <c r="G312" s="21" t="s">
        <v>25439</v>
      </c>
      <c r="H312" s="21" t="s">
        <v>25619</v>
      </c>
    </row>
    <row r="313" customFormat="false" ht="15" hidden="false" customHeight="false" outlineLevel="0" collapsed="false">
      <c r="B313" s="19" t="s">
        <v>25699</v>
      </c>
      <c r="C313" s="20" t="n">
        <f aca="false">ROUND(2.22/FX,2)</f>
        <v>0.31</v>
      </c>
      <c r="D313" s="21" t="s">
        <v>13732</v>
      </c>
      <c r="E313" s="21" t="s">
        <v>734</v>
      </c>
      <c r="F313" s="21" t="s">
        <v>3111</v>
      </c>
      <c r="G313" s="21" t="s">
        <v>25439</v>
      </c>
      <c r="H313" s="21" t="s">
        <v>25619</v>
      </c>
    </row>
    <row r="314" customFormat="false" ht="15" hidden="false" customHeight="false" outlineLevel="0" collapsed="false">
      <c r="B314" s="19" t="s">
        <v>25700</v>
      </c>
      <c r="C314" s="20" t="n">
        <f aca="false">ROUND(1.02/FX,2)</f>
        <v>0.14</v>
      </c>
      <c r="D314" s="21" t="s">
        <v>25536</v>
      </c>
      <c r="E314" s="21" t="s">
        <v>734</v>
      </c>
      <c r="F314" s="21" t="s">
        <v>707</v>
      </c>
      <c r="G314" s="21" t="s">
        <v>25460</v>
      </c>
      <c r="H314" s="21" t="s">
        <v>25627</v>
      </c>
    </row>
    <row r="315" customFormat="false" ht="15" hidden="false" customHeight="false" outlineLevel="0" collapsed="false">
      <c r="B315" s="19" t="s">
        <v>25701</v>
      </c>
      <c r="C315" s="20" t="n">
        <f aca="false">ROUND(1.02/FX,2)</f>
        <v>0.14</v>
      </c>
      <c r="D315" s="21" t="s">
        <v>25536</v>
      </c>
      <c r="E315" s="21" t="s">
        <v>734</v>
      </c>
      <c r="F315" s="21" t="s">
        <v>761</v>
      </c>
      <c r="G315" s="21" t="s">
        <v>25460</v>
      </c>
      <c r="H315" s="21" t="s">
        <v>25627</v>
      </c>
    </row>
    <row r="316" customFormat="false" ht="15" hidden="false" customHeight="false" outlineLevel="0" collapsed="false">
      <c r="B316" s="19" t="s">
        <v>25702</v>
      </c>
      <c r="C316" s="20" t="n">
        <f aca="false">ROUND(1.01/FX,2)</f>
        <v>0.14</v>
      </c>
      <c r="D316" s="21" t="s">
        <v>25703</v>
      </c>
      <c r="E316" s="21" t="s">
        <v>734</v>
      </c>
      <c r="F316" s="21" t="s">
        <v>4721</v>
      </c>
      <c r="G316" s="21" t="s">
        <v>25460</v>
      </c>
      <c r="H316" s="21" t="s">
        <v>25627</v>
      </c>
    </row>
    <row r="317" customFormat="false" ht="15" hidden="false" customHeight="false" outlineLevel="0" collapsed="false">
      <c r="B317" s="19" t="s">
        <v>25704</v>
      </c>
      <c r="C317" s="20" t="n">
        <f aca="false">ROUND(1.17/FX,2)</f>
        <v>0.16</v>
      </c>
      <c r="D317" s="21" t="s">
        <v>14007</v>
      </c>
      <c r="E317" s="21" t="s">
        <v>734</v>
      </c>
      <c r="F317" s="21" t="s">
        <v>714</v>
      </c>
      <c r="G317" s="21" t="s">
        <v>25460</v>
      </c>
      <c r="H317" s="21" t="s">
        <v>25627</v>
      </c>
    </row>
    <row r="318" customFormat="false" ht="15" hidden="false" customHeight="false" outlineLevel="0" collapsed="false">
      <c r="B318" s="19" t="s">
        <v>25705</v>
      </c>
      <c r="C318" s="20" t="n">
        <f aca="false">ROUND(1.01/FX,2)</f>
        <v>0.14</v>
      </c>
      <c r="D318" s="21" t="s">
        <v>13974</v>
      </c>
      <c r="E318" s="21" t="s">
        <v>734</v>
      </c>
      <c r="F318" s="21" t="s">
        <v>3833</v>
      </c>
      <c r="G318" s="21" t="s">
        <v>25460</v>
      </c>
      <c r="H318" s="21" t="s">
        <v>25627</v>
      </c>
    </row>
    <row r="319" customFormat="false" ht="15" hidden="false" customHeight="false" outlineLevel="0" collapsed="false">
      <c r="B319" s="19" t="s">
        <v>25706</v>
      </c>
      <c r="C319" s="20" t="n">
        <f aca="false">ROUND(1.02/FX,2)</f>
        <v>0.14</v>
      </c>
      <c r="D319" s="21" t="s">
        <v>24287</v>
      </c>
      <c r="E319" s="21" t="s">
        <v>734</v>
      </c>
      <c r="F319" s="21" t="s">
        <v>4000</v>
      </c>
      <c r="G319" s="21" t="s">
        <v>25460</v>
      </c>
      <c r="H319" s="21" t="s">
        <v>25627</v>
      </c>
    </row>
    <row r="320" customFormat="false" ht="15" hidden="false" customHeight="false" outlineLevel="0" collapsed="false">
      <c r="B320" s="19" t="s">
        <v>25707</v>
      </c>
      <c r="C320" s="20" t="n">
        <f aca="false">ROUND(1/FX,2)</f>
        <v>0.14</v>
      </c>
      <c r="D320" s="21" t="s">
        <v>13981</v>
      </c>
      <c r="E320" s="21" t="s">
        <v>734</v>
      </c>
      <c r="F320" s="21" t="s">
        <v>3247</v>
      </c>
      <c r="G320" s="21" t="s">
        <v>25460</v>
      </c>
      <c r="H320" s="21" t="s">
        <v>25627</v>
      </c>
    </row>
    <row r="321" customFormat="false" ht="15" hidden="false" customHeight="false" outlineLevel="0" collapsed="false">
      <c r="B321" s="19" t="s">
        <v>25708</v>
      </c>
      <c r="C321" s="20" t="n">
        <f aca="false">ROUND(1.3/FX,2)</f>
        <v>0.18</v>
      </c>
      <c r="D321" s="21" t="s">
        <v>14013</v>
      </c>
      <c r="E321" s="21" t="s">
        <v>734</v>
      </c>
      <c r="F321" s="21" t="s">
        <v>5097</v>
      </c>
      <c r="G321" s="21" t="s">
        <v>25460</v>
      </c>
      <c r="H321" s="21" t="s">
        <v>25627</v>
      </c>
    </row>
    <row r="322" customFormat="false" ht="15" hidden="false" customHeight="false" outlineLevel="0" collapsed="false">
      <c r="B322" s="19" t="s">
        <v>25709</v>
      </c>
      <c r="C322" s="20" t="n">
        <f aca="false">ROUND(1.3/FX,2)</f>
        <v>0.18</v>
      </c>
      <c r="D322" s="21" t="s">
        <v>14013</v>
      </c>
      <c r="E322" s="21" t="s">
        <v>734</v>
      </c>
      <c r="F322" s="21" t="s">
        <v>3317</v>
      </c>
      <c r="G322" s="21" t="s">
        <v>25460</v>
      </c>
      <c r="H322" s="21" t="s">
        <v>25627</v>
      </c>
    </row>
    <row r="323" customFormat="false" ht="15" hidden="false" customHeight="false" outlineLevel="0" collapsed="false">
      <c r="B323" s="19" t="s">
        <v>25710</v>
      </c>
      <c r="C323" s="20" t="n">
        <f aca="false">ROUND(1.17/FX,2)</f>
        <v>0.16</v>
      </c>
      <c r="D323" s="21" t="s">
        <v>13751</v>
      </c>
      <c r="E323" s="21" t="s">
        <v>734</v>
      </c>
      <c r="F323" s="21" t="s">
        <v>6768</v>
      </c>
      <c r="G323" s="21" t="s">
        <v>25460</v>
      </c>
      <c r="H323" s="21" t="s">
        <v>25627</v>
      </c>
    </row>
    <row r="324" customFormat="false" ht="15" hidden="false" customHeight="false" outlineLevel="0" collapsed="false">
      <c r="B324" s="19" t="s">
        <v>25711</v>
      </c>
      <c r="C324" s="20" t="n">
        <f aca="false">ROUND(1.09/FX,2)</f>
        <v>0.15</v>
      </c>
      <c r="D324" s="21" t="s">
        <v>13994</v>
      </c>
      <c r="E324" s="21" t="s">
        <v>734</v>
      </c>
      <c r="F324" s="21" t="s">
        <v>839</v>
      </c>
      <c r="G324" s="21" t="s">
        <v>25460</v>
      </c>
      <c r="H324" s="21" t="s">
        <v>25627</v>
      </c>
    </row>
    <row r="325" customFormat="false" ht="15" hidden="false" customHeight="false" outlineLevel="0" collapsed="false">
      <c r="B325" s="19" t="s">
        <v>25712</v>
      </c>
      <c r="C325" s="20" t="n">
        <f aca="false">ROUND(1.17/FX,2)</f>
        <v>0.16</v>
      </c>
      <c r="D325" s="21" t="s">
        <v>13751</v>
      </c>
      <c r="E325" s="21" t="s">
        <v>734</v>
      </c>
      <c r="F325" s="21" t="s">
        <v>784</v>
      </c>
      <c r="G325" s="21" t="s">
        <v>25460</v>
      </c>
      <c r="H325" s="21" t="s">
        <v>25627</v>
      </c>
    </row>
    <row r="326" customFormat="false" ht="15" hidden="false" customHeight="false" outlineLevel="0" collapsed="false">
      <c r="B326" s="19" t="s">
        <v>25713</v>
      </c>
      <c r="C326" s="20" t="n">
        <f aca="false">ROUND(1.04/FX,2)</f>
        <v>0.14</v>
      </c>
      <c r="D326" s="21" t="s">
        <v>13739</v>
      </c>
      <c r="E326" s="21" t="s">
        <v>734</v>
      </c>
      <c r="F326" s="21" t="s">
        <v>6244</v>
      </c>
      <c r="G326" s="21" t="s">
        <v>25460</v>
      </c>
      <c r="H326" s="21" t="s">
        <v>25627</v>
      </c>
    </row>
    <row r="327" customFormat="false" ht="15" hidden="false" customHeight="false" outlineLevel="0" collapsed="false">
      <c r="B327" s="19" t="s">
        <v>25714</v>
      </c>
      <c r="C327" s="20" t="n">
        <f aca="false">ROUND(1.04/FX,2)</f>
        <v>0.14</v>
      </c>
      <c r="D327" s="21" t="s">
        <v>13739</v>
      </c>
      <c r="E327" s="21" t="s">
        <v>734</v>
      </c>
      <c r="F327" s="21" t="s">
        <v>3328</v>
      </c>
      <c r="G327" s="21" t="s">
        <v>25460</v>
      </c>
      <c r="H327" s="21" t="s">
        <v>25627</v>
      </c>
    </row>
    <row r="328" customFormat="false" ht="15" hidden="false" customHeight="false" outlineLevel="0" collapsed="false">
      <c r="B328" s="19" t="s">
        <v>25715</v>
      </c>
      <c r="C328" s="20" t="n">
        <f aca="false">ROUND(1.3/FX,2)</f>
        <v>0.18</v>
      </c>
      <c r="D328" s="21" t="s">
        <v>13739</v>
      </c>
      <c r="E328" s="21" t="s">
        <v>734</v>
      </c>
      <c r="F328" s="21" t="s">
        <v>5496</v>
      </c>
      <c r="G328" s="21" t="s">
        <v>25460</v>
      </c>
      <c r="H328" s="21" t="s">
        <v>25627</v>
      </c>
    </row>
    <row r="329" customFormat="false" ht="15" hidden="false" customHeight="false" outlineLevel="0" collapsed="false">
      <c r="B329" s="19" t="s">
        <v>25716</v>
      </c>
      <c r="C329" s="20" t="n">
        <f aca="false">ROUND(1.02/FX,2)</f>
        <v>0.14</v>
      </c>
      <c r="D329" s="21" t="s">
        <v>25536</v>
      </c>
      <c r="E329" s="21" t="s">
        <v>734</v>
      </c>
      <c r="F329" s="21" t="s">
        <v>841</v>
      </c>
      <c r="G329" s="21" t="s">
        <v>25460</v>
      </c>
      <c r="H329" s="21" t="s">
        <v>25627</v>
      </c>
    </row>
    <row r="330" customFormat="false" ht="15" hidden="false" customHeight="false" outlineLevel="0" collapsed="false">
      <c r="B330" s="19" t="s">
        <v>25717</v>
      </c>
      <c r="C330" s="20" t="n">
        <f aca="false">ROUND(1.3/FX,2)</f>
        <v>0.18</v>
      </c>
      <c r="D330" s="21" t="s">
        <v>13739</v>
      </c>
      <c r="E330" s="21" t="s">
        <v>734</v>
      </c>
      <c r="F330" s="21" t="s">
        <v>6246</v>
      </c>
      <c r="G330" s="21" t="s">
        <v>25460</v>
      </c>
      <c r="H330" s="21" t="s">
        <v>25627</v>
      </c>
    </row>
    <row r="331" customFormat="false" ht="15" hidden="false" customHeight="false" outlineLevel="0" collapsed="false">
      <c r="B331" s="19" t="s">
        <v>25718</v>
      </c>
      <c r="C331" s="20" t="n">
        <f aca="false">ROUND(1.56/FX,2)</f>
        <v>0.22</v>
      </c>
      <c r="D331" s="21" t="s">
        <v>13739</v>
      </c>
      <c r="E331" s="21" t="s">
        <v>734</v>
      </c>
      <c r="F331" s="21" t="s">
        <v>7358</v>
      </c>
      <c r="G331" s="21" t="s">
        <v>25460</v>
      </c>
      <c r="H331" s="21" t="s">
        <v>25627</v>
      </c>
    </row>
    <row r="332" customFormat="false" ht="15" hidden="false" customHeight="false" outlineLevel="0" collapsed="false">
      <c r="B332" s="19" t="s">
        <v>25719</v>
      </c>
      <c r="C332" s="20" t="n">
        <f aca="false">ROUND(1.02/FX,2)</f>
        <v>0.14</v>
      </c>
      <c r="D332" s="21" t="s">
        <v>25536</v>
      </c>
      <c r="E332" s="21" t="s">
        <v>734</v>
      </c>
      <c r="F332" s="21" t="s">
        <v>789</v>
      </c>
      <c r="G332" s="21" t="s">
        <v>25460</v>
      </c>
      <c r="H332" s="21" t="s">
        <v>25627</v>
      </c>
    </row>
    <row r="333" customFormat="false" ht="15" hidden="false" customHeight="false" outlineLevel="0" collapsed="false">
      <c r="B333" s="19" t="s">
        <v>25720</v>
      </c>
      <c r="C333" s="20" t="n">
        <f aca="false">ROUND(1.82/FX,2)</f>
        <v>0.25</v>
      </c>
      <c r="D333" s="21" t="s">
        <v>13739</v>
      </c>
      <c r="E333" s="21" t="s">
        <v>734</v>
      </c>
      <c r="F333" s="21" t="s">
        <v>2911</v>
      </c>
      <c r="G333" s="21" t="s">
        <v>25460</v>
      </c>
      <c r="H333" s="21" t="s">
        <v>25627</v>
      </c>
    </row>
    <row r="334" customFormat="false" ht="15" hidden="false" customHeight="false" outlineLevel="0" collapsed="false">
      <c r="B334" s="19" t="s">
        <v>25721</v>
      </c>
      <c r="C334" s="20" t="n">
        <f aca="false">ROUND(1.02/FX,2)</f>
        <v>0.14</v>
      </c>
      <c r="D334" s="21" t="s">
        <v>25536</v>
      </c>
      <c r="E334" s="21" t="s">
        <v>734</v>
      </c>
      <c r="F334" s="21" t="s">
        <v>716</v>
      </c>
      <c r="G334" s="21" t="s">
        <v>25460</v>
      </c>
      <c r="H334" s="21" t="s">
        <v>25627</v>
      </c>
    </row>
    <row r="335" customFormat="false" ht="15" hidden="false" customHeight="false" outlineLevel="0" collapsed="false">
      <c r="B335" s="19" t="s">
        <v>25722</v>
      </c>
      <c r="C335" s="20" t="n">
        <f aca="false">ROUND(1.02/FX,2)</f>
        <v>0.14</v>
      </c>
      <c r="D335" s="21" t="s">
        <v>25536</v>
      </c>
      <c r="E335" s="21" t="s">
        <v>734</v>
      </c>
      <c r="F335" s="21" t="s">
        <v>847</v>
      </c>
      <c r="G335" s="21" t="s">
        <v>25460</v>
      </c>
      <c r="H335" s="21" t="s">
        <v>25627</v>
      </c>
    </row>
    <row r="336" customFormat="false" ht="15" hidden="false" customHeight="false" outlineLevel="0" collapsed="false">
      <c r="B336" s="19" t="s">
        <v>25723</v>
      </c>
      <c r="C336" s="20" t="n">
        <f aca="false">ROUND(1.02/FX,2)</f>
        <v>0.14</v>
      </c>
      <c r="D336" s="21" t="s">
        <v>25536</v>
      </c>
      <c r="E336" s="21" t="s">
        <v>734</v>
      </c>
      <c r="F336" s="21" t="s">
        <v>707</v>
      </c>
      <c r="G336" s="21" t="s">
        <v>25497</v>
      </c>
      <c r="H336" s="21" t="s">
        <v>25627</v>
      </c>
    </row>
    <row r="337" customFormat="false" ht="15" hidden="false" customHeight="false" outlineLevel="0" collapsed="false">
      <c r="B337" s="19" t="s">
        <v>25724</v>
      </c>
      <c r="C337" s="20" t="n">
        <f aca="false">ROUND(1.02/FX,2)</f>
        <v>0.14</v>
      </c>
      <c r="D337" s="21" t="s">
        <v>25536</v>
      </c>
      <c r="E337" s="21" t="s">
        <v>734</v>
      </c>
      <c r="F337" s="21" t="s">
        <v>761</v>
      </c>
      <c r="G337" s="21" t="s">
        <v>25497</v>
      </c>
      <c r="H337" s="21" t="s">
        <v>25627</v>
      </c>
    </row>
    <row r="338" customFormat="false" ht="15" hidden="false" customHeight="false" outlineLevel="0" collapsed="false">
      <c r="B338" s="19" t="s">
        <v>25725</v>
      </c>
      <c r="C338" s="20" t="n">
        <f aca="false">ROUND(1.01/FX,2)</f>
        <v>0.14</v>
      </c>
      <c r="D338" s="21" t="s">
        <v>13974</v>
      </c>
      <c r="E338" s="21" t="s">
        <v>734</v>
      </c>
      <c r="F338" s="21" t="s">
        <v>4721</v>
      </c>
      <c r="G338" s="21" t="s">
        <v>25497</v>
      </c>
      <c r="H338" s="21" t="s">
        <v>25627</v>
      </c>
    </row>
    <row r="339" customFormat="false" ht="15" hidden="false" customHeight="false" outlineLevel="0" collapsed="false">
      <c r="B339" s="19" t="s">
        <v>25726</v>
      </c>
      <c r="C339" s="20" t="n">
        <f aca="false">ROUND(1.17/FX,2)</f>
        <v>0.16</v>
      </c>
      <c r="D339" s="21" t="s">
        <v>14007</v>
      </c>
      <c r="E339" s="21" t="s">
        <v>734</v>
      </c>
      <c r="F339" s="21" t="s">
        <v>714</v>
      </c>
      <c r="G339" s="21" t="s">
        <v>25497</v>
      </c>
      <c r="H339" s="21" t="s">
        <v>25627</v>
      </c>
    </row>
    <row r="340" customFormat="false" ht="15" hidden="false" customHeight="false" outlineLevel="0" collapsed="false">
      <c r="B340" s="19" t="s">
        <v>25727</v>
      </c>
      <c r="C340" s="20" t="n">
        <f aca="false">ROUND(1.02/FX,2)</f>
        <v>0.14</v>
      </c>
      <c r="D340" s="21" t="s">
        <v>24287</v>
      </c>
      <c r="E340" s="21" t="s">
        <v>734</v>
      </c>
      <c r="F340" s="21" t="s">
        <v>3833</v>
      </c>
      <c r="G340" s="21" t="s">
        <v>25497</v>
      </c>
      <c r="H340" s="21" t="s">
        <v>25627</v>
      </c>
    </row>
    <row r="341" customFormat="false" ht="15" hidden="false" customHeight="false" outlineLevel="0" collapsed="false">
      <c r="B341" s="19" t="s">
        <v>25728</v>
      </c>
      <c r="C341" s="20" t="n">
        <f aca="false">ROUND(1.01/FX,2)</f>
        <v>0.14</v>
      </c>
      <c r="D341" s="21" t="s">
        <v>13981</v>
      </c>
      <c r="E341" s="21" t="s">
        <v>734</v>
      </c>
      <c r="F341" s="21" t="s">
        <v>4000</v>
      </c>
      <c r="G341" s="21" t="s">
        <v>25497</v>
      </c>
      <c r="H341" s="21" t="s">
        <v>25627</v>
      </c>
    </row>
    <row r="342" customFormat="false" ht="15" hidden="false" customHeight="false" outlineLevel="0" collapsed="false">
      <c r="B342" s="19" t="s">
        <v>25729</v>
      </c>
      <c r="C342" s="20" t="n">
        <f aca="false">ROUND(1.04/FX,2)</f>
        <v>0.14</v>
      </c>
      <c r="D342" s="21" t="s">
        <v>25459</v>
      </c>
      <c r="E342" s="21" t="s">
        <v>734</v>
      </c>
      <c r="F342" s="21" t="s">
        <v>3247</v>
      </c>
      <c r="G342" s="21" t="s">
        <v>25497</v>
      </c>
      <c r="H342" s="21" t="s">
        <v>25627</v>
      </c>
    </row>
    <row r="343" customFormat="false" ht="15" hidden="false" customHeight="false" outlineLevel="0" collapsed="false">
      <c r="B343" s="19" t="s">
        <v>25730</v>
      </c>
      <c r="C343" s="20" t="n">
        <f aca="false">ROUND(1.3/FX,2)</f>
        <v>0.18</v>
      </c>
      <c r="D343" s="21" t="s">
        <v>14013</v>
      </c>
      <c r="E343" s="21" t="s">
        <v>734</v>
      </c>
      <c r="F343" s="21" t="s">
        <v>5097</v>
      </c>
      <c r="G343" s="21" t="s">
        <v>25497</v>
      </c>
      <c r="H343" s="21" t="s">
        <v>25627</v>
      </c>
    </row>
    <row r="344" customFormat="false" ht="15" hidden="false" customHeight="false" outlineLevel="0" collapsed="false">
      <c r="B344" s="19" t="s">
        <v>25731</v>
      </c>
      <c r="C344" s="20" t="n">
        <f aca="false">ROUND(1.3/FX,2)</f>
        <v>0.18</v>
      </c>
      <c r="D344" s="21" t="s">
        <v>14013</v>
      </c>
      <c r="E344" s="21" t="s">
        <v>734</v>
      </c>
      <c r="F344" s="21" t="s">
        <v>3317</v>
      </c>
      <c r="G344" s="21" t="s">
        <v>25497</v>
      </c>
      <c r="H344" s="21" t="s">
        <v>25627</v>
      </c>
    </row>
    <row r="345" customFormat="false" ht="15" hidden="false" customHeight="false" outlineLevel="0" collapsed="false">
      <c r="B345" s="19" t="s">
        <v>25732</v>
      </c>
      <c r="C345" s="20" t="n">
        <f aca="false">ROUND(1.17/FX,2)</f>
        <v>0.16</v>
      </c>
      <c r="D345" s="21" t="s">
        <v>13751</v>
      </c>
      <c r="E345" s="21" t="s">
        <v>734</v>
      </c>
      <c r="F345" s="21" t="s">
        <v>6768</v>
      </c>
      <c r="G345" s="21" t="s">
        <v>25497</v>
      </c>
      <c r="H345" s="21" t="s">
        <v>25627</v>
      </c>
    </row>
    <row r="346" customFormat="false" ht="15" hidden="false" customHeight="false" outlineLevel="0" collapsed="false">
      <c r="B346" s="19" t="s">
        <v>25733</v>
      </c>
      <c r="C346" s="20" t="n">
        <f aca="false">ROUND(1.09/FX,2)</f>
        <v>0.15</v>
      </c>
      <c r="D346" s="21" t="s">
        <v>13994</v>
      </c>
      <c r="E346" s="21" t="s">
        <v>734</v>
      </c>
      <c r="F346" s="21" t="s">
        <v>839</v>
      </c>
      <c r="G346" s="21" t="s">
        <v>25497</v>
      </c>
      <c r="H346" s="21" t="s">
        <v>25627</v>
      </c>
    </row>
    <row r="347" customFormat="false" ht="15" hidden="false" customHeight="false" outlineLevel="0" collapsed="false">
      <c r="B347" s="19" t="s">
        <v>25734</v>
      </c>
      <c r="C347" s="20" t="n">
        <f aca="false">ROUND(1.17/FX,2)</f>
        <v>0.16</v>
      </c>
      <c r="D347" s="21" t="s">
        <v>13751</v>
      </c>
      <c r="E347" s="21" t="s">
        <v>25735</v>
      </c>
      <c r="F347" s="21" t="s">
        <v>784</v>
      </c>
      <c r="G347" s="21" t="s">
        <v>25497</v>
      </c>
      <c r="H347" s="21" t="s">
        <v>25619</v>
      </c>
    </row>
    <row r="348" customFormat="false" ht="15" hidden="false" customHeight="false" outlineLevel="0" collapsed="false">
      <c r="B348" s="19" t="s">
        <v>25736</v>
      </c>
      <c r="C348" s="20" t="n">
        <f aca="false">ROUND(1.17/FX,2)</f>
        <v>0.16</v>
      </c>
      <c r="D348" s="21" t="s">
        <v>13751</v>
      </c>
      <c r="E348" s="21" t="s">
        <v>25737</v>
      </c>
      <c r="F348" s="21" t="s">
        <v>784</v>
      </c>
      <c r="G348" s="21" t="s">
        <v>25497</v>
      </c>
      <c r="H348" s="21" t="s">
        <v>25619</v>
      </c>
    </row>
    <row r="349" customFormat="false" ht="15" hidden="false" customHeight="false" outlineLevel="0" collapsed="false">
      <c r="B349" s="19" t="s">
        <v>25738</v>
      </c>
      <c r="C349" s="20" t="n">
        <f aca="false">ROUND(1.04/FX,2)</f>
        <v>0.14</v>
      </c>
      <c r="D349" s="21" t="s">
        <v>13739</v>
      </c>
      <c r="E349" s="21" t="s">
        <v>734</v>
      </c>
      <c r="F349" s="21" t="s">
        <v>6244</v>
      </c>
      <c r="G349" s="21" t="s">
        <v>25497</v>
      </c>
      <c r="H349" s="21" t="s">
        <v>25627</v>
      </c>
    </row>
    <row r="350" customFormat="false" ht="15" hidden="false" customHeight="false" outlineLevel="0" collapsed="false">
      <c r="B350" s="19" t="s">
        <v>25739</v>
      </c>
      <c r="C350" s="20" t="n">
        <f aca="false">ROUND(1.04/FX,2)</f>
        <v>0.14</v>
      </c>
      <c r="D350" s="21" t="s">
        <v>13739</v>
      </c>
      <c r="E350" s="21" t="s">
        <v>734</v>
      </c>
      <c r="F350" s="21" t="s">
        <v>3328</v>
      </c>
      <c r="G350" s="21" t="s">
        <v>25497</v>
      </c>
      <c r="H350" s="21" t="s">
        <v>25627</v>
      </c>
    </row>
    <row r="351" customFormat="false" ht="15" hidden="false" customHeight="false" outlineLevel="0" collapsed="false">
      <c r="B351" s="19" t="s">
        <v>25740</v>
      </c>
      <c r="C351" s="20" t="n">
        <f aca="false">ROUND(1.3/FX,2)</f>
        <v>0.18</v>
      </c>
      <c r="D351" s="21" t="s">
        <v>13739</v>
      </c>
      <c r="E351" s="21" t="s">
        <v>734</v>
      </c>
      <c r="F351" s="21" t="s">
        <v>5496</v>
      </c>
      <c r="G351" s="21" t="s">
        <v>25497</v>
      </c>
      <c r="H351" s="21" t="s">
        <v>25627</v>
      </c>
    </row>
    <row r="352" customFormat="false" ht="15" hidden="false" customHeight="false" outlineLevel="0" collapsed="false">
      <c r="B352" s="19" t="s">
        <v>25741</v>
      </c>
      <c r="C352" s="20" t="n">
        <f aca="false">ROUND(1.02/FX,2)</f>
        <v>0.14</v>
      </c>
      <c r="D352" s="21" t="s">
        <v>25516</v>
      </c>
      <c r="E352" s="21" t="s">
        <v>734</v>
      </c>
      <c r="F352" s="21" t="s">
        <v>841</v>
      </c>
      <c r="G352" s="21" t="s">
        <v>25497</v>
      </c>
      <c r="H352" s="21" t="s">
        <v>25627</v>
      </c>
    </row>
    <row r="353" customFormat="false" ht="15" hidden="false" customHeight="false" outlineLevel="0" collapsed="false">
      <c r="B353" s="19" t="s">
        <v>25742</v>
      </c>
      <c r="C353" s="20" t="n">
        <f aca="false">ROUND(1.3/FX,2)</f>
        <v>0.18</v>
      </c>
      <c r="D353" s="21" t="s">
        <v>13739</v>
      </c>
      <c r="E353" s="21" t="s">
        <v>734</v>
      </c>
      <c r="F353" s="21" t="s">
        <v>6246</v>
      </c>
      <c r="G353" s="21" t="s">
        <v>25497</v>
      </c>
      <c r="H353" s="21" t="s">
        <v>25627</v>
      </c>
    </row>
    <row r="354" customFormat="false" ht="15" hidden="false" customHeight="false" outlineLevel="0" collapsed="false">
      <c r="B354" s="19" t="s">
        <v>25743</v>
      </c>
      <c r="C354" s="20" t="n">
        <f aca="false">ROUND(1.01/FX,2)</f>
        <v>0.14</v>
      </c>
      <c r="D354" s="21" t="s">
        <v>25531</v>
      </c>
      <c r="E354" s="21" t="s">
        <v>734</v>
      </c>
      <c r="F354" s="21" t="s">
        <v>789</v>
      </c>
      <c r="G354" s="21" t="s">
        <v>25497</v>
      </c>
      <c r="H354" s="21" t="s">
        <v>25627</v>
      </c>
    </row>
    <row r="355" customFormat="false" ht="15" hidden="false" customHeight="false" outlineLevel="0" collapsed="false">
      <c r="B355" s="19" t="s">
        <v>25744</v>
      </c>
      <c r="C355" s="20" t="n">
        <f aca="false">ROUND(1.04/FX,2)</f>
        <v>0.14</v>
      </c>
      <c r="D355" s="21" t="s">
        <v>25531</v>
      </c>
      <c r="E355" s="21" t="s">
        <v>734</v>
      </c>
      <c r="F355" s="21" t="s">
        <v>716</v>
      </c>
      <c r="G355" s="21" t="s">
        <v>25497</v>
      </c>
      <c r="H355" s="21" t="s">
        <v>25627</v>
      </c>
    </row>
    <row r="356" customFormat="false" ht="15" hidden="false" customHeight="false" outlineLevel="0" collapsed="false">
      <c r="B356" s="19" t="s">
        <v>25745</v>
      </c>
      <c r="C356" s="20" t="n">
        <f aca="false">ROUND(1.09/FX,2)</f>
        <v>0.15</v>
      </c>
      <c r="D356" s="21" t="s">
        <v>13994</v>
      </c>
      <c r="E356" s="21" t="s">
        <v>734</v>
      </c>
      <c r="F356" s="21" t="s">
        <v>845</v>
      </c>
      <c r="G356" s="21" t="s">
        <v>25497</v>
      </c>
      <c r="H356" s="21" t="s">
        <v>25627</v>
      </c>
    </row>
    <row r="357" customFormat="false" ht="15" hidden="false" customHeight="false" outlineLevel="0" collapsed="false">
      <c r="B357" s="19" t="s">
        <v>25746</v>
      </c>
      <c r="C357" s="20" t="n">
        <f aca="false">ROUND(1.02/FX,2)</f>
        <v>0.14</v>
      </c>
      <c r="D357" s="21" t="s">
        <v>25536</v>
      </c>
      <c r="E357" s="21" t="s">
        <v>734</v>
      </c>
      <c r="F357" s="21" t="s">
        <v>847</v>
      </c>
      <c r="G357" s="21" t="s">
        <v>25497</v>
      </c>
      <c r="H357" s="21" t="s">
        <v>25627</v>
      </c>
    </row>
    <row r="358" customFormat="false" ht="15" hidden="false" customHeight="false" outlineLevel="0" collapsed="false">
      <c r="B358" s="19" t="s">
        <v>25747</v>
      </c>
      <c r="C358" s="20" t="n">
        <f aca="false">ROUND(1.1/FX,2)</f>
        <v>0.15</v>
      </c>
      <c r="D358" s="21" t="s">
        <v>13994</v>
      </c>
      <c r="E358" s="21" t="s">
        <v>734</v>
      </c>
      <c r="F358" s="21" t="s">
        <v>719</v>
      </c>
      <c r="G358" s="21" t="s">
        <v>25497</v>
      </c>
      <c r="H358" s="21" t="s">
        <v>25627</v>
      </c>
    </row>
    <row r="359" customFormat="false" ht="15" hidden="false" customHeight="false" outlineLevel="0" collapsed="false">
      <c r="B359" s="19" t="s">
        <v>25748</v>
      </c>
      <c r="C359" s="20" t="n">
        <f aca="false">ROUND(1.02/FX,2)</f>
        <v>0.14</v>
      </c>
      <c r="D359" s="21" t="s">
        <v>25548</v>
      </c>
      <c r="E359" s="21" t="s">
        <v>734</v>
      </c>
      <c r="F359" s="21" t="s">
        <v>707</v>
      </c>
      <c r="G359" s="21" t="s">
        <v>11407</v>
      </c>
      <c r="H359" s="21" t="s">
        <v>25627</v>
      </c>
    </row>
    <row r="360" customFormat="false" ht="15" hidden="false" customHeight="false" outlineLevel="0" collapsed="false">
      <c r="B360" s="19" t="s">
        <v>25749</v>
      </c>
      <c r="C360" s="20" t="n">
        <f aca="false">ROUND(1.03/FX,2)</f>
        <v>0.14</v>
      </c>
      <c r="D360" s="21" t="s">
        <v>25750</v>
      </c>
      <c r="E360" s="21" t="s">
        <v>734</v>
      </c>
      <c r="F360" s="21" t="s">
        <v>761</v>
      </c>
      <c r="G360" s="21" t="s">
        <v>11407</v>
      </c>
      <c r="H360" s="21" t="s">
        <v>25627</v>
      </c>
    </row>
    <row r="361" customFormat="false" ht="15" hidden="false" customHeight="false" outlineLevel="0" collapsed="false">
      <c r="B361" s="19" t="s">
        <v>25751</v>
      </c>
      <c r="C361" s="20" t="n">
        <f aca="false">ROUND(1.06/FX,2)</f>
        <v>0.15</v>
      </c>
      <c r="D361" s="21" t="s">
        <v>25471</v>
      </c>
      <c r="E361" s="21" t="s">
        <v>734</v>
      </c>
      <c r="F361" s="21" t="s">
        <v>4721</v>
      </c>
      <c r="G361" s="21" t="s">
        <v>11407</v>
      </c>
      <c r="H361" s="21" t="s">
        <v>25627</v>
      </c>
    </row>
    <row r="362" customFormat="false" ht="15" hidden="false" customHeight="false" outlineLevel="0" collapsed="false">
      <c r="B362" s="19" t="s">
        <v>25752</v>
      </c>
      <c r="C362" s="20" t="n">
        <f aca="false">ROUND(1.01/FX,2)</f>
        <v>0.14</v>
      </c>
      <c r="D362" s="21" t="s">
        <v>25753</v>
      </c>
      <c r="E362" s="21" t="s">
        <v>734</v>
      </c>
      <c r="F362" s="21" t="s">
        <v>3833</v>
      </c>
      <c r="G362" s="21" t="s">
        <v>11407</v>
      </c>
      <c r="H362" s="21" t="s">
        <v>25627</v>
      </c>
    </row>
    <row r="363" customFormat="false" ht="15" hidden="false" customHeight="false" outlineLevel="0" collapsed="false">
      <c r="B363" s="19" t="s">
        <v>25754</v>
      </c>
      <c r="C363" s="20" t="n">
        <f aca="false">ROUND(1.04/FX,2)</f>
        <v>0.14</v>
      </c>
      <c r="D363" s="21" t="s">
        <v>25462</v>
      </c>
      <c r="E363" s="21" t="s">
        <v>734</v>
      </c>
      <c r="F363" s="21" t="s">
        <v>4000</v>
      </c>
      <c r="G363" s="21" t="s">
        <v>11407</v>
      </c>
      <c r="H363" s="21" t="s">
        <v>25627</v>
      </c>
    </row>
    <row r="364" customFormat="false" ht="15" hidden="false" customHeight="false" outlineLevel="0" collapsed="false">
      <c r="B364" s="19" t="s">
        <v>25755</v>
      </c>
      <c r="C364" s="20" t="n">
        <f aca="false">ROUND(1.01/FX,2)</f>
        <v>0.14</v>
      </c>
      <c r="D364" s="21" t="s">
        <v>14034</v>
      </c>
      <c r="E364" s="21" t="s">
        <v>734</v>
      </c>
      <c r="F364" s="21" t="s">
        <v>3247</v>
      </c>
      <c r="G364" s="21" t="s">
        <v>11407</v>
      </c>
      <c r="H364" s="21" t="s">
        <v>25627</v>
      </c>
    </row>
    <row r="365" customFormat="false" ht="15" hidden="false" customHeight="false" outlineLevel="0" collapsed="false">
      <c r="B365" s="19" t="s">
        <v>25756</v>
      </c>
      <c r="C365" s="20" t="n">
        <f aca="false">ROUND(1.05/FX,2)</f>
        <v>0.15</v>
      </c>
      <c r="D365" s="21" t="s">
        <v>24287</v>
      </c>
      <c r="E365" s="21" t="s">
        <v>734</v>
      </c>
      <c r="F365" s="21" t="s">
        <v>5097</v>
      </c>
      <c r="G365" s="21" t="s">
        <v>11407</v>
      </c>
      <c r="H365" s="21" t="s">
        <v>25627</v>
      </c>
    </row>
    <row r="366" customFormat="false" ht="15" hidden="false" customHeight="false" outlineLevel="0" collapsed="false">
      <c r="B366" s="19" t="s">
        <v>25757</v>
      </c>
      <c r="C366" s="20" t="n">
        <f aca="false">ROUND(1.04/FX,2)</f>
        <v>0.14</v>
      </c>
      <c r="D366" s="21" t="s">
        <v>13981</v>
      </c>
      <c r="E366" s="21" t="s">
        <v>734</v>
      </c>
      <c r="F366" s="21" t="s">
        <v>3317</v>
      </c>
      <c r="G366" s="21" t="s">
        <v>11407</v>
      </c>
      <c r="H366" s="21" t="s">
        <v>25627</v>
      </c>
    </row>
    <row r="367" customFormat="false" ht="15" hidden="false" customHeight="false" outlineLevel="0" collapsed="false">
      <c r="B367" s="19" t="s">
        <v>25758</v>
      </c>
      <c r="C367" s="20" t="n">
        <f aca="false">ROUND(1.04/FX,2)</f>
        <v>0.14</v>
      </c>
      <c r="D367" s="21" t="s">
        <v>25459</v>
      </c>
      <c r="E367" s="21" t="s">
        <v>734</v>
      </c>
      <c r="F367" s="21" t="s">
        <v>6768</v>
      </c>
      <c r="G367" s="21" t="s">
        <v>11407</v>
      </c>
      <c r="H367" s="21" t="s">
        <v>25627</v>
      </c>
    </row>
    <row r="368" customFormat="false" ht="15" hidden="false" customHeight="false" outlineLevel="0" collapsed="false">
      <c r="B368" s="19" t="s">
        <v>25759</v>
      </c>
      <c r="C368" s="20" t="n">
        <f aca="false">ROUND(1.11/FX,2)</f>
        <v>0.15</v>
      </c>
      <c r="D368" s="21" t="s">
        <v>13743</v>
      </c>
      <c r="E368" s="21" t="s">
        <v>734</v>
      </c>
      <c r="F368" s="21" t="s">
        <v>784</v>
      </c>
      <c r="G368" s="21" t="s">
        <v>11407</v>
      </c>
      <c r="H368" s="21" t="s">
        <v>25619</v>
      </c>
    </row>
    <row r="369" customFormat="false" ht="15" hidden="false" customHeight="false" outlineLevel="0" collapsed="false">
      <c r="B369" s="19" t="s">
        <v>25760</v>
      </c>
      <c r="C369" s="20" t="n">
        <f aca="false">ROUND(1.04/FX,2)</f>
        <v>0.14</v>
      </c>
      <c r="D369" s="21" t="s">
        <v>25459</v>
      </c>
      <c r="E369" s="21" t="s">
        <v>734</v>
      </c>
      <c r="F369" s="21" t="s">
        <v>784</v>
      </c>
      <c r="G369" s="21" t="s">
        <v>11407</v>
      </c>
      <c r="H369" s="21" t="s">
        <v>25627</v>
      </c>
    </row>
    <row r="370" customFormat="false" ht="15" hidden="false" customHeight="false" outlineLevel="0" collapsed="false">
      <c r="B370" s="19" t="s">
        <v>25761</v>
      </c>
      <c r="C370" s="20" t="n">
        <f aca="false">ROUND(1.05/FX,2)</f>
        <v>0.15</v>
      </c>
      <c r="D370" s="21" t="s">
        <v>14016</v>
      </c>
      <c r="E370" s="21" t="s">
        <v>734</v>
      </c>
      <c r="F370" s="21" t="s">
        <v>3328</v>
      </c>
      <c r="G370" s="21" t="s">
        <v>11407</v>
      </c>
      <c r="H370" s="21" t="s">
        <v>25627</v>
      </c>
    </row>
    <row r="371" customFormat="false" ht="15" hidden="false" customHeight="false" outlineLevel="0" collapsed="false">
      <c r="B371" s="19" t="s">
        <v>25762</v>
      </c>
      <c r="C371" s="20" t="n">
        <f aca="false">ROUND(2.21/FX,2)</f>
        <v>0.31</v>
      </c>
      <c r="D371" s="21" t="s">
        <v>23567</v>
      </c>
      <c r="E371" s="21" t="s">
        <v>734</v>
      </c>
      <c r="F371" s="21" t="s">
        <v>841</v>
      </c>
      <c r="G371" s="21" t="s">
        <v>11407</v>
      </c>
      <c r="H371" s="21" t="s">
        <v>25627</v>
      </c>
    </row>
    <row r="372" customFormat="false" ht="15" hidden="false" customHeight="false" outlineLevel="0" collapsed="false">
      <c r="B372" s="19" t="s">
        <v>25763</v>
      </c>
      <c r="C372" s="20" t="n">
        <f aca="false">ROUND(1.05/FX,2)</f>
        <v>0.15</v>
      </c>
      <c r="D372" s="21" t="s">
        <v>14016</v>
      </c>
      <c r="E372" s="21" t="s">
        <v>734</v>
      </c>
      <c r="F372" s="21" t="s">
        <v>6246</v>
      </c>
      <c r="G372" s="21" t="s">
        <v>11407</v>
      </c>
      <c r="H372" s="21" t="s">
        <v>25627</v>
      </c>
    </row>
    <row r="373" customFormat="false" ht="15" hidden="false" customHeight="false" outlineLevel="0" collapsed="false">
      <c r="B373" s="19" t="s">
        <v>25764</v>
      </c>
      <c r="C373" s="20" t="n">
        <f aca="false">ROUND(1.13/FX,2)</f>
        <v>0.16</v>
      </c>
      <c r="D373" s="21" t="s">
        <v>13751</v>
      </c>
      <c r="E373" s="21" t="s">
        <v>734</v>
      </c>
      <c r="F373" s="21" t="s">
        <v>7358</v>
      </c>
      <c r="G373" s="21" t="s">
        <v>11407</v>
      </c>
      <c r="H373" s="21" t="s">
        <v>25627</v>
      </c>
    </row>
    <row r="374" customFormat="false" ht="15" hidden="false" customHeight="false" outlineLevel="0" collapsed="false">
      <c r="B374" s="19" t="s">
        <v>25765</v>
      </c>
      <c r="C374" s="20" t="n">
        <f aca="false">ROUND(1.01/FX,2)</f>
        <v>0.14</v>
      </c>
      <c r="D374" s="21" t="s">
        <v>14034</v>
      </c>
      <c r="E374" s="21" t="s">
        <v>734</v>
      </c>
      <c r="F374" s="21" t="s">
        <v>789</v>
      </c>
      <c r="G374" s="21" t="s">
        <v>11407</v>
      </c>
      <c r="H374" s="21" t="s">
        <v>25627</v>
      </c>
    </row>
    <row r="375" customFormat="false" ht="15" hidden="false" customHeight="false" outlineLevel="0" collapsed="false">
      <c r="B375" s="19" t="s">
        <v>25766</v>
      </c>
      <c r="C375" s="20" t="n">
        <f aca="false">ROUND(1/FX,2)</f>
        <v>0.14</v>
      </c>
      <c r="D375" s="21" t="s">
        <v>13994</v>
      </c>
      <c r="E375" s="21" t="s">
        <v>734</v>
      </c>
      <c r="F375" s="21" t="s">
        <v>2911</v>
      </c>
      <c r="G375" s="21" t="s">
        <v>11407</v>
      </c>
      <c r="H375" s="21" t="s">
        <v>25627</v>
      </c>
    </row>
    <row r="376" customFormat="false" ht="15" hidden="false" customHeight="false" outlineLevel="0" collapsed="false">
      <c r="B376" s="19" t="s">
        <v>25767</v>
      </c>
      <c r="C376" s="20" t="n">
        <f aca="false">ROUND(1.01/FX,2)</f>
        <v>0.14</v>
      </c>
      <c r="D376" s="21" t="s">
        <v>25753</v>
      </c>
      <c r="E376" s="21" t="s">
        <v>734</v>
      </c>
      <c r="F376" s="21" t="s">
        <v>716</v>
      </c>
      <c r="G376" s="21" t="s">
        <v>11407</v>
      </c>
      <c r="H376" s="21" t="s">
        <v>25627</v>
      </c>
    </row>
    <row r="377" customFormat="false" ht="15" hidden="false" customHeight="false" outlineLevel="0" collapsed="false">
      <c r="B377" s="19" t="s">
        <v>25768</v>
      </c>
      <c r="C377" s="20" t="n">
        <f aca="false">ROUND(1.01/FX,2)</f>
        <v>0.14</v>
      </c>
      <c r="D377" s="21" t="s">
        <v>25753</v>
      </c>
      <c r="E377" s="21" t="s">
        <v>734</v>
      </c>
      <c r="F377" s="21" t="s">
        <v>847</v>
      </c>
      <c r="G377" s="21" t="s">
        <v>11407</v>
      </c>
      <c r="H377" s="21" t="s">
        <v>25627</v>
      </c>
    </row>
    <row r="378" customFormat="false" ht="15" hidden="false" customHeight="false" outlineLevel="0" collapsed="false">
      <c r="B378" s="19" t="s">
        <v>25769</v>
      </c>
      <c r="C378" s="20" t="n">
        <f aca="false">ROUND(1/FX,2)</f>
        <v>0.14</v>
      </c>
      <c r="D378" s="21" t="s">
        <v>24231</v>
      </c>
      <c r="E378" s="21" t="s">
        <v>734</v>
      </c>
      <c r="F378" s="21" t="s">
        <v>707</v>
      </c>
      <c r="G378" s="21" t="s">
        <v>11409</v>
      </c>
      <c r="H378" s="21" t="s">
        <v>25627</v>
      </c>
    </row>
    <row r="379" customFormat="false" ht="15" hidden="false" customHeight="false" outlineLevel="0" collapsed="false">
      <c r="B379" s="19" t="s">
        <v>25770</v>
      </c>
      <c r="C379" s="20" t="n">
        <f aca="false">ROUND(1.56/FX,2)</f>
        <v>0.22</v>
      </c>
      <c r="D379" s="21" t="s">
        <v>13739</v>
      </c>
      <c r="E379" s="21" t="s">
        <v>734</v>
      </c>
      <c r="F379" s="21" t="s">
        <v>2600</v>
      </c>
      <c r="G379" s="21" t="s">
        <v>11409</v>
      </c>
      <c r="H379" s="21" t="s">
        <v>25619</v>
      </c>
    </row>
    <row r="380" customFormat="false" ht="15" hidden="false" customHeight="false" outlineLevel="0" collapsed="false">
      <c r="B380" s="19" t="s">
        <v>25771</v>
      </c>
      <c r="C380" s="20" t="n">
        <f aca="false">ROUND(1.73/FX,2)</f>
        <v>0.24</v>
      </c>
      <c r="D380" s="21" t="s">
        <v>13739</v>
      </c>
      <c r="E380" s="21" t="s">
        <v>734</v>
      </c>
      <c r="F380" s="21" t="s">
        <v>2651</v>
      </c>
      <c r="G380" s="21" t="s">
        <v>11409</v>
      </c>
      <c r="H380" s="21" t="s">
        <v>25619</v>
      </c>
    </row>
    <row r="381" customFormat="false" ht="15" hidden="false" customHeight="false" outlineLevel="0" collapsed="false">
      <c r="B381" s="19" t="s">
        <v>25772</v>
      </c>
      <c r="C381" s="20" t="n">
        <f aca="false">ROUND(1.05/FX,2)</f>
        <v>0.15</v>
      </c>
      <c r="D381" s="21" t="s">
        <v>24287</v>
      </c>
      <c r="E381" s="21" t="s">
        <v>734</v>
      </c>
      <c r="F381" s="21" t="s">
        <v>761</v>
      </c>
      <c r="G381" s="21" t="s">
        <v>11409</v>
      </c>
      <c r="H381" s="21" t="s">
        <v>25627</v>
      </c>
    </row>
    <row r="382" customFormat="false" ht="15" hidden="false" customHeight="false" outlineLevel="0" collapsed="false">
      <c r="B382" s="19" t="s">
        <v>25773</v>
      </c>
      <c r="C382" s="20" t="n">
        <f aca="false">ROUND(1.91/FX,2)</f>
        <v>0.27</v>
      </c>
      <c r="D382" s="21" t="s">
        <v>13739</v>
      </c>
      <c r="E382" s="21" t="s">
        <v>734</v>
      </c>
      <c r="F382" s="21" t="s">
        <v>2701</v>
      </c>
      <c r="G382" s="21" t="s">
        <v>11409</v>
      </c>
      <c r="H382" s="21" t="s">
        <v>25619</v>
      </c>
    </row>
    <row r="383" customFormat="false" ht="15" hidden="false" customHeight="false" outlineLevel="0" collapsed="false">
      <c r="B383" s="19" t="s">
        <v>25774</v>
      </c>
      <c r="C383" s="20" t="n">
        <f aca="false">ROUND(1.08/FX,2)</f>
        <v>0.15</v>
      </c>
      <c r="D383" s="21" t="s">
        <v>13732</v>
      </c>
      <c r="E383" s="21" t="s">
        <v>734</v>
      </c>
      <c r="F383" s="21" t="s">
        <v>2751</v>
      </c>
      <c r="G383" s="21" t="s">
        <v>11409</v>
      </c>
      <c r="H383" s="21" t="s">
        <v>25619</v>
      </c>
    </row>
    <row r="384" customFormat="false" ht="15" hidden="false" customHeight="false" outlineLevel="0" collapsed="false">
      <c r="B384" s="19" t="s">
        <v>25775</v>
      </c>
      <c r="C384" s="20" t="n">
        <f aca="false">ROUND(1.01/FX,2)</f>
        <v>0.14</v>
      </c>
      <c r="D384" s="21" t="s">
        <v>25459</v>
      </c>
      <c r="E384" s="21" t="s">
        <v>734</v>
      </c>
      <c r="F384" s="21" t="s">
        <v>4721</v>
      </c>
      <c r="G384" s="21" t="s">
        <v>11409</v>
      </c>
      <c r="H384" s="21" t="s">
        <v>25627</v>
      </c>
    </row>
    <row r="385" customFormat="false" ht="15" hidden="false" customHeight="false" outlineLevel="0" collapsed="false">
      <c r="B385" s="19" t="s">
        <v>25776</v>
      </c>
      <c r="C385" s="20" t="n">
        <f aca="false">ROUND(1.34/FX,2)</f>
        <v>0.19</v>
      </c>
      <c r="D385" s="21" t="s">
        <v>13732</v>
      </c>
      <c r="E385" s="21" t="s">
        <v>734</v>
      </c>
      <c r="F385" s="21" t="s">
        <v>2801</v>
      </c>
      <c r="G385" s="21" t="s">
        <v>11409</v>
      </c>
      <c r="H385" s="21" t="s">
        <v>25619</v>
      </c>
    </row>
    <row r="386" customFormat="false" ht="15" hidden="false" customHeight="false" outlineLevel="0" collapsed="false">
      <c r="B386" s="19" t="s">
        <v>25777</v>
      </c>
      <c r="C386" s="20" t="n">
        <f aca="false">ROUND(1.69/FX,2)</f>
        <v>0.23</v>
      </c>
      <c r="D386" s="21" t="s">
        <v>13732</v>
      </c>
      <c r="E386" s="21" t="s">
        <v>734</v>
      </c>
      <c r="F386" s="21" t="s">
        <v>2851</v>
      </c>
      <c r="G386" s="21" t="s">
        <v>11409</v>
      </c>
      <c r="H386" s="21" t="s">
        <v>25619</v>
      </c>
    </row>
    <row r="387" customFormat="false" ht="15" hidden="false" customHeight="false" outlineLevel="0" collapsed="false">
      <c r="B387" s="19" t="s">
        <v>25778</v>
      </c>
      <c r="C387" s="20" t="n">
        <f aca="false">ROUND(1.04/FX,2)</f>
        <v>0.14</v>
      </c>
      <c r="D387" s="21" t="s">
        <v>25459</v>
      </c>
      <c r="E387" s="21" t="s">
        <v>734</v>
      </c>
      <c r="F387" s="21" t="s">
        <v>3833</v>
      </c>
      <c r="G387" s="21" t="s">
        <v>11409</v>
      </c>
      <c r="H387" s="21" t="s">
        <v>25627</v>
      </c>
    </row>
    <row r="388" customFormat="false" ht="15" hidden="false" customHeight="false" outlineLevel="0" collapsed="false">
      <c r="B388" s="19" t="s">
        <v>25779</v>
      </c>
      <c r="C388" s="20" t="n">
        <f aca="false">ROUND(2.04/FX,2)</f>
        <v>0.28</v>
      </c>
      <c r="D388" s="21" t="s">
        <v>13732</v>
      </c>
      <c r="E388" s="21" t="s">
        <v>734</v>
      </c>
      <c r="F388" s="21" t="s">
        <v>2901</v>
      </c>
      <c r="G388" s="21" t="s">
        <v>11409</v>
      </c>
      <c r="H388" s="21" t="s">
        <v>25619</v>
      </c>
    </row>
    <row r="389" customFormat="false" ht="15" hidden="false" customHeight="false" outlineLevel="0" collapsed="false">
      <c r="B389" s="19" t="s">
        <v>25780</v>
      </c>
      <c r="C389" s="20" t="n">
        <f aca="false">ROUND(1.05/FX,2)</f>
        <v>0.15</v>
      </c>
      <c r="D389" s="21" t="s">
        <v>14016</v>
      </c>
      <c r="E389" s="21" t="s">
        <v>734</v>
      </c>
      <c r="F389" s="21" t="s">
        <v>4000</v>
      </c>
      <c r="G389" s="21" t="s">
        <v>11409</v>
      </c>
      <c r="H389" s="21" t="s">
        <v>25627</v>
      </c>
    </row>
    <row r="390" customFormat="false" ht="15" hidden="false" customHeight="false" outlineLevel="0" collapsed="false">
      <c r="B390" s="19" t="s">
        <v>25781</v>
      </c>
      <c r="C390" s="20" t="n">
        <f aca="false">ROUND(1.02/FX,2)</f>
        <v>0.14</v>
      </c>
      <c r="D390" s="21" t="s">
        <v>25459</v>
      </c>
      <c r="E390" s="21" t="s">
        <v>734</v>
      </c>
      <c r="F390" s="21" t="s">
        <v>3247</v>
      </c>
      <c r="G390" s="21" t="s">
        <v>11409</v>
      </c>
      <c r="H390" s="21" t="s">
        <v>25627</v>
      </c>
    </row>
    <row r="391" customFormat="false" ht="15" hidden="false" customHeight="false" outlineLevel="0" collapsed="false">
      <c r="B391" s="19" t="s">
        <v>25782</v>
      </c>
      <c r="C391" s="20" t="n">
        <f aca="false">ROUND(1.02/FX,2)</f>
        <v>0.14</v>
      </c>
      <c r="D391" s="21" t="s">
        <v>25459</v>
      </c>
      <c r="E391" s="21" t="s">
        <v>734</v>
      </c>
      <c r="F391" s="21" t="s">
        <v>5097</v>
      </c>
      <c r="G391" s="21" t="s">
        <v>11409</v>
      </c>
      <c r="H391" s="21" t="s">
        <v>25627</v>
      </c>
    </row>
    <row r="392" customFormat="false" ht="15" hidden="false" customHeight="false" outlineLevel="0" collapsed="false">
      <c r="B392" s="19" t="s">
        <v>25783</v>
      </c>
      <c r="C392" s="20" t="n">
        <f aca="false">ROUND(1.08/FX,2)</f>
        <v>0.15</v>
      </c>
      <c r="D392" s="21" t="s">
        <v>13978</v>
      </c>
      <c r="E392" s="21" t="s">
        <v>734</v>
      </c>
      <c r="F392" s="21" t="s">
        <v>3317</v>
      </c>
      <c r="G392" s="21" t="s">
        <v>11409</v>
      </c>
      <c r="H392" s="21" t="s">
        <v>25627</v>
      </c>
    </row>
    <row r="393" customFormat="false" ht="15" hidden="false" customHeight="false" outlineLevel="0" collapsed="false">
      <c r="B393" s="19" t="s">
        <v>25784</v>
      </c>
      <c r="C393" s="20" t="n">
        <f aca="false">ROUND(1.06/FX,2)</f>
        <v>0.15</v>
      </c>
      <c r="D393" s="21" t="s">
        <v>13997</v>
      </c>
      <c r="E393" s="21" t="s">
        <v>734</v>
      </c>
      <c r="F393" s="21" t="s">
        <v>784</v>
      </c>
      <c r="G393" s="21" t="s">
        <v>11409</v>
      </c>
      <c r="H393" s="21" t="s">
        <v>25627</v>
      </c>
    </row>
    <row r="394" customFormat="false" ht="15" hidden="false" customHeight="false" outlineLevel="0" collapsed="false">
      <c r="B394" s="19" t="s">
        <v>25785</v>
      </c>
      <c r="C394" s="20" t="n">
        <f aca="false">ROUND(1.01/FX,2)</f>
        <v>0.14</v>
      </c>
      <c r="D394" s="21" t="s">
        <v>14056</v>
      </c>
      <c r="E394" s="21" t="s">
        <v>734</v>
      </c>
      <c r="F394" s="21" t="s">
        <v>3328</v>
      </c>
      <c r="G394" s="21" t="s">
        <v>11409</v>
      </c>
      <c r="H394" s="21" t="s">
        <v>25627</v>
      </c>
    </row>
    <row r="395" customFormat="false" ht="15" hidden="false" customHeight="false" outlineLevel="0" collapsed="false">
      <c r="B395" s="19" t="s">
        <v>25786</v>
      </c>
      <c r="C395" s="20" t="n">
        <f aca="false">ROUND(1.06/FX,2)</f>
        <v>0.15</v>
      </c>
      <c r="D395" s="21" t="s">
        <v>14056</v>
      </c>
      <c r="E395" s="21" t="s">
        <v>734</v>
      </c>
      <c r="F395" s="21" t="s">
        <v>6246</v>
      </c>
      <c r="G395" s="21" t="s">
        <v>11409</v>
      </c>
      <c r="H395" s="21" t="s">
        <v>25627</v>
      </c>
    </row>
    <row r="396" customFormat="false" ht="15" hidden="false" customHeight="false" outlineLevel="0" collapsed="false">
      <c r="B396" s="19" t="s">
        <v>25787</v>
      </c>
      <c r="C396" s="20" t="n">
        <f aca="false">ROUND(1.06/FX,2)</f>
        <v>0.15</v>
      </c>
      <c r="D396" s="21" t="s">
        <v>13994</v>
      </c>
      <c r="E396" s="21" t="s">
        <v>734</v>
      </c>
      <c r="F396" s="21" t="s">
        <v>7358</v>
      </c>
      <c r="G396" s="21" t="s">
        <v>11409</v>
      </c>
      <c r="H396" s="21" t="s">
        <v>25627</v>
      </c>
    </row>
    <row r="397" customFormat="false" ht="15" hidden="false" customHeight="false" outlineLevel="0" collapsed="false">
      <c r="B397" s="19" t="s">
        <v>25788</v>
      </c>
      <c r="C397" s="20" t="n">
        <f aca="false">ROUND(1/FX,2)</f>
        <v>0.14</v>
      </c>
      <c r="D397" s="21" t="s">
        <v>13974</v>
      </c>
      <c r="E397" s="21" t="s">
        <v>734</v>
      </c>
      <c r="F397" s="21" t="s">
        <v>789</v>
      </c>
      <c r="G397" s="21" t="s">
        <v>11409</v>
      </c>
      <c r="H397" s="21" t="s">
        <v>25627</v>
      </c>
    </row>
    <row r="398" customFormat="false" ht="15" hidden="false" customHeight="false" outlineLevel="0" collapsed="false">
      <c r="B398" s="19" t="s">
        <v>25789</v>
      </c>
      <c r="C398" s="20" t="n">
        <f aca="false">ROUND(1.01/FX,2)</f>
        <v>0.14</v>
      </c>
      <c r="D398" s="21" t="s">
        <v>14007</v>
      </c>
      <c r="E398" s="21" t="s">
        <v>734</v>
      </c>
      <c r="F398" s="21" t="s">
        <v>2911</v>
      </c>
      <c r="G398" s="21" t="s">
        <v>11409</v>
      </c>
      <c r="H398" s="21" t="s">
        <v>25627</v>
      </c>
    </row>
    <row r="399" customFormat="false" ht="15" hidden="false" customHeight="false" outlineLevel="0" collapsed="false">
      <c r="B399" s="19" t="s">
        <v>25790</v>
      </c>
      <c r="C399" s="20" t="n">
        <f aca="false">ROUND(1.22/FX,2)</f>
        <v>0.17</v>
      </c>
      <c r="D399" s="21" t="s">
        <v>13751</v>
      </c>
      <c r="E399" s="21" t="s">
        <v>734</v>
      </c>
      <c r="F399" s="21" t="s">
        <v>7275</v>
      </c>
      <c r="G399" s="21" t="s">
        <v>11409</v>
      </c>
      <c r="H399" s="21" t="s">
        <v>25619</v>
      </c>
    </row>
    <row r="400" customFormat="false" ht="15" hidden="false" customHeight="false" outlineLevel="0" collapsed="false">
      <c r="B400" s="19" t="s">
        <v>25791</v>
      </c>
      <c r="C400" s="20" t="n">
        <f aca="false">ROUND(1.82/FX,2)</f>
        <v>0.25</v>
      </c>
      <c r="D400" s="21" t="s">
        <v>21725</v>
      </c>
      <c r="E400" s="21" t="s">
        <v>734</v>
      </c>
      <c r="F400" s="21" t="s">
        <v>716</v>
      </c>
      <c r="G400" s="21" t="s">
        <v>11409</v>
      </c>
      <c r="H400" s="21" t="s">
        <v>25627</v>
      </c>
    </row>
    <row r="401" customFormat="false" ht="15" hidden="false" customHeight="false" outlineLevel="0" collapsed="false">
      <c r="B401" s="19" t="s">
        <v>25792</v>
      </c>
      <c r="C401" s="20" t="n">
        <f aca="false">ROUND(1.3/FX,2)</f>
        <v>0.18</v>
      </c>
      <c r="D401" s="21" t="s">
        <v>13751</v>
      </c>
      <c r="E401" s="21" t="s">
        <v>734</v>
      </c>
      <c r="F401" s="21" t="s">
        <v>2961</v>
      </c>
      <c r="G401" s="21" t="s">
        <v>11409</v>
      </c>
      <c r="H401" s="21" t="s">
        <v>25619</v>
      </c>
    </row>
    <row r="402" customFormat="false" ht="15" hidden="false" customHeight="false" outlineLevel="0" collapsed="false">
      <c r="B402" s="19" t="s">
        <v>25793</v>
      </c>
      <c r="C402" s="20" t="n">
        <f aca="false">ROUND(1.43/FX,2)</f>
        <v>0.2</v>
      </c>
      <c r="D402" s="21" t="s">
        <v>13751</v>
      </c>
      <c r="E402" s="21" t="s">
        <v>734</v>
      </c>
      <c r="F402" s="21" t="s">
        <v>13817</v>
      </c>
      <c r="G402" s="21" t="s">
        <v>11409</v>
      </c>
      <c r="H402" s="21" t="s">
        <v>25619</v>
      </c>
    </row>
    <row r="403" customFormat="false" ht="15" hidden="false" customHeight="false" outlineLevel="0" collapsed="false">
      <c r="B403" s="19" t="s">
        <v>25794</v>
      </c>
      <c r="C403" s="20" t="n">
        <f aca="false">ROUND(1.04/FX,2)</f>
        <v>0.14</v>
      </c>
      <c r="D403" s="21" t="s">
        <v>13739</v>
      </c>
      <c r="E403" s="21" t="s">
        <v>734</v>
      </c>
      <c r="F403" s="21" t="s">
        <v>3011</v>
      </c>
      <c r="G403" s="21" t="s">
        <v>11409</v>
      </c>
      <c r="H403" s="21" t="s">
        <v>25619</v>
      </c>
    </row>
    <row r="404" customFormat="false" ht="15" hidden="false" customHeight="false" outlineLevel="0" collapsed="false">
      <c r="B404" s="19" t="s">
        <v>25795</v>
      </c>
      <c r="C404" s="20" t="n">
        <f aca="false">ROUND(1.13/FX,2)</f>
        <v>0.16</v>
      </c>
      <c r="D404" s="21" t="s">
        <v>13739</v>
      </c>
      <c r="E404" s="21" t="s">
        <v>734</v>
      </c>
      <c r="F404" s="21" t="s">
        <v>7396</v>
      </c>
      <c r="G404" s="21" t="s">
        <v>11409</v>
      </c>
      <c r="H404" s="21" t="s">
        <v>25619</v>
      </c>
    </row>
    <row r="405" customFormat="false" ht="15" hidden="false" customHeight="false" outlineLevel="0" collapsed="false">
      <c r="B405" s="19" t="s">
        <v>25796</v>
      </c>
      <c r="C405" s="20" t="n">
        <f aca="false">ROUND(1.83/FX,2)</f>
        <v>0.25</v>
      </c>
      <c r="D405" s="21" t="s">
        <v>21725</v>
      </c>
      <c r="E405" s="21" t="s">
        <v>734</v>
      </c>
      <c r="F405" s="21" t="s">
        <v>847</v>
      </c>
      <c r="G405" s="21" t="s">
        <v>11409</v>
      </c>
      <c r="H405" s="21" t="s">
        <v>25627</v>
      </c>
    </row>
    <row r="406" customFormat="false" ht="15" hidden="false" customHeight="false" outlineLevel="0" collapsed="false">
      <c r="B406" s="19" t="s">
        <v>25797</v>
      </c>
      <c r="C406" s="20" t="n">
        <f aca="false">ROUND(1.21/FX,2)</f>
        <v>0.17</v>
      </c>
      <c r="D406" s="21" t="s">
        <v>13739</v>
      </c>
      <c r="E406" s="21" t="s">
        <v>734</v>
      </c>
      <c r="F406" s="21" t="s">
        <v>3061</v>
      </c>
      <c r="G406" s="21" t="s">
        <v>11409</v>
      </c>
      <c r="H406" s="21" t="s">
        <v>25619</v>
      </c>
    </row>
    <row r="407" customFormat="false" ht="15" hidden="false" customHeight="false" outlineLevel="0" collapsed="false">
      <c r="B407" s="19" t="s">
        <v>25798</v>
      </c>
      <c r="C407" s="20" t="n">
        <f aca="false">ROUND(1.39/FX,2)</f>
        <v>0.19</v>
      </c>
      <c r="D407" s="21" t="s">
        <v>13739</v>
      </c>
      <c r="E407" s="21" t="s">
        <v>734</v>
      </c>
      <c r="F407" s="21" t="s">
        <v>3111</v>
      </c>
      <c r="G407" s="21" t="s">
        <v>11409</v>
      </c>
      <c r="H407" s="21" t="s">
        <v>25619</v>
      </c>
    </row>
    <row r="408" customFormat="false" ht="15" hidden="false" customHeight="false" outlineLevel="0" collapsed="false">
      <c r="B408" s="19" t="s">
        <v>25799</v>
      </c>
      <c r="C408" s="20" t="n">
        <f aca="false">ROUND(1/FX,2)</f>
        <v>0.14</v>
      </c>
      <c r="D408" s="21" t="s">
        <v>25462</v>
      </c>
      <c r="E408" s="21" t="s">
        <v>734</v>
      </c>
      <c r="F408" s="21" t="s">
        <v>707</v>
      </c>
      <c r="G408" s="21" t="s">
        <v>11411</v>
      </c>
      <c r="H408" s="21" t="s">
        <v>25627</v>
      </c>
    </row>
    <row r="409" customFormat="false" ht="15" hidden="false" customHeight="false" outlineLevel="0" collapsed="false">
      <c r="B409" s="19" t="s">
        <v>25800</v>
      </c>
      <c r="C409" s="20" t="n">
        <f aca="false">ROUND(1.02/FX,2)</f>
        <v>0.14</v>
      </c>
      <c r="D409" s="21" t="s">
        <v>13739</v>
      </c>
      <c r="E409" s="21" t="s">
        <v>734</v>
      </c>
      <c r="F409" s="21" t="s">
        <v>2600</v>
      </c>
      <c r="G409" s="21" t="s">
        <v>11411</v>
      </c>
      <c r="H409" s="21" t="s">
        <v>25619</v>
      </c>
    </row>
    <row r="410" customFormat="false" ht="15" hidden="false" customHeight="false" outlineLevel="0" collapsed="false">
      <c r="B410" s="19" t="s">
        <v>25801</v>
      </c>
      <c r="C410" s="20" t="n">
        <f aca="false">ROUND(1.25/FX,2)</f>
        <v>0.17</v>
      </c>
      <c r="D410" s="21" t="s">
        <v>13739</v>
      </c>
      <c r="E410" s="21" t="s">
        <v>734</v>
      </c>
      <c r="F410" s="21" t="s">
        <v>12096</v>
      </c>
      <c r="G410" s="21" t="s">
        <v>11411</v>
      </c>
      <c r="H410" s="21" t="s">
        <v>25619</v>
      </c>
    </row>
    <row r="411" customFormat="false" ht="15" hidden="false" customHeight="false" outlineLevel="0" collapsed="false">
      <c r="B411" s="19" t="s">
        <v>25802</v>
      </c>
      <c r="C411" s="20" t="n">
        <f aca="false">ROUND(1/FX,2)</f>
        <v>0.14</v>
      </c>
      <c r="D411" s="21" t="s">
        <v>13739</v>
      </c>
      <c r="E411" s="21" t="s">
        <v>734</v>
      </c>
      <c r="F411" s="21" t="s">
        <v>2651</v>
      </c>
      <c r="G411" s="21" t="s">
        <v>11411</v>
      </c>
      <c r="H411" s="21" t="s">
        <v>25619</v>
      </c>
    </row>
    <row r="412" customFormat="false" ht="15" hidden="false" customHeight="false" outlineLevel="0" collapsed="false">
      <c r="B412" s="19" t="s">
        <v>25803</v>
      </c>
      <c r="C412" s="20" t="n">
        <f aca="false">ROUND(1.78/FX,2)</f>
        <v>0.25</v>
      </c>
      <c r="D412" s="21" t="s">
        <v>13739</v>
      </c>
      <c r="E412" s="21" t="s">
        <v>734</v>
      </c>
      <c r="F412" s="21" t="s">
        <v>25804</v>
      </c>
      <c r="G412" s="21" t="s">
        <v>11411</v>
      </c>
      <c r="H412" s="21" t="s">
        <v>25619</v>
      </c>
    </row>
    <row r="413" customFormat="false" ht="15" hidden="false" customHeight="false" outlineLevel="0" collapsed="false">
      <c r="B413" s="19" t="s">
        <v>25805</v>
      </c>
      <c r="C413" s="20" t="n">
        <f aca="false">ROUND(1.06/FX,2)</f>
        <v>0.15</v>
      </c>
      <c r="D413" s="21" t="s">
        <v>25471</v>
      </c>
      <c r="E413" s="21" t="s">
        <v>734</v>
      </c>
      <c r="F413" s="21" t="s">
        <v>761</v>
      </c>
      <c r="G413" s="21" t="s">
        <v>11411</v>
      </c>
      <c r="H413" s="21" t="s">
        <v>25627</v>
      </c>
    </row>
    <row r="414" customFormat="false" ht="15" hidden="false" customHeight="false" outlineLevel="0" collapsed="false">
      <c r="B414" s="19" t="s">
        <v>25806</v>
      </c>
      <c r="C414" s="20" t="n">
        <f aca="false">ROUND(1.78/FX,2)</f>
        <v>0.25</v>
      </c>
      <c r="D414" s="21" t="s">
        <v>13739</v>
      </c>
      <c r="E414" s="21" t="s">
        <v>734</v>
      </c>
      <c r="F414" s="21" t="s">
        <v>2701</v>
      </c>
      <c r="G414" s="21" t="s">
        <v>11411</v>
      </c>
      <c r="H414" s="21" t="s">
        <v>25619</v>
      </c>
    </row>
    <row r="415" customFormat="false" ht="15" hidden="false" customHeight="false" outlineLevel="0" collapsed="false">
      <c r="B415" s="19" t="s">
        <v>25807</v>
      </c>
      <c r="C415" s="20" t="n">
        <f aca="false">ROUND(1.2/FX,2)</f>
        <v>0.17</v>
      </c>
      <c r="D415" s="21" t="s">
        <v>13732</v>
      </c>
      <c r="E415" s="21" t="s">
        <v>734</v>
      </c>
      <c r="F415" s="21" t="s">
        <v>11968</v>
      </c>
      <c r="G415" s="21" t="s">
        <v>11411</v>
      </c>
      <c r="H415" s="21" t="s">
        <v>25619</v>
      </c>
    </row>
    <row r="416" customFormat="false" ht="15" hidden="false" customHeight="false" outlineLevel="0" collapsed="false">
      <c r="B416" s="19" t="s">
        <v>25808</v>
      </c>
      <c r="C416" s="20" t="n">
        <f aca="false">ROUND(1.2/FX,2)</f>
        <v>0.17</v>
      </c>
      <c r="D416" s="21" t="s">
        <v>13732</v>
      </c>
      <c r="E416" s="21" t="s">
        <v>734</v>
      </c>
      <c r="F416" s="21" t="s">
        <v>2751</v>
      </c>
      <c r="G416" s="21" t="s">
        <v>11411</v>
      </c>
      <c r="H416" s="21" t="s">
        <v>25619</v>
      </c>
    </row>
    <row r="417" customFormat="false" ht="15" hidden="false" customHeight="false" outlineLevel="0" collapsed="false">
      <c r="B417" s="19" t="s">
        <v>25809</v>
      </c>
      <c r="C417" s="20" t="n">
        <f aca="false">ROUND(1.52/FX,2)</f>
        <v>0.21</v>
      </c>
      <c r="D417" s="21" t="s">
        <v>13732</v>
      </c>
      <c r="E417" s="21" t="s">
        <v>734</v>
      </c>
      <c r="F417" s="21" t="s">
        <v>12223</v>
      </c>
      <c r="G417" s="21" t="s">
        <v>11411</v>
      </c>
      <c r="H417" s="21" t="s">
        <v>25619</v>
      </c>
    </row>
    <row r="418" customFormat="false" ht="15" hidden="false" customHeight="false" outlineLevel="0" collapsed="false">
      <c r="B418" s="19" t="s">
        <v>25810</v>
      </c>
      <c r="C418" s="20" t="n">
        <f aca="false">ROUND(1.06/FX,2)</f>
        <v>0.15</v>
      </c>
      <c r="D418" s="21" t="s">
        <v>25462</v>
      </c>
      <c r="E418" s="21" t="s">
        <v>734</v>
      </c>
      <c r="F418" s="21" t="s">
        <v>4721</v>
      </c>
      <c r="G418" s="21" t="s">
        <v>11411</v>
      </c>
      <c r="H418" s="21" t="s">
        <v>25627</v>
      </c>
    </row>
    <row r="419" customFormat="false" ht="15" hidden="false" customHeight="false" outlineLevel="0" collapsed="false">
      <c r="B419" s="19" t="s">
        <v>25811</v>
      </c>
      <c r="C419" s="20" t="n">
        <f aca="false">ROUND(1.52/FX,2)</f>
        <v>0.21</v>
      </c>
      <c r="D419" s="21" t="s">
        <v>13732</v>
      </c>
      <c r="E419" s="21" t="s">
        <v>734</v>
      </c>
      <c r="F419" s="21" t="s">
        <v>2801</v>
      </c>
      <c r="G419" s="21" t="s">
        <v>11411</v>
      </c>
      <c r="H419" s="21" t="s">
        <v>25619</v>
      </c>
    </row>
    <row r="420" customFormat="false" ht="15" hidden="false" customHeight="false" outlineLevel="0" collapsed="false">
      <c r="B420" s="19" t="s">
        <v>25812</v>
      </c>
      <c r="C420" s="20" t="n">
        <f aca="false">ROUND(1.78/FX,2)</f>
        <v>0.25</v>
      </c>
      <c r="D420" s="21" t="s">
        <v>13732</v>
      </c>
      <c r="E420" s="21" t="s">
        <v>734</v>
      </c>
      <c r="F420" s="21" t="s">
        <v>2851</v>
      </c>
      <c r="G420" s="21" t="s">
        <v>11411</v>
      </c>
      <c r="H420" s="21" t="s">
        <v>25619</v>
      </c>
    </row>
    <row r="421" customFormat="false" ht="15" hidden="false" customHeight="false" outlineLevel="0" collapsed="false">
      <c r="B421" s="19" t="s">
        <v>25813</v>
      </c>
      <c r="C421" s="20" t="n">
        <f aca="false">ROUND(1/FX,2)</f>
        <v>0.14</v>
      </c>
      <c r="D421" s="21" t="s">
        <v>25462</v>
      </c>
      <c r="E421" s="21" t="s">
        <v>734</v>
      </c>
      <c r="F421" s="21" t="s">
        <v>3833</v>
      </c>
      <c r="G421" s="21" t="s">
        <v>11411</v>
      </c>
      <c r="H421" s="21" t="s">
        <v>25627</v>
      </c>
    </row>
    <row r="422" customFormat="false" ht="15" hidden="false" customHeight="false" outlineLevel="0" collapsed="false">
      <c r="B422" s="19" t="s">
        <v>25814</v>
      </c>
      <c r="C422" s="20" t="n">
        <f aca="false">ROUND(1.03/FX,2)</f>
        <v>0.14</v>
      </c>
      <c r="D422" s="21" t="s">
        <v>24287</v>
      </c>
      <c r="E422" s="21" t="s">
        <v>734</v>
      </c>
      <c r="F422" s="21" t="s">
        <v>4000</v>
      </c>
      <c r="G422" s="21" t="s">
        <v>11411</v>
      </c>
      <c r="H422" s="21" t="s">
        <v>25627</v>
      </c>
    </row>
    <row r="423" customFormat="false" ht="15" hidden="false" customHeight="false" outlineLevel="0" collapsed="false">
      <c r="B423" s="19" t="s">
        <v>25815</v>
      </c>
      <c r="C423" s="20" t="n">
        <f aca="false">ROUND(1.01/FX,2)</f>
        <v>0.14</v>
      </c>
      <c r="D423" s="21" t="s">
        <v>13978</v>
      </c>
      <c r="E423" s="21" t="s">
        <v>734</v>
      </c>
      <c r="F423" s="21" t="s">
        <v>3247</v>
      </c>
      <c r="G423" s="21" t="s">
        <v>11411</v>
      </c>
      <c r="H423" s="21" t="s">
        <v>25627</v>
      </c>
    </row>
    <row r="424" customFormat="false" ht="15" hidden="false" customHeight="false" outlineLevel="0" collapsed="false">
      <c r="B424" s="19" t="s">
        <v>25816</v>
      </c>
      <c r="C424" s="20" t="n">
        <f aca="false">ROUND(1.02/FX,2)</f>
        <v>0.14</v>
      </c>
      <c r="D424" s="21" t="s">
        <v>25459</v>
      </c>
      <c r="E424" s="21" t="s">
        <v>734</v>
      </c>
      <c r="F424" s="21" t="s">
        <v>5097</v>
      </c>
      <c r="G424" s="21" t="s">
        <v>11411</v>
      </c>
      <c r="H424" s="21" t="s">
        <v>25627</v>
      </c>
    </row>
    <row r="425" customFormat="false" ht="15" hidden="false" customHeight="false" outlineLevel="0" collapsed="false">
      <c r="B425" s="19" t="s">
        <v>25817</v>
      </c>
      <c r="C425" s="20" t="n">
        <f aca="false">ROUND(1.11/FX,2)</f>
        <v>0.15</v>
      </c>
      <c r="D425" s="21" t="s">
        <v>14016</v>
      </c>
      <c r="E425" s="21" t="s">
        <v>734</v>
      </c>
      <c r="F425" s="21" t="s">
        <v>3317</v>
      </c>
      <c r="G425" s="21" t="s">
        <v>11411</v>
      </c>
      <c r="H425" s="21" t="s">
        <v>25627</v>
      </c>
    </row>
    <row r="426" customFormat="false" ht="15" hidden="false" customHeight="false" outlineLevel="0" collapsed="false">
      <c r="B426" s="19" t="s">
        <v>25818</v>
      </c>
      <c r="C426" s="20" t="n">
        <f aca="false">ROUND(1/FX,2)</f>
        <v>0.14</v>
      </c>
      <c r="D426" s="21" t="s">
        <v>13994</v>
      </c>
      <c r="E426" s="21" t="s">
        <v>734</v>
      </c>
      <c r="F426" s="21" t="s">
        <v>784</v>
      </c>
      <c r="G426" s="21" t="s">
        <v>11411</v>
      </c>
      <c r="H426" s="21" t="s">
        <v>25627</v>
      </c>
    </row>
    <row r="427" customFormat="false" ht="15" hidden="false" customHeight="false" outlineLevel="0" collapsed="false">
      <c r="B427" s="19" t="s">
        <v>25819</v>
      </c>
      <c r="C427" s="20" t="n">
        <f aca="false">ROUND(1.09/FX,2)</f>
        <v>0.15</v>
      </c>
      <c r="D427" s="21" t="s">
        <v>13994</v>
      </c>
      <c r="E427" s="21" t="s">
        <v>734</v>
      </c>
      <c r="F427" s="21" t="s">
        <v>3328</v>
      </c>
      <c r="G427" s="21" t="s">
        <v>11411</v>
      </c>
      <c r="H427" s="21" t="s">
        <v>25627</v>
      </c>
    </row>
    <row r="428" customFormat="false" ht="15" hidden="false" customHeight="false" outlineLevel="0" collapsed="false">
      <c r="B428" s="19" t="s">
        <v>25820</v>
      </c>
      <c r="C428" s="20" t="n">
        <f aca="false">ROUND(1.01/FX,2)</f>
        <v>0.14</v>
      </c>
      <c r="D428" s="21" t="s">
        <v>14007</v>
      </c>
      <c r="E428" s="21" t="s">
        <v>734</v>
      </c>
      <c r="F428" s="21" t="s">
        <v>6246</v>
      </c>
      <c r="G428" s="21" t="s">
        <v>11411</v>
      </c>
      <c r="H428" s="21" t="s">
        <v>25619</v>
      </c>
    </row>
    <row r="429" customFormat="false" ht="15" hidden="false" customHeight="false" outlineLevel="0" collapsed="false">
      <c r="B429" s="19" t="s">
        <v>25821</v>
      </c>
      <c r="C429" s="20" t="n">
        <f aca="false">ROUND(1.01/FX,2)</f>
        <v>0.14</v>
      </c>
      <c r="D429" s="21" t="s">
        <v>14007</v>
      </c>
      <c r="E429" s="21" t="s">
        <v>734</v>
      </c>
      <c r="F429" s="21" t="s">
        <v>6246</v>
      </c>
      <c r="G429" s="21" t="s">
        <v>11411</v>
      </c>
      <c r="H429" s="21" t="s">
        <v>25627</v>
      </c>
    </row>
    <row r="430" customFormat="false" ht="15" hidden="false" customHeight="false" outlineLevel="0" collapsed="false">
      <c r="B430" s="19" t="s">
        <v>25822</v>
      </c>
      <c r="C430" s="20" t="n">
        <f aca="false">ROUND(1.09/FX,2)</f>
        <v>0.15</v>
      </c>
      <c r="D430" s="21" t="s">
        <v>13997</v>
      </c>
      <c r="E430" s="21" t="s">
        <v>734</v>
      </c>
      <c r="F430" s="21" t="s">
        <v>7358</v>
      </c>
      <c r="G430" s="21" t="s">
        <v>11411</v>
      </c>
      <c r="H430" s="21" t="s">
        <v>25619</v>
      </c>
    </row>
    <row r="431" customFormat="false" ht="15" hidden="false" customHeight="false" outlineLevel="0" collapsed="false">
      <c r="B431" s="19" t="s">
        <v>25823</v>
      </c>
      <c r="C431" s="20" t="n">
        <f aca="false">ROUND(1.17/FX,2)</f>
        <v>0.16</v>
      </c>
      <c r="D431" s="21" t="s">
        <v>14007</v>
      </c>
      <c r="E431" s="21" t="s">
        <v>734</v>
      </c>
      <c r="F431" s="21" t="s">
        <v>7358</v>
      </c>
      <c r="G431" s="21" t="s">
        <v>11411</v>
      </c>
      <c r="H431" s="21" t="s">
        <v>25627</v>
      </c>
    </row>
    <row r="432" customFormat="false" ht="15" hidden="false" customHeight="false" outlineLevel="0" collapsed="false">
      <c r="B432" s="19" t="s">
        <v>25824</v>
      </c>
      <c r="C432" s="20" t="n">
        <f aca="false">ROUND(1.08/FX,2)</f>
        <v>0.15</v>
      </c>
      <c r="D432" s="21" t="s">
        <v>14016</v>
      </c>
      <c r="E432" s="21" t="s">
        <v>734</v>
      </c>
      <c r="F432" s="21" t="s">
        <v>2911</v>
      </c>
      <c r="G432" s="21" t="s">
        <v>11411</v>
      </c>
      <c r="H432" s="21" t="s">
        <v>25619</v>
      </c>
    </row>
    <row r="433" customFormat="false" ht="15" hidden="false" customHeight="false" outlineLevel="0" collapsed="false">
      <c r="B433" s="19" t="s">
        <v>25825</v>
      </c>
      <c r="C433" s="20" t="n">
        <f aca="false">ROUND(1.04/FX,2)</f>
        <v>0.14</v>
      </c>
      <c r="D433" s="21" t="s">
        <v>13743</v>
      </c>
      <c r="E433" s="21" t="s">
        <v>734</v>
      </c>
      <c r="F433" s="21" t="s">
        <v>2911</v>
      </c>
      <c r="G433" s="21" t="s">
        <v>11411</v>
      </c>
      <c r="H433" s="21" t="s">
        <v>25627</v>
      </c>
    </row>
    <row r="434" customFormat="false" ht="15" hidden="false" customHeight="false" outlineLevel="0" collapsed="false">
      <c r="B434" s="19" t="s">
        <v>25826</v>
      </c>
      <c r="C434" s="20" t="n">
        <f aca="false">ROUND(0.14/FX,2)</f>
        <v>0.02</v>
      </c>
      <c r="D434" s="21" t="s">
        <v>13732</v>
      </c>
      <c r="E434" s="21" t="s">
        <v>734</v>
      </c>
      <c r="F434" s="21" t="s">
        <v>7275</v>
      </c>
      <c r="G434" s="21" t="s">
        <v>11411</v>
      </c>
      <c r="H434" s="21" t="s">
        <v>25619</v>
      </c>
    </row>
    <row r="435" customFormat="false" ht="15" hidden="false" customHeight="false" outlineLevel="0" collapsed="false">
      <c r="B435" s="19" t="s">
        <v>25827</v>
      </c>
      <c r="C435" s="20" t="n">
        <f aca="false">ROUND(1.03/FX,2)</f>
        <v>0.14</v>
      </c>
      <c r="D435" s="21" t="s">
        <v>14007</v>
      </c>
      <c r="E435" s="21" t="s">
        <v>734</v>
      </c>
      <c r="F435" s="21" t="s">
        <v>7275</v>
      </c>
      <c r="G435" s="21" t="s">
        <v>11411</v>
      </c>
      <c r="H435" s="21" t="s">
        <v>25627</v>
      </c>
    </row>
    <row r="436" customFormat="false" ht="15" hidden="false" customHeight="false" outlineLevel="0" collapsed="false">
      <c r="B436" s="19" t="s">
        <v>25828</v>
      </c>
      <c r="C436" s="20" t="n">
        <f aca="false">ROUND(1.17/FX,2)</f>
        <v>0.16</v>
      </c>
      <c r="D436" s="21" t="s">
        <v>14007</v>
      </c>
      <c r="E436" s="21" t="s">
        <v>734</v>
      </c>
      <c r="F436" s="21" t="s">
        <v>2961</v>
      </c>
      <c r="G436" s="21" t="s">
        <v>11411</v>
      </c>
      <c r="H436" s="21" t="s">
        <v>25619</v>
      </c>
    </row>
    <row r="437" customFormat="false" ht="15" hidden="false" customHeight="false" outlineLevel="0" collapsed="false">
      <c r="B437" s="19" t="s">
        <v>25829</v>
      </c>
      <c r="C437" s="20" t="n">
        <f aca="false">ROUND(1.1/FX,2)</f>
        <v>0.15</v>
      </c>
      <c r="D437" s="21" t="s">
        <v>14007</v>
      </c>
      <c r="E437" s="21" t="s">
        <v>734</v>
      </c>
      <c r="F437" s="21" t="s">
        <v>2961</v>
      </c>
      <c r="G437" s="21" t="s">
        <v>11411</v>
      </c>
      <c r="H437" s="21" t="s">
        <v>25627</v>
      </c>
    </row>
    <row r="438" customFormat="false" ht="15" hidden="false" customHeight="false" outlineLevel="0" collapsed="false">
      <c r="B438" s="19" t="s">
        <v>25830</v>
      </c>
      <c r="C438" s="20" t="n">
        <f aca="false">ROUND(1.4/FX,2)</f>
        <v>0.19</v>
      </c>
      <c r="D438" s="21" t="s">
        <v>14007</v>
      </c>
      <c r="E438" s="21" t="s">
        <v>734</v>
      </c>
      <c r="F438" s="21" t="s">
        <v>13817</v>
      </c>
      <c r="G438" s="21" t="s">
        <v>11411</v>
      </c>
      <c r="H438" s="21" t="s">
        <v>25619</v>
      </c>
    </row>
    <row r="439" customFormat="false" ht="15" hidden="false" customHeight="false" outlineLevel="0" collapsed="false">
      <c r="B439" s="19" t="s">
        <v>25831</v>
      </c>
      <c r="C439" s="20" t="n">
        <f aca="false">ROUND(1/FX,2)</f>
        <v>0.14</v>
      </c>
      <c r="D439" s="21" t="s">
        <v>13743</v>
      </c>
      <c r="E439" s="21" t="s">
        <v>734</v>
      </c>
      <c r="F439" s="21" t="s">
        <v>13817</v>
      </c>
      <c r="G439" s="21" t="s">
        <v>11411</v>
      </c>
      <c r="H439" s="21" t="s">
        <v>25627</v>
      </c>
    </row>
    <row r="440" customFormat="false" ht="15" hidden="false" customHeight="false" outlineLevel="0" collapsed="false">
      <c r="B440" s="19" t="s">
        <v>25832</v>
      </c>
      <c r="C440" s="20" t="n">
        <f aca="false">ROUND(1.2/FX,2)</f>
        <v>0.17</v>
      </c>
      <c r="D440" s="21" t="s">
        <v>14013</v>
      </c>
      <c r="E440" s="21" t="s">
        <v>734</v>
      </c>
      <c r="F440" s="21" t="s">
        <v>3011</v>
      </c>
      <c r="G440" s="21" t="s">
        <v>11411</v>
      </c>
      <c r="H440" s="21" t="s">
        <v>25619</v>
      </c>
    </row>
    <row r="441" customFormat="false" ht="15" hidden="false" customHeight="false" outlineLevel="0" collapsed="false">
      <c r="B441" s="19" t="s">
        <v>25833</v>
      </c>
      <c r="C441" s="20" t="n">
        <f aca="false">ROUND(1.19/FX,2)</f>
        <v>0.17</v>
      </c>
      <c r="D441" s="21" t="s">
        <v>13743</v>
      </c>
      <c r="E441" s="21" t="s">
        <v>734</v>
      </c>
      <c r="F441" s="21" t="s">
        <v>3011</v>
      </c>
      <c r="G441" s="21" t="s">
        <v>11411</v>
      </c>
      <c r="H441" s="21" t="s">
        <v>25627</v>
      </c>
    </row>
    <row r="442" customFormat="false" ht="15" hidden="false" customHeight="false" outlineLevel="0" collapsed="false">
      <c r="B442" s="19" t="s">
        <v>25834</v>
      </c>
      <c r="C442" s="20" t="n">
        <f aca="false">ROUND(1.19/FX,2)</f>
        <v>0.17</v>
      </c>
      <c r="D442" s="21" t="s">
        <v>14013</v>
      </c>
      <c r="E442" s="21" t="s">
        <v>734</v>
      </c>
      <c r="F442" s="21" t="s">
        <v>7396</v>
      </c>
      <c r="G442" s="21" t="s">
        <v>11411</v>
      </c>
      <c r="H442" s="21" t="s">
        <v>25619</v>
      </c>
    </row>
    <row r="443" customFormat="false" ht="15" hidden="false" customHeight="false" outlineLevel="0" collapsed="false">
      <c r="B443" s="19" t="s">
        <v>25835</v>
      </c>
      <c r="C443" s="20" t="n">
        <f aca="false">ROUND(1.01/FX,2)</f>
        <v>0.14</v>
      </c>
      <c r="D443" s="21" t="s">
        <v>21722</v>
      </c>
      <c r="E443" s="21" t="s">
        <v>734</v>
      </c>
      <c r="F443" s="21" t="s">
        <v>847</v>
      </c>
      <c r="G443" s="21" t="s">
        <v>11411</v>
      </c>
      <c r="H443" s="21" t="s">
        <v>25627</v>
      </c>
    </row>
    <row r="444" customFormat="false" ht="15" hidden="false" customHeight="false" outlineLevel="0" collapsed="false">
      <c r="B444" s="19" t="s">
        <v>25836</v>
      </c>
      <c r="C444" s="20" t="n">
        <f aca="false">ROUND(1.25/FX,2)</f>
        <v>0.17</v>
      </c>
      <c r="D444" s="21" t="s">
        <v>13751</v>
      </c>
      <c r="E444" s="21" t="s">
        <v>734</v>
      </c>
      <c r="F444" s="21" t="s">
        <v>3061</v>
      </c>
      <c r="G444" s="21" t="s">
        <v>11411</v>
      </c>
      <c r="H444" s="21" t="s">
        <v>25619</v>
      </c>
    </row>
    <row r="445" customFormat="false" ht="15" hidden="false" customHeight="false" outlineLevel="0" collapsed="false">
      <c r="B445" s="19" t="s">
        <v>25837</v>
      </c>
      <c r="C445" s="20" t="n">
        <f aca="false">ROUND(1.17/FX,2)</f>
        <v>0.16</v>
      </c>
      <c r="D445" s="21" t="s">
        <v>14013</v>
      </c>
      <c r="E445" s="21" t="s">
        <v>734</v>
      </c>
      <c r="F445" s="21" t="s">
        <v>3061</v>
      </c>
      <c r="G445" s="21" t="s">
        <v>11411</v>
      </c>
      <c r="H445" s="21" t="s">
        <v>25627</v>
      </c>
    </row>
    <row r="446" customFormat="false" ht="15" hidden="false" customHeight="false" outlineLevel="0" collapsed="false">
      <c r="B446" s="19" t="s">
        <v>25838</v>
      </c>
      <c r="C446" s="20" t="n">
        <f aca="false">ROUND(1.51/FX,2)</f>
        <v>0.21</v>
      </c>
      <c r="D446" s="21" t="s">
        <v>13739</v>
      </c>
      <c r="E446" s="21" t="s">
        <v>734</v>
      </c>
      <c r="F446" s="21" t="s">
        <v>11870</v>
      </c>
      <c r="G446" s="21" t="s">
        <v>11411</v>
      </c>
      <c r="H446" s="21" t="s">
        <v>25619</v>
      </c>
    </row>
    <row r="447" customFormat="false" ht="15" hidden="false" customHeight="false" outlineLevel="0" collapsed="false">
      <c r="B447" s="19" t="s">
        <v>25839</v>
      </c>
      <c r="C447" s="20" t="n">
        <f aca="false">ROUND(1.29/FX,2)</f>
        <v>0.18</v>
      </c>
      <c r="D447" s="21" t="s">
        <v>13751</v>
      </c>
      <c r="E447" s="21" t="s">
        <v>734</v>
      </c>
      <c r="F447" s="21" t="s">
        <v>3111</v>
      </c>
      <c r="G447" s="21" t="s">
        <v>11411</v>
      </c>
      <c r="H447" s="21" t="s">
        <v>25619</v>
      </c>
    </row>
    <row r="448" customFormat="false" ht="15" hidden="false" customHeight="false" outlineLevel="0" collapsed="false">
      <c r="B448" s="19" t="s">
        <v>25840</v>
      </c>
      <c r="C448" s="20" t="n">
        <f aca="false">ROUND(1.13/FX,2)</f>
        <v>0.16</v>
      </c>
      <c r="D448" s="21" t="s">
        <v>13751</v>
      </c>
      <c r="E448" s="21" t="s">
        <v>734</v>
      </c>
      <c r="F448" s="21" t="s">
        <v>3111</v>
      </c>
      <c r="G448" s="21" t="s">
        <v>11411</v>
      </c>
      <c r="H448" s="21" t="s">
        <v>25627</v>
      </c>
    </row>
    <row r="449" customFormat="false" ht="15" hidden="false" customHeight="false" outlineLevel="0" collapsed="false">
      <c r="B449" s="19" t="s">
        <v>25841</v>
      </c>
      <c r="C449" s="20" t="n">
        <f aca="false">ROUND(1.08/FX,2)</f>
        <v>0.15</v>
      </c>
      <c r="D449" s="21" t="s">
        <v>21722</v>
      </c>
      <c r="E449" s="21" t="s">
        <v>734</v>
      </c>
      <c r="F449" s="21" t="s">
        <v>707</v>
      </c>
      <c r="G449" s="21" t="s">
        <v>11413</v>
      </c>
      <c r="H449" s="21" t="s">
        <v>25627</v>
      </c>
    </row>
    <row r="450" customFormat="false" ht="15" hidden="false" customHeight="false" outlineLevel="0" collapsed="false">
      <c r="B450" s="19" t="s">
        <v>25842</v>
      </c>
      <c r="C450" s="20" t="n">
        <f aca="false">ROUND(1.05/FX,2)</f>
        <v>0.15</v>
      </c>
      <c r="D450" s="21" t="s">
        <v>13739</v>
      </c>
      <c r="E450" s="21" t="s">
        <v>734</v>
      </c>
      <c r="F450" s="21" t="s">
        <v>2600</v>
      </c>
      <c r="G450" s="21" t="s">
        <v>11413</v>
      </c>
      <c r="H450" s="21" t="s">
        <v>25619</v>
      </c>
    </row>
    <row r="451" customFormat="false" ht="15" hidden="false" customHeight="false" outlineLevel="0" collapsed="false">
      <c r="B451" s="19" t="s">
        <v>25843</v>
      </c>
      <c r="C451" s="20" t="n">
        <f aca="false">ROUND(1.01/FX,2)</f>
        <v>0.14</v>
      </c>
      <c r="D451" s="21" t="s">
        <v>13978</v>
      </c>
      <c r="E451" s="21" t="s">
        <v>734</v>
      </c>
      <c r="F451" s="21" t="s">
        <v>761</v>
      </c>
      <c r="G451" s="21" t="s">
        <v>11413</v>
      </c>
      <c r="H451" s="21" t="s">
        <v>25627</v>
      </c>
    </row>
    <row r="452" customFormat="false" ht="15" hidden="false" customHeight="false" outlineLevel="0" collapsed="false">
      <c r="B452" s="19" t="s">
        <v>25844</v>
      </c>
      <c r="C452" s="20" t="n">
        <f aca="false">ROUND(1.04/FX,2)</f>
        <v>0.14</v>
      </c>
      <c r="D452" s="21" t="s">
        <v>13997</v>
      </c>
      <c r="E452" s="21" t="s">
        <v>734</v>
      </c>
      <c r="F452" s="21" t="s">
        <v>3833</v>
      </c>
      <c r="G452" s="21" t="s">
        <v>11413</v>
      </c>
      <c r="H452" s="21" t="s">
        <v>25627</v>
      </c>
    </row>
    <row r="453" customFormat="false" ht="15" hidden="false" customHeight="false" outlineLevel="0" collapsed="false">
      <c r="B453" s="19" t="s">
        <v>25845</v>
      </c>
      <c r="C453" s="20" t="n">
        <f aca="false">ROUND(1.09/FX,2)</f>
        <v>0.15</v>
      </c>
      <c r="D453" s="21" t="s">
        <v>14056</v>
      </c>
      <c r="E453" s="21" t="s">
        <v>734</v>
      </c>
      <c r="F453" s="21" t="s">
        <v>3247</v>
      </c>
      <c r="G453" s="21" t="s">
        <v>11413</v>
      </c>
      <c r="H453" s="21" t="s">
        <v>25627</v>
      </c>
    </row>
    <row r="454" customFormat="false" ht="15" hidden="false" customHeight="false" outlineLevel="0" collapsed="false">
      <c r="B454" s="19" t="s">
        <v>25846</v>
      </c>
      <c r="C454" s="20" t="n">
        <f aca="false">ROUND(1.04/FX,2)</f>
        <v>0.14</v>
      </c>
      <c r="D454" s="21" t="s">
        <v>14056</v>
      </c>
      <c r="E454" s="21" t="s">
        <v>734</v>
      </c>
      <c r="F454" s="21" t="s">
        <v>3317</v>
      </c>
      <c r="G454" s="21" t="s">
        <v>11413</v>
      </c>
      <c r="H454" s="21" t="s">
        <v>25627</v>
      </c>
    </row>
    <row r="455" customFormat="false" ht="15" hidden="false" customHeight="false" outlineLevel="0" collapsed="false">
      <c r="B455" s="19" t="s">
        <v>25847</v>
      </c>
      <c r="C455" s="20" t="n">
        <f aca="false">ROUND(1.01/FX,2)</f>
        <v>0.14</v>
      </c>
      <c r="D455" s="21" t="s">
        <v>14007</v>
      </c>
      <c r="E455" s="21" t="s">
        <v>734</v>
      </c>
      <c r="F455" s="21" t="s">
        <v>784</v>
      </c>
      <c r="G455" s="21" t="s">
        <v>11413</v>
      </c>
      <c r="H455" s="21" t="s">
        <v>25627</v>
      </c>
    </row>
    <row r="456" customFormat="false" ht="15" hidden="false" customHeight="false" outlineLevel="0" collapsed="false">
      <c r="B456" s="19" t="s">
        <v>25848</v>
      </c>
      <c r="C456" s="20" t="n">
        <f aca="false">ROUND(1.17/FX,2)</f>
        <v>0.16</v>
      </c>
      <c r="D456" s="21" t="s">
        <v>14007</v>
      </c>
      <c r="E456" s="21" t="s">
        <v>734</v>
      </c>
      <c r="F456" s="21" t="s">
        <v>3328</v>
      </c>
      <c r="G456" s="21" t="s">
        <v>11413</v>
      </c>
      <c r="H456" s="21" t="s">
        <v>25627</v>
      </c>
    </row>
    <row r="457" customFormat="false" ht="15" hidden="false" customHeight="false" outlineLevel="0" collapsed="false">
      <c r="B457" s="19" t="s">
        <v>25849</v>
      </c>
      <c r="C457" s="20" t="n">
        <f aca="false">ROUND(1.04/FX,2)</f>
        <v>0.14</v>
      </c>
      <c r="D457" s="21" t="s">
        <v>13743</v>
      </c>
      <c r="E457" s="21" t="s">
        <v>734</v>
      </c>
      <c r="F457" s="21" t="s">
        <v>6246</v>
      </c>
      <c r="G457" s="21" t="s">
        <v>11413</v>
      </c>
      <c r="H457" s="21" t="s">
        <v>25619</v>
      </c>
    </row>
    <row r="458" customFormat="false" ht="15" hidden="false" customHeight="false" outlineLevel="0" collapsed="false">
      <c r="B458" s="19" t="s">
        <v>25850</v>
      </c>
      <c r="C458" s="20" t="n">
        <f aca="false">ROUND(1.04/FX,2)</f>
        <v>0.14</v>
      </c>
      <c r="D458" s="21" t="s">
        <v>13743</v>
      </c>
      <c r="E458" s="21" t="s">
        <v>734</v>
      </c>
      <c r="F458" s="21" t="s">
        <v>6246</v>
      </c>
      <c r="G458" s="21" t="s">
        <v>11413</v>
      </c>
      <c r="H458" s="21" t="s">
        <v>25627</v>
      </c>
    </row>
    <row r="459" customFormat="false" ht="15" hidden="false" customHeight="false" outlineLevel="0" collapsed="false">
      <c r="B459" s="19" t="s">
        <v>25851</v>
      </c>
      <c r="C459" s="20" t="n">
        <f aca="false">ROUND(1.17/FX,2)</f>
        <v>0.16</v>
      </c>
      <c r="D459" s="21" t="s">
        <v>13743</v>
      </c>
      <c r="E459" s="21" t="s">
        <v>734</v>
      </c>
      <c r="F459" s="21" t="s">
        <v>7358</v>
      </c>
      <c r="G459" s="21" t="s">
        <v>11413</v>
      </c>
      <c r="H459" s="21" t="s">
        <v>25627</v>
      </c>
    </row>
    <row r="460" customFormat="false" ht="15" hidden="false" customHeight="false" outlineLevel="0" collapsed="false">
      <c r="B460" s="19" t="s">
        <v>25852</v>
      </c>
      <c r="C460" s="20" t="n">
        <f aca="false">ROUND(1.17/FX,2)</f>
        <v>0.16</v>
      </c>
      <c r="D460" s="21" t="s">
        <v>14007</v>
      </c>
      <c r="E460" s="21" t="s">
        <v>734</v>
      </c>
      <c r="F460" s="21" t="s">
        <v>2911</v>
      </c>
      <c r="G460" s="21" t="s">
        <v>11413</v>
      </c>
      <c r="H460" s="21" t="s">
        <v>25619</v>
      </c>
    </row>
    <row r="461" customFormat="false" ht="15" hidden="false" customHeight="false" outlineLevel="0" collapsed="false">
      <c r="B461" s="19" t="s">
        <v>25853</v>
      </c>
      <c r="C461" s="20" t="n">
        <f aca="false">ROUND(1.17/FX,2)</f>
        <v>0.16</v>
      </c>
      <c r="D461" s="21" t="s">
        <v>13743</v>
      </c>
      <c r="E461" s="21" t="s">
        <v>734</v>
      </c>
      <c r="F461" s="21" t="s">
        <v>2911</v>
      </c>
      <c r="G461" s="21" t="s">
        <v>11413</v>
      </c>
      <c r="H461" s="21" t="s">
        <v>25627</v>
      </c>
    </row>
    <row r="462" customFormat="false" ht="15" hidden="false" customHeight="false" outlineLevel="0" collapsed="false">
      <c r="B462" s="19" t="s">
        <v>25854</v>
      </c>
      <c r="C462" s="20" t="n">
        <f aca="false">ROUND(1.14/FX,2)</f>
        <v>0.16</v>
      </c>
      <c r="D462" s="21" t="s">
        <v>13743</v>
      </c>
      <c r="E462" s="21" t="s">
        <v>734</v>
      </c>
      <c r="F462" s="21" t="s">
        <v>7275</v>
      </c>
      <c r="G462" s="21" t="s">
        <v>11413</v>
      </c>
      <c r="H462" s="21" t="s">
        <v>25619</v>
      </c>
    </row>
    <row r="463" customFormat="false" ht="15" hidden="false" customHeight="false" outlineLevel="0" collapsed="false">
      <c r="B463" s="19" t="s">
        <v>25855</v>
      </c>
      <c r="C463" s="20" t="n">
        <f aca="false">ROUND(1.11/FX,2)</f>
        <v>0.15</v>
      </c>
      <c r="D463" s="21" t="s">
        <v>13743</v>
      </c>
      <c r="E463" s="21" t="s">
        <v>734</v>
      </c>
      <c r="F463" s="21" t="s">
        <v>2961</v>
      </c>
      <c r="G463" s="21" t="s">
        <v>11413</v>
      </c>
      <c r="H463" s="21" t="s">
        <v>25619</v>
      </c>
    </row>
    <row r="464" customFormat="false" ht="15" hidden="false" customHeight="false" outlineLevel="0" collapsed="false">
      <c r="B464" s="19" t="s">
        <v>25856</v>
      </c>
      <c r="C464" s="20" t="n">
        <f aca="false">ROUND(1.11/FX,2)</f>
        <v>0.15</v>
      </c>
      <c r="D464" s="21" t="s">
        <v>13743</v>
      </c>
      <c r="E464" s="21" t="s">
        <v>734</v>
      </c>
      <c r="F464" s="21" t="s">
        <v>2961</v>
      </c>
      <c r="G464" s="21" t="s">
        <v>11413</v>
      </c>
      <c r="H464" s="21" t="s">
        <v>25627</v>
      </c>
    </row>
    <row r="465" customFormat="false" ht="15" hidden="false" customHeight="false" outlineLevel="0" collapsed="false">
      <c r="B465" s="19" t="s">
        <v>25857</v>
      </c>
      <c r="C465" s="20" t="n">
        <f aca="false">ROUND(1.09/FX,2)</f>
        <v>0.15</v>
      </c>
      <c r="D465" s="21" t="s">
        <v>14013</v>
      </c>
      <c r="E465" s="21" t="s">
        <v>734</v>
      </c>
      <c r="F465" s="21" t="s">
        <v>13817</v>
      </c>
      <c r="G465" s="21" t="s">
        <v>11413</v>
      </c>
      <c r="H465" s="21" t="s">
        <v>25619</v>
      </c>
    </row>
    <row r="466" customFormat="false" ht="15" hidden="false" customHeight="false" outlineLevel="0" collapsed="false">
      <c r="B466" s="19" t="s">
        <v>25858</v>
      </c>
      <c r="C466" s="20" t="n">
        <f aca="false">ROUND(0.2/FX,2)</f>
        <v>0.03</v>
      </c>
      <c r="D466" s="21" t="s">
        <v>13732</v>
      </c>
      <c r="E466" s="21" t="s">
        <v>734</v>
      </c>
      <c r="F466" s="21" t="s">
        <v>3011</v>
      </c>
      <c r="G466" s="21" t="s">
        <v>11413</v>
      </c>
      <c r="H466" s="21" t="s">
        <v>25619</v>
      </c>
    </row>
    <row r="467" customFormat="false" ht="15" hidden="false" customHeight="false" outlineLevel="0" collapsed="false">
      <c r="B467" s="19" t="s">
        <v>25859</v>
      </c>
      <c r="C467" s="20" t="n">
        <f aca="false">ROUND(1.04/FX,2)</f>
        <v>0.14</v>
      </c>
      <c r="D467" s="21" t="s">
        <v>13751</v>
      </c>
      <c r="E467" s="21" t="s">
        <v>734</v>
      </c>
      <c r="F467" s="21" t="s">
        <v>7396</v>
      </c>
      <c r="G467" s="21" t="s">
        <v>11413</v>
      </c>
      <c r="H467" s="21" t="s">
        <v>25619</v>
      </c>
    </row>
    <row r="468" customFormat="false" ht="15" hidden="false" customHeight="false" outlineLevel="0" collapsed="false">
      <c r="B468" s="19" t="s">
        <v>25860</v>
      </c>
      <c r="C468" s="20" t="n">
        <f aca="false">ROUND(1.07/FX,2)</f>
        <v>0.15</v>
      </c>
      <c r="D468" s="21" t="s">
        <v>13988</v>
      </c>
      <c r="E468" s="21" t="s">
        <v>734</v>
      </c>
      <c r="F468" s="21" t="s">
        <v>847</v>
      </c>
      <c r="G468" s="21" t="s">
        <v>11413</v>
      </c>
      <c r="H468" s="21" t="s">
        <v>25627</v>
      </c>
    </row>
    <row r="469" customFormat="false" ht="15" hidden="false" customHeight="false" outlineLevel="0" collapsed="false">
      <c r="B469" s="19" t="s">
        <v>25861</v>
      </c>
      <c r="C469" s="20" t="n">
        <f aca="false">ROUND(1.25/FX,2)</f>
        <v>0.17</v>
      </c>
      <c r="D469" s="21" t="s">
        <v>13751</v>
      </c>
      <c r="E469" s="21" t="s">
        <v>734</v>
      </c>
      <c r="F469" s="21" t="s">
        <v>3061</v>
      </c>
      <c r="G469" s="21" t="s">
        <v>11413</v>
      </c>
      <c r="H469" s="21" t="s">
        <v>25619</v>
      </c>
    </row>
    <row r="470" customFormat="false" ht="15" hidden="false" customHeight="false" outlineLevel="0" collapsed="false">
      <c r="B470" s="19" t="s">
        <v>25862</v>
      </c>
      <c r="C470" s="20" t="n">
        <f aca="false">ROUND(1.28/FX,2)</f>
        <v>0.18</v>
      </c>
      <c r="D470" s="21" t="s">
        <v>14013</v>
      </c>
      <c r="E470" s="21" t="s">
        <v>734</v>
      </c>
      <c r="F470" s="21" t="s">
        <v>3111</v>
      </c>
      <c r="G470" s="21" t="s">
        <v>11413</v>
      </c>
      <c r="H470" s="21" t="s">
        <v>25619</v>
      </c>
    </row>
    <row r="471" customFormat="false" ht="15" hidden="false" customHeight="false" outlineLevel="0" collapsed="false">
      <c r="B471" s="19" t="s">
        <v>25863</v>
      </c>
      <c r="C471" s="20" t="n">
        <f aca="false">ROUND(1.04/FX,2)</f>
        <v>0.14</v>
      </c>
      <c r="D471" s="21" t="s">
        <v>13739</v>
      </c>
      <c r="E471" s="21" t="s">
        <v>734</v>
      </c>
      <c r="F471" s="21" t="s">
        <v>707</v>
      </c>
      <c r="G471" s="21" t="s">
        <v>25864</v>
      </c>
      <c r="H471" s="21" t="s">
        <v>25627</v>
      </c>
    </row>
    <row r="472" customFormat="false" ht="15" hidden="false" customHeight="false" outlineLevel="0" collapsed="false">
      <c r="B472" s="19" t="s">
        <v>25865</v>
      </c>
      <c r="C472" s="20" t="n">
        <f aca="false">ROUND(1.04/FX,2)</f>
        <v>0.14</v>
      </c>
      <c r="D472" s="21" t="s">
        <v>13739</v>
      </c>
      <c r="E472" s="21" t="s">
        <v>734</v>
      </c>
      <c r="F472" s="21" t="s">
        <v>761</v>
      </c>
      <c r="G472" s="21" t="s">
        <v>25864</v>
      </c>
      <c r="H472" s="21" t="s">
        <v>25627</v>
      </c>
    </row>
    <row r="473" customFormat="false" ht="15" hidden="false" customHeight="false" outlineLevel="0" collapsed="false">
      <c r="B473" s="19" t="s">
        <v>25866</v>
      </c>
      <c r="C473" s="20" t="n">
        <f aca="false">ROUND(1.04/FX,2)</f>
        <v>0.14</v>
      </c>
      <c r="D473" s="21" t="s">
        <v>13739</v>
      </c>
      <c r="E473" s="21" t="s">
        <v>734</v>
      </c>
      <c r="F473" s="21" t="s">
        <v>3833</v>
      </c>
      <c r="G473" s="21" t="s">
        <v>25864</v>
      </c>
      <c r="H473" s="21" t="s">
        <v>25627</v>
      </c>
    </row>
    <row r="474" customFormat="false" ht="15" hidden="false" customHeight="false" outlineLevel="0" collapsed="false">
      <c r="B474" s="19" t="s">
        <v>25867</v>
      </c>
      <c r="C474" s="20" t="n">
        <f aca="false">ROUND(1.17/FX,2)</f>
        <v>0.16</v>
      </c>
      <c r="D474" s="21" t="s">
        <v>13739</v>
      </c>
      <c r="E474" s="21" t="s">
        <v>734</v>
      </c>
      <c r="F474" s="21" t="s">
        <v>3247</v>
      </c>
      <c r="G474" s="21" t="s">
        <v>25864</v>
      </c>
      <c r="H474" s="21" t="s">
        <v>25627</v>
      </c>
    </row>
    <row r="475" customFormat="false" ht="15" hidden="false" customHeight="false" outlineLevel="0" collapsed="false">
      <c r="B475" s="19" t="s">
        <v>25868</v>
      </c>
      <c r="C475" s="20" t="n">
        <f aca="false">ROUND(1.33/FX,2)</f>
        <v>0.18</v>
      </c>
      <c r="D475" s="21" t="s">
        <v>13739</v>
      </c>
      <c r="E475" s="21" t="s">
        <v>734</v>
      </c>
      <c r="F475" s="21" t="s">
        <v>3317</v>
      </c>
      <c r="G475" s="21" t="s">
        <v>25864</v>
      </c>
      <c r="H475" s="21" t="s">
        <v>25627</v>
      </c>
    </row>
    <row r="476" customFormat="false" ht="15" hidden="false" customHeight="false" outlineLevel="0" collapsed="false">
      <c r="B476" s="19" t="s">
        <v>25869</v>
      </c>
      <c r="C476" s="20" t="n">
        <f aca="false">ROUND(1.3/FX,2)</f>
        <v>0.18</v>
      </c>
      <c r="D476" s="21" t="s">
        <v>13739</v>
      </c>
      <c r="E476" s="21" t="s">
        <v>734</v>
      </c>
      <c r="F476" s="21" t="s">
        <v>784</v>
      </c>
      <c r="G476" s="21" t="s">
        <v>25864</v>
      </c>
      <c r="H476" s="21" t="s">
        <v>25627</v>
      </c>
    </row>
    <row r="477" customFormat="false" ht="15" hidden="false" customHeight="false" outlineLevel="0" collapsed="false">
      <c r="B477" s="19" t="s">
        <v>25870</v>
      </c>
      <c r="C477" s="20" t="n">
        <f aca="false">ROUND(1.66/FX,2)</f>
        <v>0.23</v>
      </c>
      <c r="D477" s="21" t="s">
        <v>13739</v>
      </c>
      <c r="E477" s="21" t="s">
        <v>734</v>
      </c>
      <c r="F477" s="21" t="s">
        <v>3328</v>
      </c>
      <c r="G477" s="21" t="s">
        <v>25864</v>
      </c>
      <c r="H477" s="21" t="s">
        <v>25627</v>
      </c>
    </row>
    <row r="478" customFormat="false" ht="15" hidden="false" customHeight="false" outlineLevel="0" collapsed="false">
      <c r="B478" s="19" t="s">
        <v>25871</v>
      </c>
      <c r="C478" s="20" t="n">
        <f aca="false">ROUND(1.77/FX,2)</f>
        <v>0.25</v>
      </c>
      <c r="D478" s="21" t="s">
        <v>13739</v>
      </c>
      <c r="E478" s="21" t="s">
        <v>734</v>
      </c>
      <c r="F478" s="21" t="s">
        <v>6246</v>
      </c>
      <c r="G478" s="21" t="s">
        <v>25864</v>
      </c>
      <c r="H478" s="21" t="s">
        <v>25627</v>
      </c>
    </row>
    <row r="479" customFormat="false" ht="15" hidden="false" customHeight="false" outlineLevel="0" collapsed="false">
      <c r="B479" s="19" t="s">
        <v>25872</v>
      </c>
      <c r="C479" s="20" t="n">
        <f aca="false">ROUND(1.98/FX,2)</f>
        <v>0.28</v>
      </c>
      <c r="D479" s="21" t="s">
        <v>13739</v>
      </c>
      <c r="E479" s="21" t="s">
        <v>734</v>
      </c>
      <c r="F479" s="21" t="s">
        <v>7358</v>
      </c>
      <c r="G479" s="21" t="s">
        <v>25864</v>
      </c>
      <c r="H479" s="21" t="s">
        <v>25627</v>
      </c>
    </row>
    <row r="480" customFormat="false" ht="15" hidden="false" customHeight="false" outlineLevel="0" collapsed="false">
      <c r="B480" s="19" t="s">
        <v>25873</v>
      </c>
      <c r="C480" s="20" t="n">
        <f aca="false">ROUND(1.11/FX,2)</f>
        <v>0.15</v>
      </c>
      <c r="D480" s="21" t="s">
        <v>13732</v>
      </c>
      <c r="E480" s="21" t="s">
        <v>734</v>
      </c>
      <c r="F480" s="21" t="s">
        <v>2911</v>
      </c>
      <c r="G480" s="21" t="s">
        <v>25864</v>
      </c>
      <c r="H480" s="21" t="s">
        <v>25627</v>
      </c>
    </row>
    <row r="481" customFormat="false" ht="15" hidden="false" customHeight="false" outlineLevel="0" collapsed="false">
      <c r="B481" s="19" t="s">
        <v>25874</v>
      </c>
      <c r="C481" s="20" t="n">
        <f aca="false">ROUND(1.06/FX,2)</f>
        <v>0.15</v>
      </c>
      <c r="D481" s="21" t="s">
        <v>14007</v>
      </c>
      <c r="E481" s="21" t="s">
        <v>734</v>
      </c>
      <c r="F481" s="21" t="s">
        <v>707</v>
      </c>
      <c r="G481" s="21" t="s">
        <v>11415</v>
      </c>
      <c r="H481" s="21" t="s">
        <v>25627</v>
      </c>
    </row>
    <row r="482" customFormat="false" ht="15" hidden="false" customHeight="false" outlineLevel="0" collapsed="false">
      <c r="B482" s="19" t="s">
        <v>25875</v>
      </c>
      <c r="C482" s="20" t="n">
        <f aca="false">ROUND(1.61/FX,2)</f>
        <v>0.22</v>
      </c>
      <c r="D482" s="21" t="s">
        <v>13739</v>
      </c>
      <c r="E482" s="21" t="s">
        <v>734</v>
      </c>
      <c r="F482" s="21" t="s">
        <v>2600</v>
      </c>
      <c r="G482" s="21" t="s">
        <v>11415</v>
      </c>
      <c r="H482" s="21" t="s">
        <v>25619</v>
      </c>
    </row>
    <row r="483" customFormat="false" ht="15" hidden="false" customHeight="false" outlineLevel="0" collapsed="false">
      <c r="B483" s="19" t="s">
        <v>25876</v>
      </c>
      <c r="C483" s="20" t="n">
        <f aca="false">ROUND(1.05/FX,2)</f>
        <v>0.15</v>
      </c>
      <c r="D483" s="21" t="s">
        <v>13994</v>
      </c>
      <c r="E483" s="21" t="s">
        <v>734</v>
      </c>
      <c r="F483" s="21" t="s">
        <v>761</v>
      </c>
      <c r="G483" s="21" t="s">
        <v>11415</v>
      </c>
      <c r="H483" s="21" t="s">
        <v>25627</v>
      </c>
    </row>
    <row r="484" customFormat="false" ht="15" hidden="false" customHeight="false" outlineLevel="0" collapsed="false">
      <c r="B484" s="19" t="s">
        <v>25877</v>
      </c>
      <c r="C484" s="20" t="n">
        <f aca="false">ROUND(1.01/FX,2)</f>
        <v>0.14</v>
      </c>
      <c r="D484" s="21" t="s">
        <v>14007</v>
      </c>
      <c r="E484" s="21" t="s">
        <v>734</v>
      </c>
      <c r="F484" s="21" t="s">
        <v>3833</v>
      </c>
      <c r="G484" s="21" t="s">
        <v>11415</v>
      </c>
      <c r="H484" s="21" t="s">
        <v>25627</v>
      </c>
    </row>
    <row r="485" customFormat="false" ht="15" hidden="false" customHeight="false" outlineLevel="0" collapsed="false">
      <c r="B485" s="19" t="s">
        <v>25878</v>
      </c>
      <c r="C485" s="20" t="n">
        <f aca="false">ROUND(1.1/FX,2)</f>
        <v>0.15</v>
      </c>
      <c r="D485" s="21" t="s">
        <v>14007</v>
      </c>
      <c r="E485" s="21" t="s">
        <v>734</v>
      </c>
      <c r="F485" s="21" t="s">
        <v>3247</v>
      </c>
      <c r="G485" s="21" t="s">
        <v>11415</v>
      </c>
      <c r="H485" s="21" t="s">
        <v>25627</v>
      </c>
    </row>
    <row r="486" customFormat="false" ht="15" hidden="false" customHeight="false" outlineLevel="0" collapsed="false">
      <c r="B486" s="19" t="s">
        <v>25879</v>
      </c>
      <c r="C486" s="20" t="n">
        <f aca="false">ROUND(1.17/FX,2)</f>
        <v>0.16</v>
      </c>
      <c r="D486" s="21" t="s">
        <v>14007</v>
      </c>
      <c r="E486" s="21" t="s">
        <v>734</v>
      </c>
      <c r="F486" s="21" t="s">
        <v>3317</v>
      </c>
      <c r="G486" s="21" t="s">
        <v>11415</v>
      </c>
      <c r="H486" s="21" t="s">
        <v>25627</v>
      </c>
    </row>
    <row r="487" customFormat="false" ht="15" hidden="false" customHeight="false" outlineLevel="0" collapsed="false">
      <c r="B487" s="19" t="s">
        <v>25880</v>
      </c>
      <c r="C487" s="20" t="n">
        <f aca="false">ROUND(1.07/FX,2)</f>
        <v>0.15</v>
      </c>
      <c r="D487" s="21" t="s">
        <v>13743</v>
      </c>
      <c r="E487" s="21" t="s">
        <v>734</v>
      </c>
      <c r="F487" s="21" t="s">
        <v>784</v>
      </c>
      <c r="G487" s="21" t="s">
        <v>11415</v>
      </c>
      <c r="H487" s="21" t="s">
        <v>25627</v>
      </c>
    </row>
    <row r="488" customFormat="false" ht="15" hidden="false" customHeight="false" outlineLevel="0" collapsed="false">
      <c r="B488" s="19" t="s">
        <v>25881</v>
      </c>
      <c r="C488" s="20" t="n">
        <f aca="false">ROUND(1.18/FX,2)</f>
        <v>0.16</v>
      </c>
      <c r="D488" s="21" t="s">
        <v>13743</v>
      </c>
      <c r="E488" s="21" t="s">
        <v>734</v>
      </c>
      <c r="F488" s="21" t="s">
        <v>3328</v>
      </c>
      <c r="G488" s="21" t="s">
        <v>11415</v>
      </c>
      <c r="H488" s="21" t="s">
        <v>25627</v>
      </c>
    </row>
    <row r="489" customFormat="false" ht="15" hidden="false" customHeight="false" outlineLevel="0" collapsed="false">
      <c r="B489" s="19" t="s">
        <v>25882</v>
      </c>
      <c r="C489" s="20" t="n">
        <f aca="false">ROUND(1.09/FX,2)</f>
        <v>0.15</v>
      </c>
      <c r="D489" s="21" t="s">
        <v>14013</v>
      </c>
      <c r="E489" s="21" t="s">
        <v>734</v>
      </c>
      <c r="F489" s="21" t="s">
        <v>6246</v>
      </c>
      <c r="G489" s="21" t="s">
        <v>11415</v>
      </c>
      <c r="H489" s="21" t="s">
        <v>25627</v>
      </c>
    </row>
    <row r="490" customFormat="false" ht="15" hidden="false" customHeight="false" outlineLevel="0" collapsed="false">
      <c r="B490" s="19" t="s">
        <v>25883</v>
      </c>
      <c r="C490" s="20" t="n">
        <f aca="false">ROUND(1.02/FX,2)</f>
        <v>0.14</v>
      </c>
      <c r="D490" s="21" t="s">
        <v>13751</v>
      </c>
      <c r="E490" s="21" t="s">
        <v>734</v>
      </c>
      <c r="F490" s="21" t="s">
        <v>7358</v>
      </c>
      <c r="G490" s="21" t="s">
        <v>11415</v>
      </c>
      <c r="H490" s="21" t="s">
        <v>25627</v>
      </c>
    </row>
    <row r="491" customFormat="false" ht="15" hidden="false" customHeight="false" outlineLevel="0" collapsed="false">
      <c r="B491" s="19" t="s">
        <v>25884</v>
      </c>
      <c r="C491" s="20" t="n">
        <f aca="false">ROUND(1.25/FX,2)</f>
        <v>0.17</v>
      </c>
      <c r="D491" s="21" t="s">
        <v>14013</v>
      </c>
      <c r="E491" s="21" t="s">
        <v>734</v>
      </c>
      <c r="F491" s="21" t="s">
        <v>2911</v>
      </c>
      <c r="G491" s="21" t="s">
        <v>11415</v>
      </c>
      <c r="H491" s="21" t="s">
        <v>25619</v>
      </c>
    </row>
    <row r="492" customFormat="false" ht="15" hidden="false" customHeight="false" outlineLevel="0" collapsed="false">
      <c r="B492" s="19" t="s">
        <v>25885</v>
      </c>
      <c r="C492" s="20" t="n">
        <f aca="false">ROUND(1.05/FX,2)</f>
        <v>0.15</v>
      </c>
      <c r="D492" s="21" t="s">
        <v>13751</v>
      </c>
      <c r="E492" s="21" t="s">
        <v>734</v>
      </c>
      <c r="F492" s="21" t="s">
        <v>2911</v>
      </c>
      <c r="G492" s="21" t="s">
        <v>11415</v>
      </c>
      <c r="H492" s="21" t="s">
        <v>25627</v>
      </c>
    </row>
    <row r="493" customFormat="false" ht="15" hidden="false" customHeight="false" outlineLevel="0" collapsed="false">
      <c r="B493" s="19" t="s">
        <v>25886</v>
      </c>
      <c r="C493" s="20" t="n">
        <f aca="false">ROUND(1.17/FX,2)</f>
        <v>0.16</v>
      </c>
      <c r="D493" s="21" t="s">
        <v>13751</v>
      </c>
      <c r="E493" s="21" t="s">
        <v>734</v>
      </c>
      <c r="F493" s="21" t="s">
        <v>7275</v>
      </c>
      <c r="G493" s="21" t="s">
        <v>11415</v>
      </c>
      <c r="H493" s="21" t="s">
        <v>25619</v>
      </c>
    </row>
    <row r="494" customFormat="false" ht="15" hidden="false" customHeight="false" outlineLevel="0" collapsed="false">
      <c r="B494" s="19" t="s">
        <v>25887</v>
      </c>
      <c r="C494" s="20" t="n">
        <f aca="false">ROUND(1.33/FX,2)</f>
        <v>0.18</v>
      </c>
      <c r="D494" s="21" t="s">
        <v>13751</v>
      </c>
      <c r="E494" s="21" t="s">
        <v>734</v>
      </c>
      <c r="F494" s="21" t="s">
        <v>2961</v>
      </c>
      <c r="G494" s="21" t="s">
        <v>11415</v>
      </c>
      <c r="H494" s="21" t="s">
        <v>25619</v>
      </c>
    </row>
    <row r="495" customFormat="false" ht="15" hidden="false" customHeight="false" outlineLevel="0" collapsed="false">
      <c r="B495" s="19" t="s">
        <v>25888</v>
      </c>
      <c r="C495" s="20" t="n">
        <f aca="false">ROUND(1.44/FX,2)</f>
        <v>0.2</v>
      </c>
      <c r="D495" s="21" t="s">
        <v>13751</v>
      </c>
      <c r="E495" s="21" t="s">
        <v>734</v>
      </c>
      <c r="F495" s="21" t="s">
        <v>13817</v>
      </c>
      <c r="G495" s="21" t="s">
        <v>11415</v>
      </c>
      <c r="H495" s="21" t="s">
        <v>25619</v>
      </c>
    </row>
    <row r="496" customFormat="false" ht="15" hidden="false" customHeight="false" outlineLevel="0" collapsed="false">
      <c r="B496" s="19" t="s">
        <v>25889</v>
      </c>
      <c r="C496" s="20" t="n">
        <f aca="false">ROUND(1.16/FX,2)</f>
        <v>0.16</v>
      </c>
      <c r="D496" s="21" t="s">
        <v>13732</v>
      </c>
      <c r="E496" s="21" t="s">
        <v>734</v>
      </c>
      <c r="F496" s="21" t="s">
        <v>3011</v>
      </c>
      <c r="G496" s="21" t="s">
        <v>11415</v>
      </c>
      <c r="H496" s="21" t="s">
        <v>25619</v>
      </c>
    </row>
    <row r="497" customFormat="false" ht="15" hidden="false" customHeight="false" outlineLevel="0" collapsed="false">
      <c r="B497" s="19" t="s">
        <v>25890</v>
      </c>
      <c r="C497" s="20" t="n">
        <f aca="false">ROUND(1.1/FX,2)</f>
        <v>0.15</v>
      </c>
      <c r="D497" s="21" t="s">
        <v>13739</v>
      </c>
      <c r="E497" s="21" t="s">
        <v>734</v>
      </c>
      <c r="F497" s="21" t="s">
        <v>7396</v>
      </c>
      <c r="G497" s="21" t="s">
        <v>11415</v>
      </c>
      <c r="H497" s="21" t="s">
        <v>25619</v>
      </c>
    </row>
    <row r="498" customFormat="false" ht="15" hidden="false" customHeight="false" outlineLevel="0" collapsed="false">
      <c r="B498" s="19" t="s">
        <v>25891</v>
      </c>
      <c r="C498" s="20" t="n">
        <f aca="false">ROUND(1.18/FX,2)</f>
        <v>0.16</v>
      </c>
      <c r="D498" s="21" t="s">
        <v>13739</v>
      </c>
      <c r="E498" s="21" t="s">
        <v>734</v>
      </c>
      <c r="F498" s="21" t="s">
        <v>3061</v>
      </c>
      <c r="G498" s="21" t="s">
        <v>11415</v>
      </c>
      <c r="H498" s="21" t="s">
        <v>25619</v>
      </c>
    </row>
    <row r="499" customFormat="false" ht="15" hidden="false" customHeight="false" outlineLevel="0" collapsed="false">
      <c r="B499" s="19" t="s">
        <v>25892</v>
      </c>
      <c r="C499" s="20" t="n">
        <f aca="false">ROUND(1.34/FX,2)</f>
        <v>0.19</v>
      </c>
      <c r="D499" s="21" t="s">
        <v>13739</v>
      </c>
      <c r="E499" s="21" t="s">
        <v>734</v>
      </c>
      <c r="F499" s="21" t="s">
        <v>3111</v>
      </c>
      <c r="G499" s="21" t="s">
        <v>11415</v>
      </c>
      <c r="H499" s="21" t="s">
        <v>25619</v>
      </c>
    </row>
    <row r="502" customFormat="false" ht="61.5" hidden="false" customHeight="true" outlineLevel="0" collapsed="false">
      <c r="A502" s="9"/>
      <c r="B502" s="10" t="s">
        <v>25893</v>
      </c>
      <c r="C502" s="10"/>
      <c r="D502" s="10"/>
      <c r="E502" s="10"/>
      <c r="F502" s="10"/>
    </row>
    <row r="503" customFormat="false" ht="15" hidden="false" customHeight="false" outlineLevel="0" collapsed="false">
      <c r="A503" s="12" t="s">
        <v>700</v>
      </c>
      <c r="B503" s="13" t="s">
        <v>701</v>
      </c>
      <c r="C503" s="13" t="s">
        <v>702</v>
      </c>
      <c r="D503" s="13" t="s">
        <v>705</v>
      </c>
      <c r="E503" s="13" t="s">
        <v>11716</v>
      </c>
      <c r="F503" s="13" t="s">
        <v>13701</v>
      </c>
    </row>
    <row r="504" customFormat="false" ht="30" hidden="false" customHeight="true" outlineLevel="0" collapsed="false">
      <c r="A504" s="14" t="s">
        <v>706</v>
      </c>
      <c r="B504" s="15" t="str">
        <f aca="false">IF(COUNTIFS($D$507:$D$580,IF(D504="","*",D504),$E$507:$E$580,IF(E504="","*",E504),$F$507:$F$580,IF(F504="","*",F504))=1,INDEX($B:$B,SUMPRODUCT(((D504="")+($D$507:$D$580=D504)&gt;0)*((E504="")+($E$507:$E$580=E504)&gt;0)*((F504="")+($F$507:$F$580=F504)&gt;0)*ROW($B$507:$B$580))),IF(COUNTIFS($D$507:$D$580,IF(D504="","*",D504),$E$507:$E$580,IF(E504="","*",E504),$F$507:$F$580,IF(F504="","*",F504))=0,"Not available",COUNTIFS($D$507:$D$580,IF(D504="","*",D504),$E$507:$E$580,IF(E504="","*",E504),$F$507:$F$580,IF(F504="","*",F504))&amp;" match, keep choosing"))</f>
        <v>D7984-SS-M10x16-P2</v>
      </c>
      <c r="C504" s="16" t="n">
        <f aca="false">IF(COUNTIFS($D$507:$D$580,IF(D504="","*",D504),$E$507:$E$580,IF(E504="","*",E504),$F$507:$F$580,IF(F504="","*",F504))=1,INDEX($C:$C,SUMPRODUCT(((D504="")+($D$507:$D$580=D504)&gt;0)*((E504="")+($E$507:$E$580=E504)&gt;0)*((F504="")+($F$507:$F$580=F504)&gt;0)*ROW($B$507:$B$580))),"")</f>
        <v>0.22</v>
      </c>
      <c r="D504" s="17" t="s">
        <v>13739</v>
      </c>
      <c r="E504" s="17" t="s">
        <v>3833</v>
      </c>
      <c r="F504" s="17" t="s">
        <v>22841</v>
      </c>
    </row>
    <row r="506" customFormat="false" ht="15" hidden="false" customHeight="false" outlineLevel="0" collapsed="false">
      <c r="B506" s="18" t="s">
        <v>701</v>
      </c>
      <c r="C506" s="18" t="s">
        <v>702</v>
      </c>
      <c r="D506" s="18" t="s">
        <v>705</v>
      </c>
      <c r="E506" s="18" t="s">
        <v>11716</v>
      </c>
      <c r="F506" s="18" t="s">
        <v>13701</v>
      </c>
    </row>
    <row r="507" customFormat="false" ht="15" hidden="false" customHeight="false" outlineLevel="0" collapsed="false">
      <c r="B507" s="19" t="s">
        <v>25894</v>
      </c>
      <c r="C507" s="20" t="n">
        <f aca="false">ROUND(1.56/FX,2)</f>
        <v>0.22</v>
      </c>
      <c r="D507" s="21" t="s">
        <v>13739</v>
      </c>
      <c r="E507" s="21" t="s">
        <v>3833</v>
      </c>
      <c r="F507" s="21" t="s">
        <v>22841</v>
      </c>
    </row>
    <row r="508" customFormat="false" ht="15" hidden="false" customHeight="false" outlineLevel="0" collapsed="false">
      <c r="B508" s="19" t="s">
        <v>25895</v>
      </c>
      <c r="C508" s="20" t="n">
        <f aca="false">ROUND(1.64/FX,2)</f>
        <v>0.23</v>
      </c>
      <c r="D508" s="21" t="s">
        <v>13739</v>
      </c>
      <c r="E508" s="21" t="s">
        <v>4000</v>
      </c>
      <c r="F508" s="21" t="s">
        <v>22841</v>
      </c>
    </row>
    <row r="509" customFormat="false" ht="15" hidden="false" customHeight="false" outlineLevel="0" collapsed="false">
      <c r="B509" s="19" t="s">
        <v>25896</v>
      </c>
      <c r="C509" s="20" t="n">
        <f aca="false">ROUND(1.74/FX,2)</f>
        <v>0.24</v>
      </c>
      <c r="D509" s="21" t="s">
        <v>13739</v>
      </c>
      <c r="E509" s="21" t="s">
        <v>3247</v>
      </c>
      <c r="F509" s="21" t="s">
        <v>22841</v>
      </c>
    </row>
    <row r="510" customFormat="false" ht="15" hidden="false" customHeight="false" outlineLevel="0" collapsed="false">
      <c r="B510" s="19" t="s">
        <v>25897</v>
      </c>
      <c r="C510" s="20" t="n">
        <f aca="false">ROUND(1.98/FX,2)</f>
        <v>0.28</v>
      </c>
      <c r="D510" s="21" t="s">
        <v>13739</v>
      </c>
      <c r="E510" s="21" t="s">
        <v>3317</v>
      </c>
      <c r="F510" s="21" t="s">
        <v>22841</v>
      </c>
    </row>
    <row r="511" customFormat="false" ht="15" hidden="false" customHeight="false" outlineLevel="0" collapsed="false">
      <c r="B511" s="19" t="s">
        <v>25898</v>
      </c>
      <c r="C511" s="20" t="n">
        <f aca="false">ROUND(1.12/FX,2)</f>
        <v>0.16</v>
      </c>
      <c r="D511" s="21" t="s">
        <v>13732</v>
      </c>
      <c r="E511" s="21" t="s">
        <v>784</v>
      </c>
      <c r="F511" s="21" t="s">
        <v>22841</v>
      </c>
    </row>
    <row r="512" customFormat="false" ht="15" hidden="false" customHeight="false" outlineLevel="0" collapsed="false">
      <c r="B512" s="19" t="s">
        <v>25899</v>
      </c>
      <c r="C512" s="20" t="n">
        <f aca="false">ROUND(1.27/FX,2)</f>
        <v>0.18</v>
      </c>
      <c r="D512" s="21" t="s">
        <v>13732</v>
      </c>
      <c r="E512" s="21" t="s">
        <v>3328</v>
      </c>
      <c r="F512" s="21" t="s">
        <v>22841</v>
      </c>
    </row>
    <row r="513" customFormat="false" ht="15" hidden="false" customHeight="false" outlineLevel="0" collapsed="false">
      <c r="B513" s="19" t="s">
        <v>25900</v>
      </c>
      <c r="C513" s="20" t="n">
        <f aca="false">ROUND(1.42/FX,2)</f>
        <v>0.2</v>
      </c>
      <c r="D513" s="21" t="s">
        <v>13732</v>
      </c>
      <c r="E513" s="21" t="s">
        <v>6246</v>
      </c>
      <c r="F513" s="21" t="s">
        <v>22841</v>
      </c>
    </row>
    <row r="514" customFormat="false" ht="15" hidden="false" customHeight="false" outlineLevel="0" collapsed="false">
      <c r="B514" s="19" t="s">
        <v>25901</v>
      </c>
      <c r="C514" s="20" t="n">
        <f aca="false">ROUND(1.59/FX,2)</f>
        <v>0.22</v>
      </c>
      <c r="D514" s="21" t="s">
        <v>13732</v>
      </c>
      <c r="E514" s="21" t="s">
        <v>7358</v>
      </c>
      <c r="F514" s="21" t="s">
        <v>22841</v>
      </c>
    </row>
    <row r="515" customFormat="false" ht="15" hidden="false" customHeight="false" outlineLevel="0" collapsed="false">
      <c r="B515" s="19" t="s">
        <v>25902</v>
      </c>
      <c r="C515" s="20" t="n">
        <f aca="false">ROUND(1.74/FX,2)</f>
        <v>0.24</v>
      </c>
      <c r="D515" s="21" t="s">
        <v>13732</v>
      </c>
      <c r="E515" s="21" t="s">
        <v>2911</v>
      </c>
      <c r="F515" s="21" t="s">
        <v>22841</v>
      </c>
    </row>
    <row r="516" customFormat="false" ht="15" hidden="false" customHeight="false" outlineLevel="0" collapsed="false">
      <c r="B516" s="19" t="s">
        <v>25903</v>
      </c>
      <c r="C516" s="20" t="n">
        <f aca="false">ROUND(1.9/FX,2)</f>
        <v>0.26</v>
      </c>
      <c r="D516" s="21" t="s">
        <v>13732</v>
      </c>
      <c r="E516" s="21" t="s">
        <v>7275</v>
      </c>
      <c r="F516" s="21" t="s">
        <v>22841</v>
      </c>
    </row>
    <row r="517" customFormat="false" ht="15" hidden="false" customHeight="false" outlineLevel="0" collapsed="false">
      <c r="B517" s="19" t="s">
        <v>25904</v>
      </c>
      <c r="C517" s="20" t="n">
        <f aca="false">ROUND(2.07/FX,2)</f>
        <v>0.29</v>
      </c>
      <c r="D517" s="21" t="s">
        <v>13732</v>
      </c>
      <c r="E517" s="21" t="s">
        <v>2961</v>
      </c>
      <c r="F517" s="21" t="s">
        <v>22841</v>
      </c>
    </row>
    <row r="518" customFormat="false" ht="15" hidden="false" customHeight="false" outlineLevel="0" collapsed="false">
      <c r="B518" s="19" t="s">
        <v>25905</v>
      </c>
      <c r="C518" s="20" t="n">
        <f aca="false">ROUND(1.26/FX,2)</f>
        <v>0.18</v>
      </c>
      <c r="D518" s="21" t="s">
        <v>13732</v>
      </c>
      <c r="E518" s="21" t="s">
        <v>3247</v>
      </c>
      <c r="F518" s="21" t="s">
        <v>22844</v>
      </c>
    </row>
    <row r="519" customFormat="false" ht="15" hidden="false" customHeight="false" outlineLevel="0" collapsed="false">
      <c r="B519" s="19" t="s">
        <v>25906</v>
      </c>
      <c r="C519" s="20" t="n">
        <f aca="false">ROUND(1.44/FX,2)</f>
        <v>0.2</v>
      </c>
      <c r="D519" s="21" t="s">
        <v>13732</v>
      </c>
      <c r="E519" s="21" t="s">
        <v>3317</v>
      </c>
      <c r="F519" s="21" t="s">
        <v>22844</v>
      </c>
    </row>
    <row r="520" customFormat="false" ht="15" hidden="false" customHeight="false" outlineLevel="0" collapsed="false">
      <c r="B520" s="19" t="s">
        <v>25907</v>
      </c>
      <c r="C520" s="20" t="n">
        <f aca="false">ROUND(1.64/FX,2)</f>
        <v>0.23</v>
      </c>
      <c r="D520" s="21" t="s">
        <v>13732</v>
      </c>
      <c r="E520" s="21" t="s">
        <v>784</v>
      </c>
      <c r="F520" s="21" t="s">
        <v>22844</v>
      </c>
    </row>
    <row r="521" customFormat="false" ht="15" hidden="false" customHeight="false" outlineLevel="0" collapsed="false">
      <c r="B521" s="19" t="s">
        <v>25908</v>
      </c>
      <c r="C521" s="20" t="n">
        <f aca="false">ROUND(1.82/FX,2)</f>
        <v>0.25</v>
      </c>
      <c r="D521" s="21" t="s">
        <v>13732</v>
      </c>
      <c r="E521" s="21" t="s">
        <v>3328</v>
      </c>
      <c r="F521" s="21" t="s">
        <v>22844</v>
      </c>
    </row>
    <row r="522" customFormat="false" ht="15" hidden="false" customHeight="false" outlineLevel="0" collapsed="false">
      <c r="B522" s="19" t="s">
        <v>25909</v>
      </c>
      <c r="C522" s="20" t="n">
        <f aca="false">ROUND(2.05/FX,2)</f>
        <v>0.28</v>
      </c>
      <c r="D522" s="21" t="s">
        <v>13732</v>
      </c>
      <c r="E522" s="21" t="s">
        <v>6246</v>
      </c>
      <c r="F522" s="21" t="s">
        <v>22844</v>
      </c>
    </row>
    <row r="523" customFormat="false" ht="15" hidden="false" customHeight="false" outlineLevel="0" collapsed="false">
      <c r="B523" s="19" t="s">
        <v>25910</v>
      </c>
      <c r="C523" s="20" t="n">
        <f aca="false">ROUND(2.29/FX,2)</f>
        <v>0.32</v>
      </c>
      <c r="D523" s="21" t="s">
        <v>13732</v>
      </c>
      <c r="E523" s="21" t="s">
        <v>7358</v>
      </c>
      <c r="F523" s="21" t="s">
        <v>22844</v>
      </c>
    </row>
    <row r="524" customFormat="false" ht="15" hidden="false" customHeight="false" outlineLevel="0" collapsed="false">
      <c r="B524" s="19" t="s">
        <v>25911</v>
      </c>
      <c r="C524" s="20" t="n">
        <f aca="false">ROUND(2.51/FX,2)</f>
        <v>0.35</v>
      </c>
      <c r="D524" s="21" t="s">
        <v>13732</v>
      </c>
      <c r="E524" s="21" t="s">
        <v>2911</v>
      </c>
      <c r="F524" s="21" t="s">
        <v>22844</v>
      </c>
    </row>
    <row r="525" customFormat="false" ht="15" hidden="false" customHeight="false" outlineLevel="0" collapsed="false">
      <c r="B525" s="19" t="s">
        <v>25912</v>
      </c>
      <c r="C525" s="20" t="n">
        <f aca="false">ROUND(2.73/FX,2)</f>
        <v>0.38</v>
      </c>
      <c r="D525" s="21" t="s">
        <v>13732</v>
      </c>
      <c r="E525" s="21" t="s">
        <v>7275</v>
      </c>
      <c r="F525" s="21" t="s">
        <v>22844</v>
      </c>
    </row>
    <row r="526" customFormat="false" ht="15" hidden="false" customHeight="false" outlineLevel="0" collapsed="false">
      <c r="B526" s="19" t="s">
        <v>25913</v>
      </c>
      <c r="C526" s="20" t="n">
        <f aca="false">ROUND(2.97/FX,2)</f>
        <v>0.41</v>
      </c>
      <c r="D526" s="21" t="s">
        <v>13732</v>
      </c>
      <c r="E526" s="21" t="s">
        <v>2961</v>
      </c>
      <c r="F526" s="21" t="s">
        <v>22844</v>
      </c>
    </row>
    <row r="527" customFormat="false" ht="15" hidden="false" customHeight="false" outlineLevel="0" collapsed="false">
      <c r="B527" s="19" t="s">
        <v>25914</v>
      </c>
      <c r="C527" s="20" t="n">
        <f aca="false">ROUND(3.44/FX,2)</f>
        <v>0.48</v>
      </c>
      <c r="D527" s="21" t="s">
        <v>13732</v>
      </c>
      <c r="E527" s="21" t="s">
        <v>3011</v>
      </c>
      <c r="F527" s="21" t="s">
        <v>22844</v>
      </c>
    </row>
    <row r="528" customFormat="false" ht="15" hidden="false" customHeight="false" outlineLevel="0" collapsed="false">
      <c r="B528" s="19" t="s">
        <v>25915</v>
      </c>
      <c r="C528" s="20" t="n">
        <f aca="false">ROUND(1.06/FX,2)</f>
        <v>0.15</v>
      </c>
      <c r="D528" s="21" t="s">
        <v>25462</v>
      </c>
      <c r="E528" s="21" t="s">
        <v>707</v>
      </c>
      <c r="F528" s="21" t="s">
        <v>11407</v>
      </c>
    </row>
    <row r="529" customFormat="false" ht="15" hidden="false" customHeight="false" outlineLevel="0" collapsed="false">
      <c r="B529" s="19" t="s">
        <v>25916</v>
      </c>
      <c r="C529" s="20" t="n">
        <f aca="false">ROUND(1.02/FX,2)</f>
        <v>0.14</v>
      </c>
      <c r="D529" s="21" t="s">
        <v>21722</v>
      </c>
      <c r="E529" s="21" t="s">
        <v>761</v>
      </c>
      <c r="F529" s="21" t="s">
        <v>11407</v>
      </c>
    </row>
    <row r="530" customFormat="false" ht="15" hidden="false" customHeight="false" outlineLevel="0" collapsed="false">
      <c r="B530" s="19" t="s">
        <v>25917</v>
      </c>
      <c r="C530" s="20" t="n">
        <f aca="false">ROUND(1.07/FX,2)</f>
        <v>0.15</v>
      </c>
      <c r="D530" s="21" t="s">
        <v>21722</v>
      </c>
      <c r="E530" s="21" t="s">
        <v>4721</v>
      </c>
      <c r="F530" s="21" t="s">
        <v>11407</v>
      </c>
    </row>
    <row r="531" customFormat="false" ht="15" hidden="false" customHeight="false" outlineLevel="0" collapsed="false">
      <c r="B531" s="19" t="s">
        <v>25918</v>
      </c>
      <c r="C531" s="20" t="n">
        <f aca="false">ROUND(1.09/FX,2)</f>
        <v>0.15</v>
      </c>
      <c r="D531" s="21" t="s">
        <v>13988</v>
      </c>
      <c r="E531" s="21" t="s">
        <v>3833</v>
      </c>
      <c r="F531" s="21" t="s">
        <v>11407</v>
      </c>
    </row>
    <row r="532" customFormat="false" ht="15" hidden="false" customHeight="false" outlineLevel="0" collapsed="false">
      <c r="B532" s="19" t="s">
        <v>25919</v>
      </c>
      <c r="C532" s="20" t="n">
        <f aca="false">ROUND(1.06/FX,2)</f>
        <v>0.15</v>
      </c>
      <c r="D532" s="21" t="s">
        <v>14016</v>
      </c>
      <c r="E532" s="21" t="s">
        <v>3247</v>
      </c>
      <c r="F532" s="21" t="s">
        <v>11407</v>
      </c>
    </row>
    <row r="533" customFormat="false" ht="15" hidden="false" customHeight="false" outlineLevel="0" collapsed="false">
      <c r="B533" s="19" t="s">
        <v>25920</v>
      </c>
      <c r="C533" s="20" t="n">
        <f aca="false">ROUND(1.02/FX,2)</f>
        <v>0.14</v>
      </c>
      <c r="D533" s="21" t="s">
        <v>14056</v>
      </c>
      <c r="E533" s="21" t="s">
        <v>5097</v>
      </c>
      <c r="F533" s="21" t="s">
        <v>11407</v>
      </c>
    </row>
    <row r="534" customFormat="false" ht="15" hidden="false" customHeight="false" outlineLevel="0" collapsed="false">
      <c r="B534" s="19" t="s">
        <v>25921</v>
      </c>
      <c r="C534" s="20" t="n">
        <f aca="false">ROUND(1.1/FX,2)</f>
        <v>0.15</v>
      </c>
      <c r="D534" s="21" t="s">
        <v>14056</v>
      </c>
      <c r="E534" s="21" t="s">
        <v>3317</v>
      </c>
      <c r="F534" s="21" t="s">
        <v>11407</v>
      </c>
    </row>
    <row r="535" customFormat="false" ht="15" hidden="false" customHeight="false" outlineLevel="0" collapsed="false">
      <c r="B535" s="19" t="s">
        <v>25922</v>
      </c>
      <c r="C535" s="20" t="n">
        <f aca="false">ROUND(1.03/FX,2)</f>
        <v>0.14</v>
      </c>
      <c r="D535" s="21" t="s">
        <v>13981</v>
      </c>
      <c r="E535" s="21" t="s">
        <v>841</v>
      </c>
      <c r="F535" s="21" t="s">
        <v>11407</v>
      </c>
    </row>
    <row r="536" customFormat="false" ht="15" hidden="false" customHeight="false" outlineLevel="0" collapsed="false">
      <c r="B536" s="19" t="s">
        <v>25923</v>
      </c>
      <c r="C536" s="20" t="n">
        <f aca="false">ROUND(1.01/FX,2)</f>
        <v>0.14</v>
      </c>
      <c r="D536" s="21" t="s">
        <v>13981</v>
      </c>
      <c r="E536" s="21" t="s">
        <v>789</v>
      </c>
      <c r="F536" s="21" t="s">
        <v>11407</v>
      </c>
    </row>
    <row r="537" customFormat="false" ht="15" hidden="false" customHeight="false" outlineLevel="0" collapsed="false">
      <c r="B537" s="19" t="s">
        <v>25924</v>
      </c>
      <c r="C537" s="20" t="n">
        <f aca="false">ROUND(1.03/FX,2)</f>
        <v>0.14</v>
      </c>
      <c r="D537" s="21" t="s">
        <v>25471</v>
      </c>
      <c r="E537" s="21" t="s">
        <v>716</v>
      </c>
      <c r="F537" s="21" t="s">
        <v>11407</v>
      </c>
    </row>
    <row r="538" customFormat="false" ht="15" hidden="false" customHeight="false" outlineLevel="0" collapsed="false">
      <c r="B538" s="19" t="s">
        <v>25925</v>
      </c>
      <c r="C538" s="20" t="n">
        <f aca="false">ROUND(1.04/FX,2)</f>
        <v>0.14</v>
      </c>
      <c r="D538" s="21" t="s">
        <v>25459</v>
      </c>
      <c r="E538" s="21" t="s">
        <v>847</v>
      </c>
      <c r="F538" s="21" t="s">
        <v>11407</v>
      </c>
    </row>
    <row r="539" customFormat="false" ht="15" hidden="false" customHeight="false" outlineLevel="0" collapsed="false">
      <c r="B539" s="19" t="s">
        <v>25926</v>
      </c>
      <c r="C539" s="20" t="n">
        <f aca="false">ROUND(1.09/FX,2)</f>
        <v>0.15</v>
      </c>
      <c r="D539" s="21" t="s">
        <v>21722</v>
      </c>
      <c r="E539" s="21" t="s">
        <v>707</v>
      </c>
      <c r="F539" s="21" t="s">
        <v>11409</v>
      </c>
    </row>
    <row r="540" customFormat="false" ht="15" hidden="false" customHeight="false" outlineLevel="0" collapsed="false">
      <c r="B540" s="19" t="s">
        <v>25927</v>
      </c>
      <c r="C540" s="20" t="n">
        <f aca="false">ROUND(1.03/FX,2)</f>
        <v>0.14</v>
      </c>
      <c r="D540" s="21" t="s">
        <v>13997</v>
      </c>
      <c r="E540" s="21" t="s">
        <v>761</v>
      </c>
      <c r="F540" s="21" t="s">
        <v>11409</v>
      </c>
    </row>
    <row r="541" customFormat="false" ht="15" hidden="false" customHeight="false" outlineLevel="0" collapsed="false">
      <c r="B541" s="19" t="s">
        <v>25928</v>
      </c>
      <c r="C541" s="20" t="n">
        <f aca="false">ROUND(1.01/FX,2)</f>
        <v>0.14</v>
      </c>
      <c r="D541" s="21" t="s">
        <v>14016</v>
      </c>
      <c r="E541" s="21" t="s">
        <v>4721</v>
      </c>
      <c r="F541" s="21" t="s">
        <v>11409</v>
      </c>
    </row>
    <row r="542" customFormat="false" ht="15" hidden="false" customHeight="false" outlineLevel="0" collapsed="false">
      <c r="B542" s="19" t="s">
        <v>25929</v>
      </c>
      <c r="C542" s="20" t="n">
        <f aca="false">ROUND(1.09/FX,2)</f>
        <v>0.15</v>
      </c>
      <c r="D542" s="21" t="s">
        <v>14016</v>
      </c>
      <c r="E542" s="21" t="s">
        <v>3833</v>
      </c>
      <c r="F542" s="21" t="s">
        <v>11409</v>
      </c>
    </row>
    <row r="543" customFormat="false" ht="15" hidden="false" customHeight="false" outlineLevel="0" collapsed="false">
      <c r="B543" s="19" t="s">
        <v>25930</v>
      </c>
      <c r="C543" s="20" t="n">
        <f aca="false">ROUND(1.07/FX,2)</f>
        <v>0.15</v>
      </c>
      <c r="D543" s="21" t="s">
        <v>14056</v>
      </c>
      <c r="E543" s="21" t="s">
        <v>4000</v>
      </c>
      <c r="F543" s="21" t="s">
        <v>11409</v>
      </c>
    </row>
    <row r="544" customFormat="false" ht="15" hidden="false" customHeight="false" outlineLevel="0" collapsed="false">
      <c r="B544" s="19" t="s">
        <v>25931</v>
      </c>
      <c r="C544" s="20" t="n">
        <f aca="false">ROUND(1.05/FX,2)</f>
        <v>0.15</v>
      </c>
      <c r="D544" s="21" t="s">
        <v>13994</v>
      </c>
      <c r="E544" s="21" t="s">
        <v>3247</v>
      </c>
      <c r="F544" s="21" t="s">
        <v>11409</v>
      </c>
    </row>
    <row r="545" customFormat="false" ht="15" hidden="false" customHeight="false" outlineLevel="0" collapsed="false">
      <c r="B545" s="19" t="s">
        <v>25932</v>
      </c>
      <c r="C545" s="20" t="n">
        <f aca="false">ROUND(1.04/FX,2)</f>
        <v>0.14</v>
      </c>
      <c r="D545" s="21" t="s">
        <v>14007</v>
      </c>
      <c r="E545" s="21" t="s">
        <v>3317</v>
      </c>
      <c r="F545" s="21" t="s">
        <v>11409</v>
      </c>
    </row>
    <row r="546" customFormat="false" ht="15" hidden="false" customHeight="false" outlineLevel="0" collapsed="false">
      <c r="B546" s="19" t="s">
        <v>25933</v>
      </c>
      <c r="C546" s="20" t="n">
        <f aca="false">ROUND(1.13/FX,2)</f>
        <v>0.16</v>
      </c>
      <c r="D546" s="21" t="s">
        <v>14007</v>
      </c>
      <c r="E546" s="21" t="s">
        <v>784</v>
      </c>
      <c r="F546" s="21" t="s">
        <v>11409</v>
      </c>
    </row>
    <row r="547" customFormat="false" ht="15" hidden="false" customHeight="false" outlineLevel="0" collapsed="false">
      <c r="B547" s="19" t="s">
        <v>25934</v>
      </c>
      <c r="C547" s="20" t="n">
        <f aca="false">ROUND(1.1/FX,2)</f>
        <v>0.15</v>
      </c>
      <c r="D547" s="21" t="s">
        <v>13743</v>
      </c>
      <c r="E547" s="21" t="s">
        <v>3328</v>
      </c>
      <c r="F547" s="21" t="s">
        <v>11409</v>
      </c>
    </row>
    <row r="548" customFormat="false" ht="15" hidden="false" customHeight="false" outlineLevel="0" collapsed="false">
      <c r="B548" s="19" t="s">
        <v>25935</v>
      </c>
      <c r="C548" s="20" t="n">
        <f aca="false">ROUND(1.03/FX,2)</f>
        <v>0.14</v>
      </c>
      <c r="D548" s="21" t="s">
        <v>14013</v>
      </c>
      <c r="E548" s="21" t="s">
        <v>6246</v>
      </c>
      <c r="F548" s="21" t="s">
        <v>11409</v>
      </c>
    </row>
    <row r="549" customFormat="false" ht="15" hidden="false" customHeight="false" outlineLevel="0" collapsed="false">
      <c r="B549" s="19" t="s">
        <v>25936</v>
      </c>
      <c r="C549" s="20" t="n">
        <f aca="false">ROUND(1.05/FX,2)</f>
        <v>0.15</v>
      </c>
      <c r="D549" s="21" t="s">
        <v>13978</v>
      </c>
      <c r="E549" s="21" t="s">
        <v>847</v>
      </c>
      <c r="F549" s="21" t="s">
        <v>11409</v>
      </c>
    </row>
    <row r="550" customFormat="false" ht="15" hidden="false" customHeight="false" outlineLevel="0" collapsed="false">
      <c r="B550" s="19" t="s">
        <v>25937</v>
      </c>
      <c r="C550" s="20" t="n">
        <f aca="false">ROUND(1.1/FX,2)</f>
        <v>0.15</v>
      </c>
      <c r="D550" s="21" t="s">
        <v>13994</v>
      </c>
      <c r="E550" s="21" t="s">
        <v>761</v>
      </c>
      <c r="F550" s="21" t="s">
        <v>11411</v>
      </c>
    </row>
    <row r="551" customFormat="false" ht="15" hidden="false" customHeight="false" outlineLevel="0" collapsed="false">
      <c r="B551" s="19" t="s">
        <v>25938</v>
      </c>
      <c r="C551" s="20" t="n">
        <f aca="false">ROUND(1.03/FX,2)</f>
        <v>0.14</v>
      </c>
      <c r="D551" s="21" t="s">
        <v>14007</v>
      </c>
      <c r="E551" s="21" t="s">
        <v>4721</v>
      </c>
      <c r="F551" s="21" t="s">
        <v>11411</v>
      </c>
    </row>
    <row r="552" customFormat="false" ht="15" hidden="false" customHeight="false" outlineLevel="0" collapsed="false">
      <c r="B552" s="19" t="s">
        <v>25939</v>
      </c>
      <c r="C552" s="20" t="n">
        <f aca="false">ROUND(1.12/FX,2)</f>
        <v>0.16</v>
      </c>
      <c r="D552" s="21" t="s">
        <v>14007</v>
      </c>
      <c r="E552" s="21" t="s">
        <v>3833</v>
      </c>
      <c r="F552" s="21" t="s">
        <v>11411</v>
      </c>
    </row>
    <row r="553" customFormat="false" ht="15" hidden="false" customHeight="false" outlineLevel="0" collapsed="false">
      <c r="B553" s="19" t="s">
        <v>25940</v>
      </c>
      <c r="C553" s="20" t="n">
        <f aca="false">ROUND(1.02/FX,2)</f>
        <v>0.14</v>
      </c>
      <c r="D553" s="21" t="s">
        <v>13743</v>
      </c>
      <c r="E553" s="21" t="s">
        <v>4000</v>
      </c>
      <c r="F553" s="21" t="s">
        <v>11411</v>
      </c>
    </row>
    <row r="554" customFormat="false" ht="15" hidden="false" customHeight="false" outlineLevel="0" collapsed="false">
      <c r="B554" s="19" t="s">
        <v>25941</v>
      </c>
      <c r="C554" s="20" t="n">
        <f aca="false">ROUND(1.09/FX,2)</f>
        <v>0.15</v>
      </c>
      <c r="D554" s="21" t="s">
        <v>13743</v>
      </c>
      <c r="E554" s="21" t="s">
        <v>3247</v>
      </c>
      <c r="F554" s="21" t="s">
        <v>11411</v>
      </c>
    </row>
    <row r="555" customFormat="false" ht="15" hidden="false" customHeight="false" outlineLevel="0" collapsed="false">
      <c r="B555" s="19" t="s">
        <v>25942</v>
      </c>
      <c r="C555" s="20" t="n">
        <f aca="false">ROUND(1.05/FX,2)</f>
        <v>0.15</v>
      </c>
      <c r="D555" s="21" t="s">
        <v>14013</v>
      </c>
      <c r="E555" s="21" t="s">
        <v>3317</v>
      </c>
      <c r="F555" s="21" t="s">
        <v>11411</v>
      </c>
    </row>
    <row r="556" customFormat="false" ht="15" hidden="false" customHeight="false" outlineLevel="0" collapsed="false">
      <c r="B556" s="19" t="s">
        <v>25943</v>
      </c>
      <c r="C556" s="20" t="n">
        <f aca="false">ROUND(1.22/FX,2)</f>
        <v>0.17</v>
      </c>
      <c r="D556" s="21" t="s">
        <v>14013</v>
      </c>
      <c r="E556" s="21" t="s">
        <v>784</v>
      </c>
      <c r="F556" s="21" t="s">
        <v>11411</v>
      </c>
    </row>
    <row r="557" customFormat="false" ht="15" hidden="false" customHeight="false" outlineLevel="0" collapsed="false">
      <c r="B557" s="19" t="s">
        <v>25944</v>
      </c>
      <c r="C557" s="20" t="n">
        <f aca="false">ROUND(1.07/FX,2)</f>
        <v>0.15</v>
      </c>
      <c r="D557" s="21" t="s">
        <v>13751</v>
      </c>
      <c r="E557" s="21" t="s">
        <v>3328</v>
      </c>
      <c r="F557" s="21" t="s">
        <v>11411</v>
      </c>
    </row>
    <row r="558" customFormat="false" ht="15" hidden="false" customHeight="false" outlineLevel="0" collapsed="false">
      <c r="B558" s="19" t="s">
        <v>25945</v>
      </c>
      <c r="C558" s="20" t="n">
        <f aca="false">ROUND(1.02/FX,2)</f>
        <v>0.14</v>
      </c>
      <c r="D558" s="21" t="s">
        <v>14056</v>
      </c>
      <c r="E558" s="21" t="s">
        <v>847</v>
      </c>
      <c r="F558" s="21" t="s">
        <v>11411</v>
      </c>
    </row>
    <row r="559" customFormat="false" ht="15" hidden="false" customHeight="false" outlineLevel="0" collapsed="false">
      <c r="B559" s="19" t="s">
        <v>25946</v>
      </c>
      <c r="C559" s="20" t="n">
        <f aca="false">ROUND(1.06/FX,2)</f>
        <v>0.15</v>
      </c>
      <c r="D559" s="21" t="s">
        <v>13743</v>
      </c>
      <c r="E559" s="21" t="s">
        <v>761</v>
      </c>
      <c r="F559" s="21" t="s">
        <v>11413</v>
      </c>
    </row>
    <row r="560" customFormat="false" ht="15" hidden="false" customHeight="false" outlineLevel="0" collapsed="false">
      <c r="B560" s="19" t="s">
        <v>25947</v>
      </c>
      <c r="C560" s="20" t="n">
        <f aca="false">ROUND(1.15/FX,2)</f>
        <v>0.16</v>
      </c>
      <c r="D560" s="21" t="s">
        <v>13743</v>
      </c>
      <c r="E560" s="21" t="s">
        <v>4721</v>
      </c>
      <c r="F560" s="21" t="s">
        <v>11413</v>
      </c>
    </row>
    <row r="561" customFormat="false" ht="15" hidden="false" customHeight="false" outlineLevel="0" collapsed="false">
      <c r="B561" s="19" t="s">
        <v>25948</v>
      </c>
      <c r="C561" s="20" t="n">
        <f aca="false">ROUND(1.25/FX,2)</f>
        <v>0.17</v>
      </c>
      <c r="D561" s="21" t="s">
        <v>13743</v>
      </c>
      <c r="E561" s="21" t="s">
        <v>3833</v>
      </c>
      <c r="F561" s="21" t="s">
        <v>11413</v>
      </c>
    </row>
    <row r="562" customFormat="false" ht="15" hidden="false" customHeight="false" outlineLevel="0" collapsed="false">
      <c r="B562" s="19" t="s">
        <v>25949</v>
      </c>
      <c r="C562" s="20" t="n">
        <f aca="false">ROUND(1.07/FX,2)</f>
        <v>0.15</v>
      </c>
      <c r="D562" s="21" t="s">
        <v>14013</v>
      </c>
      <c r="E562" s="21" t="s">
        <v>4000</v>
      </c>
      <c r="F562" s="21" t="s">
        <v>11413</v>
      </c>
    </row>
    <row r="563" customFormat="false" ht="15" hidden="false" customHeight="false" outlineLevel="0" collapsed="false">
      <c r="B563" s="19" t="s">
        <v>25950</v>
      </c>
      <c r="C563" s="20" t="n">
        <f aca="false">ROUND(1.15/FX,2)</f>
        <v>0.16</v>
      </c>
      <c r="D563" s="21" t="s">
        <v>14013</v>
      </c>
      <c r="E563" s="21" t="s">
        <v>3247</v>
      </c>
      <c r="F563" s="21" t="s">
        <v>11413</v>
      </c>
    </row>
    <row r="564" customFormat="false" ht="15" hidden="false" customHeight="false" outlineLevel="0" collapsed="false">
      <c r="B564" s="19" t="s">
        <v>25951</v>
      </c>
      <c r="C564" s="20" t="n">
        <f aca="false">ROUND(1.04/FX,2)</f>
        <v>0.14</v>
      </c>
      <c r="D564" s="21" t="s">
        <v>13751</v>
      </c>
      <c r="E564" s="21" t="s">
        <v>3317</v>
      </c>
      <c r="F564" s="21" t="s">
        <v>11413</v>
      </c>
    </row>
    <row r="565" customFormat="false" ht="15" hidden="false" customHeight="false" outlineLevel="0" collapsed="false">
      <c r="B565" s="19" t="s">
        <v>25952</v>
      </c>
      <c r="C565" s="20" t="n">
        <f aca="false">ROUND(1.2/FX,2)</f>
        <v>0.17</v>
      </c>
      <c r="D565" s="21" t="s">
        <v>13751</v>
      </c>
      <c r="E565" s="21" t="s">
        <v>784</v>
      </c>
      <c r="F565" s="21" t="s">
        <v>11413</v>
      </c>
    </row>
    <row r="566" customFormat="false" ht="15" hidden="false" customHeight="false" outlineLevel="0" collapsed="false">
      <c r="B566" s="19" t="s">
        <v>25953</v>
      </c>
      <c r="C566" s="20" t="n">
        <f aca="false">ROUND(1.39/FX,2)</f>
        <v>0.19</v>
      </c>
      <c r="D566" s="21" t="s">
        <v>13751</v>
      </c>
      <c r="E566" s="21" t="s">
        <v>3328</v>
      </c>
      <c r="F566" s="21" t="s">
        <v>11413</v>
      </c>
    </row>
    <row r="567" customFormat="false" ht="15" hidden="false" customHeight="false" outlineLevel="0" collapsed="false">
      <c r="B567" s="19" t="s">
        <v>25954</v>
      </c>
      <c r="C567" s="20" t="n">
        <f aca="false">ROUND(1.04/FX,2)</f>
        <v>0.14</v>
      </c>
      <c r="D567" s="21" t="s">
        <v>13739</v>
      </c>
      <c r="E567" s="21" t="s">
        <v>6246</v>
      </c>
      <c r="F567" s="21" t="s">
        <v>11413</v>
      </c>
    </row>
    <row r="568" customFormat="false" ht="15" hidden="false" customHeight="false" outlineLevel="0" collapsed="false">
      <c r="B568" s="19" t="s">
        <v>25955</v>
      </c>
      <c r="C568" s="20" t="n">
        <f aca="false">ROUND(1.22/FX,2)</f>
        <v>0.17</v>
      </c>
      <c r="D568" s="21" t="s">
        <v>13739</v>
      </c>
      <c r="E568" s="21" t="s">
        <v>2911</v>
      </c>
      <c r="F568" s="21" t="s">
        <v>11413</v>
      </c>
    </row>
    <row r="569" customFormat="false" ht="15" hidden="false" customHeight="false" outlineLevel="0" collapsed="false">
      <c r="B569" s="19" t="s">
        <v>25956</v>
      </c>
      <c r="C569" s="20" t="n">
        <f aca="false">ROUND(1.07/FX,2)</f>
        <v>0.15</v>
      </c>
      <c r="D569" s="21" t="s">
        <v>13751</v>
      </c>
      <c r="E569" s="21" t="s">
        <v>761</v>
      </c>
      <c r="F569" s="21" t="s">
        <v>11415</v>
      </c>
    </row>
    <row r="570" customFormat="false" ht="15" hidden="false" customHeight="false" outlineLevel="0" collapsed="false">
      <c r="B570" s="19" t="s">
        <v>25957</v>
      </c>
      <c r="C570" s="20" t="n">
        <f aca="false">ROUND(1.17/FX,2)</f>
        <v>0.16</v>
      </c>
      <c r="D570" s="21" t="s">
        <v>13751</v>
      </c>
      <c r="E570" s="21" t="s">
        <v>4721</v>
      </c>
      <c r="F570" s="21" t="s">
        <v>11415</v>
      </c>
    </row>
    <row r="571" customFormat="false" ht="15" hidden="false" customHeight="false" outlineLevel="0" collapsed="false">
      <c r="B571" s="19" t="s">
        <v>25958</v>
      </c>
      <c r="C571" s="20" t="n">
        <f aca="false">ROUND(1.45/FX,2)</f>
        <v>0.2</v>
      </c>
      <c r="D571" s="21" t="s">
        <v>13751</v>
      </c>
      <c r="E571" s="21" t="s">
        <v>4000</v>
      </c>
      <c r="F571" s="21" t="s">
        <v>11415</v>
      </c>
    </row>
    <row r="572" customFormat="false" ht="15" hidden="false" customHeight="false" outlineLevel="0" collapsed="false">
      <c r="B572" s="19" t="s">
        <v>25959</v>
      </c>
      <c r="C572" s="20" t="n">
        <f aca="false">ROUND(1.08/FX,2)</f>
        <v>0.15</v>
      </c>
      <c r="D572" s="21" t="s">
        <v>13739</v>
      </c>
      <c r="E572" s="21" t="s">
        <v>3247</v>
      </c>
      <c r="F572" s="21" t="s">
        <v>11415</v>
      </c>
    </row>
    <row r="573" customFormat="false" ht="15" hidden="false" customHeight="false" outlineLevel="0" collapsed="false">
      <c r="B573" s="19" t="s">
        <v>25960</v>
      </c>
      <c r="C573" s="20" t="n">
        <f aca="false">ROUND(1.23/FX,2)</f>
        <v>0.17</v>
      </c>
      <c r="D573" s="21" t="s">
        <v>13739</v>
      </c>
      <c r="E573" s="21" t="s">
        <v>3317</v>
      </c>
      <c r="F573" s="21" t="s">
        <v>11415</v>
      </c>
    </row>
    <row r="574" customFormat="false" ht="15" hidden="false" customHeight="false" outlineLevel="0" collapsed="false">
      <c r="B574" s="19" t="s">
        <v>25961</v>
      </c>
      <c r="C574" s="20" t="n">
        <f aca="false">ROUND(1.43/FX,2)</f>
        <v>0.2</v>
      </c>
      <c r="D574" s="21" t="s">
        <v>13739</v>
      </c>
      <c r="E574" s="21" t="s">
        <v>784</v>
      </c>
      <c r="F574" s="21" t="s">
        <v>11415</v>
      </c>
    </row>
    <row r="575" customFormat="false" ht="15" hidden="false" customHeight="false" outlineLevel="0" collapsed="false">
      <c r="B575" s="19" t="s">
        <v>25962</v>
      </c>
      <c r="C575" s="20" t="n">
        <f aca="false">ROUND(1.65/FX,2)</f>
        <v>0.23</v>
      </c>
      <c r="D575" s="21" t="s">
        <v>13739</v>
      </c>
      <c r="E575" s="21" t="s">
        <v>3328</v>
      </c>
      <c r="F575" s="21" t="s">
        <v>11415</v>
      </c>
    </row>
    <row r="576" customFormat="false" ht="15" hidden="false" customHeight="false" outlineLevel="0" collapsed="false">
      <c r="B576" s="19" t="s">
        <v>25963</v>
      </c>
      <c r="C576" s="20" t="n">
        <f aca="false">ROUND(1.84/FX,2)</f>
        <v>0.26</v>
      </c>
      <c r="D576" s="21" t="s">
        <v>13739</v>
      </c>
      <c r="E576" s="21" t="s">
        <v>6246</v>
      </c>
      <c r="F576" s="21" t="s">
        <v>11415</v>
      </c>
    </row>
    <row r="577" customFormat="false" ht="15" hidden="false" customHeight="false" outlineLevel="0" collapsed="false">
      <c r="B577" s="19" t="s">
        <v>25964</v>
      </c>
      <c r="C577" s="20" t="n">
        <f aca="false">ROUND(1.02/FX,2)</f>
        <v>0.14</v>
      </c>
      <c r="D577" s="21" t="s">
        <v>13732</v>
      </c>
      <c r="E577" s="21" t="s">
        <v>7358</v>
      </c>
      <c r="F577" s="21" t="s">
        <v>11415</v>
      </c>
    </row>
    <row r="578" customFormat="false" ht="15" hidden="false" customHeight="false" outlineLevel="0" collapsed="false">
      <c r="B578" s="19" t="s">
        <v>25965</v>
      </c>
      <c r="C578" s="20" t="n">
        <f aca="false">ROUND(1.13/FX,2)</f>
        <v>0.16</v>
      </c>
      <c r="D578" s="21" t="s">
        <v>13732</v>
      </c>
      <c r="E578" s="21" t="s">
        <v>2911</v>
      </c>
      <c r="F578" s="21" t="s">
        <v>11415</v>
      </c>
    </row>
    <row r="579" customFormat="false" ht="15" hidden="false" customHeight="false" outlineLevel="0" collapsed="false">
      <c r="B579" s="19" t="s">
        <v>25966</v>
      </c>
      <c r="C579" s="20" t="n">
        <f aca="false">ROUND(1.23/FX,2)</f>
        <v>0.17</v>
      </c>
      <c r="D579" s="21" t="s">
        <v>13732</v>
      </c>
      <c r="E579" s="21" t="s">
        <v>7275</v>
      </c>
      <c r="F579" s="21" t="s">
        <v>11415</v>
      </c>
    </row>
    <row r="580" customFormat="false" ht="15" hidden="false" customHeight="false" outlineLevel="0" collapsed="false">
      <c r="B580" s="19" t="s">
        <v>25967</v>
      </c>
      <c r="C580" s="20" t="n">
        <f aca="false">ROUND(1.34/FX,2)</f>
        <v>0.19</v>
      </c>
      <c r="D580" s="21" t="s">
        <v>13732</v>
      </c>
      <c r="E580" s="21" t="s">
        <v>2961</v>
      </c>
      <c r="F580" s="21" t="s">
        <v>11415</v>
      </c>
    </row>
    <row r="583" customFormat="false" ht="61.5" hidden="false" customHeight="true" outlineLevel="0" collapsed="false">
      <c r="A583" s="9"/>
      <c r="B583" s="10" t="s">
        <v>25968</v>
      </c>
      <c r="C583" s="10"/>
      <c r="D583" s="10"/>
      <c r="E583" s="10"/>
      <c r="F583" s="10"/>
      <c r="G583" s="10"/>
      <c r="H583" s="10"/>
    </row>
    <row r="584" customFormat="false" ht="15" hidden="false" customHeight="false" outlineLevel="0" collapsed="false">
      <c r="A584" s="12" t="s">
        <v>700</v>
      </c>
      <c r="B584" s="13" t="s">
        <v>701</v>
      </c>
      <c r="C584" s="13" t="s">
        <v>702</v>
      </c>
      <c r="D584" s="13" t="s">
        <v>722</v>
      </c>
      <c r="E584" s="13" t="s">
        <v>705</v>
      </c>
      <c r="F584" s="13" t="s">
        <v>11716</v>
      </c>
      <c r="G584" s="13" t="s">
        <v>13701</v>
      </c>
      <c r="H584" s="13" t="s">
        <v>25618</v>
      </c>
    </row>
    <row r="585" customFormat="false" ht="30" hidden="false" customHeight="true" outlineLevel="0" collapsed="false">
      <c r="A585" s="14" t="s">
        <v>706</v>
      </c>
      <c r="B585" s="15" t="str">
        <f aca="false">IF(COUNTIFS($D$588:$D$825,IF(D585="","*",D585),$E$588:$E$825,IF(E585="","*",E585),$F$588:$F$825,IF(F585="","*",F585),$G$588:$G$825,IF(G585="","*",G585),$H$588:$H$825,IF(H585="","*",H585))=1,INDEX($B:$B,SUMPRODUCT(((D585="")+($D$588:$D$825=D585)&gt;0)*((E585="")+($E$588:$E$825=E585)&gt;0)*((F585="")+($F$588:$F$825=F585)&gt;0)*((G585="")+($G$588:$G$825=G585)&gt;0)*((H585="")+($H$588:$H$825=H585)&gt;0)*ROW($B$588:$B$825))),IF(COUNTIFS($D$588:$D$825,IF(D585="","*",D585),$E$588:$E$825,IF(E585="","*",E585),$F$588:$F$825,IF(F585="","*",F585),$G$588:$G$825,IF(G585="","*",G585),$H$588:$H$825,IF(H585="","*",H585))=0,"Not available",COUNTIFS($D$588:$D$825,IF(D585="","*",D585),$E$588:$E$825,IF(E585="","*",E585),$F$588:$F$825,IF(F585="","*",F585),$G$588:$G$825,IF(G585="","*",G585),$H$588:$H$825,IF(H585="","*",H585))&amp;" match, keep choosing"))</f>
        <v>D912-SS-M1.6x14-P10</v>
      </c>
      <c r="C585" s="16" t="n">
        <f aca="false">IF(COUNTIFS($D$588:$D$825,IF(D585="","*",D585),$E$588:$E$825,IF(E585="","*",E585),$F$588:$F$825,IF(F585="","*",F585),$G$588:$G$825,IF(G585="","*",G585),$H$588:$H$825,IF(H585="","*",H585))=1,INDEX($C:$C,SUMPRODUCT(((D585="")+($D$588:$D$825=D585)&gt;0)*((E585="")+($E$588:$E$825=E585)&gt;0)*((F585="")+($F$588:$F$825=F585)&gt;0)*((G585="")+($G$588:$G$825=G585)&gt;0)*((H585="")+($H$588:$H$825=H585)&gt;0)*ROW($B$588:$B$825))),"")</f>
        <v>0.08</v>
      </c>
      <c r="D585" s="17" t="s">
        <v>8668</v>
      </c>
      <c r="E585" s="17" t="s">
        <v>13997</v>
      </c>
      <c r="F585" s="17" t="s">
        <v>4721</v>
      </c>
      <c r="G585" s="17" t="s">
        <v>25372</v>
      </c>
      <c r="H585" s="17" t="s">
        <v>25627</v>
      </c>
    </row>
    <row r="587" customFormat="false" ht="15" hidden="false" customHeight="false" outlineLevel="0" collapsed="false">
      <c r="B587" s="18" t="s">
        <v>701</v>
      </c>
      <c r="C587" s="18" t="s">
        <v>702</v>
      </c>
      <c r="D587" s="18" t="s">
        <v>722</v>
      </c>
      <c r="E587" s="18" t="s">
        <v>705</v>
      </c>
      <c r="F587" s="18" t="s">
        <v>11716</v>
      </c>
      <c r="G587" s="18" t="s">
        <v>13701</v>
      </c>
      <c r="H587" s="18" t="s">
        <v>25618</v>
      </c>
    </row>
    <row r="588" customFormat="false" ht="15" hidden="false" customHeight="false" outlineLevel="0" collapsed="false">
      <c r="B588" s="19" t="s">
        <v>25969</v>
      </c>
      <c r="C588" s="20" t="n">
        <f aca="false">ROUND(0.58/FX,2)</f>
        <v>0.08</v>
      </c>
      <c r="D588" s="21" t="s">
        <v>8668</v>
      </c>
      <c r="E588" s="21" t="s">
        <v>13997</v>
      </c>
      <c r="F588" s="21" t="s">
        <v>4721</v>
      </c>
      <c r="G588" s="21" t="s">
        <v>25372</v>
      </c>
      <c r="H588" s="21" t="s">
        <v>25627</v>
      </c>
    </row>
    <row r="589" customFormat="false" ht="15" hidden="false" customHeight="false" outlineLevel="0" collapsed="false">
      <c r="B589" s="19" t="s">
        <v>25970</v>
      </c>
      <c r="C589" s="20" t="n">
        <f aca="false">ROUND(0.6/FX,2)</f>
        <v>0.08</v>
      </c>
      <c r="D589" s="21" t="s">
        <v>8668</v>
      </c>
      <c r="E589" s="21" t="s">
        <v>13997</v>
      </c>
      <c r="F589" s="21" t="s">
        <v>3247</v>
      </c>
      <c r="G589" s="21" t="s">
        <v>25372</v>
      </c>
      <c r="H589" s="21" t="s">
        <v>25627</v>
      </c>
    </row>
    <row r="590" customFormat="false" ht="15" hidden="false" customHeight="false" outlineLevel="0" collapsed="false">
      <c r="B590" s="19" t="s">
        <v>25971</v>
      </c>
      <c r="C590" s="20" t="n">
        <f aca="false">ROUND(0.17/FX,2)</f>
        <v>0.02</v>
      </c>
      <c r="D590" s="21" t="s">
        <v>8668</v>
      </c>
      <c r="E590" s="21" t="s">
        <v>13732</v>
      </c>
      <c r="F590" s="21" t="s">
        <v>3317</v>
      </c>
      <c r="G590" s="21" t="s">
        <v>25372</v>
      </c>
      <c r="H590" s="21" t="s">
        <v>25627</v>
      </c>
    </row>
    <row r="591" customFormat="false" ht="15" hidden="false" customHeight="false" outlineLevel="0" collapsed="false">
      <c r="B591" s="19" t="s">
        <v>25972</v>
      </c>
      <c r="C591" s="20" t="n">
        <f aca="false">ROUND(1.4/FX,2)</f>
        <v>0.19</v>
      </c>
      <c r="D591" s="21" t="s">
        <v>8668</v>
      </c>
      <c r="E591" s="21" t="s">
        <v>13732</v>
      </c>
      <c r="F591" s="21" t="s">
        <v>2600</v>
      </c>
      <c r="G591" s="21" t="s">
        <v>22841</v>
      </c>
      <c r="H591" s="21" t="s">
        <v>25627</v>
      </c>
    </row>
    <row r="592" customFormat="false" ht="15" hidden="false" customHeight="false" outlineLevel="0" collapsed="false">
      <c r="B592" s="19" t="s">
        <v>25973</v>
      </c>
      <c r="C592" s="20" t="n">
        <f aca="false">ROUND(1.83/FX,2)</f>
        <v>0.25</v>
      </c>
      <c r="D592" s="21" t="s">
        <v>8668</v>
      </c>
      <c r="E592" s="21" t="s">
        <v>13732</v>
      </c>
      <c r="F592" s="21" t="s">
        <v>2651</v>
      </c>
      <c r="G592" s="21" t="s">
        <v>22841</v>
      </c>
      <c r="H592" s="21" t="s">
        <v>25627</v>
      </c>
    </row>
    <row r="593" customFormat="false" ht="15" hidden="false" customHeight="false" outlineLevel="0" collapsed="false">
      <c r="B593" s="19" t="s">
        <v>25974</v>
      </c>
      <c r="C593" s="20" t="n">
        <f aca="false">ROUND(2/FX,2)</f>
        <v>0.28</v>
      </c>
      <c r="D593" s="21" t="s">
        <v>8668</v>
      </c>
      <c r="E593" s="21" t="s">
        <v>13732</v>
      </c>
      <c r="F593" s="21" t="s">
        <v>2701</v>
      </c>
      <c r="G593" s="21" t="s">
        <v>22841</v>
      </c>
      <c r="H593" s="21" t="s">
        <v>25627</v>
      </c>
    </row>
    <row r="594" customFormat="false" ht="15" hidden="false" customHeight="false" outlineLevel="0" collapsed="false">
      <c r="B594" s="19" t="s">
        <v>25975</v>
      </c>
      <c r="C594" s="20" t="n">
        <f aca="false">ROUND(2.12/FX,2)</f>
        <v>0.29</v>
      </c>
      <c r="D594" s="21" t="s">
        <v>8668</v>
      </c>
      <c r="E594" s="21" t="s">
        <v>13732</v>
      </c>
      <c r="F594" s="21" t="s">
        <v>2751</v>
      </c>
      <c r="G594" s="21" t="s">
        <v>22841</v>
      </c>
      <c r="H594" s="21" t="s">
        <v>25627</v>
      </c>
    </row>
    <row r="595" customFormat="false" ht="15" hidden="false" customHeight="false" outlineLevel="0" collapsed="false">
      <c r="B595" s="19" t="s">
        <v>25976</v>
      </c>
      <c r="C595" s="20" t="n">
        <f aca="false">ROUND(2.25/FX,2)</f>
        <v>0.31</v>
      </c>
      <c r="D595" s="21" t="s">
        <v>8668</v>
      </c>
      <c r="E595" s="21" t="s">
        <v>13732</v>
      </c>
      <c r="F595" s="21" t="s">
        <v>2801</v>
      </c>
      <c r="G595" s="21" t="s">
        <v>22841</v>
      </c>
      <c r="H595" s="21" t="s">
        <v>25627</v>
      </c>
    </row>
    <row r="596" customFormat="false" ht="15" hidden="false" customHeight="false" outlineLevel="0" collapsed="false">
      <c r="B596" s="19" t="s">
        <v>25977</v>
      </c>
      <c r="C596" s="20" t="n">
        <f aca="false">ROUND(2.4/FX,2)</f>
        <v>0.33</v>
      </c>
      <c r="D596" s="21" t="s">
        <v>8668</v>
      </c>
      <c r="E596" s="21" t="s">
        <v>13732</v>
      </c>
      <c r="F596" s="21" t="s">
        <v>2851</v>
      </c>
      <c r="G596" s="21" t="s">
        <v>22841</v>
      </c>
      <c r="H596" s="21" t="s">
        <v>25627</v>
      </c>
    </row>
    <row r="597" customFormat="false" ht="15" hidden="false" customHeight="false" outlineLevel="0" collapsed="false">
      <c r="B597" s="19" t="s">
        <v>25978</v>
      </c>
      <c r="C597" s="20" t="n">
        <f aca="false">ROUND(1.42/FX,2)</f>
        <v>0.2</v>
      </c>
      <c r="D597" s="21" t="s">
        <v>8668</v>
      </c>
      <c r="E597" s="21" t="s">
        <v>13751</v>
      </c>
      <c r="F597" s="21" t="s">
        <v>3833</v>
      </c>
      <c r="G597" s="21" t="s">
        <v>22841</v>
      </c>
      <c r="H597" s="21" t="s">
        <v>25627</v>
      </c>
    </row>
    <row r="598" customFormat="false" ht="15" hidden="false" customHeight="false" outlineLevel="0" collapsed="false">
      <c r="B598" s="19" t="s">
        <v>25979</v>
      </c>
      <c r="C598" s="20" t="n">
        <f aca="false">ROUND(2.67/FX,2)</f>
        <v>0.37</v>
      </c>
      <c r="D598" s="21" t="s">
        <v>8668</v>
      </c>
      <c r="E598" s="21" t="s">
        <v>13732</v>
      </c>
      <c r="F598" s="21" t="s">
        <v>2901</v>
      </c>
      <c r="G598" s="21" t="s">
        <v>22841</v>
      </c>
      <c r="H598" s="21" t="s">
        <v>25627</v>
      </c>
    </row>
    <row r="599" customFormat="false" ht="15" hidden="false" customHeight="false" outlineLevel="0" collapsed="false">
      <c r="B599" s="19" t="s">
        <v>25980</v>
      </c>
      <c r="C599" s="20" t="n">
        <f aca="false">ROUND(2.8/FX,2)</f>
        <v>0.39</v>
      </c>
      <c r="D599" s="21" t="s">
        <v>8668</v>
      </c>
      <c r="E599" s="21" t="s">
        <v>13732</v>
      </c>
      <c r="F599" s="21" t="s">
        <v>883</v>
      </c>
      <c r="G599" s="21" t="s">
        <v>22841</v>
      </c>
      <c r="H599" s="21" t="s">
        <v>25627</v>
      </c>
    </row>
    <row r="600" customFormat="false" ht="15" hidden="false" customHeight="false" outlineLevel="0" collapsed="false">
      <c r="B600" s="19" t="s">
        <v>25981</v>
      </c>
      <c r="C600" s="20" t="n">
        <f aca="false">ROUND(2.97/FX,2)</f>
        <v>0.41</v>
      </c>
      <c r="D600" s="21" t="s">
        <v>8668</v>
      </c>
      <c r="E600" s="21" t="s">
        <v>13732</v>
      </c>
      <c r="F600" s="21" t="s">
        <v>938</v>
      </c>
      <c r="G600" s="21" t="s">
        <v>22841</v>
      </c>
      <c r="H600" s="21" t="s">
        <v>25627</v>
      </c>
    </row>
    <row r="601" customFormat="false" ht="15" hidden="false" customHeight="false" outlineLevel="0" collapsed="false">
      <c r="B601" s="19" t="s">
        <v>25982</v>
      </c>
      <c r="C601" s="20" t="n">
        <f aca="false">ROUND(3.4/FX,2)</f>
        <v>0.47</v>
      </c>
      <c r="D601" s="21" t="s">
        <v>8668</v>
      </c>
      <c r="E601" s="21" t="s">
        <v>13732</v>
      </c>
      <c r="F601" s="21" t="s">
        <v>993</v>
      </c>
      <c r="G601" s="21" t="s">
        <v>22841</v>
      </c>
      <c r="H601" s="21" t="s">
        <v>25627</v>
      </c>
    </row>
    <row r="602" customFormat="false" ht="15" hidden="false" customHeight="false" outlineLevel="0" collapsed="false">
      <c r="B602" s="19" t="s">
        <v>25983</v>
      </c>
      <c r="C602" s="20" t="n">
        <f aca="false">ROUND(1.03/FX,2)</f>
        <v>0.14</v>
      </c>
      <c r="D602" s="21" t="s">
        <v>8668</v>
      </c>
      <c r="E602" s="21" t="s">
        <v>13739</v>
      </c>
      <c r="F602" s="21" t="s">
        <v>3247</v>
      </c>
      <c r="G602" s="21" t="s">
        <v>22841</v>
      </c>
      <c r="H602" s="21" t="s">
        <v>25627</v>
      </c>
    </row>
    <row r="603" customFormat="false" ht="15" hidden="false" customHeight="false" outlineLevel="0" collapsed="false">
      <c r="B603" s="19" t="s">
        <v>25984</v>
      </c>
      <c r="C603" s="20" t="n">
        <f aca="false">ROUND(3.25/FX,2)</f>
        <v>0.45</v>
      </c>
      <c r="D603" s="21" t="s">
        <v>8668</v>
      </c>
      <c r="E603" s="21" t="s">
        <v>13732</v>
      </c>
      <c r="F603" s="21" t="s">
        <v>1048</v>
      </c>
      <c r="G603" s="21" t="s">
        <v>22841</v>
      </c>
      <c r="H603" s="21" t="s">
        <v>25627</v>
      </c>
    </row>
    <row r="604" customFormat="false" ht="15" hidden="false" customHeight="false" outlineLevel="0" collapsed="false">
      <c r="B604" s="19" t="s">
        <v>25985</v>
      </c>
      <c r="C604" s="20" t="n">
        <f aca="false">ROUND(1.16/FX,2)</f>
        <v>0.16</v>
      </c>
      <c r="D604" s="21" t="s">
        <v>8668</v>
      </c>
      <c r="E604" s="21" t="s">
        <v>13739</v>
      </c>
      <c r="F604" s="21" t="s">
        <v>5097</v>
      </c>
      <c r="G604" s="21" t="s">
        <v>22841</v>
      </c>
      <c r="H604" s="21" t="s">
        <v>25627</v>
      </c>
    </row>
    <row r="605" customFormat="false" ht="15" hidden="false" customHeight="false" outlineLevel="0" collapsed="false">
      <c r="B605" s="19" t="s">
        <v>25986</v>
      </c>
      <c r="C605" s="20" t="n">
        <f aca="false">ROUND(1.13/FX,2)</f>
        <v>0.16</v>
      </c>
      <c r="D605" s="21" t="s">
        <v>8668</v>
      </c>
      <c r="E605" s="21" t="s">
        <v>13739</v>
      </c>
      <c r="F605" s="21" t="s">
        <v>3317</v>
      </c>
      <c r="G605" s="21" t="s">
        <v>22841</v>
      </c>
      <c r="H605" s="21" t="s">
        <v>25627</v>
      </c>
    </row>
    <row r="606" customFormat="false" ht="15" hidden="false" customHeight="false" outlineLevel="0" collapsed="false">
      <c r="B606" s="19" t="s">
        <v>25987</v>
      </c>
      <c r="C606" s="20" t="n">
        <f aca="false">ROUND(1.33/FX,2)</f>
        <v>0.18</v>
      </c>
      <c r="D606" s="21" t="s">
        <v>8668</v>
      </c>
      <c r="E606" s="21" t="s">
        <v>13739</v>
      </c>
      <c r="F606" s="21" t="s">
        <v>6768</v>
      </c>
      <c r="G606" s="21" t="s">
        <v>22841</v>
      </c>
      <c r="H606" s="21" t="s">
        <v>25627</v>
      </c>
    </row>
    <row r="607" customFormat="false" ht="15" hidden="false" customHeight="false" outlineLevel="0" collapsed="false">
      <c r="B607" s="19" t="s">
        <v>25988</v>
      </c>
      <c r="C607" s="20" t="n">
        <f aca="false">ROUND(1.26/FX,2)</f>
        <v>0.18</v>
      </c>
      <c r="D607" s="21" t="s">
        <v>8668</v>
      </c>
      <c r="E607" s="21" t="s">
        <v>13739</v>
      </c>
      <c r="F607" s="21" t="s">
        <v>784</v>
      </c>
      <c r="G607" s="21" t="s">
        <v>22841</v>
      </c>
      <c r="H607" s="21" t="s">
        <v>25627</v>
      </c>
    </row>
    <row r="608" customFormat="false" ht="15" hidden="false" customHeight="false" outlineLevel="0" collapsed="false">
      <c r="B608" s="19" t="s">
        <v>25989</v>
      </c>
      <c r="C608" s="20" t="n">
        <f aca="false">ROUND(1.34/FX,2)</f>
        <v>0.19</v>
      </c>
      <c r="D608" s="21" t="s">
        <v>8668</v>
      </c>
      <c r="E608" s="21" t="s">
        <v>13739</v>
      </c>
      <c r="F608" s="21" t="s">
        <v>3328</v>
      </c>
      <c r="G608" s="21" t="s">
        <v>22841</v>
      </c>
      <c r="H608" s="21" t="s">
        <v>25627</v>
      </c>
    </row>
    <row r="609" customFormat="false" ht="15" hidden="false" customHeight="false" outlineLevel="0" collapsed="false">
      <c r="B609" s="19" t="s">
        <v>25990</v>
      </c>
      <c r="C609" s="20" t="n">
        <f aca="false">ROUND(1.5/FX,2)</f>
        <v>0.21</v>
      </c>
      <c r="D609" s="21" t="s">
        <v>8668</v>
      </c>
      <c r="E609" s="21" t="s">
        <v>13739</v>
      </c>
      <c r="F609" s="21" t="s">
        <v>6246</v>
      </c>
      <c r="G609" s="21" t="s">
        <v>22841</v>
      </c>
      <c r="H609" s="21" t="s">
        <v>25627</v>
      </c>
    </row>
    <row r="610" customFormat="false" ht="15" hidden="false" customHeight="false" outlineLevel="0" collapsed="false">
      <c r="B610" s="19" t="s">
        <v>25991</v>
      </c>
      <c r="C610" s="20" t="n">
        <f aca="false">ROUND(1.63/FX,2)</f>
        <v>0.23</v>
      </c>
      <c r="D610" s="21" t="s">
        <v>8668</v>
      </c>
      <c r="E610" s="21" t="s">
        <v>13739</v>
      </c>
      <c r="F610" s="21" t="s">
        <v>7358</v>
      </c>
      <c r="G610" s="21" t="s">
        <v>22841</v>
      </c>
      <c r="H610" s="21" t="s">
        <v>25627</v>
      </c>
    </row>
    <row r="611" customFormat="false" ht="15" hidden="false" customHeight="false" outlineLevel="0" collapsed="false">
      <c r="B611" s="19" t="s">
        <v>25992</v>
      </c>
      <c r="C611" s="20" t="n">
        <f aca="false">ROUND(1.76/FX,2)</f>
        <v>0.24</v>
      </c>
      <c r="D611" s="21" t="s">
        <v>8668</v>
      </c>
      <c r="E611" s="21" t="s">
        <v>13739</v>
      </c>
      <c r="F611" s="21" t="s">
        <v>2911</v>
      </c>
      <c r="G611" s="21" t="s">
        <v>22841</v>
      </c>
      <c r="H611" s="21" t="s">
        <v>25627</v>
      </c>
    </row>
    <row r="612" customFormat="false" ht="15" hidden="false" customHeight="false" outlineLevel="0" collapsed="false">
      <c r="B612" s="19" t="s">
        <v>25993</v>
      </c>
      <c r="C612" s="20" t="n">
        <f aca="false">ROUND(1.84/FX,2)</f>
        <v>0.26</v>
      </c>
      <c r="D612" s="21" t="s">
        <v>8668</v>
      </c>
      <c r="E612" s="21" t="s">
        <v>13739</v>
      </c>
      <c r="F612" s="21" t="s">
        <v>7275</v>
      </c>
      <c r="G612" s="21" t="s">
        <v>22841</v>
      </c>
      <c r="H612" s="21" t="s">
        <v>25627</v>
      </c>
    </row>
    <row r="613" customFormat="false" ht="15" hidden="false" customHeight="false" outlineLevel="0" collapsed="false">
      <c r="B613" s="19" t="s">
        <v>25994</v>
      </c>
      <c r="C613" s="20" t="n">
        <f aca="false">ROUND(1.97/FX,2)</f>
        <v>0.27</v>
      </c>
      <c r="D613" s="21" t="s">
        <v>8668</v>
      </c>
      <c r="E613" s="21" t="s">
        <v>13739</v>
      </c>
      <c r="F613" s="21" t="s">
        <v>2961</v>
      </c>
      <c r="G613" s="21" t="s">
        <v>22841</v>
      </c>
      <c r="H613" s="21" t="s">
        <v>25627</v>
      </c>
    </row>
    <row r="614" customFormat="false" ht="15" hidden="false" customHeight="false" outlineLevel="0" collapsed="false">
      <c r="B614" s="19" t="s">
        <v>25995</v>
      </c>
      <c r="C614" s="20" t="n">
        <f aca="false">ROUND(1.05/FX,2)</f>
        <v>0.15</v>
      </c>
      <c r="D614" s="21" t="s">
        <v>8668</v>
      </c>
      <c r="E614" s="21" t="s">
        <v>13732</v>
      </c>
      <c r="F614" s="21" t="s">
        <v>13817</v>
      </c>
      <c r="G614" s="21" t="s">
        <v>22841</v>
      </c>
      <c r="H614" s="21" t="s">
        <v>25627</v>
      </c>
    </row>
    <row r="615" customFormat="false" ht="15" hidden="false" customHeight="false" outlineLevel="0" collapsed="false">
      <c r="B615" s="19" t="s">
        <v>25996</v>
      </c>
      <c r="C615" s="20" t="n">
        <f aca="false">ROUND(1.11/FX,2)</f>
        <v>0.15</v>
      </c>
      <c r="D615" s="21" t="s">
        <v>8668</v>
      </c>
      <c r="E615" s="21" t="s">
        <v>13732</v>
      </c>
      <c r="F615" s="21" t="s">
        <v>3011</v>
      </c>
      <c r="G615" s="21" t="s">
        <v>22841</v>
      </c>
      <c r="H615" s="21" t="s">
        <v>25627</v>
      </c>
    </row>
    <row r="616" customFormat="false" ht="15" hidden="false" customHeight="false" outlineLevel="0" collapsed="false">
      <c r="B616" s="19" t="s">
        <v>25997</v>
      </c>
      <c r="C616" s="20" t="n">
        <f aca="false">ROUND(1.18/FX,2)</f>
        <v>0.16</v>
      </c>
      <c r="D616" s="21" t="s">
        <v>8668</v>
      </c>
      <c r="E616" s="21" t="s">
        <v>13732</v>
      </c>
      <c r="F616" s="21" t="s">
        <v>7396</v>
      </c>
      <c r="G616" s="21" t="s">
        <v>22841</v>
      </c>
      <c r="H616" s="21" t="s">
        <v>25627</v>
      </c>
    </row>
    <row r="617" customFormat="false" ht="15" hidden="false" customHeight="false" outlineLevel="0" collapsed="false">
      <c r="B617" s="19" t="s">
        <v>25998</v>
      </c>
      <c r="C617" s="20" t="n">
        <f aca="false">ROUND(1.22/FX,2)</f>
        <v>0.17</v>
      </c>
      <c r="D617" s="21" t="s">
        <v>8668</v>
      </c>
      <c r="E617" s="21" t="s">
        <v>13732</v>
      </c>
      <c r="F617" s="21" t="s">
        <v>3061</v>
      </c>
      <c r="G617" s="21" t="s">
        <v>22841</v>
      </c>
      <c r="H617" s="21" t="s">
        <v>25627</v>
      </c>
    </row>
    <row r="618" customFormat="false" ht="15" hidden="false" customHeight="false" outlineLevel="0" collapsed="false">
      <c r="B618" s="19" t="s">
        <v>25999</v>
      </c>
      <c r="C618" s="20" t="n">
        <f aca="false">ROUND(1.35/FX,2)</f>
        <v>0.19</v>
      </c>
      <c r="D618" s="21" t="s">
        <v>8668</v>
      </c>
      <c r="E618" s="21" t="s">
        <v>13732</v>
      </c>
      <c r="F618" s="21" t="s">
        <v>3111</v>
      </c>
      <c r="G618" s="21" t="s">
        <v>22841</v>
      </c>
      <c r="H618" s="21" t="s">
        <v>25627</v>
      </c>
    </row>
    <row r="619" customFormat="false" ht="15" hidden="false" customHeight="false" outlineLevel="0" collapsed="false">
      <c r="B619" s="19" t="s">
        <v>26000</v>
      </c>
      <c r="C619" s="20" t="n">
        <f aca="false">ROUND(2.15/FX,2)</f>
        <v>0.3</v>
      </c>
      <c r="D619" s="21" t="s">
        <v>8668</v>
      </c>
      <c r="E619" s="21" t="s">
        <v>13732</v>
      </c>
      <c r="F619" s="21" t="s">
        <v>2600</v>
      </c>
      <c r="G619" s="21" t="s">
        <v>22844</v>
      </c>
      <c r="H619" s="21" t="s">
        <v>25627</v>
      </c>
    </row>
    <row r="620" customFormat="false" ht="15" hidden="false" customHeight="false" outlineLevel="0" collapsed="false">
      <c r="B620" s="19" t="s">
        <v>26001</v>
      </c>
      <c r="C620" s="20" t="n">
        <f aca="false">ROUND(2.75/FX,2)</f>
        <v>0.38</v>
      </c>
      <c r="D620" s="21" t="s">
        <v>8668</v>
      </c>
      <c r="E620" s="21" t="s">
        <v>13732</v>
      </c>
      <c r="F620" s="21" t="s">
        <v>2651</v>
      </c>
      <c r="G620" s="21" t="s">
        <v>22844</v>
      </c>
      <c r="H620" s="21" t="s">
        <v>25627</v>
      </c>
    </row>
    <row r="621" customFormat="false" ht="15" hidden="false" customHeight="false" outlineLevel="0" collapsed="false">
      <c r="B621" s="19" t="s">
        <v>26002</v>
      </c>
      <c r="C621" s="20" t="n">
        <f aca="false">ROUND(2.9/FX,2)</f>
        <v>0.4</v>
      </c>
      <c r="D621" s="21" t="s">
        <v>8668</v>
      </c>
      <c r="E621" s="21" t="s">
        <v>13732</v>
      </c>
      <c r="F621" s="21" t="s">
        <v>2701</v>
      </c>
      <c r="G621" s="21" t="s">
        <v>22844</v>
      </c>
      <c r="H621" s="21" t="s">
        <v>25627</v>
      </c>
    </row>
    <row r="622" customFormat="false" ht="15" hidden="false" customHeight="false" outlineLevel="0" collapsed="false">
      <c r="B622" s="19" t="s">
        <v>26003</v>
      </c>
      <c r="C622" s="20" t="n">
        <f aca="false">ROUND(3.12/FX,2)</f>
        <v>0.43</v>
      </c>
      <c r="D622" s="21" t="s">
        <v>8668</v>
      </c>
      <c r="E622" s="21" t="s">
        <v>13732</v>
      </c>
      <c r="F622" s="21" t="s">
        <v>2751</v>
      </c>
      <c r="G622" s="21" t="s">
        <v>22844</v>
      </c>
      <c r="H622" s="21" t="s">
        <v>25627</v>
      </c>
    </row>
    <row r="623" customFormat="false" ht="15" hidden="false" customHeight="false" outlineLevel="0" collapsed="false">
      <c r="B623" s="19" t="s">
        <v>26004</v>
      </c>
      <c r="C623" s="20" t="n">
        <f aca="false">ROUND(3.31/FX,2)</f>
        <v>0.46</v>
      </c>
      <c r="D623" s="21" t="s">
        <v>8668</v>
      </c>
      <c r="E623" s="21" t="s">
        <v>13732</v>
      </c>
      <c r="F623" s="21" t="s">
        <v>2801</v>
      </c>
      <c r="G623" s="21" t="s">
        <v>22844</v>
      </c>
      <c r="H623" s="21" t="s">
        <v>25627</v>
      </c>
    </row>
    <row r="624" customFormat="false" ht="15" hidden="false" customHeight="false" outlineLevel="0" collapsed="false">
      <c r="B624" s="19" t="s">
        <v>26005</v>
      </c>
      <c r="C624" s="20" t="n">
        <f aca="false">ROUND(3.5/FX,2)</f>
        <v>0.49</v>
      </c>
      <c r="D624" s="21" t="s">
        <v>8668</v>
      </c>
      <c r="E624" s="21" t="s">
        <v>13732</v>
      </c>
      <c r="F624" s="21" t="s">
        <v>2851</v>
      </c>
      <c r="G624" s="21" t="s">
        <v>22844</v>
      </c>
      <c r="H624" s="21" t="s">
        <v>25627</v>
      </c>
    </row>
    <row r="625" customFormat="false" ht="15" hidden="false" customHeight="false" outlineLevel="0" collapsed="false">
      <c r="B625" s="19" t="s">
        <v>26006</v>
      </c>
      <c r="C625" s="20" t="n">
        <f aca="false">ROUND(3.9/FX,2)</f>
        <v>0.54</v>
      </c>
      <c r="D625" s="21" t="s">
        <v>8668</v>
      </c>
      <c r="E625" s="21" t="s">
        <v>13732</v>
      </c>
      <c r="F625" s="21" t="s">
        <v>2901</v>
      </c>
      <c r="G625" s="21" t="s">
        <v>22844</v>
      </c>
      <c r="H625" s="21" t="s">
        <v>25627</v>
      </c>
    </row>
    <row r="626" customFormat="false" ht="15" hidden="false" customHeight="false" outlineLevel="0" collapsed="false">
      <c r="B626" s="19" t="s">
        <v>26007</v>
      </c>
      <c r="C626" s="20" t="n">
        <f aca="false">ROUND(4.11/FX,2)</f>
        <v>0.57</v>
      </c>
      <c r="D626" s="21" t="s">
        <v>8668</v>
      </c>
      <c r="E626" s="21" t="s">
        <v>13732</v>
      </c>
      <c r="F626" s="21" t="s">
        <v>883</v>
      </c>
      <c r="G626" s="21" t="s">
        <v>22844</v>
      </c>
      <c r="H626" s="21" t="s">
        <v>25627</v>
      </c>
    </row>
    <row r="627" customFormat="false" ht="15" hidden="false" customHeight="false" outlineLevel="0" collapsed="false">
      <c r="B627" s="19" t="s">
        <v>26008</v>
      </c>
      <c r="C627" s="20" t="n">
        <f aca="false">ROUND(4.32/FX,2)</f>
        <v>0.6</v>
      </c>
      <c r="D627" s="21" t="s">
        <v>8668</v>
      </c>
      <c r="E627" s="21" t="s">
        <v>13732</v>
      </c>
      <c r="F627" s="21" t="s">
        <v>938</v>
      </c>
      <c r="G627" s="21" t="s">
        <v>22844</v>
      </c>
      <c r="H627" s="21" t="s">
        <v>25627</v>
      </c>
    </row>
    <row r="628" customFormat="false" ht="15" hidden="false" customHeight="false" outlineLevel="0" collapsed="false">
      <c r="B628" s="19" t="s">
        <v>26009</v>
      </c>
      <c r="C628" s="20" t="n">
        <f aca="false">ROUND(4.52/FX,2)</f>
        <v>0.63</v>
      </c>
      <c r="D628" s="21" t="s">
        <v>8668</v>
      </c>
      <c r="E628" s="21" t="s">
        <v>13732</v>
      </c>
      <c r="F628" s="21" t="s">
        <v>993</v>
      </c>
      <c r="G628" s="21" t="s">
        <v>22844</v>
      </c>
      <c r="H628" s="21" t="s">
        <v>25627</v>
      </c>
    </row>
    <row r="629" customFormat="false" ht="15" hidden="false" customHeight="false" outlineLevel="0" collapsed="false">
      <c r="B629" s="19" t="s">
        <v>26010</v>
      </c>
      <c r="C629" s="20" t="n">
        <f aca="false">ROUND(1.59/FX,2)</f>
        <v>0.22</v>
      </c>
      <c r="D629" s="21" t="s">
        <v>8668</v>
      </c>
      <c r="E629" s="21" t="s">
        <v>13739</v>
      </c>
      <c r="F629" s="21" t="s">
        <v>3247</v>
      </c>
      <c r="G629" s="21" t="s">
        <v>22844</v>
      </c>
      <c r="H629" s="21" t="s">
        <v>25627</v>
      </c>
    </row>
    <row r="630" customFormat="false" ht="15" hidden="false" customHeight="false" outlineLevel="0" collapsed="false">
      <c r="B630" s="19" t="s">
        <v>26011</v>
      </c>
      <c r="C630" s="20" t="n">
        <f aca="false">ROUND(4.8/FX,2)</f>
        <v>0.67</v>
      </c>
      <c r="D630" s="21" t="s">
        <v>8668</v>
      </c>
      <c r="E630" s="21" t="s">
        <v>13732</v>
      </c>
      <c r="F630" s="21" t="s">
        <v>1048</v>
      </c>
      <c r="G630" s="21" t="s">
        <v>22844</v>
      </c>
      <c r="H630" s="21" t="s">
        <v>25627</v>
      </c>
    </row>
    <row r="631" customFormat="false" ht="15" hidden="false" customHeight="false" outlineLevel="0" collapsed="false">
      <c r="B631" s="19" t="s">
        <v>26012</v>
      </c>
      <c r="C631" s="20" t="n">
        <f aca="false">ROUND(1.76/FX,2)</f>
        <v>0.24</v>
      </c>
      <c r="D631" s="21" t="s">
        <v>8668</v>
      </c>
      <c r="E631" s="21" t="s">
        <v>13739</v>
      </c>
      <c r="F631" s="21" t="s">
        <v>3317</v>
      </c>
      <c r="G631" s="21" t="s">
        <v>22844</v>
      </c>
      <c r="H631" s="21" t="s">
        <v>25627</v>
      </c>
    </row>
    <row r="632" customFormat="false" ht="15" hidden="false" customHeight="false" outlineLevel="0" collapsed="false">
      <c r="B632" s="19" t="s">
        <v>26013</v>
      </c>
      <c r="C632" s="20" t="n">
        <f aca="false">ROUND(1.89/FX,2)</f>
        <v>0.26</v>
      </c>
      <c r="D632" s="21" t="s">
        <v>8668</v>
      </c>
      <c r="E632" s="21" t="s">
        <v>13739</v>
      </c>
      <c r="F632" s="21" t="s">
        <v>784</v>
      </c>
      <c r="G632" s="21" t="s">
        <v>22844</v>
      </c>
      <c r="H632" s="21" t="s">
        <v>25627</v>
      </c>
    </row>
    <row r="633" customFormat="false" ht="15" hidden="false" customHeight="false" outlineLevel="0" collapsed="false">
      <c r="B633" s="19" t="s">
        <v>26014</v>
      </c>
      <c r="C633" s="20" t="n">
        <f aca="false">ROUND(1.03/FX,2)</f>
        <v>0.14</v>
      </c>
      <c r="D633" s="21" t="s">
        <v>8668</v>
      </c>
      <c r="E633" s="21" t="s">
        <v>13732</v>
      </c>
      <c r="F633" s="21" t="s">
        <v>3328</v>
      </c>
      <c r="G633" s="21" t="s">
        <v>22844</v>
      </c>
      <c r="H633" s="21" t="s">
        <v>25627</v>
      </c>
    </row>
    <row r="634" customFormat="false" ht="15" hidden="false" customHeight="false" outlineLevel="0" collapsed="false">
      <c r="B634" s="19" t="s">
        <v>26015</v>
      </c>
      <c r="C634" s="20" t="n">
        <f aca="false">ROUND(1.13/FX,2)</f>
        <v>0.16</v>
      </c>
      <c r="D634" s="21" t="s">
        <v>8668</v>
      </c>
      <c r="E634" s="21" t="s">
        <v>13732</v>
      </c>
      <c r="F634" s="21" t="s">
        <v>6246</v>
      </c>
      <c r="G634" s="21" t="s">
        <v>22844</v>
      </c>
      <c r="H634" s="21" t="s">
        <v>25627</v>
      </c>
    </row>
    <row r="635" customFormat="false" ht="15" hidden="false" customHeight="false" outlineLevel="0" collapsed="false">
      <c r="B635" s="19" t="s">
        <v>26016</v>
      </c>
      <c r="C635" s="20" t="n">
        <f aca="false">ROUND(1.22/FX,2)</f>
        <v>0.17</v>
      </c>
      <c r="D635" s="21" t="s">
        <v>8668</v>
      </c>
      <c r="E635" s="21" t="s">
        <v>13732</v>
      </c>
      <c r="F635" s="21" t="s">
        <v>7358</v>
      </c>
      <c r="G635" s="21" t="s">
        <v>22844</v>
      </c>
      <c r="H635" s="21" t="s">
        <v>25627</v>
      </c>
    </row>
    <row r="636" customFormat="false" ht="15" hidden="false" customHeight="false" outlineLevel="0" collapsed="false">
      <c r="B636" s="19" t="s">
        <v>26017</v>
      </c>
      <c r="C636" s="20" t="n">
        <f aca="false">ROUND(1.3/FX,2)</f>
        <v>0.18</v>
      </c>
      <c r="D636" s="21" t="s">
        <v>8668</v>
      </c>
      <c r="E636" s="21" t="s">
        <v>13732</v>
      </c>
      <c r="F636" s="21" t="s">
        <v>2911</v>
      </c>
      <c r="G636" s="21" t="s">
        <v>22844</v>
      </c>
      <c r="H636" s="21" t="s">
        <v>25627</v>
      </c>
    </row>
    <row r="637" customFormat="false" ht="15" hidden="false" customHeight="false" outlineLevel="0" collapsed="false">
      <c r="B637" s="19" t="s">
        <v>26018</v>
      </c>
      <c r="C637" s="20" t="n">
        <f aca="false">ROUND(1.39/FX,2)</f>
        <v>0.19</v>
      </c>
      <c r="D637" s="21" t="s">
        <v>8668</v>
      </c>
      <c r="E637" s="21" t="s">
        <v>13732</v>
      </c>
      <c r="F637" s="21" t="s">
        <v>7275</v>
      </c>
      <c r="G637" s="21" t="s">
        <v>22844</v>
      </c>
      <c r="H637" s="21" t="s">
        <v>25627</v>
      </c>
    </row>
    <row r="638" customFormat="false" ht="15" hidden="false" customHeight="false" outlineLevel="0" collapsed="false">
      <c r="B638" s="19" t="s">
        <v>26019</v>
      </c>
      <c r="C638" s="20" t="n">
        <f aca="false">ROUND(1.8/FX,2)</f>
        <v>0.25</v>
      </c>
      <c r="D638" s="21" t="s">
        <v>8668</v>
      </c>
      <c r="E638" s="21" t="s">
        <v>13732</v>
      </c>
      <c r="F638" s="21" t="s">
        <v>2961</v>
      </c>
      <c r="G638" s="21" t="s">
        <v>22844</v>
      </c>
      <c r="H638" s="21" t="s">
        <v>25627</v>
      </c>
    </row>
    <row r="639" customFormat="false" ht="15" hidden="false" customHeight="false" outlineLevel="0" collapsed="false">
      <c r="B639" s="19" t="s">
        <v>26020</v>
      </c>
      <c r="C639" s="20" t="n">
        <f aca="false">ROUND(1.51/FX,2)</f>
        <v>0.21</v>
      </c>
      <c r="D639" s="21" t="s">
        <v>8668</v>
      </c>
      <c r="E639" s="21" t="s">
        <v>13732</v>
      </c>
      <c r="F639" s="21" t="s">
        <v>13817</v>
      </c>
      <c r="G639" s="21" t="s">
        <v>22844</v>
      </c>
      <c r="H639" s="21" t="s">
        <v>25627</v>
      </c>
    </row>
    <row r="640" customFormat="false" ht="15" hidden="false" customHeight="false" outlineLevel="0" collapsed="false">
      <c r="B640" s="19" t="s">
        <v>26021</v>
      </c>
      <c r="C640" s="20" t="n">
        <f aca="false">ROUND(1.56/FX,2)</f>
        <v>0.22</v>
      </c>
      <c r="D640" s="21" t="s">
        <v>8668</v>
      </c>
      <c r="E640" s="21" t="s">
        <v>13732</v>
      </c>
      <c r="F640" s="21" t="s">
        <v>3011</v>
      </c>
      <c r="G640" s="21" t="s">
        <v>22844</v>
      </c>
      <c r="H640" s="21" t="s">
        <v>25627</v>
      </c>
    </row>
    <row r="641" customFormat="false" ht="15" hidden="false" customHeight="false" outlineLevel="0" collapsed="false">
      <c r="B641" s="19" t="s">
        <v>26022</v>
      </c>
      <c r="C641" s="20" t="n">
        <f aca="false">ROUND(2.15/FX,2)</f>
        <v>0.3</v>
      </c>
      <c r="D641" s="21" t="s">
        <v>8668</v>
      </c>
      <c r="E641" s="21" t="s">
        <v>13732</v>
      </c>
      <c r="F641" s="21" t="s">
        <v>7396</v>
      </c>
      <c r="G641" s="21" t="s">
        <v>22844</v>
      </c>
      <c r="H641" s="21" t="s">
        <v>25627</v>
      </c>
    </row>
    <row r="642" customFormat="false" ht="15" hidden="false" customHeight="false" outlineLevel="0" collapsed="false">
      <c r="B642" s="19" t="s">
        <v>26023</v>
      </c>
      <c r="C642" s="20" t="n">
        <f aca="false">ROUND(1.77/FX,2)</f>
        <v>0.25</v>
      </c>
      <c r="D642" s="21" t="s">
        <v>8668</v>
      </c>
      <c r="E642" s="21" t="s">
        <v>13732</v>
      </c>
      <c r="F642" s="21" t="s">
        <v>3061</v>
      </c>
      <c r="G642" s="21" t="s">
        <v>22844</v>
      </c>
      <c r="H642" s="21" t="s">
        <v>25627</v>
      </c>
    </row>
    <row r="643" customFormat="false" ht="15" hidden="false" customHeight="false" outlineLevel="0" collapsed="false">
      <c r="B643" s="19" t="s">
        <v>26024</v>
      </c>
      <c r="C643" s="20" t="n">
        <f aca="false">ROUND(1.93/FX,2)</f>
        <v>0.27</v>
      </c>
      <c r="D643" s="21" t="s">
        <v>8668</v>
      </c>
      <c r="E643" s="21" t="s">
        <v>13732</v>
      </c>
      <c r="F643" s="21" t="s">
        <v>3111</v>
      </c>
      <c r="G643" s="21" t="s">
        <v>22844</v>
      </c>
      <c r="H643" s="21" t="s">
        <v>25627</v>
      </c>
    </row>
    <row r="644" customFormat="false" ht="15" hidden="false" customHeight="false" outlineLevel="0" collapsed="false">
      <c r="B644" s="19" t="s">
        <v>26025</v>
      </c>
      <c r="C644" s="20" t="n">
        <f aca="false">ROUND(3.94/FX,2)</f>
        <v>0.55</v>
      </c>
      <c r="D644" s="21" t="s">
        <v>8668</v>
      </c>
      <c r="E644" s="21" t="s">
        <v>13732</v>
      </c>
      <c r="F644" s="21" t="s">
        <v>2600</v>
      </c>
      <c r="G644" s="21" t="s">
        <v>25427</v>
      </c>
      <c r="H644" s="21" t="s">
        <v>25627</v>
      </c>
    </row>
    <row r="645" customFormat="false" ht="15" hidden="false" customHeight="false" outlineLevel="0" collapsed="false">
      <c r="B645" s="19" t="s">
        <v>26026</v>
      </c>
      <c r="C645" s="20" t="n">
        <f aca="false">ROUND(1.49/FX,2)</f>
        <v>0.21</v>
      </c>
      <c r="D645" s="21" t="s">
        <v>8668</v>
      </c>
      <c r="E645" s="21" t="s">
        <v>13732</v>
      </c>
      <c r="F645" s="21" t="s">
        <v>3317</v>
      </c>
      <c r="G645" s="21" t="s">
        <v>25427</v>
      </c>
      <c r="H645" s="21" t="s">
        <v>25627</v>
      </c>
    </row>
    <row r="646" customFormat="false" ht="15" hidden="false" customHeight="false" outlineLevel="0" collapsed="false">
      <c r="B646" s="19" t="s">
        <v>26027</v>
      </c>
      <c r="C646" s="20" t="n">
        <f aca="false">ROUND(1.63/FX,2)</f>
        <v>0.23</v>
      </c>
      <c r="D646" s="21" t="s">
        <v>8668</v>
      </c>
      <c r="E646" s="21" t="s">
        <v>13732</v>
      </c>
      <c r="F646" s="21" t="s">
        <v>784</v>
      </c>
      <c r="G646" s="21" t="s">
        <v>25427</v>
      </c>
      <c r="H646" s="21" t="s">
        <v>25627</v>
      </c>
    </row>
    <row r="647" customFormat="false" ht="15" hidden="false" customHeight="false" outlineLevel="0" collapsed="false">
      <c r="B647" s="19" t="s">
        <v>26028</v>
      </c>
      <c r="C647" s="20" t="n">
        <f aca="false">ROUND(1.76/FX,2)</f>
        <v>0.24</v>
      </c>
      <c r="D647" s="21" t="s">
        <v>8668</v>
      </c>
      <c r="E647" s="21" t="s">
        <v>13732</v>
      </c>
      <c r="F647" s="21" t="s">
        <v>3328</v>
      </c>
      <c r="G647" s="21" t="s">
        <v>25427</v>
      </c>
      <c r="H647" s="21" t="s">
        <v>25627</v>
      </c>
    </row>
    <row r="648" customFormat="false" ht="15" hidden="false" customHeight="false" outlineLevel="0" collapsed="false">
      <c r="B648" s="19" t="s">
        <v>26029</v>
      </c>
      <c r="C648" s="20" t="n">
        <f aca="false">ROUND(1.94/FX,2)</f>
        <v>0.27</v>
      </c>
      <c r="D648" s="21" t="s">
        <v>8668</v>
      </c>
      <c r="E648" s="21" t="s">
        <v>13732</v>
      </c>
      <c r="F648" s="21" t="s">
        <v>6246</v>
      </c>
      <c r="G648" s="21" t="s">
        <v>25427</v>
      </c>
      <c r="H648" s="21" t="s">
        <v>25627</v>
      </c>
    </row>
    <row r="649" customFormat="false" ht="15" hidden="false" customHeight="false" outlineLevel="0" collapsed="false">
      <c r="B649" s="19" t="s">
        <v>26030</v>
      </c>
      <c r="C649" s="20" t="n">
        <f aca="false">ROUND(2.08/FX,2)</f>
        <v>0.29</v>
      </c>
      <c r="D649" s="21" t="s">
        <v>8668</v>
      </c>
      <c r="E649" s="21" t="s">
        <v>13732</v>
      </c>
      <c r="F649" s="21" t="s">
        <v>7358</v>
      </c>
      <c r="G649" s="21" t="s">
        <v>25427</v>
      </c>
      <c r="H649" s="21" t="s">
        <v>25627</v>
      </c>
    </row>
    <row r="650" customFormat="false" ht="15" hidden="false" customHeight="false" outlineLevel="0" collapsed="false">
      <c r="B650" s="19" t="s">
        <v>26031</v>
      </c>
      <c r="C650" s="20" t="n">
        <f aca="false">ROUND(2.27/FX,2)</f>
        <v>0.32</v>
      </c>
      <c r="D650" s="21" t="s">
        <v>8668</v>
      </c>
      <c r="E650" s="21" t="s">
        <v>13732</v>
      </c>
      <c r="F650" s="21" t="s">
        <v>2911</v>
      </c>
      <c r="G650" s="21" t="s">
        <v>25427</v>
      </c>
      <c r="H650" s="21" t="s">
        <v>25627</v>
      </c>
    </row>
    <row r="651" customFormat="false" ht="15" hidden="false" customHeight="false" outlineLevel="0" collapsed="false">
      <c r="B651" s="19" t="s">
        <v>26032</v>
      </c>
      <c r="C651" s="20" t="n">
        <f aca="false">ROUND(2.36/FX,2)</f>
        <v>0.33</v>
      </c>
      <c r="D651" s="21" t="s">
        <v>8668</v>
      </c>
      <c r="E651" s="21" t="s">
        <v>13732</v>
      </c>
      <c r="F651" s="21" t="s">
        <v>7275</v>
      </c>
      <c r="G651" s="21" t="s">
        <v>25427</v>
      </c>
      <c r="H651" s="21" t="s">
        <v>25627</v>
      </c>
    </row>
    <row r="652" customFormat="false" ht="15" hidden="false" customHeight="false" outlineLevel="0" collapsed="false">
      <c r="B652" s="19" t="s">
        <v>26033</v>
      </c>
      <c r="C652" s="20" t="n">
        <f aca="false">ROUND(2.58/FX,2)</f>
        <v>0.36</v>
      </c>
      <c r="D652" s="21" t="s">
        <v>8668</v>
      </c>
      <c r="E652" s="21" t="s">
        <v>13732</v>
      </c>
      <c r="F652" s="21" t="s">
        <v>2961</v>
      </c>
      <c r="G652" s="21" t="s">
        <v>25427</v>
      </c>
      <c r="H652" s="21" t="s">
        <v>25627</v>
      </c>
    </row>
    <row r="653" customFormat="false" ht="15" hidden="false" customHeight="false" outlineLevel="0" collapsed="false">
      <c r="B653" s="19" t="s">
        <v>26034</v>
      </c>
      <c r="C653" s="20" t="n">
        <f aca="false">ROUND(2.69/FX,2)</f>
        <v>0.37</v>
      </c>
      <c r="D653" s="21" t="s">
        <v>8668</v>
      </c>
      <c r="E653" s="21" t="s">
        <v>13732</v>
      </c>
      <c r="F653" s="21" t="s">
        <v>13817</v>
      </c>
      <c r="G653" s="21" t="s">
        <v>25427</v>
      </c>
      <c r="H653" s="21" t="s">
        <v>25627</v>
      </c>
    </row>
    <row r="654" customFormat="false" ht="15" hidden="false" customHeight="false" outlineLevel="0" collapsed="false">
      <c r="B654" s="19" t="s">
        <v>26035</v>
      </c>
      <c r="C654" s="20" t="n">
        <f aca="false">ROUND(2.85/FX,2)</f>
        <v>0.4</v>
      </c>
      <c r="D654" s="21" t="s">
        <v>8668</v>
      </c>
      <c r="E654" s="21" t="s">
        <v>13732</v>
      </c>
      <c r="F654" s="21" t="s">
        <v>3011</v>
      </c>
      <c r="G654" s="21" t="s">
        <v>25427</v>
      </c>
      <c r="H654" s="21" t="s">
        <v>25627</v>
      </c>
    </row>
    <row r="655" customFormat="false" ht="15" hidden="false" customHeight="false" outlineLevel="0" collapsed="false">
      <c r="B655" s="19" t="s">
        <v>26036</v>
      </c>
      <c r="C655" s="20" t="n">
        <f aca="false">ROUND(3.22/FX,2)</f>
        <v>0.45</v>
      </c>
      <c r="D655" s="21" t="s">
        <v>8668</v>
      </c>
      <c r="E655" s="21" t="s">
        <v>13732</v>
      </c>
      <c r="F655" s="21" t="s">
        <v>3061</v>
      </c>
      <c r="G655" s="21" t="s">
        <v>25427</v>
      </c>
      <c r="H655" s="21" t="s">
        <v>25627</v>
      </c>
    </row>
    <row r="656" customFormat="false" ht="15" hidden="false" customHeight="false" outlineLevel="0" collapsed="false">
      <c r="B656" s="19" t="s">
        <v>26037</v>
      </c>
      <c r="C656" s="20" t="n">
        <f aca="false">ROUND(3.56/FX,2)</f>
        <v>0.49</v>
      </c>
      <c r="D656" s="21" t="s">
        <v>8668</v>
      </c>
      <c r="E656" s="21" t="s">
        <v>13732</v>
      </c>
      <c r="F656" s="21" t="s">
        <v>3111</v>
      </c>
      <c r="G656" s="21" t="s">
        <v>25427</v>
      </c>
      <c r="H656" s="21" t="s">
        <v>25627</v>
      </c>
    </row>
    <row r="657" customFormat="false" ht="15" hidden="false" customHeight="false" outlineLevel="0" collapsed="false">
      <c r="B657" s="19" t="s">
        <v>26038</v>
      </c>
      <c r="C657" s="20" t="n">
        <f aca="false">ROUND(5.29/FX,2)</f>
        <v>0.73</v>
      </c>
      <c r="D657" s="21" t="s">
        <v>8668</v>
      </c>
      <c r="E657" s="21" t="s">
        <v>13732</v>
      </c>
      <c r="F657" s="21" t="s">
        <v>2600</v>
      </c>
      <c r="G657" s="21" t="s">
        <v>25439</v>
      </c>
      <c r="H657" s="21" t="s">
        <v>25627</v>
      </c>
    </row>
    <row r="658" customFormat="false" ht="15" hidden="false" customHeight="false" outlineLevel="0" collapsed="false">
      <c r="B658" s="19" t="s">
        <v>26039</v>
      </c>
      <c r="C658" s="20" t="n">
        <f aca="false">ROUND(5.34/FX,2)</f>
        <v>0.74</v>
      </c>
      <c r="D658" s="21" t="s">
        <v>8668</v>
      </c>
      <c r="E658" s="21" t="s">
        <v>13732</v>
      </c>
      <c r="F658" s="21" t="s">
        <v>2651</v>
      </c>
      <c r="G658" s="21" t="s">
        <v>25439</v>
      </c>
      <c r="H658" s="21" t="s">
        <v>25627</v>
      </c>
    </row>
    <row r="659" customFormat="false" ht="15" hidden="false" customHeight="false" outlineLevel="0" collapsed="false">
      <c r="B659" s="19" t="s">
        <v>26040</v>
      </c>
      <c r="C659" s="20" t="n">
        <f aca="false">ROUND(6.89/FX,2)</f>
        <v>0.96</v>
      </c>
      <c r="D659" s="21" t="s">
        <v>8668</v>
      </c>
      <c r="E659" s="21" t="s">
        <v>13732</v>
      </c>
      <c r="F659" s="21" t="s">
        <v>2701</v>
      </c>
      <c r="G659" s="21" t="s">
        <v>25439</v>
      </c>
      <c r="H659" s="21" t="s">
        <v>25627</v>
      </c>
    </row>
    <row r="660" customFormat="false" ht="15" hidden="false" customHeight="false" outlineLevel="0" collapsed="false">
      <c r="B660" s="19" t="s">
        <v>26041</v>
      </c>
      <c r="C660" s="20" t="n">
        <f aca="false">ROUND(2.3/FX,2)</f>
        <v>0.32</v>
      </c>
      <c r="D660" s="21" t="s">
        <v>8668</v>
      </c>
      <c r="E660" s="21" t="s">
        <v>13732</v>
      </c>
      <c r="F660" s="21" t="s">
        <v>3317</v>
      </c>
      <c r="G660" s="21" t="s">
        <v>25439</v>
      </c>
      <c r="H660" s="21" t="s">
        <v>25627</v>
      </c>
    </row>
    <row r="661" customFormat="false" ht="15" hidden="false" customHeight="false" outlineLevel="0" collapsed="false">
      <c r="B661" s="19" t="s">
        <v>26042</v>
      </c>
      <c r="C661" s="20" t="n">
        <f aca="false">ROUND(2.4/FX,2)</f>
        <v>0.33</v>
      </c>
      <c r="D661" s="21" t="s">
        <v>8668</v>
      </c>
      <c r="E661" s="21" t="s">
        <v>13732</v>
      </c>
      <c r="F661" s="21" t="s">
        <v>784</v>
      </c>
      <c r="G661" s="21" t="s">
        <v>25439</v>
      </c>
      <c r="H661" s="21" t="s">
        <v>25627</v>
      </c>
    </row>
    <row r="662" customFormat="false" ht="15" hidden="false" customHeight="false" outlineLevel="0" collapsed="false">
      <c r="B662" s="19" t="s">
        <v>26043</v>
      </c>
      <c r="C662" s="20" t="n">
        <f aca="false">ROUND(2.5/FX,2)</f>
        <v>0.35</v>
      </c>
      <c r="D662" s="21" t="s">
        <v>8668</v>
      </c>
      <c r="E662" s="21" t="s">
        <v>13732</v>
      </c>
      <c r="F662" s="21" t="s">
        <v>3328</v>
      </c>
      <c r="G662" s="21" t="s">
        <v>25439</v>
      </c>
      <c r="H662" s="21" t="s">
        <v>25627</v>
      </c>
    </row>
    <row r="663" customFormat="false" ht="15" hidden="false" customHeight="false" outlineLevel="0" collapsed="false">
      <c r="B663" s="19" t="s">
        <v>26044</v>
      </c>
      <c r="C663" s="20" t="n">
        <f aca="false">ROUND(2.67/FX,2)</f>
        <v>0.37</v>
      </c>
      <c r="D663" s="21" t="s">
        <v>8668</v>
      </c>
      <c r="E663" s="21" t="s">
        <v>13732</v>
      </c>
      <c r="F663" s="21" t="s">
        <v>6246</v>
      </c>
      <c r="G663" s="21" t="s">
        <v>25439</v>
      </c>
      <c r="H663" s="21" t="s">
        <v>25627</v>
      </c>
    </row>
    <row r="664" customFormat="false" ht="15" hidden="false" customHeight="false" outlineLevel="0" collapsed="false">
      <c r="B664" s="19" t="s">
        <v>26045</v>
      </c>
      <c r="C664" s="20" t="n">
        <f aca="false">ROUND(2.88/FX,2)</f>
        <v>0.4</v>
      </c>
      <c r="D664" s="21" t="s">
        <v>8668</v>
      </c>
      <c r="E664" s="21" t="s">
        <v>13732</v>
      </c>
      <c r="F664" s="21" t="s">
        <v>7358</v>
      </c>
      <c r="G664" s="21" t="s">
        <v>25439</v>
      </c>
      <c r="H664" s="21" t="s">
        <v>25627</v>
      </c>
    </row>
    <row r="665" customFormat="false" ht="15" hidden="false" customHeight="false" outlineLevel="0" collapsed="false">
      <c r="B665" s="19" t="s">
        <v>26046</v>
      </c>
      <c r="C665" s="20" t="n">
        <f aca="false">ROUND(3.08/FX,2)</f>
        <v>0.43</v>
      </c>
      <c r="D665" s="21" t="s">
        <v>8668</v>
      </c>
      <c r="E665" s="21" t="s">
        <v>13732</v>
      </c>
      <c r="F665" s="21" t="s">
        <v>2911</v>
      </c>
      <c r="G665" s="21" t="s">
        <v>25439</v>
      </c>
      <c r="H665" s="21" t="s">
        <v>25627</v>
      </c>
    </row>
    <row r="666" customFormat="false" ht="15" hidden="false" customHeight="false" outlineLevel="0" collapsed="false">
      <c r="B666" s="19" t="s">
        <v>26047</v>
      </c>
      <c r="C666" s="20" t="n">
        <f aca="false">ROUND(3.29/FX,2)</f>
        <v>0.46</v>
      </c>
      <c r="D666" s="21" t="s">
        <v>8668</v>
      </c>
      <c r="E666" s="21" t="s">
        <v>13732</v>
      </c>
      <c r="F666" s="21" t="s">
        <v>7275</v>
      </c>
      <c r="G666" s="21" t="s">
        <v>25439</v>
      </c>
      <c r="H666" s="21" t="s">
        <v>25627</v>
      </c>
    </row>
    <row r="667" customFormat="false" ht="15" hidden="false" customHeight="false" outlineLevel="0" collapsed="false">
      <c r="B667" s="19" t="s">
        <v>26048</v>
      </c>
      <c r="C667" s="20" t="n">
        <f aca="false">ROUND(3.53/FX,2)</f>
        <v>0.49</v>
      </c>
      <c r="D667" s="21" t="s">
        <v>8668</v>
      </c>
      <c r="E667" s="21" t="s">
        <v>13732</v>
      </c>
      <c r="F667" s="21" t="s">
        <v>2961</v>
      </c>
      <c r="G667" s="21" t="s">
        <v>25439</v>
      </c>
      <c r="H667" s="21" t="s">
        <v>25627</v>
      </c>
    </row>
    <row r="668" customFormat="false" ht="15" hidden="false" customHeight="false" outlineLevel="0" collapsed="false">
      <c r="B668" s="19" t="s">
        <v>26049</v>
      </c>
      <c r="C668" s="20" t="n">
        <f aca="false">ROUND(3.75/FX,2)</f>
        <v>0.52</v>
      </c>
      <c r="D668" s="21" t="s">
        <v>8668</v>
      </c>
      <c r="E668" s="21" t="s">
        <v>13732</v>
      </c>
      <c r="F668" s="21" t="s">
        <v>13817</v>
      </c>
      <c r="G668" s="21" t="s">
        <v>25439</v>
      </c>
      <c r="H668" s="21" t="s">
        <v>25627</v>
      </c>
    </row>
    <row r="669" customFormat="false" ht="15" hidden="false" customHeight="false" outlineLevel="0" collapsed="false">
      <c r="B669" s="19" t="s">
        <v>26050</v>
      </c>
      <c r="C669" s="20" t="n">
        <f aca="false">ROUND(3.94/FX,2)</f>
        <v>0.55</v>
      </c>
      <c r="D669" s="21" t="s">
        <v>8668</v>
      </c>
      <c r="E669" s="21" t="s">
        <v>13732</v>
      </c>
      <c r="F669" s="21" t="s">
        <v>3011</v>
      </c>
      <c r="G669" s="21" t="s">
        <v>25439</v>
      </c>
      <c r="H669" s="21" t="s">
        <v>25627</v>
      </c>
    </row>
    <row r="670" customFormat="false" ht="15" hidden="false" customHeight="false" outlineLevel="0" collapsed="false">
      <c r="B670" s="19" t="s">
        <v>26051</v>
      </c>
      <c r="C670" s="20" t="n">
        <f aca="false">ROUND(4.16/FX,2)</f>
        <v>0.58</v>
      </c>
      <c r="D670" s="21" t="s">
        <v>8668</v>
      </c>
      <c r="E670" s="21" t="s">
        <v>13732</v>
      </c>
      <c r="F670" s="21" t="s">
        <v>7396</v>
      </c>
      <c r="G670" s="21" t="s">
        <v>25439</v>
      </c>
      <c r="H670" s="21" t="s">
        <v>25627</v>
      </c>
    </row>
    <row r="671" customFormat="false" ht="15" hidden="false" customHeight="false" outlineLevel="0" collapsed="false">
      <c r="B671" s="19" t="s">
        <v>26052</v>
      </c>
      <c r="C671" s="20" t="n">
        <f aca="false">ROUND(4.39/FX,2)</f>
        <v>0.61</v>
      </c>
      <c r="D671" s="21" t="s">
        <v>8668</v>
      </c>
      <c r="E671" s="21" t="s">
        <v>13732</v>
      </c>
      <c r="F671" s="21" t="s">
        <v>3061</v>
      </c>
      <c r="G671" s="21" t="s">
        <v>25439</v>
      </c>
      <c r="H671" s="21" t="s">
        <v>25627</v>
      </c>
    </row>
    <row r="672" customFormat="false" ht="15" hidden="false" customHeight="false" outlineLevel="0" collapsed="false">
      <c r="B672" s="19" t="s">
        <v>26053</v>
      </c>
      <c r="C672" s="20" t="n">
        <f aca="false">ROUND(4.61/FX,2)</f>
        <v>0.64</v>
      </c>
      <c r="D672" s="21" t="s">
        <v>8668</v>
      </c>
      <c r="E672" s="21" t="s">
        <v>13732</v>
      </c>
      <c r="F672" s="21" t="s">
        <v>11870</v>
      </c>
      <c r="G672" s="21" t="s">
        <v>25439</v>
      </c>
      <c r="H672" s="21" t="s">
        <v>25627</v>
      </c>
    </row>
    <row r="673" customFormat="false" ht="15" hidden="false" customHeight="false" outlineLevel="0" collapsed="false">
      <c r="B673" s="19" t="s">
        <v>26054</v>
      </c>
      <c r="C673" s="20" t="n">
        <f aca="false">ROUND(4.84/FX,2)</f>
        <v>0.67</v>
      </c>
      <c r="D673" s="21" t="s">
        <v>8668</v>
      </c>
      <c r="E673" s="21" t="s">
        <v>13732</v>
      </c>
      <c r="F673" s="21" t="s">
        <v>3111</v>
      </c>
      <c r="G673" s="21" t="s">
        <v>25439</v>
      </c>
      <c r="H673" s="21" t="s">
        <v>25627</v>
      </c>
    </row>
    <row r="674" customFormat="false" ht="15" hidden="false" customHeight="false" outlineLevel="0" collapsed="false">
      <c r="B674" s="19" t="s">
        <v>26055</v>
      </c>
      <c r="C674" s="20" t="n">
        <f aca="false">ROUND(4.12/FX,2)</f>
        <v>0.57</v>
      </c>
      <c r="D674" s="21" t="s">
        <v>8668</v>
      </c>
      <c r="E674" s="21" t="s">
        <v>23567</v>
      </c>
      <c r="F674" s="21" t="s">
        <v>707</v>
      </c>
      <c r="G674" s="21" t="s">
        <v>25460</v>
      </c>
      <c r="H674" s="21" t="s">
        <v>25627</v>
      </c>
    </row>
    <row r="675" customFormat="false" ht="15" hidden="false" customHeight="false" outlineLevel="0" collapsed="false">
      <c r="B675" s="19" t="s">
        <v>26056</v>
      </c>
      <c r="C675" s="20" t="n">
        <f aca="false">ROUND(4.81/FX,2)</f>
        <v>0.67</v>
      </c>
      <c r="D675" s="21" t="s">
        <v>8668</v>
      </c>
      <c r="E675" s="21" t="s">
        <v>23567</v>
      </c>
      <c r="F675" s="21" t="s">
        <v>707</v>
      </c>
      <c r="G675" s="21" t="s">
        <v>11407</v>
      </c>
      <c r="H675" s="21" t="s">
        <v>25627</v>
      </c>
    </row>
    <row r="676" customFormat="false" ht="15" hidden="false" customHeight="false" outlineLevel="0" collapsed="false">
      <c r="B676" s="19" t="s">
        <v>26057</v>
      </c>
      <c r="C676" s="20" t="n">
        <f aca="false">ROUND(2.86/FX,2)</f>
        <v>0.4</v>
      </c>
      <c r="D676" s="21" t="s">
        <v>8668</v>
      </c>
      <c r="E676" s="21" t="s">
        <v>21725</v>
      </c>
      <c r="F676" s="21" t="s">
        <v>761</v>
      </c>
      <c r="G676" s="21" t="s">
        <v>11407</v>
      </c>
      <c r="H676" s="21" t="s">
        <v>25627</v>
      </c>
    </row>
    <row r="677" customFormat="false" ht="15" hidden="false" customHeight="false" outlineLevel="0" collapsed="false">
      <c r="B677" s="19" t="s">
        <v>26058</v>
      </c>
      <c r="C677" s="20" t="n">
        <f aca="false">ROUND(1.03/FX,2)</f>
        <v>0.14</v>
      </c>
      <c r="D677" s="21" t="s">
        <v>8668</v>
      </c>
      <c r="E677" s="21" t="s">
        <v>24231</v>
      </c>
      <c r="F677" s="21" t="s">
        <v>4721</v>
      </c>
      <c r="G677" s="21" t="s">
        <v>11407</v>
      </c>
      <c r="H677" s="21" t="s">
        <v>25627</v>
      </c>
    </row>
    <row r="678" customFormat="false" ht="15" hidden="false" customHeight="false" outlineLevel="0" collapsed="false">
      <c r="B678" s="19" t="s">
        <v>26059</v>
      </c>
      <c r="C678" s="20" t="n">
        <f aca="false">ROUND(1.04/FX,2)</f>
        <v>0.14</v>
      </c>
      <c r="D678" s="21" t="s">
        <v>8668</v>
      </c>
      <c r="E678" s="21" t="s">
        <v>13974</v>
      </c>
      <c r="F678" s="21" t="s">
        <v>714</v>
      </c>
      <c r="G678" s="21" t="s">
        <v>11407</v>
      </c>
      <c r="H678" s="21" t="s">
        <v>25627</v>
      </c>
    </row>
    <row r="679" customFormat="false" ht="15" hidden="false" customHeight="false" outlineLevel="0" collapsed="false">
      <c r="B679" s="19" t="s">
        <v>26060</v>
      </c>
      <c r="C679" s="20" t="n">
        <f aca="false">ROUND(3.38/FX,2)</f>
        <v>0.47</v>
      </c>
      <c r="D679" s="21" t="s">
        <v>8668</v>
      </c>
      <c r="E679" s="21" t="s">
        <v>21725</v>
      </c>
      <c r="F679" s="21" t="s">
        <v>3833</v>
      </c>
      <c r="G679" s="21" t="s">
        <v>11407</v>
      </c>
      <c r="H679" s="21" t="s">
        <v>25627</v>
      </c>
    </row>
    <row r="680" customFormat="false" ht="15" hidden="false" customHeight="false" outlineLevel="0" collapsed="false">
      <c r="B680" s="19" t="s">
        <v>26061</v>
      </c>
      <c r="C680" s="20" t="n">
        <f aca="false">ROUND(1.05/FX,2)</f>
        <v>0.15</v>
      </c>
      <c r="D680" s="21" t="s">
        <v>8668</v>
      </c>
      <c r="E680" s="21" t="s">
        <v>24287</v>
      </c>
      <c r="F680" s="21" t="s">
        <v>4000</v>
      </c>
      <c r="G680" s="21" t="s">
        <v>11407</v>
      </c>
      <c r="H680" s="21" t="s">
        <v>25627</v>
      </c>
    </row>
    <row r="681" customFormat="false" ht="15" hidden="false" customHeight="false" outlineLevel="0" collapsed="false">
      <c r="B681" s="19" t="s">
        <v>26062</v>
      </c>
      <c r="C681" s="20" t="n">
        <f aca="false">ROUND(1.17/FX,2)</f>
        <v>0.16</v>
      </c>
      <c r="D681" s="21" t="s">
        <v>8668</v>
      </c>
      <c r="E681" s="21" t="s">
        <v>13974</v>
      </c>
      <c r="F681" s="21" t="s">
        <v>3247</v>
      </c>
      <c r="G681" s="21" t="s">
        <v>11407</v>
      </c>
      <c r="H681" s="21" t="s">
        <v>25627</v>
      </c>
    </row>
    <row r="682" customFormat="false" ht="15" hidden="false" customHeight="false" outlineLevel="0" collapsed="false">
      <c r="B682" s="19" t="s">
        <v>26063</v>
      </c>
      <c r="C682" s="20" t="n">
        <f aca="false">ROUND(1.02/FX,2)</f>
        <v>0.14</v>
      </c>
      <c r="D682" s="21" t="s">
        <v>8668</v>
      </c>
      <c r="E682" s="21" t="s">
        <v>26064</v>
      </c>
      <c r="F682" s="21" t="s">
        <v>5097</v>
      </c>
      <c r="G682" s="21" t="s">
        <v>11407</v>
      </c>
      <c r="H682" s="21" t="s">
        <v>25627</v>
      </c>
    </row>
    <row r="683" customFormat="false" ht="15" hidden="false" customHeight="false" outlineLevel="0" collapsed="false">
      <c r="B683" s="19" t="s">
        <v>26065</v>
      </c>
      <c r="C683" s="20" t="n">
        <f aca="false">ROUND(1.43/FX,2)</f>
        <v>0.2</v>
      </c>
      <c r="D683" s="21" t="s">
        <v>8668</v>
      </c>
      <c r="E683" s="21" t="s">
        <v>13974</v>
      </c>
      <c r="F683" s="21" t="s">
        <v>3317</v>
      </c>
      <c r="G683" s="21" t="s">
        <v>11407</v>
      </c>
      <c r="H683" s="21" t="s">
        <v>25627</v>
      </c>
    </row>
    <row r="684" customFormat="false" ht="15" hidden="false" customHeight="false" outlineLevel="0" collapsed="false">
      <c r="B684" s="19" t="s">
        <v>26066</v>
      </c>
      <c r="C684" s="20" t="n">
        <f aca="false">ROUND(4.03/FX,2)</f>
        <v>0.56</v>
      </c>
      <c r="D684" s="21" t="s">
        <v>8668</v>
      </c>
      <c r="E684" s="21" t="s">
        <v>21725</v>
      </c>
      <c r="F684" s="21" t="s">
        <v>6768</v>
      </c>
      <c r="G684" s="21" t="s">
        <v>11407</v>
      </c>
      <c r="H684" s="21" t="s">
        <v>25627</v>
      </c>
    </row>
    <row r="685" customFormat="false" ht="15" hidden="false" customHeight="false" outlineLevel="0" collapsed="false">
      <c r="B685" s="19" t="s">
        <v>26067</v>
      </c>
      <c r="C685" s="20" t="n">
        <f aca="false">ROUND(1.01/FX,2)</f>
        <v>0.14</v>
      </c>
      <c r="D685" s="21" t="s">
        <v>8668</v>
      </c>
      <c r="E685" s="21" t="s">
        <v>24287</v>
      </c>
      <c r="F685" s="21" t="s">
        <v>839</v>
      </c>
      <c r="G685" s="21" t="s">
        <v>11407</v>
      </c>
      <c r="H685" s="21" t="s">
        <v>25627</v>
      </c>
    </row>
    <row r="686" customFormat="false" ht="15" hidden="false" customHeight="false" outlineLevel="0" collapsed="false">
      <c r="B686" s="19" t="s">
        <v>26068</v>
      </c>
      <c r="C686" s="20" t="n">
        <f aca="false">ROUND(1.02/FX,2)</f>
        <v>0.14</v>
      </c>
      <c r="D686" s="21" t="s">
        <v>8668</v>
      </c>
      <c r="E686" s="21" t="s">
        <v>24287</v>
      </c>
      <c r="F686" s="21" t="s">
        <v>6396</v>
      </c>
      <c r="G686" s="21" t="s">
        <v>11407</v>
      </c>
      <c r="H686" s="21" t="s">
        <v>25627</v>
      </c>
    </row>
    <row r="687" customFormat="false" ht="15" hidden="false" customHeight="false" outlineLevel="0" collapsed="false">
      <c r="B687" s="19" t="s">
        <v>26069</v>
      </c>
      <c r="C687" s="20" t="n">
        <f aca="false">ROUND(1.07/FX,2)</f>
        <v>0.15</v>
      </c>
      <c r="D687" s="21" t="s">
        <v>8668</v>
      </c>
      <c r="E687" s="21" t="s">
        <v>13988</v>
      </c>
      <c r="F687" s="21" t="s">
        <v>784</v>
      </c>
      <c r="G687" s="21" t="s">
        <v>11407</v>
      </c>
      <c r="H687" s="21" t="s">
        <v>25627</v>
      </c>
    </row>
    <row r="688" customFormat="false" ht="15" hidden="false" customHeight="false" outlineLevel="0" collapsed="false">
      <c r="B688" s="19" t="s">
        <v>26070</v>
      </c>
      <c r="C688" s="20" t="n">
        <f aca="false">ROUND(1.04/FX,2)</f>
        <v>0.14</v>
      </c>
      <c r="D688" s="21" t="s">
        <v>8668</v>
      </c>
      <c r="E688" s="21" t="s">
        <v>14056</v>
      </c>
      <c r="F688" s="21" t="s">
        <v>3328</v>
      </c>
      <c r="G688" s="21" t="s">
        <v>11407</v>
      </c>
      <c r="H688" s="21" t="s">
        <v>25627</v>
      </c>
    </row>
    <row r="689" customFormat="false" ht="15" hidden="false" customHeight="false" outlineLevel="0" collapsed="false">
      <c r="B689" s="19" t="s">
        <v>26071</v>
      </c>
      <c r="C689" s="20" t="n">
        <f aca="false">ROUND(2.21/FX,2)</f>
        <v>0.31</v>
      </c>
      <c r="D689" s="21" t="s">
        <v>8668</v>
      </c>
      <c r="E689" s="21" t="s">
        <v>21725</v>
      </c>
      <c r="F689" s="21" t="s">
        <v>841</v>
      </c>
      <c r="G689" s="21" t="s">
        <v>11407</v>
      </c>
      <c r="H689" s="21" t="s">
        <v>25627</v>
      </c>
    </row>
    <row r="690" customFormat="false" ht="15" hidden="false" customHeight="false" outlineLevel="0" collapsed="false">
      <c r="B690" s="19" t="s">
        <v>26072</v>
      </c>
      <c r="C690" s="20" t="n">
        <f aca="false">ROUND(1.04/FX,2)</f>
        <v>0.14</v>
      </c>
      <c r="D690" s="21" t="s">
        <v>8668</v>
      </c>
      <c r="E690" s="21" t="s">
        <v>14056</v>
      </c>
      <c r="F690" s="21" t="s">
        <v>6246</v>
      </c>
      <c r="G690" s="21" t="s">
        <v>11407</v>
      </c>
      <c r="H690" s="21" t="s">
        <v>25627</v>
      </c>
    </row>
    <row r="691" customFormat="false" ht="15" hidden="false" customHeight="false" outlineLevel="0" collapsed="false">
      <c r="B691" s="19" t="s">
        <v>26073</v>
      </c>
      <c r="C691" s="20" t="n">
        <f aca="false">ROUND(1.12/FX,2)</f>
        <v>0.16</v>
      </c>
      <c r="D691" s="21" t="s">
        <v>8668</v>
      </c>
      <c r="E691" s="21" t="s">
        <v>14056</v>
      </c>
      <c r="F691" s="21" t="s">
        <v>7358</v>
      </c>
      <c r="G691" s="21" t="s">
        <v>11407</v>
      </c>
      <c r="H691" s="21" t="s">
        <v>25627</v>
      </c>
    </row>
    <row r="692" customFormat="false" ht="15" hidden="false" customHeight="false" outlineLevel="0" collapsed="false">
      <c r="B692" s="19" t="s">
        <v>26074</v>
      </c>
      <c r="C692" s="20" t="n">
        <f aca="false">ROUND(1.02/FX,2)</f>
        <v>0.14</v>
      </c>
      <c r="D692" s="21" t="s">
        <v>8668</v>
      </c>
      <c r="E692" s="21" t="s">
        <v>25536</v>
      </c>
      <c r="F692" s="21" t="s">
        <v>789</v>
      </c>
      <c r="G692" s="21" t="s">
        <v>11407</v>
      </c>
      <c r="H692" s="21" t="s">
        <v>25627</v>
      </c>
    </row>
    <row r="693" customFormat="false" ht="15" hidden="false" customHeight="false" outlineLevel="0" collapsed="false">
      <c r="B693" s="19" t="s">
        <v>26075</v>
      </c>
      <c r="C693" s="20" t="n">
        <f aca="false">ROUND(1.05/FX,2)</f>
        <v>0.15</v>
      </c>
      <c r="D693" s="21" t="s">
        <v>8668</v>
      </c>
      <c r="E693" s="21" t="s">
        <v>14007</v>
      </c>
      <c r="F693" s="21" t="s">
        <v>2911</v>
      </c>
      <c r="G693" s="21" t="s">
        <v>11407</v>
      </c>
      <c r="H693" s="21" t="s">
        <v>25627</v>
      </c>
    </row>
    <row r="694" customFormat="false" ht="15" hidden="false" customHeight="false" outlineLevel="0" collapsed="false">
      <c r="B694" s="19" t="s">
        <v>26076</v>
      </c>
      <c r="C694" s="20" t="n">
        <f aca="false">ROUND(1.05/FX,2)</f>
        <v>0.15</v>
      </c>
      <c r="D694" s="21" t="s">
        <v>8668</v>
      </c>
      <c r="E694" s="21" t="s">
        <v>13743</v>
      </c>
      <c r="F694" s="21" t="s">
        <v>7275</v>
      </c>
      <c r="G694" s="21" t="s">
        <v>11407</v>
      </c>
      <c r="H694" s="21" t="s">
        <v>25627</v>
      </c>
    </row>
    <row r="695" customFormat="false" ht="15" hidden="false" customHeight="false" outlineLevel="0" collapsed="false">
      <c r="B695" s="19" t="s">
        <v>26077</v>
      </c>
      <c r="C695" s="20" t="n">
        <f aca="false">ROUND(0.26/FX,2)</f>
        <v>0.04</v>
      </c>
      <c r="D695" s="21" t="s">
        <v>8668</v>
      </c>
      <c r="E695" s="21" t="s">
        <v>13997</v>
      </c>
      <c r="F695" s="21" t="s">
        <v>716</v>
      </c>
      <c r="G695" s="21" t="s">
        <v>11407</v>
      </c>
      <c r="H695" s="21" t="s">
        <v>25627</v>
      </c>
    </row>
    <row r="696" customFormat="false" ht="15" hidden="false" customHeight="false" outlineLevel="0" collapsed="false">
      <c r="B696" s="19" t="s">
        <v>26078</v>
      </c>
      <c r="C696" s="20" t="n">
        <f aca="false">ROUND(2.99/FX,2)</f>
        <v>0.42</v>
      </c>
      <c r="D696" s="21" t="s">
        <v>8668</v>
      </c>
      <c r="E696" s="21" t="s">
        <v>23567</v>
      </c>
      <c r="F696" s="21" t="s">
        <v>847</v>
      </c>
      <c r="G696" s="21" t="s">
        <v>11407</v>
      </c>
      <c r="H696" s="21" t="s">
        <v>25627</v>
      </c>
    </row>
    <row r="697" customFormat="false" ht="15" hidden="false" customHeight="false" outlineLevel="0" collapsed="false">
      <c r="B697" s="19" t="s">
        <v>26079</v>
      </c>
      <c r="C697" s="20" t="n">
        <f aca="false">ROUND(4.98/FX,2)</f>
        <v>0.69</v>
      </c>
      <c r="D697" s="21" t="s">
        <v>8668</v>
      </c>
      <c r="E697" s="21" t="s">
        <v>23567</v>
      </c>
      <c r="F697" s="21" t="s">
        <v>707</v>
      </c>
      <c r="G697" s="21" t="s">
        <v>11409</v>
      </c>
      <c r="H697" s="21" t="s">
        <v>25627</v>
      </c>
    </row>
    <row r="698" customFormat="false" ht="15" hidden="false" customHeight="false" outlineLevel="0" collapsed="false">
      <c r="B698" s="19" t="s">
        <v>26080</v>
      </c>
      <c r="C698" s="20" t="n">
        <f aca="false">ROUND(0.69/FX,2)</f>
        <v>0.1</v>
      </c>
      <c r="D698" s="21" t="s">
        <v>8668</v>
      </c>
      <c r="E698" s="21" t="s">
        <v>13997</v>
      </c>
      <c r="F698" s="21" t="s">
        <v>761</v>
      </c>
      <c r="G698" s="21" t="s">
        <v>11409</v>
      </c>
      <c r="H698" s="21" t="s">
        <v>25627</v>
      </c>
    </row>
    <row r="699" customFormat="false" ht="15" hidden="false" customHeight="false" outlineLevel="0" collapsed="false">
      <c r="B699" s="19" t="s">
        <v>26081</v>
      </c>
      <c r="C699" s="20" t="n">
        <f aca="false">ROUND(0.65/FX,2)</f>
        <v>0.09</v>
      </c>
      <c r="D699" s="21" t="s">
        <v>8668</v>
      </c>
      <c r="E699" s="21" t="s">
        <v>13997</v>
      </c>
      <c r="F699" s="21" t="s">
        <v>4721</v>
      </c>
      <c r="G699" s="21" t="s">
        <v>11409</v>
      </c>
      <c r="H699" s="21" t="s">
        <v>25627</v>
      </c>
    </row>
    <row r="700" customFormat="false" ht="15" hidden="false" customHeight="false" outlineLevel="0" collapsed="false">
      <c r="B700" s="19" t="s">
        <v>26082</v>
      </c>
      <c r="C700" s="20" t="n">
        <f aca="false">ROUND(1.06/FX,2)</f>
        <v>0.15</v>
      </c>
      <c r="D700" s="21" t="s">
        <v>8668</v>
      </c>
      <c r="E700" s="21" t="s">
        <v>13988</v>
      </c>
      <c r="F700" s="21" t="s">
        <v>714</v>
      </c>
      <c r="G700" s="21" t="s">
        <v>11409</v>
      </c>
      <c r="H700" s="21" t="s">
        <v>25627</v>
      </c>
    </row>
    <row r="701" customFormat="false" ht="15" hidden="false" customHeight="false" outlineLevel="0" collapsed="false">
      <c r="B701" s="19" t="s">
        <v>26083</v>
      </c>
      <c r="C701" s="20" t="n">
        <f aca="false">ROUND(0.65/FX,2)</f>
        <v>0.09</v>
      </c>
      <c r="D701" s="21" t="s">
        <v>8668</v>
      </c>
      <c r="E701" s="21" t="s">
        <v>13997</v>
      </c>
      <c r="F701" s="21" t="s">
        <v>3833</v>
      </c>
      <c r="G701" s="21" t="s">
        <v>11409</v>
      </c>
      <c r="H701" s="21" t="s">
        <v>25627</v>
      </c>
    </row>
    <row r="702" customFormat="false" ht="15" hidden="false" customHeight="false" outlineLevel="0" collapsed="false">
      <c r="B702" s="19" t="s">
        <v>26084</v>
      </c>
      <c r="C702" s="20" t="n">
        <f aca="false">ROUND(1.04/FX,2)</f>
        <v>0.14</v>
      </c>
      <c r="D702" s="21" t="s">
        <v>8668</v>
      </c>
      <c r="E702" s="21" t="s">
        <v>13997</v>
      </c>
      <c r="F702" s="21" t="s">
        <v>4000</v>
      </c>
      <c r="G702" s="21" t="s">
        <v>11409</v>
      </c>
      <c r="H702" s="21" t="s">
        <v>25627</v>
      </c>
    </row>
    <row r="703" customFormat="false" ht="15" hidden="false" customHeight="false" outlineLevel="0" collapsed="false">
      <c r="B703" s="19" t="s">
        <v>26085</v>
      </c>
      <c r="C703" s="20" t="n">
        <f aca="false">ROUND(4.03/FX,2)</f>
        <v>0.56</v>
      </c>
      <c r="D703" s="21" t="s">
        <v>8668</v>
      </c>
      <c r="E703" s="21" t="s">
        <v>21725</v>
      </c>
      <c r="F703" s="21" t="s">
        <v>3247</v>
      </c>
      <c r="G703" s="21" t="s">
        <v>11409</v>
      </c>
      <c r="H703" s="21" t="s">
        <v>25627</v>
      </c>
    </row>
    <row r="704" customFormat="false" ht="15" hidden="false" customHeight="false" outlineLevel="0" collapsed="false">
      <c r="B704" s="19" t="s">
        <v>26086</v>
      </c>
      <c r="C704" s="20" t="n">
        <f aca="false">ROUND(1.01/FX,2)</f>
        <v>0.14</v>
      </c>
      <c r="D704" s="21" t="s">
        <v>8668</v>
      </c>
      <c r="E704" s="21" t="s">
        <v>14016</v>
      </c>
      <c r="F704" s="21" t="s">
        <v>5097</v>
      </c>
      <c r="G704" s="21" t="s">
        <v>11409</v>
      </c>
      <c r="H704" s="21" t="s">
        <v>25627</v>
      </c>
    </row>
    <row r="705" customFormat="false" ht="15" hidden="false" customHeight="false" outlineLevel="0" collapsed="false">
      <c r="B705" s="19" t="s">
        <v>26087</v>
      </c>
      <c r="C705" s="20" t="n">
        <f aca="false">ROUND(1.04/FX,2)</f>
        <v>0.14</v>
      </c>
      <c r="D705" s="21" t="s">
        <v>8668</v>
      </c>
      <c r="E705" s="21" t="s">
        <v>13997</v>
      </c>
      <c r="F705" s="21" t="s">
        <v>3317</v>
      </c>
      <c r="G705" s="21" t="s">
        <v>11409</v>
      </c>
      <c r="H705" s="21" t="s">
        <v>25627</v>
      </c>
    </row>
    <row r="706" customFormat="false" ht="15" hidden="false" customHeight="false" outlineLevel="0" collapsed="false">
      <c r="B706" s="19" t="s">
        <v>26088</v>
      </c>
      <c r="C706" s="20" t="n">
        <f aca="false">ROUND(1.04/FX,2)</f>
        <v>0.14</v>
      </c>
      <c r="D706" s="21" t="s">
        <v>8668</v>
      </c>
      <c r="E706" s="21" t="s">
        <v>13981</v>
      </c>
      <c r="F706" s="21" t="s">
        <v>784</v>
      </c>
      <c r="G706" s="21" t="s">
        <v>11409</v>
      </c>
      <c r="H706" s="21" t="s">
        <v>25627</v>
      </c>
    </row>
    <row r="707" customFormat="false" ht="15" hidden="false" customHeight="false" outlineLevel="0" collapsed="false">
      <c r="B707" s="19" t="s">
        <v>26089</v>
      </c>
      <c r="C707" s="20" t="n">
        <f aca="false">ROUND(1.11/FX,2)</f>
        <v>0.15</v>
      </c>
      <c r="D707" s="21" t="s">
        <v>8668</v>
      </c>
      <c r="E707" s="21" t="s">
        <v>14016</v>
      </c>
      <c r="F707" s="21" t="s">
        <v>3328</v>
      </c>
      <c r="G707" s="21" t="s">
        <v>11409</v>
      </c>
      <c r="H707" s="21" t="s">
        <v>25627</v>
      </c>
    </row>
    <row r="708" customFormat="false" ht="15" hidden="false" customHeight="false" outlineLevel="0" collapsed="false">
      <c r="B708" s="19" t="s">
        <v>26090</v>
      </c>
      <c r="C708" s="20" t="n">
        <f aca="false">ROUND(1.01/FX,2)</f>
        <v>0.14</v>
      </c>
      <c r="D708" s="21" t="s">
        <v>8668</v>
      </c>
      <c r="E708" s="21" t="s">
        <v>13994</v>
      </c>
      <c r="F708" s="21" t="s">
        <v>6246</v>
      </c>
      <c r="G708" s="21" t="s">
        <v>11409</v>
      </c>
      <c r="H708" s="21" t="s">
        <v>25627</v>
      </c>
    </row>
    <row r="709" customFormat="false" ht="15" hidden="false" customHeight="false" outlineLevel="0" collapsed="false">
      <c r="B709" s="19" t="s">
        <v>26091</v>
      </c>
      <c r="C709" s="20" t="n">
        <f aca="false">ROUND(1.17/FX,2)</f>
        <v>0.16</v>
      </c>
      <c r="D709" s="21" t="s">
        <v>8668</v>
      </c>
      <c r="E709" s="21" t="s">
        <v>13994</v>
      </c>
      <c r="F709" s="21" t="s">
        <v>7358</v>
      </c>
      <c r="G709" s="21" t="s">
        <v>11409</v>
      </c>
      <c r="H709" s="21" t="s">
        <v>25627</v>
      </c>
    </row>
    <row r="710" customFormat="false" ht="15" hidden="false" customHeight="false" outlineLevel="0" collapsed="false">
      <c r="B710" s="19" t="s">
        <v>26092</v>
      </c>
      <c r="C710" s="20" t="n">
        <f aca="false">ROUND(1.02/FX,2)</f>
        <v>0.14</v>
      </c>
      <c r="D710" s="21" t="s">
        <v>8668</v>
      </c>
      <c r="E710" s="21" t="s">
        <v>13981</v>
      </c>
      <c r="F710" s="21" t="s">
        <v>789</v>
      </c>
      <c r="G710" s="21" t="s">
        <v>11409</v>
      </c>
      <c r="H710" s="21" t="s">
        <v>25627</v>
      </c>
    </row>
    <row r="711" customFormat="false" ht="15" hidden="false" customHeight="false" outlineLevel="0" collapsed="false">
      <c r="B711" s="19" t="s">
        <v>26093</v>
      </c>
      <c r="C711" s="20" t="n">
        <f aca="false">ROUND(1.12/FX,2)</f>
        <v>0.16</v>
      </c>
      <c r="D711" s="21" t="s">
        <v>8668</v>
      </c>
      <c r="E711" s="21" t="s">
        <v>14007</v>
      </c>
      <c r="F711" s="21" t="s">
        <v>2911</v>
      </c>
      <c r="G711" s="21" t="s">
        <v>11409</v>
      </c>
      <c r="H711" s="21" t="s">
        <v>25627</v>
      </c>
    </row>
    <row r="712" customFormat="false" ht="15" hidden="false" customHeight="false" outlineLevel="0" collapsed="false">
      <c r="B712" s="19" t="s">
        <v>26094</v>
      </c>
      <c r="C712" s="20" t="n">
        <f aca="false">ROUND(1.11/FX,2)</f>
        <v>0.15</v>
      </c>
      <c r="D712" s="21" t="s">
        <v>8668</v>
      </c>
      <c r="E712" s="21" t="s">
        <v>14007</v>
      </c>
      <c r="F712" s="21" t="s">
        <v>7275</v>
      </c>
      <c r="G712" s="21" t="s">
        <v>11409</v>
      </c>
      <c r="H712" s="21" t="s">
        <v>25627</v>
      </c>
    </row>
    <row r="713" customFormat="false" ht="15" hidden="false" customHeight="false" outlineLevel="0" collapsed="false">
      <c r="B713" s="19" t="s">
        <v>26095</v>
      </c>
      <c r="C713" s="20" t="n">
        <f aca="false">ROUND(1.04/FX,2)</f>
        <v>0.14</v>
      </c>
      <c r="D713" s="21" t="s">
        <v>8668</v>
      </c>
      <c r="E713" s="21" t="s">
        <v>13981</v>
      </c>
      <c r="F713" s="21" t="s">
        <v>716</v>
      </c>
      <c r="G713" s="21" t="s">
        <v>11409</v>
      </c>
      <c r="H713" s="21" t="s">
        <v>25627</v>
      </c>
    </row>
    <row r="714" customFormat="false" ht="15" hidden="false" customHeight="false" outlineLevel="0" collapsed="false">
      <c r="B714" s="19" t="s">
        <v>26096</v>
      </c>
      <c r="C714" s="20" t="n">
        <f aca="false">ROUND(1.21/FX,2)</f>
        <v>0.17</v>
      </c>
      <c r="D714" s="21" t="s">
        <v>8668</v>
      </c>
      <c r="E714" s="21" t="s">
        <v>13743</v>
      </c>
      <c r="F714" s="21" t="s">
        <v>2961</v>
      </c>
      <c r="G714" s="21" t="s">
        <v>11409</v>
      </c>
      <c r="H714" s="21" t="s">
        <v>25627</v>
      </c>
    </row>
    <row r="715" customFormat="false" ht="15" hidden="false" customHeight="false" outlineLevel="0" collapsed="false">
      <c r="B715" s="19" t="s">
        <v>26097</v>
      </c>
      <c r="C715" s="20" t="n">
        <f aca="false">ROUND(1.19/FX,2)</f>
        <v>0.17</v>
      </c>
      <c r="D715" s="21" t="s">
        <v>8668</v>
      </c>
      <c r="E715" s="21" t="s">
        <v>14013</v>
      </c>
      <c r="F715" s="21" t="s">
        <v>3011</v>
      </c>
      <c r="G715" s="21" t="s">
        <v>11409</v>
      </c>
      <c r="H715" s="21" t="s">
        <v>25627</v>
      </c>
    </row>
    <row r="716" customFormat="false" ht="15" hidden="false" customHeight="false" outlineLevel="0" collapsed="false">
      <c r="B716" s="19" t="s">
        <v>26098</v>
      </c>
      <c r="C716" s="20" t="n">
        <f aca="false">ROUND(1.08/FX,2)</f>
        <v>0.15</v>
      </c>
      <c r="D716" s="21" t="s">
        <v>8668</v>
      </c>
      <c r="E716" s="21" t="s">
        <v>14013</v>
      </c>
      <c r="F716" s="21" t="s">
        <v>7396</v>
      </c>
      <c r="G716" s="21" t="s">
        <v>11409</v>
      </c>
      <c r="H716" s="21" t="s">
        <v>25627</v>
      </c>
    </row>
    <row r="717" customFormat="false" ht="15" hidden="false" customHeight="false" outlineLevel="0" collapsed="false">
      <c r="B717" s="19" t="s">
        <v>26099</v>
      </c>
      <c r="C717" s="20" t="n">
        <f aca="false">ROUND(1.17/FX,2)</f>
        <v>0.16</v>
      </c>
      <c r="D717" s="21" t="s">
        <v>8668</v>
      </c>
      <c r="E717" s="21" t="s">
        <v>13974</v>
      </c>
      <c r="F717" s="21" t="s">
        <v>847</v>
      </c>
      <c r="G717" s="21" t="s">
        <v>11409</v>
      </c>
      <c r="H717" s="21" t="s">
        <v>25627</v>
      </c>
    </row>
    <row r="718" customFormat="false" ht="15" hidden="false" customHeight="false" outlineLevel="0" collapsed="false">
      <c r="B718" s="19" t="s">
        <v>26100</v>
      </c>
      <c r="C718" s="20" t="n">
        <f aca="false">ROUND(1.09/FX,2)</f>
        <v>0.15</v>
      </c>
      <c r="D718" s="21" t="s">
        <v>8668</v>
      </c>
      <c r="E718" s="21" t="s">
        <v>13751</v>
      </c>
      <c r="F718" s="21" t="s">
        <v>3061</v>
      </c>
      <c r="G718" s="21" t="s">
        <v>11409</v>
      </c>
      <c r="H718" s="21" t="s">
        <v>25627</v>
      </c>
    </row>
    <row r="719" customFormat="false" ht="15" hidden="false" customHeight="false" outlineLevel="0" collapsed="false">
      <c r="B719" s="19" t="s">
        <v>26101</v>
      </c>
      <c r="C719" s="20" t="n">
        <f aca="false">ROUND(1.1/FX,2)</f>
        <v>0.15</v>
      </c>
      <c r="D719" s="21" t="s">
        <v>724</v>
      </c>
      <c r="E719" s="21" t="s">
        <v>14016</v>
      </c>
      <c r="F719" s="21" t="s">
        <v>707</v>
      </c>
      <c r="G719" s="21" t="s">
        <v>11411</v>
      </c>
      <c r="H719" s="21" t="s">
        <v>25627</v>
      </c>
    </row>
    <row r="720" customFormat="false" ht="15" hidden="false" customHeight="false" outlineLevel="0" collapsed="false">
      <c r="B720" s="19" t="s">
        <v>26102</v>
      </c>
      <c r="C720" s="20" t="n">
        <f aca="false">ROUND(4.16/FX,2)</f>
        <v>0.58</v>
      </c>
      <c r="D720" s="21" t="s">
        <v>8668</v>
      </c>
      <c r="E720" s="21" t="s">
        <v>21725</v>
      </c>
      <c r="F720" s="21" t="s">
        <v>707</v>
      </c>
      <c r="G720" s="21" t="s">
        <v>11411</v>
      </c>
      <c r="H720" s="21" t="s">
        <v>25627</v>
      </c>
    </row>
    <row r="721" customFormat="false" ht="15" hidden="false" customHeight="false" outlineLevel="0" collapsed="false">
      <c r="B721" s="19" t="s">
        <v>26103</v>
      </c>
      <c r="C721" s="20" t="n">
        <f aca="false">ROUND(1.04/FX,2)</f>
        <v>0.14</v>
      </c>
      <c r="D721" s="21" t="s">
        <v>8668</v>
      </c>
      <c r="E721" s="21" t="s">
        <v>13739</v>
      </c>
      <c r="F721" s="21" t="s">
        <v>2600</v>
      </c>
      <c r="G721" s="21" t="s">
        <v>11411</v>
      </c>
      <c r="H721" s="21" t="s">
        <v>25627</v>
      </c>
    </row>
    <row r="722" customFormat="false" ht="15" hidden="false" customHeight="false" outlineLevel="0" collapsed="false">
      <c r="B722" s="19" t="s">
        <v>26104</v>
      </c>
      <c r="C722" s="20" t="n">
        <f aca="false">ROUND(1.11/FX,2)</f>
        <v>0.15</v>
      </c>
      <c r="D722" s="21" t="s">
        <v>8668</v>
      </c>
      <c r="E722" s="21" t="s">
        <v>13739</v>
      </c>
      <c r="F722" s="21" t="s">
        <v>2651</v>
      </c>
      <c r="G722" s="21" t="s">
        <v>11411</v>
      </c>
      <c r="H722" s="21" t="s">
        <v>25627</v>
      </c>
    </row>
    <row r="723" customFormat="false" ht="15" hidden="false" customHeight="false" outlineLevel="0" collapsed="false">
      <c r="B723" s="19" t="s">
        <v>26105</v>
      </c>
      <c r="C723" s="20" t="n">
        <f aca="false">ROUND(1.1/FX,2)</f>
        <v>0.15</v>
      </c>
      <c r="D723" s="21" t="s">
        <v>724</v>
      </c>
      <c r="E723" s="21" t="s">
        <v>14056</v>
      </c>
      <c r="F723" s="21" t="s">
        <v>761</v>
      </c>
      <c r="G723" s="21" t="s">
        <v>11411</v>
      </c>
      <c r="H723" s="21" t="s">
        <v>25627</v>
      </c>
    </row>
    <row r="724" customFormat="false" ht="15" hidden="false" customHeight="false" outlineLevel="0" collapsed="false">
      <c r="B724" s="19" t="s">
        <v>26106</v>
      </c>
      <c r="C724" s="20" t="n">
        <f aca="false">ROUND(0.91/FX,2)</f>
        <v>0.13</v>
      </c>
      <c r="D724" s="21" t="s">
        <v>8668</v>
      </c>
      <c r="E724" s="21" t="s">
        <v>13997</v>
      </c>
      <c r="F724" s="21" t="s">
        <v>761</v>
      </c>
      <c r="G724" s="21" t="s">
        <v>11411</v>
      </c>
      <c r="H724" s="21" t="s">
        <v>25627</v>
      </c>
    </row>
    <row r="725" customFormat="false" ht="15" hidden="false" customHeight="false" outlineLevel="0" collapsed="false">
      <c r="B725" s="19" t="s">
        <v>26107</v>
      </c>
      <c r="C725" s="20" t="n">
        <f aca="false">ROUND(1.23/FX,2)</f>
        <v>0.17</v>
      </c>
      <c r="D725" s="21" t="s">
        <v>8668</v>
      </c>
      <c r="E725" s="21" t="s">
        <v>13739</v>
      </c>
      <c r="F725" s="21" t="s">
        <v>2701</v>
      </c>
      <c r="G725" s="21" t="s">
        <v>11411</v>
      </c>
      <c r="H725" s="21" t="s">
        <v>25627</v>
      </c>
    </row>
    <row r="726" customFormat="false" ht="15" hidden="false" customHeight="false" outlineLevel="0" collapsed="false">
      <c r="B726" s="19" t="s">
        <v>26108</v>
      </c>
      <c r="C726" s="20" t="n">
        <f aca="false">ROUND(1.33/FX,2)</f>
        <v>0.18</v>
      </c>
      <c r="D726" s="21" t="s">
        <v>8668</v>
      </c>
      <c r="E726" s="21" t="s">
        <v>13739</v>
      </c>
      <c r="F726" s="21" t="s">
        <v>2751</v>
      </c>
      <c r="G726" s="21" t="s">
        <v>11411</v>
      </c>
      <c r="H726" s="21" t="s">
        <v>25627</v>
      </c>
    </row>
    <row r="727" customFormat="false" ht="15" hidden="false" customHeight="false" outlineLevel="0" collapsed="false">
      <c r="B727" s="19" t="s">
        <v>26109</v>
      </c>
      <c r="C727" s="20" t="n">
        <f aca="false">ROUND(1.02/FX,2)</f>
        <v>0.14</v>
      </c>
      <c r="D727" s="21" t="s">
        <v>8668</v>
      </c>
      <c r="E727" s="21" t="s">
        <v>13997</v>
      </c>
      <c r="F727" s="21" t="s">
        <v>4721</v>
      </c>
      <c r="G727" s="21" t="s">
        <v>11411</v>
      </c>
      <c r="H727" s="21" t="s">
        <v>25627</v>
      </c>
    </row>
    <row r="728" customFormat="false" ht="15" hidden="false" customHeight="false" outlineLevel="0" collapsed="false">
      <c r="B728" s="19" t="s">
        <v>26110</v>
      </c>
      <c r="C728" s="20" t="n">
        <f aca="false">ROUND(1.42/FX,2)</f>
        <v>0.2</v>
      </c>
      <c r="D728" s="21" t="s">
        <v>8668</v>
      </c>
      <c r="E728" s="21" t="s">
        <v>13739</v>
      </c>
      <c r="F728" s="21" t="s">
        <v>2801</v>
      </c>
      <c r="G728" s="21" t="s">
        <v>11411</v>
      </c>
      <c r="H728" s="21" t="s">
        <v>25627</v>
      </c>
    </row>
    <row r="729" customFormat="false" ht="15" hidden="false" customHeight="false" outlineLevel="0" collapsed="false">
      <c r="B729" s="19" t="s">
        <v>26111</v>
      </c>
      <c r="C729" s="20" t="n">
        <f aca="false">ROUND(1/FX,2)</f>
        <v>0.14</v>
      </c>
      <c r="D729" s="21" t="s">
        <v>8668</v>
      </c>
      <c r="E729" s="21" t="s">
        <v>14016</v>
      </c>
      <c r="F729" s="21" t="s">
        <v>714</v>
      </c>
      <c r="G729" s="21" t="s">
        <v>11411</v>
      </c>
      <c r="H729" s="21" t="s">
        <v>25627</v>
      </c>
    </row>
    <row r="730" customFormat="false" ht="15" hidden="false" customHeight="false" outlineLevel="0" collapsed="false">
      <c r="B730" s="19" t="s">
        <v>26112</v>
      </c>
      <c r="C730" s="20" t="n">
        <f aca="false">ROUND(1.52/FX,2)</f>
        <v>0.21</v>
      </c>
      <c r="D730" s="21" t="s">
        <v>8668</v>
      </c>
      <c r="E730" s="21" t="s">
        <v>13739</v>
      </c>
      <c r="F730" s="21" t="s">
        <v>2851</v>
      </c>
      <c r="G730" s="21" t="s">
        <v>11411</v>
      </c>
      <c r="H730" s="21" t="s">
        <v>25627</v>
      </c>
    </row>
    <row r="731" customFormat="false" ht="15" hidden="false" customHeight="false" outlineLevel="0" collapsed="false">
      <c r="B731" s="19" t="s">
        <v>26113</v>
      </c>
      <c r="C731" s="20" t="n">
        <f aca="false">ROUND(1.1/FX,2)</f>
        <v>0.15</v>
      </c>
      <c r="D731" s="21" t="s">
        <v>724</v>
      </c>
      <c r="E731" s="21" t="s">
        <v>13994</v>
      </c>
      <c r="F731" s="21" t="s">
        <v>3833</v>
      </c>
      <c r="G731" s="21" t="s">
        <v>11411</v>
      </c>
      <c r="H731" s="21" t="s">
        <v>25627</v>
      </c>
    </row>
    <row r="732" customFormat="false" ht="15" hidden="false" customHeight="false" outlineLevel="0" collapsed="false">
      <c r="B732" s="19" t="s">
        <v>26114</v>
      </c>
      <c r="C732" s="20" t="n">
        <f aca="false">ROUND(9.62/FX,2)</f>
        <v>1.34</v>
      </c>
      <c r="D732" s="21" t="s">
        <v>8668</v>
      </c>
      <c r="E732" s="21" t="s">
        <v>23567</v>
      </c>
      <c r="F732" s="21" t="s">
        <v>3833</v>
      </c>
      <c r="G732" s="21" t="s">
        <v>11411</v>
      </c>
      <c r="H732" s="21" t="s">
        <v>25627</v>
      </c>
    </row>
    <row r="733" customFormat="false" ht="15" hidden="false" customHeight="false" outlineLevel="0" collapsed="false">
      <c r="B733" s="19" t="s">
        <v>26115</v>
      </c>
      <c r="C733" s="20" t="n">
        <f aca="false">ROUND(1.08/FX,2)</f>
        <v>0.15</v>
      </c>
      <c r="D733" s="21" t="s">
        <v>8668</v>
      </c>
      <c r="E733" s="21" t="s">
        <v>14016</v>
      </c>
      <c r="F733" s="21" t="s">
        <v>4000</v>
      </c>
      <c r="G733" s="21" t="s">
        <v>11411</v>
      </c>
      <c r="H733" s="21" t="s">
        <v>25627</v>
      </c>
    </row>
    <row r="734" customFormat="false" ht="15" hidden="false" customHeight="false" outlineLevel="0" collapsed="false">
      <c r="B734" s="19" t="s">
        <v>26116</v>
      </c>
      <c r="C734" s="20" t="n">
        <f aca="false">ROUND(1.08/FX,2)</f>
        <v>0.15</v>
      </c>
      <c r="D734" s="21" t="s">
        <v>8668</v>
      </c>
      <c r="E734" s="21" t="s">
        <v>13997</v>
      </c>
      <c r="F734" s="21" t="s">
        <v>3247</v>
      </c>
      <c r="G734" s="21" t="s">
        <v>11411</v>
      </c>
      <c r="H734" s="21" t="s">
        <v>25627</v>
      </c>
    </row>
    <row r="735" customFormat="false" ht="15" hidden="false" customHeight="false" outlineLevel="0" collapsed="false">
      <c r="B735" s="19" t="s">
        <v>26117</v>
      </c>
      <c r="C735" s="20" t="n">
        <f aca="false">ROUND(1.09/FX,2)</f>
        <v>0.15</v>
      </c>
      <c r="D735" s="21" t="s">
        <v>8668</v>
      </c>
      <c r="E735" s="21" t="s">
        <v>14016</v>
      </c>
      <c r="F735" s="21" t="s">
        <v>5097</v>
      </c>
      <c r="G735" s="21" t="s">
        <v>11411</v>
      </c>
      <c r="H735" s="21" t="s">
        <v>25627</v>
      </c>
    </row>
    <row r="736" customFormat="false" ht="15" hidden="false" customHeight="false" outlineLevel="0" collapsed="false">
      <c r="B736" s="19" t="s">
        <v>26118</v>
      </c>
      <c r="C736" s="20" t="n">
        <f aca="false">ROUND(0.13/FX,2)</f>
        <v>0.02</v>
      </c>
      <c r="D736" s="21" t="s">
        <v>8668</v>
      </c>
      <c r="E736" s="21" t="s">
        <v>13732</v>
      </c>
      <c r="F736" s="21" t="s">
        <v>3317</v>
      </c>
      <c r="G736" s="21" t="s">
        <v>11411</v>
      </c>
      <c r="H736" s="21" t="s">
        <v>25627</v>
      </c>
    </row>
    <row r="737" customFormat="false" ht="15" hidden="false" customHeight="false" outlineLevel="0" collapsed="false">
      <c r="B737" s="19" t="s">
        <v>26119</v>
      </c>
      <c r="C737" s="20" t="n">
        <f aca="false">ROUND(1.07/FX,2)</f>
        <v>0.15</v>
      </c>
      <c r="D737" s="21" t="s">
        <v>8668</v>
      </c>
      <c r="E737" s="21" t="s">
        <v>13743</v>
      </c>
      <c r="F737" s="21" t="s">
        <v>784</v>
      </c>
      <c r="G737" s="21" t="s">
        <v>11411</v>
      </c>
      <c r="H737" s="21" t="s">
        <v>25627</v>
      </c>
    </row>
    <row r="738" customFormat="false" ht="15" hidden="false" customHeight="false" outlineLevel="0" collapsed="false">
      <c r="B738" s="19" t="s">
        <v>26120</v>
      </c>
      <c r="C738" s="20" t="n">
        <f aca="false">ROUND(1.69/FX,2)</f>
        <v>0.23</v>
      </c>
      <c r="D738" s="21" t="s">
        <v>8668</v>
      </c>
      <c r="E738" s="21" t="s">
        <v>13997</v>
      </c>
      <c r="F738" s="21" t="s">
        <v>3328</v>
      </c>
      <c r="G738" s="21" t="s">
        <v>11411</v>
      </c>
      <c r="H738" s="21" t="s">
        <v>25627</v>
      </c>
    </row>
    <row r="739" customFormat="false" ht="15" hidden="false" customHeight="false" outlineLevel="0" collapsed="false">
      <c r="B739" s="19" t="s">
        <v>26121</v>
      </c>
      <c r="C739" s="20" t="n">
        <f aca="false">ROUND(1.04/FX,2)</f>
        <v>0.14</v>
      </c>
      <c r="D739" s="21" t="s">
        <v>8668</v>
      </c>
      <c r="E739" s="21" t="s">
        <v>13743</v>
      </c>
      <c r="F739" s="21" t="s">
        <v>6246</v>
      </c>
      <c r="G739" s="21" t="s">
        <v>11411</v>
      </c>
      <c r="H739" s="21" t="s">
        <v>25627</v>
      </c>
    </row>
    <row r="740" customFormat="false" ht="15" hidden="false" customHeight="false" outlineLevel="0" collapsed="false">
      <c r="B740" s="19" t="s">
        <v>26122</v>
      </c>
      <c r="C740" s="20" t="n">
        <f aca="false">ROUND(1.05/FX,2)</f>
        <v>0.15</v>
      </c>
      <c r="D740" s="21" t="s">
        <v>8668</v>
      </c>
      <c r="E740" s="21" t="s">
        <v>13743</v>
      </c>
      <c r="F740" s="21" t="s">
        <v>7358</v>
      </c>
      <c r="G740" s="21" t="s">
        <v>11411</v>
      </c>
      <c r="H740" s="21" t="s">
        <v>25627</v>
      </c>
    </row>
    <row r="741" customFormat="false" ht="15" hidden="false" customHeight="false" outlineLevel="0" collapsed="false">
      <c r="B741" s="19" t="s">
        <v>26123</v>
      </c>
      <c r="C741" s="20" t="n">
        <f aca="false">ROUND(1.13/FX,2)</f>
        <v>0.16</v>
      </c>
      <c r="D741" s="21" t="s">
        <v>8668</v>
      </c>
      <c r="E741" s="21" t="s">
        <v>13743</v>
      </c>
      <c r="F741" s="21" t="s">
        <v>2911</v>
      </c>
      <c r="G741" s="21" t="s">
        <v>11411</v>
      </c>
      <c r="H741" s="21" t="s">
        <v>25627</v>
      </c>
    </row>
    <row r="742" customFormat="false" ht="15" hidden="false" customHeight="false" outlineLevel="0" collapsed="false">
      <c r="B742" s="19" t="s">
        <v>26124</v>
      </c>
      <c r="C742" s="20" t="n">
        <f aca="false">ROUND(1.17/FX,2)</f>
        <v>0.16</v>
      </c>
      <c r="D742" s="21" t="s">
        <v>8668</v>
      </c>
      <c r="E742" s="21" t="s">
        <v>13743</v>
      </c>
      <c r="F742" s="21" t="s">
        <v>7275</v>
      </c>
      <c r="G742" s="21" t="s">
        <v>11411</v>
      </c>
      <c r="H742" s="21" t="s">
        <v>25627</v>
      </c>
    </row>
    <row r="743" customFormat="false" ht="15" hidden="false" customHeight="false" outlineLevel="0" collapsed="false">
      <c r="B743" s="19" t="s">
        <v>26125</v>
      </c>
      <c r="C743" s="20" t="n">
        <f aca="false">ROUND(8.19/FX,2)</f>
        <v>1.14</v>
      </c>
      <c r="D743" s="21" t="s">
        <v>8668</v>
      </c>
      <c r="E743" s="21" t="s">
        <v>23567</v>
      </c>
      <c r="F743" s="21" t="s">
        <v>716</v>
      </c>
      <c r="G743" s="21" t="s">
        <v>11411</v>
      </c>
      <c r="H743" s="21" t="s">
        <v>25627</v>
      </c>
    </row>
    <row r="744" customFormat="false" ht="15" hidden="false" customHeight="false" outlineLevel="0" collapsed="false">
      <c r="B744" s="19" t="s">
        <v>26126</v>
      </c>
      <c r="C744" s="20" t="n">
        <f aca="false">ROUND(1.08/FX,2)</f>
        <v>0.15</v>
      </c>
      <c r="D744" s="21" t="s">
        <v>8668</v>
      </c>
      <c r="E744" s="21" t="s">
        <v>14013</v>
      </c>
      <c r="F744" s="21" t="s">
        <v>2961</v>
      </c>
      <c r="G744" s="21" t="s">
        <v>11411</v>
      </c>
      <c r="H744" s="21" t="s">
        <v>25627</v>
      </c>
    </row>
    <row r="745" customFormat="false" ht="15" hidden="false" customHeight="false" outlineLevel="0" collapsed="false">
      <c r="B745" s="19" t="s">
        <v>26127</v>
      </c>
      <c r="C745" s="20" t="n">
        <f aca="false">ROUND(1.17/FX,2)</f>
        <v>0.16</v>
      </c>
      <c r="D745" s="21" t="s">
        <v>8668</v>
      </c>
      <c r="E745" s="21" t="s">
        <v>14013</v>
      </c>
      <c r="F745" s="21" t="s">
        <v>13817</v>
      </c>
      <c r="G745" s="21" t="s">
        <v>11411</v>
      </c>
      <c r="H745" s="21" t="s">
        <v>25627</v>
      </c>
    </row>
    <row r="746" customFormat="false" ht="15" hidden="false" customHeight="false" outlineLevel="0" collapsed="false">
      <c r="B746" s="19" t="s">
        <v>26128</v>
      </c>
      <c r="C746" s="20" t="n">
        <f aca="false">ROUND(1.25/FX,2)</f>
        <v>0.17</v>
      </c>
      <c r="D746" s="21" t="s">
        <v>8668</v>
      </c>
      <c r="E746" s="21" t="s">
        <v>13751</v>
      </c>
      <c r="F746" s="21" t="s">
        <v>3011</v>
      </c>
      <c r="G746" s="21" t="s">
        <v>11411</v>
      </c>
      <c r="H746" s="21" t="s">
        <v>25627</v>
      </c>
    </row>
    <row r="747" customFormat="false" ht="15" hidden="false" customHeight="false" outlineLevel="0" collapsed="false">
      <c r="B747" s="19" t="s">
        <v>26129</v>
      </c>
      <c r="C747" s="20" t="n">
        <f aca="false">ROUND(1.09/FX,2)</f>
        <v>0.15</v>
      </c>
      <c r="D747" s="21" t="s">
        <v>8668</v>
      </c>
      <c r="E747" s="21" t="s">
        <v>13751</v>
      </c>
      <c r="F747" s="21" t="s">
        <v>7396</v>
      </c>
      <c r="G747" s="21" t="s">
        <v>11411</v>
      </c>
      <c r="H747" s="21" t="s">
        <v>25627</v>
      </c>
    </row>
    <row r="748" customFormat="false" ht="15" hidden="false" customHeight="false" outlineLevel="0" collapsed="false">
      <c r="B748" s="19" t="s">
        <v>26130</v>
      </c>
      <c r="C748" s="20" t="n">
        <f aca="false">ROUND(1.1/FX,2)</f>
        <v>0.15</v>
      </c>
      <c r="D748" s="21" t="s">
        <v>724</v>
      </c>
      <c r="E748" s="21" t="s">
        <v>13997</v>
      </c>
      <c r="F748" s="21" t="s">
        <v>847</v>
      </c>
      <c r="G748" s="21" t="s">
        <v>11411</v>
      </c>
      <c r="H748" s="21" t="s">
        <v>25627</v>
      </c>
    </row>
    <row r="749" customFormat="false" ht="15" hidden="false" customHeight="false" outlineLevel="0" collapsed="false">
      <c r="B749" s="19" t="s">
        <v>26131</v>
      </c>
      <c r="C749" s="20" t="n">
        <f aca="false">ROUND(4.03/FX,2)</f>
        <v>0.56</v>
      </c>
      <c r="D749" s="21" t="s">
        <v>8668</v>
      </c>
      <c r="E749" s="21" t="s">
        <v>21725</v>
      </c>
      <c r="F749" s="21" t="s">
        <v>847</v>
      </c>
      <c r="G749" s="21" t="s">
        <v>11411</v>
      </c>
      <c r="H749" s="21" t="s">
        <v>25627</v>
      </c>
    </row>
    <row r="750" customFormat="false" ht="15" hidden="false" customHeight="false" outlineLevel="0" collapsed="false">
      <c r="B750" s="19" t="s">
        <v>26132</v>
      </c>
      <c r="C750" s="20" t="n">
        <f aca="false">ROUND(1.13/FX,2)</f>
        <v>0.16</v>
      </c>
      <c r="D750" s="21" t="s">
        <v>8668</v>
      </c>
      <c r="E750" s="21" t="s">
        <v>13751</v>
      </c>
      <c r="F750" s="21" t="s">
        <v>3061</v>
      </c>
      <c r="G750" s="21" t="s">
        <v>11411</v>
      </c>
      <c r="H750" s="21" t="s">
        <v>25627</v>
      </c>
    </row>
    <row r="751" customFormat="false" ht="15" hidden="false" customHeight="false" outlineLevel="0" collapsed="false">
      <c r="B751" s="19" t="s">
        <v>26133</v>
      </c>
      <c r="C751" s="20" t="n">
        <f aca="false">ROUND(1.25/FX,2)</f>
        <v>0.17</v>
      </c>
      <c r="D751" s="21" t="s">
        <v>8668</v>
      </c>
      <c r="E751" s="21" t="s">
        <v>13751</v>
      </c>
      <c r="F751" s="21" t="s">
        <v>11870</v>
      </c>
      <c r="G751" s="21" t="s">
        <v>11411</v>
      </c>
      <c r="H751" s="21" t="s">
        <v>25627</v>
      </c>
    </row>
    <row r="752" customFormat="false" ht="15" hidden="false" customHeight="false" outlineLevel="0" collapsed="false">
      <c r="B752" s="19" t="s">
        <v>26134</v>
      </c>
      <c r="C752" s="20" t="n">
        <f aca="false">ROUND(1.4/FX,2)</f>
        <v>0.19</v>
      </c>
      <c r="D752" s="21" t="s">
        <v>8668</v>
      </c>
      <c r="E752" s="21" t="s">
        <v>13751</v>
      </c>
      <c r="F752" s="21" t="s">
        <v>3111</v>
      </c>
      <c r="G752" s="21" t="s">
        <v>11411</v>
      </c>
      <c r="H752" s="21" t="s">
        <v>25627</v>
      </c>
    </row>
    <row r="753" customFormat="false" ht="15" hidden="false" customHeight="false" outlineLevel="0" collapsed="false">
      <c r="B753" s="19" t="s">
        <v>26135</v>
      </c>
      <c r="C753" s="20" t="n">
        <f aca="false">ROUND(1.39/FX,2)</f>
        <v>0.19</v>
      </c>
      <c r="D753" s="21" t="s">
        <v>8668</v>
      </c>
      <c r="E753" s="21" t="s">
        <v>13751</v>
      </c>
      <c r="F753" s="21" t="s">
        <v>12306</v>
      </c>
      <c r="G753" s="21" t="s">
        <v>11411</v>
      </c>
      <c r="H753" s="21" t="s">
        <v>25627</v>
      </c>
    </row>
    <row r="754" customFormat="false" ht="15" hidden="false" customHeight="false" outlineLevel="0" collapsed="false">
      <c r="B754" s="19" t="s">
        <v>26136</v>
      </c>
      <c r="C754" s="20" t="n">
        <f aca="false">ROUND(1.11/FX,2)</f>
        <v>0.15</v>
      </c>
      <c r="D754" s="21" t="s">
        <v>8668</v>
      </c>
      <c r="E754" s="21" t="s">
        <v>14016</v>
      </c>
      <c r="F754" s="21" t="s">
        <v>707</v>
      </c>
      <c r="G754" s="21" t="s">
        <v>11413</v>
      </c>
      <c r="H754" s="21" t="s">
        <v>25627</v>
      </c>
    </row>
    <row r="755" customFormat="false" ht="15" hidden="false" customHeight="false" outlineLevel="0" collapsed="false">
      <c r="B755" s="19" t="s">
        <v>26137</v>
      </c>
      <c r="C755" s="20" t="n">
        <f aca="false">ROUND(1.45/FX,2)</f>
        <v>0.2</v>
      </c>
      <c r="D755" s="21" t="s">
        <v>8668</v>
      </c>
      <c r="E755" s="21" t="s">
        <v>13751</v>
      </c>
      <c r="F755" s="21" t="s">
        <v>2600</v>
      </c>
      <c r="G755" s="21" t="s">
        <v>11413</v>
      </c>
      <c r="H755" s="21" t="s">
        <v>25627</v>
      </c>
    </row>
    <row r="756" customFormat="false" ht="15" hidden="false" customHeight="false" outlineLevel="0" collapsed="false">
      <c r="B756" s="19" t="s">
        <v>26138</v>
      </c>
      <c r="C756" s="20" t="n">
        <f aca="false">ROUND(1.08/FX,2)</f>
        <v>0.15</v>
      </c>
      <c r="D756" s="21" t="s">
        <v>8668</v>
      </c>
      <c r="E756" s="21" t="s">
        <v>13739</v>
      </c>
      <c r="F756" s="21" t="s">
        <v>2651</v>
      </c>
      <c r="G756" s="21" t="s">
        <v>11413</v>
      </c>
      <c r="H756" s="21" t="s">
        <v>25627</v>
      </c>
    </row>
    <row r="757" customFormat="false" ht="15" hidden="false" customHeight="false" outlineLevel="0" collapsed="false">
      <c r="B757" s="19" t="s">
        <v>26139</v>
      </c>
      <c r="C757" s="20" t="n">
        <f aca="false">ROUND(1/FX,2)</f>
        <v>0.14</v>
      </c>
      <c r="D757" s="21" t="s">
        <v>8668</v>
      </c>
      <c r="E757" s="21" t="s">
        <v>14007</v>
      </c>
      <c r="F757" s="21" t="s">
        <v>761</v>
      </c>
      <c r="G757" s="21" t="s">
        <v>11413</v>
      </c>
      <c r="H757" s="21" t="s">
        <v>25627</v>
      </c>
    </row>
    <row r="758" customFormat="false" ht="15" hidden="false" customHeight="false" outlineLevel="0" collapsed="false">
      <c r="B758" s="19" t="s">
        <v>26140</v>
      </c>
      <c r="C758" s="20" t="n">
        <f aca="false">ROUND(1.17/FX,2)</f>
        <v>0.16</v>
      </c>
      <c r="D758" s="21" t="s">
        <v>8668</v>
      </c>
      <c r="E758" s="21" t="s">
        <v>13739</v>
      </c>
      <c r="F758" s="21" t="s">
        <v>2701</v>
      </c>
      <c r="G758" s="21" t="s">
        <v>11413</v>
      </c>
      <c r="H758" s="21" t="s">
        <v>25627</v>
      </c>
    </row>
    <row r="759" customFormat="false" ht="15" hidden="false" customHeight="false" outlineLevel="0" collapsed="false">
      <c r="B759" s="19" t="s">
        <v>26141</v>
      </c>
      <c r="C759" s="20" t="n">
        <f aca="false">ROUND(1.25/FX,2)</f>
        <v>0.17</v>
      </c>
      <c r="D759" s="21" t="s">
        <v>8668</v>
      </c>
      <c r="E759" s="21" t="s">
        <v>13739</v>
      </c>
      <c r="F759" s="21" t="s">
        <v>2751</v>
      </c>
      <c r="G759" s="21" t="s">
        <v>11413</v>
      </c>
      <c r="H759" s="21" t="s">
        <v>25627</v>
      </c>
    </row>
    <row r="760" customFormat="false" ht="15" hidden="false" customHeight="false" outlineLevel="0" collapsed="false">
      <c r="B760" s="19" t="s">
        <v>26142</v>
      </c>
      <c r="C760" s="20" t="n">
        <f aca="false">ROUND(1.11/FX,2)</f>
        <v>0.15</v>
      </c>
      <c r="D760" s="21" t="s">
        <v>8668</v>
      </c>
      <c r="E760" s="21" t="s">
        <v>14016</v>
      </c>
      <c r="F760" s="21" t="s">
        <v>4721</v>
      </c>
      <c r="G760" s="21" t="s">
        <v>11413</v>
      </c>
      <c r="H760" s="21" t="s">
        <v>25627</v>
      </c>
    </row>
    <row r="761" customFormat="false" ht="15" hidden="false" customHeight="false" outlineLevel="0" collapsed="false">
      <c r="B761" s="19" t="s">
        <v>26143</v>
      </c>
      <c r="C761" s="20" t="n">
        <f aca="false">ROUND(1.34/FX,2)</f>
        <v>0.19</v>
      </c>
      <c r="D761" s="21" t="s">
        <v>8668</v>
      </c>
      <c r="E761" s="21" t="s">
        <v>13739</v>
      </c>
      <c r="F761" s="21" t="s">
        <v>2801</v>
      </c>
      <c r="G761" s="21" t="s">
        <v>11413</v>
      </c>
      <c r="H761" s="21" t="s">
        <v>25627</v>
      </c>
    </row>
    <row r="762" customFormat="false" ht="15" hidden="false" customHeight="false" outlineLevel="0" collapsed="false">
      <c r="B762" s="19" t="s">
        <v>26144</v>
      </c>
      <c r="C762" s="20" t="n">
        <f aca="false">ROUND(1.12/FX,2)</f>
        <v>0.16</v>
      </c>
      <c r="D762" s="21" t="s">
        <v>8668</v>
      </c>
      <c r="E762" s="21" t="s">
        <v>13997</v>
      </c>
      <c r="F762" s="21" t="s">
        <v>714</v>
      </c>
      <c r="G762" s="21" t="s">
        <v>11413</v>
      </c>
      <c r="H762" s="21" t="s">
        <v>25627</v>
      </c>
    </row>
    <row r="763" customFormat="false" ht="15" hidden="false" customHeight="false" outlineLevel="0" collapsed="false">
      <c r="B763" s="19" t="s">
        <v>26145</v>
      </c>
      <c r="C763" s="20" t="n">
        <f aca="false">ROUND(1.42/FX,2)</f>
        <v>0.2</v>
      </c>
      <c r="D763" s="21" t="s">
        <v>8668</v>
      </c>
      <c r="E763" s="21" t="s">
        <v>13739</v>
      </c>
      <c r="F763" s="21" t="s">
        <v>2851</v>
      </c>
      <c r="G763" s="21" t="s">
        <v>11413</v>
      </c>
      <c r="H763" s="21" t="s">
        <v>25627</v>
      </c>
    </row>
    <row r="764" customFormat="false" ht="15" hidden="false" customHeight="false" outlineLevel="0" collapsed="false">
      <c r="B764" s="19" t="s">
        <v>26146</v>
      </c>
      <c r="C764" s="20" t="n">
        <f aca="false">ROUND(1.14/FX,2)</f>
        <v>0.16</v>
      </c>
      <c r="D764" s="21" t="s">
        <v>8668</v>
      </c>
      <c r="E764" s="21" t="s">
        <v>13994</v>
      </c>
      <c r="F764" s="21" t="s">
        <v>3833</v>
      </c>
      <c r="G764" s="21" t="s">
        <v>11413</v>
      </c>
      <c r="H764" s="21" t="s">
        <v>25627</v>
      </c>
    </row>
    <row r="765" customFormat="false" ht="15" hidden="false" customHeight="false" outlineLevel="0" collapsed="false">
      <c r="B765" s="19" t="s">
        <v>26147</v>
      </c>
      <c r="C765" s="20" t="n">
        <f aca="false">ROUND(1.93/FX,2)</f>
        <v>0.27</v>
      </c>
      <c r="D765" s="21" t="s">
        <v>8668</v>
      </c>
      <c r="E765" s="21" t="s">
        <v>13739</v>
      </c>
      <c r="F765" s="21" t="s">
        <v>2901</v>
      </c>
      <c r="G765" s="21" t="s">
        <v>11413</v>
      </c>
      <c r="H765" s="21" t="s">
        <v>25627</v>
      </c>
    </row>
    <row r="766" customFormat="false" ht="15" hidden="false" customHeight="false" outlineLevel="0" collapsed="false">
      <c r="B766" s="19" t="s">
        <v>26148</v>
      </c>
      <c r="C766" s="20" t="n">
        <f aca="false">ROUND(1.02/FX,2)</f>
        <v>0.14</v>
      </c>
      <c r="D766" s="21" t="s">
        <v>8668</v>
      </c>
      <c r="E766" s="21" t="s">
        <v>13732</v>
      </c>
      <c r="F766" s="21" t="s">
        <v>883</v>
      </c>
      <c r="G766" s="21" t="s">
        <v>11413</v>
      </c>
      <c r="H766" s="21" t="s">
        <v>25627</v>
      </c>
    </row>
    <row r="767" customFormat="false" ht="15" hidden="false" customHeight="false" outlineLevel="0" collapsed="false">
      <c r="B767" s="19" t="s">
        <v>26149</v>
      </c>
      <c r="C767" s="20" t="n">
        <f aca="false">ROUND(1.09/FX,2)</f>
        <v>0.15</v>
      </c>
      <c r="D767" s="21" t="s">
        <v>8668</v>
      </c>
      <c r="E767" s="21" t="s">
        <v>14056</v>
      </c>
      <c r="F767" s="21" t="s">
        <v>4000</v>
      </c>
      <c r="G767" s="21" t="s">
        <v>11413</v>
      </c>
      <c r="H767" s="21" t="s">
        <v>25627</v>
      </c>
    </row>
    <row r="768" customFormat="false" ht="15" hidden="false" customHeight="false" outlineLevel="0" collapsed="false">
      <c r="B768" s="19" t="s">
        <v>26150</v>
      </c>
      <c r="C768" s="20" t="n">
        <f aca="false">ROUND(1.09/FX,2)</f>
        <v>0.15</v>
      </c>
      <c r="D768" s="21" t="s">
        <v>8668</v>
      </c>
      <c r="E768" s="21" t="s">
        <v>13732</v>
      </c>
      <c r="F768" s="21" t="s">
        <v>938</v>
      </c>
      <c r="G768" s="21" t="s">
        <v>11413</v>
      </c>
      <c r="H768" s="21" t="s">
        <v>25627</v>
      </c>
    </row>
    <row r="769" customFormat="false" ht="15" hidden="false" customHeight="false" outlineLevel="0" collapsed="false">
      <c r="B769" s="19" t="s">
        <v>26151</v>
      </c>
      <c r="C769" s="20" t="n">
        <f aca="false">ROUND(1.15/FX,2)</f>
        <v>0.16</v>
      </c>
      <c r="D769" s="21" t="s">
        <v>8668</v>
      </c>
      <c r="E769" s="21" t="s">
        <v>13732</v>
      </c>
      <c r="F769" s="21" t="s">
        <v>993</v>
      </c>
      <c r="G769" s="21" t="s">
        <v>11413</v>
      </c>
      <c r="H769" s="21" t="s">
        <v>25627</v>
      </c>
    </row>
    <row r="770" customFormat="false" ht="15" hidden="false" customHeight="false" outlineLevel="0" collapsed="false">
      <c r="B770" s="19" t="s">
        <v>26152</v>
      </c>
      <c r="C770" s="20" t="n">
        <f aca="false">ROUND(7.54/FX,2)</f>
        <v>1.05</v>
      </c>
      <c r="D770" s="21" t="s">
        <v>8668</v>
      </c>
      <c r="E770" s="21" t="s">
        <v>21725</v>
      </c>
      <c r="F770" s="21" t="s">
        <v>3247</v>
      </c>
      <c r="G770" s="21" t="s">
        <v>11413</v>
      </c>
      <c r="H770" s="21" t="s">
        <v>25627</v>
      </c>
    </row>
    <row r="771" customFormat="false" ht="15" hidden="false" customHeight="false" outlineLevel="0" collapsed="false">
      <c r="B771" s="19" t="s">
        <v>26153</v>
      </c>
      <c r="C771" s="20" t="n">
        <f aca="false">ROUND(1.21/FX,2)</f>
        <v>0.17</v>
      </c>
      <c r="D771" s="21" t="s">
        <v>8668</v>
      </c>
      <c r="E771" s="21" t="s">
        <v>13732</v>
      </c>
      <c r="F771" s="21" t="s">
        <v>1048</v>
      </c>
      <c r="G771" s="21" t="s">
        <v>11413</v>
      </c>
      <c r="H771" s="21" t="s">
        <v>25627</v>
      </c>
    </row>
    <row r="772" customFormat="false" ht="15" hidden="false" customHeight="false" outlineLevel="0" collapsed="false">
      <c r="B772" s="19" t="s">
        <v>26154</v>
      </c>
      <c r="C772" s="20" t="n">
        <f aca="false">ROUND(1.14/FX,2)</f>
        <v>0.16</v>
      </c>
      <c r="D772" s="21" t="s">
        <v>8668</v>
      </c>
      <c r="E772" s="21" t="s">
        <v>13994</v>
      </c>
      <c r="F772" s="21" t="s">
        <v>5097</v>
      </c>
      <c r="G772" s="21" t="s">
        <v>11413</v>
      </c>
      <c r="H772" s="21" t="s">
        <v>25627</v>
      </c>
    </row>
    <row r="773" customFormat="false" ht="15" hidden="false" customHeight="false" outlineLevel="0" collapsed="false">
      <c r="B773" s="19" t="s">
        <v>26155</v>
      </c>
      <c r="C773" s="20" t="n">
        <f aca="false">ROUND(1.69/FX,2)</f>
        <v>0.23</v>
      </c>
      <c r="D773" s="21" t="s">
        <v>8668</v>
      </c>
      <c r="E773" s="21" t="s">
        <v>13997</v>
      </c>
      <c r="F773" s="21" t="s">
        <v>3317</v>
      </c>
      <c r="G773" s="21" t="s">
        <v>11413</v>
      </c>
      <c r="H773" s="21" t="s">
        <v>25627</v>
      </c>
    </row>
    <row r="774" customFormat="false" ht="15" hidden="false" customHeight="false" outlineLevel="0" collapsed="false">
      <c r="B774" s="19" t="s">
        <v>26156</v>
      </c>
      <c r="C774" s="20" t="n">
        <f aca="false">ROUND(1.11/FX,2)</f>
        <v>0.15</v>
      </c>
      <c r="D774" s="21" t="s">
        <v>8668</v>
      </c>
      <c r="E774" s="21" t="s">
        <v>14007</v>
      </c>
      <c r="F774" s="21" t="s">
        <v>6768</v>
      </c>
      <c r="G774" s="21" t="s">
        <v>11413</v>
      </c>
      <c r="H774" s="21" t="s">
        <v>25627</v>
      </c>
    </row>
    <row r="775" customFormat="false" ht="15" hidden="false" customHeight="false" outlineLevel="0" collapsed="false">
      <c r="B775" s="19" t="s">
        <v>26157</v>
      </c>
      <c r="C775" s="20" t="n">
        <f aca="false">ROUND(1.89/FX,2)</f>
        <v>0.26</v>
      </c>
      <c r="D775" s="21" t="s">
        <v>8668</v>
      </c>
      <c r="E775" s="21" t="s">
        <v>13997</v>
      </c>
      <c r="F775" s="21" t="s">
        <v>784</v>
      </c>
      <c r="G775" s="21" t="s">
        <v>11413</v>
      </c>
      <c r="H775" s="21" t="s">
        <v>25627</v>
      </c>
    </row>
    <row r="776" customFormat="false" ht="15" hidden="false" customHeight="false" outlineLevel="0" collapsed="false">
      <c r="B776" s="19" t="s">
        <v>26158</v>
      </c>
      <c r="C776" s="20" t="n">
        <f aca="false">ROUND(2.15/FX,2)</f>
        <v>0.3</v>
      </c>
      <c r="D776" s="21" t="s">
        <v>8668</v>
      </c>
      <c r="E776" s="21" t="s">
        <v>13997</v>
      </c>
      <c r="F776" s="21" t="s">
        <v>3328</v>
      </c>
      <c r="G776" s="21" t="s">
        <v>11413</v>
      </c>
      <c r="H776" s="21" t="s">
        <v>25627</v>
      </c>
    </row>
    <row r="777" customFormat="false" ht="15" hidden="false" customHeight="false" outlineLevel="0" collapsed="false">
      <c r="B777" s="19" t="s">
        <v>26159</v>
      </c>
      <c r="C777" s="20" t="n">
        <f aca="false">ROUND(1.08/FX,2)</f>
        <v>0.15</v>
      </c>
      <c r="D777" s="21" t="s">
        <v>8668</v>
      </c>
      <c r="E777" s="21" t="s">
        <v>13743</v>
      </c>
      <c r="F777" s="21" t="s">
        <v>6246</v>
      </c>
      <c r="G777" s="21" t="s">
        <v>11413</v>
      </c>
      <c r="H777" s="21" t="s">
        <v>25627</v>
      </c>
    </row>
    <row r="778" customFormat="false" ht="15" hidden="false" customHeight="false" outlineLevel="0" collapsed="false">
      <c r="B778" s="19" t="s">
        <v>26160</v>
      </c>
      <c r="C778" s="20" t="n">
        <f aca="false">ROUND(1.02/FX,2)</f>
        <v>0.14</v>
      </c>
      <c r="D778" s="21" t="s">
        <v>8668</v>
      </c>
      <c r="E778" s="21" t="s">
        <v>14013</v>
      </c>
      <c r="F778" s="21" t="s">
        <v>7358</v>
      </c>
      <c r="G778" s="21" t="s">
        <v>11413</v>
      </c>
      <c r="H778" s="21" t="s">
        <v>25627</v>
      </c>
    </row>
    <row r="779" customFormat="false" ht="15" hidden="false" customHeight="false" outlineLevel="0" collapsed="false">
      <c r="B779" s="19" t="s">
        <v>26161</v>
      </c>
      <c r="C779" s="20" t="n">
        <f aca="false">ROUND(1.39/FX,2)</f>
        <v>0.19</v>
      </c>
      <c r="D779" s="21" t="s">
        <v>8668</v>
      </c>
      <c r="E779" s="21" t="s">
        <v>13743</v>
      </c>
      <c r="F779" s="21" t="s">
        <v>2911</v>
      </c>
      <c r="G779" s="21" t="s">
        <v>11413</v>
      </c>
      <c r="H779" s="21" t="s">
        <v>25627</v>
      </c>
    </row>
    <row r="780" customFormat="false" ht="15" hidden="false" customHeight="false" outlineLevel="0" collapsed="false">
      <c r="B780" s="19" t="s">
        <v>26162</v>
      </c>
      <c r="C780" s="20" t="n">
        <f aca="false">ROUND(1.18/FX,2)</f>
        <v>0.16</v>
      </c>
      <c r="D780" s="21" t="s">
        <v>8668</v>
      </c>
      <c r="E780" s="21" t="s">
        <v>14013</v>
      </c>
      <c r="F780" s="21" t="s">
        <v>7275</v>
      </c>
      <c r="G780" s="21" t="s">
        <v>11413</v>
      </c>
      <c r="H780" s="21" t="s">
        <v>25627</v>
      </c>
    </row>
    <row r="781" customFormat="false" ht="15" hidden="false" customHeight="false" outlineLevel="0" collapsed="false">
      <c r="B781" s="19" t="s">
        <v>26163</v>
      </c>
      <c r="C781" s="20" t="n">
        <f aca="false">ROUND(1.37/FX,2)</f>
        <v>0.19</v>
      </c>
      <c r="D781" s="21" t="s">
        <v>8668</v>
      </c>
      <c r="E781" s="21" t="s">
        <v>13751</v>
      </c>
      <c r="F781" s="21" t="s">
        <v>2961</v>
      </c>
      <c r="G781" s="21" t="s">
        <v>11413</v>
      </c>
      <c r="H781" s="21" t="s">
        <v>25627</v>
      </c>
    </row>
    <row r="782" customFormat="false" ht="15" hidden="false" customHeight="false" outlineLevel="0" collapsed="false">
      <c r="B782" s="19" t="s">
        <v>26164</v>
      </c>
      <c r="C782" s="20" t="n">
        <f aca="false">ROUND(1/FX,2)</f>
        <v>0.14</v>
      </c>
      <c r="D782" s="21" t="s">
        <v>8668</v>
      </c>
      <c r="E782" s="21" t="s">
        <v>13751</v>
      </c>
      <c r="F782" s="21" t="s">
        <v>13817</v>
      </c>
      <c r="G782" s="21" t="s">
        <v>11413</v>
      </c>
      <c r="H782" s="21" t="s">
        <v>25627</v>
      </c>
    </row>
    <row r="783" customFormat="false" ht="15" hidden="false" customHeight="false" outlineLevel="0" collapsed="false">
      <c r="B783" s="19" t="s">
        <v>26165</v>
      </c>
      <c r="C783" s="20" t="n">
        <f aca="false">ROUND(1.08/FX,2)</f>
        <v>0.15</v>
      </c>
      <c r="D783" s="21" t="s">
        <v>8668</v>
      </c>
      <c r="E783" s="21" t="s">
        <v>13751</v>
      </c>
      <c r="F783" s="21" t="s">
        <v>3011</v>
      </c>
      <c r="G783" s="21" t="s">
        <v>11413</v>
      </c>
      <c r="H783" s="21" t="s">
        <v>25627</v>
      </c>
    </row>
    <row r="784" customFormat="false" ht="15" hidden="false" customHeight="false" outlineLevel="0" collapsed="false">
      <c r="B784" s="19" t="s">
        <v>26166</v>
      </c>
      <c r="C784" s="20" t="n">
        <f aca="false">ROUND(1.15/FX,2)</f>
        <v>0.16</v>
      </c>
      <c r="D784" s="21" t="s">
        <v>8668</v>
      </c>
      <c r="E784" s="21" t="s">
        <v>13751</v>
      </c>
      <c r="F784" s="21" t="s">
        <v>7396</v>
      </c>
      <c r="G784" s="21" t="s">
        <v>11413</v>
      </c>
      <c r="H784" s="21" t="s">
        <v>25627</v>
      </c>
    </row>
    <row r="785" customFormat="false" ht="15" hidden="false" customHeight="false" outlineLevel="0" collapsed="false">
      <c r="B785" s="19" t="s">
        <v>26167</v>
      </c>
      <c r="C785" s="20" t="n">
        <f aca="false">ROUND(1.09/FX,2)</f>
        <v>0.15</v>
      </c>
      <c r="D785" s="21" t="s">
        <v>8668</v>
      </c>
      <c r="E785" s="21" t="s">
        <v>14056</v>
      </c>
      <c r="F785" s="21" t="s">
        <v>847</v>
      </c>
      <c r="G785" s="21" t="s">
        <v>11413</v>
      </c>
      <c r="H785" s="21" t="s">
        <v>25627</v>
      </c>
    </row>
    <row r="786" customFormat="false" ht="15" hidden="false" customHeight="false" outlineLevel="0" collapsed="false">
      <c r="B786" s="19" t="s">
        <v>26168</v>
      </c>
      <c r="C786" s="20" t="n">
        <f aca="false">ROUND(1.2/FX,2)</f>
        <v>0.17</v>
      </c>
      <c r="D786" s="21" t="s">
        <v>8668</v>
      </c>
      <c r="E786" s="21" t="s">
        <v>13751</v>
      </c>
      <c r="F786" s="21" t="s">
        <v>3061</v>
      </c>
      <c r="G786" s="21" t="s">
        <v>11413</v>
      </c>
      <c r="H786" s="21" t="s">
        <v>25627</v>
      </c>
    </row>
    <row r="787" customFormat="false" ht="15" hidden="false" customHeight="false" outlineLevel="0" collapsed="false">
      <c r="B787" s="19" t="s">
        <v>26169</v>
      </c>
      <c r="C787" s="20" t="n">
        <f aca="false">ROUND(1.27/FX,2)</f>
        <v>0.18</v>
      </c>
      <c r="D787" s="21" t="s">
        <v>8668</v>
      </c>
      <c r="E787" s="21" t="s">
        <v>13751</v>
      </c>
      <c r="F787" s="21" t="s">
        <v>11870</v>
      </c>
      <c r="G787" s="21" t="s">
        <v>11413</v>
      </c>
      <c r="H787" s="21" t="s">
        <v>25627</v>
      </c>
    </row>
    <row r="788" customFormat="false" ht="15" hidden="false" customHeight="false" outlineLevel="0" collapsed="false">
      <c r="B788" s="19" t="s">
        <v>26170</v>
      </c>
      <c r="C788" s="20" t="n">
        <f aca="false">ROUND(1.33/FX,2)</f>
        <v>0.18</v>
      </c>
      <c r="D788" s="21" t="s">
        <v>8668</v>
      </c>
      <c r="E788" s="21" t="s">
        <v>13751</v>
      </c>
      <c r="F788" s="21" t="s">
        <v>3111</v>
      </c>
      <c r="G788" s="21" t="s">
        <v>11413</v>
      </c>
      <c r="H788" s="21" t="s">
        <v>25627</v>
      </c>
    </row>
    <row r="789" customFormat="false" ht="15" hidden="false" customHeight="false" outlineLevel="0" collapsed="false">
      <c r="B789" s="19" t="s">
        <v>26171</v>
      </c>
      <c r="C789" s="20" t="n">
        <f aca="false">ROUND(1.39/FX,2)</f>
        <v>0.19</v>
      </c>
      <c r="D789" s="21" t="s">
        <v>8668</v>
      </c>
      <c r="E789" s="21" t="s">
        <v>13751</v>
      </c>
      <c r="F789" s="21" t="s">
        <v>12306</v>
      </c>
      <c r="G789" s="21" t="s">
        <v>11413</v>
      </c>
      <c r="H789" s="21" t="s">
        <v>25627</v>
      </c>
    </row>
    <row r="790" customFormat="false" ht="15" hidden="false" customHeight="false" outlineLevel="0" collapsed="false">
      <c r="B790" s="19" t="s">
        <v>26172</v>
      </c>
      <c r="C790" s="20" t="n">
        <f aca="false">ROUND(1.4/FX,2)</f>
        <v>0.19</v>
      </c>
      <c r="D790" s="21" t="s">
        <v>8668</v>
      </c>
      <c r="E790" s="21" t="s">
        <v>13751</v>
      </c>
      <c r="F790" s="21" t="s">
        <v>707</v>
      </c>
      <c r="G790" s="21" t="s">
        <v>11415</v>
      </c>
      <c r="H790" s="21" t="s">
        <v>25627</v>
      </c>
    </row>
    <row r="791" customFormat="false" ht="15" hidden="false" customHeight="false" outlineLevel="0" collapsed="false">
      <c r="B791" s="19" t="s">
        <v>26173</v>
      </c>
      <c r="C791" s="20" t="n">
        <f aca="false">ROUND(1.8/FX,2)</f>
        <v>0.25</v>
      </c>
      <c r="D791" s="21" t="s">
        <v>8668</v>
      </c>
      <c r="E791" s="21" t="s">
        <v>13739</v>
      </c>
      <c r="F791" s="21" t="s">
        <v>2600</v>
      </c>
      <c r="G791" s="21" t="s">
        <v>11415</v>
      </c>
      <c r="H791" s="21" t="s">
        <v>25627</v>
      </c>
    </row>
    <row r="792" customFormat="false" ht="15" hidden="false" customHeight="false" outlineLevel="0" collapsed="false">
      <c r="B792" s="19" t="s">
        <v>26174</v>
      </c>
      <c r="C792" s="20" t="n">
        <f aca="false">ROUND(1.97/FX,2)</f>
        <v>0.27</v>
      </c>
      <c r="D792" s="21" t="s">
        <v>8668</v>
      </c>
      <c r="E792" s="21" t="s">
        <v>13739</v>
      </c>
      <c r="F792" s="21" t="s">
        <v>2651</v>
      </c>
      <c r="G792" s="21" t="s">
        <v>11415</v>
      </c>
      <c r="H792" s="21" t="s">
        <v>25627</v>
      </c>
    </row>
    <row r="793" customFormat="false" ht="15" hidden="false" customHeight="false" outlineLevel="0" collapsed="false">
      <c r="B793" s="19" t="s">
        <v>26175</v>
      </c>
      <c r="C793" s="20" t="n">
        <f aca="false">ROUND(1.08/FX,2)</f>
        <v>0.15</v>
      </c>
      <c r="D793" s="21" t="s">
        <v>8668</v>
      </c>
      <c r="E793" s="21" t="s">
        <v>13751</v>
      </c>
      <c r="F793" s="21" t="s">
        <v>761</v>
      </c>
      <c r="G793" s="21" t="s">
        <v>11415</v>
      </c>
      <c r="H793" s="21" t="s">
        <v>25627</v>
      </c>
    </row>
    <row r="794" customFormat="false" ht="15" hidden="false" customHeight="false" outlineLevel="0" collapsed="false">
      <c r="B794" s="19" t="s">
        <v>26176</v>
      </c>
      <c r="C794" s="20" t="n">
        <f aca="false">ROUND(1.06/FX,2)</f>
        <v>0.15</v>
      </c>
      <c r="D794" s="21" t="s">
        <v>8668</v>
      </c>
      <c r="E794" s="21" t="s">
        <v>13732</v>
      </c>
      <c r="F794" s="21" t="s">
        <v>2701</v>
      </c>
      <c r="G794" s="21" t="s">
        <v>11415</v>
      </c>
      <c r="H794" s="21" t="s">
        <v>25627</v>
      </c>
    </row>
    <row r="795" customFormat="false" ht="15" hidden="false" customHeight="false" outlineLevel="0" collapsed="false">
      <c r="B795" s="19" t="s">
        <v>26177</v>
      </c>
      <c r="C795" s="20" t="n">
        <f aca="false">ROUND(1.14/FX,2)</f>
        <v>0.16</v>
      </c>
      <c r="D795" s="21" t="s">
        <v>8668</v>
      </c>
      <c r="E795" s="21" t="s">
        <v>13732</v>
      </c>
      <c r="F795" s="21" t="s">
        <v>2751</v>
      </c>
      <c r="G795" s="21" t="s">
        <v>11415</v>
      </c>
      <c r="H795" s="21" t="s">
        <v>25627</v>
      </c>
    </row>
    <row r="796" customFormat="false" ht="15" hidden="false" customHeight="false" outlineLevel="0" collapsed="false">
      <c r="B796" s="19" t="s">
        <v>26178</v>
      </c>
      <c r="C796" s="20" t="n">
        <f aca="false">ROUND(1.06/FX,2)</f>
        <v>0.15</v>
      </c>
      <c r="D796" s="21" t="s">
        <v>8668</v>
      </c>
      <c r="E796" s="21" t="s">
        <v>14013</v>
      </c>
      <c r="F796" s="21" t="s">
        <v>4721</v>
      </c>
      <c r="G796" s="21" t="s">
        <v>11415</v>
      </c>
      <c r="H796" s="21" t="s">
        <v>25627</v>
      </c>
    </row>
    <row r="797" customFormat="false" ht="15" hidden="false" customHeight="false" outlineLevel="0" collapsed="false">
      <c r="B797" s="19" t="s">
        <v>26179</v>
      </c>
      <c r="C797" s="20" t="n">
        <f aca="false">ROUND(1.21/FX,2)</f>
        <v>0.17</v>
      </c>
      <c r="D797" s="21" t="s">
        <v>8668</v>
      </c>
      <c r="E797" s="21" t="s">
        <v>13732</v>
      </c>
      <c r="F797" s="21" t="s">
        <v>2801</v>
      </c>
      <c r="G797" s="21" t="s">
        <v>11415</v>
      </c>
      <c r="H797" s="21" t="s">
        <v>25627</v>
      </c>
    </row>
    <row r="798" customFormat="false" ht="15" hidden="false" customHeight="false" outlineLevel="0" collapsed="false">
      <c r="B798" s="19" t="s">
        <v>26180</v>
      </c>
      <c r="C798" s="20" t="n">
        <f aca="false">ROUND(1.01/FX,2)</f>
        <v>0.14</v>
      </c>
      <c r="D798" s="21" t="s">
        <v>8668</v>
      </c>
      <c r="E798" s="21" t="s">
        <v>13751</v>
      </c>
      <c r="F798" s="21" t="s">
        <v>714</v>
      </c>
      <c r="G798" s="21" t="s">
        <v>11415</v>
      </c>
      <c r="H798" s="21" t="s">
        <v>25627</v>
      </c>
    </row>
    <row r="799" customFormat="false" ht="15" hidden="false" customHeight="false" outlineLevel="0" collapsed="false">
      <c r="B799" s="19" t="s">
        <v>26181</v>
      </c>
      <c r="C799" s="20" t="n">
        <f aca="false">ROUND(2.1/FX,2)</f>
        <v>0.29</v>
      </c>
      <c r="D799" s="21" t="s">
        <v>8668</v>
      </c>
      <c r="E799" s="21" t="s">
        <v>13732</v>
      </c>
      <c r="F799" s="21" t="s">
        <v>2851</v>
      </c>
      <c r="G799" s="21" t="s">
        <v>11415</v>
      </c>
      <c r="H799" s="21" t="s">
        <v>25619</v>
      </c>
    </row>
    <row r="800" customFormat="false" ht="15" hidden="false" customHeight="false" outlineLevel="0" collapsed="false">
      <c r="B800" s="19" t="s">
        <v>26182</v>
      </c>
      <c r="C800" s="20" t="n">
        <f aca="false">ROUND(1.28/FX,2)</f>
        <v>0.18</v>
      </c>
      <c r="D800" s="21" t="s">
        <v>8668</v>
      </c>
      <c r="E800" s="21" t="s">
        <v>13732</v>
      </c>
      <c r="F800" s="21" t="s">
        <v>2851</v>
      </c>
      <c r="G800" s="21" t="s">
        <v>11415</v>
      </c>
      <c r="H800" s="21" t="s">
        <v>25627</v>
      </c>
    </row>
    <row r="801" customFormat="false" ht="15" hidden="false" customHeight="false" outlineLevel="0" collapsed="false">
      <c r="B801" s="19" t="s">
        <v>26183</v>
      </c>
      <c r="C801" s="20" t="n">
        <f aca="false">ROUND(1.02/FX,2)</f>
        <v>0.14</v>
      </c>
      <c r="D801" s="21" t="s">
        <v>8668</v>
      </c>
      <c r="E801" s="21" t="s">
        <v>14013</v>
      </c>
      <c r="F801" s="21" t="s">
        <v>3833</v>
      </c>
      <c r="G801" s="21" t="s">
        <v>11415</v>
      </c>
      <c r="H801" s="21" t="s">
        <v>25627</v>
      </c>
    </row>
    <row r="802" customFormat="false" ht="15" hidden="false" customHeight="false" outlineLevel="0" collapsed="false">
      <c r="B802" s="19" t="s">
        <v>26184</v>
      </c>
      <c r="C802" s="20" t="n">
        <f aca="false">ROUND(1.7/FX,2)</f>
        <v>0.24</v>
      </c>
      <c r="D802" s="21" t="s">
        <v>8668</v>
      </c>
      <c r="E802" s="21" t="s">
        <v>13732</v>
      </c>
      <c r="F802" s="21" t="s">
        <v>2901</v>
      </c>
      <c r="G802" s="21" t="s">
        <v>11415</v>
      </c>
      <c r="H802" s="21" t="s">
        <v>25627</v>
      </c>
    </row>
    <row r="803" customFormat="false" ht="15" hidden="false" customHeight="false" outlineLevel="0" collapsed="false">
      <c r="B803" s="19" t="s">
        <v>26185</v>
      </c>
      <c r="C803" s="20" t="n">
        <f aca="false">ROUND(1.8/FX,2)</f>
        <v>0.25</v>
      </c>
      <c r="D803" s="21" t="s">
        <v>8668</v>
      </c>
      <c r="E803" s="21" t="s">
        <v>13732</v>
      </c>
      <c r="F803" s="21" t="s">
        <v>883</v>
      </c>
      <c r="G803" s="21" t="s">
        <v>11415</v>
      </c>
      <c r="H803" s="21" t="s">
        <v>25627</v>
      </c>
    </row>
    <row r="804" customFormat="false" ht="15" hidden="false" customHeight="false" outlineLevel="0" collapsed="false">
      <c r="B804" s="19" t="s">
        <v>26186</v>
      </c>
      <c r="C804" s="20" t="n">
        <f aca="false">ROUND(1.14/FX,2)</f>
        <v>0.16</v>
      </c>
      <c r="D804" s="21" t="s">
        <v>8668</v>
      </c>
      <c r="E804" s="21" t="s">
        <v>14013</v>
      </c>
      <c r="F804" s="21" t="s">
        <v>4000</v>
      </c>
      <c r="G804" s="21" t="s">
        <v>11415</v>
      </c>
      <c r="H804" s="21" t="s">
        <v>25627</v>
      </c>
    </row>
    <row r="805" customFormat="false" ht="15" hidden="false" customHeight="false" outlineLevel="0" collapsed="false">
      <c r="B805" s="19" t="s">
        <v>26187</v>
      </c>
      <c r="C805" s="20" t="n">
        <f aca="false">ROUND(1.88/FX,2)</f>
        <v>0.26</v>
      </c>
      <c r="D805" s="21" t="s">
        <v>8668</v>
      </c>
      <c r="E805" s="21" t="s">
        <v>13732</v>
      </c>
      <c r="F805" s="21" t="s">
        <v>938</v>
      </c>
      <c r="G805" s="21" t="s">
        <v>11415</v>
      </c>
      <c r="H805" s="21" t="s">
        <v>25627</v>
      </c>
    </row>
    <row r="806" customFormat="false" ht="15" hidden="false" customHeight="false" outlineLevel="0" collapsed="false">
      <c r="B806" s="19" t="s">
        <v>26188</v>
      </c>
      <c r="C806" s="20" t="n">
        <f aca="false">ROUND(2.03/FX,2)</f>
        <v>0.28</v>
      </c>
      <c r="D806" s="21" t="s">
        <v>8668</v>
      </c>
      <c r="E806" s="21" t="s">
        <v>13732</v>
      </c>
      <c r="F806" s="21" t="s">
        <v>993</v>
      </c>
      <c r="G806" s="21" t="s">
        <v>11415</v>
      </c>
      <c r="H806" s="21" t="s">
        <v>25627</v>
      </c>
    </row>
    <row r="807" customFormat="false" ht="15" hidden="false" customHeight="false" outlineLevel="0" collapsed="false">
      <c r="B807" s="19" t="s">
        <v>26189</v>
      </c>
      <c r="C807" s="20" t="n">
        <f aca="false">ROUND(1.1/FX,2)</f>
        <v>0.15</v>
      </c>
      <c r="D807" s="21" t="s">
        <v>8668</v>
      </c>
      <c r="E807" s="21" t="s">
        <v>14013</v>
      </c>
      <c r="F807" s="21" t="s">
        <v>3247</v>
      </c>
      <c r="G807" s="21" t="s">
        <v>11415</v>
      </c>
      <c r="H807" s="21" t="s">
        <v>25627</v>
      </c>
    </row>
    <row r="808" customFormat="false" ht="15" hidden="false" customHeight="false" outlineLevel="0" collapsed="false">
      <c r="B808" s="19" t="s">
        <v>26190</v>
      </c>
      <c r="C808" s="20" t="n">
        <f aca="false">ROUND(2.11/FX,2)</f>
        <v>0.29</v>
      </c>
      <c r="D808" s="21" t="s">
        <v>8668</v>
      </c>
      <c r="E808" s="21" t="s">
        <v>13732</v>
      </c>
      <c r="F808" s="21" t="s">
        <v>1048</v>
      </c>
      <c r="G808" s="21" t="s">
        <v>11415</v>
      </c>
      <c r="H808" s="21" t="s">
        <v>25627</v>
      </c>
    </row>
    <row r="809" customFormat="false" ht="15" hidden="false" customHeight="false" outlineLevel="0" collapsed="false">
      <c r="B809" s="19" t="s">
        <v>26191</v>
      </c>
      <c r="C809" s="20" t="n">
        <f aca="false">ROUND(1.28/FX,2)</f>
        <v>0.18</v>
      </c>
      <c r="D809" s="21" t="s">
        <v>8668</v>
      </c>
      <c r="E809" s="21" t="s">
        <v>14013</v>
      </c>
      <c r="F809" s="21" t="s">
        <v>5097</v>
      </c>
      <c r="G809" s="21" t="s">
        <v>11415</v>
      </c>
      <c r="H809" s="21" t="s">
        <v>25627</v>
      </c>
    </row>
    <row r="810" customFormat="false" ht="15" hidden="false" customHeight="false" outlineLevel="0" collapsed="false">
      <c r="B810" s="19" t="s">
        <v>26192</v>
      </c>
      <c r="C810" s="20" t="n">
        <f aca="false">ROUND(1.44/FX,2)</f>
        <v>0.2</v>
      </c>
      <c r="D810" s="21" t="s">
        <v>8668</v>
      </c>
      <c r="E810" s="21" t="s">
        <v>13751</v>
      </c>
      <c r="F810" s="21" t="s">
        <v>3317</v>
      </c>
      <c r="G810" s="21" t="s">
        <v>11415</v>
      </c>
      <c r="H810" s="21" t="s">
        <v>25627</v>
      </c>
    </row>
    <row r="811" customFormat="false" ht="15" hidden="false" customHeight="false" outlineLevel="0" collapsed="false">
      <c r="B811" s="19" t="s">
        <v>26193</v>
      </c>
      <c r="C811" s="20" t="n">
        <f aca="false">ROUND(1.06/FX,2)</f>
        <v>0.15</v>
      </c>
      <c r="D811" s="21" t="s">
        <v>8668</v>
      </c>
      <c r="E811" s="21" t="s">
        <v>13751</v>
      </c>
      <c r="F811" s="21" t="s">
        <v>6768</v>
      </c>
      <c r="G811" s="21" t="s">
        <v>11415</v>
      </c>
      <c r="H811" s="21" t="s">
        <v>25627</v>
      </c>
    </row>
    <row r="812" customFormat="false" ht="15" hidden="false" customHeight="false" outlineLevel="0" collapsed="false">
      <c r="B812" s="19" t="s">
        <v>26194</v>
      </c>
      <c r="C812" s="20" t="n">
        <f aca="false">ROUND(1.05/FX,2)</f>
        <v>0.15</v>
      </c>
      <c r="D812" s="21" t="s">
        <v>8668</v>
      </c>
      <c r="E812" s="21" t="s">
        <v>13739</v>
      </c>
      <c r="F812" s="21" t="s">
        <v>784</v>
      </c>
      <c r="G812" s="21" t="s">
        <v>11415</v>
      </c>
      <c r="H812" s="21" t="s">
        <v>25627</v>
      </c>
    </row>
    <row r="813" customFormat="false" ht="15" hidden="false" customHeight="false" outlineLevel="0" collapsed="false">
      <c r="B813" s="19" t="s">
        <v>26195</v>
      </c>
      <c r="C813" s="20" t="n">
        <f aca="false">ROUND(1.13/FX,2)</f>
        <v>0.16</v>
      </c>
      <c r="D813" s="21" t="s">
        <v>8668</v>
      </c>
      <c r="E813" s="21" t="s">
        <v>13751</v>
      </c>
      <c r="F813" s="21" t="s">
        <v>3328</v>
      </c>
      <c r="G813" s="21" t="s">
        <v>11415</v>
      </c>
      <c r="H813" s="21" t="s">
        <v>25627</v>
      </c>
    </row>
    <row r="814" customFormat="false" ht="15" hidden="false" customHeight="false" outlineLevel="0" collapsed="false">
      <c r="B814" s="19" t="s">
        <v>26196</v>
      </c>
      <c r="C814" s="20" t="n">
        <f aca="false">ROUND(1.26/FX,2)</f>
        <v>0.18</v>
      </c>
      <c r="D814" s="21" t="s">
        <v>8668</v>
      </c>
      <c r="E814" s="21" t="s">
        <v>13739</v>
      </c>
      <c r="F814" s="21" t="s">
        <v>6246</v>
      </c>
      <c r="G814" s="21" t="s">
        <v>11415</v>
      </c>
      <c r="H814" s="21" t="s">
        <v>25627</v>
      </c>
    </row>
    <row r="815" customFormat="false" ht="15" hidden="false" customHeight="false" outlineLevel="0" collapsed="false">
      <c r="B815" s="19" t="s">
        <v>26197</v>
      </c>
      <c r="C815" s="20" t="n">
        <f aca="false">ROUND(1.38/FX,2)</f>
        <v>0.19</v>
      </c>
      <c r="D815" s="21" t="s">
        <v>8668</v>
      </c>
      <c r="E815" s="21" t="s">
        <v>13739</v>
      </c>
      <c r="F815" s="21" t="s">
        <v>7358</v>
      </c>
      <c r="G815" s="21" t="s">
        <v>11415</v>
      </c>
      <c r="H815" s="21" t="s">
        <v>25627</v>
      </c>
    </row>
    <row r="816" customFormat="false" ht="15" hidden="false" customHeight="false" outlineLevel="0" collapsed="false">
      <c r="B816" s="19" t="s">
        <v>26198</v>
      </c>
      <c r="C816" s="20" t="n">
        <f aca="false">ROUND(1.38/FX,2)</f>
        <v>0.19</v>
      </c>
      <c r="D816" s="21" t="s">
        <v>8668</v>
      </c>
      <c r="E816" s="21" t="s">
        <v>13739</v>
      </c>
      <c r="F816" s="21" t="s">
        <v>2911</v>
      </c>
      <c r="G816" s="21" t="s">
        <v>11415</v>
      </c>
      <c r="H816" s="21" t="s">
        <v>25627</v>
      </c>
    </row>
    <row r="817" customFormat="false" ht="15" hidden="false" customHeight="false" outlineLevel="0" collapsed="false">
      <c r="B817" s="19" t="s">
        <v>26199</v>
      </c>
      <c r="C817" s="20" t="n">
        <f aca="false">ROUND(1.12/FX,2)</f>
        <v>0.16</v>
      </c>
      <c r="D817" s="21" t="s">
        <v>8668</v>
      </c>
      <c r="E817" s="21" t="s">
        <v>13739</v>
      </c>
      <c r="F817" s="21" t="s">
        <v>7275</v>
      </c>
      <c r="G817" s="21" t="s">
        <v>11415</v>
      </c>
      <c r="H817" s="21" t="s">
        <v>25627</v>
      </c>
    </row>
    <row r="818" customFormat="false" ht="15" hidden="false" customHeight="false" outlineLevel="0" collapsed="false">
      <c r="B818" s="19" t="s">
        <v>26200</v>
      </c>
      <c r="C818" s="20" t="n">
        <f aca="false">ROUND(1.85/FX,2)</f>
        <v>0.26</v>
      </c>
      <c r="D818" s="21" t="s">
        <v>8668</v>
      </c>
      <c r="E818" s="21" t="s">
        <v>13739</v>
      </c>
      <c r="F818" s="21" t="s">
        <v>2961</v>
      </c>
      <c r="G818" s="21" t="s">
        <v>11415</v>
      </c>
      <c r="H818" s="21" t="s">
        <v>25627</v>
      </c>
    </row>
    <row r="819" customFormat="false" ht="15" hidden="false" customHeight="false" outlineLevel="0" collapsed="false">
      <c r="B819" s="19" t="s">
        <v>26201</v>
      </c>
      <c r="C819" s="20" t="n">
        <f aca="false">ROUND(1.27/FX,2)</f>
        <v>0.18</v>
      </c>
      <c r="D819" s="21" t="s">
        <v>8668</v>
      </c>
      <c r="E819" s="21" t="s">
        <v>13739</v>
      </c>
      <c r="F819" s="21" t="s">
        <v>13817</v>
      </c>
      <c r="G819" s="21" t="s">
        <v>11415</v>
      </c>
      <c r="H819" s="21" t="s">
        <v>25627</v>
      </c>
    </row>
    <row r="820" customFormat="false" ht="15" hidden="false" customHeight="false" outlineLevel="0" collapsed="false">
      <c r="B820" s="19" t="s">
        <v>26202</v>
      </c>
      <c r="C820" s="20" t="n">
        <f aca="false">ROUND(1.36/FX,2)</f>
        <v>0.19</v>
      </c>
      <c r="D820" s="21" t="s">
        <v>8668</v>
      </c>
      <c r="E820" s="21" t="s">
        <v>13739</v>
      </c>
      <c r="F820" s="21" t="s">
        <v>3011</v>
      </c>
      <c r="G820" s="21" t="s">
        <v>11415</v>
      </c>
      <c r="H820" s="21" t="s">
        <v>25627</v>
      </c>
    </row>
    <row r="821" customFormat="false" ht="15" hidden="false" customHeight="false" outlineLevel="0" collapsed="false">
      <c r="B821" s="19" t="s">
        <v>26203</v>
      </c>
      <c r="C821" s="20" t="n">
        <f aca="false">ROUND(1.44/FX,2)</f>
        <v>0.2</v>
      </c>
      <c r="D821" s="21" t="s">
        <v>8668</v>
      </c>
      <c r="E821" s="21" t="s">
        <v>13739</v>
      </c>
      <c r="F821" s="21" t="s">
        <v>7396</v>
      </c>
      <c r="G821" s="21" t="s">
        <v>11415</v>
      </c>
      <c r="H821" s="21" t="s">
        <v>25627</v>
      </c>
    </row>
    <row r="822" customFormat="false" ht="15" hidden="false" customHeight="false" outlineLevel="0" collapsed="false">
      <c r="B822" s="19" t="s">
        <v>26204</v>
      </c>
      <c r="C822" s="20" t="n">
        <f aca="false">ROUND(1.52/FX,2)</f>
        <v>0.21</v>
      </c>
      <c r="D822" s="21" t="s">
        <v>8668</v>
      </c>
      <c r="E822" s="21" t="s">
        <v>13739</v>
      </c>
      <c r="F822" s="21" t="s">
        <v>3061</v>
      </c>
      <c r="G822" s="21" t="s">
        <v>11415</v>
      </c>
      <c r="H822" s="21" t="s">
        <v>25627</v>
      </c>
    </row>
    <row r="823" customFormat="false" ht="15" hidden="false" customHeight="false" outlineLevel="0" collapsed="false">
      <c r="B823" s="19" t="s">
        <v>26205</v>
      </c>
      <c r="C823" s="20" t="n">
        <f aca="false">ROUND(1.59/FX,2)</f>
        <v>0.22</v>
      </c>
      <c r="D823" s="21" t="s">
        <v>8668</v>
      </c>
      <c r="E823" s="21" t="s">
        <v>13739</v>
      </c>
      <c r="F823" s="21" t="s">
        <v>11870</v>
      </c>
      <c r="G823" s="21" t="s">
        <v>11415</v>
      </c>
      <c r="H823" s="21" t="s">
        <v>25627</v>
      </c>
    </row>
    <row r="824" customFormat="false" ht="15" hidden="false" customHeight="false" outlineLevel="0" collapsed="false">
      <c r="B824" s="19" t="s">
        <v>26206</v>
      </c>
      <c r="C824" s="20" t="n">
        <f aca="false">ROUND(1.64/FX,2)</f>
        <v>0.23</v>
      </c>
      <c r="D824" s="21" t="s">
        <v>8668</v>
      </c>
      <c r="E824" s="21" t="s">
        <v>13739</v>
      </c>
      <c r="F824" s="21" t="s">
        <v>3111</v>
      </c>
      <c r="G824" s="21" t="s">
        <v>11415</v>
      </c>
      <c r="H824" s="21" t="s">
        <v>25627</v>
      </c>
    </row>
    <row r="825" customFormat="false" ht="15" hidden="false" customHeight="false" outlineLevel="0" collapsed="false">
      <c r="B825" s="19" t="s">
        <v>26207</v>
      </c>
      <c r="C825" s="20" t="n">
        <f aca="false">ROUND(1.83/FX,2)</f>
        <v>0.25</v>
      </c>
      <c r="D825" s="21" t="s">
        <v>8668</v>
      </c>
      <c r="E825" s="21" t="s">
        <v>13739</v>
      </c>
      <c r="F825" s="21" t="s">
        <v>12306</v>
      </c>
      <c r="G825" s="21" t="s">
        <v>11415</v>
      </c>
      <c r="H825" s="21" t="s">
        <v>25627</v>
      </c>
    </row>
    <row r="828" customFormat="false" ht="61.5" hidden="false" customHeight="true" outlineLevel="0" collapsed="false">
      <c r="A828" s="9"/>
      <c r="B828" s="10" t="s">
        <v>26208</v>
      </c>
      <c r="C828" s="10"/>
      <c r="D828" s="10"/>
      <c r="E828" s="10"/>
      <c r="F828" s="10"/>
      <c r="G828" s="10"/>
    </row>
    <row r="829" customFormat="false" ht="15" hidden="false" customHeight="false" outlineLevel="0" collapsed="false">
      <c r="A829" s="12" t="s">
        <v>700</v>
      </c>
      <c r="B829" s="13" t="s">
        <v>701</v>
      </c>
      <c r="C829" s="13" t="s">
        <v>702</v>
      </c>
      <c r="D829" s="13" t="s">
        <v>722</v>
      </c>
      <c r="E829" s="13" t="s">
        <v>705</v>
      </c>
      <c r="F829" s="13" t="s">
        <v>11716</v>
      </c>
      <c r="G829" s="13" t="s">
        <v>13701</v>
      </c>
    </row>
    <row r="830" customFormat="false" ht="30" hidden="false" customHeight="true" outlineLevel="0" collapsed="false">
      <c r="A830" s="14" t="s">
        <v>706</v>
      </c>
      <c r="B830" s="15" t="str">
        <f aca="false">IF(COUNTIFS($D$833:$D$989,IF(D830="","*",D830),$E$833:$E$989,IF(E830="","*",E830),$F$833:$F$989,IF(F830="","*",F830),$G$833:$G$989,IF(G830="","*",G830))=1,INDEX($B:$B,SUMPRODUCT(((D830="")+($D$833:$D$989=D830)&gt;0)*((E830="")+($E$833:$E$989=E830)&gt;0)*((F830="")+($F$833:$F$989=F830)&gt;0)*((G830="")+($G$833:$G$989=G830)&gt;0)*ROW($B$833:$B$989))),IF(COUNTIFS($D$833:$D$989,IF(D830="","*",D830),$E$833:$E$989,IF(E830="","*",E830),$F$833:$F$989,IF(F830="","*",F830),$G$833:$G$989,IF(G830="","*",G830))=0,"Not available",COUNTIFS($D$833:$D$989,IF(D830="","*",D830),$E$833:$E$989,IF(E830="","*",E830),$F$833:$F$989,IF(F830="","*",F830),$G$833:$G$989,IF(G830="","*",G830))&amp;" match, keep choosing"))</f>
        <v>I7380-SS-M10x100-P1</v>
      </c>
      <c r="C830" s="16" t="n">
        <f aca="false">IF(COUNTIFS($D$833:$D$989,IF(D830="","*",D830),$E$833:$E$989,IF(E830="","*",E830),$F$833:$F$989,IF(F830="","*",F830),$G$833:$G$989,IF(G830="","*",G830))=1,INDEX($C:$C,SUMPRODUCT(((D830="")+($D$833:$D$989=D830)&gt;0)*((E830="")+($E$833:$E$989=E830)&gt;0)*((F830="")+($F$833:$F$989=F830)&gt;0)*((G830="")+($G$833:$G$989=G830)&gt;0)*ROW($B$833:$B$989))),"")</f>
        <v>0.3</v>
      </c>
      <c r="D830" s="17" t="s">
        <v>8668</v>
      </c>
      <c r="E830" s="17" t="s">
        <v>13732</v>
      </c>
      <c r="F830" s="17" t="s">
        <v>2600</v>
      </c>
      <c r="G830" s="17" t="s">
        <v>22841</v>
      </c>
    </row>
    <row r="832" customFormat="false" ht="15" hidden="false" customHeight="false" outlineLevel="0" collapsed="false">
      <c r="B832" s="18" t="s">
        <v>701</v>
      </c>
      <c r="C832" s="18" t="s">
        <v>702</v>
      </c>
      <c r="D832" s="18" t="s">
        <v>722</v>
      </c>
      <c r="E832" s="18" t="s">
        <v>705</v>
      </c>
      <c r="F832" s="18" t="s">
        <v>11716</v>
      </c>
      <c r="G832" s="18" t="s">
        <v>13701</v>
      </c>
    </row>
    <row r="833" customFormat="false" ht="15" hidden="false" customHeight="false" outlineLevel="0" collapsed="false">
      <c r="B833" s="19" t="s">
        <v>26209</v>
      </c>
      <c r="C833" s="20" t="n">
        <f aca="false">ROUND(2.19/FX,2)</f>
        <v>0.3</v>
      </c>
      <c r="D833" s="21" t="s">
        <v>8668</v>
      </c>
      <c r="E833" s="21" t="s">
        <v>13732</v>
      </c>
      <c r="F833" s="21" t="s">
        <v>2600</v>
      </c>
      <c r="G833" s="21" t="s">
        <v>22841</v>
      </c>
    </row>
    <row r="834" customFormat="false" ht="15" hidden="false" customHeight="false" outlineLevel="0" collapsed="false">
      <c r="B834" s="19" t="s">
        <v>26210</v>
      </c>
      <c r="C834" s="20" t="n">
        <f aca="false">ROUND(2.62/FX,2)</f>
        <v>0.36</v>
      </c>
      <c r="D834" s="21" t="s">
        <v>8668</v>
      </c>
      <c r="E834" s="21" t="s">
        <v>13732</v>
      </c>
      <c r="F834" s="21" t="s">
        <v>2651</v>
      </c>
      <c r="G834" s="21" t="s">
        <v>22841</v>
      </c>
    </row>
    <row r="835" customFormat="false" ht="15" hidden="false" customHeight="false" outlineLevel="0" collapsed="false">
      <c r="B835" s="19" t="s">
        <v>26211</v>
      </c>
      <c r="C835" s="20" t="n">
        <f aca="false">ROUND(2.87/FX,2)</f>
        <v>0.4</v>
      </c>
      <c r="D835" s="21" t="s">
        <v>8668</v>
      </c>
      <c r="E835" s="21" t="s">
        <v>13732</v>
      </c>
      <c r="F835" s="21" t="s">
        <v>2701</v>
      </c>
      <c r="G835" s="21" t="s">
        <v>22841</v>
      </c>
    </row>
    <row r="836" customFormat="false" ht="15" hidden="false" customHeight="false" outlineLevel="0" collapsed="false">
      <c r="B836" s="19" t="s">
        <v>26212</v>
      </c>
      <c r="C836" s="20" t="n">
        <f aca="false">ROUND(3.28/FX,2)</f>
        <v>0.46</v>
      </c>
      <c r="D836" s="21" t="s">
        <v>8668</v>
      </c>
      <c r="E836" s="21" t="s">
        <v>13732</v>
      </c>
      <c r="F836" s="21" t="s">
        <v>2751</v>
      </c>
      <c r="G836" s="21" t="s">
        <v>22841</v>
      </c>
    </row>
    <row r="837" customFormat="false" ht="15" hidden="false" customHeight="false" outlineLevel="0" collapsed="false">
      <c r="B837" s="19" t="s">
        <v>26213</v>
      </c>
      <c r="C837" s="20" t="n">
        <f aca="false">ROUND(3.43/FX,2)</f>
        <v>0.48</v>
      </c>
      <c r="D837" s="21" t="s">
        <v>8668</v>
      </c>
      <c r="E837" s="21" t="s">
        <v>13732</v>
      </c>
      <c r="F837" s="21" t="s">
        <v>2801</v>
      </c>
      <c r="G837" s="21" t="s">
        <v>22841</v>
      </c>
    </row>
    <row r="838" customFormat="false" ht="15" hidden="false" customHeight="false" outlineLevel="0" collapsed="false">
      <c r="B838" s="19" t="s">
        <v>26214</v>
      </c>
      <c r="C838" s="20" t="n">
        <f aca="false">ROUND(3.68/FX,2)</f>
        <v>0.51</v>
      </c>
      <c r="D838" s="21" t="s">
        <v>8668</v>
      </c>
      <c r="E838" s="21" t="s">
        <v>13732</v>
      </c>
      <c r="F838" s="21" t="s">
        <v>2851</v>
      </c>
      <c r="G838" s="21" t="s">
        <v>22841</v>
      </c>
    </row>
    <row r="839" customFormat="false" ht="15" hidden="false" customHeight="false" outlineLevel="0" collapsed="false">
      <c r="B839" s="19" t="s">
        <v>26215</v>
      </c>
      <c r="C839" s="20" t="n">
        <f aca="false">ROUND(1.12/FX,2)</f>
        <v>0.16</v>
      </c>
      <c r="D839" s="21" t="s">
        <v>8668</v>
      </c>
      <c r="E839" s="21" t="s">
        <v>13739</v>
      </c>
      <c r="F839" s="21" t="s">
        <v>3833</v>
      </c>
      <c r="G839" s="21" t="s">
        <v>22841</v>
      </c>
    </row>
    <row r="840" customFormat="false" ht="15" hidden="false" customHeight="false" outlineLevel="0" collapsed="false">
      <c r="B840" s="19" t="s">
        <v>26216</v>
      </c>
      <c r="C840" s="20" t="n">
        <f aca="false">ROUND(1.26/FX,2)</f>
        <v>0.18</v>
      </c>
      <c r="D840" s="21" t="s">
        <v>8668</v>
      </c>
      <c r="E840" s="21" t="s">
        <v>13739</v>
      </c>
      <c r="F840" s="21" t="s">
        <v>3247</v>
      </c>
      <c r="G840" s="21" t="s">
        <v>22841</v>
      </c>
    </row>
    <row r="841" customFormat="false" ht="15" hidden="false" customHeight="false" outlineLevel="0" collapsed="false">
      <c r="B841" s="19" t="s">
        <v>26217</v>
      </c>
      <c r="C841" s="20" t="n">
        <f aca="false">ROUND(1.44/FX,2)</f>
        <v>0.2</v>
      </c>
      <c r="D841" s="21" t="s">
        <v>8668</v>
      </c>
      <c r="E841" s="21" t="s">
        <v>13739</v>
      </c>
      <c r="F841" s="21" t="s">
        <v>3317</v>
      </c>
      <c r="G841" s="21" t="s">
        <v>22841</v>
      </c>
    </row>
    <row r="842" customFormat="false" ht="15" hidden="false" customHeight="false" outlineLevel="0" collapsed="false">
      <c r="B842" s="19" t="s">
        <v>26218</v>
      </c>
      <c r="C842" s="20" t="n">
        <f aca="false">ROUND(1.64/FX,2)</f>
        <v>0.23</v>
      </c>
      <c r="D842" s="21" t="s">
        <v>8668</v>
      </c>
      <c r="E842" s="21" t="s">
        <v>13739</v>
      </c>
      <c r="F842" s="21" t="s">
        <v>784</v>
      </c>
      <c r="G842" s="21" t="s">
        <v>22841</v>
      </c>
    </row>
    <row r="843" customFormat="false" ht="15" hidden="false" customHeight="false" outlineLevel="0" collapsed="false">
      <c r="B843" s="19" t="s">
        <v>26219</v>
      </c>
      <c r="C843" s="20" t="n">
        <f aca="false">ROUND(1.81/FX,2)</f>
        <v>0.25</v>
      </c>
      <c r="D843" s="21" t="s">
        <v>8668</v>
      </c>
      <c r="E843" s="21" t="s">
        <v>13739</v>
      </c>
      <c r="F843" s="21" t="s">
        <v>3328</v>
      </c>
      <c r="G843" s="21" t="s">
        <v>22841</v>
      </c>
    </row>
    <row r="844" customFormat="false" ht="15" hidden="false" customHeight="false" outlineLevel="0" collapsed="false">
      <c r="B844" s="19" t="s">
        <v>26220</v>
      </c>
      <c r="C844" s="20" t="n">
        <f aca="false">ROUND(1.98/FX,2)</f>
        <v>0.28</v>
      </c>
      <c r="D844" s="21" t="s">
        <v>8668</v>
      </c>
      <c r="E844" s="21" t="s">
        <v>13739</v>
      </c>
      <c r="F844" s="21" t="s">
        <v>6246</v>
      </c>
      <c r="G844" s="21" t="s">
        <v>22841</v>
      </c>
    </row>
    <row r="845" customFormat="false" ht="15" hidden="false" customHeight="false" outlineLevel="0" collapsed="false">
      <c r="B845" s="19" t="s">
        <v>26221</v>
      </c>
      <c r="C845" s="20" t="n">
        <f aca="false">ROUND(1.09/FX,2)</f>
        <v>0.15</v>
      </c>
      <c r="D845" s="21" t="s">
        <v>8668</v>
      </c>
      <c r="E845" s="21" t="s">
        <v>13732</v>
      </c>
      <c r="F845" s="21" t="s">
        <v>7358</v>
      </c>
      <c r="G845" s="21" t="s">
        <v>22841</v>
      </c>
    </row>
    <row r="846" customFormat="false" ht="15" hidden="false" customHeight="false" outlineLevel="0" collapsed="false">
      <c r="B846" s="19" t="s">
        <v>26222</v>
      </c>
      <c r="C846" s="20" t="n">
        <f aca="false">ROUND(1.17/FX,2)</f>
        <v>0.16</v>
      </c>
      <c r="D846" s="21" t="s">
        <v>8668</v>
      </c>
      <c r="E846" s="21" t="s">
        <v>13732</v>
      </c>
      <c r="F846" s="21" t="s">
        <v>2911</v>
      </c>
      <c r="G846" s="21" t="s">
        <v>22841</v>
      </c>
    </row>
    <row r="847" customFormat="false" ht="15" hidden="false" customHeight="false" outlineLevel="0" collapsed="false">
      <c r="B847" s="19" t="s">
        <v>26223</v>
      </c>
      <c r="C847" s="20" t="n">
        <f aca="false">ROUND(1.25/FX,2)</f>
        <v>0.17</v>
      </c>
      <c r="D847" s="21" t="s">
        <v>8668</v>
      </c>
      <c r="E847" s="21" t="s">
        <v>13732</v>
      </c>
      <c r="F847" s="21" t="s">
        <v>7275</v>
      </c>
      <c r="G847" s="21" t="s">
        <v>22841</v>
      </c>
    </row>
    <row r="848" customFormat="false" ht="15" hidden="false" customHeight="false" outlineLevel="0" collapsed="false">
      <c r="B848" s="19" t="s">
        <v>26224</v>
      </c>
      <c r="C848" s="20" t="n">
        <f aca="false">ROUND(1.31/FX,2)</f>
        <v>0.18</v>
      </c>
      <c r="D848" s="21" t="s">
        <v>8668</v>
      </c>
      <c r="E848" s="21" t="s">
        <v>13732</v>
      </c>
      <c r="F848" s="21" t="s">
        <v>2961</v>
      </c>
      <c r="G848" s="21" t="s">
        <v>22841</v>
      </c>
    </row>
    <row r="849" customFormat="false" ht="15" hidden="false" customHeight="false" outlineLevel="0" collapsed="false">
      <c r="B849" s="19" t="s">
        <v>26225</v>
      </c>
      <c r="C849" s="20" t="n">
        <f aca="false">ROUND(1.5/FX,2)</f>
        <v>0.21</v>
      </c>
      <c r="D849" s="21" t="s">
        <v>8668</v>
      </c>
      <c r="E849" s="21" t="s">
        <v>13732</v>
      </c>
      <c r="F849" s="21" t="s">
        <v>3011</v>
      </c>
      <c r="G849" s="21" t="s">
        <v>22841</v>
      </c>
    </row>
    <row r="850" customFormat="false" ht="15" hidden="false" customHeight="false" outlineLevel="0" collapsed="false">
      <c r="B850" s="19" t="s">
        <v>26226</v>
      </c>
      <c r="C850" s="20" t="n">
        <f aca="false">ROUND(1.69/FX,2)</f>
        <v>0.23</v>
      </c>
      <c r="D850" s="21" t="s">
        <v>8668</v>
      </c>
      <c r="E850" s="21" t="s">
        <v>13732</v>
      </c>
      <c r="F850" s="21" t="s">
        <v>3061</v>
      </c>
      <c r="G850" s="21" t="s">
        <v>22841</v>
      </c>
    </row>
    <row r="851" customFormat="false" ht="15" hidden="false" customHeight="false" outlineLevel="0" collapsed="false">
      <c r="B851" s="19" t="s">
        <v>26227</v>
      </c>
      <c r="C851" s="20" t="n">
        <f aca="false">ROUND(1.9/FX,2)</f>
        <v>0.26</v>
      </c>
      <c r="D851" s="21" t="s">
        <v>8668</v>
      </c>
      <c r="E851" s="21" t="s">
        <v>13732</v>
      </c>
      <c r="F851" s="21" t="s">
        <v>3111</v>
      </c>
      <c r="G851" s="21" t="s">
        <v>22841</v>
      </c>
    </row>
    <row r="852" customFormat="false" ht="15" hidden="false" customHeight="false" outlineLevel="0" collapsed="false">
      <c r="B852" s="19" t="s">
        <v>26228</v>
      </c>
      <c r="C852" s="20" t="n">
        <f aca="false">ROUND(3.27/FX,2)</f>
        <v>0.45</v>
      </c>
      <c r="D852" s="21" t="s">
        <v>8668</v>
      </c>
      <c r="E852" s="21" t="s">
        <v>13732</v>
      </c>
      <c r="F852" s="21" t="s">
        <v>2600</v>
      </c>
      <c r="G852" s="21" t="s">
        <v>22844</v>
      </c>
    </row>
    <row r="853" customFormat="false" ht="15" hidden="false" customHeight="false" outlineLevel="0" collapsed="false">
      <c r="B853" s="19" t="s">
        <v>26229</v>
      </c>
      <c r="C853" s="20" t="n">
        <f aca="false">ROUND(1.1/FX,2)</f>
        <v>0.15</v>
      </c>
      <c r="D853" s="21" t="s">
        <v>8668</v>
      </c>
      <c r="E853" s="21" t="s">
        <v>13732</v>
      </c>
      <c r="F853" s="21" t="s">
        <v>3247</v>
      </c>
      <c r="G853" s="21" t="s">
        <v>22844</v>
      </c>
    </row>
    <row r="854" customFormat="false" ht="15" hidden="false" customHeight="false" outlineLevel="0" collapsed="false">
      <c r="B854" s="19" t="s">
        <v>26230</v>
      </c>
      <c r="C854" s="20" t="n">
        <f aca="false">ROUND(1.16/FX,2)</f>
        <v>0.16</v>
      </c>
      <c r="D854" s="21" t="s">
        <v>8668</v>
      </c>
      <c r="E854" s="21" t="s">
        <v>13732</v>
      </c>
      <c r="F854" s="21" t="s">
        <v>3317</v>
      </c>
      <c r="G854" s="21" t="s">
        <v>22844</v>
      </c>
    </row>
    <row r="855" customFormat="false" ht="15" hidden="false" customHeight="false" outlineLevel="0" collapsed="false">
      <c r="B855" s="19" t="s">
        <v>26231</v>
      </c>
      <c r="C855" s="20" t="n">
        <f aca="false">ROUND(1.07/FX,2)</f>
        <v>0.15</v>
      </c>
      <c r="D855" s="21" t="s">
        <v>8668</v>
      </c>
      <c r="E855" s="21" t="s">
        <v>13732</v>
      </c>
      <c r="F855" s="21" t="s">
        <v>784</v>
      </c>
      <c r="G855" s="21" t="s">
        <v>22844</v>
      </c>
    </row>
    <row r="856" customFormat="false" ht="15" hidden="false" customHeight="false" outlineLevel="0" collapsed="false">
      <c r="B856" s="19" t="s">
        <v>26232</v>
      </c>
      <c r="C856" s="20" t="n">
        <f aca="false">ROUND(1.4/FX,2)</f>
        <v>0.19</v>
      </c>
      <c r="D856" s="21" t="s">
        <v>8668</v>
      </c>
      <c r="E856" s="21" t="s">
        <v>13732</v>
      </c>
      <c r="F856" s="21" t="s">
        <v>3328</v>
      </c>
      <c r="G856" s="21" t="s">
        <v>22844</v>
      </c>
    </row>
    <row r="857" customFormat="false" ht="15" hidden="false" customHeight="false" outlineLevel="0" collapsed="false">
      <c r="B857" s="19" t="s">
        <v>26233</v>
      </c>
      <c r="C857" s="20" t="n">
        <f aca="false">ROUND(1.56/FX,2)</f>
        <v>0.22</v>
      </c>
      <c r="D857" s="21" t="s">
        <v>8668</v>
      </c>
      <c r="E857" s="21" t="s">
        <v>13732</v>
      </c>
      <c r="F857" s="21" t="s">
        <v>6246</v>
      </c>
      <c r="G857" s="21" t="s">
        <v>22844</v>
      </c>
    </row>
    <row r="858" customFormat="false" ht="15" hidden="false" customHeight="false" outlineLevel="0" collapsed="false">
      <c r="B858" s="19" t="s">
        <v>26234</v>
      </c>
      <c r="C858" s="20" t="n">
        <f aca="false">ROUND(1.71/FX,2)</f>
        <v>0.24</v>
      </c>
      <c r="D858" s="21" t="s">
        <v>8668</v>
      </c>
      <c r="E858" s="21" t="s">
        <v>13732</v>
      </c>
      <c r="F858" s="21" t="s">
        <v>7358</v>
      </c>
      <c r="G858" s="21" t="s">
        <v>22844</v>
      </c>
    </row>
    <row r="859" customFormat="false" ht="15" hidden="false" customHeight="false" outlineLevel="0" collapsed="false">
      <c r="B859" s="19" t="s">
        <v>26235</v>
      </c>
      <c r="C859" s="20" t="n">
        <f aca="false">ROUND(1.84/FX,2)</f>
        <v>0.26</v>
      </c>
      <c r="D859" s="21" t="s">
        <v>8668</v>
      </c>
      <c r="E859" s="21" t="s">
        <v>13732</v>
      </c>
      <c r="F859" s="21" t="s">
        <v>2911</v>
      </c>
      <c r="G859" s="21" t="s">
        <v>22844</v>
      </c>
    </row>
    <row r="860" customFormat="false" ht="15" hidden="false" customHeight="false" outlineLevel="0" collapsed="false">
      <c r="B860" s="19" t="s">
        <v>26236</v>
      </c>
      <c r="C860" s="20" t="n">
        <f aca="false">ROUND(2.05/FX,2)</f>
        <v>0.28</v>
      </c>
      <c r="D860" s="21" t="s">
        <v>8668</v>
      </c>
      <c r="E860" s="21" t="s">
        <v>13732</v>
      </c>
      <c r="F860" s="21" t="s">
        <v>7275</v>
      </c>
      <c r="G860" s="21" t="s">
        <v>22844</v>
      </c>
    </row>
    <row r="861" customFormat="false" ht="15" hidden="false" customHeight="false" outlineLevel="0" collapsed="false">
      <c r="B861" s="19" t="s">
        <v>26237</v>
      </c>
      <c r="C861" s="20" t="n">
        <f aca="false">ROUND(2.14/FX,2)</f>
        <v>0.3</v>
      </c>
      <c r="D861" s="21" t="s">
        <v>8668</v>
      </c>
      <c r="E861" s="21" t="s">
        <v>13732</v>
      </c>
      <c r="F861" s="21" t="s">
        <v>2961</v>
      </c>
      <c r="G861" s="21" t="s">
        <v>22844</v>
      </c>
    </row>
    <row r="862" customFormat="false" ht="15" hidden="false" customHeight="false" outlineLevel="0" collapsed="false">
      <c r="B862" s="19" t="s">
        <v>26238</v>
      </c>
      <c r="C862" s="20" t="n">
        <f aca="false">ROUND(2.39/FX,2)</f>
        <v>0.33</v>
      </c>
      <c r="D862" s="21" t="s">
        <v>8668</v>
      </c>
      <c r="E862" s="21" t="s">
        <v>13732</v>
      </c>
      <c r="F862" s="21" t="s">
        <v>3011</v>
      </c>
      <c r="G862" s="21" t="s">
        <v>22844</v>
      </c>
    </row>
    <row r="863" customFormat="false" ht="15" hidden="false" customHeight="false" outlineLevel="0" collapsed="false">
      <c r="B863" s="19" t="s">
        <v>26239</v>
      </c>
      <c r="C863" s="20" t="n">
        <f aca="false">ROUND(2.69/FX,2)</f>
        <v>0.37</v>
      </c>
      <c r="D863" s="21" t="s">
        <v>8668</v>
      </c>
      <c r="E863" s="21" t="s">
        <v>13732</v>
      </c>
      <c r="F863" s="21" t="s">
        <v>3061</v>
      </c>
      <c r="G863" s="21" t="s">
        <v>22844</v>
      </c>
    </row>
    <row r="864" customFormat="false" ht="15" hidden="false" customHeight="false" outlineLevel="0" collapsed="false">
      <c r="B864" s="19" t="s">
        <v>26240</v>
      </c>
      <c r="C864" s="20" t="n">
        <f aca="false">ROUND(2.95/FX,2)</f>
        <v>0.41</v>
      </c>
      <c r="D864" s="21" t="s">
        <v>8668</v>
      </c>
      <c r="E864" s="21" t="s">
        <v>13732</v>
      </c>
      <c r="F864" s="21" t="s">
        <v>3111</v>
      </c>
      <c r="G864" s="21" t="s">
        <v>22844</v>
      </c>
    </row>
    <row r="865" customFormat="false" ht="15" hidden="false" customHeight="false" outlineLevel="0" collapsed="false">
      <c r="B865" s="19" t="s">
        <v>26241</v>
      </c>
      <c r="C865" s="20" t="n">
        <f aca="false">ROUND(1.02/FX,2)</f>
        <v>0.14</v>
      </c>
      <c r="D865" s="21" t="s">
        <v>8668</v>
      </c>
      <c r="E865" s="21" t="s">
        <v>25750</v>
      </c>
      <c r="F865" s="21" t="s">
        <v>707</v>
      </c>
      <c r="G865" s="21" t="s">
        <v>25460</v>
      </c>
    </row>
    <row r="866" customFormat="false" ht="15" hidden="false" customHeight="false" outlineLevel="0" collapsed="false">
      <c r="B866" s="19" t="s">
        <v>26242</v>
      </c>
      <c r="C866" s="20" t="n">
        <f aca="false">ROUND(1.03/FX,2)</f>
        <v>0.14</v>
      </c>
      <c r="D866" s="21" t="s">
        <v>8668</v>
      </c>
      <c r="E866" s="21" t="s">
        <v>25753</v>
      </c>
      <c r="F866" s="21" t="s">
        <v>761</v>
      </c>
      <c r="G866" s="21" t="s">
        <v>25460</v>
      </c>
    </row>
    <row r="867" customFormat="false" ht="15" hidden="false" customHeight="false" outlineLevel="0" collapsed="false">
      <c r="B867" s="19" t="s">
        <v>26243</v>
      </c>
      <c r="C867" s="20" t="n">
        <f aca="false">ROUND(1.03/FX,2)</f>
        <v>0.14</v>
      </c>
      <c r="D867" s="21" t="s">
        <v>8668</v>
      </c>
      <c r="E867" s="21" t="s">
        <v>25469</v>
      </c>
      <c r="F867" s="21" t="s">
        <v>4721</v>
      </c>
      <c r="G867" s="21" t="s">
        <v>25460</v>
      </c>
    </row>
    <row r="868" customFormat="false" ht="15" hidden="false" customHeight="false" outlineLevel="0" collapsed="false">
      <c r="B868" s="19" t="s">
        <v>26244</v>
      </c>
      <c r="C868" s="20" t="n">
        <f aca="false">ROUND(1.04/FX,2)</f>
        <v>0.14</v>
      </c>
      <c r="D868" s="21" t="s">
        <v>8668</v>
      </c>
      <c r="E868" s="21" t="s">
        <v>25531</v>
      </c>
      <c r="F868" s="21" t="s">
        <v>3833</v>
      </c>
      <c r="G868" s="21" t="s">
        <v>25460</v>
      </c>
    </row>
    <row r="869" customFormat="false" ht="15" hidden="false" customHeight="false" outlineLevel="0" collapsed="false">
      <c r="B869" s="19" t="s">
        <v>26245</v>
      </c>
      <c r="C869" s="20" t="n">
        <f aca="false">ROUND(1.03/FX,2)</f>
        <v>0.14</v>
      </c>
      <c r="D869" s="21" t="s">
        <v>8668</v>
      </c>
      <c r="E869" s="21" t="s">
        <v>24231</v>
      </c>
      <c r="F869" s="21" t="s">
        <v>4000</v>
      </c>
      <c r="G869" s="21" t="s">
        <v>25460</v>
      </c>
    </row>
    <row r="870" customFormat="false" ht="15" hidden="false" customHeight="false" outlineLevel="0" collapsed="false">
      <c r="B870" s="19" t="s">
        <v>26246</v>
      </c>
      <c r="C870" s="20" t="n">
        <f aca="false">ROUND(1.04/FX,2)</f>
        <v>0.14</v>
      </c>
      <c r="D870" s="21" t="s">
        <v>8668</v>
      </c>
      <c r="E870" s="21" t="s">
        <v>13974</v>
      </c>
      <c r="F870" s="21" t="s">
        <v>3247</v>
      </c>
      <c r="G870" s="21" t="s">
        <v>25460</v>
      </c>
    </row>
    <row r="871" customFormat="false" ht="15" hidden="false" customHeight="false" outlineLevel="0" collapsed="false">
      <c r="B871" s="19" t="s">
        <v>26247</v>
      </c>
      <c r="C871" s="20" t="n">
        <f aca="false">ROUND(1.02/FX,2)</f>
        <v>0.14</v>
      </c>
      <c r="D871" s="21" t="s">
        <v>8668</v>
      </c>
      <c r="E871" s="21" t="s">
        <v>25545</v>
      </c>
      <c r="F871" s="21" t="s">
        <v>839</v>
      </c>
      <c r="G871" s="21" t="s">
        <v>25460</v>
      </c>
    </row>
    <row r="872" customFormat="false" ht="15" hidden="false" customHeight="false" outlineLevel="0" collapsed="false">
      <c r="B872" s="19" t="s">
        <v>26248</v>
      </c>
      <c r="C872" s="20" t="n">
        <f aca="false">ROUND(1.02/FX,2)</f>
        <v>0.14</v>
      </c>
      <c r="D872" s="21" t="s">
        <v>8668</v>
      </c>
      <c r="E872" s="21" t="s">
        <v>25375</v>
      </c>
      <c r="F872" s="21" t="s">
        <v>841</v>
      </c>
      <c r="G872" s="21" t="s">
        <v>25460</v>
      </c>
    </row>
    <row r="873" customFormat="false" ht="15" hidden="false" customHeight="false" outlineLevel="0" collapsed="false">
      <c r="B873" s="19" t="s">
        <v>26249</v>
      </c>
      <c r="C873" s="20" t="n">
        <f aca="false">ROUND(0.23/FX,2)</f>
        <v>0.03</v>
      </c>
      <c r="D873" s="21" t="s">
        <v>8668</v>
      </c>
      <c r="E873" s="21" t="s">
        <v>13997</v>
      </c>
      <c r="F873" s="21" t="s">
        <v>789</v>
      </c>
      <c r="G873" s="21" t="s">
        <v>25460</v>
      </c>
    </row>
    <row r="874" customFormat="false" ht="15" hidden="false" customHeight="false" outlineLevel="0" collapsed="false">
      <c r="B874" s="19" t="s">
        <v>26250</v>
      </c>
      <c r="C874" s="20" t="n">
        <f aca="false">ROUND(1.02/FX,2)</f>
        <v>0.14</v>
      </c>
      <c r="D874" s="21" t="s">
        <v>8668</v>
      </c>
      <c r="E874" s="21" t="s">
        <v>25375</v>
      </c>
      <c r="F874" s="21" t="s">
        <v>716</v>
      </c>
      <c r="G874" s="21" t="s">
        <v>25460</v>
      </c>
    </row>
    <row r="875" customFormat="false" ht="15" hidden="false" customHeight="false" outlineLevel="0" collapsed="false">
      <c r="B875" s="19" t="s">
        <v>26251</v>
      </c>
      <c r="C875" s="20" t="n">
        <f aca="false">ROUND(1/FX,2)</f>
        <v>0.14</v>
      </c>
      <c r="D875" s="21" t="s">
        <v>8668</v>
      </c>
      <c r="E875" s="21" t="s">
        <v>25545</v>
      </c>
      <c r="F875" s="21" t="s">
        <v>847</v>
      </c>
      <c r="G875" s="21" t="s">
        <v>25460</v>
      </c>
    </row>
    <row r="876" customFormat="false" ht="15" hidden="false" customHeight="false" outlineLevel="0" collapsed="false">
      <c r="B876" s="19" t="s">
        <v>26252</v>
      </c>
      <c r="C876" s="20" t="n">
        <f aca="false">ROUND(1.04/FX,2)</f>
        <v>0.14</v>
      </c>
      <c r="D876" s="21" t="s">
        <v>8668</v>
      </c>
      <c r="E876" s="21" t="s">
        <v>25514</v>
      </c>
      <c r="F876" s="21" t="s">
        <v>707</v>
      </c>
      <c r="G876" s="21" t="s">
        <v>25497</v>
      </c>
    </row>
    <row r="877" customFormat="false" ht="15" hidden="false" customHeight="false" outlineLevel="0" collapsed="false">
      <c r="B877" s="19" t="s">
        <v>26253</v>
      </c>
      <c r="C877" s="20" t="n">
        <f aca="false">ROUND(1/FX,2)</f>
        <v>0.14</v>
      </c>
      <c r="D877" s="21" t="s">
        <v>8668</v>
      </c>
      <c r="E877" s="21" t="s">
        <v>25467</v>
      </c>
      <c r="F877" s="21" t="s">
        <v>761</v>
      </c>
      <c r="G877" s="21" t="s">
        <v>25497</v>
      </c>
    </row>
    <row r="878" customFormat="false" ht="15" hidden="false" customHeight="false" outlineLevel="0" collapsed="false">
      <c r="B878" s="19" t="s">
        <v>26254</v>
      </c>
      <c r="C878" s="20" t="n">
        <f aca="false">ROUND(1.02/FX,2)</f>
        <v>0.14</v>
      </c>
      <c r="D878" s="21" t="s">
        <v>8668</v>
      </c>
      <c r="E878" s="21" t="s">
        <v>25469</v>
      </c>
      <c r="F878" s="21" t="s">
        <v>4721</v>
      </c>
      <c r="G878" s="21" t="s">
        <v>25497</v>
      </c>
    </row>
    <row r="879" customFormat="false" ht="15" hidden="false" customHeight="false" outlineLevel="0" collapsed="false">
      <c r="B879" s="19" t="s">
        <v>26255</v>
      </c>
      <c r="C879" s="20" t="n">
        <f aca="false">ROUND(1.02/FX,2)</f>
        <v>0.14</v>
      </c>
      <c r="D879" s="21" t="s">
        <v>8668</v>
      </c>
      <c r="E879" s="21" t="s">
        <v>26256</v>
      </c>
      <c r="F879" s="21" t="s">
        <v>3833</v>
      </c>
      <c r="G879" s="21" t="s">
        <v>25497</v>
      </c>
    </row>
    <row r="880" customFormat="false" ht="15" hidden="false" customHeight="false" outlineLevel="0" collapsed="false">
      <c r="B880" s="19" t="s">
        <v>26257</v>
      </c>
      <c r="C880" s="20" t="n">
        <f aca="false">ROUND(1.02/FX,2)</f>
        <v>0.14</v>
      </c>
      <c r="D880" s="21" t="s">
        <v>8668</v>
      </c>
      <c r="E880" s="21" t="s">
        <v>24231</v>
      </c>
      <c r="F880" s="21" t="s">
        <v>4000</v>
      </c>
      <c r="G880" s="21" t="s">
        <v>25497</v>
      </c>
    </row>
    <row r="881" customFormat="false" ht="15" hidden="false" customHeight="false" outlineLevel="0" collapsed="false">
      <c r="B881" s="19" t="s">
        <v>26258</v>
      </c>
      <c r="C881" s="20" t="n">
        <f aca="false">ROUND(1/FX,2)</f>
        <v>0.14</v>
      </c>
      <c r="D881" s="21" t="s">
        <v>8668</v>
      </c>
      <c r="E881" s="21" t="s">
        <v>13974</v>
      </c>
      <c r="F881" s="21" t="s">
        <v>3247</v>
      </c>
      <c r="G881" s="21" t="s">
        <v>25497</v>
      </c>
    </row>
    <row r="882" customFormat="false" ht="15" hidden="false" customHeight="false" outlineLevel="0" collapsed="false">
      <c r="B882" s="19" t="s">
        <v>26259</v>
      </c>
      <c r="C882" s="20" t="n">
        <f aca="false">ROUND(1.02/FX,2)</f>
        <v>0.14</v>
      </c>
      <c r="D882" s="21" t="s">
        <v>8668</v>
      </c>
      <c r="E882" s="21" t="s">
        <v>26260</v>
      </c>
      <c r="F882" s="21" t="s">
        <v>839</v>
      </c>
      <c r="G882" s="21" t="s">
        <v>25497</v>
      </c>
    </row>
    <row r="883" customFormat="false" ht="15" hidden="false" customHeight="false" outlineLevel="0" collapsed="false">
      <c r="B883" s="19" t="s">
        <v>26261</v>
      </c>
      <c r="C883" s="20" t="n">
        <f aca="false">ROUND(1.02/FX,2)</f>
        <v>0.14</v>
      </c>
      <c r="D883" s="21" t="s">
        <v>8668</v>
      </c>
      <c r="E883" s="21" t="s">
        <v>26262</v>
      </c>
      <c r="F883" s="21" t="s">
        <v>841</v>
      </c>
      <c r="G883" s="21" t="s">
        <v>25497</v>
      </c>
    </row>
    <row r="884" customFormat="false" ht="15" hidden="false" customHeight="false" outlineLevel="0" collapsed="false">
      <c r="B884" s="19" t="s">
        <v>26263</v>
      </c>
      <c r="C884" s="20" t="n">
        <f aca="false">ROUND(1.01/FX,2)</f>
        <v>0.14</v>
      </c>
      <c r="D884" s="21" t="s">
        <v>8668</v>
      </c>
      <c r="E884" s="21" t="s">
        <v>25371</v>
      </c>
      <c r="F884" s="21" t="s">
        <v>789</v>
      </c>
      <c r="G884" s="21" t="s">
        <v>25497</v>
      </c>
    </row>
    <row r="885" customFormat="false" ht="15" hidden="false" customHeight="false" outlineLevel="0" collapsed="false">
      <c r="B885" s="19" t="s">
        <v>26264</v>
      </c>
      <c r="C885" s="20" t="n">
        <f aca="false">ROUND(1.02/FX,2)</f>
        <v>0.14</v>
      </c>
      <c r="D885" s="21" t="s">
        <v>8668</v>
      </c>
      <c r="E885" s="21" t="s">
        <v>14419</v>
      </c>
      <c r="F885" s="21" t="s">
        <v>716</v>
      </c>
      <c r="G885" s="21" t="s">
        <v>25497</v>
      </c>
    </row>
    <row r="886" customFormat="false" ht="15" hidden="false" customHeight="false" outlineLevel="0" collapsed="false">
      <c r="B886" s="19" t="s">
        <v>26265</v>
      </c>
      <c r="C886" s="20" t="n">
        <f aca="false">ROUND(1.01/FX,2)</f>
        <v>0.14</v>
      </c>
      <c r="D886" s="21" t="s">
        <v>8668</v>
      </c>
      <c r="E886" s="21" t="s">
        <v>25512</v>
      </c>
      <c r="F886" s="21" t="s">
        <v>847</v>
      </c>
      <c r="G886" s="21" t="s">
        <v>25497</v>
      </c>
    </row>
    <row r="887" customFormat="false" ht="15" hidden="false" customHeight="false" outlineLevel="0" collapsed="false">
      <c r="B887" s="19" t="s">
        <v>26266</v>
      </c>
      <c r="C887" s="20" t="n">
        <f aca="false">ROUND(0.15/FX,2)</f>
        <v>0.02</v>
      </c>
      <c r="D887" s="21" t="s">
        <v>8668</v>
      </c>
      <c r="E887" s="21" t="s">
        <v>13743</v>
      </c>
      <c r="F887" s="21" t="s">
        <v>707</v>
      </c>
      <c r="G887" s="21" t="s">
        <v>11407</v>
      </c>
    </row>
    <row r="888" customFormat="false" ht="15" hidden="false" customHeight="false" outlineLevel="0" collapsed="false">
      <c r="B888" s="19" t="s">
        <v>26267</v>
      </c>
      <c r="C888" s="20" t="n">
        <f aca="false">ROUND(1.01/FX,2)</f>
        <v>0.14</v>
      </c>
      <c r="D888" s="21" t="s">
        <v>8668</v>
      </c>
      <c r="E888" s="21" t="s">
        <v>25512</v>
      </c>
      <c r="F888" s="21" t="s">
        <v>761</v>
      </c>
      <c r="G888" s="21" t="s">
        <v>11407</v>
      </c>
    </row>
    <row r="889" customFormat="false" ht="15" hidden="false" customHeight="false" outlineLevel="0" collapsed="false">
      <c r="B889" s="19" t="s">
        <v>26268</v>
      </c>
      <c r="C889" s="20" t="n">
        <f aca="false">ROUND(1/FX,2)</f>
        <v>0.14</v>
      </c>
      <c r="D889" s="21" t="s">
        <v>8668</v>
      </c>
      <c r="E889" s="21" t="s">
        <v>25531</v>
      </c>
      <c r="F889" s="21" t="s">
        <v>4721</v>
      </c>
      <c r="G889" s="21" t="s">
        <v>11407</v>
      </c>
    </row>
    <row r="890" customFormat="false" ht="15" hidden="false" customHeight="false" outlineLevel="0" collapsed="false">
      <c r="B890" s="19" t="s">
        <v>26269</v>
      </c>
      <c r="C890" s="20" t="n">
        <f aca="false">ROUND(1.01/FX,2)</f>
        <v>0.14</v>
      </c>
      <c r="D890" s="21" t="s">
        <v>8668</v>
      </c>
      <c r="E890" s="21" t="s">
        <v>25467</v>
      </c>
      <c r="F890" s="21" t="s">
        <v>3833</v>
      </c>
      <c r="G890" s="21" t="s">
        <v>11407</v>
      </c>
    </row>
    <row r="891" customFormat="false" ht="15" hidden="false" customHeight="false" outlineLevel="0" collapsed="false">
      <c r="B891" s="19" t="s">
        <v>26270</v>
      </c>
      <c r="C891" s="20" t="n">
        <f aca="false">ROUND(1.05/FX,2)</f>
        <v>0.15</v>
      </c>
      <c r="D891" s="21" t="s">
        <v>8668</v>
      </c>
      <c r="E891" s="21" t="s">
        <v>13974</v>
      </c>
      <c r="F891" s="21" t="s">
        <v>4000</v>
      </c>
      <c r="G891" s="21" t="s">
        <v>11407</v>
      </c>
    </row>
    <row r="892" customFormat="false" ht="15" hidden="false" customHeight="false" outlineLevel="0" collapsed="false">
      <c r="B892" s="19" t="s">
        <v>26271</v>
      </c>
      <c r="C892" s="20" t="n">
        <f aca="false">ROUND(1.01/FX,2)</f>
        <v>0.14</v>
      </c>
      <c r="D892" s="21" t="s">
        <v>8668</v>
      </c>
      <c r="E892" s="21" t="s">
        <v>13974</v>
      </c>
      <c r="F892" s="21" t="s">
        <v>3247</v>
      </c>
      <c r="G892" s="21" t="s">
        <v>11407</v>
      </c>
    </row>
    <row r="893" customFormat="false" ht="15" hidden="false" customHeight="false" outlineLevel="0" collapsed="false">
      <c r="B893" s="19" t="s">
        <v>26272</v>
      </c>
      <c r="C893" s="20" t="n">
        <f aca="false">ROUND(1/FX,2)</f>
        <v>0.14</v>
      </c>
      <c r="D893" s="21" t="s">
        <v>8668</v>
      </c>
      <c r="E893" s="21" t="s">
        <v>13981</v>
      </c>
      <c r="F893" s="21" t="s">
        <v>5097</v>
      </c>
      <c r="G893" s="21" t="s">
        <v>11407</v>
      </c>
    </row>
    <row r="894" customFormat="false" ht="15" hidden="false" customHeight="false" outlineLevel="0" collapsed="false">
      <c r="B894" s="19" t="s">
        <v>26273</v>
      </c>
      <c r="C894" s="20" t="n">
        <f aca="false">ROUND(1.05/FX,2)</f>
        <v>0.15</v>
      </c>
      <c r="D894" s="21" t="s">
        <v>8668</v>
      </c>
      <c r="E894" s="21" t="s">
        <v>13981</v>
      </c>
      <c r="F894" s="21" t="s">
        <v>3317</v>
      </c>
      <c r="G894" s="21" t="s">
        <v>11407</v>
      </c>
    </row>
    <row r="895" customFormat="false" ht="15" hidden="false" customHeight="false" outlineLevel="0" collapsed="false">
      <c r="B895" s="19" t="s">
        <v>26274</v>
      </c>
      <c r="C895" s="20" t="n">
        <f aca="false">ROUND(1.04/FX,2)</f>
        <v>0.14</v>
      </c>
      <c r="D895" s="21" t="s">
        <v>8668</v>
      </c>
      <c r="E895" s="21" t="s">
        <v>13981</v>
      </c>
      <c r="F895" s="21" t="s">
        <v>784</v>
      </c>
      <c r="G895" s="21" t="s">
        <v>11407</v>
      </c>
    </row>
    <row r="896" customFormat="false" ht="15" hidden="false" customHeight="false" outlineLevel="0" collapsed="false">
      <c r="B896" s="19" t="s">
        <v>26275</v>
      </c>
      <c r="C896" s="20" t="n">
        <f aca="false">ROUND(1/FX,2)</f>
        <v>0.14</v>
      </c>
      <c r="D896" s="21" t="s">
        <v>8668</v>
      </c>
      <c r="E896" s="21" t="s">
        <v>25462</v>
      </c>
      <c r="F896" s="21" t="s">
        <v>3328</v>
      </c>
      <c r="G896" s="21" t="s">
        <v>11407</v>
      </c>
    </row>
    <row r="897" customFormat="false" ht="15" hidden="false" customHeight="false" outlineLevel="0" collapsed="false">
      <c r="B897" s="19" t="s">
        <v>26276</v>
      </c>
      <c r="C897" s="20" t="n">
        <f aca="false">ROUND(1/FX,2)</f>
        <v>0.14</v>
      </c>
      <c r="D897" s="21" t="s">
        <v>8668</v>
      </c>
      <c r="E897" s="21" t="s">
        <v>26277</v>
      </c>
      <c r="F897" s="21" t="s">
        <v>841</v>
      </c>
      <c r="G897" s="21" t="s">
        <v>11407</v>
      </c>
    </row>
    <row r="898" customFormat="false" ht="15" hidden="false" customHeight="false" outlineLevel="0" collapsed="false">
      <c r="B898" s="19" t="s">
        <v>26278</v>
      </c>
      <c r="C898" s="20" t="n">
        <f aca="false">ROUND(1.11/FX,2)</f>
        <v>0.15</v>
      </c>
      <c r="D898" s="21" t="s">
        <v>8668</v>
      </c>
      <c r="E898" s="21" t="s">
        <v>13997</v>
      </c>
      <c r="F898" s="21" t="s">
        <v>6246</v>
      </c>
      <c r="G898" s="21" t="s">
        <v>11407</v>
      </c>
    </row>
    <row r="899" customFormat="false" ht="15" hidden="false" customHeight="false" outlineLevel="0" collapsed="false">
      <c r="B899" s="19" t="s">
        <v>26279</v>
      </c>
      <c r="C899" s="20" t="n">
        <f aca="false">ROUND(1.08/FX,2)</f>
        <v>0.15</v>
      </c>
      <c r="D899" s="21" t="s">
        <v>8668</v>
      </c>
      <c r="E899" s="21" t="s">
        <v>14056</v>
      </c>
      <c r="F899" s="21" t="s">
        <v>7358</v>
      </c>
      <c r="G899" s="21" t="s">
        <v>11407</v>
      </c>
    </row>
    <row r="900" customFormat="false" ht="15" hidden="false" customHeight="false" outlineLevel="0" collapsed="false">
      <c r="B900" s="19" t="s">
        <v>26280</v>
      </c>
      <c r="C900" s="20" t="n">
        <f aca="false">ROUND(1.03/FX,2)</f>
        <v>0.14</v>
      </c>
      <c r="D900" s="21" t="s">
        <v>8668</v>
      </c>
      <c r="E900" s="21" t="s">
        <v>25464</v>
      </c>
      <c r="F900" s="21" t="s">
        <v>789</v>
      </c>
      <c r="G900" s="21" t="s">
        <v>11407</v>
      </c>
    </row>
    <row r="901" customFormat="false" ht="15" hidden="false" customHeight="false" outlineLevel="0" collapsed="false">
      <c r="B901" s="19" t="s">
        <v>26281</v>
      </c>
      <c r="C901" s="20" t="n">
        <f aca="false">ROUND(1.04/FX,2)</f>
        <v>0.14</v>
      </c>
      <c r="D901" s="21" t="s">
        <v>8668</v>
      </c>
      <c r="E901" s="21" t="s">
        <v>13994</v>
      </c>
      <c r="F901" s="21" t="s">
        <v>2911</v>
      </c>
      <c r="G901" s="21" t="s">
        <v>11407</v>
      </c>
    </row>
    <row r="902" customFormat="false" ht="15" hidden="false" customHeight="false" outlineLevel="0" collapsed="false">
      <c r="B902" s="19" t="s">
        <v>26282</v>
      </c>
      <c r="C902" s="20" t="n">
        <f aca="false">ROUND(0.22/FX,2)</f>
        <v>0.03</v>
      </c>
      <c r="D902" s="21" t="s">
        <v>8668</v>
      </c>
      <c r="E902" s="21" t="s">
        <v>13997</v>
      </c>
      <c r="F902" s="21" t="s">
        <v>716</v>
      </c>
      <c r="G902" s="21" t="s">
        <v>11407</v>
      </c>
    </row>
    <row r="903" customFormat="false" ht="15" hidden="false" customHeight="false" outlineLevel="0" collapsed="false">
      <c r="B903" s="19" t="s">
        <v>26283</v>
      </c>
      <c r="C903" s="20" t="n">
        <f aca="false">ROUND(1.04/FX,2)</f>
        <v>0.14</v>
      </c>
      <c r="D903" s="21" t="s">
        <v>8668</v>
      </c>
      <c r="E903" s="21" t="s">
        <v>21725</v>
      </c>
      <c r="F903" s="21" t="s">
        <v>847</v>
      </c>
      <c r="G903" s="21" t="s">
        <v>11407</v>
      </c>
    </row>
    <row r="904" customFormat="false" ht="15" hidden="false" customHeight="false" outlineLevel="0" collapsed="false">
      <c r="B904" s="19" t="s">
        <v>26284</v>
      </c>
      <c r="C904" s="20" t="n">
        <f aca="false">ROUND(0.21/FX,2)</f>
        <v>0.03</v>
      </c>
      <c r="D904" s="21" t="s">
        <v>8668</v>
      </c>
      <c r="E904" s="21" t="s">
        <v>13743</v>
      </c>
      <c r="F904" s="21" t="s">
        <v>707</v>
      </c>
      <c r="G904" s="21" t="s">
        <v>11409</v>
      </c>
    </row>
    <row r="905" customFormat="false" ht="15" hidden="false" customHeight="false" outlineLevel="0" collapsed="false">
      <c r="B905" s="19" t="s">
        <v>26285</v>
      </c>
      <c r="C905" s="20" t="n">
        <f aca="false">ROUND(1/FX,2)</f>
        <v>0.14</v>
      </c>
      <c r="D905" s="21" t="s">
        <v>724</v>
      </c>
      <c r="E905" s="21" t="s">
        <v>21722</v>
      </c>
      <c r="F905" s="21" t="s">
        <v>761</v>
      </c>
      <c r="G905" s="21" t="s">
        <v>11409</v>
      </c>
    </row>
    <row r="906" customFormat="false" ht="15" hidden="false" customHeight="false" outlineLevel="0" collapsed="false">
      <c r="B906" s="19" t="s">
        <v>26286</v>
      </c>
      <c r="C906" s="20" t="n">
        <f aca="false">ROUND(4.59/FX,2)</f>
        <v>0.64</v>
      </c>
      <c r="D906" s="21" t="s">
        <v>8668</v>
      </c>
      <c r="E906" s="21" t="s">
        <v>23567</v>
      </c>
      <c r="F906" s="21" t="s">
        <v>761</v>
      </c>
      <c r="G906" s="21" t="s">
        <v>11409</v>
      </c>
    </row>
    <row r="907" customFormat="false" ht="15" hidden="false" customHeight="false" outlineLevel="0" collapsed="false">
      <c r="B907" s="19" t="s">
        <v>26287</v>
      </c>
      <c r="C907" s="20" t="n">
        <f aca="false">ROUND(1.05/FX,2)</f>
        <v>0.15</v>
      </c>
      <c r="D907" s="21" t="s">
        <v>8668</v>
      </c>
      <c r="E907" s="21" t="s">
        <v>25459</v>
      </c>
      <c r="F907" s="21" t="s">
        <v>4721</v>
      </c>
      <c r="G907" s="21" t="s">
        <v>11409</v>
      </c>
    </row>
    <row r="908" customFormat="false" ht="15" hidden="false" customHeight="false" outlineLevel="0" collapsed="false">
      <c r="B908" s="19" t="s">
        <v>26288</v>
      </c>
      <c r="C908" s="20" t="n">
        <f aca="false">ROUND(1.02/FX,2)</f>
        <v>0.14</v>
      </c>
      <c r="D908" s="21" t="s">
        <v>8668</v>
      </c>
      <c r="E908" s="21" t="s">
        <v>25471</v>
      </c>
      <c r="F908" s="21" t="s">
        <v>3833</v>
      </c>
      <c r="G908" s="21" t="s">
        <v>11409</v>
      </c>
    </row>
    <row r="909" customFormat="false" ht="15" hidden="false" customHeight="false" outlineLevel="0" collapsed="false">
      <c r="B909" s="19" t="s">
        <v>26289</v>
      </c>
      <c r="C909" s="20" t="n">
        <f aca="false">ROUND(1.08/FX,2)</f>
        <v>0.15</v>
      </c>
      <c r="D909" s="21" t="s">
        <v>8668</v>
      </c>
      <c r="E909" s="21" t="s">
        <v>13978</v>
      </c>
      <c r="F909" s="21" t="s">
        <v>4000</v>
      </c>
      <c r="G909" s="21" t="s">
        <v>11409</v>
      </c>
    </row>
    <row r="910" customFormat="false" ht="15" hidden="false" customHeight="false" outlineLevel="0" collapsed="false">
      <c r="B910" s="19" t="s">
        <v>26290</v>
      </c>
      <c r="C910" s="20" t="n">
        <f aca="false">ROUND(1.02/FX,2)</f>
        <v>0.14</v>
      </c>
      <c r="D910" s="21" t="s">
        <v>8668</v>
      </c>
      <c r="E910" s="21" t="s">
        <v>25462</v>
      </c>
      <c r="F910" s="21" t="s">
        <v>3247</v>
      </c>
      <c r="G910" s="21" t="s">
        <v>11409</v>
      </c>
    </row>
    <row r="911" customFormat="false" ht="15" hidden="false" customHeight="false" outlineLevel="0" collapsed="false">
      <c r="B911" s="19" t="s">
        <v>26291</v>
      </c>
      <c r="C911" s="20" t="n">
        <f aca="false">ROUND(1.09/FX,2)</f>
        <v>0.15</v>
      </c>
      <c r="D911" s="21" t="s">
        <v>8668</v>
      </c>
      <c r="E911" s="21" t="s">
        <v>13988</v>
      </c>
      <c r="F911" s="21" t="s">
        <v>5097</v>
      </c>
      <c r="G911" s="21" t="s">
        <v>11409</v>
      </c>
    </row>
    <row r="912" customFormat="false" ht="15" hidden="false" customHeight="false" outlineLevel="0" collapsed="false">
      <c r="B912" s="19" t="s">
        <v>26292</v>
      </c>
      <c r="C912" s="20" t="n">
        <f aca="false">ROUND(1.04/FX,2)</f>
        <v>0.14</v>
      </c>
      <c r="D912" s="21" t="s">
        <v>724</v>
      </c>
      <c r="E912" s="21" t="s">
        <v>14056</v>
      </c>
      <c r="F912" s="21" t="s">
        <v>3317</v>
      </c>
      <c r="G912" s="21" t="s">
        <v>11409</v>
      </c>
    </row>
    <row r="913" customFormat="false" ht="15" hidden="false" customHeight="false" outlineLevel="0" collapsed="false">
      <c r="B913" s="19" t="s">
        <v>26293</v>
      </c>
      <c r="C913" s="20" t="n">
        <f aca="false">ROUND(1.05/FX,2)</f>
        <v>0.15</v>
      </c>
      <c r="D913" s="21" t="s">
        <v>8668</v>
      </c>
      <c r="E913" s="21" t="s">
        <v>13988</v>
      </c>
      <c r="F913" s="21" t="s">
        <v>3317</v>
      </c>
      <c r="G913" s="21" t="s">
        <v>11409</v>
      </c>
    </row>
    <row r="914" customFormat="false" ht="15" hidden="false" customHeight="false" outlineLevel="0" collapsed="false">
      <c r="B914" s="19" t="s">
        <v>26294</v>
      </c>
      <c r="C914" s="20" t="n">
        <f aca="false">ROUND(1.04/FX,2)</f>
        <v>0.14</v>
      </c>
      <c r="D914" s="21" t="s">
        <v>8668</v>
      </c>
      <c r="E914" s="21" t="s">
        <v>13997</v>
      </c>
      <c r="F914" s="21" t="s">
        <v>784</v>
      </c>
      <c r="G914" s="21" t="s">
        <v>11409</v>
      </c>
    </row>
    <row r="915" customFormat="false" ht="15" hidden="false" customHeight="false" outlineLevel="0" collapsed="false">
      <c r="B915" s="19" t="s">
        <v>26295</v>
      </c>
      <c r="C915" s="20" t="n">
        <f aca="false">ROUND(1.09/FX,2)</f>
        <v>0.15</v>
      </c>
      <c r="D915" s="21" t="s">
        <v>8668</v>
      </c>
      <c r="E915" s="21" t="s">
        <v>14056</v>
      </c>
      <c r="F915" s="21" t="s">
        <v>3328</v>
      </c>
      <c r="G915" s="21" t="s">
        <v>11409</v>
      </c>
    </row>
    <row r="916" customFormat="false" ht="15" hidden="false" customHeight="false" outlineLevel="0" collapsed="false">
      <c r="B916" s="19" t="s">
        <v>26296</v>
      </c>
      <c r="C916" s="20" t="n">
        <f aca="false">ROUND(1.17/FX,2)</f>
        <v>0.16</v>
      </c>
      <c r="D916" s="21" t="s">
        <v>724</v>
      </c>
      <c r="E916" s="21" t="s">
        <v>14007</v>
      </c>
      <c r="F916" s="21" t="s">
        <v>6246</v>
      </c>
      <c r="G916" s="21" t="s">
        <v>11409</v>
      </c>
    </row>
    <row r="917" customFormat="false" ht="15" hidden="false" customHeight="false" outlineLevel="0" collapsed="false">
      <c r="B917" s="19" t="s">
        <v>26297</v>
      </c>
      <c r="C917" s="20" t="n">
        <f aca="false">ROUND(1.07/FX,2)</f>
        <v>0.15</v>
      </c>
      <c r="D917" s="21" t="s">
        <v>8668</v>
      </c>
      <c r="E917" s="21" t="s">
        <v>13994</v>
      </c>
      <c r="F917" s="21" t="s">
        <v>6246</v>
      </c>
      <c r="G917" s="21" t="s">
        <v>11409</v>
      </c>
    </row>
    <row r="918" customFormat="false" ht="15" hidden="false" customHeight="false" outlineLevel="0" collapsed="false">
      <c r="B918" s="19" t="s">
        <v>26298</v>
      </c>
      <c r="C918" s="20" t="n">
        <f aca="false">ROUND(1.05/FX,2)</f>
        <v>0.15</v>
      </c>
      <c r="D918" s="21" t="s">
        <v>8668</v>
      </c>
      <c r="E918" s="21" t="s">
        <v>14007</v>
      </c>
      <c r="F918" s="21" t="s">
        <v>7358</v>
      </c>
      <c r="G918" s="21" t="s">
        <v>11409</v>
      </c>
    </row>
    <row r="919" customFormat="false" ht="15" hidden="false" customHeight="false" outlineLevel="0" collapsed="false">
      <c r="B919" s="19" t="s">
        <v>26299</v>
      </c>
      <c r="C919" s="20" t="n">
        <f aca="false">ROUND(1.17/FX,2)</f>
        <v>0.16</v>
      </c>
      <c r="D919" s="21" t="s">
        <v>8668</v>
      </c>
      <c r="E919" s="21" t="s">
        <v>14007</v>
      </c>
      <c r="F919" s="21" t="s">
        <v>2911</v>
      </c>
      <c r="G919" s="21" t="s">
        <v>11409</v>
      </c>
    </row>
    <row r="920" customFormat="false" ht="15" hidden="false" customHeight="false" outlineLevel="0" collapsed="false">
      <c r="B920" s="19" t="s">
        <v>26300</v>
      </c>
      <c r="C920" s="20" t="n">
        <f aca="false">ROUND(1.14/FX,2)</f>
        <v>0.16</v>
      </c>
      <c r="D920" s="21" t="s">
        <v>8668</v>
      </c>
      <c r="E920" s="21" t="s">
        <v>13743</v>
      </c>
      <c r="F920" s="21" t="s">
        <v>7275</v>
      </c>
      <c r="G920" s="21" t="s">
        <v>11409</v>
      </c>
    </row>
    <row r="921" customFormat="false" ht="15" hidden="false" customHeight="false" outlineLevel="0" collapsed="false">
      <c r="B921" s="19" t="s">
        <v>26301</v>
      </c>
      <c r="C921" s="20" t="n">
        <f aca="false">ROUND(1.04/FX,2)</f>
        <v>0.14</v>
      </c>
      <c r="D921" s="21" t="s">
        <v>8668</v>
      </c>
      <c r="E921" s="21" t="s">
        <v>25531</v>
      </c>
      <c r="F921" s="21" t="s">
        <v>716</v>
      </c>
      <c r="G921" s="21" t="s">
        <v>11409</v>
      </c>
    </row>
    <row r="922" customFormat="false" ht="15" hidden="false" customHeight="false" outlineLevel="0" collapsed="false">
      <c r="B922" s="19" t="s">
        <v>26302</v>
      </c>
      <c r="C922" s="20" t="n">
        <f aca="false">ROUND(1.24/FX,2)</f>
        <v>0.17</v>
      </c>
      <c r="D922" s="21" t="s">
        <v>8668</v>
      </c>
      <c r="E922" s="21" t="s">
        <v>13743</v>
      </c>
      <c r="F922" s="21" t="s">
        <v>2961</v>
      </c>
      <c r="G922" s="21" t="s">
        <v>11409</v>
      </c>
    </row>
    <row r="923" customFormat="false" ht="15" hidden="false" customHeight="false" outlineLevel="0" collapsed="false">
      <c r="B923" s="19" t="s">
        <v>26303</v>
      </c>
      <c r="C923" s="20" t="n">
        <f aca="false">ROUND(1.23/FX,2)</f>
        <v>0.17</v>
      </c>
      <c r="D923" s="21" t="s">
        <v>8668</v>
      </c>
      <c r="E923" s="21" t="s">
        <v>14013</v>
      </c>
      <c r="F923" s="21" t="s">
        <v>3011</v>
      </c>
      <c r="G923" s="21" t="s">
        <v>11409</v>
      </c>
    </row>
    <row r="924" customFormat="false" ht="15" hidden="false" customHeight="false" outlineLevel="0" collapsed="false">
      <c r="B924" s="19" t="s">
        <v>26304</v>
      </c>
      <c r="C924" s="20" t="n">
        <f aca="false">ROUND(0.39/FX,2)</f>
        <v>0.05</v>
      </c>
      <c r="D924" s="21" t="s">
        <v>8668</v>
      </c>
      <c r="E924" s="21" t="s">
        <v>13997</v>
      </c>
      <c r="F924" s="21" t="s">
        <v>847</v>
      </c>
      <c r="G924" s="21" t="s">
        <v>11409</v>
      </c>
    </row>
    <row r="925" customFormat="false" ht="15" hidden="false" customHeight="false" outlineLevel="0" collapsed="false">
      <c r="B925" s="19" t="s">
        <v>26305</v>
      </c>
      <c r="C925" s="20" t="n">
        <f aca="false">ROUND(1.05/FX,2)</f>
        <v>0.15</v>
      </c>
      <c r="D925" s="21" t="s">
        <v>8668</v>
      </c>
      <c r="E925" s="21" t="s">
        <v>13751</v>
      </c>
      <c r="F925" s="21" t="s">
        <v>3061</v>
      </c>
      <c r="G925" s="21" t="s">
        <v>11409</v>
      </c>
    </row>
    <row r="926" customFormat="false" ht="15" hidden="false" customHeight="false" outlineLevel="0" collapsed="false">
      <c r="B926" s="19" t="s">
        <v>26306</v>
      </c>
      <c r="C926" s="20" t="n">
        <f aca="false">ROUND(0.66/FX,2)</f>
        <v>0.09</v>
      </c>
      <c r="D926" s="21" t="s">
        <v>8668</v>
      </c>
      <c r="E926" s="21" t="s">
        <v>13997</v>
      </c>
      <c r="F926" s="21" t="s">
        <v>707</v>
      </c>
      <c r="G926" s="21" t="s">
        <v>11411</v>
      </c>
    </row>
    <row r="927" customFormat="false" ht="15" hidden="false" customHeight="false" outlineLevel="0" collapsed="false">
      <c r="B927" s="19" t="s">
        <v>26307</v>
      </c>
      <c r="C927" s="20" t="n">
        <f aca="false">ROUND(1.33/FX,2)</f>
        <v>0.18</v>
      </c>
      <c r="D927" s="21" t="s">
        <v>8668</v>
      </c>
      <c r="E927" s="21" t="s">
        <v>13739</v>
      </c>
      <c r="F927" s="21" t="s">
        <v>2600</v>
      </c>
      <c r="G927" s="21" t="s">
        <v>11411</v>
      </c>
    </row>
    <row r="928" customFormat="false" ht="15" hidden="false" customHeight="false" outlineLevel="0" collapsed="false">
      <c r="B928" s="19" t="s">
        <v>26308</v>
      </c>
      <c r="C928" s="20" t="n">
        <f aca="false">ROUND(1.03/FX,2)</f>
        <v>0.14</v>
      </c>
      <c r="D928" s="21" t="s">
        <v>8668</v>
      </c>
      <c r="E928" s="21" t="s">
        <v>25462</v>
      </c>
      <c r="F928" s="21" t="s">
        <v>761</v>
      </c>
      <c r="G928" s="21" t="s">
        <v>11411</v>
      </c>
    </row>
    <row r="929" customFormat="false" ht="15" hidden="false" customHeight="false" outlineLevel="0" collapsed="false">
      <c r="B929" s="19" t="s">
        <v>26309</v>
      </c>
      <c r="C929" s="20" t="n">
        <f aca="false">ROUND(1/FX,2)</f>
        <v>0.14</v>
      </c>
      <c r="D929" s="21" t="s">
        <v>8668</v>
      </c>
      <c r="E929" s="21" t="s">
        <v>13988</v>
      </c>
      <c r="F929" s="21" t="s">
        <v>4721</v>
      </c>
      <c r="G929" s="21" t="s">
        <v>11411</v>
      </c>
    </row>
    <row r="930" customFormat="false" ht="15" hidden="false" customHeight="false" outlineLevel="0" collapsed="false">
      <c r="B930" s="19" t="s">
        <v>26310</v>
      </c>
      <c r="C930" s="20" t="n">
        <f aca="false">ROUND(1/FX,2)</f>
        <v>0.14</v>
      </c>
      <c r="D930" s="21" t="s">
        <v>8668</v>
      </c>
      <c r="E930" s="21" t="s">
        <v>13997</v>
      </c>
      <c r="F930" s="21" t="s">
        <v>3833</v>
      </c>
      <c r="G930" s="21" t="s">
        <v>11411</v>
      </c>
    </row>
    <row r="931" customFormat="false" ht="15" hidden="false" customHeight="false" outlineLevel="0" collapsed="false">
      <c r="B931" s="19" t="s">
        <v>26311</v>
      </c>
      <c r="C931" s="20" t="n">
        <f aca="false">ROUND(1.04/FX,2)</f>
        <v>0.14</v>
      </c>
      <c r="D931" s="21" t="s">
        <v>8668</v>
      </c>
      <c r="E931" s="21" t="s">
        <v>13997</v>
      </c>
      <c r="F931" s="21" t="s">
        <v>4000</v>
      </c>
      <c r="G931" s="21" t="s">
        <v>11411</v>
      </c>
    </row>
    <row r="932" customFormat="false" ht="15" hidden="false" customHeight="false" outlineLevel="0" collapsed="false">
      <c r="B932" s="19" t="s">
        <v>26312</v>
      </c>
      <c r="C932" s="20" t="n">
        <f aca="false">ROUND(1.02/FX,2)</f>
        <v>0.14</v>
      </c>
      <c r="D932" s="21" t="s">
        <v>8668</v>
      </c>
      <c r="E932" s="21" t="s">
        <v>14016</v>
      </c>
      <c r="F932" s="21" t="s">
        <v>3247</v>
      </c>
      <c r="G932" s="21" t="s">
        <v>11411</v>
      </c>
    </row>
    <row r="933" customFormat="false" ht="15" hidden="false" customHeight="false" outlineLevel="0" collapsed="false">
      <c r="B933" s="19" t="s">
        <v>26313</v>
      </c>
      <c r="C933" s="20" t="n">
        <f aca="false">ROUND(1.11/FX,2)</f>
        <v>0.15</v>
      </c>
      <c r="D933" s="21" t="s">
        <v>8668</v>
      </c>
      <c r="E933" s="21" t="s">
        <v>14016</v>
      </c>
      <c r="F933" s="21" t="s">
        <v>5097</v>
      </c>
      <c r="G933" s="21" t="s">
        <v>11411</v>
      </c>
    </row>
    <row r="934" customFormat="false" ht="15" hidden="false" customHeight="false" outlineLevel="0" collapsed="false">
      <c r="B934" s="19" t="s">
        <v>26314</v>
      </c>
      <c r="C934" s="20" t="n">
        <f aca="false">ROUND(1.17/FX,2)</f>
        <v>0.16</v>
      </c>
      <c r="D934" s="21" t="s">
        <v>724</v>
      </c>
      <c r="E934" s="21" t="s">
        <v>14007</v>
      </c>
      <c r="F934" s="21" t="s">
        <v>3317</v>
      </c>
      <c r="G934" s="21" t="s">
        <v>11411</v>
      </c>
    </row>
    <row r="935" customFormat="false" ht="15" hidden="false" customHeight="false" outlineLevel="0" collapsed="false">
      <c r="B935" s="19" t="s">
        <v>26315</v>
      </c>
      <c r="C935" s="20" t="n">
        <f aca="false">ROUND(1/FX,2)</f>
        <v>0.14</v>
      </c>
      <c r="D935" s="21" t="s">
        <v>8668</v>
      </c>
      <c r="E935" s="21" t="s">
        <v>13994</v>
      </c>
      <c r="F935" s="21" t="s">
        <v>3317</v>
      </c>
      <c r="G935" s="21" t="s">
        <v>11411</v>
      </c>
    </row>
    <row r="936" customFormat="false" ht="15" hidden="false" customHeight="false" outlineLevel="0" collapsed="false">
      <c r="B936" s="19" t="s">
        <v>26316</v>
      </c>
      <c r="C936" s="20" t="n">
        <f aca="false">ROUND(1.17/FX,2)</f>
        <v>0.16</v>
      </c>
      <c r="D936" s="21" t="s">
        <v>724</v>
      </c>
      <c r="E936" s="21" t="s">
        <v>13743</v>
      </c>
      <c r="F936" s="21" t="s">
        <v>784</v>
      </c>
      <c r="G936" s="21" t="s">
        <v>11411</v>
      </c>
    </row>
    <row r="937" customFormat="false" ht="15" hidden="false" customHeight="false" outlineLevel="0" collapsed="false">
      <c r="B937" s="19" t="s">
        <v>26317</v>
      </c>
      <c r="C937" s="20" t="n">
        <f aca="false">ROUND(0.13/FX,2)</f>
        <v>0.02</v>
      </c>
      <c r="D937" s="21" t="s">
        <v>8668</v>
      </c>
      <c r="E937" s="21" t="s">
        <v>13732</v>
      </c>
      <c r="F937" s="21" t="s">
        <v>784</v>
      </c>
      <c r="G937" s="21" t="s">
        <v>11411</v>
      </c>
    </row>
    <row r="938" customFormat="false" ht="15" hidden="false" customHeight="false" outlineLevel="0" collapsed="false">
      <c r="B938" s="19" t="s">
        <v>26318</v>
      </c>
      <c r="C938" s="20" t="n">
        <f aca="false">ROUND(1.42/FX,2)</f>
        <v>0.2</v>
      </c>
      <c r="D938" s="21" t="s">
        <v>8668</v>
      </c>
      <c r="E938" s="21" t="s">
        <v>14007</v>
      </c>
      <c r="F938" s="21" t="s">
        <v>3328</v>
      </c>
      <c r="G938" s="21" t="s">
        <v>11411</v>
      </c>
    </row>
    <row r="939" customFormat="false" ht="15" hidden="false" customHeight="false" outlineLevel="0" collapsed="false">
      <c r="B939" s="19" t="s">
        <v>26319</v>
      </c>
      <c r="C939" s="20" t="n">
        <f aca="false">ROUND(1.42/FX,2)</f>
        <v>0.2</v>
      </c>
      <c r="D939" s="21" t="s">
        <v>8668</v>
      </c>
      <c r="E939" s="21" t="s">
        <v>14007</v>
      </c>
      <c r="F939" s="21" t="s">
        <v>6246</v>
      </c>
      <c r="G939" s="21" t="s">
        <v>11411</v>
      </c>
    </row>
    <row r="940" customFormat="false" ht="15" hidden="false" customHeight="false" outlineLevel="0" collapsed="false">
      <c r="B940" s="19" t="s">
        <v>26320</v>
      </c>
      <c r="C940" s="20" t="n">
        <f aca="false">ROUND(1.17/FX,2)</f>
        <v>0.16</v>
      </c>
      <c r="D940" s="21" t="s">
        <v>8668</v>
      </c>
      <c r="E940" s="21" t="s">
        <v>13743</v>
      </c>
      <c r="F940" s="21" t="s">
        <v>7358</v>
      </c>
      <c r="G940" s="21" t="s">
        <v>11411</v>
      </c>
    </row>
    <row r="941" customFormat="false" ht="15" hidden="false" customHeight="false" outlineLevel="0" collapsed="false">
      <c r="B941" s="19" t="s">
        <v>26321</v>
      </c>
      <c r="C941" s="20" t="n">
        <f aca="false">ROUND(1.11/FX,2)</f>
        <v>0.15</v>
      </c>
      <c r="D941" s="21" t="s">
        <v>8668</v>
      </c>
      <c r="E941" s="21" t="s">
        <v>13743</v>
      </c>
      <c r="F941" s="21" t="s">
        <v>2911</v>
      </c>
      <c r="G941" s="21" t="s">
        <v>11411</v>
      </c>
    </row>
    <row r="942" customFormat="false" ht="15" hidden="false" customHeight="false" outlineLevel="0" collapsed="false">
      <c r="B942" s="19" t="s">
        <v>26322</v>
      </c>
      <c r="C942" s="20" t="n">
        <f aca="false">ROUND(1.04/FX,2)</f>
        <v>0.14</v>
      </c>
      <c r="D942" s="21" t="s">
        <v>8668</v>
      </c>
      <c r="E942" s="21" t="s">
        <v>14013</v>
      </c>
      <c r="F942" s="21" t="s">
        <v>7275</v>
      </c>
      <c r="G942" s="21" t="s">
        <v>11411</v>
      </c>
    </row>
    <row r="943" customFormat="false" ht="15" hidden="false" customHeight="false" outlineLevel="0" collapsed="false">
      <c r="B943" s="19" t="s">
        <v>26323</v>
      </c>
      <c r="C943" s="20" t="n">
        <f aca="false">ROUND(1.02/FX,2)</f>
        <v>0.14</v>
      </c>
      <c r="D943" s="21" t="s">
        <v>724</v>
      </c>
      <c r="E943" s="21" t="s">
        <v>13997</v>
      </c>
      <c r="F943" s="21" t="s">
        <v>716</v>
      </c>
      <c r="G943" s="21" t="s">
        <v>11411</v>
      </c>
    </row>
    <row r="944" customFormat="false" ht="15" hidden="false" customHeight="false" outlineLevel="0" collapsed="false">
      <c r="B944" s="19" t="s">
        <v>26324</v>
      </c>
      <c r="C944" s="20" t="n">
        <f aca="false">ROUND(0.6/FX,2)</f>
        <v>0.08</v>
      </c>
      <c r="D944" s="21" t="s">
        <v>8668</v>
      </c>
      <c r="E944" s="21" t="s">
        <v>13997</v>
      </c>
      <c r="F944" s="21" t="s">
        <v>716</v>
      </c>
      <c r="G944" s="21" t="s">
        <v>11411</v>
      </c>
    </row>
    <row r="945" customFormat="false" ht="15" hidden="false" customHeight="false" outlineLevel="0" collapsed="false">
      <c r="B945" s="19" t="s">
        <v>26325</v>
      </c>
      <c r="C945" s="20" t="n">
        <f aca="false">ROUND(1.13/FX,2)</f>
        <v>0.16</v>
      </c>
      <c r="D945" s="21" t="s">
        <v>8668</v>
      </c>
      <c r="E945" s="21" t="s">
        <v>14013</v>
      </c>
      <c r="F945" s="21" t="s">
        <v>2961</v>
      </c>
      <c r="G945" s="21" t="s">
        <v>11411</v>
      </c>
    </row>
    <row r="946" customFormat="false" ht="15" hidden="false" customHeight="false" outlineLevel="0" collapsed="false">
      <c r="B946" s="19" t="s">
        <v>26326</v>
      </c>
      <c r="C946" s="20" t="n">
        <f aca="false">ROUND(0.3/FX,2)</f>
        <v>0.04</v>
      </c>
      <c r="D946" s="21" t="s">
        <v>8668</v>
      </c>
      <c r="E946" s="21" t="s">
        <v>13732</v>
      </c>
      <c r="F946" s="21" t="s">
        <v>13817</v>
      </c>
      <c r="G946" s="21" t="s">
        <v>11411</v>
      </c>
    </row>
    <row r="947" customFormat="false" ht="15" hidden="false" customHeight="false" outlineLevel="0" collapsed="false">
      <c r="B947" s="19" t="s">
        <v>26327</v>
      </c>
      <c r="C947" s="20" t="n">
        <f aca="false">ROUND(1.04/FX,2)</f>
        <v>0.14</v>
      </c>
      <c r="D947" s="21" t="s">
        <v>8668</v>
      </c>
      <c r="E947" s="21" t="s">
        <v>13751</v>
      </c>
      <c r="F947" s="21" t="s">
        <v>3011</v>
      </c>
      <c r="G947" s="21" t="s">
        <v>11411</v>
      </c>
    </row>
    <row r="948" customFormat="false" ht="15" hidden="false" customHeight="false" outlineLevel="0" collapsed="false">
      <c r="B948" s="19" t="s">
        <v>26328</v>
      </c>
      <c r="C948" s="20" t="n">
        <f aca="false">ROUND(1.13/FX,2)</f>
        <v>0.16</v>
      </c>
      <c r="D948" s="21" t="s">
        <v>8668</v>
      </c>
      <c r="E948" s="21" t="s">
        <v>13751</v>
      </c>
      <c r="F948" s="21" t="s">
        <v>7396</v>
      </c>
      <c r="G948" s="21" t="s">
        <v>11411</v>
      </c>
    </row>
    <row r="949" customFormat="false" ht="15" hidden="false" customHeight="false" outlineLevel="0" collapsed="false">
      <c r="B949" s="19" t="s">
        <v>26329</v>
      </c>
      <c r="C949" s="20" t="n">
        <f aca="false">ROUND(0.57/FX,2)</f>
        <v>0.08</v>
      </c>
      <c r="D949" s="21" t="s">
        <v>8668</v>
      </c>
      <c r="E949" s="21" t="s">
        <v>13997</v>
      </c>
      <c r="F949" s="21" t="s">
        <v>847</v>
      </c>
      <c r="G949" s="21" t="s">
        <v>11411</v>
      </c>
    </row>
    <row r="950" customFormat="false" ht="15" hidden="false" customHeight="false" outlineLevel="0" collapsed="false">
      <c r="B950" s="19" t="s">
        <v>26330</v>
      </c>
      <c r="C950" s="20" t="n">
        <f aca="false">ROUND(1.18/FX,2)</f>
        <v>0.16</v>
      </c>
      <c r="D950" s="21" t="s">
        <v>8668</v>
      </c>
      <c r="E950" s="21" t="s">
        <v>13751</v>
      </c>
      <c r="F950" s="21" t="s">
        <v>3061</v>
      </c>
      <c r="G950" s="21" t="s">
        <v>11411</v>
      </c>
    </row>
    <row r="951" customFormat="false" ht="15" hidden="false" customHeight="false" outlineLevel="0" collapsed="false">
      <c r="B951" s="19" t="s">
        <v>26331</v>
      </c>
      <c r="C951" s="20" t="n">
        <f aca="false">ROUND(1.19/FX,2)</f>
        <v>0.17</v>
      </c>
      <c r="D951" s="21" t="s">
        <v>8668</v>
      </c>
      <c r="E951" s="21" t="s">
        <v>13739</v>
      </c>
      <c r="F951" s="21" t="s">
        <v>3111</v>
      </c>
      <c r="G951" s="21" t="s">
        <v>11411</v>
      </c>
    </row>
    <row r="952" customFormat="false" ht="15" hidden="false" customHeight="false" outlineLevel="0" collapsed="false">
      <c r="B952" s="19" t="s">
        <v>26332</v>
      </c>
      <c r="C952" s="20" t="n">
        <f aca="false">ROUND(1/FX,2)</f>
        <v>0.14</v>
      </c>
      <c r="D952" s="21" t="s">
        <v>8668</v>
      </c>
      <c r="E952" s="21" t="s">
        <v>13988</v>
      </c>
      <c r="F952" s="21" t="s">
        <v>707</v>
      </c>
      <c r="G952" s="21" t="s">
        <v>11413</v>
      </c>
    </row>
    <row r="953" customFormat="false" ht="15" hidden="false" customHeight="false" outlineLevel="0" collapsed="false">
      <c r="B953" s="19" t="s">
        <v>26333</v>
      </c>
      <c r="C953" s="20" t="n">
        <f aca="false">ROUND(1.65/FX,2)</f>
        <v>0.23</v>
      </c>
      <c r="D953" s="21" t="s">
        <v>8668</v>
      </c>
      <c r="E953" s="21" t="s">
        <v>13739</v>
      </c>
      <c r="F953" s="21" t="s">
        <v>2600</v>
      </c>
      <c r="G953" s="21" t="s">
        <v>11413</v>
      </c>
    </row>
    <row r="954" customFormat="false" ht="15" hidden="false" customHeight="false" outlineLevel="0" collapsed="false">
      <c r="B954" s="19" t="s">
        <v>26334</v>
      </c>
      <c r="C954" s="20" t="n">
        <f aca="false">ROUND(1.04/FX,2)</f>
        <v>0.14</v>
      </c>
      <c r="D954" s="21" t="s">
        <v>8668</v>
      </c>
      <c r="E954" s="21" t="s">
        <v>13997</v>
      </c>
      <c r="F954" s="21" t="s">
        <v>761</v>
      </c>
      <c r="G954" s="21" t="s">
        <v>11413</v>
      </c>
    </row>
    <row r="955" customFormat="false" ht="15" hidden="false" customHeight="false" outlineLevel="0" collapsed="false">
      <c r="B955" s="19" t="s">
        <v>26335</v>
      </c>
      <c r="C955" s="20" t="n">
        <f aca="false">ROUND(1.1/FX,2)</f>
        <v>0.15</v>
      </c>
      <c r="D955" s="21" t="s">
        <v>8668</v>
      </c>
      <c r="E955" s="21" t="s">
        <v>14056</v>
      </c>
      <c r="F955" s="21" t="s">
        <v>4721</v>
      </c>
      <c r="G955" s="21" t="s">
        <v>11413</v>
      </c>
    </row>
    <row r="956" customFormat="false" ht="15" hidden="false" customHeight="false" outlineLevel="0" collapsed="false">
      <c r="B956" s="19" t="s">
        <v>26336</v>
      </c>
      <c r="C956" s="20" t="n">
        <f aca="false">ROUND(1.12/FX,2)</f>
        <v>0.16</v>
      </c>
      <c r="D956" s="21" t="s">
        <v>8668</v>
      </c>
      <c r="E956" s="21" t="s">
        <v>14016</v>
      </c>
      <c r="F956" s="21" t="s">
        <v>3833</v>
      </c>
      <c r="G956" s="21" t="s">
        <v>11413</v>
      </c>
    </row>
    <row r="957" customFormat="false" ht="15" hidden="false" customHeight="false" outlineLevel="0" collapsed="false">
      <c r="B957" s="19" t="s">
        <v>26337</v>
      </c>
      <c r="C957" s="20" t="n">
        <f aca="false">ROUND(1.15/FX,2)</f>
        <v>0.16</v>
      </c>
      <c r="D957" s="21" t="s">
        <v>8668</v>
      </c>
      <c r="E957" s="21" t="s">
        <v>13994</v>
      </c>
      <c r="F957" s="21" t="s">
        <v>4000</v>
      </c>
      <c r="G957" s="21" t="s">
        <v>11413</v>
      </c>
    </row>
    <row r="958" customFormat="false" ht="15" hidden="false" customHeight="false" outlineLevel="0" collapsed="false">
      <c r="B958" s="19" t="s">
        <v>26338</v>
      </c>
      <c r="C958" s="20" t="n">
        <f aca="false">ROUND(1/FX,2)</f>
        <v>0.14</v>
      </c>
      <c r="D958" s="21" t="s">
        <v>8668</v>
      </c>
      <c r="E958" s="21" t="s">
        <v>13994</v>
      </c>
      <c r="F958" s="21" t="s">
        <v>3247</v>
      </c>
      <c r="G958" s="21" t="s">
        <v>11413</v>
      </c>
    </row>
    <row r="959" customFormat="false" ht="15" hidden="false" customHeight="false" outlineLevel="0" collapsed="false">
      <c r="B959" s="19" t="s">
        <v>26339</v>
      </c>
      <c r="C959" s="20" t="n">
        <f aca="false">ROUND(1.01/FX,2)</f>
        <v>0.14</v>
      </c>
      <c r="D959" s="21" t="s">
        <v>8668</v>
      </c>
      <c r="E959" s="21" t="s">
        <v>14007</v>
      </c>
      <c r="F959" s="21" t="s">
        <v>3317</v>
      </c>
      <c r="G959" s="21" t="s">
        <v>11413</v>
      </c>
    </row>
    <row r="960" customFormat="false" ht="15" hidden="false" customHeight="false" outlineLevel="0" collapsed="false">
      <c r="B960" s="19" t="s">
        <v>26340</v>
      </c>
      <c r="C960" s="20" t="n">
        <f aca="false">ROUND(1.17/FX,2)</f>
        <v>0.16</v>
      </c>
      <c r="D960" s="21" t="s">
        <v>8668</v>
      </c>
      <c r="E960" s="21" t="s">
        <v>14007</v>
      </c>
      <c r="F960" s="21" t="s">
        <v>784</v>
      </c>
      <c r="G960" s="21" t="s">
        <v>11413</v>
      </c>
    </row>
    <row r="961" customFormat="false" ht="15" hidden="false" customHeight="false" outlineLevel="0" collapsed="false">
      <c r="B961" s="19" t="s">
        <v>26341</v>
      </c>
      <c r="C961" s="20" t="n">
        <f aca="false">ROUND(1.04/FX,2)</f>
        <v>0.14</v>
      </c>
      <c r="D961" s="21" t="s">
        <v>8668</v>
      </c>
      <c r="E961" s="21" t="s">
        <v>14013</v>
      </c>
      <c r="F961" s="21" t="s">
        <v>3328</v>
      </c>
      <c r="G961" s="21" t="s">
        <v>11413</v>
      </c>
    </row>
    <row r="962" customFormat="false" ht="15" hidden="false" customHeight="false" outlineLevel="0" collapsed="false">
      <c r="B962" s="19" t="s">
        <v>26342</v>
      </c>
      <c r="C962" s="20" t="n">
        <f aca="false">ROUND(1.15/FX,2)</f>
        <v>0.16</v>
      </c>
      <c r="D962" s="21" t="s">
        <v>8668</v>
      </c>
      <c r="E962" s="21" t="s">
        <v>14013</v>
      </c>
      <c r="F962" s="21" t="s">
        <v>6246</v>
      </c>
      <c r="G962" s="21" t="s">
        <v>11413</v>
      </c>
    </row>
    <row r="963" customFormat="false" ht="15" hidden="false" customHeight="false" outlineLevel="0" collapsed="false">
      <c r="B963" s="19" t="s">
        <v>26343</v>
      </c>
      <c r="C963" s="20" t="n">
        <f aca="false">ROUND(1.02/FX,2)</f>
        <v>0.14</v>
      </c>
      <c r="D963" s="21" t="s">
        <v>8668</v>
      </c>
      <c r="E963" s="21" t="s">
        <v>13751</v>
      </c>
      <c r="F963" s="21" t="s">
        <v>7358</v>
      </c>
      <c r="G963" s="21" t="s">
        <v>11413</v>
      </c>
    </row>
    <row r="964" customFormat="false" ht="15" hidden="false" customHeight="false" outlineLevel="0" collapsed="false">
      <c r="B964" s="19" t="s">
        <v>26344</v>
      </c>
      <c r="C964" s="20" t="n">
        <f aca="false">ROUND(1.12/FX,2)</f>
        <v>0.16</v>
      </c>
      <c r="D964" s="21" t="s">
        <v>8668</v>
      </c>
      <c r="E964" s="21" t="s">
        <v>13751</v>
      </c>
      <c r="F964" s="21" t="s">
        <v>2911</v>
      </c>
      <c r="G964" s="21" t="s">
        <v>11413</v>
      </c>
    </row>
    <row r="965" customFormat="false" ht="15" hidden="false" customHeight="false" outlineLevel="0" collapsed="false">
      <c r="B965" s="19" t="s">
        <v>26345</v>
      </c>
      <c r="C965" s="20" t="n">
        <f aca="false">ROUND(1.23/FX,2)</f>
        <v>0.17</v>
      </c>
      <c r="D965" s="21" t="s">
        <v>8668</v>
      </c>
      <c r="E965" s="21" t="s">
        <v>13751</v>
      </c>
      <c r="F965" s="21" t="s">
        <v>7275</v>
      </c>
      <c r="G965" s="21" t="s">
        <v>11413</v>
      </c>
    </row>
    <row r="966" customFormat="false" ht="15" hidden="false" customHeight="false" outlineLevel="0" collapsed="false">
      <c r="B966" s="19" t="s">
        <v>26346</v>
      </c>
      <c r="C966" s="20" t="n">
        <f aca="false">ROUND(0.2/FX,2)</f>
        <v>0.03</v>
      </c>
      <c r="D966" s="21" t="s">
        <v>8668</v>
      </c>
      <c r="E966" s="21" t="s">
        <v>13732</v>
      </c>
      <c r="F966" s="21" t="s">
        <v>716</v>
      </c>
      <c r="G966" s="21" t="s">
        <v>11413</v>
      </c>
    </row>
    <row r="967" customFormat="false" ht="15" hidden="false" customHeight="false" outlineLevel="0" collapsed="false">
      <c r="B967" s="19" t="s">
        <v>26347</v>
      </c>
      <c r="C967" s="20" t="n">
        <f aca="false">ROUND(1.31/FX,2)</f>
        <v>0.18</v>
      </c>
      <c r="D967" s="21" t="s">
        <v>8668</v>
      </c>
      <c r="E967" s="21" t="s">
        <v>13751</v>
      </c>
      <c r="F967" s="21" t="s">
        <v>2961</v>
      </c>
      <c r="G967" s="21" t="s">
        <v>11413</v>
      </c>
    </row>
    <row r="968" customFormat="false" ht="15" hidden="false" customHeight="false" outlineLevel="0" collapsed="false">
      <c r="B968" s="19" t="s">
        <v>26348</v>
      </c>
      <c r="C968" s="20" t="n">
        <f aca="false">ROUND(1.06/FX,2)</f>
        <v>0.15</v>
      </c>
      <c r="D968" s="21" t="s">
        <v>8668</v>
      </c>
      <c r="E968" s="21" t="s">
        <v>13739</v>
      </c>
      <c r="F968" s="21" t="s">
        <v>13817</v>
      </c>
      <c r="G968" s="21" t="s">
        <v>11413</v>
      </c>
    </row>
    <row r="969" customFormat="false" ht="15" hidden="false" customHeight="false" outlineLevel="0" collapsed="false">
      <c r="B969" s="19" t="s">
        <v>26349</v>
      </c>
      <c r="C969" s="20" t="n">
        <f aca="false">ROUND(1.15/FX,2)</f>
        <v>0.16</v>
      </c>
      <c r="D969" s="21" t="s">
        <v>8668</v>
      </c>
      <c r="E969" s="21" t="s">
        <v>13739</v>
      </c>
      <c r="F969" s="21" t="s">
        <v>3011</v>
      </c>
      <c r="G969" s="21" t="s">
        <v>11413</v>
      </c>
    </row>
    <row r="970" customFormat="false" ht="15" hidden="false" customHeight="false" outlineLevel="0" collapsed="false">
      <c r="B970" s="19" t="s">
        <v>26350</v>
      </c>
      <c r="C970" s="20" t="n">
        <f aca="false">ROUND(1.09/FX,2)</f>
        <v>0.15</v>
      </c>
      <c r="D970" s="21" t="s">
        <v>8668</v>
      </c>
      <c r="E970" s="21" t="s">
        <v>13997</v>
      </c>
      <c r="F970" s="21" t="s">
        <v>847</v>
      </c>
      <c r="G970" s="21" t="s">
        <v>11413</v>
      </c>
    </row>
    <row r="971" customFormat="false" ht="15" hidden="false" customHeight="false" outlineLevel="0" collapsed="false">
      <c r="B971" s="19" t="s">
        <v>26351</v>
      </c>
      <c r="C971" s="20" t="n">
        <f aca="false">ROUND(1.32/FX,2)</f>
        <v>0.18</v>
      </c>
      <c r="D971" s="21" t="s">
        <v>8668</v>
      </c>
      <c r="E971" s="21" t="s">
        <v>13739</v>
      </c>
      <c r="F971" s="21" t="s">
        <v>3061</v>
      </c>
      <c r="G971" s="21" t="s">
        <v>11413</v>
      </c>
    </row>
    <row r="972" customFormat="false" ht="15" hidden="false" customHeight="false" outlineLevel="0" collapsed="false">
      <c r="B972" s="19" t="s">
        <v>26352</v>
      </c>
      <c r="C972" s="20" t="n">
        <f aca="false">ROUND(1.51/FX,2)</f>
        <v>0.21</v>
      </c>
      <c r="D972" s="21" t="s">
        <v>8668</v>
      </c>
      <c r="E972" s="21" t="s">
        <v>13739</v>
      </c>
      <c r="F972" s="21" t="s">
        <v>3111</v>
      </c>
      <c r="G972" s="21" t="s">
        <v>11413</v>
      </c>
    </row>
    <row r="973" customFormat="false" ht="15" hidden="false" customHeight="false" outlineLevel="0" collapsed="false">
      <c r="B973" s="19" t="s">
        <v>26353</v>
      </c>
      <c r="C973" s="20" t="n">
        <f aca="false">ROUND(0.22/FX,2)</f>
        <v>0.03</v>
      </c>
      <c r="D973" s="21" t="s">
        <v>8668</v>
      </c>
      <c r="E973" s="21" t="s">
        <v>13732</v>
      </c>
      <c r="F973" s="21" t="s">
        <v>707</v>
      </c>
      <c r="G973" s="21" t="s">
        <v>11415</v>
      </c>
    </row>
    <row r="974" customFormat="false" ht="15" hidden="false" customHeight="false" outlineLevel="0" collapsed="false">
      <c r="B974" s="19" t="s">
        <v>26354</v>
      </c>
      <c r="C974" s="20" t="n">
        <f aca="false">ROUND(1.27/FX,2)</f>
        <v>0.18</v>
      </c>
      <c r="D974" s="21" t="s">
        <v>8668</v>
      </c>
      <c r="E974" s="21" t="s">
        <v>13732</v>
      </c>
      <c r="F974" s="21" t="s">
        <v>2600</v>
      </c>
      <c r="G974" s="21" t="s">
        <v>11415</v>
      </c>
    </row>
    <row r="975" customFormat="false" ht="15" hidden="false" customHeight="false" outlineLevel="0" collapsed="false">
      <c r="B975" s="19" t="s">
        <v>26355</v>
      </c>
      <c r="C975" s="20" t="n">
        <f aca="false">ROUND(1.08/FX,2)</f>
        <v>0.15</v>
      </c>
      <c r="D975" s="21" t="s">
        <v>8668</v>
      </c>
      <c r="E975" s="21" t="s">
        <v>13743</v>
      </c>
      <c r="F975" s="21" t="s">
        <v>761</v>
      </c>
      <c r="G975" s="21" t="s">
        <v>11415</v>
      </c>
    </row>
    <row r="976" customFormat="false" ht="15" hidden="false" customHeight="false" outlineLevel="0" collapsed="false">
      <c r="B976" s="19" t="s">
        <v>26356</v>
      </c>
      <c r="C976" s="20" t="n">
        <f aca="false">ROUND(1.14/FX,2)</f>
        <v>0.16</v>
      </c>
      <c r="D976" s="21" t="s">
        <v>8668</v>
      </c>
      <c r="E976" s="21" t="s">
        <v>14013</v>
      </c>
      <c r="F976" s="21" t="s">
        <v>4721</v>
      </c>
      <c r="G976" s="21" t="s">
        <v>11415</v>
      </c>
    </row>
    <row r="977" customFormat="false" ht="15" hidden="false" customHeight="false" outlineLevel="0" collapsed="false">
      <c r="B977" s="19" t="s">
        <v>26357</v>
      </c>
      <c r="C977" s="20" t="n">
        <f aca="false">ROUND(1.12/FX,2)</f>
        <v>0.16</v>
      </c>
      <c r="D977" s="21" t="s">
        <v>8668</v>
      </c>
      <c r="E977" s="21" t="s">
        <v>13743</v>
      </c>
      <c r="F977" s="21" t="s">
        <v>3833</v>
      </c>
      <c r="G977" s="21" t="s">
        <v>11415</v>
      </c>
    </row>
    <row r="978" customFormat="false" ht="15" hidden="false" customHeight="false" outlineLevel="0" collapsed="false">
      <c r="B978" s="19" t="s">
        <v>26358</v>
      </c>
      <c r="C978" s="20" t="n">
        <f aca="false">ROUND(2.72/FX,2)</f>
        <v>0.38</v>
      </c>
      <c r="D978" s="21" t="s">
        <v>8668</v>
      </c>
      <c r="E978" s="21" t="s">
        <v>13997</v>
      </c>
      <c r="F978" s="21" t="s">
        <v>3247</v>
      </c>
      <c r="G978" s="21" t="s">
        <v>11415</v>
      </c>
    </row>
    <row r="979" customFormat="false" ht="15" hidden="false" customHeight="false" outlineLevel="0" collapsed="false">
      <c r="B979" s="19" t="s">
        <v>26359</v>
      </c>
      <c r="C979" s="20" t="n">
        <f aca="false">ROUND(1.23/FX,2)</f>
        <v>0.17</v>
      </c>
      <c r="D979" s="21" t="s">
        <v>8668</v>
      </c>
      <c r="E979" s="21" t="s">
        <v>13751</v>
      </c>
      <c r="F979" s="21" t="s">
        <v>3317</v>
      </c>
      <c r="G979" s="21" t="s">
        <v>11415</v>
      </c>
    </row>
    <row r="980" customFormat="false" ht="15" hidden="false" customHeight="false" outlineLevel="0" collapsed="false">
      <c r="B980" s="19" t="s">
        <v>26360</v>
      </c>
      <c r="C980" s="20" t="n">
        <f aca="false">ROUND(1.39/FX,2)</f>
        <v>0.19</v>
      </c>
      <c r="D980" s="21" t="s">
        <v>8668</v>
      </c>
      <c r="E980" s="21" t="s">
        <v>13751</v>
      </c>
      <c r="F980" s="21" t="s">
        <v>784</v>
      </c>
      <c r="G980" s="21" t="s">
        <v>11415</v>
      </c>
    </row>
    <row r="981" customFormat="false" ht="15" hidden="false" customHeight="false" outlineLevel="0" collapsed="false">
      <c r="B981" s="19" t="s">
        <v>26361</v>
      </c>
      <c r="C981" s="20" t="n">
        <f aca="false">ROUND(1.05/FX,2)</f>
        <v>0.15</v>
      </c>
      <c r="D981" s="21" t="s">
        <v>8668</v>
      </c>
      <c r="E981" s="21" t="s">
        <v>13739</v>
      </c>
      <c r="F981" s="21" t="s">
        <v>3328</v>
      </c>
      <c r="G981" s="21" t="s">
        <v>11415</v>
      </c>
    </row>
    <row r="982" customFormat="false" ht="15" hidden="false" customHeight="false" outlineLevel="0" collapsed="false">
      <c r="B982" s="19" t="s">
        <v>26362</v>
      </c>
      <c r="C982" s="20" t="n">
        <f aca="false">ROUND(1.16/FX,2)</f>
        <v>0.16</v>
      </c>
      <c r="D982" s="21" t="s">
        <v>8668</v>
      </c>
      <c r="E982" s="21" t="s">
        <v>13739</v>
      </c>
      <c r="F982" s="21" t="s">
        <v>6246</v>
      </c>
      <c r="G982" s="21" t="s">
        <v>11415</v>
      </c>
    </row>
    <row r="983" customFormat="false" ht="15" hidden="false" customHeight="false" outlineLevel="0" collapsed="false">
      <c r="B983" s="19" t="s">
        <v>26363</v>
      </c>
      <c r="C983" s="20" t="n">
        <f aca="false">ROUND(1.27/FX,2)</f>
        <v>0.18</v>
      </c>
      <c r="D983" s="21" t="s">
        <v>8668</v>
      </c>
      <c r="E983" s="21" t="s">
        <v>13739</v>
      </c>
      <c r="F983" s="21" t="s">
        <v>7358</v>
      </c>
      <c r="G983" s="21" t="s">
        <v>11415</v>
      </c>
    </row>
    <row r="984" customFormat="false" ht="15" hidden="false" customHeight="false" outlineLevel="0" collapsed="false">
      <c r="B984" s="19" t="s">
        <v>26364</v>
      </c>
      <c r="C984" s="20" t="n">
        <f aca="false">ROUND(1.4/FX,2)</f>
        <v>0.19</v>
      </c>
      <c r="D984" s="21" t="s">
        <v>8668</v>
      </c>
      <c r="E984" s="21" t="s">
        <v>13739</v>
      </c>
      <c r="F984" s="21" t="s">
        <v>2911</v>
      </c>
      <c r="G984" s="21" t="s">
        <v>11415</v>
      </c>
    </row>
    <row r="985" customFormat="false" ht="15" hidden="false" customHeight="false" outlineLevel="0" collapsed="false">
      <c r="B985" s="19" t="s">
        <v>26365</v>
      </c>
      <c r="C985" s="20" t="n">
        <f aca="false">ROUND(1.5/FX,2)</f>
        <v>0.21</v>
      </c>
      <c r="D985" s="21" t="s">
        <v>8668</v>
      </c>
      <c r="E985" s="21" t="s">
        <v>13739</v>
      </c>
      <c r="F985" s="21" t="s">
        <v>7275</v>
      </c>
      <c r="G985" s="21" t="s">
        <v>11415</v>
      </c>
    </row>
    <row r="986" customFormat="false" ht="15" hidden="false" customHeight="false" outlineLevel="0" collapsed="false">
      <c r="B986" s="19" t="s">
        <v>26366</v>
      </c>
      <c r="C986" s="20" t="n">
        <f aca="false">ROUND(1.61/FX,2)</f>
        <v>0.22</v>
      </c>
      <c r="D986" s="21" t="s">
        <v>8668</v>
      </c>
      <c r="E986" s="21" t="s">
        <v>13739</v>
      </c>
      <c r="F986" s="21" t="s">
        <v>2961</v>
      </c>
      <c r="G986" s="21" t="s">
        <v>11415</v>
      </c>
    </row>
    <row r="987" customFormat="false" ht="15" hidden="false" customHeight="false" outlineLevel="0" collapsed="false">
      <c r="B987" s="19" t="s">
        <v>26367</v>
      </c>
      <c r="C987" s="20" t="n">
        <f aca="false">ROUND(1.86/FX,2)</f>
        <v>0.26</v>
      </c>
      <c r="D987" s="21" t="s">
        <v>8668</v>
      </c>
      <c r="E987" s="21" t="s">
        <v>13739</v>
      </c>
      <c r="F987" s="21" t="s">
        <v>3011</v>
      </c>
      <c r="G987" s="21" t="s">
        <v>11415</v>
      </c>
    </row>
    <row r="988" customFormat="false" ht="15" hidden="false" customHeight="false" outlineLevel="0" collapsed="false">
      <c r="B988" s="19" t="s">
        <v>26368</v>
      </c>
      <c r="C988" s="20" t="n">
        <f aca="false">ROUND(1.04/FX,2)</f>
        <v>0.14</v>
      </c>
      <c r="D988" s="21" t="s">
        <v>8668</v>
      </c>
      <c r="E988" s="21" t="s">
        <v>13732</v>
      </c>
      <c r="F988" s="21" t="s">
        <v>3061</v>
      </c>
      <c r="G988" s="21" t="s">
        <v>11415</v>
      </c>
    </row>
    <row r="989" customFormat="false" ht="15" hidden="false" customHeight="false" outlineLevel="0" collapsed="false">
      <c r="B989" s="19" t="s">
        <v>26369</v>
      </c>
      <c r="C989" s="20" t="n">
        <f aca="false">ROUND(1.15/FX,2)</f>
        <v>0.16</v>
      </c>
      <c r="D989" s="21" t="s">
        <v>8668</v>
      </c>
      <c r="E989" s="21" t="s">
        <v>13732</v>
      </c>
      <c r="F989" s="21" t="s">
        <v>3111</v>
      </c>
      <c r="G989" s="21" t="s">
        <v>11415</v>
      </c>
    </row>
    <row r="992" customFormat="false" ht="61.5" hidden="false" customHeight="true" outlineLevel="0" collapsed="false">
      <c r="A992" s="9"/>
      <c r="B992" s="10" t="s">
        <v>26370</v>
      </c>
      <c r="C992" s="10"/>
      <c r="D992" s="10"/>
      <c r="E992" s="10"/>
      <c r="F992" s="10"/>
      <c r="G992" s="10"/>
      <c r="H992" s="10"/>
    </row>
    <row r="993" customFormat="false" ht="15" hidden="false" customHeight="true" outlineLevel="0" collapsed="false">
      <c r="B993" s="11" t="s">
        <v>21919</v>
      </c>
      <c r="C993" s="11"/>
      <c r="D993" s="11"/>
      <c r="E993" s="11"/>
      <c r="F993" s="11"/>
      <c r="G993" s="11"/>
      <c r="H993" s="11"/>
    </row>
    <row r="994" customFormat="false" ht="15" hidden="false" customHeight="false" outlineLevel="0" collapsed="false">
      <c r="A994" s="12" t="s">
        <v>700</v>
      </c>
      <c r="B994" s="13" t="s">
        <v>701</v>
      </c>
      <c r="C994" s="13" t="s">
        <v>702</v>
      </c>
      <c r="D994" s="13" t="s">
        <v>722</v>
      </c>
      <c r="E994" s="13" t="s">
        <v>11716</v>
      </c>
      <c r="F994" s="13" t="s">
        <v>13701</v>
      </c>
      <c r="G994" s="13" t="s">
        <v>26371</v>
      </c>
      <c r="H994" s="13" t="s">
        <v>26372</v>
      </c>
    </row>
    <row r="995" customFormat="false" ht="30" hidden="false" customHeight="true" outlineLevel="0" collapsed="false">
      <c r="A995" s="14" t="s">
        <v>706</v>
      </c>
      <c r="B995" s="15" t="str">
        <f aca="false">IF(COUNTIFS($D$998:$D$1060,IF(D995="","*",D995),$E$998:$E$1060,IF(E995="","*",E995),$F$998:$F$1060,IF(F995="","*",F995),$G$998:$G$1060,IF(G995="","*",G995),$H$998:$H$1060,IF(H995="","*",H995))=1,INDEX($B:$B,SUMPRODUCT(((D995="")+($D$998:$D$1060=D995)&gt;0)*((E995="")+($E$998:$E$1060=E995)&gt;0)*((F995="")+($F$998:$F$1060=F995)&gt;0)*((G995="")+($G$998:$G$1060=G995)&gt;0)*((H995="")+($H$998:$H$1060=H995)&gt;0)*ROW($B$998:$B$1060))),IF(COUNTIFS($D$998:$D$1060,IF(D995="","*",D995),$E$998:$E$1060,IF(E995="","*",E995),$F$998:$F$1060,IF(F995="","*",F995),$G$998:$G$1060,IF(G995="","*",G995),$H$998:$H$1060,IF(H995="","*",H995))=0,"Not available",COUNTIFS($D$998:$D$1060,IF(D995="","*",D995),$E$998:$E$1060,IF(E995="","*",E995),$F$998:$F$1060,IF(F995="","*",F995),$G$998:$G$1060,IF(G995="","*",G995),$H$998:$H$1060,IF(H995="","*",H995))&amp;" match, keep choosing"))</f>
        <v>LH-BK-R30-CS-M5x12</v>
      </c>
      <c r="C995" s="16" t="n">
        <f aca="false">IF(COUNTIFS($D$998:$D$1060,IF(D995="","*",D995),$E$998:$E$1060,IF(E995="","*",E995),$F$998:$F$1060,IF(F995="","*",F995),$G$998:$G$1060,IF(G995="","*",G995),$H$998:$H$1060,IF(H995="","*",H995))=1,INDEX($C:$C,SUMPRODUCT(((D995="")+($D$998:$D$1060=D995)&gt;0)*((E995="")+($E$998:$E$1060=E995)&gt;0)*((F995="")+($F$998:$F$1060=F995)&gt;0)*((G995="")+($G$998:$G$1060=G995)&gt;0)*((H995="")+($H$998:$H$1060=H995)&gt;0)*ROW($B$998:$B$1060))),"")</f>
        <v>0.58</v>
      </c>
      <c r="D995" s="17" t="s">
        <v>724</v>
      </c>
      <c r="E995" s="17" t="s">
        <v>761</v>
      </c>
      <c r="F995" s="17" t="s">
        <v>11411</v>
      </c>
      <c r="G995" s="17" t="s">
        <v>26373</v>
      </c>
      <c r="H995" s="17" t="s">
        <v>26374</v>
      </c>
    </row>
    <row r="997" customFormat="false" ht="15" hidden="false" customHeight="false" outlineLevel="0" collapsed="false">
      <c r="B997" s="18" t="s">
        <v>701</v>
      </c>
      <c r="C997" s="18" t="s">
        <v>702</v>
      </c>
      <c r="D997" s="18" t="s">
        <v>722</v>
      </c>
      <c r="E997" s="18" t="s">
        <v>11716</v>
      </c>
      <c r="F997" s="18" t="s">
        <v>13701</v>
      </c>
      <c r="G997" s="18" t="s">
        <v>26371</v>
      </c>
      <c r="H997" s="18" t="s">
        <v>26372</v>
      </c>
    </row>
    <row r="998" customFormat="false" ht="15" hidden="false" customHeight="false" outlineLevel="0" collapsed="false">
      <c r="B998" s="19" t="s">
        <v>26375</v>
      </c>
      <c r="C998" s="20" t="n">
        <f aca="false">ROUND(4.16/FX,2)</f>
        <v>0.58</v>
      </c>
      <c r="D998" s="21" t="s">
        <v>724</v>
      </c>
      <c r="E998" s="21" t="s">
        <v>761</v>
      </c>
      <c r="F998" s="21" t="s">
        <v>11411</v>
      </c>
      <c r="G998" s="21" t="s">
        <v>26373</v>
      </c>
      <c r="H998" s="21" t="s">
        <v>26374</v>
      </c>
    </row>
    <row r="999" customFormat="false" ht="15" hidden="false" customHeight="false" outlineLevel="0" collapsed="false">
      <c r="B999" s="19" t="s">
        <v>26376</v>
      </c>
      <c r="C999" s="20" t="n">
        <f aca="false">ROUND(4.16/FX,2)</f>
        <v>0.58</v>
      </c>
      <c r="D999" s="21" t="s">
        <v>724</v>
      </c>
      <c r="E999" s="21" t="s">
        <v>3833</v>
      </c>
      <c r="F999" s="21" t="s">
        <v>11411</v>
      </c>
      <c r="G999" s="21" t="s">
        <v>26373</v>
      </c>
      <c r="H999" s="21" t="s">
        <v>26374</v>
      </c>
    </row>
    <row r="1000" customFormat="false" ht="15" hidden="false" customHeight="false" outlineLevel="0" collapsed="false">
      <c r="B1000" s="19" t="s">
        <v>26377</v>
      </c>
      <c r="C1000" s="20" t="n">
        <f aca="false">ROUND(4.16/FX,2)</f>
        <v>0.58</v>
      </c>
      <c r="D1000" s="21" t="s">
        <v>724</v>
      </c>
      <c r="E1000" s="21" t="s">
        <v>3247</v>
      </c>
      <c r="F1000" s="21" t="s">
        <v>11411</v>
      </c>
      <c r="G1000" s="21" t="s">
        <v>26373</v>
      </c>
      <c r="H1000" s="21" t="s">
        <v>26374</v>
      </c>
    </row>
    <row r="1001" customFormat="false" ht="15" hidden="false" customHeight="false" outlineLevel="0" collapsed="false">
      <c r="B1001" s="19" t="s">
        <v>26378</v>
      </c>
      <c r="C1001" s="20" t="n">
        <f aca="false">ROUND(4.16/FX,2)</f>
        <v>0.58</v>
      </c>
      <c r="D1001" s="21" t="s">
        <v>724</v>
      </c>
      <c r="E1001" s="21" t="s">
        <v>3317</v>
      </c>
      <c r="F1001" s="21" t="s">
        <v>11411</v>
      </c>
      <c r="G1001" s="21" t="s">
        <v>26373</v>
      </c>
      <c r="H1001" s="21" t="s">
        <v>26374</v>
      </c>
    </row>
    <row r="1002" customFormat="false" ht="15" hidden="false" customHeight="false" outlineLevel="0" collapsed="false">
      <c r="B1002" s="19" t="s">
        <v>26379</v>
      </c>
      <c r="C1002" s="20" t="n">
        <f aca="false">ROUND(4.16/FX,2)</f>
        <v>0.58</v>
      </c>
      <c r="D1002" s="21" t="s">
        <v>724</v>
      </c>
      <c r="E1002" s="21" t="s">
        <v>6244</v>
      </c>
      <c r="F1002" s="21" t="s">
        <v>11411</v>
      </c>
      <c r="G1002" s="21" t="s">
        <v>26373</v>
      </c>
      <c r="H1002" s="21" t="s">
        <v>26374</v>
      </c>
    </row>
    <row r="1003" customFormat="false" ht="15" hidden="false" customHeight="false" outlineLevel="0" collapsed="false">
      <c r="B1003" s="19" t="s">
        <v>26380</v>
      </c>
      <c r="C1003" s="20" t="n">
        <f aca="false">ROUND(4.16/FX,2)</f>
        <v>0.58</v>
      </c>
      <c r="D1003" s="21" t="s">
        <v>724</v>
      </c>
      <c r="E1003" s="21" t="s">
        <v>6246</v>
      </c>
      <c r="F1003" s="21" t="s">
        <v>11411</v>
      </c>
      <c r="G1003" s="21" t="s">
        <v>26373</v>
      </c>
      <c r="H1003" s="21" t="s">
        <v>26374</v>
      </c>
    </row>
    <row r="1004" customFormat="false" ht="15" hidden="false" customHeight="false" outlineLevel="0" collapsed="false">
      <c r="B1004" s="19" t="s">
        <v>26381</v>
      </c>
      <c r="C1004" s="20" t="n">
        <f aca="false">ROUND(4.16/FX,2)</f>
        <v>0.58</v>
      </c>
      <c r="D1004" s="21" t="s">
        <v>724</v>
      </c>
      <c r="E1004" s="21" t="s">
        <v>761</v>
      </c>
      <c r="F1004" s="21" t="s">
        <v>11413</v>
      </c>
      <c r="G1004" s="21" t="s">
        <v>26373</v>
      </c>
      <c r="H1004" s="21" t="s">
        <v>26374</v>
      </c>
    </row>
    <row r="1005" customFormat="false" ht="15" hidden="false" customHeight="false" outlineLevel="0" collapsed="false">
      <c r="B1005" s="19" t="s">
        <v>26382</v>
      </c>
      <c r="C1005" s="20" t="n">
        <f aca="false">ROUND(3.9/FX,2)</f>
        <v>0.54</v>
      </c>
      <c r="D1005" s="21" t="s">
        <v>724</v>
      </c>
      <c r="E1005" s="21" t="s">
        <v>3833</v>
      </c>
      <c r="F1005" s="21" t="s">
        <v>11413</v>
      </c>
      <c r="G1005" s="21" t="s">
        <v>26373</v>
      </c>
      <c r="H1005" s="21" t="s">
        <v>26374</v>
      </c>
    </row>
    <row r="1006" customFormat="false" ht="15" hidden="false" customHeight="false" outlineLevel="0" collapsed="false">
      <c r="B1006" s="19" t="s">
        <v>26383</v>
      </c>
      <c r="C1006" s="20" t="n">
        <f aca="false">ROUND(4.16/FX,2)</f>
        <v>0.58</v>
      </c>
      <c r="D1006" s="21" t="s">
        <v>724</v>
      </c>
      <c r="E1006" s="21" t="s">
        <v>3247</v>
      </c>
      <c r="F1006" s="21" t="s">
        <v>11413</v>
      </c>
      <c r="G1006" s="21" t="s">
        <v>26373</v>
      </c>
      <c r="H1006" s="21" t="s">
        <v>26374</v>
      </c>
    </row>
    <row r="1007" customFormat="false" ht="15" hidden="false" customHeight="false" outlineLevel="0" collapsed="false">
      <c r="B1007" s="19" t="s">
        <v>26384</v>
      </c>
      <c r="C1007" s="20" t="n">
        <f aca="false">ROUND(4.16/FX,2)</f>
        <v>0.58</v>
      </c>
      <c r="D1007" s="21" t="s">
        <v>724</v>
      </c>
      <c r="E1007" s="21" t="s">
        <v>3317</v>
      </c>
      <c r="F1007" s="21" t="s">
        <v>11413</v>
      </c>
      <c r="G1007" s="21" t="s">
        <v>26373</v>
      </c>
      <c r="H1007" s="21" t="s">
        <v>26374</v>
      </c>
    </row>
    <row r="1008" customFormat="false" ht="15" hidden="false" customHeight="false" outlineLevel="0" collapsed="false">
      <c r="B1008" s="19" t="s">
        <v>26385</v>
      </c>
      <c r="C1008" s="20" t="n">
        <f aca="false">ROUND(4.16/FX,2)</f>
        <v>0.58</v>
      </c>
      <c r="D1008" s="21" t="s">
        <v>724</v>
      </c>
      <c r="E1008" s="21" t="s">
        <v>6244</v>
      </c>
      <c r="F1008" s="21" t="s">
        <v>11413</v>
      </c>
      <c r="G1008" s="21" t="s">
        <v>26373</v>
      </c>
      <c r="H1008" s="21" t="s">
        <v>26374</v>
      </c>
    </row>
    <row r="1009" customFormat="false" ht="15" hidden="false" customHeight="false" outlineLevel="0" collapsed="false">
      <c r="B1009" s="19" t="s">
        <v>26386</v>
      </c>
      <c r="C1009" s="20" t="n">
        <f aca="false">ROUND(4.16/FX,2)</f>
        <v>0.58</v>
      </c>
      <c r="D1009" s="21" t="s">
        <v>724</v>
      </c>
      <c r="E1009" s="21" t="s">
        <v>6246</v>
      </c>
      <c r="F1009" s="21" t="s">
        <v>11413</v>
      </c>
      <c r="G1009" s="21" t="s">
        <v>26373</v>
      </c>
      <c r="H1009" s="21" t="s">
        <v>26374</v>
      </c>
    </row>
    <row r="1010" customFormat="false" ht="15" hidden="false" customHeight="false" outlineLevel="0" collapsed="false">
      <c r="B1010" s="19" t="s">
        <v>26387</v>
      </c>
      <c r="C1010" s="20" t="n">
        <f aca="false">ROUND(4.16/FX,2)</f>
        <v>0.58</v>
      </c>
      <c r="D1010" s="21" t="s">
        <v>724</v>
      </c>
      <c r="E1010" s="21" t="s">
        <v>2911</v>
      </c>
      <c r="F1010" s="21" t="s">
        <v>11413</v>
      </c>
      <c r="G1010" s="21" t="s">
        <v>26373</v>
      </c>
      <c r="H1010" s="21" t="s">
        <v>26374</v>
      </c>
    </row>
    <row r="1011" customFormat="false" ht="15" hidden="false" customHeight="false" outlineLevel="0" collapsed="false">
      <c r="B1011" s="19" t="s">
        <v>26388</v>
      </c>
      <c r="C1011" s="20" t="n">
        <f aca="false">ROUND(4.55/FX,2)</f>
        <v>0.63</v>
      </c>
      <c r="D1011" s="21" t="s">
        <v>724</v>
      </c>
      <c r="E1011" s="21" t="s">
        <v>6336</v>
      </c>
      <c r="F1011" s="21" t="s">
        <v>11409</v>
      </c>
      <c r="G1011" s="21" t="s">
        <v>26373</v>
      </c>
      <c r="H1011" s="21" t="s">
        <v>26389</v>
      </c>
    </row>
    <row r="1012" customFormat="false" ht="15" hidden="false" customHeight="false" outlineLevel="0" collapsed="false">
      <c r="B1012" s="19" t="s">
        <v>26390</v>
      </c>
      <c r="C1012" s="20" t="n">
        <f aca="false">ROUND(3.9/FX,2)</f>
        <v>0.54</v>
      </c>
      <c r="D1012" s="21" t="s">
        <v>724</v>
      </c>
      <c r="E1012" s="21" t="s">
        <v>6336</v>
      </c>
      <c r="F1012" s="21" t="s">
        <v>11411</v>
      </c>
      <c r="G1012" s="21" t="s">
        <v>26373</v>
      </c>
      <c r="H1012" s="21" t="s">
        <v>26389</v>
      </c>
    </row>
    <row r="1013" customFormat="false" ht="15" hidden="false" customHeight="false" outlineLevel="0" collapsed="false">
      <c r="B1013" s="19" t="s">
        <v>26391</v>
      </c>
      <c r="C1013" s="20" t="n">
        <f aca="false">ROUND(3.9/FX,2)</f>
        <v>0.54</v>
      </c>
      <c r="D1013" s="21" t="s">
        <v>724</v>
      </c>
      <c r="E1013" s="21" t="s">
        <v>6336</v>
      </c>
      <c r="F1013" s="21" t="s">
        <v>11413</v>
      </c>
      <c r="G1013" s="21" t="s">
        <v>26373</v>
      </c>
      <c r="H1013" s="21" t="s">
        <v>26389</v>
      </c>
    </row>
    <row r="1014" customFormat="false" ht="15" hidden="false" customHeight="false" outlineLevel="0" collapsed="false">
      <c r="B1014" s="19" t="s">
        <v>26392</v>
      </c>
      <c r="C1014" s="20" t="n">
        <f aca="false">ROUND(7.8/FX,2)</f>
        <v>1.08</v>
      </c>
      <c r="D1014" s="21" t="s">
        <v>724</v>
      </c>
      <c r="E1014" s="21" t="s">
        <v>784</v>
      </c>
      <c r="F1014" s="21" t="s">
        <v>11413</v>
      </c>
      <c r="G1014" s="21" t="s">
        <v>26393</v>
      </c>
      <c r="H1014" s="21" t="s">
        <v>26394</v>
      </c>
    </row>
    <row r="1015" customFormat="false" ht="15" hidden="false" customHeight="false" outlineLevel="0" collapsed="false">
      <c r="B1015" s="19" t="s">
        <v>26395</v>
      </c>
      <c r="C1015" s="20" t="n">
        <f aca="false">ROUND(7.8/FX,2)</f>
        <v>1.08</v>
      </c>
      <c r="D1015" s="21" t="s">
        <v>724</v>
      </c>
      <c r="E1015" s="21" t="s">
        <v>6244</v>
      </c>
      <c r="F1015" s="21" t="s">
        <v>11413</v>
      </c>
      <c r="G1015" s="21" t="s">
        <v>26393</v>
      </c>
      <c r="H1015" s="21" t="s">
        <v>26394</v>
      </c>
    </row>
    <row r="1016" customFormat="false" ht="15" hidden="false" customHeight="false" outlineLevel="0" collapsed="false">
      <c r="B1016" s="19" t="s">
        <v>26396</v>
      </c>
      <c r="C1016" s="20" t="n">
        <f aca="false">ROUND(5.2/FX,2)</f>
        <v>0.72</v>
      </c>
      <c r="D1016" s="21" t="s">
        <v>724</v>
      </c>
      <c r="E1016" s="21" t="s">
        <v>761</v>
      </c>
      <c r="F1016" s="21" t="s">
        <v>11409</v>
      </c>
      <c r="G1016" s="21" t="s">
        <v>26397</v>
      </c>
      <c r="H1016" s="21" t="s">
        <v>26374</v>
      </c>
    </row>
    <row r="1017" customFormat="false" ht="15" hidden="false" customHeight="false" outlineLevel="0" collapsed="false">
      <c r="B1017" s="19" t="s">
        <v>26398</v>
      </c>
      <c r="C1017" s="20" t="n">
        <f aca="false">ROUND(4.16/FX,2)</f>
        <v>0.58</v>
      </c>
      <c r="D1017" s="21" t="s">
        <v>724</v>
      </c>
      <c r="E1017" s="21" t="s">
        <v>3833</v>
      </c>
      <c r="F1017" s="21" t="s">
        <v>11409</v>
      </c>
      <c r="G1017" s="21" t="s">
        <v>26397</v>
      </c>
      <c r="H1017" s="21" t="s">
        <v>26374</v>
      </c>
    </row>
    <row r="1018" customFormat="false" ht="15" hidden="false" customHeight="false" outlineLevel="0" collapsed="false">
      <c r="B1018" s="19" t="s">
        <v>26399</v>
      </c>
      <c r="C1018" s="20" t="n">
        <f aca="false">ROUND(5.2/FX,2)</f>
        <v>0.72</v>
      </c>
      <c r="D1018" s="21" t="s">
        <v>724</v>
      </c>
      <c r="E1018" s="21" t="s">
        <v>3247</v>
      </c>
      <c r="F1018" s="21" t="s">
        <v>11409</v>
      </c>
      <c r="G1018" s="21" t="s">
        <v>26397</v>
      </c>
      <c r="H1018" s="21" t="s">
        <v>26374</v>
      </c>
    </row>
    <row r="1019" customFormat="false" ht="15" hidden="false" customHeight="false" outlineLevel="0" collapsed="false">
      <c r="B1019" s="19" t="s">
        <v>26400</v>
      </c>
      <c r="C1019" s="20" t="n">
        <f aca="false">ROUND(5.2/FX,2)</f>
        <v>0.72</v>
      </c>
      <c r="D1019" s="21" t="s">
        <v>724</v>
      </c>
      <c r="E1019" s="21" t="s">
        <v>3317</v>
      </c>
      <c r="F1019" s="21" t="s">
        <v>11409</v>
      </c>
      <c r="G1019" s="21" t="s">
        <v>26397</v>
      </c>
      <c r="H1019" s="21" t="s">
        <v>26374</v>
      </c>
    </row>
    <row r="1020" customFormat="false" ht="15" hidden="false" customHeight="false" outlineLevel="0" collapsed="false">
      <c r="B1020" s="19" t="s">
        <v>26401</v>
      </c>
      <c r="C1020" s="20" t="n">
        <f aca="false">ROUND(5.2/FX,2)</f>
        <v>0.72</v>
      </c>
      <c r="D1020" s="21" t="s">
        <v>724</v>
      </c>
      <c r="E1020" s="21" t="s">
        <v>6244</v>
      </c>
      <c r="F1020" s="21" t="s">
        <v>11409</v>
      </c>
      <c r="G1020" s="21" t="s">
        <v>26397</v>
      </c>
      <c r="H1020" s="21" t="s">
        <v>26374</v>
      </c>
    </row>
    <row r="1021" customFormat="false" ht="15" hidden="false" customHeight="false" outlineLevel="0" collapsed="false">
      <c r="B1021" s="19" t="s">
        <v>26402</v>
      </c>
      <c r="C1021" s="20" t="n">
        <f aca="false">ROUND(5.2/FX,2)</f>
        <v>0.72</v>
      </c>
      <c r="D1021" s="21" t="s">
        <v>724</v>
      </c>
      <c r="E1021" s="21" t="s">
        <v>761</v>
      </c>
      <c r="F1021" s="21" t="s">
        <v>11411</v>
      </c>
      <c r="G1021" s="21" t="s">
        <v>26397</v>
      </c>
      <c r="H1021" s="21" t="s">
        <v>26374</v>
      </c>
    </row>
    <row r="1022" customFormat="false" ht="15" hidden="false" customHeight="false" outlineLevel="0" collapsed="false">
      <c r="B1022" s="19" t="s">
        <v>26403</v>
      </c>
      <c r="C1022" s="20" t="n">
        <f aca="false">ROUND(5.2/FX,2)</f>
        <v>0.72</v>
      </c>
      <c r="D1022" s="21" t="s">
        <v>724</v>
      </c>
      <c r="E1022" s="21" t="s">
        <v>3833</v>
      </c>
      <c r="F1022" s="21" t="s">
        <v>11411</v>
      </c>
      <c r="G1022" s="21" t="s">
        <v>26397</v>
      </c>
      <c r="H1022" s="21" t="s">
        <v>26374</v>
      </c>
    </row>
    <row r="1023" customFormat="false" ht="15" hidden="false" customHeight="false" outlineLevel="0" collapsed="false">
      <c r="B1023" s="19" t="s">
        <v>26404</v>
      </c>
      <c r="C1023" s="20" t="n">
        <f aca="false">ROUND(5.2/FX,2)</f>
        <v>0.72</v>
      </c>
      <c r="D1023" s="21" t="s">
        <v>724</v>
      </c>
      <c r="E1023" s="21" t="s">
        <v>3247</v>
      </c>
      <c r="F1023" s="21" t="s">
        <v>11411</v>
      </c>
      <c r="G1023" s="21" t="s">
        <v>26397</v>
      </c>
      <c r="H1023" s="21" t="s">
        <v>26374</v>
      </c>
    </row>
    <row r="1024" customFormat="false" ht="15" hidden="false" customHeight="false" outlineLevel="0" collapsed="false">
      <c r="B1024" s="19" t="s">
        <v>26405</v>
      </c>
      <c r="C1024" s="20" t="n">
        <f aca="false">ROUND(5.2/FX,2)</f>
        <v>0.72</v>
      </c>
      <c r="D1024" s="21" t="s">
        <v>724</v>
      </c>
      <c r="E1024" s="21" t="s">
        <v>3317</v>
      </c>
      <c r="F1024" s="21" t="s">
        <v>11411</v>
      </c>
      <c r="G1024" s="21" t="s">
        <v>26397</v>
      </c>
      <c r="H1024" s="21" t="s">
        <v>26374</v>
      </c>
    </row>
    <row r="1025" customFormat="false" ht="15" hidden="false" customHeight="false" outlineLevel="0" collapsed="false">
      <c r="B1025" s="19" t="s">
        <v>26406</v>
      </c>
      <c r="C1025" s="20" t="n">
        <f aca="false">ROUND(5.2/FX,2)</f>
        <v>0.72</v>
      </c>
      <c r="D1025" s="21" t="s">
        <v>724</v>
      </c>
      <c r="E1025" s="21" t="s">
        <v>6244</v>
      </c>
      <c r="F1025" s="21" t="s">
        <v>11411</v>
      </c>
      <c r="G1025" s="21" t="s">
        <v>26397</v>
      </c>
      <c r="H1025" s="21" t="s">
        <v>26374</v>
      </c>
    </row>
    <row r="1026" customFormat="false" ht="15" hidden="false" customHeight="false" outlineLevel="0" collapsed="false">
      <c r="B1026" s="19" t="s">
        <v>26407</v>
      </c>
      <c r="C1026" s="20" t="n">
        <f aca="false">ROUND(5.2/FX,2)</f>
        <v>0.72</v>
      </c>
      <c r="D1026" s="21" t="s">
        <v>724</v>
      </c>
      <c r="E1026" s="21" t="s">
        <v>6246</v>
      </c>
      <c r="F1026" s="21" t="s">
        <v>11411</v>
      </c>
      <c r="G1026" s="21" t="s">
        <v>26397</v>
      </c>
      <c r="H1026" s="21" t="s">
        <v>26374</v>
      </c>
    </row>
    <row r="1027" customFormat="false" ht="15" hidden="false" customHeight="false" outlineLevel="0" collapsed="false">
      <c r="B1027" s="19" t="s">
        <v>26408</v>
      </c>
      <c r="C1027" s="20" t="n">
        <f aca="false">ROUND(5.2/FX,2)</f>
        <v>0.72</v>
      </c>
      <c r="D1027" s="21" t="s">
        <v>724</v>
      </c>
      <c r="E1027" s="21" t="s">
        <v>761</v>
      </c>
      <c r="F1027" s="21" t="s">
        <v>11413</v>
      </c>
      <c r="G1027" s="21" t="s">
        <v>26397</v>
      </c>
      <c r="H1027" s="21" t="s">
        <v>26374</v>
      </c>
    </row>
    <row r="1028" customFormat="false" ht="15" hidden="false" customHeight="false" outlineLevel="0" collapsed="false">
      <c r="B1028" s="19" t="s">
        <v>26409</v>
      </c>
      <c r="C1028" s="20" t="n">
        <f aca="false">ROUND(5.2/FX,2)</f>
        <v>0.72</v>
      </c>
      <c r="D1028" s="21" t="s">
        <v>724</v>
      </c>
      <c r="E1028" s="21" t="s">
        <v>3833</v>
      </c>
      <c r="F1028" s="21" t="s">
        <v>11413</v>
      </c>
      <c r="G1028" s="21" t="s">
        <v>26397</v>
      </c>
      <c r="H1028" s="21" t="s">
        <v>26374</v>
      </c>
    </row>
    <row r="1029" customFormat="false" ht="15" hidden="false" customHeight="false" outlineLevel="0" collapsed="false">
      <c r="B1029" s="19" t="s">
        <v>26410</v>
      </c>
      <c r="C1029" s="20" t="n">
        <f aca="false">ROUND(5.2/FX,2)</f>
        <v>0.72</v>
      </c>
      <c r="D1029" s="21" t="s">
        <v>724</v>
      </c>
      <c r="E1029" s="21" t="s">
        <v>3247</v>
      </c>
      <c r="F1029" s="21" t="s">
        <v>11413</v>
      </c>
      <c r="G1029" s="21" t="s">
        <v>26397</v>
      </c>
      <c r="H1029" s="21" t="s">
        <v>26374</v>
      </c>
    </row>
    <row r="1030" customFormat="false" ht="15" hidden="false" customHeight="false" outlineLevel="0" collapsed="false">
      <c r="B1030" s="19" t="s">
        <v>26411</v>
      </c>
      <c r="C1030" s="20" t="n">
        <f aca="false">ROUND(5.2/FX,2)</f>
        <v>0.72</v>
      </c>
      <c r="D1030" s="21" t="s">
        <v>724</v>
      </c>
      <c r="E1030" s="21" t="s">
        <v>3317</v>
      </c>
      <c r="F1030" s="21" t="s">
        <v>11413</v>
      </c>
      <c r="G1030" s="21" t="s">
        <v>26397</v>
      </c>
      <c r="H1030" s="21" t="s">
        <v>26374</v>
      </c>
    </row>
    <row r="1031" customFormat="false" ht="15" hidden="false" customHeight="false" outlineLevel="0" collapsed="false">
      <c r="B1031" s="19" t="s">
        <v>26412</v>
      </c>
      <c r="C1031" s="20" t="n">
        <f aca="false">ROUND(5.2/FX,2)</f>
        <v>0.72</v>
      </c>
      <c r="D1031" s="21" t="s">
        <v>724</v>
      </c>
      <c r="E1031" s="21" t="s">
        <v>6244</v>
      </c>
      <c r="F1031" s="21" t="s">
        <v>11413</v>
      </c>
      <c r="G1031" s="21" t="s">
        <v>26397</v>
      </c>
      <c r="H1031" s="21" t="s">
        <v>26374</v>
      </c>
    </row>
    <row r="1032" customFormat="false" ht="15" hidden="false" customHeight="false" outlineLevel="0" collapsed="false">
      <c r="B1032" s="19" t="s">
        <v>26413</v>
      </c>
      <c r="C1032" s="20" t="n">
        <f aca="false">ROUND(5.2/FX,2)</f>
        <v>0.72</v>
      </c>
      <c r="D1032" s="21" t="s">
        <v>724</v>
      </c>
      <c r="E1032" s="21" t="s">
        <v>6246</v>
      </c>
      <c r="F1032" s="21" t="s">
        <v>11413</v>
      </c>
      <c r="G1032" s="21" t="s">
        <v>26397</v>
      </c>
      <c r="H1032" s="21" t="s">
        <v>26374</v>
      </c>
    </row>
    <row r="1033" customFormat="false" ht="15" hidden="false" customHeight="false" outlineLevel="0" collapsed="false">
      <c r="B1033" s="19" t="s">
        <v>26414</v>
      </c>
      <c r="C1033" s="20" t="n">
        <f aca="false">ROUND(5.2/FX,2)</f>
        <v>0.72</v>
      </c>
      <c r="D1033" s="21" t="s">
        <v>724</v>
      </c>
      <c r="E1033" s="21" t="s">
        <v>2911</v>
      </c>
      <c r="F1033" s="21" t="s">
        <v>11413</v>
      </c>
      <c r="G1033" s="21" t="s">
        <v>26397</v>
      </c>
      <c r="H1033" s="21" t="s">
        <v>26374</v>
      </c>
    </row>
    <row r="1034" customFormat="false" ht="15" hidden="false" customHeight="false" outlineLevel="0" collapsed="false">
      <c r="B1034" s="19" t="s">
        <v>26415</v>
      </c>
      <c r="C1034" s="20" t="n">
        <f aca="false">ROUND(6.24/FX,2)</f>
        <v>0.87</v>
      </c>
      <c r="D1034" s="21" t="s">
        <v>724</v>
      </c>
      <c r="E1034" s="21" t="s">
        <v>3833</v>
      </c>
      <c r="F1034" s="21" t="s">
        <v>11415</v>
      </c>
      <c r="G1034" s="21" t="s">
        <v>26397</v>
      </c>
      <c r="H1034" s="21" t="s">
        <v>26374</v>
      </c>
    </row>
    <row r="1035" customFormat="false" ht="15" hidden="false" customHeight="false" outlineLevel="0" collapsed="false">
      <c r="B1035" s="19" t="s">
        <v>26416</v>
      </c>
      <c r="C1035" s="20" t="n">
        <f aca="false">ROUND(6.24/FX,2)</f>
        <v>0.87</v>
      </c>
      <c r="D1035" s="21" t="s">
        <v>724</v>
      </c>
      <c r="E1035" s="21" t="s">
        <v>3247</v>
      </c>
      <c r="F1035" s="21" t="s">
        <v>11415</v>
      </c>
      <c r="G1035" s="21" t="s">
        <v>26397</v>
      </c>
      <c r="H1035" s="21" t="s">
        <v>26374</v>
      </c>
    </row>
    <row r="1036" customFormat="false" ht="15" hidden="false" customHeight="false" outlineLevel="0" collapsed="false">
      <c r="B1036" s="19" t="s">
        <v>26417</v>
      </c>
      <c r="C1036" s="20" t="n">
        <f aca="false">ROUND(6.24/FX,2)</f>
        <v>0.87</v>
      </c>
      <c r="D1036" s="21" t="s">
        <v>724</v>
      </c>
      <c r="E1036" s="21" t="s">
        <v>3317</v>
      </c>
      <c r="F1036" s="21" t="s">
        <v>11415</v>
      </c>
      <c r="G1036" s="21" t="s">
        <v>26397</v>
      </c>
      <c r="H1036" s="21" t="s">
        <v>26374</v>
      </c>
    </row>
    <row r="1037" customFormat="false" ht="15" hidden="false" customHeight="false" outlineLevel="0" collapsed="false">
      <c r="B1037" s="19" t="s">
        <v>26418</v>
      </c>
      <c r="C1037" s="20" t="n">
        <f aca="false">ROUND(6.24/FX,2)</f>
        <v>0.87</v>
      </c>
      <c r="D1037" s="21" t="s">
        <v>724</v>
      </c>
      <c r="E1037" s="21" t="s">
        <v>6244</v>
      </c>
      <c r="F1037" s="21" t="s">
        <v>11415</v>
      </c>
      <c r="G1037" s="21" t="s">
        <v>26397</v>
      </c>
      <c r="H1037" s="21" t="s">
        <v>26374</v>
      </c>
    </row>
    <row r="1038" customFormat="false" ht="15" hidden="false" customHeight="false" outlineLevel="0" collapsed="false">
      <c r="B1038" s="19" t="s">
        <v>26419</v>
      </c>
      <c r="C1038" s="20" t="n">
        <f aca="false">ROUND(5.85/FX,2)</f>
        <v>0.81</v>
      </c>
      <c r="D1038" s="21" t="s">
        <v>724</v>
      </c>
      <c r="E1038" s="21" t="s">
        <v>6336</v>
      </c>
      <c r="F1038" s="21" t="s">
        <v>11409</v>
      </c>
      <c r="G1038" s="21" t="s">
        <v>26397</v>
      </c>
      <c r="H1038" s="21" t="s">
        <v>26389</v>
      </c>
    </row>
    <row r="1039" customFormat="false" ht="15" hidden="false" customHeight="false" outlineLevel="0" collapsed="false">
      <c r="B1039" s="19" t="s">
        <v>26420</v>
      </c>
      <c r="C1039" s="20" t="n">
        <f aca="false">ROUND(5.2/FX,2)</f>
        <v>0.72</v>
      </c>
      <c r="D1039" s="21" t="s">
        <v>724</v>
      </c>
      <c r="E1039" s="21" t="s">
        <v>6336</v>
      </c>
      <c r="F1039" s="21" t="s">
        <v>11411</v>
      </c>
      <c r="G1039" s="21" t="s">
        <v>26397</v>
      </c>
      <c r="H1039" s="21" t="s">
        <v>26389</v>
      </c>
    </row>
    <row r="1040" customFormat="false" ht="15" hidden="false" customHeight="false" outlineLevel="0" collapsed="false">
      <c r="B1040" s="19" t="s">
        <v>26421</v>
      </c>
      <c r="C1040" s="20" t="n">
        <f aca="false">ROUND(5.2/FX,2)</f>
        <v>0.72</v>
      </c>
      <c r="D1040" s="21" t="s">
        <v>724</v>
      </c>
      <c r="E1040" s="21" t="s">
        <v>6336</v>
      </c>
      <c r="F1040" s="21" t="s">
        <v>11413</v>
      </c>
      <c r="G1040" s="21" t="s">
        <v>26397</v>
      </c>
      <c r="H1040" s="21" t="s">
        <v>26389</v>
      </c>
    </row>
    <row r="1041" customFormat="false" ht="15" hidden="false" customHeight="false" outlineLevel="0" collapsed="false">
      <c r="B1041" s="19" t="s">
        <v>26422</v>
      </c>
      <c r="C1041" s="20" t="n">
        <f aca="false">ROUND(6.76/FX,2)</f>
        <v>0.94</v>
      </c>
      <c r="D1041" s="21" t="s">
        <v>724</v>
      </c>
      <c r="E1041" s="21" t="s">
        <v>761</v>
      </c>
      <c r="F1041" s="21" t="s">
        <v>11409</v>
      </c>
      <c r="G1041" s="21" t="s">
        <v>26397</v>
      </c>
      <c r="H1041" s="21" t="s">
        <v>26394</v>
      </c>
    </row>
    <row r="1042" customFormat="false" ht="15" hidden="false" customHeight="false" outlineLevel="0" collapsed="false">
      <c r="B1042" s="19" t="s">
        <v>26423</v>
      </c>
      <c r="C1042" s="20" t="n">
        <f aca="false">ROUND(6.76/FX,2)</f>
        <v>0.94</v>
      </c>
      <c r="D1042" s="21" t="s">
        <v>724</v>
      </c>
      <c r="E1042" s="21" t="s">
        <v>3833</v>
      </c>
      <c r="F1042" s="21" t="s">
        <v>11409</v>
      </c>
      <c r="G1042" s="21" t="s">
        <v>26397</v>
      </c>
      <c r="H1042" s="21" t="s">
        <v>26394</v>
      </c>
    </row>
    <row r="1043" customFormat="false" ht="15" hidden="false" customHeight="false" outlineLevel="0" collapsed="false">
      <c r="B1043" s="19" t="s">
        <v>26424</v>
      </c>
      <c r="C1043" s="20" t="n">
        <f aca="false">ROUND(6.76/FX,2)</f>
        <v>0.94</v>
      </c>
      <c r="D1043" s="21" t="s">
        <v>724</v>
      </c>
      <c r="E1043" s="21" t="s">
        <v>3247</v>
      </c>
      <c r="F1043" s="21" t="s">
        <v>11409</v>
      </c>
      <c r="G1043" s="21" t="s">
        <v>26397</v>
      </c>
      <c r="H1043" s="21" t="s">
        <v>26394</v>
      </c>
    </row>
    <row r="1044" customFormat="false" ht="15" hidden="false" customHeight="false" outlineLevel="0" collapsed="false">
      <c r="B1044" s="19" t="s">
        <v>26425</v>
      </c>
      <c r="C1044" s="20" t="n">
        <f aca="false">ROUND(6.24/FX,2)</f>
        <v>0.87</v>
      </c>
      <c r="D1044" s="21" t="s">
        <v>724</v>
      </c>
      <c r="E1044" s="21" t="s">
        <v>761</v>
      </c>
      <c r="F1044" s="21" t="s">
        <v>11411</v>
      </c>
      <c r="G1044" s="21" t="s">
        <v>26397</v>
      </c>
      <c r="H1044" s="21" t="s">
        <v>26394</v>
      </c>
    </row>
    <row r="1045" customFormat="false" ht="15" hidden="false" customHeight="false" outlineLevel="0" collapsed="false">
      <c r="B1045" s="19" t="s">
        <v>26426</v>
      </c>
      <c r="C1045" s="20" t="n">
        <f aca="false">ROUND(6.24/FX,2)</f>
        <v>0.87</v>
      </c>
      <c r="D1045" s="21" t="s">
        <v>724</v>
      </c>
      <c r="E1045" s="21" t="s">
        <v>3833</v>
      </c>
      <c r="F1045" s="21" t="s">
        <v>11411</v>
      </c>
      <c r="G1045" s="21" t="s">
        <v>26397</v>
      </c>
      <c r="H1045" s="21" t="s">
        <v>26394</v>
      </c>
    </row>
    <row r="1046" customFormat="false" ht="15" hidden="false" customHeight="false" outlineLevel="0" collapsed="false">
      <c r="B1046" s="19" t="s">
        <v>26427</v>
      </c>
      <c r="C1046" s="20" t="n">
        <f aca="false">ROUND(6.27/FX,2)</f>
        <v>0.87</v>
      </c>
      <c r="D1046" s="21" t="s">
        <v>724</v>
      </c>
      <c r="E1046" s="21" t="s">
        <v>3247</v>
      </c>
      <c r="F1046" s="21" t="s">
        <v>11411</v>
      </c>
      <c r="G1046" s="21" t="s">
        <v>26397</v>
      </c>
      <c r="H1046" s="21" t="s">
        <v>26394</v>
      </c>
    </row>
    <row r="1047" customFormat="false" ht="15" hidden="false" customHeight="false" outlineLevel="0" collapsed="false">
      <c r="B1047" s="19" t="s">
        <v>26428</v>
      </c>
      <c r="C1047" s="20" t="n">
        <f aca="false">ROUND(6.37/FX,2)</f>
        <v>0.88</v>
      </c>
      <c r="D1047" s="21" t="s">
        <v>724</v>
      </c>
      <c r="E1047" s="21" t="s">
        <v>3317</v>
      </c>
      <c r="F1047" s="21" t="s">
        <v>11411</v>
      </c>
      <c r="G1047" s="21" t="s">
        <v>26397</v>
      </c>
      <c r="H1047" s="21" t="s">
        <v>26394</v>
      </c>
    </row>
    <row r="1048" customFormat="false" ht="15" hidden="false" customHeight="false" outlineLevel="0" collapsed="false">
      <c r="B1048" s="19" t="s">
        <v>26429</v>
      </c>
      <c r="C1048" s="20" t="n">
        <f aca="false">ROUND(6.5/FX,2)</f>
        <v>0.9</v>
      </c>
      <c r="D1048" s="21" t="s">
        <v>724</v>
      </c>
      <c r="E1048" s="21" t="s">
        <v>784</v>
      </c>
      <c r="F1048" s="21" t="s">
        <v>11411</v>
      </c>
      <c r="G1048" s="21" t="s">
        <v>26397</v>
      </c>
      <c r="H1048" s="21" t="s">
        <v>26394</v>
      </c>
    </row>
    <row r="1049" customFormat="false" ht="15" hidden="false" customHeight="false" outlineLevel="0" collapsed="false">
      <c r="B1049" s="19" t="s">
        <v>26430</v>
      </c>
      <c r="C1049" s="20" t="n">
        <f aca="false">ROUND(5.93/FX,2)</f>
        <v>0.82</v>
      </c>
      <c r="D1049" s="21" t="s">
        <v>724</v>
      </c>
      <c r="E1049" s="21" t="s">
        <v>761</v>
      </c>
      <c r="F1049" s="21" t="s">
        <v>11413</v>
      </c>
      <c r="G1049" s="21" t="s">
        <v>26397</v>
      </c>
      <c r="H1049" s="21" t="s">
        <v>26394</v>
      </c>
    </row>
    <row r="1050" customFormat="false" ht="15" hidden="false" customHeight="false" outlineLevel="0" collapsed="false">
      <c r="B1050" s="19" t="s">
        <v>26431</v>
      </c>
      <c r="C1050" s="20" t="n">
        <f aca="false">ROUND(5.93/FX,2)</f>
        <v>0.82</v>
      </c>
      <c r="D1050" s="21" t="s">
        <v>724</v>
      </c>
      <c r="E1050" s="21" t="s">
        <v>3833</v>
      </c>
      <c r="F1050" s="21" t="s">
        <v>11413</v>
      </c>
      <c r="G1050" s="21" t="s">
        <v>26397</v>
      </c>
      <c r="H1050" s="21" t="s">
        <v>26394</v>
      </c>
    </row>
    <row r="1051" customFormat="false" ht="15" hidden="false" customHeight="false" outlineLevel="0" collapsed="false">
      <c r="B1051" s="19" t="s">
        <v>26432</v>
      </c>
      <c r="C1051" s="20" t="n">
        <f aca="false">ROUND(5.93/FX,2)</f>
        <v>0.82</v>
      </c>
      <c r="D1051" s="21" t="s">
        <v>724</v>
      </c>
      <c r="E1051" s="21" t="s">
        <v>3247</v>
      </c>
      <c r="F1051" s="21" t="s">
        <v>11413</v>
      </c>
      <c r="G1051" s="21" t="s">
        <v>26397</v>
      </c>
      <c r="H1051" s="21" t="s">
        <v>26394</v>
      </c>
    </row>
    <row r="1052" customFormat="false" ht="15" hidden="false" customHeight="false" outlineLevel="0" collapsed="false">
      <c r="B1052" s="19" t="s">
        <v>26433</v>
      </c>
      <c r="C1052" s="20" t="n">
        <f aca="false">ROUND(6.37/FX,2)</f>
        <v>0.88</v>
      </c>
      <c r="D1052" s="21" t="s">
        <v>724</v>
      </c>
      <c r="E1052" s="21" t="s">
        <v>3317</v>
      </c>
      <c r="F1052" s="21" t="s">
        <v>11413</v>
      </c>
      <c r="G1052" s="21" t="s">
        <v>26397</v>
      </c>
      <c r="H1052" s="21" t="s">
        <v>26394</v>
      </c>
    </row>
    <row r="1053" customFormat="false" ht="15" hidden="false" customHeight="false" outlineLevel="0" collapsed="false">
      <c r="B1053" s="19" t="s">
        <v>26434</v>
      </c>
      <c r="C1053" s="20" t="n">
        <f aca="false">ROUND(6.5/FX,2)</f>
        <v>0.9</v>
      </c>
      <c r="D1053" s="21" t="s">
        <v>724</v>
      </c>
      <c r="E1053" s="21" t="s">
        <v>6244</v>
      </c>
      <c r="F1053" s="21" t="s">
        <v>11413</v>
      </c>
      <c r="G1053" s="21" t="s">
        <v>26397</v>
      </c>
      <c r="H1053" s="21" t="s">
        <v>26394</v>
      </c>
    </row>
    <row r="1054" customFormat="false" ht="15" hidden="false" customHeight="false" outlineLevel="0" collapsed="false">
      <c r="B1054" s="19" t="s">
        <v>26435</v>
      </c>
      <c r="C1054" s="20" t="n">
        <f aca="false">ROUND(6.5/FX,2)</f>
        <v>0.9</v>
      </c>
      <c r="D1054" s="21" t="s">
        <v>724</v>
      </c>
      <c r="E1054" s="21" t="s">
        <v>6246</v>
      </c>
      <c r="F1054" s="21" t="s">
        <v>11413</v>
      </c>
      <c r="G1054" s="21" t="s">
        <v>26397</v>
      </c>
      <c r="H1054" s="21" t="s">
        <v>26394</v>
      </c>
    </row>
    <row r="1055" customFormat="false" ht="15" hidden="false" customHeight="false" outlineLevel="0" collapsed="false">
      <c r="B1055" s="19" t="s">
        <v>26436</v>
      </c>
      <c r="C1055" s="20" t="n">
        <f aca="false">ROUND(7.54/FX,2)</f>
        <v>1.05</v>
      </c>
      <c r="D1055" s="21" t="s">
        <v>724</v>
      </c>
      <c r="E1055" s="21" t="s">
        <v>3833</v>
      </c>
      <c r="F1055" s="21" t="s">
        <v>11415</v>
      </c>
      <c r="G1055" s="21" t="s">
        <v>26397</v>
      </c>
      <c r="H1055" s="21" t="s">
        <v>26394</v>
      </c>
    </row>
    <row r="1056" customFormat="false" ht="15" hidden="false" customHeight="false" outlineLevel="0" collapsed="false">
      <c r="B1056" s="19" t="s">
        <v>26437</v>
      </c>
      <c r="C1056" s="20" t="n">
        <f aca="false">ROUND(7.54/FX,2)</f>
        <v>1.05</v>
      </c>
      <c r="D1056" s="21" t="s">
        <v>724</v>
      </c>
      <c r="E1056" s="21" t="s">
        <v>3247</v>
      </c>
      <c r="F1056" s="21" t="s">
        <v>11415</v>
      </c>
      <c r="G1056" s="21" t="s">
        <v>26397</v>
      </c>
      <c r="H1056" s="21" t="s">
        <v>26394</v>
      </c>
    </row>
    <row r="1057" customFormat="false" ht="15" hidden="false" customHeight="false" outlineLevel="0" collapsed="false">
      <c r="B1057" s="19" t="s">
        <v>26438</v>
      </c>
      <c r="C1057" s="20" t="n">
        <f aca="false">ROUND(7.8/FX,2)</f>
        <v>1.08</v>
      </c>
      <c r="D1057" s="21" t="s">
        <v>724</v>
      </c>
      <c r="E1057" s="21" t="s">
        <v>3317</v>
      </c>
      <c r="F1057" s="21" t="s">
        <v>11415</v>
      </c>
      <c r="G1057" s="21" t="s">
        <v>26397</v>
      </c>
      <c r="H1057" s="21" t="s">
        <v>26394</v>
      </c>
    </row>
    <row r="1058" customFormat="false" ht="15" hidden="false" customHeight="false" outlineLevel="0" collapsed="false">
      <c r="B1058" s="19" t="s">
        <v>26439</v>
      </c>
      <c r="C1058" s="20" t="n">
        <f aca="false">ROUND(8.06/FX,2)</f>
        <v>1.12</v>
      </c>
      <c r="D1058" s="21" t="s">
        <v>724</v>
      </c>
      <c r="E1058" s="21" t="s">
        <v>6244</v>
      </c>
      <c r="F1058" s="21" t="s">
        <v>11415</v>
      </c>
      <c r="G1058" s="21" t="s">
        <v>26397</v>
      </c>
      <c r="H1058" s="21" t="s">
        <v>26394</v>
      </c>
    </row>
    <row r="1059" customFormat="false" ht="15" hidden="false" customHeight="false" outlineLevel="0" collapsed="false">
      <c r="B1059" s="19" t="s">
        <v>26440</v>
      </c>
      <c r="C1059" s="20" t="n">
        <f aca="false">ROUND(8.06/FX,2)</f>
        <v>1.12</v>
      </c>
      <c r="D1059" s="21" t="s">
        <v>724</v>
      </c>
      <c r="E1059" s="21" t="s">
        <v>6246</v>
      </c>
      <c r="F1059" s="21" t="s">
        <v>11415</v>
      </c>
      <c r="G1059" s="21" t="s">
        <v>26397</v>
      </c>
      <c r="H1059" s="21" t="s">
        <v>26394</v>
      </c>
    </row>
    <row r="1060" customFormat="false" ht="15" hidden="false" customHeight="false" outlineLevel="0" collapsed="false">
      <c r="B1060" s="19" t="s">
        <v>26441</v>
      </c>
      <c r="C1060" s="20" t="n">
        <f aca="false">ROUND(5.93/FX,2)</f>
        <v>0.82</v>
      </c>
      <c r="D1060" s="21" t="s">
        <v>15549</v>
      </c>
      <c r="E1060" s="21" t="s">
        <v>3247</v>
      </c>
      <c r="F1060" s="21" t="s">
        <v>11413</v>
      </c>
      <c r="G1060" s="21" t="s">
        <v>26397</v>
      </c>
      <c r="H1060" s="21" t="s">
        <v>26394</v>
      </c>
    </row>
    <row r="1063" customFormat="false" ht="61.5" hidden="false" customHeight="true" outlineLevel="0" collapsed="false">
      <c r="A1063" s="9"/>
      <c r="B1063" s="10" t="s">
        <v>26442</v>
      </c>
      <c r="C1063" s="10"/>
      <c r="D1063" s="10"/>
      <c r="E1063" s="10"/>
      <c r="F1063" s="10"/>
    </row>
    <row r="1064" customFormat="false" ht="15" hidden="false" customHeight="false" outlineLevel="0" collapsed="false">
      <c r="A1064" s="12" t="s">
        <v>700</v>
      </c>
      <c r="B1064" s="13" t="s">
        <v>701</v>
      </c>
      <c r="C1064" s="13" t="s">
        <v>702</v>
      </c>
      <c r="D1064" s="13" t="s">
        <v>705</v>
      </c>
      <c r="E1064" s="13" t="s">
        <v>11716</v>
      </c>
      <c r="F1064" s="13" t="s">
        <v>13701</v>
      </c>
    </row>
    <row r="1065" customFormat="false" ht="30" hidden="false" customHeight="true" outlineLevel="0" collapsed="false">
      <c r="A1065" s="14" t="s">
        <v>706</v>
      </c>
      <c r="B1065" s="15" t="str">
        <f aca="false">IF(COUNTIFS($D$1068:$D$1100,IF(D1065="","*",D1065),$E$1068:$E$1100,IF(E1065="","*",E1065),$F$1068:$F$1100,IF(F1065="","*",F1065))=1,INDEX($B:$B,SUMPRODUCT(((D1065="")+($D$1068:$D$1100=D1065)&gt;0)*((E1065="")+($E$1068:$E$1100=E1065)&gt;0)*((F1065="")+($F$1068:$F$1100=F1065)&gt;0)*ROW($B$1068:$B$1100))),IF(COUNTIFS($D$1068:$D$1100,IF(D1065="","*",D1065),$E$1068:$E$1100,IF(E1065="","*",E1065),$F$1068:$F$1100,IF(F1065="","*",F1065))=0,"Not available",COUNTIFS($D$1068:$D$1100,IF(D1065="","*",D1065),$E$1068:$E$1100,IF(E1065="","*",E1065),$F$1068:$F$1100,IF(F1065="","*",F1065))&amp;" match, keep choosing"))</f>
        <v>D912C-SS-M3x10-P13</v>
      </c>
      <c r="C1065" s="16" t="n">
        <f aca="false">IF(COUNTIFS($D$1068:$D$1100,IF(D1065="","*",D1065),$E$1068:$E$1100,IF(E1065="","*",E1065),$F$1068:$F$1100,IF(F1065="","*",F1065))=1,INDEX($C:$C,SUMPRODUCT(((D1065="")+($D$1068:$D$1100=D1065)&gt;0)*((E1065="")+($E$1068:$E$1100=E1065)&gt;0)*((F1065="")+($F$1068:$F$1100=F1065)&gt;0)*ROW($B$1068:$B$1100))),"")</f>
        <v>0.14</v>
      </c>
      <c r="D1065" s="17" t="s">
        <v>13978</v>
      </c>
      <c r="E1065" s="17" t="s">
        <v>707</v>
      </c>
      <c r="F1065" s="17" t="s">
        <v>11407</v>
      </c>
    </row>
    <row r="1067" customFormat="false" ht="15" hidden="false" customHeight="false" outlineLevel="0" collapsed="false">
      <c r="B1067" s="18" t="s">
        <v>701</v>
      </c>
      <c r="C1067" s="18" t="s">
        <v>702</v>
      </c>
      <c r="D1067" s="18" t="s">
        <v>705</v>
      </c>
      <c r="E1067" s="18" t="s">
        <v>11716</v>
      </c>
      <c r="F1067" s="18" t="s">
        <v>13701</v>
      </c>
    </row>
    <row r="1068" customFormat="false" ht="15" hidden="false" customHeight="false" outlineLevel="0" collapsed="false">
      <c r="B1068" s="19" t="s">
        <v>26443</v>
      </c>
      <c r="C1068" s="20" t="n">
        <f aca="false">ROUND(1.04/FX,2)</f>
        <v>0.14</v>
      </c>
      <c r="D1068" s="21" t="s">
        <v>13978</v>
      </c>
      <c r="E1068" s="21" t="s">
        <v>707</v>
      </c>
      <c r="F1068" s="21" t="s">
        <v>11407</v>
      </c>
    </row>
    <row r="1069" customFormat="false" ht="15" hidden="false" customHeight="false" outlineLevel="0" collapsed="false">
      <c r="B1069" s="19" t="s">
        <v>26444</v>
      </c>
      <c r="C1069" s="20" t="n">
        <f aca="false">ROUND(1.07/FX,2)</f>
        <v>0.15</v>
      </c>
      <c r="D1069" s="21" t="s">
        <v>13978</v>
      </c>
      <c r="E1069" s="21" t="s">
        <v>761</v>
      </c>
      <c r="F1069" s="21" t="s">
        <v>11407</v>
      </c>
    </row>
    <row r="1070" customFormat="false" ht="15" hidden="false" customHeight="false" outlineLevel="0" collapsed="false">
      <c r="B1070" s="19" t="s">
        <v>26445</v>
      </c>
      <c r="C1070" s="20" t="n">
        <f aca="false">ROUND(0.42/FX,2)</f>
        <v>0.06</v>
      </c>
      <c r="D1070" s="21" t="s">
        <v>13743</v>
      </c>
      <c r="E1070" s="21" t="s">
        <v>4721</v>
      </c>
      <c r="F1070" s="21" t="s">
        <v>11407</v>
      </c>
    </row>
    <row r="1071" customFormat="false" ht="15" hidden="false" customHeight="false" outlineLevel="0" collapsed="false">
      <c r="B1071" s="19" t="s">
        <v>26446</v>
      </c>
      <c r="C1071" s="20" t="n">
        <f aca="false">ROUND(1.04/FX,2)</f>
        <v>0.14</v>
      </c>
      <c r="D1071" s="21" t="s">
        <v>13988</v>
      </c>
      <c r="E1071" s="21" t="s">
        <v>3833</v>
      </c>
      <c r="F1071" s="21" t="s">
        <v>11407</v>
      </c>
    </row>
    <row r="1072" customFormat="false" ht="15" hidden="false" customHeight="false" outlineLevel="0" collapsed="false">
      <c r="B1072" s="19" t="s">
        <v>26447</v>
      </c>
      <c r="C1072" s="20" t="n">
        <f aca="false">ROUND(1.01/FX,2)</f>
        <v>0.14</v>
      </c>
      <c r="D1072" s="21" t="s">
        <v>14016</v>
      </c>
      <c r="E1072" s="21" t="s">
        <v>4000</v>
      </c>
      <c r="F1072" s="21" t="s">
        <v>11407</v>
      </c>
    </row>
    <row r="1073" customFormat="false" ht="15" hidden="false" customHeight="false" outlineLevel="0" collapsed="false">
      <c r="B1073" s="19" t="s">
        <v>26448</v>
      </c>
      <c r="C1073" s="20" t="n">
        <f aca="false">ROUND(1.07/FX,2)</f>
        <v>0.15</v>
      </c>
      <c r="D1073" s="21" t="s">
        <v>14016</v>
      </c>
      <c r="E1073" s="21" t="s">
        <v>3247</v>
      </c>
      <c r="F1073" s="21" t="s">
        <v>11407</v>
      </c>
    </row>
    <row r="1074" customFormat="false" ht="15" hidden="false" customHeight="false" outlineLevel="0" collapsed="false">
      <c r="B1074" s="19" t="s">
        <v>26449</v>
      </c>
      <c r="C1074" s="20" t="n">
        <f aca="false">ROUND(1/FX,2)</f>
        <v>0.14</v>
      </c>
      <c r="D1074" s="21" t="s">
        <v>13978</v>
      </c>
      <c r="E1074" s="21" t="s">
        <v>716</v>
      </c>
      <c r="F1074" s="21" t="s">
        <v>11407</v>
      </c>
    </row>
    <row r="1075" customFormat="false" ht="15" hidden="false" customHeight="false" outlineLevel="0" collapsed="false">
      <c r="B1075" s="19" t="s">
        <v>26450</v>
      </c>
      <c r="C1075" s="20" t="n">
        <f aca="false">ROUND(1/FX,2)</f>
        <v>0.14</v>
      </c>
      <c r="D1075" s="21" t="s">
        <v>13978</v>
      </c>
      <c r="E1075" s="21" t="s">
        <v>847</v>
      </c>
      <c r="F1075" s="21" t="s">
        <v>11407</v>
      </c>
    </row>
    <row r="1076" customFormat="false" ht="15" hidden="false" customHeight="false" outlineLevel="0" collapsed="false">
      <c r="B1076" s="19" t="s">
        <v>26451</v>
      </c>
      <c r="C1076" s="20" t="n">
        <f aca="false">ROUND(1.04/FX,2)</f>
        <v>0.14</v>
      </c>
      <c r="D1076" s="21" t="s">
        <v>14016</v>
      </c>
      <c r="E1076" s="21" t="s">
        <v>707</v>
      </c>
      <c r="F1076" s="21" t="s">
        <v>11409</v>
      </c>
    </row>
    <row r="1077" customFormat="false" ht="15" hidden="false" customHeight="false" outlineLevel="0" collapsed="false">
      <c r="B1077" s="19" t="s">
        <v>26452</v>
      </c>
      <c r="C1077" s="20" t="n">
        <f aca="false">ROUND(1.09/FX,2)</f>
        <v>0.15</v>
      </c>
      <c r="D1077" s="21" t="s">
        <v>14016</v>
      </c>
      <c r="E1077" s="21" t="s">
        <v>761</v>
      </c>
      <c r="F1077" s="21" t="s">
        <v>11409</v>
      </c>
    </row>
    <row r="1078" customFormat="false" ht="15" hidden="false" customHeight="false" outlineLevel="0" collapsed="false">
      <c r="B1078" s="19" t="s">
        <v>26453</v>
      </c>
      <c r="C1078" s="20" t="n">
        <f aca="false">ROUND(1/FX,2)</f>
        <v>0.14</v>
      </c>
      <c r="D1078" s="21" t="s">
        <v>14056</v>
      </c>
      <c r="E1078" s="21" t="s">
        <v>4721</v>
      </c>
      <c r="F1078" s="21" t="s">
        <v>11409</v>
      </c>
    </row>
    <row r="1079" customFormat="false" ht="15" hidden="false" customHeight="false" outlineLevel="0" collapsed="false">
      <c r="B1079" s="19" t="s">
        <v>26454</v>
      </c>
      <c r="C1079" s="20" t="n">
        <f aca="false">ROUND(1.14/FX,2)</f>
        <v>0.16</v>
      </c>
      <c r="D1079" s="21" t="s">
        <v>14056</v>
      </c>
      <c r="E1079" s="21" t="s">
        <v>3833</v>
      </c>
      <c r="F1079" s="21" t="s">
        <v>11409</v>
      </c>
    </row>
    <row r="1080" customFormat="false" ht="15" hidden="false" customHeight="false" outlineLevel="0" collapsed="false">
      <c r="B1080" s="19" t="s">
        <v>26455</v>
      </c>
      <c r="C1080" s="20" t="n">
        <f aca="false">ROUND(1.14/FX,2)</f>
        <v>0.16</v>
      </c>
      <c r="D1080" s="21" t="s">
        <v>14056</v>
      </c>
      <c r="E1080" s="21" t="s">
        <v>4000</v>
      </c>
      <c r="F1080" s="21" t="s">
        <v>11409</v>
      </c>
    </row>
    <row r="1081" customFormat="false" ht="15" hidden="false" customHeight="false" outlineLevel="0" collapsed="false">
      <c r="B1081" s="19" t="s">
        <v>26456</v>
      </c>
      <c r="C1081" s="20" t="n">
        <f aca="false">ROUND(1.03/FX,2)</f>
        <v>0.14</v>
      </c>
      <c r="D1081" s="21" t="s">
        <v>13994</v>
      </c>
      <c r="E1081" s="21" t="s">
        <v>3247</v>
      </c>
      <c r="F1081" s="21" t="s">
        <v>11409</v>
      </c>
    </row>
    <row r="1082" customFormat="false" ht="15" hidden="false" customHeight="false" outlineLevel="0" collapsed="false">
      <c r="B1082" s="19" t="s">
        <v>26457</v>
      </c>
      <c r="C1082" s="20" t="n">
        <f aca="false">ROUND(1.14/FX,2)</f>
        <v>0.16</v>
      </c>
      <c r="D1082" s="21" t="s">
        <v>13994</v>
      </c>
      <c r="E1082" s="21" t="s">
        <v>3317</v>
      </c>
      <c r="F1082" s="21" t="s">
        <v>11409</v>
      </c>
    </row>
    <row r="1083" customFormat="false" ht="15" hidden="false" customHeight="false" outlineLevel="0" collapsed="false">
      <c r="B1083" s="19" t="s">
        <v>26458</v>
      </c>
      <c r="C1083" s="20" t="n">
        <f aca="false">ROUND(1.08/FX,2)</f>
        <v>0.15</v>
      </c>
      <c r="D1083" s="21" t="s">
        <v>14007</v>
      </c>
      <c r="E1083" s="21" t="s">
        <v>784</v>
      </c>
      <c r="F1083" s="21" t="s">
        <v>11409</v>
      </c>
    </row>
    <row r="1084" customFormat="false" ht="15" hidden="false" customHeight="false" outlineLevel="0" collapsed="false">
      <c r="B1084" s="19" t="s">
        <v>26459</v>
      </c>
      <c r="C1084" s="20" t="n">
        <f aca="false">ROUND(1.02/FX,2)</f>
        <v>0.14</v>
      </c>
      <c r="D1084" s="21" t="s">
        <v>13997</v>
      </c>
      <c r="E1084" s="21" t="s">
        <v>716</v>
      </c>
      <c r="F1084" s="21" t="s">
        <v>11409</v>
      </c>
    </row>
    <row r="1085" customFormat="false" ht="15" hidden="false" customHeight="false" outlineLevel="0" collapsed="false">
      <c r="B1085" s="19" t="s">
        <v>26460</v>
      </c>
      <c r="C1085" s="20" t="n">
        <f aca="false">ROUND(1.09/FX,2)</f>
        <v>0.15</v>
      </c>
      <c r="D1085" s="21" t="s">
        <v>13997</v>
      </c>
      <c r="E1085" s="21" t="s">
        <v>847</v>
      </c>
      <c r="F1085" s="21" t="s">
        <v>11409</v>
      </c>
    </row>
    <row r="1086" customFormat="false" ht="15" hidden="false" customHeight="false" outlineLevel="0" collapsed="false">
      <c r="B1086" s="19" t="s">
        <v>26461</v>
      </c>
      <c r="C1086" s="20" t="n">
        <f aca="false">ROUND(1.07/FX,2)</f>
        <v>0.15</v>
      </c>
      <c r="D1086" s="21" t="s">
        <v>13994</v>
      </c>
      <c r="E1086" s="21" t="s">
        <v>707</v>
      </c>
      <c r="F1086" s="21" t="s">
        <v>11411</v>
      </c>
    </row>
    <row r="1087" customFormat="false" ht="15" hidden="false" customHeight="false" outlineLevel="0" collapsed="false">
      <c r="B1087" s="19" t="s">
        <v>26462</v>
      </c>
      <c r="C1087" s="20" t="n">
        <f aca="false">ROUND(1.12/FX,2)</f>
        <v>0.16</v>
      </c>
      <c r="D1087" s="21" t="s">
        <v>13994</v>
      </c>
      <c r="E1087" s="21" t="s">
        <v>761</v>
      </c>
      <c r="F1087" s="21" t="s">
        <v>11411</v>
      </c>
    </row>
    <row r="1088" customFormat="false" ht="15" hidden="false" customHeight="false" outlineLevel="0" collapsed="false">
      <c r="B1088" s="19" t="s">
        <v>26463</v>
      </c>
      <c r="C1088" s="20" t="n">
        <f aca="false">ROUND(1/FX,2)</f>
        <v>0.14</v>
      </c>
      <c r="D1088" s="21" t="s">
        <v>14007</v>
      </c>
      <c r="E1088" s="21" t="s">
        <v>4721</v>
      </c>
      <c r="F1088" s="21" t="s">
        <v>11411</v>
      </c>
    </row>
    <row r="1089" customFormat="false" ht="15" hidden="false" customHeight="false" outlineLevel="0" collapsed="false">
      <c r="B1089" s="19" t="s">
        <v>26464</v>
      </c>
      <c r="C1089" s="20" t="n">
        <f aca="false">ROUND(1.06/FX,2)</f>
        <v>0.15</v>
      </c>
      <c r="D1089" s="21" t="s">
        <v>14007</v>
      </c>
      <c r="E1089" s="21" t="s">
        <v>3833</v>
      </c>
      <c r="F1089" s="21" t="s">
        <v>11411</v>
      </c>
    </row>
    <row r="1090" customFormat="false" ht="15" hidden="false" customHeight="false" outlineLevel="0" collapsed="false">
      <c r="B1090" s="19" t="s">
        <v>26465</v>
      </c>
      <c r="C1090" s="20" t="n">
        <f aca="false">ROUND(1.12/FX,2)</f>
        <v>0.16</v>
      </c>
      <c r="D1090" s="21" t="s">
        <v>14007</v>
      </c>
      <c r="E1090" s="21" t="s">
        <v>4000</v>
      </c>
      <c r="F1090" s="21" t="s">
        <v>11411</v>
      </c>
    </row>
    <row r="1091" customFormat="false" ht="15" hidden="false" customHeight="false" outlineLevel="0" collapsed="false">
      <c r="B1091" s="19" t="s">
        <v>26466</v>
      </c>
      <c r="C1091" s="20" t="n">
        <f aca="false">ROUND(1.17/FX,2)</f>
        <v>0.16</v>
      </c>
      <c r="D1091" s="21" t="s">
        <v>14007</v>
      </c>
      <c r="E1091" s="21" t="s">
        <v>3247</v>
      </c>
      <c r="F1091" s="21" t="s">
        <v>11411</v>
      </c>
    </row>
    <row r="1092" customFormat="false" ht="15" hidden="false" customHeight="false" outlineLevel="0" collapsed="false">
      <c r="B1092" s="19" t="s">
        <v>26467</v>
      </c>
      <c r="C1092" s="20" t="n">
        <f aca="false">ROUND(1.08/FX,2)</f>
        <v>0.15</v>
      </c>
      <c r="D1092" s="21" t="s">
        <v>13743</v>
      </c>
      <c r="E1092" s="21" t="s">
        <v>3317</v>
      </c>
      <c r="F1092" s="21" t="s">
        <v>11411</v>
      </c>
    </row>
    <row r="1093" customFormat="false" ht="15" hidden="false" customHeight="false" outlineLevel="0" collapsed="false">
      <c r="B1093" s="19" t="s">
        <v>26468</v>
      </c>
      <c r="C1093" s="20" t="n">
        <f aca="false">ROUND(1.21/FX,2)</f>
        <v>0.17</v>
      </c>
      <c r="D1093" s="21" t="s">
        <v>13743</v>
      </c>
      <c r="E1093" s="21" t="s">
        <v>784</v>
      </c>
      <c r="F1093" s="21" t="s">
        <v>11411</v>
      </c>
    </row>
    <row r="1094" customFormat="false" ht="15" hidden="false" customHeight="false" outlineLevel="0" collapsed="false">
      <c r="B1094" s="19" t="s">
        <v>26469</v>
      </c>
      <c r="C1094" s="20" t="n">
        <f aca="false">ROUND(1.04/FX,2)</f>
        <v>0.14</v>
      </c>
      <c r="D1094" s="21" t="s">
        <v>14013</v>
      </c>
      <c r="E1094" s="21" t="s">
        <v>3328</v>
      </c>
      <c r="F1094" s="21" t="s">
        <v>11411</v>
      </c>
    </row>
    <row r="1095" customFormat="false" ht="15" hidden="false" customHeight="false" outlineLevel="0" collapsed="false">
      <c r="B1095" s="19" t="s">
        <v>26470</v>
      </c>
      <c r="C1095" s="20" t="n">
        <f aca="false">ROUND(1.21/FX,2)</f>
        <v>0.17</v>
      </c>
      <c r="D1095" s="21" t="s">
        <v>14013</v>
      </c>
      <c r="E1095" s="21" t="s">
        <v>6246</v>
      </c>
      <c r="F1095" s="21" t="s">
        <v>11411</v>
      </c>
    </row>
    <row r="1096" customFormat="false" ht="15" hidden="false" customHeight="false" outlineLevel="0" collapsed="false">
      <c r="B1096" s="19" t="s">
        <v>26471</v>
      </c>
      <c r="C1096" s="20" t="n">
        <f aca="false">ROUND(1.3/FX,2)</f>
        <v>0.18</v>
      </c>
      <c r="D1096" s="21" t="s">
        <v>14013</v>
      </c>
      <c r="E1096" s="21" t="s">
        <v>7358</v>
      </c>
      <c r="F1096" s="21" t="s">
        <v>11411</v>
      </c>
    </row>
    <row r="1097" customFormat="false" ht="15" hidden="false" customHeight="false" outlineLevel="0" collapsed="false">
      <c r="B1097" s="19" t="s">
        <v>26472</v>
      </c>
      <c r="C1097" s="20" t="n">
        <f aca="false">ROUND(1.13/FX,2)</f>
        <v>0.16</v>
      </c>
      <c r="D1097" s="21" t="s">
        <v>13751</v>
      </c>
      <c r="E1097" s="21" t="s">
        <v>2911</v>
      </c>
      <c r="F1097" s="21" t="s">
        <v>11411</v>
      </c>
    </row>
    <row r="1098" customFormat="false" ht="15" hidden="false" customHeight="false" outlineLevel="0" collapsed="false">
      <c r="B1098" s="19" t="s">
        <v>26473</v>
      </c>
      <c r="C1098" s="20" t="n">
        <f aca="false">ROUND(1/FX,2)</f>
        <v>0.14</v>
      </c>
      <c r="D1098" s="21" t="s">
        <v>13994</v>
      </c>
      <c r="E1098" s="21" t="s">
        <v>847</v>
      </c>
      <c r="F1098" s="21" t="s">
        <v>11411</v>
      </c>
    </row>
    <row r="1099" customFormat="false" ht="15" hidden="false" customHeight="false" outlineLevel="0" collapsed="false">
      <c r="B1099" s="19" t="s">
        <v>26474</v>
      </c>
      <c r="C1099" s="20" t="n">
        <f aca="false">ROUND(1.04/FX,2)</f>
        <v>0.14</v>
      </c>
      <c r="D1099" s="21" t="s">
        <v>14013</v>
      </c>
      <c r="E1099" s="21" t="s">
        <v>714</v>
      </c>
      <c r="F1099" s="21" t="s">
        <v>11413</v>
      </c>
    </row>
    <row r="1100" customFormat="false" ht="15" hidden="false" customHeight="false" outlineLevel="0" collapsed="false">
      <c r="B1100" s="19" t="s">
        <v>26475</v>
      </c>
      <c r="C1100" s="20" t="n">
        <f aca="false">ROUND(1.07/FX,2)</f>
        <v>0.15</v>
      </c>
      <c r="D1100" s="21" t="s">
        <v>13743</v>
      </c>
      <c r="E1100" s="21" t="s">
        <v>3833</v>
      </c>
      <c r="F1100" s="21" t="s">
        <v>11413</v>
      </c>
    </row>
    <row r="1103" customFormat="false" ht="61.5" hidden="false" customHeight="true" outlineLevel="0" collapsed="false">
      <c r="A1103" s="9"/>
      <c r="B1103" s="10" t="s">
        <v>26476</v>
      </c>
      <c r="C1103" s="10"/>
      <c r="D1103" s="10"/>
      <c r="E1103" s="10"/>
      <c r="F1103" s="10"/>
      <c r="G1103" s="10"/>
    </row>
    <row r="1104" customFormat="false" ht="15" hidden="false" customHeight="false" outlineLevel="0" collapsed="false">
      <c r="A1104" s="12" t="s">
        <v>700</v>
      </c>
      <c r="B1104" s="13" t="s">
        <v>701</v>
      </c>
      <c r="C1104" s="13" t="s">
        <v>702</v>
      </c>
      <c r="D1104" s="13" t="s">
        <v>705</v>
      </c>
      <c r="E1104" s="13" t="s">
        <v>11716</v>
      </c>
      <c r="F1104" s="13" t="s">
        <v>13701</v>
      </c>
      <c r="G1104" s="13" t="s">
        <v>26477</v>
      </c>
    </row>
    <row r="1105" customFormat="false" ht="30" hidden="false" customHeight="true" outlineLevel="0" collapsed="false">
      <c r="A1105" s="14" t="s">
        <v>706</v>
      </c>
      <c r="B1105" s="15" t="str">
        <f aca="false">IF(COUNTIFS($D$1108:$D$1160,IF(D1105="","*",D1105),$E$1108:$E$1160,IF(E1105="","*",E1105),$F$1108:$F$1160,IF(F1105="","*",F1105),$G$1108:$G$1160,IF(G1105="","*",G1105))=1,INDEX($B:$B,SUMPRODUCT(((D1105="")+($D$1108:$D$1160=D1105)&gt;0)*((E1105="")+($E$1108:$E$1160=E1105)&gt;0)*((F1105="")+($F$1108:$F$1160=F1105)&gt;0)*((G1105="")+($G$1108:$G$1160=G1105)&gt;0)*ROW($B$1108:$B$1160))),IF(COUNTIFS($D$1108:$D$1160,IF(D1105="","*",D1105),$E$1108:$E$1160,IF(E1105="","*",E1105),$F$1108:$F$1160,IF(F1105="","*",F1105),$G$1108:$G$1160,IF(G1105="","*",G1105))=0,"Not available",COUNTIFS($D$1108:$D$1160,IF(D1105="","*",D1105),$E$1108:$E$1160,IF(E1105="","*",E1105),$F$1108:$F$1160,IF(F1105="","*",F1105),$G$1108:$G$1160,IF(G1105="","*",G1105))&amp;" match, keep choosing"))</f>
        <v>FLG-SS-D251-M4x14-P6</v>
      </c>
      <c r="C1105" s="16" t="n">
        <f aca="false">IF(COUNTIFS($D$1108:$D$1160,IF(D1105="","*",D1105),$E$1108:$E$1160,IF(E1105="","*",E1105),$F$1108:$F$1160,IF(F1105="","*",F1105),$G$1108:$G$1160,IF(G1105="","*",G1105))=1,INDEX($C:$C,SUMPRODUCT(((D1105="")+($D$1108:$D$1160=D1105)&gt;0)*((E1105="")+($E$1108:$E$1160=E1105)&gt;0)*((F1105="")+($F$1108:$F$1160=F1105)&gt;0)*((G1105="")+($G$1108:$G$1160=G1105)&gt;0)*ROW($B$1108:$B$1160))),"")</f>
        <v>0.16</v>
      </c>
      <c r="D1105" s="17" t="s">
        <v>14007</v>
      </c>
      <c r="E1105" s="17" t="s">
        <v>4721</v>
      </c>
      <c r="F1105" s="17" t="s">
        <v>11409</v>
      </c>
      <c r="G1105" s="17" t="s">
        <v>26478</v>
      </c>
    </row>
    <row r="1107" customFormat="false" ht="15" hidden="false" customHeight="false" outlineLevel="0" collapsed="false">
      <c r="B1107" s="18" t="s">
        <v>701</v>
      </c>
      <c r="C1107" s="18" t="s">
        <v>702</v>
      </c>
      <c r="D1107" s="18" t="s">
        <v>705</v>
      </c>
      <c r="E1107" s="18" t="s">
        <v>11716</v>
      </c>
      <c r="F1107" s="18" t="s">
        <v>13701</v>
      </c>
      <c r="G1107" s="18" t="s">
        <v>26477</v>
      </c>
    </row>
    <row r="1108" customFormat="false" ht="15" hidden="false" customHeight="false" outlineLevel="0" collapsed="false">
      <c r="B1108" s="19" t="s">
        <v>26479</v>
      </c>
      <c r="C1108" s="20" t="n">
        <f aca="false">ROUND(1.17/FX,2)</f>
        <v>0.16</v>
      </c>
      <c r="D1108" s="21" t="s">
        <v>14007</v>
      </c>
      <c r="E1108" s="21" t="s">
        <v>4721</v>
      </c>
      <c r="F1108" s="21" t="s">
        <v>11409</v>
      </c>
      <c r="G1108" s="21" t="s">
        <v>26478</v>
      </c>
    </row>
    <row r="1109" customFormat="false" ht="15" hidden="false" customHeight="false" outlineLevel="0" collapsed="false">
      <c r="B1109" s="19" t="s">
        <v>26480</v>
      </c>
      <c r="C1109" s="20" t="n">
        <f aca="false">ROUND(1.04/FX,2)</f>
        <v>0.14</v>
      </c>
      <c r="D1109" s="21" t="s">
        <v>13743</v>
      </c>
      <c r="E1109" s="21" t="s">
        <v>4000</v>
      </c>
      <c r="F1109" s="21" t="s">
        <v>11409</v>
      </c>
      <c r="G1109" s="21" t="s">
        <v>26478</v>
      </c>
    </row>
    <row r="1110" customFormat="false" ht="15" hidden="false" customHeight="false" outlineLevel="0" collapsed="false">
      <c r="B1110" s="19" t="s">
        <v>26481</v>
      </c>
      <c r="C1110" s="20" t="n">
        <f aca="false">ROUND(1.01/FX,2)</f>
        <v>0.14</v>
      </c>
      <c r="D1110" s="21" t="s">
        <v>25703</v>
      </c>
      <c r="E1110" s="21" t="s">
        <v>707</v>
      </c>
      <c r="F1110" s="21" t="s">
        <v>11407</v>
      </c>
      <c r="G1110" s="21" t="s">
        <v>26482</v>
      </c>
    </row>
    <row r="1111" customFormat="false" ht="15" hidden="false" customHeight="false" outlineLevel="0" collapsed="false">
      <c r="B1111" s="19" t="s">
        <v>26483</v>
      </c>
      <c r="C1111" s="20" t="n">
        <f aca="false">ROUND(1.04/FX,2)</f>
        <v>0.14</v>
      </c>
      <c r="D1111" s="21" t="s">
        <v>13974</v>
      </c>
      <c r="E1111" s="21" t="s">
        <v>761</v>
      </c>
      <c r="F1111" s="21" t="s">
        <v>11407</v>
      </c>
      <c r="G1111" s="21" t="s">
        <v>26482</v>
      </c>
    </row>
    <row r="1112" customFormat="false" ht="15" hidden="false" customHeight="false" outlineLevel="0" collapsed="false">
      <c r="B1112" s="19" t="s">
        <v>26484</v>
      </c>
      <c r="C1112" s="20" t="n">
        <f aca="false">ROUND(1.05/FX,2)</f>
        <v>0.15</v>
      </c>
      <c r="D1112" s="21" t="s">
        <v>25459</v>
      </c>
      <c r="E1112" s="21" t="s">
        <v>3833</v>
      </c>
      <c r="F1112" s="21" t="s">
        <v>11407</v>
      </c>
      <c r="G1112" s="21" t="s">
        <v>26482</v>
      </c>
    </row>
    <row r="1113" customFormat="false" ht="15" hidden="false" customHeight="false" outlineLevel="0" collapsed="false">
      <c r="B1113" s="19" t="s">
        <v>26485</v>
      </c>
      <c r="C1113" s="20" t="n">
        <f aca="false">ROUND(1.01/FX,2)</f>
        <v>0.14</v>
      </c>
      <c r="D1113" s="21" t="s">
        <v>13978</v>
      </c>
      <c r="E1113" s="21" t="s">
        <v>3247</v>
      </c>
      <c r="F1113" s="21" t="s">
        <v>11407</v>
      </c>
      <c r="G1113" s="21" t="s">
        <v>26482</v>
      </c>
    </row>
    <row r="1114" customFormat="false" ht="15" hidden="false" customHeight="false" outlineLevel="0" collapsed="false">
      <c r="B1114" s="19" t="s">
        <v>26486</v>
      </c>
      <c r="C1114" s="20" t="n">
        <f aca="false">ROUND(1.04/FX,2)</f>
        <v>0.14</v>
      </c>
      <c r="D1114" s="21" t="s">
        <v>14056</v>
      </c>
      <c r="E1114" s="21" t="s">
        <v>3317</v>
      </c>
      <c r="F1114" s="21" t="s">
        <v>11407</v>
      </c>
      <c r="G1114" s="21" t="s">
        <v>26482</v>
      </c>
    </row>
    <row r="1115" customFormat="false" ht="15" hidden="false" customHeight="false" outlineLevel="0" collapsed="false">
      <c r="B1115" s="19" t="s">
        <v>26487</v>
      </c>
      <c r="C1115" s="20" t="n">
        <f aca="false">ROUND(0.13/FX,2)</f>
        <v>0.02</v>
      </c>
      <c r="D1115" s="21" t="s">
        <v>13743</v>
      </c>
      <c r="E1115" s="21" t="s">
        <v>839</v>
      </c>
      <c r="F1115" s="21" t="s">
        <v>11407</v>
      </c>
      <c r="G1115" s="21" t="s">
        <v>26482</v>
      </c>
    </row>
    <row r="1116" customFormat="false" ht="15" hidden="false" customHeight="false" outlineLevel="0" collapsed="false">
      <c r="B1116" s="19" t="s">
        <v>26488</v>
      </c>
      <c r="C1116" s="20" t="n">
        <f aca="false">ROUND(1.07/FX,2)</f>
        <v>0.15</v>
      </c>
      <c r="D1116" s="21" t="s">
        <v>13988</v>
      </c>
      <c r="E1116" s="21" t="s">
        <v>784</v>
      </c>
      <c r="F1116" s="21" t="s">
        <v>11407</v>
      </c>
      <c r="G1116" s="21" t="s">
        <v>26482</v>
      </c>
    </row>
    <row r="1117" customFormat="false" ht="15" hidden="false" customHeight="false" outlineLevel="0" collapsed="false">
      <c r="B1117" s="19" t="s">
        <v>26489</v>
      </c>
      <c r="C1117" s="20" t="n">
        <f aca="false">ROUND(1.06/FX,2)</f>
        <v>0.15</v>
      </c>
      <c r="D1117" s="21" t="s">
        <v>13981</v>
      </c>
      <c r="E1117" s="21" t="s">
        <v>841</v>
      </c>
      <c r="F1117" s="21" t="s">
        <v>11407</v>
      </c>
      <c r="G1117" s="21" t="s">
        <v>26482</v>
      </c>
    </row>
    <row r="1118" customFormat="false" ht="15" hidden="false" customHeight="false" outlineLevel="0" collapsed="false">
      <c r="B1118" s="19" t="s">
        <v>26490</v>
      </c>
      <c r="C1118" s="20" t="n">
        <f aca="false">ROUND(1.09/FX,2)</f>
        <v>0.15</v>
      </c>
      <c r="D1118" s="21" t="s">
        <v>14056</v>
      </c>
      <c r="E1118" s="21" t="s">
        <v>6246</v>
      </c>
      <c r="F1118" s="21" t="s">
        <v>11407</v>
      </c>
      <c r="G1118" s="21" t="s">
        <v>26482</v>
      </c>
    </row>
    <row r="1119" customFormat="false" ht="15" hidden="false" customHeight="false" outlineLevel="0" collapsed="false">
      <c r="B1119" s="19" t="s">
        <v>26491</v>
      </c>
      <c r="C1119" s="20" t="n">
        <f aca="false">ROUND(1.01/FX,2)</f>
        <v>0.14</v>
      </c>
      <c r="D1119" s="21" t="s">
        <v>25467</v>
      </c>
      <c r="E1119" s="21" t="s">
        <v>789</v>
      </c>
      <c r="F1119" s="21" t="s">
        <v>11407</v>
      </c>
      <c r="G1119" s="21" t="s">
        <v>26482</v>
      </c>
    </row>
    <row r="1120" customFormat="false" ht="15" hidden="false" customHeight="false" outlineLevel="0" collapsed="false">
      <c r="B1120" s="19" t="s">
        <v>26492</v>
      </c>
      <c r="C1120" s="20" t="n">
        <f aca="false">ROUND(1.09/FX,2)</f>
        <v>0.15</v>
      </c>
      <c r="D1120" s="21" t="s">
        <v>14007</v>
      </c>
      <c r="E1120" s="21" t="s">
        <v>2911</v>
      </c>
      <c r="F1120" s="21" t="s">
        <v>11407</v>
      </c>
      <c r="G1120" s="21" t="s">
        <v>26482</v>
      </c>
    </row>
    <row r="1121" customFormat="false" ht="15" hidden="false" customHeight="false" outlineLevel="0" collapsed="false">
      <c r="B1121" s="19" t="s">
        <v>26493</v>
      </c>
      <c r="C1121" s="20" t="n">
        <f aca="false">ROUND(1.01/FX,2)</f>
        <v>0.14</v>
      </c>
      <c r="D1121" s="21" t="s">
        <v>25467</v>
      </c>
      <c r="E1121" s="21" t="s">
        <v>716</v>
      </c>
      <c r="F1121" s="21" t="s">
        <v>11407</v>
      </c>
      <c r="G1121" s="21" t="s">
        <v>26482</v>
      </c>
    </row>
    <row r="1122" customFormat="false" ht="15" hidden="false" customHeight="false" outlineLevel="0" collapsed="false">
      <c r="B1122" s="19" t="s">
        <v>26494</v>
      </c>
      <c r="C1122" s="20" t="n">
        <f aca="false">ROUND(1.2/FX,2)</f>
        <v>0.17</v>
      </c>
      <c r="D1122" s="21" t="s">
        <v>13751</v>
      </c>
      <c r="E1122" s="21" t="s">
        <v>2961</v>
      </c>
      <c r="F1122" s="21" t="s">
        <v>11407</v>
      </c>
      <c r="G1122" s="21" t="s">
        <v>26482</v>
      </c>
    </row>
    <row r="1123" customFormat="false" ht="15" hidden="false" customHeight="false" outlineLevel="0" collapsed="false">
      <c r="B1123" s="19" t="s">
        <v>26495</v>
      </c>
      <c r="C1123" s="20" t="n">
        <f aca="false">ROUND(1.01/FX,2)</f>
        <v>0.14</v>
      </c>
      <c r="D1123" s="21" t="s">
        <v>25531</v>
      </c>
      <c r="E1123" s="21" t="s">
        <v>847</v>
      </c>
      <c r="F1123" s="21" t="s">
        <v>11407</v>
      </c>
      <c r="G1123" s="21" t="s">
        <v>26482</v>
      </c>
    </row>
    <row r="1124" customFormat="false" ht="15" hidden="false" customHeight="false" outlineLevel="0" collapsed="false">
      <c r="B1124" s="19" t="s">
        <v>26496</v>
      </c>
      <c r="C1124" s="20" t="n">
        <f aca="false">ROUND(1.03/FX,2)</f>
        <v>0.14</v>
      </c>
      <c r="D1124" s="21" t="s">
        <v>25462</v>
      </c>
      <c r="E1124" s="21" t="s">
        <v>707</v>
      </c>
      <c r="F1124" s="21" t="s">
        <v>11409</v>
      </c>
      <c r="G1124" s="21" t="s">
        <v>26482</v>
      </c>
    </row>
    <row r="1125" customFormat="false" ht="15" hidden="false" customHeight="false" outlineLevel="0" collapsed="false">
      <c r="B1125" s="19" t="s">
        <v>26497</v>
      </c>
      <c r="C1125" s="20" t="n">
        <f aca="false">ROUND(1.04/FX,2)</f>
        <v>0.14</v>
      </c>
      <c r="D1125" s="21" t="s">
        <v>13978</v>
      </c>
      <c r="E1125" s="21" t="s">
        <v>761</v>
      </c>
      <c r="F1125" s="21" t="s">
        <v>11409</v>
      </c>
      <c r="G1125" s="21" t="s">
        <v>26482</v>
      </c>
    </row>
    <row r="1126" customFormat="false" ht="15" hidden="false" customHeight="false" outlineLevel="0" collapsed="false">
      <c r="B1126" s="19" t="s">
        <v>26498</v>
      </c>
      <c r="C1126" s="20" t="n">
        <f aca="false">ROUND(1.01/FX,2)</f>
        <v>0.14</v>
      </c>
      <c r="D1126" s="21" t="s">
        <v>21722</v>
      </c>
      <c r="E1126" s="21" t="s">
        <v>4721</v>
      </c>
      <c r="F1126" s="21" t="s">
        <v>11409</v>
      </c>
      <c r="G1126" s="21" t="s">
        <v>26482</v>
      </c>
    </row>
    <row r="1127" customFormat="false" ht="15" hidden="false" customHeight="false" outlineLevel="0" collapsed="false">
      <c r="B1127" s="19" t="s">
        <v>26499</v>
      </c>
      <c r="C1127" s="20" t="n">
        <f aca="false">ROUND(1.05/FX,2)</f>
        <v>0.15</v>
      </c>
      <c r="D1127" s="21" t="s">
        <v>21722</v>
      </c>
      <c r="E1127" s="21" t="s">
        <v>3833</v>
      </c>
      <c r="F1127" s="21" t="s">
        <v>11409</v>
      </c>
      <c r="G1127" s="21" t="s">
        <v>26482</v>
      </c>
    </row>
    <row r="1128" customFormat="false" ht="15" hidden="false" customHeight="false" outlineLevel="0" collapsed="false">
      <c r="B1128" s="19" t="s">
        <v>26500</v>
      </c>
      <c r="C1128" s="20" t="n">
        <f aca="false">ROUND(1.04/FX,2)</f>
        <v>0.14</v>
      </c>
      <c r="D1128" s="21" t="s">
        <v>13997</v>
      </c>
      <c r="E1128" s="21" t="s">
        <v>3247</v>
      </c>
      <c r="F1128" s="21" t="s">
        <v>11409</v>
      </c>
      <c r="G1128" s="21" t="s">
        <v>26482</v>
      </c>
    </row>
    <row r="1129" customFormat="false" ht="15" hidden="false" customHeight="false" outlineLevel="0" collapsed="false">
      <c r="B1129" s="19" t="s">
        <v>26501</v>
      </c>
      <c r="C1129" s="20" t="n">
        <f aca="false">ROUND(1.11/FX,2)</f>
        <v>0.15</v>
      </c>
      <c r="D1129" s="21" t="s">
        <v>14016</v>
      </c>
      <c r="E1129" s="21" t="s">
        <v>3317</v>
      </c>
      <c r="F1129" s="21" t="s">
        <v>11409</v>
      </c>
      <c r="G1129" s="21" t="s">
        <v>26482</v>
      </c>
    </row>
    <row r="1130" customFormat="false" ht="15" hidden="false" customHeight="false" outlineLevel="0" collapsed="false">
      <c r="B1130" s="19" t="s">
        <v>26502</v>
      </c>
      <c r="C1130" s="20" t="n">
        <f aca="false">ROUND(1.11/FX,2)</f>
        <v>0.15</v>
      </c>
      <c r="D1130" s="21" t="s">
        <v>14056</v>
      </c>
      <c r="E1130" s="21" t="s">
        <v>784</v>
      </c>
      <c r="F1130" s="21" t="s">
        <v>11409</v>
      </c>
      <c r="G1130" s="21" t="s">
        <v>26482</v>
      </c>
    </row>
    <row r="1131" customFormat="false" ht="15" hidden="false" customHeight="false" outlineLevel="0" collapsed="false">
      <c r="B1131" s="19" t="s">
        <v>26503</v>
      </c>
      <c r="C1131" s="20" t="n">
        <f aca="false">ROUND(1.03/FX,2)</f>
        <v>0.14</v>
      </c>
      <c r="D1131" s="21" t="s">
        <v>25462</v>
      </c>
      <c r="E1131" s="21" t="s">
        <v>716</v>
      </c>
      <c r="F1131" s="21" t="s">
        <v>11409</v>
      </c>
      <c r="G1131" s="21" t="s">
        <v>26482</v>
      </c>
    </row>
    <row r="1132" customFormat="false" ht="15" hidden="false" customHeight="false" outlineLevel="0" collapsed="false">
      <c r="B1132" s="19" t="s">
        <v>26504</v>
      </c>
      <c r="C1132" s="20" t="n">
        <f aca="false">ROUND(1.05/FX,2)</f>
        <v>0.15</v>
      </c>
      <c r="D1132" s="21" t="s">
        <v>13981</v>
      </c>
      <c r="E1132" s="21" t="s">
        <v>847</v>
      </c>
      <c r="F1132" s="21" t="s">
        <v>11409</v>
      </c>
      <c r="G1132" s="21" t="s">
        <v>26482</v>
      </c>
    </row>
    <row r="1133" customFormat="false" ht="15" hidden="false" customHeight="false" outlineLevel="0" collapsed="false">
      <c r="B1133" s="19" t="s">
        <v>26505</v>
      </c>
      <c r="C1133" s="20" t="n">
        <f aca="false">ROUND(1.1/FX,2)</f>
        <v>0.15</v>
      </c>
      <c r="D1133" s="21" t="s">
        <v>14016</v>
      </c>
      <c r="E1133" s="21" t="s">
        <v>707</v>
      </c>
      <c r="F1133" s="21" t="s">
        <v>11411</v>
      </c>
      <c r="G1133" s="21" t="s">
        <v>26482</v>
      </c>
    </row>
    <row r="1134" customFormat="false" ht="15" hidden="false" customHeight="false" outlineLevel="0" collapsed="false">
      <c r="B1134" s="19" t="s">
        <v>26506</v>
      </c>
      <c r="C1134" s="20" t="n">
        <f aca="false">ROUND(1.1/FX,2)</f>
        <v>0.15</v>
      </c>
      <c r="D1134" s="21" t="s">
        <v>14056</v>
      </c>
      <c r="E1134" s="21" t="s">
        <v>761</v>
      </c>
      <c r="F1134" s="21" t="s">
        <v>11411</v>
      </c>
      <c r="G1134" s="21" t="s">
        <v>26482</v>
      </c>
    </row>
    <row r="1135" customFormat="false" ht="15" hidden="false" customHeight="false" outlineLevel="0" collapsed="false">
      <c r="B1135" s="19" t="s">
        <v>26507</v>
      </c>
      <c r="C1135" s="20" t="n">
        <f aca="false">ROUND(1.03/FX,2)</f>
        <v>0.14</v>
      </c>
      <c r="D1135" s="21" t="s">
        <v>13994</v>
      </c>
      <c r="E1135" s="21" t="s">
        <v>4721</v>
      </c>
      <c r="F1135" s="21" t="s">
        <v>11411</v>
      </c>
      <c r="G1135" s="21" t="s">
        <v>26482</v>
      </c>
    </row>
    <row r="1136" customFormat="false" ht="15" hidden="false" customHeight="false" outlineLevel="0" collapsed="false">
      <c r="B1136" s="19" t="s">
        <v>26508</v>
      </c>
      <c r="C1136" s="20" t="n">
        <f aca="false">ROUND(1.12/FX,2)</f>
        <v>0.16</v>
      </c>
      <c r="D1136" s="21" t="s">
        <v>13994</v>
      </c>
      <c r="E1136" s="21" t="s">
        <v>3833</v>
      </c>
      <c r="F1136" s="21" t="s">
        <v>11411</v>
      </c>
      <c r="G1136" s="21" t="s">
        <v>26482</v>
      </c>
    </row>
    <row r="1137" customFormat="false" ht="15" hidden="false" customHeight="false" outlineLevel="0" collapsed="false">
      <c r="B1137" s="19" t="s">
        <v>26509</v>
      </c>
      <c r="C1137" s="20" t="n">
        <f aca="false">ROUND(1.05/FX,2)</f>
        <v>0.15</v>
      </c>
      <c r="D1137" s="21" t="s">
        <v>14007</v>
      </c>
      <c r="E1137" s="21" t="s">
        <v>3247</v>
      </c>
      <c r="F1137" s="21" t="s">
        <v>11411</v>
      </c>
      <c r="G1137" s="21" t="s">
        <v>26482</v>
      </c>
    </row>
    <row r="1138" customFormat="false" ht="15" hidden="false" customHeight="false" outlineLevel="0" collapsed="false">
      <c r="B1138" s="19" t="s">
        <v>26510</v>
      </c>
      <c r="C1138" s="20" t="n">
        <f aca="false">ROUND(1.03/FX,2)</f>
        <v>0.14</v>
      </c>
      <c r="D1138" s="21" t="s">
        <v>13743</v>
      </c>
      <c r="E1138" s="21" t="s">
        <v>3317</v>
      </c>
      <c r="F1138" s="21" t="s">
        <v>11411</v>
      </c>
      <c r="G1138" s="21" t="s">
        <v>26482</v>
      </c>
    </row>
    <row r="1139" customFormat="false" ht="15" hidden="false" customHeight="false" outlineLevel="0" collapsed="false">
      <c r="B1139" s="19" t="s">
        <v>26511</v>
      </c>
      <c r="C1139" s="20" t="n">
        <f aca="false">ROUND(1.18/FX,2)</f>
        <v>0.16</v>
      </c>
      <c r="D1139" s="21" t="s">
        <v>13743</v>
      </c>
      <c r="E1139" s="21" t="s">
        <v>784</v>
      </c>
      <c r="F1139" s="21" t="s">
        <v>11411</v>
      </c>
      <c r="G1139" s="21" t="s">
        <v>26482</v>
      </c>
    </row>
    <row r="1140" customFormat="false" ht="15" hidden="false" customHeight="false" outlineLevel="0" collapsed="false">
      <c r="B1140" s="19" t="s">
        <v>26512</v>
      </c>
      <c r="C1140" s="20" t="n">
        <f aca="false">ROUND(1.06/FX,2)</f>
        <v>0.15</v>
      </c>
      <c r="D1140" s="21" t="s">
        <v>14016</v>
      </c>
      <c r="E1140" s="21" t="s">
        <v>847</v>
      </c>
      <c r="F1140" s="21" t="s">
        <v>11411</v>
      </c>
      <c r="G1140" s="21" t="s">
        <v>26482</v>
      </c>
    </row>
    <row r="1141" customFormat="false" ht="15" hidden="false" customHeight="false" outlineLevel="0" collapsed="false">
      <c r="B1141" s="19" t="s">
        <v>26513</v>
      </c>
      <c r="C1141" s="20" t="n">
        <f aca="false">ROUND(1.12/FX,2)</f>
        <v>0.16</v>
      </c>
      <c r="D1141" s="21" t="s">
        <v>14007</v>
      </c>
      <c r="E1141" s="21" t="s">
        <v>707</v>
      </c>
      <c r="F1141" s="21" t="s">
        <v>11413</v>
      </c>
      <c r="G1141" s="21" t="s">
        <v>26482</v>
      </c>
    </row>
    <row r="1142" customFormat="false" ht="15" hidden="false" customHeight="false" outlineLevel="0" collapsed="false">
      <c r="B1142" s="19" t="s">
        <v>26514</v>
      </c>
      <c r="C1142" s="20" t="n">
        <f aca="false">ROUND(1.18/FX,2)</f>
        <v>0.16</v>
      </c>
      <c r="D1142" s="21" t="s">
        <v>14007</v>
      </c>
      <c r="E1142" s="21" t="s">
        <v>761</v>
      </c>
      <c r="F1142" s="21" t="s">
        <v>11413</v>
      </c>
      <c r="G1142" s="21" t="s">
        <v>26482</v>
      </c>
    </row>
    <row r="1143" customFormat="false" ht="15" hidden="false" customHeight="false" outlineLevel="0" collapsed="false">
      <c r="B1143" s="19" t="s">
        <v>26515</v>
      </c>
      <c r="C1143" s="20" t="n">
        <f aca="false">ROUND(1.1/FX,2)</f>
        <v>0.15</v>
      </c>
      <c r="D1143" s="21" t="s">
        <v>13743</v>
      </c>
      <c r="E1143" s="21" t="s">
        <v>4721</v>
      </c>
      <c r="F1143" s="21" t="s">
        <v>11413</v>
      </c>
      <c r="G1143" s="21" t="s">
        <v>26482</v>
      </c>
    </row>
    <row r="1144" customFormat="false" ht="15" hidden="false" customHeight="false" outlineLevel="0" collapsed="false">
      <c r="B1144" s="19" t="s">
        <v>26516</v>
      </c>
      <c r="C1144" s="20" t="n">
        <f aca="false">ROUND(1.13/FX,2)</f>
        <v>0.16</v>
      </c>
      <c r="D1144" s="21" t="s">
        <v>13743</v>
      </c>
      <c r="E1144" s="21" t="s">
        <v>3833</v>
      </c>
      <c r="F1144" s="21" t="s">
        <v>11413</v>
      </c>
      <c r="G1144" s="21" t="s">
        <v>26482</v>
      </c>
    </row>
    <row r="1145" customFormat="false" ht="15" hidden="false" customHeight="false" outlineLevel="0" collapsed="false">
      <c r="B1145" s="19" t="s">
        <v>26517</v>
      </c>
      <c r="C1145" s="20" t="n">
        <f aca="false">ROUND(1.21/FX,2)</f>
        <v>0.17</v>
      </c>
      <c r="D1145" s="21" t="s">
        <v>13743</v>
      </c>
      <c r="E1145" s="21" t="s">
        <v>3247</v>
      </c>
      <c r="F1145" s="21" t="s">
        <v>11413</v>
      </c>
      <c r="G1145" s="21" t="s">
        <v>26482</v>
      </c>
    </row>
    <row r="1146" customFormat="false" ht="15" hidden="false" customHeight="false" outlineLevel="0" collapsed="false">
      <c r="B1146" s="19" t="s">
        <v>26518</v>
      </c>
      <c r="C1146" s="20" t="n">
        <f aca="false">ROUND(1.16/FX,2)</f>
        <v>0.16</v>
      </c>
      <c r="D1146" s="21" t="s">
        <v>14013</v>
      </c>
      <c r="E1146" s="21" t="s">
        <v>3317</v>
      </c>
      <c r="F1146" s="21" t="s">
        <v>11413</v>
      </c>
      <c r="G1146" s="21" t="s">
        <v>26482</v>
      </c>
    </row>
    <row r="1147" customFormat="false" ht="15" hidden="false" customHeight="false" outlineLevel="0" collapsed="false">
      <c r="B1147" s="19" t="s">
        <v>26519</v>
      </c>
      <c r="C1147" s="20" t="n">
        <f aca="false">ROUND(1.32/FX,2)</f>
        <v>0.18</v>
      </c>
      <c r="D1147" s="21" t="s">
        <v>14013</v>
      </c>
      <c r="E1147" s="21" t="s">
        <v>784</v>
      </c>
      <c r="F1147" s="21" t="s">
        <v>11413</v>
      </c>
      <c r="G1147" s="21" t="s">
        <v>26482</v>
      </c>
    </row>
    <row r="1148" customFormat="false" ht="15" hidden="false" customHeight="false" outlineLevel="0" collapsed="false">
      <c r="B1148" s="19" t="s">
        <v>26520</v>
      </c>
      <c r="C1148" s="20" t="n">
        <f aca="false">ROUND(1.11/FX,2)</f>
        <v>0.15</v>
      </c>
      <c r="D1148" s="21" t="s">
        <v>13751</v>
      </c>
      <c r="E1148" s="21" t="s">
        <v>3328</v>
      </c>
      <c r="F1148" s="21" t="s">
        <v>11413</v>
      </c>
      <c r="G1148" s="21" t="s">
        <v>26482</v>
      </c>
    </row>
    <row r="1149" customFormat="false" ht="15" hidden="false" customHeight="false" outlineLevel="0" collapsed="false">
      <c r="B1149" s="19" t="s">
        <v>26521</v>
      </c>
      <c r="C1149" s="20" t="n">
        <f aca="false">ROUND(1.23/FX,2)</f>
        <v>0.17</v>
      </c>
      <c r="D1149" s="21" t="s">
        <v>13751</v>
      </c>
      <c r="E1149" s="21" t="s">
        <v>6246</v>
      </c>
      <c r="F1149" s="21" t="s">
        <v>11413</v>
      </c>
      <c r="G1149" s="21" t="s">
        <v>26482</v>
      </c>
    </row>
    <row r="1150" customFormat="false" ht="15" hidden="false" customHeight="false" outlineLevel="0" collapsed="false">
      <c r="B1150" s="19" t="s">
        <v>26522</v>
      </c>
      <c r="C1150" s="20" t="n">
        <f aca="false">ROUND(1.07/FX,2)</f>
        <v>0.15</v>
      </c>
      <c r="D1150" s="21" t="s">
        <v>14007</v>
      </c>
      <c r="E1150" s="21" t="s">
        <v>847</v>
      </c>
      <c r="F1150" s="21" t="s">
        <v>11413</v>
      </c>
      <c r="G1150" s="21" t="s">
        <v>26482</v>
      </c>
    </row>
    <row r="1151" customFormat="false" ht="15" hidden="false" customHeight="false" outlineLevel="0" collapsed="false">
      <c r="B1151" s="19" t="s">
        <v>26523</v>
      </c>
      <c r="C1151" s="20" t="n">
        <f aca="false">ROUND(1.27/FX,2)</f>
        <v>0.18</v>
      </c>
      <c r="D1151" s="21" t="s">
        <v>13751</v>
      </c>
      <c r="E1151" s="21" t="s">
        <v>707</v>
      </c>
      <c r="F1151" s="21" t="s">
        <v>11415</v>
      </c>
      <c r="G1151" s="21" t="s">
        <v>26482</v>
      </c>
    </row>
    <row r="1152" customFormat="false" ht="15" hidden="false" customHeight="false" outlineLevel="0" collapsed="false">
      <c r="B1152" s="19" t="s">
        <v>26524</v>
      </c>
      <c r="C1152" s="20" t="n">
        <f aca="false">ROUND(1.33/FX,2)</f>
        <v>0.18</v>
      </c>
      <c r="D1152" s="21" t="s">
        <v>13751</v>
      </c>
      <c r="E1152" s="21" t="s">
        <v>761</v>
      </c>
      <c r="F1152" s="21" t="s">
        <v>11415</v>
      </c>
      <c r="G1152" s="21" t="s">
        <v>26482</v>
      </c>
    </row>
    <row r="1153" customFormat="false" ht="15" hidden="false" customHeight="false" outlineLevel="0" collapsed="false">
      <c r="B1153" s="19" t="s">
        <v>26525</v>
      </c>
      <c r="C1153" s="20" t="n">
        <f aca="false">ROUND(1.4/FX,2)</f>
        <v>0.19</v>
      </c>
      <c r="D1153" s="21" t="s">
        <v>13751</v>
      </c>
      <c r="E1153" s="21" t="s">
        <v>4721</v>
      </c>
      <c r="F1153" s="21" t="s">
        <v>11415</v>
      </c>
      <c r="G1153" s="21" t="s">
        <v>26482</v>
      </c>
    </row>
    <row r="1154" customFormat="false" ht="15" hidden="false" customHeight="false" outlineLevel="0" collapsed="false">
      <c r="B1154" s="19" t="s">
        <v>26526</v>
      </c>
      <c r="C1154" s="20" t="n">
        <f aca="false">ROUND(1.46/FX,2)</f>
        <v>0.2</v>
      </c>
      <c r="D1154" s="21" t="s">
        <v>13751</v>
      </c>
      <c r="E1154" s="21" t="s">
        <v>3833</v>
      </c>
      <c r="F1154" s="21" t="s">
        <v>11415</v>
      </c>
      <c r="G1154" s="21" t="s">
        <v>26482</v>
      </c>
    </row>
    <row r="1155" customFormat="false" ht="15" hidden="false" customHeight="false" outlineLevel="0" collapsed="false">
      <c r="B1155" s="19" t="s">
        <v>26527</v>
      </c>
      <c r="C1155" s="20" t="n">
        <f aca="false">ROUND(1/FX,2)</f>
        <v>0.14</v>
      </c>
      <c r="D1155" s="21" t="s">
        <v>13739</v>
      </c>
      <c r="E1155" s="21" t="s">
        <v>4000</v>
      </c>
      <c r="F1155" s="21" t="s">
        <v>11415</v>
      </c>
      <c r="G1155" s="21" t="s">
        <v>26482</v>
      </c>
    </row>
    <row r="1156" customFormat="false" ht="15" hidden="false" customHeight="false" outlineLevel="0" collapsed="false">
      <c r="B1156" s="19" t="s">
        <v>26528</v>
      </c>
      <c r="C1156" s="20" t="n">
        <f aca="false">ROUND(1.06/FX,2)</f>
        <v>0.15</v>
      </c>
      <c r="D1156" s="21" t="s">
        <v>13739</v>
      </c>
      <c r="E1156" s="21" t="s">
        <v>3247</v>
      </c>
      <c r="F1156" s="21" t="s">
        <v>11415</v>
      </c>
      <c r="G1156" s="21" t="s">
        <v>26482</v>
      </c>
    </row>
    <row r="1157" customFormat="false" ht="15" hidden="false" customHeight="false" outlineLevel="0" collapsed="false">
      <c r="B1157" s="19" t="s">
        <v>26529</v>
      </c>
      <c r="C1157" s="20" t="n">
        <f aca="false">ROUND(1.2/FX,2)</f>
        <v>0.17</v>
      </c>
      <c r="D1157" s="21" t="s">
        <v>13739</v>
      </c>
      <c r="E1157" s="21" t="s">
        <v>3317</v>
      </c>
      <c r="F1157" s="21" t="s">
        <v>11415</v>
      </c>
      <c r="G1157" s="21" t="s">
        <v>26482</v>
      </c>
    </row>
    <row r="1158" customFormat="false" ht="15" hidden="false" customHeight="false" outlineLevel="0" collapsed="false">
      <c r="B1158" s="19" t="s">
        <v>26530</v>
      </c>
      <c r="C1158" s="20" t="n">
        <f aca="false">ROUND(1.3/FX,2)</f>
        <v>0.18</v>
      </c>
      <c r="D1158" s="21" t="s">
        <v>13739</v>
      </c>
      <c r="E1158" s="21" t="s">
        <v>784</v>
      </c>
      <c r="F1158" s="21" t="s">
        <v>11415</v>
      </c>
      <c r="G1158" s="21" t="s">
        <v>26482</v>
      </c>
    </row>
    <row r="1159" customFormat="false" ht="15" hidden="false" customHeight="false" outlineLevel="0" collapsed="false">
      <c r="B1159" s="19" t="s">
        <v>26531</v>
      </c>
      <c r="C1159" s="20" t="n">
        <f aca="false">ROUND(1.41/FX,2)</f>
        <v>0.2</v>
      </c>
      <c r="D1159" s="21" t="s">
        <v>13739</v>
      </c>
      <c r="E1159" s="21" t="s">
        <v>3328</v>
      </c>
      <c r="F1159" s="21" t="s">
        <v>11415</v>
      </c>
      <c r="G1159" s="21" t="s">
        <v>26482</v>
      </c>
    </row>
    <row r="1160" customFormat="false" ht="15" hidden="false" customHeight="false" outlineLevel="0" collapsed="false">
      <c r="B1160" s="19" t="s">
        <v>26532</v>
      </c>
      <c r="C1160" s="20" t="n">
        <f aca="false">ROUND(1.52/FX,2)</f>
        <v>0.21</v>
      </c>
      <c r="D1160" s="21" t="s">
        <v>13739</v>
      </c>
      <c r="E1160" s="21" t="s">
        <v>6246</v>
      </c>
      <c r="F1160" s="21" t="s">
        <v>11415</v>
      </c>
      <c r="G1160" s="21" t="s">
        <v>26482</v>
      </c>
    </row>
    <row r="1163" customFormat="false" ht="61.5" hidden="false" customHeight="true" outlineLevel="0" collapsed="false">
      <c r="A1163" s="9"/>
      <c r="B1163" s="10" t="s">
        <v>26533</v>
      </c>
      <c r="C1163" s="10"/>
      <c r="D1163" s="10"/>
      <c r="E1163" s="10"/>
      <c r="F1163" s="10"/>
      <c r="G1163" s="10"/>
      <c r="H1163" s="10"/>
    </row>
    <row r="1164" customFormat="false" ht="15" hidden="false" customHeight="false" outlineLevel="0" collapsed="false">
      <c r="A1164" s="12" t="s">
        <v>700</v>
      </c>
      <c r="B1164" s="13" t="s">
        <v>701</v>
      </c>
      <c r="C1164" s="13" t="s">
        <v>702</v>
      </c>
      <c r="D1164" s="13" t="s">
        <v>705</v>
      </c>
      <c r="E1164" s="13" t="s">
        <v>723</v>
      </c>
      <c r="F1164" s="13" t="s">
        <v>11716</v>
      </c>
      <c r="G1164" s="13" t="s">
        <v>13701</v>
      </c>
      <c r="H1164" s="13" t="s">
        <v>26477</v>
      </c>
    </row>
    <row r="1165" customFormat="false" ht="30" hidden="false" customHeight="true" outlineLevel="0" collapsed="false">
      <c r="A1165" s="14" t="s">
        <v>706</v>
      </c>
      <c r="B1165" s="15" t="str">
        <f aca="false">IF(COUNTIFS($D$1168:$D$1185,IF(D1165="","*",D1165),$E$1168:$E$1185,IF(E1165="","*",E1165),$F$1168:$F$1185,IF(F1165="","*",F1165),$G$1168:$G$1185,IF(G1165="","*",G1165),$H$1168:$H$1185,IF(H1165="","*",H1165))=1,INDEX($B:$B,SUMPRODUCT(((D1165="")+($D$1168:$D$1185=D1165)&gt;0)*((E1165="")+($E$1168:$E$1185=E1165)&gt;0)*((F1165="")+($F$1168:$F$1185=F1165)&gt;0)*((G1165="")+($G$1168:$G$1185=G1165)&gt;0)*((H1165="")+($H$1168:$H$1185=H1165)&gt;0)*ROW($B$1168:$B$1185))),IF(COUNTIFS($D$1168:$D$1185,IF(D1165="","*",D1165),$E$1168:$E$1185,IF(E1165="","*",E1165),$F$1168:$F$1185,IF(F1165="","*",F1165),$G$1168:$G$1185,IF(G1165="","*",G1165),$H$1168:$H$1185,IF(H1165="","*",H1165))=0,"Not available",COUNTIFS($D$1168:$D$1185,IF(D1165="","*",D1165),$E$1168:$E$1185,IF(E1165="","*",E1165),$F$1168:$F$1185,IF(F1165="","*",F1165),$G$1168:$G$1185,IF(G1165="","*",G1165),$H$1168:$H$1185,IF(H1165="","*",H1165))&amp;" match, keep choosing"))</f>
        <v>FH-SS-CH-M5x10-P2</v>
      </c>
      <c r="C1165" s="16" t="n">
        <f aca="false">IF(COUNTIFS($D$1168:$D$1185,IF(D1165="","*",D1165),$E$1168:$E$1185,IF(E1165="","*",E1165),$F$1168:$F$1185,IF(F1165="","*",F1165),$G$1168:$G$1185,IF(G1165="","*",G1165),$H$1168:$H$1185,IF(H1165="","*",H1165))=1,INDEX($C:$C,SUMPRODUCT(((D1165="")+($D$1168:$D$1185=D1165)&gt;0)*((E1165="")+($E$1168:$E$1185=E1165)&gt;0)*((F1165="")+($F$1168:$F$1185=F1165)&gt;0)*((G1165="")+($G$1168:$G$1185=G1165)&gt;0)*((H1165="")+($H$1168:$H$1185=H1165)&gt;0)*ROW($B$1168:$B$1185))),"")</f>
        <v>0.03</v>
      </c>
      <c r="D1165" s="17" t="s">
        <v>13739</v>
      </c>
      <c r="E1165" s="17" t="s">
        <v>734</v>
      </c>
      <c r="F1165" s="17" t="s">
        <v>707</v>
      </c>
      <c r="G1165" s="17" t="s">
        <v>11411</v>
      </c>
      <c r="H1165" s="17" t="s">
        <v>26534</v>
      </c>
    </row>
    <row r="1167" customFormat="false" ht="15" hidden="false" customHeight="false" outlineLevel="0" collapsed="false">
      <c r="B1167" s="18" t="s">
        <v>701</v>
      </c>
      <c r="C1167" s="18" t="s">
        <v>702</v>
      </c>
      <c r="D1167" s="18" t="s">
        <v>705</v>
      </c>
      <c r="E1167" s="18" t="s">
        <v>723</v>
      </c>
      <c r="F1167" s="18" t="s">
        <v>11716</v>
      </c>
      <c r="G1167" s="18" t="s">
        <v>13701</v>
      </c>
      <c r="H1167" s="18" t="s">
        <v>26477</v>
      </c>
    </row>
    <row r="1168" customFormat="false" ht="28.35" hidden="false" customHeight="false" outlineLevel="0" collapsed="false">
      <c r="B1168" s="19" t="s">
        <v>26535</v>
      </c>
      <c r="C1168" s="20" t="n">
        <f aca="false">ROUND(0.19/FX,2)</f>
        <v>0.03</v>
      </c>
      <c r="D1168" s="21" t="s">
        <v>13739</v>
      </c>
      <c r="E1168" s="21" t="s">
        <v>734</v>
      </c>
      <c r="F1168" s="21" t="s">
        <v>707</v>
      </c>
      <c r="G1168" s="21" t="s">
        <v>11411</v>
      </c>
      <c r="H1168" s="21" t="s">
        <v>26534</v>
      </c>
    </row>
    <row r="1169" customFormat="false" ht="28.35" hidden="false" customHeight="false" outlineLevel="0" collapsed="false">
      <c r="B1169" s="19" t="s">
        <v>26536</v>
      </c>
      <c r="C1169" s="20" t="n">
        <f aca="false">ROUND(0.51/FX,2)</f>
        <v>0.07</v>
      </c>
      <c r="D1169" s="21" t="s">
        <v>13743</v>
      </c>
      <c r="E1169" s="21" t="s">
        <v>734</v>
      </c>
      <c r="F1169" s="21" t="s">
        <v>761</v>
      </c>
      <c r="G1169" s="21" t="s">
        <v>11411</v>
      </c>
      <c r="H1169" s="21" t="s">
        <v>26534</v>
      </c>
    </row>
    <row r="1170" customFormat="false" ht="28.35" hidden="false" customHeight="false" outlineLevel="0" collapsed="false">
      <c r="B1170" s="19" t="s">
        <v>26537</v>
      </c>
      <c r="C1170" s="20" t="n">
        <f aca="false">ROUND(0.12/FX,2)</f>
        <v>0.02</v>
      </c>
      <c r="D1170" s="21" t="s">
        <v>13732</v>
      </c>
      <c r="E1170" s="21" t="s">
        <v>734</v>
      </c>
      <c r="F1170" s="21" t="s">
        <v>3833</v>
      </c>
      <c r="G1170" s="21" t="s">
        <v>11411</v>
      </c>
      <c r="H1170" s="21" t="s">
        <v>26534</v>
      </c>
    </row>
    <row r="1171" customFormat="false" ht="28.35" hidden="false" customHeight="false" outlineLevel="0" collapsed="false">
      <c r="B1171" s="19" t="s">
        <v>26538</v>
      </c>
      <c r="C1171" s="20" t="n">
        <f aca="false">ROUND(0.14/FX,2)</f>
        <v>0.02</v>
      </c>
      <c r="D1171" s="21" t="s">
        <v>13732</v>
      </c>
      <c r="E1171" s="21" t="s">
        <v>734</v>
      </c>
      <c r="F1171" s="21" t="s">
        <v>3247</v>
      </c>
      <c r="G1171" s="21" t="s">
        <v>11411</v>
      </c>
      <c r="H1171" s="21" t="s">
        <v>26534</v>
      </c>
    </row>
    <row r="1172" customFormat="false" ht="28.35" hidden="false" customHeight="false" outlineLevel="0" collapsed="false">
      <c r="B1172" s="19" t="s">
        <v>26539</v>
      </c>
      <c r="C1172" s="20" t="n">
        <f aca="false">ROUND(0.33/FX,2)</f>
        <v>0.05</v>
      </c>
      <c r="D1172" s="21" t="s">
        <v>13739</v>
      </c>
      <c r="E1172" s="21" t="s">
        <v>734</v>
      </c>
      <c r="F1172" s="21" t="s">
        <v>3317</v>
      </c>
      <c r="G1172" s="21" t="s">
        <v>11411</v>
      </c>
      <c r="H1172" s="21" t="s">
        <v>26534</v>
      </c>
    </row>
    <row r="1173" customFormat="false" ht="28.35" hidden="false" customHeight="false" outlineLevel="0" collapsed="false">
      <c r="B1173" s="19" t="s">
        <v>26540</v>
      </c>
      <c r="C1173" s="20" t="n">
        <f aca="false">ROUND(0.38/FX,2)</f>
        <v>0.05</v>
      </c>
      <c r="D1173" s="21" t="s">
        <v>13739</v>
      </c>
      <c r="E1173" s="21" t="s">
        <v>734</v>
      </c>
      <c r="F1173" s="21" t="s">
        <v>784</v>
      </c>
      <c r="G1173" s="21" t="s">
        <v>11411</v>
      </c>
      <c r="H1173" s="21" t="s">
        <v>26534</v>
      </c>
    </row>
    <row r="1174" customFormat="false" ht="28.35" hidden="false" customHeight="false" outlineLevel="0" collapsed="false">
      <c r="B1174" s="19" t="s">
        <v>26541</v>
      </c>
      <c r="C1174" s="20" t="n">
        <f aca="false">ROUND(0.31/FX,2)</f>
        <v>0.04</v>
      </c>
      <c r="D1174" s="21" t="s">
        <v>13739</v>
      </c>
      <c r="E1174" s="21" t="s">
        <v>734</v>
      </c>
      <c r="F1174" s="21" t="s">
        <v>3328</v>
      </c>
      <c r="G1174" s="21" t="s">
        <v>11411</v>
      </c>
      <c r="H1174" s="21" t="s">
        <v>26534</v>
      </c>
    </row>
    <row r="1175" customFormat="false" ht="28.35" hidden="false" customHeight="false" outlineLevel="0" collapsed="false">
      <c r="B1175" s="19" t="s">
        <v>26542</v>
      </c>
      <c r="C1175" s="20" t="n">
        <f aca="false">ROUND(0.24/FX,2)</f>
        <v>0.03</v>
      </c>
      <c r="D1175" s="21" t="s">
        <v>13732</v>
      </c>
      <c r="E1175" s="21" t="s">
        <v>734</v>
      </c>
      <c r="F1175" s="21" t="s">
        <v>6246</v>
      </c>
      <c r="G1175" s="21" t="s">
        <v>11411</v>
      </c>
      <c r="H1175" s="21" t="s">
        <v>26534</v>
      </c>
    </row>
    <row r="1176" customFormat="false" ht="28.35" hidden="false" customHeight="false" outlineLevel="0" collapsed="false">
      <c r="B1176" s="19" t="s">
        <v>26543</v>
      </c>
      <c r="C1176" s="20" t="n">
        <f aca="false">ROUND(0.14/FX,2)</f>
        <v>0.02</v>
      </c>
      <c r="D1176" s="21" t="s">
        <v>13732</v>
      </c>
      <c r="E1176" s="21" t="s">
        <v>734</v>
      </c>
      <c r="F1176" s="21" t="s">
        <v>7358</v>
      </c>
      <c r="G1176" s="21" t="s">
        <v>11411</v>
      </c>
      <c r="H1176" s="21" t="s">
        <v>26534</v>
      </c>
    </row>
    <row r="1177" customFormat="false" ht="28.35" hidden="false" customHeight="false" outlineLevel="0" collapsed="false">
      <c r="B1177" s="19" t="s">
        <v>26544</v>
      </c>
      <c r="C1177" s="20" t="n">
        <f aca="false">ROUND(0.29/FX,2)</f>
        <v>0.04</v>
      </c>
      <c r="D1177" s="21" t="s">
        <v>13732</v>
      </c>
      <c r="E1177" s="21" t="s">
        <v>734</v>
      </c>
      <c r="F1177" s="21" t="s">
        <v>2911</v>
      </c>
      <c r="G1177" s="21" t="s">
        <v>11411</v>
      </c>
      <c r="H1177" s="21" t="s">
        <v>26534</v>
      </c>
    </row>
    <row r="1178" customFormat="false" ht="28.35" hidden="false" customHeight="false" outlineLevel="0" collapsed="false">
      <c r="B1178" s="19" t="s">
        <v>26545</v>
      </c>
      <c r="C1178" s="20" t="n">
        <f aca="false">ROUND(0.17/FX,2)</f>
        <v>0.02</v>
      </c>
      <c r="D1178" s="21" t="s">
        <v>13739</v>
      </c>
      <c r="E1178" s="21" t="s">
        <v>734</v>
      </c>
      <c r="F1178" s="21" t="s">
        <v>847</v>
      </c>
      <c r="G1178" s="21" t="s">
        <v>11411</v>
      </c>
      <c r="H1178" s="21" t="s">
        <v>26534</v>
      </c>
    </row>
    <row r="1179" customFormat="false" ht="15" hidden="false" customHeight="false" outlineLevel="0" collapsed="false">
      <c r="B1179" s="19" t="s">
        <v>26546</v>
      </c>
      <c r="C1179" s="20" t="n">
        <f aca="false">ROUND(4.03/FX,2)</f>
        <v>0.56</v>
      </c>
      <c r="D1179" s="21" t="s">
        <v>13743</v>
      </c>
      <c r="E1179" s="21" t="s">
        <v>26547</v>
      </c>
      <c r="F1179" s="21" t="s">
        <v>716</v>
      </c>
      <c r="G1179" s="21" t="s">
        <v>11409</v>
      </c>
      <c r="H1179" s="21" t="s">
        <v>26548</v>
      </c>
    </row>
    <row r="1180" customFormat="false" ht="15" hidden="false" customHeight="false" outlineLevel="0" collapsed="false">
      <c r="B1180" s="19" t="s">
        <v>26549</v>
      </c>
      <c r="C1180" s="20" t="n">
        <f aca="false">ROUND(4.03/FX,2)</f>
        <v>0.56</v>
      </c>
      <c r="D1180" s="21" t="s">
        <v>23567</v>
      </c>
      <c r="E1180" s="21" t="s">
        <v>26547</v>
      </c>
      <c r="F1180" s="21" t="s">
        <v>847</v>
      </c>
      <c r="G1180" s="21" t="s">
        <v>11409</v>
      </c>
      <c r="H1180" s="21" t="s">
        <v>26548</v>
      </c>
    </row>
    <row r="1181" customFormat="false" ht="15" hidden="false" customHeight="false" outlineLevel="0" collapsed="false">
      <c r="B1181" s="19" t="s">
        <v>26550</v>
      </c>
      <c r="C1181" s="20" t="n">
        <f aca="false">ROUND(0.41/FX,2)</f>
        <v>0.06</v>
      </c>
      <c r="D1181" s="21" t="s">
        <v>13743</v>
      </c>
      <c r="E1181" s="21" t="s">
        <v>734</v>
      </c>
      <c r="F1181" s="21" t="s">
        <v>707</v>
      </c>
      <c r="G1181" s="21" t="s">
        <v>11411</v>
      </c>
      <c r="H1181" s="21" t="s">
        <v>26548</v>
      </c>
    </row>
    <row r="1182" customFormat="false" ht="15" hidden="false" customHeight="false" outlineLevel="0" collapsed="false">
      <c r="B1182" s="19" t="s">
        <v>26551</v>
      </c>
      <c r="C1182" s="20" t="n">
        <f aca="false">ROUND(0.3/FX,2)</f>
        <v>0.04</v>
      </c>
      <c r="D1182" s="21" t="s">
        <v>13732</v>
      </c>
      <c r="E1182" s="21" t="s">
        <v>734</v>
      </c>
      <c r="F1182" s="21" t="s">
        <v>2961</v>
      </c>
      <c r="G1182" s="21" t="s">
        <v>11411</v>
      </c>
      <c r="H1182" s="21" t="s">
        <v>26548</v>
      </c>
    </row>
    <row r="1183" customFormat="false" ht="15" hidden="false" customHeight="false" outlineLevel="0" collapsed="false">
      <c r="B1183" s="19" t="s">
        <v>26552</v>
      </c>
      <c r="C1183" s="20" t="n">
        <f aca="false">ROUND(0.39/FX,2)</f>
        <v>0.05</v>
      </c>
      <c r="D1183" s="21" t="s">
        <v>13743</v>
      </c>
      <c r="E1183" s="21" t="s">
        <v>734</v>
      </c>
      <c r="F1183" s="21" t="s">
        <v>847</v>
      </c>
      <c r="G1183" s="21" t="s">
        <v>11411</v>
      </c>
      <c r="H1183" s="21" t="s">
        <v>26548</v>
      </c>
    </row>
    <row r="1184" customFormat="false" ht="15" hidden="false" customHeight="false" outlineLevel="0" collapsed="false">
      <c r="B1184" s="19" t="s">
        <v>26553</v>
      </c>
      <c r="C1184" s="20" t="n">
        <f aca="false">ROUND(0.14/FX,2)</f>
        <v>0.02</v>
      </c>
      <c r="D1184" s="21" t="s">
        <v>13732</v>
      </c>
      <c r="E1184" s="21" t="s">
        <v>26554</v>
      </c>
      <c r="F1184" s="21" t="s">
        <v>761</v>
      </c>
      <c r="G1184" s="21" t="s">
        <v>11413</v>
      </c>
      <c r="H1184" s="21" t="s">
        <v>26548</v>
      </c>
    </row>
    <row r="1185" customFormat="false" ht="15" hidden="false" customHeight="false" outlineLevel="0" collapsed="false">
      <c r="B1185" s="19" t="s">
        <v>26555</v>
      </c>
      <c r="C1185" s="20" t="n">
        <f aca="false">ROUND(1.17/FX,2)</f>
        <v>0.16</v>
      </c>
      <c r="D1185" s="21" t="s">
        <v>14007</v>
      </c>
      <c r="E1185" s="21" t="s">
        <v>26554</v>
      </c>
      <c r="F1185" s="21" t="s">
        <v>3247</v>
      </c>
      <c r="G1185" s="21" t="s">
        <v>11413</v>
      </c>
      <c r="H1185" s="21" t="s">
        <v>26548</v>
      </c>
    </row>
    <row r="1188" customFormat="false" ht="61.5" hidden="false" customHeight="true" outlineLevel="0" collapsed="false">
      <c r="A1188" s="9"/>
      <c r="B1188" s="10" t="s">
        <v>26556</v>
      </c>
      <c r="C1188" s="10"/>
      <c r="D1188" s="10"/>
      <c r="E1188" s="10"/>
      <c r="F1188" s="10"/>
      <c r="G1188" s="10"/>
      <c r="H1188" s="10"/>
      <c r="I1188" s="10"/>
      <c r="J1188" s="10"/>
    </row>
    <row r="1189" customFormat="false" ht="15" hidden="false" customHeight="false" outlineLevel="0" collapsed="false">
      <c r="A1189" s="12" t="s">
        <v>700</v>
      </c>
      <c r="B1189" s="13" t="s">
        <v>701</v>
      </c>
      <c r="C1189" s="13" t="s">
        <v>702</v>
      </c>
      <c r="D1189" s="13" t="s">
        <v>722</v>
      </c>
      <c r="E1189" s="13" t="s">
        <v>705</v>
      </c>
      <c r="F1189" s="13" t="s">
        <v>13701</v>
      </c>
      <c r="G1189" s="13" t="s">
        <v>26557</v>
      </c>
      <c r="H1189" s="13" t="s">
        <v>26372</v>
      </c>
      <c r="I1189" s="13" t="s">
        <v>26558</v>
      </c>
      <c r="J1189" s="13" t="s">
        <v>26559</v>
      </c>
    </row>
    <row r="1190" customFormat="false" ht="30" hidden="false" customHeight="true" outlineLevel="0" collapsed="false">
      <c r="A1190" s="14" t="s">
        <v>706</v>
      </c>
      <c r="B1190" s="15" t="str">
        <f aca="false">IF(COUNTIFS($D$1193:$D$1247,IF(D1190="","*",D1190),$E$1193:$E$1247,IF(E1190="","*",E1190),$F$1193:$F$1247,IF(F1190="","*",F1190),$G$1193:$G$1247,IF(G1190="","*",G1190),$H$1193:$H$1247,IF(H1190="","*",H1190),$I$1193:$I$1247,IF(I1190="","*",I1190),$J$1193:$J$1247,IF(J1190="","*",J1190))=1,INDEX($B:$B,SUMPRODUCT(((D1190="")+($D$1193:$D$1247=D1190)&gt;0)*((E1190="")+($E$1193:$E$1247=E1190)&gt;0)*((F1190="")+($F$1193:$F$1247=F1190)&gt;0)*((G1190="")+($G$1193:$G$1247=G1190)&gt;0)*((H1190="")+($H$1193:$H$1247=H1190)&gt;0)*((I1190="")+($I$1193:$I$1247=I1190)&gt;0)*((J1190="")+($J$1193:$J$1247=J1190)&gt;0)*ROW($B$1193:$B$1247))),IF(COUNTIFS($D$1193:$D$1247,IF(D1190="","*",D1190),$E$1193:$E$1247,IF(E1190="","*",E1190),$F$1193:$F$1247,IF(F1190="","*",F1190),$G$1193:$G$1247,IF(G1190="","*",G1190),$H$1193:$H$1247,IF(H1190="","*",H1190),$I$1193:$I$1247,IF(I1190="","*",I1190),$J$1193:$J$1247,IF(J1190="","*",J1190))=0,"Not available",COUNTIFS($D$1193:$D$1247,IF(D1190="","*",D1190),$E$1193:$E$1247,IF(E1190="","*",E1190),$F$1193:$F$1247,IF(F1190="","*",F1190),$G$1193:$G$1247,IF(G1190="","*",G1190),$H$1193:$H$1247,IF(H1190="","*",H1190),$I$1193:$I$1247,IF(I1190="","*",I1190),$J$1193:$J$1247,IF(J1190="","*",J1190))&amp;" match, keep choosing"))</f>
        <v>ADJ-AL-BK-E-M10x80x20-P1</v>
      </c>
      <c r="C1190" s="16" t="n">
        <f aca="false">IF(COUNTIFS($D$1193:$D$1247,IF(D1190="","*",D1190),$E$1193:$E$1247,IF(E1190="","*",E1190),$F$1193:$F$1247,IF(F1190="","*",F1190),$G$1193:$G$1247,IF(G1190="","*",G1190),$H$1193:$H$1247,IF(H1190="","*",H1190),$I$1193:$I$1247,IF(I1190="","*",I1190),$J$1193:$J$1247,IF(J1190="","*",J1190))=1,INDEX($C:$C,SUMPRODUCT(((D1190="")+($D$1193:$D$1247=D1190)&gt;0)*((E1190="")+($E$1193:$E$1247=E1190)&gt;0)*((F1190="")+($F$1193:$F$1247=F1190)&gt;0)*((G1190="")+($G$1193:$G$1247=G1190)&gt;0)*((H1190="")+($H$1193:$H$1247=H1190)&gt;0)*((I1190="")+($I$1193:$I$1247=I1190)&gt;0)*((J1190="")+($J$1193:$J$1247=J1190)&gt;0)*ROW($B$1193:$B$1247))),"")</f>
        <v>0.33</v>
      </c>
      <c r="D1190" s="17" t="s">
        <v>724</v>
      </c>
      <c r="E1190" s="17" t="s">
        <v>13732</v>
      </c>
      <c r="F1190" s="17" t="s">
        <v>22841</v>
      </c>
      <c r="G1190" s="17" t="s">
        <v>8168</v>
      </c>
      <c r="H1190" s="17" t="s">
        <v>26560</v>
      </c>
      <c r="I1190" s="17" t="s">
        <v>3061</v>
      </c>
      <c r="J1190" s="17" t="s">
        <v>3247</v>
      </c>
    </row>
    <row r="1192" customFormat="false" ht="15" hidden="false" customHeight="false" outlineLevel="0" collapsed="false">
      <c r="B1192" s="18" t="s">
        <v>701</v>
      </c>
      <c r="C1192" s="18" t="s">
        <v>702</v>
      </c>
      <c r="D1192" s="18" t="s">
        <v>722</v>
      </c>
      <c r="E1192" s="18" t="s">
        <v>705</v>
      </c>
      <c r="F1192" s="18" t="s">
        <v>13701</v>
      </c>
      <c r="G1192" s="18" t="s">
        <v>26557</v>
      </c>
      <c r="H1192" s="18" t="s">
        <v>26372</v>
      </c>
      <c r="I1192" s="18" t="s">
        <v>26558</v>
      </c>
      <c r="J1192" s="18" t="s">
        <v>26559</v>
      </c>
    </row>
    <row r="1193" customFormat="false" ht="15" hidden="false" customHeight="false" outlineLevel="0" collapsed="false">
      <c r="B1193" s="19" t="s">
        <v>26561</v>
      </c>
      <c r="C1193" s="20" t="n">
        <f aca="false">ROUND(2.34/FX,2)</f>
        <v>0.33</v>
      </c>
      <c r="D1193" s="21" t="s">
        <v>724</v>
      </c>
      <c r="E1193" s="21" t="s">
        <v>13732</v>
      </c>
      <c r="F1193" s="21" t="s">
        <v>22841</v>
      </c>
      <c r="G1193" s="21" t="s">
        <v>8168</v>
      </c>
      <c r="H1193" s="21" t="s">
        <v>26560</v>
      </c>
      <c r="I1193" s="21" t="s">
        <v>3061</v>
      </c>
      <c r="J1193" s="21" t="s">
        <v>3247</v>
      </c>
    </row>
    <row r="1194" customFormat="false" ht="15" hidden="false" customHeight="false" outlineLevel="0" collapsed="false">
      <c r="B1194" s="19" t="s">
        <v>26562</v>
      </c>
      <c r="C1194" s="20" t="n">
        <f aca="false">ROUND(2.34/FX,2)</f>
        <v>0.33</v>
      </c>
      <c r="D1194" s="21" t="s">
        <v>724</v>
      </c>
      <c r="E1194" s="21" t="s">
        <v>13732</v>
      </c>
      <c r="F1194" s="21" t="s">
        <v>22841</v>
      </c>
      <c r="G1194" s="21" t="s">
        <v>8168</v>
      </c>
      <c r="H1194" s="21" t="s">
        <v>26560</v>
      </c>
      <c r="I1194" s="21" t="s">
        <v>3061</v>
      </c>
      <c r="J1194" s="21" t="s">
        <v>3317</v>
      </c>
    </row>
    <row r="1195" customFormat="false" ht="15" hidden="false" customHeight="false" outlineLevel="0" collapsed="false">
      <c r="B1195" s="19" t="s">
        <v>26563</v>
      </c>
      <c r="C1195" s="20" t="n">
        <f aca="false">ROUND(2.34/FX,2)</f>
        <v>0.33</v>
      </c>
      <c r="D1195" s="21" t="s">
        <v>724</v>
      </c>
      <c r="E1195" s="21" t="s">
        <v>13732</v>
      </c>
      <c r="F1195" s="21" t="s">
        <v>22841</v>
      </c>
      <c r="G1195" s="21" t="s">
        <v>8168</v>
      </c>
      <c r="H1195" s="21" t="s">
        <v>26560</v>
      </c>
      <c r="I1195" s="21" t="s">
        <v>3061</v>
      </c>
      <c r="J1195" s="21" t="s">
        <v>6244</v>
      </c>
    </row>
    <row r="1196" customFormat="false" ht="15" hidden="false" customHeight="false" outlineLevel="0" collapsed="false">
      <c r="B1196" s="19" t="s">
        <v>26564</v>
      </c>
      <c r="C1196" s="20" t="n">
        <f aca="false">ROUND(2.47/FX,2)</f>
        <v>0.34</v>
      </c>
      <c r="D1196" s="21" t="s">
        <v>724</v>
      </c>
      <c r="E1196" s="21" t="s">
        <v>13732</v>
      </c>
      <c r="F1196" s="21" t="s">
        <v>22841</v>
      </c>
      <c r="G1196" s="21" t="s">
        <v>8168</v>
      </c>
      <c r="H1196" s="21" t="s">
        <v>26560</v>
      </c>
      <c r="I1196" s="21" t="s">
        <v>3061</v>
      </c>
      <c r="J1196" s="21" t="s">
        <v>6246</v>
      </c>
    </row>
    <row r="1197" customFormat="false" ht="15" hidden="false" customHeight="false" outlineLevel="0" collapsed="false">
      <c r="B1197" s="19" t="s">
        <v>26565</v>
      </c>
      <c r="C1197" s="20" t="n">
        <f aca="false">ROUND(2.6/FX,2)</f>
        <v>0.36</v>
      </c>
      <c r="D1197" s="21" t="s">
        <v>724</v>
      </c>
      <c r="E1197" s="21" t="s">
        <v>13732</v>
      </c>
      <c r="F1197" s="21" t="s">
        <v>22841</v>
      </c>
      <c r="G1197" s="21" t="s">
        <v>8168</v>
      </c>
      <c r="H1197" s="21" t="s">
        <v>26560</v>
      </c>
      <c r="I1197" s="21" t="s">
        <v>3061</v>
      </c>
      <c r="J1197" s="21" t="s">
        <v>2911</v>
      </c>
    </row>
    <row r="1198" customFormat="false" ht="15" hidden="false" customHeight="false" outlineLevel="0" collapsed="false">
      <c r="B1198" s="19" t="s">
        <v>26566</v>
      </c>
      <c r="C1198" s="20" t="n">
        <f aca="false">ROUND(3.12/FX,2)</f>
        <v>0.43</v>
      </c>
      <c r="D1198" s="21" t="s">
        <v>724</v>
      </c>
      <c r="E1198" s="21" t="s">
        <v>13732</v>
      </c>
      <c r="F1198" s="21" t="s">
        <v>22841</v>
      </c>
      <c r="G1198" s="21" t="s">
        <v>8168</v>
      </c>
      <c r="H1198" s="21" t="s">
        <v>26560</v>
      </c>
      <c r="I1198" s="21" t="s">
        <v>3061</v>
      </c>
      <c r="J1198" s="21" t="s">
        <v>2961</v>
      </c>
    </row>
    <row r="1199" customFormat="false" ht="15" hidden="false" customHeight="false" outlineLevel="0" collapsed="false">
      <c r="B1199" s="19" t="s">
        <v>26567</v>
      </c>
      <c r="C1199" s="20" t="n">
        <f aca="false">ROUND(3.38/FX,2)</f>
        <v>0.47</v>
      </c>
      <c r="D1199" s="21" t="s">
        <v>724</v>
      </c>
      <c r="E1199" s="21" t="s">
        <v>13732</v>
      </c>
      <c r="F1199" s="21" t="s">
        <v>22841</v>
      </c>
      <c r="G1199" s="21" t="s">
        <v>8168</v>
      </c>
      <c r="H1199" s="21" t="s">
        <v>26560</v>
      </c>
      <c r="I1199" s="21" t="s">
        <v>3061</v>
      </c>
      <c r="J1199" s="21" t="s">
        <v>3011</v>
      </c>
    </row>
    <row r="1200" customFormat="false" ht="15" hidden="false" customHeight="false" outlineLevel="0" collapsed="false">
      <c r="B1200" s="19" t="s">
        <v>26568</v>
      </c>
      <c r="C1200" s="20" t="n">
        <f aca="false">ROUND(3.51/FX,2)</f>
        <v>0.49</v>
      </c>
      <c r="D1200" s="21" t="s">
        <v>724</v>
      </c>
      <c r="E1200" s="21" t="s">
        <v>13732</v>
      </c>
      <c r="F1200" s="21" t="s">
        <v>22841</v>
      </c>
      <c r="G1200" s="21" t="s">
        <v>8168</v>
      </c>
      <c r="H1200" s="21" t="s">
        <v>26560</v>
      </c>
      <c r="I1200" s="21" t="s">
        <v>3061</v>
      </c>
      <c r="J1200" s="21" t="s">
        <v>3061</v>
      </c>
    </row>
    <row r="1201" customFormat="false" ht="15" hidden="false" customHeight="false" outlineLevel="0" collapsed="false">
      <c r="B1201" s="19" t="s">
        <v>26569</v>
      </c>
      <c r="C1201" s="20" t="n">
        <f aca="false">ROUND(3.9/FX,2)</f>
        <v>0.54</v>
      </c>
      <c r="D1201" s="21" t="s">
        <v>724</v>
      </c>
      <c r="E1201" s="21" t="s">
        <v>13732</v>
      </c>
      <c r="F1201" s="21" t="s">
        <v>22844</v>
      </c>
      <c r="G1201" s="21" t="s">
        <v>8168</v>
      </c>
      <c r="H1201" s="21" t="s">
        <v>26560</v>
      </c>
      <c r="I1201" s="21" t="s">
        <v>12306</v>
      </c>
      <c r="J1201" s="21" t="s">
        <v>3317</v>
      </c>
    </row>
    <row r="1202" customFormat="false" ht="15" hidden="false" customHeight="false" outlineLevel="0" collapsed="false">
      <c r="B1202" s="19" t="s">
        <v>26570</v>
      </c>
      <c r="C1202" s="20" t="n">
        <f aca="false">ROUND(3.9/FX,2)</f>
        <v>0.54</v>
      </c>
      <c r="D1202" s="21" t="s">
        <v>724</v>
      </c>
      <c r="E1202" s="21" t="s">
        <v>13732</v>
      </c>
      <c r="F1202" s="21" t="s">
        <v>22844</v>
      </c>
      <c r="G1202" s="21" t="s">
        <v>8168</v>
      </c>
      <c r="H1202" s="21" t="s">
        <v>26560</v>
      </c>
      <c r="I1202" s="21" t="s">
        <v>12306</v>
      </c>
      <c r="J1202" s="21" t="s">
        <v>6244</v>
      </c>
    </row>
    <row r="1203" customFormat="false" ht="15" hidden="false" customHeight="false" outlineLevel="0" collapsed="false">
      <c r="B1203" s="19" t="s">
        <v>26571</v>
      </c>
      <c r="C1203" s="20" t="n">
        <f aca="false">ROUND(3.9/FX,2)</f>
        <v>0.54</v>
      </c>
      <c r="D1203" s="21" t="s">
        <v>724</v>
      </c>
      <c r="E1203" s="21" t="s">
        <v>13732</v>
      </c>
      <c r="F1203" s="21" t="s">
        <v>22844</v>
      </c>
      <c r="G1203" s="21" t="s">
        <v>8168</v>
      </c>
      <c r="H1203" s="21" t="s">
        <v>26560</v>
      </c>
      <c r="I1203" s="21" t="s">
        <v>12306</v>
      </c>
      <c r="J1203" s="21" t="s">
        <v>6246</v>
      </c>
    </row>
    <row r="1204" customFormat="false" ht="15" hidden="false" customHeight="false" outlineLevel="0" collapsed="false">
      <c r="B1204" s="19" t="s">
        <v>26572</v>
      </c>
      <c r="C1204" s="20" t="n">
        <f aca="false">ROUND(4.16/FX,2)</f>
        <v>0.58</v>
      </c>
      <c r="D1204" s="21" t="s">
        <v>724</v>
      </c>
      <c r="E1204" s="21" t="s">
        <v>13732</v>
      </c>
      <c r="F1204" s="21" t="s">
        <v>22844</v>
      </c>
      <c r="G1204" s="21" t="s">
        <v>8168</v>
      </c>
      <c r="H1204" s="21" t="s">
        <v>26560</v>
      </c>
      <c r="I1204" s="21" t="s">
        <v>12306</v>
      </c>
      <c r="J1204" s="21" t="s">
        <v>2911</v>
      </c>
    </row>
    <row r="1205" customFormat="false" ht="15" hidden="false" customHeight="false" outlineLevel="0" collapsed="false">
      <c r="B1205" s="19" t="s">
        <v>26573</v>
      </c>
      <c r="C1205" s="20" t="n">
        <f aca="false">ROUND(4.55/FX,2)</f>
        <v>0.63</v>
      </c>
      <c r="D1205" s="21" t="s">
        <v>724</v>
      </c>
      <c r="E1205" s="21" t="s">
        <v>13732</v>
      </c>
      <c r="F1205" s="21" t="s">
        <v>22844</v>
      </c>
      <c r="G1205" s="21" t="s">
        <v>8168</v>
      </c>
      <c r="H1205" s="21" t="s">
        <v>26560</v>
      </c>
      <c r="I1205" s="21" t="s">
        <v>12306</v>
      </c>
      <c r="J1205" s="21" t="s">
        <v>16917</v>
      </c>
    </row>
    <row r="1206" customFormat="false" ht="15" hidden="false" customHeight="false" outlineLevel="0" collapsed="false">
      <c r="B1206" s="19" t="s">
        <v>26574</v>
      </c>
      <c r="C1206" s="20" t="n">
        <f aca="false">ROUND(5.46/FX,2)</f>
        <v>0.76</v>
      </c>
      <c r="D1206" s="21" t="s">
        <v>724</v>
      </c>
      <c r="E1206" s="21" t="s">
        <v>13732</v>
      </c>
      <c r="F1206" s="21" t="s">
        <v>22844</v>
      </c>
      <c r="G1206" s="21" t="s">
        <v>8168</v>
      </c>
      <c r="H1206" s="21" t="s">
        <v>26560</v>
      </c>
      <c r="I1206" s="21" t="s">
        <v>12306</v>
      </c>
      <c r="J1206" s="21" t="s">
        <v>3011</v>
      </c>
    </row>
    <row r="1207" customFormat="false" ht="15" hidden="false" customHeight="false" outlineLevel="0" collapsed="false">
      <c r="B1207" s="19" t="s">
        <v>26575</v>
      </c>
      <c r="C1207" s="20" t="n">
        <f aca="false">ROUND(5.59/FX,2)</f>
        <v>0.78</v>
      </c>
      <c r="D1207" s="21" t="s">
        <v>724</v>
      </c>
      <c r="E1207" s="21" t="s">
        <v>13732</v>
      </c>
      <c r="F1207" s="21" t="s">
        <v>22844</v>
      </c>
      <c r="G1207" s="21" t="s">
        <v>8168</v>
      </c>
      <c r="H1207" s="21" t="s">
        <v>26560</v>
      </c>
      <c r="I1207" s="21" t="s">
        <v>12306</v>
      </c>
      <c r="J1207" s="21" t="s">
        <v>3061</v>
      </c>
    </row>
    <row r="1208" customFormat="false" ht="15" hidden="false" customHeight="false" outlineLevel="0" collapsed="false">
      <c r="B1208" s="19" t="s">
        <v>26576</v>
      </c>
      <c r="C1208" s="20" t="n">
        <f aca="false">ROUND(6.63/FX,2)</f>
        <v>0.92</v>
      </c>
      <c r="D1208" s="21" t="s">
        <v>724</v>
      </c>
      <c r="E1208" s="21" t="s">
        <v>13732</v>
      </c>
      <c r="F1208" s="21" t="s">
        <v>25439</v>
      </c>
      <c r="G1208" s="21" t="s">
        <v>8168</v>
      </c>
      <c r="H1208" s="21" t="s">
        <v>26560</v>
      </c>
      <c r="I1208" s="21" t="s">
        <v>2671</v>
      </c>
      <c r="J1208" s="21" t="s">
        <v>6244</v>
      </c>
    </row>
    <row r="1209" customFormat="false" ht="15" hidden="false" customHeight="false" outlineLevel="0" collapsed="false">
      <c r="B1209" s="19" t="s">
        <v>26577</v>
      </c>
      <c r="C1209" s="20" t="n">
        <f aca="false">ROUND(6.63/FX,2)</f>
        <v>0.92</v>
      </c>
      <c r="D1209" s="21" t="s">
        <v>724</v>
      </c>
      <c r="E1209" s="21" t="s">
        <v>13732</v>
      </c>
      <c r="F1209" s="21" t="s">
        <v>25439</v>
      </c>
      <c r="G1209" s="21" t="s">
        <v>8168</v>
      </c>
      <c r="H1209" s="21" t="s">
        <v>26560</v>
      </c>
      <c r="I1209" s="21" t="s">
        <v>2671</v>
      </c>
      <c r="J1209" s="21" t="s">
        <v>6246</v>
      </c>
    </row>
    <row r="1210" customFormat="false" ht="15" hidden="false" customHeight="false" outlineLevel="0" collapsed="false">
      <c r="B1210" s="19" t="s">
        <v>26578</v>
      </c>
      <c r="C1210" s="20" t="n">
        <f aca="false">ROUND(6.63/FX,2)</f>
        <v>0.92</v>
      </c>
      <c r="D1210" s="21" t="s">
        <v>724</v>
      </c>
      <c r="E1210" s="21" t="s">
        <v>13732</v>
      </c>
      <c r="F1210" s="21" t="s">
        <v>25439</v>
      </c>
      <c r="G1210" s="21" t="s">
        <v>8168</v>
      </c>
      <c r="H1210" s="21" t="s">
        <v>26560</v>
      </c>
      <c r="I1210" s="21" t="s">
        <v>2671</v>
      </c>
      <c r="J1210" s="21" t="s">
        <v>2911</v>
      </c>
    </row>
    <row r="1211" customFormat="false" ht="15" hidden="false" customHeight="false" outlineLevel="0" collapsed="false">
      <c r="B1211" s="19" t="s">
        <v>26579</v>
      </c>
      <c r="C1211" s="20" t="n">
        <f aca="false">ROUND(9.1/FX,2)</f>
        <v>1.26</v>
      </c>
      <c r="D1211" s="21" t="s">
        <v>724</v>
      </c>
      <c r="E1211" s="21" t="s">
        <v>13732</v>
      </c>
      <c r="F1211" s="21" t="s">
        <v>25439</v>
      </c>
      <c r="G1211" s="21" t="s">
        <v>8168</v>
      </c>
      <c r="H1211" s="21" t="s">
        <v>26560</v>
      </c>
      <c r="I1211" s="21" t="s">
        <v>2671</v>
      </c>
      <c r="J1211" s="21" t="s">
        <v>3011</v>
      </c>
    </row>
    <row r="1212" customFormat="false" ht="15" hidden="false" customHeight="false" outlineLevel="0" collapsed="false">
      <c r="B1212" s="19" t="s">
        <v>26580</v>
      </c>
      <c r="C1212" s="20" t="n">
        <f aca="false">ROUND(10.14/FX,2)</f>
        <v>1.41</v>
      </c>
      <c r="D1212" s="21" t="s">
        <v>724</v>
      </c>
      <c r="E1212" s="21" t="s">
        <v>13732</v>
      </c>
      <c r="F1212" s="21" t="s">
        <v>25439</v>
      </c>
      <c r="G1212" s="21" t="s">
        <v>8168</v>
      </c>
      <c r="H1212" s="21" t="s">
        <v>26560</v>
      </c>
      <c r="I1212" s="21" t="s">
        <v>2671</v>
      </c>
      <c r="J1212" s="21" t="s">
        <v>3061</v>
      </c>
    </row>
    <row r="1213" customFormat="false" ht="15" hidden="false" customHeight="false" outlineLevel="0" collapsed="false">
      <c r="B1213" s="19" t="s">
        <v>26581</v>
      </c>
      <c r="C1213" s="20" t="n">
        <f aca="false">ROUND(1.69/FX,2)</f>
        <v>0.23</v>
      </c>
      <c r="D1213" s="21" t="s">
        <v>724</v>
      </c>
      <c r="E1213" s="21" t="s">
        <v>13732</v>
      </c>
      <c r="F1213" s="21" t="s">
        <v>11409</v>
      </c>
      <c r="G1213" s="21" t="s">
        <v>8168</v>
      </c>
      <c r="H1213" s="21" t="s">
        <v>26560</v>
      </c>
      <c r="I1213" s="21" t="s">
        <v>2911</v>
      </c>
      <c r="J1213" s="21" t="s">
        <v>3833</v>
      </c>
    </row>
    <row r="1214" customFormat="false" ht="15" hidden="false" customHeight="false" outlineLevel="0" collapsed="false">
      <c r="B1214" s="19" t="s">
        <v>26582</v>
      </c>
      <c r="C1214" s="20" t="n">
        <f aca="false">ROUND(3.38/FX,2)</f>
        <v>0.47</v>
      </c>
      <c r="D1214" s="21" t="s">
        <v>724</v>
      </c>
      <c r="E1214" s="21" t="s">
        <v>13732</v>
      </c>
      <c r="F1214" s="21" t="s">
        <v>11409</v>
      </c>
      <c r="G1214" s="21" t="s">
        <v>8168</v>
      </c>
      <c r="H1214" s="21" t="s">
        <v>26560</v>
      </c>
      <c r="I1214" s="21" t="s">
        <v>2911</v>
      </c>
      <c r="J1214" s="21" t="s">
        <v>3247</v>
      </c>
    </row>
    <row r="1215" customFormat="false" ht="15" hidden="false" customHeight="false" outlineLevel="0" collapsed="false">
      <c r="B1215" s="19" t="s">
        <v>26583</v>
      </c>
      <c r="C1215" s="20" t="n">
        <f aca="false">ROUND(1.82/FX,2)</f>
        <v>0.25</v>
      </c>
      <c r="D1215" s="21" t="s">
        <v>724</v>
      </c>
      <c r="E1215" s="21" t="s">
        <v>13739</v>
      </c>
      <c r="F1215" s="21" t="s">
        <v>11411</v>
      </c>
      <c r="G1215" s="21" t="s">
        <v>8168</v>
      </c>
      <c r="H1215" s="21" t="s">
        <v>26560</v>
      </c>
      <c r="I1215" s="21" t="s">
        <v>2911</v>
      </c>
      <c r="J1215" s="21" t="s">
        <v>3833</v>
      </c>
    </row>
    <row r="1216" customFormat="false" ht="15" hidden="false" customHeight="false" outlineLevel="0" collapsed="false">
      <c r="B1216" s="19" t="s">
        <v>26584</v>
      </c>
      <c r="C1216" s="20" t="n">
        <f aca="false">ROUND(1.82/FX,2)</f>
        <v>0.25</v>
      </c>
      <c r="D1216" s="21" t="s">
        <v>724</v>
      </c>
      <c r="E1216" s="21" t="s">
        <v>13739</v>
      </c>
      <c r="F1216" s="21" t="s">
        <v>11411</v>
      </c>
      <c r="G1216" s="21" t="s">
        <v>8168</v>
      </c>
      <c r="H1216" s="21" t="s">
        <v>26560</v>
      </c>
      <c r="I1216" s="21" t="s">
        <v>2911</v>
      </c>
      <c r="J1216" s="21" t="s">
        <v>3247</v>
      </c>
    </row>
    <row r="1217" customFormat="false" ht="15" hidden="false" customHeight="false" outlineLevel="0" collapsed="false">
      <c r="B1217" s="19" t="s">
        <v>26585</v>
      </c>
      <c r="C1217" s="20" t="n">
        <f aca="false">ROUND(0.91/FX,2)</f>
        <v>0.13</v>
      </c>
      <c r="D1217" s="21" t="s">
        <v>724</v>
      </c>
      <c r="E1217" s="21" t="s">
        <v>13732</v>
      </c>
      <c r="F1217" s="21" t="s">
        <v>11411</v>
      </c>
      <c r="G1217" s="21" t="s">
        <v>8168</v>
      </c>
      <c r="H1217" s="21" t="s">
        <v>26560</v>
      </c>
      <c r="I1217" s="21" t="s">
        <v>2911</v>
      </c>
      <c r="J1217" s="21" t="s">
        <v>3317</v>
      </c>
    </row>
    <row r="1218" customFormat="false" ht="15" hidden="false" customHeight="false" outlineLevel="0" collapsed="false">
      <c r="B1218" s="19" t="s">
        <v>26586</v>
      </c>
      <c r="C1218" s="20" t="n">
        <f aca="false">ROUND(1.95/FX,2)</f>
        <v>0.27</v>
      </c>
      <c r="D1218" s="21" t="s">
        <v>724</v>
      </c>
      <c r="E1218" s="21" t="s">
        <v>13739</v>
      </c>
      <c r="F1218" s="21" t="s">
        <v>11411</v>
      </c>
      <c r="G1218" s="21" t="s">
        <v>8168</v>
      </c>
      <c r="H1218" s="21" t="s">
        <v>26560</v>
      </c>
      <c r="I1218" s="21" t="s">
        <v>2911</v>
      </c>
      <c r="J1218" s="21" t="s">
        <v>6244</v>
      </c>
    </row>
    <row r="1219" customFormat="false" ht="15" hidden="false" customHeight="false" outlineLevel="0" collapsed="false">
      <c r="B1219" s="19" t="s">
        <v>26587</v>
      </c>
      <c r="C1219" s="20" t="n">
        <f aca="false">ROUND(1.82/FX,2)</f>
        <v>0.25</v>
      </c>
      <c r="D1219" s="21" t="s">
        <v>724</v>
      </c>
      <c r="E1219" s="21" t="s">
        <v>13732</v>
      </c>
      <c r="F1219" s="21" t="s">
        <v>11413</v>
      </c>
      <c r="G1219" s="21" t="s">
        <v>8168</v>
      </c>
      <c r="H1219" s="21" t="s">
        <v>26560</v>
      </c>
      <c r="I1219" s="21" t="s">
        <v>2911</v>
      </c>
      <c r="J1219" s="21" t="s">
        <v>761</v>
      </c>
    </row>
    <row r="1220" customFormat="false" ht="15" hidden="false" customHeight="false" outlineLevel="0" collapsed="false">
      <c r="B1220" s="19" t="s">
        <v>26588</v>
      </c>
      <c r="C1220" s="20" t="n">
        <f aca="false">ROUND(1.82/FX,2)</f>
        <v>0.25</v>
      </c>
      <c r="D1220" s="21" t="s">
        <v>724</v>
      </c>
      <c r="E1220" s="21" t="s">
        <v>13739</v>
      </c>
      <c r="F1220" s="21" t="s">
        <v>11413</v>
      </c>
      <c r="G1220" s="21" t="s">
        <v>8168</v>
      </c>
      <c r="H1220" s="21" t="s">
        <v>26560</v>
      </c>
      <c r="I1220" s="21" t="s">
        <v>2911</v>
      </c>
      <c r="J1220" s="21" t="s">
        <v>3833</v>
      </c>
    </row>
    <row r="1221" customFormat="false" ht="15" hidden="false" customHeight="false" outlineLevel="0" collapsed="false">
      <c r="B1221" s="19" t="s">
        <v>26589</v>
      </c>
      <c r="C1221" s="20" t="n">
        <f aca="false">ROUND(0.88/FX,2)</f>
        <v>0.12</v>
      </c>
      <c r="D1221" s="21" t="s">
        <v>724</v>
      </c>
      <c r="E1221" s="21" t="s">
        <v>13732</v>
      </c>
      <c r="F1221" s="21" t="s">
        <v>11413</v>
      </c>
      <c r="G1221" s="21" t="s">
        <v>8168</v>
      </c>
      <c r="H1221" s="21" t="s">
        <v>26560</v>
      </c>
      <c r="I1221" s="21" t="s">
        <v>2911</v>
      </c>
      <c r="J1221" s="21" t="s">
        <v>3247</v>
      </c>
    </row>
    <row r="1222" customFormat="false" ht="15" hidden="false" customHeight="false" outlineLevel="0" collapsed="false">
      <c r="B1222" s="19" t="s">
        <v>26590</v>
      </c>
      <c r="C1222" s="20" t="n">
        <f aca="false">ROUND(1.82/FX,2)</f>
        <v>0.25</v>
      </c>
      <c r="D1222" s="21" t="s">
        <v>724</v>
      </c>
      <c r="E1222" s="21" t="s">
        <v>13739</v>
      </c>
      <c r="F1222" s="21" t="s">
        <v>11413</v>
      </c>
      <c r="G1222" s="21" t="s">
        <v>8168</v>
      </c>
      <c r="H1222" s="21" t="s">
        <v>26560</v>
      </c>
      <c r="I1222" s="21" t="s">
        <v>2911</v>
      </c>
      <c r="J1222" s="21" t="s">
        <v>3317</v>
      </c>
    </row>
    <row r="1223" customFormat="false" ht="15" hidden="false" customHeight="false" outlineLevel="0" collapsed="false">
      <c r="B1223" s="19" t="s">
        <v>26591</v>
      </c>
      <c r="C1223" s="20" t="n">
        <f aca="false">ROUND(1.82/FX,2)</f>
        <v>0.25</v>
      </c>
      <c r="D1223" s="21" t="s">
        <v>724</v>
      </c>
      <c r="E1223" s="21" t="s">
        <v>13739</v>
      </c>
      <c r="F1223" s="21" t="s">
        <v>11413</v>
      </c>
      <c r="G1223" s="21" t="s">
        <v>8168</v>
      </c>
      <c r="H1223" s="21" t="s">
        <v>26560</v>
      </c>
      <c r="I1223" s="21" t="s">
        <v>2911</v>
      </c>
      <c r="J1223" s="21" t="s">
        <v>6244</v>
      </c>
    </row>
    <row r="1224" customFormat="false" ht="15" hidden="false" customHeight="false" outlineLevel="0" collapsed="false">
      <c r="B1224" s="19" t="s">
        <v>26592</v>
      </c>
      <c r="C1224" s="20" t="n">
        <f aca="false">ROUND(1.82/FX,2)</f>
        <v>0.25</v>
      </c>
      <c r="D1224" s="21" t="s">
        <v>724</v>
      </c>
      <c r="E1224" s="21" t="s">
        <v>13739</v>
      </c>
      <c r="F1224" s="21" t="s">
        <v>11413</v>
      </c>
      <c r="G1224" s="21" t="s">
        <v>8168</v>
      </c>
      <c r="H1224" s="21" t="s">
        <v>26560</v>
      </c>
      <c r="I1224" s="21" t="s">
        <v>2911</v>
      </c>
      <c r="J1224" s="21" t="s">
        <v>6246</v>
      </c>
    </row>
    <row r="1225" customFormat="false" ht="15" hidden="false" customHeight="false" outlineLevel="0" collapsed="false">
      <c r="B1225" s="19" t="s">
        <v>26593</v>
      </c>
      <c r="C1225" s="20" t="n">
        <f aca="false">ROUND(1.82/FX,2)</f>
        <v>0.25</v>
      </c>
      <c r="D1225" s="21" t="s">
        <v>724</v>
      </c>
      <c r="E1225" s="21" t="s">
        <v>13739</v>
      </c>
      <c r="F1225" s="21" t="s">
        <v>11413</v>
      </c>
      <c r="G1225" s="21" t="s">
        <v>8168</v>
      </c>
      <c r="H1225" s="21" t="s">
        <v>26560</v>
      </c>
      <c r="I1225" s="21" t="s">
        <v>2911</v>
      </c>
      <c r="J1225" s="21" t="s">
        <v>2911</v>
      </c>
    </row>
    <row r="1226" customFormat="false" ht="15" hidden="false" customHeight="false" outlineLevel="0" collapsed="false">
      <c r="B1226" s="19" t="s">
        <v>26594</v>
      </c>
      <c r="C1226" s="20" t="n">
        <f aca="false">ROUND(1.3/FX,2)</f>
        <v>0.18</v>
      </c>
      <c r="D1226" s="21" t="s">
        <v>724</v>
      </c>
      <c r="E1226" s="21" t="s">
        <v>13732</v>
      </c>
      <c r="F1226" s="21" t="s">
        <v>11413</v>
      </c>
      <c r="G1226" s="21" t="s">
        <v>8168</v>
      </c>
      <c r="H1226" s="21" t="s">
        <v>26560</v>
      </c>
      <c r="I1226" s="21" t="s">
        <v>2911</v>
      </c>
      <c r="J1226" s="21" t="s">
        <v>2961</v>
      </c>
    </row>
    <row r="1227" customFormat="false" ht="15" hidden="false" customHeight="false" outlineLevel="0" collapsed="false">
      <c r="B1227" s="19" t="s">
        <v>26595</v>
      </c>
      <c r="C1227" s="20" t="n">
        <f aca="false">ROUND(1.56/FX,2)</f>
        <v>0.22</v>
      </c>
      <c r="D1227" s="21" t="s">
        <v>724</v>
      </c>
      <c r="E1227" s="21" t="s">
        <v>13732</v>
      </c>
      <c r="F1227" s="21" t="s">
        <v>11415</v>
      </c>
      <c r="G1227" s="21" t="s">
        <v>8168</v>
      </c>
      <c r="H1227" s="21" t="s">
        <v>26560</v>
      </c>
      <c r="I1227" s="21" t="s">
        <v>16917</v>
      </c>
      <c r="J1227" s="21" t="s">
        <v>3833</v>
      </c>
    </row>
    <row r="1228" customFormat="false" ht="15" hidden="false" customHeight="false" outlineLevel="0" collapsed="false">
      <c r="B1228" s="19" t="s">
        <v>26596</v>
      </c>
      <c r="C1228" s="20" t="n">
        <f aca="false">ROUND(1.56/FX,2)</f>
        <v>0.22</v>
      </c>
      <c r="D1228" s="21" t="s">
        <v>724</v>
      </c>
      <c r="E1228" s="21" t="s">
        <v>13732</v>
      </c>
      <c r="F1228" s="21" t="s">
        <v>11415</v>
      </c>
      <c r="G1228" s="21" t="s">
        <v>8168</v>
      </c>
      <c r="H1228" s="21" t="s">
        <v>26560</v>
      </c>
      <c r="I1228" s="21" t="s">
        <v>16917</v>
      </c>
      <c r="J1228" s="21" t="s">
        <v>3247</v>
      </c>
    </row>
    <row r="1229" customFormat="false" ht="15" hidden="false" customHeight="false" outlineLevel="0" collapsed="false">
      <c r="B1229" s="19" t="s">
        <v>26597</v>
      </c>
      <c r="C1229" s="20" t="n">
        <f aca="false">ROUND(1.47/FX,2)</f>
        <v>0.2</v>
      </c>
      <c r="D1229" s="21" t="s">
        <v>724</v>
      </c>
      <c r="E1229" s="21" t="s">
        <v>13732</v>
      </c>
      <c r="F1229" s="21" t="s">
        <v>11415</v>
      </c>
      <c r="G1229" s="21" t="s">
        <v>8168</v>
      </c>
      <c r="H1229" s="21" t="s">
        <v>26560</v>
      </c>
      <c r="I1229" s="21" t="s">
        <v>16917</v>
      </c>
      <c r="J1229" s="21" t="s">
        <v>3317</v>
      </c>
    </row>
    <row r="1230" customFormat="false" ht="15" hidden="false" customHeight="false" outlineLevel="0" collapsed="false">
      <c r="B1230" s="19" t="s">
        <v>26598</v>
      </c>
      <c r="C1230" s="20" t="n">
        <f aca="false">ROUND(2.08/FX,2)</f>
        <v>0.29</v>
      </c>
      <c r="D1230" s="21" t="s">
        <v>724</v>
      </c>
      <c r="E1230" s="21" t="s">
        <v>13732</v>
      </c>
      <c r="F1230" s="21" t="s">
        <v>11415</v>
      </c>
      <c r="G1230" s="21" t="s">
        <v>8168</v>
      </c>
      <c r="H1230" s="21" t="s">
        <v>26560</v>
      </c>
      <c r="I1230" s="21" t="s">
        <v>16917</v>
      </c>
      <c r="J1230" s="21" t="s">
        <v>784</v>
      </c>
    </row>
    <row r="1231" customFormat="false" ht="15" hidden="false" customHeight="false" outlineLevel="0" collapsed="false">
      <c r="B1231" s="19" t="s">
        <v>26599</v>
      </c>
      <c r="C1231" s="20" t="n">
        <f aca="false">ROUND(1.47/FX,2)</f>
        <v>0.2</v>
      </c>
      <c r="D1231" s="21" t="s">
        <v>724</v>
      </c>
      <c r="E1231" s="21" t="s">
        <v>13732</v>
      </c>
      <c r="F1231" s="21" t="s">
        <v>11415</v>
      </c>
      <c r="G1231" s="21" t="s">
        <v>8168</v>
      </c>
      <c r="H1231" s="21" t="s">
        <v>26560</v>
      </c>
      <c r="I1231" s="21" t="s">
        <v>16917</v>
      </c>
      <c r="J1231" s="21" t="s">
        <v>6244</v>
      </c>
    </row>
    <row r="1232" customFormat="false" ht="15" hidden="false" customHeight="false" outlineLevel="0" collapsed="false">
      <c r="B1232" s="19" t="s">
        <v>26600</v>
      </c>
      <c r="C1232" s="20" t="n">
        <f aca="false">ROUND(1.3/FX,2)</f>
        <v>0.18</v>
      </c>
      <c r="D1232" s="21" t="s">
        <v>724</v>
      </c>
      <c r="E1232" s="21" t="s">
        <v>13732</v>
      </c>
      <c r="F1232" s="21" t="s">
        <v>11415</v>
      </c>
      <c r="G1232" s="21" t="s">
        <v>8168</v>
      </c>
      <c r="H1232" s="21" t="s">
        <v>26560</v>
      </c>
      <c r="I1232" s="21" t="s">
        <v>16917</v>
      </c>
      <c r="J1232" s="21" t="s">
        <v>6246</v>
      </c>
    </row>
    <row r="1233" customFormat="false" ht="15" hidden="false" customHeight="false" outlineLevel="0" collapsed="false">
      <c r="B1233" s="19" t="s">
        <v>26601</v>
      </c>
      <c r="C1233" s="20" t="n">
        <f aca="false">ROUND(1.56/FX,2)</f>
        <v>0.22</v>
      </c>
      <c r="D1233" s="21" t="s">
        <v>724</v>
      </c>
      <c r="E1233" s="21" t="s">
        <v>13732</v>
      </c>
      <c r="F1233" s="21" t="s">
        <v>11415</v>
      </c>
      <c r="G1233" s="21" t="s">
        <v>8168</v>
      </c>
      <c r="H1233" s="21" t="s">
        <v>26560</v>
      </c>
      <c r="I1233" s="21" t="s">
        <v>16917</v>
      </c>
      <c r="J1233" s="21" t="s">
        <v>2911</v>
      </c>
    </row>
    <row r="1234" customFormat="false" ht="15" hidden="false" customHeight="false" outlineLevel="0" collapsed="false">
      <c r="B1234" s="19" t="s">
        <v>26602</v>
      </c>
      <c r="C1234" s="20" t="n">
        <f aca="false">ROUND(1.95/FX,2)</f>
        <v>0.27</v>
      </c>
      <c r="D1234" s="21" t="s">
        <v>724</v>
      </c>
      <c r="E1234" s="21" t="s">
        <v>13732</v>
      </c>
      <c r="F1234" s="21" t="s">
        <v>11415</v>
      </c>
      <c r="G1234" s="21" t="s">
        <v>8168</v>
      </c>
      <c r="H1234" s="21" t="s">
        <v>26560</v>
      </c>
      <c r="I1234" s="21" t="s">
        <v>16917</v>
      </c>
      <c r="J1234" s="21" t="s">
        <v>2961</v>
      </c>
    </row>
    <row r="1235" customFormat="false" ht="15" hidden="false" customHeight="false" outlineLevel="0" collapsed="false">
      <c r="B1235" s="19" t="s">
        <v>26603</v>
      </c>
      <c r="C1235" s="20" t="n">
        <f aca="false">ROUND(2.34/FX,2)</f>
        <v>0.33</v>
      </c>
      <c r="D1235" s="21" t="s">
        <v>724</v>
      </c>
      <c r="E1235" s="21" t="s">
        <v>13732</v>
      </c>
      <c r="F1235" s="21" t="s">
        <v>11415</v>
      </c>
      <c r="G1235" s="21" t="s">
        <v>8168</v>
      </c>
      <c r="H1235" s="21" t="s">
        <v>26560</v>
      </c>
      <c r="I1235" s="21" t="s">
        <v>16917</v>
      </c>
      <c r="J1235" s="21" t="s">
        <v>3011</v>
      </c>
    </row>
    <row r="1236" customFormat="false" ht="15" hidden="false" customHeight="false" outlineLevel="0" collapsed="false">
      <c r="B1236" s="19" t="s">
        <v>26604</v>
      </c>
      <c r="C1236" s="20" t="n">
        <f aca="false">ROUND(2.6/FX,2)</f>
        <v>0.36</v>
      </c>
      <c r="D1236" s="21" t="s">
        <v>724</v>
      </c>
      <c r="E1236" s="21" t="s">
        <v>13732</v>
      </c>
      <c r="F1236" s="21" t="s">
        <v>11415</v>
      </c>
      <c r="G1236" s="21" t="s">
        <v>8168</v>
      </c>
      <c r="H1236" s="21" t="s">
        <v>26560</v>
      </c>
      <c r="I1236" s="21" t="s">
        <v>16917</v>
      </c>
      <c r="J1236" s="21" t="s">
        <v>3061</v>
      </c>
    </row>
    <row r="1237" customFormat="false" ht="15" hidden="false" customHeight="false" outlineLevel="0" collapsed="false">
      <c r="B1237" s="19" t="s">
        <v>26605</v>
      </c>
      <c r="C1237" s="20" t="n">
        <f aca="false">ROUND(2.34/FX,2)</f>
        <v>0.33</v>
      </c>
      <c r="D1237" s="21" t="s">
        <v>724</v>
      </c>
      <c r="E1237" s="21" t="s">
        <v>13732</v>
      </c>
      <c r="F1237" s="21" t="s">
        <v>22841</v>
      </c>
      <c r="G1237" s="21" t="s">
        <v>8168</v>
      </c>
      <c r="H1237" s="21" t="s">
        <v>26389</v>
      </c>
      <c r="I1237" s="21" t="s">
        <v>3061</v>
      </c>
      <c r="J1237" s="21" t="s">
        <v>6336</v>
      </c>
    </row>
    <row r="1238" customFormat="false" ht="15" hidden="false" customHeight="false" outlineLevel="0" collapsed="false">
      <c r="B1238" s="19" t="s">
        <v>26606</v>
      </c>
      <c r="C1238" s="20" t="n">
        <f aca="false">ROUND(4.03/FX,2)</f>
        <v>0.56</v>
      </c>
      <c r="D1238" s="21" t="s">
        <v>724</v>
      </c>
      <c r="E1238" s="21" t="s">
        <v>13732</v>
      </c>
      <c r="F1238" s="21" t="s">
        <v>22844</v>
      </c>
      <c r="G1238" s="21" t="s">
        <v>8168</v>
      </c>
      <c r="H1238" s="21" t="s">
        <v>26389</v>
      </c>
      <c r="I1238" s="21" t="s">
        <v>12306</v>
      </c>
      <c r="J1238" s="21" t="s">
        <v>6336</v>
      </c>
    </row>
    <row r="1239" customFormat="false" ht="15" hidden="false" customHeight="false" outlineLevel="0" collapsed="false">
      <c r="B1239" s="19" t="s">
        <v>26607</v>
      </c>
      <c r="C1239" s="20" t="n">
        <f aca="false">ROUND(7.54/FX,2)</f>
        <v>1.05</v>
      </c>
      <c r="D1239" s="21" t="s">
        <v>724</v>
      </c>
      <c r="E1239" s="21" t="s">
        <v>13732</v>
      </c>
      <c r="F1239" s="21" t="s">
        <v>25427</v>
      </c>
      <c r="G1239" s="21" t="s">
        <v>8168</v>
      </c>
      <c r="H1239" s="21" t="s">
        <v>26389</v>
      </c>
      <c r="I1239" s="21" t="s">
        <v>6336</v>
      </c>
      <c r="J1239" s="21" t="s">
        <v>6336</v>
      </c>
    </row>
    <row r="1240" customFormat="false" ht="15" hidden="false" customHeight="false" outlineLevel="0" collapsed="false">
      <c r="B1240" s="19" t="s">
        <v>26608</v>
      </c>
      <c r="C1240" s="20" t="n">
        <f aca="false">ROUND(6.24/FX,2)</f>
        <v>0.87</v>
      </c>
      <c r="D1240" s="21" t="s">
        <v>724</v>
      </c>
      <c r="E1240" s="21" t="s">
        <v>13732</v>
      </c>
      <c r="F1240" s="21" t="s">
        <v>25439</v>
      </c>
      <c r="G1240" s="21" t="s">
        <v>8168</v>
      </c>
      <c r="H1240" s="21" t="s">
        <v>26389</v>
      </c>
      <c r="I1240" s="21" t="s">
        <v>2671</v>
      </c>
      <c r="J1240" s="21" t="s">
        <v>6336</v>
      </c>
    </row>
    <row r="1241" customFormat="false" ht="15" hidden="false" customHeight="false" outlineLevel="0" collapsed="false">
      <c r="B1241" s="19" t="s">
        <v>26609</v>
      </c>
      <c r="C1241" s="20" t="n">
        <f aca="false">ROUND(1.95/FX,2)</f>
        <v>0.27</v>
      </c>
      <c r="D1241" s="21" t="s">
        <v>724</v>
      </c>
      <c r="E1241" s="21" t="s">
        <v>13739</v>
      </c>
      <c r="F1241" s="21" t="s">
        <v>11411</v>
      </c>
      <c r="G1241" s="21" t="s">
        <v>8168</v>
      </c>
      <c r="H1241" s="21" t="s">
        <v>26389</v>
      </c>
      <c r="I1241" s="21" t="s">
        <v>2911</v>
      </c>
      <c r="J1241" s="21" t="s">
        <v>6336</v>
      </c>
    </row>
    <row r="1242" customFormat="false" ht="15" hidden="false" customHeight="false" outlineLevel="0" collapsed="false">
      <c r="B1242" s="19" t="s">
        <v>26610</v>
      </c>
      <c r="C1242" s="20" t="n">
        <f aca="false">ROUND(1.82/FX,2)</f>
        <v>0.25</v>
      </c>
      <c r="D1242" s="21" t="s">
        <v>724</v>
      </c>
      <c r="E1242" s="21" t="s">
        <v>13739</v>
      </c>
      <c r="F1242" s="21" t="s">
        <v>11413</v>
      </c>
      <c r="G1242" s="21" t="s">
        <v>8168</v>
      </c>
      <c r="H1242" s="21" t="s">
        <v>26389</v>
      </c>
      <c r="I1242" s="21" t="s">
        <v>2911</v>
      </c>
      <c r="J1242" s="21" t="s">
        <v>6336</v>
      </c>
    </row>
    <row r="1243" customFormat="false" ht="15" hidden="false" customHeight="false" outlineLevel="0" collapsed="false">
      <c r="B1243" s="19" t="s">
        <v>26611</v>
      </c>
      <c r="C1243" s="20" t="n">
        <f aca="false">ROUND(1.56/FX,2)</f>
        <v>0.22</v>
      </c>
      <c r="D1243" s="21" t="s">
        <v>724</v>
      </c>
      <c r="E1243" s="21" t="s">
        <v>13732</v>
      </c>
      <c r="F1243" s="21" t="s">
        <v>11415</v>
      </c>
      <c r="G1243" s="21" t="s">
        <v>8168</v>
      </c>
      <c r="H1243" s="21" t="s">
        <v>26389</v>
      </c>
      <c r="I1243" s="21" t="s">
        <v>16917</v>
      </c>
      <c r="J1243" s="21" t="s">
        <v>6336</v>
      </c>
    </row>
    <row r="1244" customFormat="false" ht="15" hidden="false" customHeight="false" outlineLevel="0" collapsed="false">
      <c r="B1244" s="19" t="s">
        <v>26612</v>
      </c>
      <c r="C1244" s="20" t="n">
        <f aca="false">ROUND(2.08/FX,2)</f>
        <v>0.29</v>
      </c>
      <c r="D1244" s="21" t="s">
        <v>7884</v>
      </c>
      <c r="E1244" s="21" t="s">
        <v>13732</v>
      </c>
      <c r="F1244" s="21" t="s">
        <v>11415</v>
      </c>
      <c r="G1244" s="21" t="s">
        <v>8168</v>
      </c>
      <c r="H1244" s="21" t="s">
        <v>26560</v>
      </c>
      <c r="I1244" s="21" t="s">
        <v>16917</v>
      </c>
      <c r="J1244" s="21" t="s">
        <v>784</v>
      </c>
    </row>
    <row r="1245" customFormat="false" ht="15" hidden="false" customHeight="false" outlineLevel="0" collapsed="false">
      <c r="B1245" s="19" t="s">
        <v>26613</v>
      </c>
      <c r="C1245" s="20" t="n">
        <f aca="false">ROUND(2.73/FX,2)</f>
        <v>0.38</v>
      </c>
      <c r="D1245" s="21" t="s">
        <v>724</v>
      </c>
      <c r="E1245" s="21" t="s">
        <v>13732</v>
      </c>
      <c r="F1245" s="21" t="s">
        <v>11411</v>
      </c>
      <c r="G1245" s="21" t="s">
        <v>14713</v>
      </c>
      <c r="H1245" s="21" t="s">
        <v>26560</v>
      </c>
      <c r="I1245" s="21" t="s">
        <v>2911</v>
      </c>
      <c r="J1245" s="21" t="s">
        <v>2911</v>
      </c>
    </row>
    <row r="1246" customFormat="false" ht="15" hidden="false" customHeight="false" outlineLevel="0" collapsed="false">
      <c r="B1246" s="19" t="s">
        <v>26614</v>
      </c>
      <c r="C1246" s="20" t="n">
        <f aca="false">ROUND(2.73/FX,2)</f>
        <v>0.38</v>
      </c>
      <c r="D1246" s="21" t="s">
        <v>724</v>
      </c>
      <c r="E1246" s="21" t="s">
        <v>13732</v>
      </c>
      <c r="F1246" s="21" t="s">
        <v>11415</v>
      </c>
      <c r="G1246" s="21" t="s">
        <v>14713</v>
      </c>
      <c r="H1246" s="21" t="s">
        <v>26560</v>
      </c>
      <c r="I1246" s="21" t="s">
        <v>16917</v>
      </c>
      <c r="J1246" s="21" t="s">
        <v>784</v>
      </c>
    </row>
    <row r="1247" customFormat="false" ht="15" hidden="false" customHeight="false" outlineLevel="0" collapsed="false">
      <c r="B1247" s="19" t="s">
        <v>26615</v>
      </c>
      <c r="C1247" s="20" t="n">
        <f aca="false">ROUND(2.73/FX,2)</f>
        <v>0.38</v>
      </c>
      <c r="D1247" s="21" t="s">
        <v>7884</v>
      </c>
      <c r="E1247" s="21" t="s">
        <v>13732</v>
      </c>
      <c r="F1247" s="21" t="s">
        <v>11415</v>
      </c>
      <c r="G1247" s="21" t="s">
        <v>14713</v>
      </c>
      <c r="H1247" s="21" t="s">
        <v>26560</v>
      </c>
      <c r="I1247" s="21" t="s">
        <v>16917</v>
      </c>
      <c r="J1247" s="21" t="s">
        <v>784</v>
      </c>
    </row>
    <row r="1250" customFormat="false" ht="61.5" hidden="false" customHeight="true" outlineLevel="0" collapsed="false">
      <c r="A1250" s="9"/>
      <c r="B1250" s="10" t="s">
        <v>26616</v>
      </c>
      <c r="C1250" s="10"/>
      <c r="D1250" s="10"/>
      <c r="E1250" s="10"/>
      <c r="F1250" s="10"/>
      <c r="G1250" s="10"/>
      <c r="H1250" s="10"/>
    </row>
    <row r="1251" customFormat="false" ht="15" hidden="false" customHeight="false" outlineLevel="0" collapsed="false">
      <c r="A1251" s="12" t="s">
        <v>700</v>
      </c>
      <c r="B1251" s="13" t="s">
        <v>701</v>
      </c>
      <c r="C1251" s="13" t="s">
        <v>702</v>
      </c>
      <c r="D1251" s="13" t="s">
        <v>705</v>
      </c>
      <c r="E1251" s="13" t="s">
        <v>723</v>
      </c>
      <c r="F1251" s="13" t="s">
        <v>11716</v>
      </c>
      <c r="G1251" s="13" t="s">
        <v>13701</v>
      </c>
      <c r="H1251" s="13" t="s">
        <v>25618</v>
      </c>
    </row>
    <row r="1252" customFormat="false" ht="30" hidden="false" customHeight="true" outlineLevel="0" collapsed="false">
      <c r="A1252" s="14" t="s">
        <v>706</v>
      </c>
      <c r="B1252" s="15" t="str">
        <f aca="false">IF(COUNTIFS($D$1255:$D$1462,IF(D1252="","*",D1252),$E$1255:$E$1462,IF(E1252="","*",E1252),$F$1255:$F$1462,IF(F1252="","*",F1252),$G$1255:$G$1462,IF(G1252="","*",G1252),$H$1255:$H$1462,IF(H1252="","*",H1252))=1,INDEX($B:$B,SUMPRODUCT(((D1252="")+($D$1255:$D$1462=D1252)&gt;0)*((E1252="")+($E$1255:$E$1462=E1252)&gt;0)*((F1252="")+($F$1255:$F$1462=F1252)&gt;0)*((G1252="")+($G$1255:$G$1462=G1252)&gt;0)*((H1252="")+($H$1255:$H$1462=H1252)&gt;0)*ROW($B$1255:$B$1462))),IF(COUNTIFS($D$1255:$D$1462,IF(D1252="","*",D1252),$E$1255:$E$1462,IF(E1252="","*",E1252),$F$1255:$F$1462,IF(F1252="","*",F1252),$G$1255:$G$1462,IF(G1252="","*",G1252),$H$1255:$H$1462,IF(H1252="","*",H1252))=0,"Not available",COUNTIFS($D$1255:$D$1462,IF(D1252="","*",D1252),$E$1255:$E$1462,IF(E1252="","*",E1252),$F$1255:$F$1462,IF(F1252="","*",F1252),$G$1255:$G$1462,IF(G1252="","*",G1252),$H$1255:$H$1462,IF(H1252="","*",H1252))&amp;" match, keep choosing"))</f>
        <v>D7984-G88-M10x100-HT-P1</v>
      </c>
      <c r="C1252" s="16" t="n">
        <f aca="false">IF(COUNTIFS($D$1255:$D$1462,IF(D1252="","*",D1252),$E$1255:$E$1462,IF(E1252="","*",E1252),$F$1255:$F$1462,IF(F1252="","*",F1252),$G$1255:$G$1462,IF(G1252="","*",G1252),$H$1255:$H$1462,IF(H1252="","*",H1252))=1,INDEX($C:$C,SUMPRODUCT(((D1252="")+($D$1255:$D$1462=D1252)&gt;0)*((E1252="")+($E$1255:$E$1462=E1252)&gt;0)*((F1252="")+($F$1255:$F$1462=F1252)&gt;0)*((G1252="")+($G$1255:$G$1462=G1252)&gt;0)*((H1252="")+($H$1255:$H$1462=H1252)&gt;0)*ROW($B$1255:$B$1462))),"")</f>
        <v>0.47</v>
      </c>
      <c r="D1252" s="17" t="s">
        <v>13732</v>
      </c>
      <c r="E1252" s="17" t="s">
        <v>734</v>
      </c>
      <c r="F1252" s="17" t="s">
        <v>2600</v>
      </c>
      <c r="G1252" s="17" t="s">
        <v>22841</v>
      </c>
      <c r="H1252" s="17" t="s">
        <v>25619</v>
      </c>
    </row>
    <row r="1254" customFormat="false" ht="15" hidden="false" customHeight="false" outlineLevel="0" collapsed="false">
      <c r="B1254" s="18" t="s">
        <v>701</v>
      </c>
      <c r="C1254" s="18" t="s">
        <v>702</v>
      </c>
      <c r="D1254" s="18" t="s">
        <v>705</v>
      </c>
      <c r="E1254" s="18" t="s">
        <v>723</v>
      </c>
      <c r="F1254" s="18" t="s">
        <v>11716</v>
      </c>
      <c r="G1254" s="18" t="s">
        <v>13701</v>
      </c>
      <c r="H1254" s="18" t="s">
        <v>25618</v>
      </c>
    </row>
    <row r="1255" customFormat="false" ht="15" hidden="false" customHeight="false" outlineLevel="0" collapsed="false">
      <c r="B1255" s="19" t="s">
        <v>26617</v>
      </c>
      <c r="C1255" s="20" t="n">
        <f aca="false">ROUND(3.4/FX,2)</f>
        <v>0.47</v>
      </c>
      <c r="D1255" s="21" t="s">
        <v>13732</v>
      </c>
      <c r="E1255" s="21" t="s">
        <v>734</v>
      </c>
      <c r="F1255" s="21" t="s">
        <v>2600</v>
      </c>
      <c r="G1255" s="21" t="s">
        <v>22841</v>
      </c>
      <c r="H1255" s="21" t="s">
        <v>25619</v>
      </c>
    </row>
    <row r="1256" customFormat="false" ht="15" hidden="false" customHeight="false" outlineLevel="0" collapsed="false">
      <c r="B1256" s="19" t="s">
        <v>26618</v>
      </c>
      <c r="C1256" s="20" t="n">
        <f aca="false">ROUND(1.23/FX,2)</f>
        <v>0.17</v>
      </c>
      <c r="D1256" s="21" t="s">
        <v>13751</v>
      </c>
      <c r="E1256" s="21" t="s">
        <v>734</v>
      </c>
      <c r="F1256" s="21" t="s">
        <v>761</v>
      </c>
      <c r="G1256" s="21" t="s">
        <v>22841</v>
      </c>
      <c r="H1256" s="21" t="s">
        <v>25627</v>
      </c>
    </row>
    <row r="1257" customFormat="false" ht="15" hidden="false" customHeight="false" outlineLevel="0" collapsed="false">
      <c r="B1257" s="19" t="s">
        <v>26619</v>
      </c>
      <c r="C1257" s="20" t="n">
        <f aca="false">ROUND(4.45/FX,2)</f>
        <v>0.62</v>
      </c>
      <c r="D1257" s="21" t="s">
        <v>13732</v>
      </c>
      <c r="E1257" s="21" t="s">
        <v>734</v>
      </c>
      <c r="F1257" s="21" t="s">
        <v>2701</v>
      </c>
      <c r="G1257" s="21" t="s">
        <v>22841</v>
      </c>
      <c r="H1257" s="21" t="s">
        <v>25619</v>
      </c>
    </row>
    <row r="1258" customFormat="false" ht="15" hidden="false" customHeight="false" outlineLevel="0" collapsed="false">
      <c r="B1258" s="19" t="s">
        <v>26620</v>
      </c>
      <c r="C1258" s="20" t="n">
        <f aca="false">ROUND(1.06/FX,2)</f>
        <v>0.15</v>
      </c>
      <c r="D1258" s="21" t="s">
        <v>14013</v>
      </c>
      <c r="E1258" s="21" t="s">
        <v>734</v>
      </c>
      <c r="F1258" s="21" t="s">
        <v>3833</v>
      </c>
      <c r="G1258" s="21" t="s">
        <v>22841</v>
      </c>
      <c r="H1258" s="21" t="s">
        <v>25627</v>
      </c>
    </row>
    <row r="1259" customFormat="false" ht="15" hidden="false" customHeight="false" outlineLevel="0" collapsed="false">
      <c r="B1259" s="19" t="s">
        <v>26621</v>
      </c>
      <c r="C1259" s="20" t="n">
        <f aca="false">ROUND(1.14/FX,2)</f>
        <v>0.16</v>
      </c>
      <c r="D1259" s="21" t="s">
        <v>14013</v>
      </c>
      <c r="E1259" s="21" t="s">
        <v>734</v>
      </c>
      <c r="F1259" s="21" t="s">
        <v>3247</v>
      </c>
      <c r="G1259" s="21" t="s">
        <v>22841</v>
      </c>
      <c r="H1259" s="21" t="s">
        <v>25627</v>
      </c>
    </row>
    <row r="1260" customFormat="false" ht="15" hidden="false" customHeight="false" outlineLevel="0" collapsed="false">
      <c r="B1260" s="19" t="s">
        <v>26622</v>
      </c>
      <c r="C1260" s="20" t="n">
        <f aca="false">ROUND(1.14/FX,2)</f>
        <v>0.16</v>
      </c>
      <c r="D1260" s="21" t="s">
        <v>13751</v>
      </c>
      <c r="E1260" s="21" t="s">
        <v>26623</v>
      </c>
      <c r="F1260" s="21" t="s">
        <v>3247</v>
      </c>
      <c r="G1260" s="21" t="s">
        <v>22841</v>
      </c>
      <c r="H1260" s="21" t="s">
        <v>25627</v>
      </c>
    </row>
    <row r="1261" customFormat="false" ht="15" hidden="false" customHeight="false" outlineLevel="0" collapsed="false">
      <c r="B1261" s="19" t="s">
        <v>26624</v>
      </c>
      <c r="C1261" s="20" t="n">
        <f aca="false">ROUND(1.34/FX,2)</f>
        <v>0.19</v>
      </c>
      <c r="D1261" s="21" t="s">
        <v>13751</v>
      </c>
      <c r="E1261" s="21" t="s">
        <v>734</v>
      </c>
      <c r="F1261" s="21" t="s">
        <v>5097</v>
      </c>
      <c r="G1261" s="21" t="s">
        <v>22841</v>
      </c>
      <c r="H1261" s="21" t="s">
        <v>25627</v>
      </c>
    </row>
    <row r="1262" customFormat="false" ht="15" hidden="false" customHeight="false" outlineLevel="0" collapsed="false">
      <c r="B1262" s="19" t="s">
        <v>26625</v>
      </c>
      <c r="C1262" s="20" t="n">
        <f aca="false">ROUND(1.3/FX,2)</f>
        <v>0.18</v>
      </c>
      <c r="D1262" s="21" t="s">
        <v>14013</v>
      </c>
      <c r="E1262" s="21" t="s">
        <v>734</v>
      </c>
      <c r="F1262" s="21" t="s">
        <v>3317</v>
      </c>
      <c r="G1262" s="21" t="s">
        <v>22841</v>
      </c>
      <c r="H1262" s="21" t="s">
        <v>25627</v>
      </c>
    </row>
    <row r="1263" customFormat="false" ht="15" hidden="false" customHeight="false" outlineLevel="0" collapsed="false">
      <c r="B1263" s="19" t="s">
        <v>26626</v>
      </c>
      <c r="C1263" s="20" t="n">
        <f aca="false">ROUND(1.25/FX,2)</f>
        <v>0.17</v>
      </c>
      <c r="D1263" s="21" t="s">
        <v>13751</v>
      </c>
      <c r="E1263" s="21" t="s">
        <v>734</v>
      </c>
      <c r="F1263" s="21" t="s">
        <v>6768</v>
      </c>
      <c r="G1263" s="21" t="s">
        <v>22841</v>
      </c>
      <c r="H1263" s="21" t="s">
        <v>25627</v>
      </c>
    </row>
    <row r="1264" customFormat="false" ht="15" hidden="false" customHeight="false" outlineLevel="0" collapsed="false">
      <c r="B1264" s="19" t="s">
        <v>26627</v>
      </c>
      <c r="C1264" s="20" t="n">
        <f aca="false">ROUND(1.02/FX,2)</f>
        <v>0.14</v>
      </c>
      <c r="D1264" s="21" t="s">
        <v>13751</v>
      </c>
      <c r="E1264" s="21" t="s">
        <v>734</v>
      </c>
      <c r="F1264" s="21" t="s">
        <v>784</v>
      </c>
      <c r="G1264" s="21" t="s">
        <v>22841</v>
      </c>
      <c r="H1264" s="21" t="s">
        <v>25627</v>
      </c>
    </row>
    <row r="1265" customFormat="false" ht="15" hidden="false" customHeight="false" outlineLevel="0" collapsed="false">
      <c r="B1265" s="19" t="s">
        <v>26628</v>
      </c>
      <c r="C1265" s="20" t="n">
        <f aca="false">ROUND(1.14/FX,2)</f>
        <v>0.16</v>
      </c>
      <c r="D1265" s="21" t="s">
        <v>13751</v>
      </c>
      <c r="E1265" s="21" t="s">
        <v>734</v>
      </c>
      <c r="F1265" s="21" t="s">
        <v>3328</v>
      </c>
      <c r="G1265" s="21" t="s">
        <v>22841</v>
      </c>
      <c r="H1265" s="21" t="s">
        <v>25627</v>
      </c>
    </row>
    <row r="1266" customFormat="false" ht="15" hidden="false" customHeight="false" outlineLevel="0" collapsed="false">
      <c r="B1266" s="19" t="s">
        <v>26629</v>
      </c>
      <c r="C1266" s="20" t="n">
        <f aca="false">ROUND(1.26/FX,2)</f>
        <v>0.18</v>
      </c>
      <c r="D1266" s="21" t="s">
        <v>13751</v>
      </c>
      <c r="E1266" s="21" t="s">
        <v>734</v>
      </c>
      <c r="F1266" s="21" t="s">
        <v>6246</v>
      </c>
      <c r="G1266" s="21" t="s">
        <v>22841</v>
      </c>
      <c r="H1266" s="21" t="s">
        <v>25627</v>
      </c>
    </row>
    <row r="1267" customFormat="false" ht="15" hidden="false" customHeight="false" outlineLevel="0" collapsed="false">
      <c r="B1267" s="19" t="s">
        <v>26630</v>
      </c>
      <c r="C1267" s="20" t="n">
        <f aca="false">ROUND(1.34/FX,2)</f>
        <v>0.19</v>
      </c>
      <c r="D1267" s="21" t="s">
        <v>13751</v>
      </c>
      <c r="E1267" s="21" t="s">
        <v>734</v>
      </c>
      <c r="F1267" s="21" t="s">
        <v>7358</v>
      </c>
      <c r="G1267" s="21" t="s">
        <v>22841</v>
      </c>
      <c r="H1267" s="21" t="s">
        <v>25627</v>
      </c>
    </row>
    <row r="1268" customFormat="false" ht="15" hidden="false" customHeight="false" outlineLevel="0" collapsed="false">
      <c r="B1268" s="19" t="s">
        <v>26631</v>
      </c>
      <c r="C1268" s="20" t="n">
        <f aca="false">ROUND(1.14/FX,2)</f>
        <v>0.16</v>
      </c>
      <c r="D1268" s="21" t="s">
        <v>13739</v>
      </c>
      <c r="E1268" s="21" t="s">
        <v>734</v>
      </c>
      <c r="F1268" s="21" t="s">
        <v>2911</v>
      </c>
      <c r="G1268" s="21" t="s">
        <v>22841</v>
      </c>
      <c r="H1268" s="21" t="s">
        <v>25627</v>
      </c>
    </row>
    <row r="1269" customFormat="false" ht="15" hidden="false" customHeight="false" outlineLevel="0" collapsed="false">
      <c r="B1269" s="19" t="s">
        <v>26632</v>
      </c>
      <c r="C1269" s="20" t="n">
        <f aca="false">ROUND(1.19/FX,2)</f>
        <v>0.17</v>
      </c>
      <c r="D1269" s="21" t="s">
        <v>13739</v>
      </c>
      <c r="E1269" s="21" t="s">
        <v>734</v>
      </c>
      <c r="F1269" s="21" t="s">
        <v>7275</v>
      </c>
      <c r="G1269" s="21" t="s">
        <v>22841</v>
      </c>
      <c r="H1269" s="21" t="s">
        <v>25627</v>
      </c>
    </row>
    <row r="1270" customFormat="false" ht="15" hidden="false" customHeight="false" outlineLevel="0" collapsed="false">
      <c r="B1270" s="19" t="s">
        <v>26633</v>
      </c>
      <c r="C1270" s="20" t="n">
        <f aca="false">ROUND(1.09/FX,2)</f>
        <v>0.15</v>
      </c>
      <c r="D1270" s="21" t="s">
        <v>13732</v>
      </c>
      <c r="E1270" s="21" t="s">
        <v>734</v>
      </c>
      <c r="F1270" s="21" t="s">
        <v>2961</v>
      </c>
      <c r="G1270" s="21" t="s">
        <v>22841</v>
      </c>
      <c r="H1270" s="21" t="s">
        <v>25619</v>
      </c>
    </row>
    <row r="1271" customFormat="false" ht="15" hidden="false" customHeight="false" outlineLevel="0" collapsed="false">
      <c r="B1271" s="19" t="s">
        <v>26634</v>
      </c>
      <c r="C1271" s="20" t="n">
        <f aca="false">ROUND(1.32/FX,2)</f>
        <v>0.18</v>
      </c>
      <c r="D1271" s="21" t="s">
        <v>13739</v>
      </c>
      <c r="E1271" s="21" t="s">
        <v>734</v>
      </c>
      <c r="F1271" s="21" t="s">
        <v>2961</v>
      </c>
      <c r="G1271" s="21" t="s">
        <v>22841</v>
      </c>
      <c r="H1271" s="21" t="s">
        <v>25627</v>
      </c>
    </row>
    <row r="1272" customFormat="false" ht="15" hidden="false" customHeight="false" outlineLevel="0" collapsed="false">
      <c r="B1272" s="19" t="s">
        <v>26635</v>
      </c>
      <c r="C1272" s="20" t="n">
        <f aca="false">ROUND(1.14/FX,2)</f>
        <v>0.16</v>
      </c>
      <c r="D1272" s="21" t="s">
        <v>13732</v>
      </c>
      <c r="E1272" s="21" t="s">
        <v>734</v>
      </c>
      <c r="F1272" s="21" t="s">
        <v>13817</v>
      </c>
      <c r="G1272" s="21" t="s">
        <v>22841</v>
      </c>
      <c r="H1272" s="21" t="s">
        <v>25619</v>
      </c>
    </row>
    <row r="1273" customFormat="false" ht="15" hidden="false" customHeight="false" outlineLevel="0" collapsed="false">
      <c r="B1273" s="19" t="s">
        <v>26636</v>
      </c>
      <c r="C1273" s="20" t="n">
        <f aca="false">ROUND(1.14/FX,2)</f>
        <v>0.16</v>
      </c>
      <c r="D1273" s="21" t="s">
        <v>13732</v>
      </c>
      <c r="E1273" s="21" t="s">
        <v>734</v>
      </c>
      <c r="F1273" s="21" t="s">
        <v>13817</v>
      </c>
      <c r="G1273" s="21" t="s">
        <v>22841</v>
      </c>
      <c r="H1273" s="21" t="s">
        <v>25627</v>
      </c>
    </row>
    <row r="1274" customFormat="false" ht="15" hidden="false" customHeight="false" outlineLevel="0" collapsed="false">
      <c r="B1274" s="19" t="s">
        <v>26637</v>
      </c>
      <c r="C1274" s="20" t="n">
        <f aca="false">ROUND(1.17/FX,2)</f>
        <v>0.16</v>
      </c>
      <c r="D1274" s="21" t="s">
        <v>13732</v>
      </c>
      <c r="E1274" s="21" t="s">
        <v>734</v>
      </c>
      <c r="F1274" s="21" t="s">
        <v>3011</v>
      </c>
      <c r="G1274" s="21" t="s">
        <v>22841</v>
      </c>
      <c r="H1274" s="21" t="s">
        <v>25619</v>
      </c>
    </row>
    <row r="1275" customFormat="false" ht="15" hidden="false" customHeight="false" outlineLevel="0" collapsed="false">
      <c r="B1275" s="19" t="s">
        <v>26638</v>
      </c>
      <c r="C1275" s="20" t="n">
        <f aca="false">ROUND(1.9/FX,2)</f>
        <v>0.26</v>
      </c>
      <c r="D1275" s="21" t="s">
        <v>13739</v>
      </c>
      <c r="E1275" s="21" t="s">
        <v>734</v>
      </c>
      <c r="F1275" s="21" t="s">
        <v>3011</v>
      </c>
      <c r="G1275" s="21" t="s">
        <v>22841</v>
      </c>
      <c r="H1275" s="21" t="s">
        <v>25627</v>
      </c>
    </row>
    <row r="1276" customFormat="false" ht="15" hidden="false" customHeight="false" outlineLevel="0" collapsed="false">
      <c r="B1276" s="19" t="s">
        <v>26639</v>
      </c>
      <c r="C1276" s="20" t="n">
        <f aca="false">ROUND(1.17/FX,2)</f>
        <v>0.16</v>
      </c>
      <c r="D1276" s="21" t="s">
        <v>13732</v>
      </c>
      <c r="E1276" s="21" t="s">
        <v>734</v>
      </c>
      <c r="F1276" s="21" t="s">
        <v>7396</v>
      </c>
      <c r="G1276" s="21" t="s">
        <v>22841</v>
      </c>
      <c r="H1276" s="21" t="s">
        <v>25627</v>
      </c>
    </row>
    <row r="1277" customFormat="false" ht="15" hidden="false" customHeight="false" outlineLevel="0" collapsed="false">
      <c r="B1277" s="19" t="s">
        <v>26640</v>
      </c>
      <c r="C1277" s="20" t="n">
        <f aca="false">ROUND(1.27/FX,2)</f>
        <v>0.18</v>
      </c>
      <c r="D1277" s="21" t="s">
        <v>13732</v>
      </c>
      <c r="E1277" s="21" t="s">
        <v>734</v>
      </c>
      <c r="F1277" s="21" t="s">
        <v>3061</v>
      </c>
      <c r="G1277" s="21" t="s">
        <v>22841</v>
      </c>
      <c r="H1277" s="21" t="s">
        <v>25627</v>
      </c>
    </row>
    <row r="1278" customFormat="false" ht="15" hidden="false" customHeight="false" outlineLevel="0" collapsed="false">
      <c r="B1278" s="19" t="s">
        <v>26641</v>
      </c>
      <c r="C1278" s="20" t="n">
        <f aca="false">ROUND(3/FX,2)</f>
        <v>0.42</v>
      </c>
      <c r="D1278" s="21" t="s">
        <v>13732</v>
      </c>
      <c r="E1278" s="21" t="s">
        <v>734</v>
      </c>
      <c r="F1278" s="21" t="s">
        <v>11870</v>
      </c>
      <c r="G1278" s="21" t="s">
        <v>22841</v>
      </c>
      <c r="H1278" s="21" t="s">
        <v>25627</v>
      </c>
    </row>
    <row r="1279" customFormat="false" ht="15" hidden="false" customHeight="false" outlineLevel="0" collapsed="false">
      <c r="B1279" s="19" t="s">
        <v>26642</v>
      </c>
      <c r="C1279" s="20" t="n">
        <f aca="false">ROUND(3/FX,2)</f>
        <v>0.42</v>
      </c>
      <c r="D1279" s="21" t="s">
        <v>13732</v>
      </c>
      <c r="E1279" s="21" t="s">
        <v>734</v>
      </c>
      <c r="F1279" s="21" t="s">
        <v>3111</v>
      </c>
      <c r="G1279" s="21" t="s">
        <v>22841</v>
      </c>
      <c r="H1279" s="21" t="s">
        <v>25619</v>
      </c>
    </row>
    <row r="1280" customFormat="false" ht="15" hidden="false" customHeight="false" outlineLevel="0" collapsed="false">
      <c r="B1280" s="19" t="s">
        <v>26643</v>
      </c>
      <c r="C1280" s="20" t="n">
        <f aca="false">ROUND(3/FX,2)</f>
        <v>0.42</v>
      </c>
      <c r="D1280" s="21" t="s">
        <v>13732</v>
      </c>
      <c r="E1280" s="21" t="s">
        <v>734</v>
      </c>
      <c r="F1280" s="21" t="s">
        <v>3111</v>
      </c>
      <c r="G1280" s="21" t="s">
        <v>22841</v>
      </c>
      <c r="H1280" s="21" t="s">
        <v>25627</v>
      </c>
    </row>
    <row r="1281" customFormat="false" ht="15" hidden="false" customHeight="false" outlineLevel="0" collapsed="false">
      <c r="B1281" s="19" t="s">
        <v>26644</v>
      </c>
      <c r="C1281" s="20" t="n">
        <f aca="false">ROUND(3.22/FX,2)</f>
        <v>0.45</v>
      </c>
      <c r="D1281" s="21" t="s">
        <v>13732</v>
      </c>
      <c r="E1281" s="21" t="s">
        <v>734</v>
      </c>
      <c r="F1281" s="21" t="s">
        <v>12306</v>
      </c>
      <c r="G1281" s="21" t="s">
        <v>22841</v>
      </c>
      <c r="H1281" s="21" t="s">
        <v>25619</v>
      </c>
    </row>
    <row r="1282" customFormat="false" ht="15" hidden="false" customHeight="false" outlineLevel="0" collapsed="false">
      <c r="B1282" s="19" t="s">
        <v>26645</v>
      </c>
      <c r="C1282" s="20" t="n">
        <f aca="false">ROUND(3.28/FX,2)</f>
        <v>0.46</v>
      </c>
      <c r="D1282" s="21" t="s">
        <v>13732</v>
      </c>
      <c r="E1282" s="21" t="s">
        <v>734</v>
      </c>
      <c r="F1282" s="21" t="s">
        <v>2600</v>
      </c>
      <c r="G1282" s="21" t="s">
        <v>22844</v>
      </c>
      <c r="H1282" s="21" t="s">
        <v>25619</v>
      </c>
    </row>
    <row r="1283" customFormat="false" ht="15" hidden="false" customHeight="false" outlineLevel="0" collapsed="false">
      <c r="B1283" s="19" t="s">
        <v>26646</v>
      </c>
      <c r="C1283" s="20" t="n">
        <f aca="false">ROUND(3.62/FX,2)</f>
        <v>0.5</v>
      </c>
      <c r="D1283" s="21" t="s">
        <v>13732</v>
      </c>
      <c r="E1283" s="21" t="s">
        <v>734</v>
      </c>
      <c r="F1283" s="21" t="s">
        <v>2651</v>
      </c>
      <c r="G1283" s="21" t="s">
        <v>22844</v>
      </c>
      <c r="H1283" s="21" t="s">
        <v>25619</v>
      </c>
    </row>
    <row r="1284" customFormat="false" ht="15" hidden="false" customHeight="false" outlineLevel="0" collapsed="false">
      <c r="B1284" s="19" t="s">
        <v>26647</v>
      </c>
      <c r="C1284" s="20" t="n">
        <f aca="false">ROUND(3.96/FX,2)</f>
        <v>0.55</v>
      </c>
      <c r="D1284" s="21" t="s">
        <v>13732</v>
      </c>
      <c r="E1284" s="21" t="s">
        <v>734</v>
      </c>
      <c r="F1284" s="21" t="s">
        <v>2701</v>
      </c>
      <c r="G1284" s="21" t="s">
        <v>22844</v>
      </c>
      <c r="H1284" s="21" t="s">
        <v>25619</v>
      </c>
    </row>
    <row r="1285" customFormat="false" ht="15" hidden="false" customHeight="false" outlineLevel="0" collapsed="false">
      <c r="B1285" s="19" t="s">
        <v>26648</v>
      </c>
      <c r="C1285" s="20" t="n">
        <f aca="false">ROUND(1.12/FX,2)</f>
        <v>0.16</v>
      </c>
      <c r="D1285" s="21" t="s">
        <v>13751</v>
      </c>
      <c r="E1285" s="21" t="s">
        <v>734</v>
      </c>
      <c r="F1285" s="21" t="s">
        <v>3833</v>
      </c>
      <c r="G1285" s="21" t="s">
        <v>22844</v>
      </c>
      <c r="H1285" s="21" t="s">
        <v>25627</v>
      </c>
    </row>
    <row r="1286" customFormat="false" ht="15" hidden="false" customHeight="false" outlineLevel="0" collapsed="false">
      <c r="B1286" s="19" t="s">
        <v>26649</v>
      </c>
      <c r="C1286" s="20" t="n">
        <f aca="false">ROUND(1.09/FX,2)</f>
        <v>0.15</v>
      </c>
      <c r="D1286" s="21" t="s">
        <v>13751</v>
      </c>
      <c r="E1286" s="21" t="s">
        <v>734</v>
      </c>
      <c r="F1286" s="21" t="s">
        <v>3247</v>
      </c>
      <c r="G1286" s="21" t="s">
        <v>22844</v>
      </c>
      <c r="H1286" s="21" t="s">
        <v>25627</v>
      </c>
    </row>
    <row r="1287" customFormat="false" ht="15" hidden="false" customHeight="false" outlineLevel="0" collapsed="false">
      <c r="B1287" s="19" t="s">
        <v>26650</v>
      </c>
      <c r="C1287" s="20" t="n">
        <f aca="false">ROUND(1.46/FX,2)</f>
        <v>0.2</v>
      </c>
      <c r="D1287" s="21" t="s">
        <v>13751</v>
      </c>
      <c r="E1287" s="21" t="s">
        <v>734</v>
      </c>
      <c r="F1287" s="21" t="s">
        <v>3317</v>
      </c>
      <c r="G1287" s="21" t="s">
        <v>22844</v>
      </c>
      <c r="H1287" s="21" t="s">
        <v>25627</v>
      </c>
    </row>
    <row r="1288" customFormat="false" ht="15" hidden="false" customHeight="false" outlineLevel="0" collapsed="false">
      <c r="B1288" s="19" t="s">
        <v>26651</v>
      </c>
      <c r="C1288" s="20" t="n">
        <f aca="false">ROUND(1.05/FX,2)</f>
        <v>0.15</v>
      </c>
      <c r="D1288" s="21" t="s">
        <v>13751</v>
      </c>
      <c r="E1288" s="21" t="s">
        <v>734</v>
      </c>
      <c r="F1288" s="21" t="s">
        <v>784</v>
      </c>
      <c r="G1288" s="21" t="s">
        <v>22844</v>
      </c>
      <c r="H1288" s="21" t="s">
        <v>25627</v>
      </c>
    </row>
    <row r="1289" customFormat="false" ht="15" hidden="false" customHeight="false" outlineLevel="0" collapsed="false">
      <c r="B1289" s="19" t="s">
        <v>26652</v>
      </c>
      <c r="C1289" s="20" t="n">
        <f aca="false">ROUND(1.2/FX,2)</f>
        <v>0.17</v>
      </c>
      <c r="D1289" s="21" t="s">
        <v>13739</v>
      </c>
      <c r="E1289" s="21" t="s">
        <v>734</v>
      </c>
      <c r="F1289" s="21" t="s">
        <v>3328</v>
      </c>
      <c r="G1289" s="21" t="s">
        <v>22844</v>
      </c>
      <c r="H1289" s="21" t="s">
        <v>25627</v>
      </c>
    </row>
    <row r="1290" customFormat="false" ht="15" hidden="false" customHeight="false" outlineLevel="0" collapsed="false">
      <c r="B1290" s="19" t="s">
        <v>26653</v>
      </c>
      <c r="C1290" s="20" t="n">
        <f aca="false">ROUND(1.34/FX,2)</f>
        <v>0.19</v>
      </c>
      <c r="D1290" s="21" t="s">
        <v>13739</v>
      </c>
      <c r="E1290" s="21" t="s">
        <v>734</v>
      </c>
      <c r="F1290" s="21" t="s">
        <v>6246</v>
      </c>
      <c r="G1290" s="21" t="s">
        <v>22844</v>
      </c>
      <c r="H1290" s="21" t="s">
        <v>25627</v>
      </c>
    </row>
    <row r="1291" customFormat="false" ht="15" hidden="false" customHeight="false" outlineLevel="0" collapsed="false">
      <c r="B1291" s="19" t="s">
        <v>26654</v>
      </c>
      <c r="C1291" s="20" t="n">
        <f aca="false">ROUND(1.46/FX,2)</f>
        <v>0.2</v>
      </c>
      <c r="D1291" s="21" t="s">
        <v>13739</v>
      </c>
      <c r="E1291" s="21" t="s">
        <v>734</v>
      </c>
      <c r="F1291" s="21" t="s">
        <v>7358</v>
      </c>
      <c r="G1291" s="21" t="s">
        <v>22844</v>
      </c>
      <c r="H1291" s="21" t="s">
        <v>25627</v>
      </c>
    </row>
    <row r="1292" customFormat="false" ht="15" hidden="false" customHeight="false" outlineLevel="0" collapsed="false">
      <c r="B1292" s="19" t="s">
        <v>26655</v>
      </c>
      <c r="C1292" s="20" t="n">
        <f aca="false">ROUND(1.07/FX,2)</f>
        <v>0.15</v>
      </c>
      <c r="D1292" s="21" t="s">
        <v>13732</v>
      </c>
      <c r="E1292" s="21" t="s">
        <v>734</v>
      </c>
      <c r="F1292" s="21" t="s">
        <v>2911</v>
      </c>
      <c r="G1292" s="21" t="s">
        <v>22844</v>
      </c>
      <c r="H1292" s="21" t="s">
        <v>25619</v>
      </c>
    </row>
    <row r="1293" customFormat="false" ht="15" hidden="false" customHeight="false" outlineLevel="0" collapsed="false">
      <c r="B1293" s="19" t="s">
        <v>26656</v>
      </c>
      <c r="C1293" s="20" t="n">
        <f aca="false">ROUND(1.6/FX,2)</f>
        <v>0.22</v>
      </c>
      <c r="D1293" s="21" t="s">
        <v>13739</v>
      </c>
      <c r="E1293" s="21" t="s">
        <v>734</v>
      </c>
      <c r="F1293" s="21" t="s">
        <v>2911</v>
      </c>
      <c r="G1293" s="21" t="s">
        <v>22844</v>
      </c>
      <c r="H1293" s="21" t="s">
        <v>25627</v>
      </c>
    </row>
    <row r="1294" customFormat="false" ht="15" hidden="false" customHeight="false" outlineLevel="0" collapsed="false">
      <c r="B1294" s="19" t="s">
        <v>26657</v>
      </c>
      <c r="C1294" s="20" t="n">
        <f aca="false">ROUND(1.78/FX,2)</f>
        <v>0.25</v>
      </c>
      <c r="D1294" s="21" t="s">
        <v>13739</v>
      </c>
      <c r="E1294" s="21" t="s">
        <v>734</v>
      </c>
      <c r="F1294" s="21" t="s">
        <v>7275</v>
      </c>
      <c r="G1294" s="21" t="s">
        <v>22844</v>
      </c>
      <c r="H1294" s="21" t="s">
        <v>25627</v>
      </c>
    </row>
    <row r="1295" customFormat="false" ht="15" hidden="false" customHeight="false" outlineLevel="0" collapsed="false">
      <c r="B1295" s="19" t="s">
        <v>26658</v>
      </c>
      <c r="C1295" s="20" t="n">
        <f aca="false">ROUND(1.88/FX,2)</f>
        <v>0.26</v>
      </c>
      <c r="D1295" s="21" t="s">
        <v>13739</v>
      </c>
      <c r="E1295" s="21" t="s">
        <v>734</v>
      </c>
      <c r="F1295" s="21" t="s">
        <v>2961</v>
      </c>
      <c r="G1295" s="21" t="s">
        <v>22844</v>
      </c>
      <c r="H1295" s="21" t="s">
        <v>25627</v>
      </c>
    </row>
    <row r="1296" customFormat="false" ht="15" hidden="false" customHeight="false" outlineLevel="0" collapsed="false">
      <c r="B1296" s="19" t="s">
        <v>26659</v>
      </c>
      <c r="C1296" s="20" t="n">
        <f aca="false">ROUND(1.29/FX,2)</f>
        <v>0.18</v>
      </c>
      <c r="D1296" s="21" t="s">
        <v>13732</v>
      </c>
      <c r="E1296" s="21" t="s">
        <v>734</v>
      </c>
      <c r="F1296" s="21" t="s">
        <v>13817</v>
      </c>
      <c r="G1296" s="21" t="s">
        <v>22844</v>
      </c>
      <c r="H1296" s="21" t="s">
        <v>25627</v>
      </c>
    </row>
    <row r="1297" customFormat="false" ht="15" hidden="false" customHeight="false" outlineLevel="0" collapsed="false">
      <c r="B1297" s="19" t="s">
        <v>26660</v>
      </c>
      <c r="C1297" s="20" t="n">
        <f aca="false">ROUND(1.32/FX,2)</f>
        <v>0.18</v>
      </c>
      <c r="D1297" s="21" t="s">
        <v>13732</v>
      </c>
      <c r="E1297" s="21" t="s">
        <v>734</v>
      </c>
      <c r="F1297" s="21" t="s">
        <v>3011</v>
      </c>
      <c r="G1297" s="21" t="s">
        <v>22844</v>
      </c>
      <c r="H1297" s="21" t="s">
        <v>25619</v>
      </c>
    </row>
    <row r="1298" customFormat="false" ht="15" hidden="false" customHeight="false" outlineLevel="0" collapsed="false">
      <c r="B1298" s="19" t="s">
        <v>26661</v>
      </c>
      <c r="C1298" s="20" t="n">
        <f aca="false">ROUND(1.29/FX,2)</f>
        <v>0.18</v>
      </c>
      <c r="D1298" s="21" t="s">
        <v>13732</v>
      </c>
      <c r="E1298" s="21" t="s">
        <v>734</v>
      </c>
      <c r="F1298" s="21" t="s">
        <v>3011</v>
      </c>
      <c r="G1298" s="21" t="s">
        <v>22844</v>
      </c>
      <c r="H1298" s="21" t="s">
        <v>25627</v>
      </c>
    </row>
    <row r="1299" customFormat="false" ht="15" hidden="false" customHeight="false" outlineLevel="0" collapsed="false">
      <c r="B1299" s="19" t="s">
        <v>26662</v>
      </c>
      <c r="C1299" s="20" t="n">
        <f aca="false">ROUND(1.48/FX,2)</f>
        <v>0.21</v>
      </c>
      <c r="D1299" s="21" t="s">
        <v>13732</v>
      </c>
      <c r="E1299" s="21" t="s">
        <v>734</v>
      </c>
      <c r="F1299" s="21" t="s">
        <v>3061</v>
      </c>
      <c r="G1299" s="21" t="s">
        <v>22844</v>
      </c>
      <c r="H1299" s="21" t="s">
        <v>25627</v>
      </c>
    </row>
    <row r="1300" customFormat="false" ht="15" hidden="false" customHeight="false" outlineLevel="0" collapsed="false">
      <c r="B1300" s="19" t="s">
        <v>26663</v>
      </c>
      <c r="C1300" s="20" t="n">
        <f aca="false">ROUND(2.9/FX,2)</f>
        <v>0.4</v>
      </c>
      <c r="D1300" s="21" t="s">
        <v>13732</v>
      </c>
      <c r="E1300" s="21" t="s">
        <v>734</v>
      </c>
      <c r="F1300" s="21" t="s">
        <v>11870</v>
      </c>
      <c r="G1300" s="21" t="s">
        <v>22844</v>
      </c>
      <c r="H1300" s="21" t="s">
        <v>25619</v>
      </c>
    </row>
    <row r="1301" customFormat="false" ht="15" hidden="false" customHeight="false" outlineLevel="0" collapsed="false">
      <c r="B1301" s="19" t="s">
        <v>26664</v>
      </c>
      <c r="C1301" s="20" t="n">
        <f aca="false">ROUND(2.9/FX,2)</f>
        <v>0.4</v>
      </c>
      <c r="D1301" s="21" t="s">
        <v>13732</v>
      </c>
      <c r="E1301" s="21" t="s">
        <v>734</v>
      </c>
      <c r="F1301" s="21" t="s">
        <v>3111</v>
      </c>
      <c r="G1301" s="21" t="s">
        <v>22844</v>
      </c>
      <c r="H1301" s="21" t="s">
        <v>25619</v>
      </c>
    </row>
    <row r="1302" customFormat="false" ht="15" hidden="false" customHeight="false" outlineLevel="0" collapsed="false">
      <c r="B1302" s="19" t="s">
        <v>26665</v>
      </c>
      <c r="C1302" s="20" t="n">
        <f aca="false">ROUND(1.02/FX,2)</f>
        <v>0.14</v>
      </c>
      <c r="D1302" s="21" t="s">
        <v>13732</v>
      </c>
      <c r="E1302" s="21" t="s">
        <v>734</v>
      </c>
      <c r="F1302" s="21" t="s">
        <v>3247</v>
      </c>
      <c r="G1302" s="21" t="s">
        <v>25427</v>
      </c>
      <c r="H1302" s="21" t="s">
        <v>25627</v>
      </c>
    </row>
    <row r="1303" customFormat="false" ht="15" hidden="false" customHeight="false" outlineLevel="0" collapsed="false">
      <c r="B1303" s="19" t="s">
        <v>26666</v>
      </c>
      <c r="C1303" s="20" t="n">
        <f aca="false">ROUND(1.11/FX,2)</f>
        <v>0.15</v>
      </c>
      <c r="D1303" s="21" t="s">
        <v>13732</v>
      </c>
      <c r="E1303" s="21" t="s">
        <v>734</v>
      </c>
      <c r="F1303" s="21" t="s">
        <v>3317</v>
      </c>
      <c r="G1303" s="21" t="s">
        <v>25427</v>
      </c>
      <c r="H1303" s="21" t="s">
        <v>25627</v>
      </c>
    </row>
    <row r="1304" customFormat="false" ht="15" hidden="false" customHeight="false" outlineLevel="0" collapsed="false">
      <c r="B1304" s="19" t="s">
        <v>26667</v>
      </c>
      <c r="C1304" s="20" t="n">
        <f aca="false">ROUND(1.22/FX,2)</f>
        <v>0.17</v>
      </c>
      <c r="D1304" s="21" t="s">
        <v>13732</v>
      </c>
      <c r="E1304" s="21" t="s">
        <v>734</v>
      </c>
      <c r="F1304" s="21" t="s">
        <v>784</v>
      </c>
      <c r="G1304" s="21" t="s">
        <v>25427</v>
      </c>
      <c r="H1304" s="21" t="s">
        <v>25627</v>
      </c>
    </row>
    <row r="1305" customFormat="false" ht="15" hidden="false" customHeight="false" outlineLevel="0" collapsed="false">
      <c r="B1305" s="19" t="s">
        <v>26668</v>
      </c>
      <c r="C1305" s="20" t="n">
        <f aca="false">ROUND(1.4/FX,2)</f>
        <v>0.19</v>
      </c>
      <c r="D1305" s="21" t="s">
        <v>13732</v>
      </c>
      <c r="E1305" s="21" t="s">
        <v>734</v>
      </c>
      <c r="F1305" s="21" t="s">
        <v>3328</v>
      </c>
      <c r="G1305" s="21" t="s">
        <v>25427</v>
      </c>
      <c r="H1305" s="21" t="s">
        <v>25627</v>
      </c>
    </row>
    <row r="1306" customFormat="false" ht="15" hidden="false" customHeight="false" outlineLevel="0" collapsed="false">
      <c r="B1306" s="19" t="s">
        <v>26669</v>
      </c>
      <c r="C1306" s="20" t="n">
        <f aca="false">ROUND(1.52/FX,2)</f>
        <v>0.21</v>
      </c>
      <c r="D1306" s="21" t="s">
        <v>13732</v>
      </c>
      <c r="E1306" s="21" t="s">
        <v>734</v>
      </c>
      <c r="F1306" s="21" t="s">
        <v>6246</v>
      </c>
      <c r="G1306" s="21" t="s">
        <v>25427</v>
      </c>
      <c r="H1306" s="21" t="s">
        <v>25627</v>
      </c>
    </row>
    <row r="1307" customFormat="false" ht="15" hidden="false" customHeight="false" outlineLevel="0" collapsed="false">
      <c r="B1307" s="19" t="s">
        <v>26670</v>
      </c>
      <c r="C1307" s="20" t="n">
        <f aca="false">ROUND(1.77/FX,2)</f>
        <v>0.25</v>
      </c>
      <c r="D1307" s="21" t="s">
        <v>13732</v>
      </c>
      <c r="E1307" s="21" t="s">
        <v>734</v>
      </c>
      <c r="F1307" s="21" t="s">
        <v>2911</v>
      </c>
      <c r="G1307" s="21" t="s">
        <v>25427</v>
      </c>
      <c r="H1307" s="21" t="s">
        <v>25627</v>
      </c>
    </row>
    <row r="1308" customFormat="false" ht="15" hidden="false" customHeight="false" outlineLevel="0" collapsed="false">
      <c r="B1308" s="19" t="s">
        <v>26671</v>
      </c>
      <c r="C1308" s="20" t="n">
        <f aca="false">ROUND(3.4/FX,2)</f>
        <v>0.47</v>
      </c>
      <c r="D1308" s="21" t="s">
        <v>13732</v>
      </c>
      <c r="E1308" s="21" t="s">
        <v>734</v>
      </c>
      <c r="F1308" s="21" t="s">
        <v>2961</v>
      </c>
      <c r="G1308" s="21" t="s">
        <v>25427</v>
      </c>
      <c r="H1308" s="21" t="s">
        <v>25619</v>
      </c>
    </row>
    <row r="1309" customFormat="false" ht="15" hidden="false" customHeight="false" outlineLevel="0" collapsed="false">
      <c r="B1309" s="19" t="s">
        <v>26672</v>
      </c>
      <c r="C1309" s="20" t="n">
        <f aca="false">ROUND(2.07/FX,2)</f>
        <v>0.29</v>
      </c>
      <c r="D1309" s="21" t="s">
        <v>13732</v>
      </c>
      <c r="E1309" s="21" t="s">
        <v>734</v>
      </c>
      <c r="F1309" s="21" t="s">
        <v>2961</v>
      </c>
      <c r="G1309" s="21" t="s">
        <v>25427</v>
      </c>
      <c r="H1309" s="21" t="s">
        <v>25627</v>
      </c>
    </row>
    <row r="1310" customFormat="false" ht="15" hidden="false" customHeight="false" outlineLevel="0" collapsed="false">
      <c r="B1310" s="19" t="s">
        <v>26673</v>
      </c>
      <c r="C1310" s="20" t="n">
        <f aca="false">ROUND(3.85/FX,2)</f>
        <v>0.53</v>
      </c>
      <c r="D1310" s="21" t="s">
        <v>13732</v>
      </c>
      <c r="E1310" s="21" t="s">
        <v>734</v>
      </c>
      <c r="F1310" s="21" t="s">
        <v>3011</v>
      </c>
      <c r="G1310" s="21" t="s">
        <v>25427</v>
      </c>
      <c r="H1310" s="21" t="s">
        <v>25619</v>
      </c>
    </row>
    <row r="1311" customFormat="false" ht="15" hidden="false" customHeight="false" outlineLevel="0" collapsed="false">
      <c r="B1311" s="19" t="s">
        <v>26674</v>
      </c>
      <c r="C1311" s="20" t="n">
        <f aca="false">ROUND(4.6/FX,2)</f>
        <v>0.64</v>
      </c>
      <c r="D1311" s="21" t="s">
        <v>13732</v>
      </c>
      <c r="E1311" s="21" t="s">
        <v>734</v>
      </c>
      <c r="F1311" s="21" t="s">
        <v>2600</v>
      </c>
      <c r="G1311" s="21" t="s">
        <v>25439</v>
      </c>
      <c r="H1311" s="21" t="s">
        <v>25619</v>
      </c>
    </row>
    <row r="1312" customFormat="false" ht="15" hidden="false" customHeight="false" outlineLevel="0" collapsed="false">
      <c r="B1312" s="19" t="s">
        <v>26675</v>
      </c>
      <c r="C1312" s="20" t="n">
        <f aca="false">ROUND(5.31/FX,2)</f>
        <v>0.74</v>
      </c>
      <c r="D1312" s="21" t="s">
        <v>13732</v>
      </c>
      <c r="E1312" s="21" t="s">
        <v>734</v>
      </c>
      <c r="F1312" s="21" t="s">
        <v>2651</v>
      </c>
      <c r="G1312" s="21" t="s">
        <v>25439</v>
      </c>
      <c r="H1312" s="21" t="s">
        <v>25619</v>
      </c>
    </row>
    <row r="1313" customFormat="false" ht="15" hidden="false" customHeight="false" outlineLevel="0" collapsed="false">
      <c r="B1313" s="19" t="s">
        <v>26676</v>
      </c>
      <c r="C1313" s="20" t="n">
        <f aca="false">ROUND(5.97/FX,2)</f>
        <v>0.83</v>
      </c>
      <c r="D1313" s="21" t="s">
        <v>13732</v>
      </c>
      <c r="E1313" s="21" t="s">
        <v>734</v>
      </c>
      <c r="F1313" s="21" t="s">
        <v>2701</v>
      </c>
      <c r="G1313" s="21" t="s">
        <v>25439</v>
      </c>
      <c r="H1313" s="21" t="s">
        <v>25619</v>
      </c>
    </row>
    <row r="1314" customFormat="false" ht="15" hidden="false" customHeight="false" outlineLevel="0" collapsed="false">
      <c r="B1314" s="19" t="s">
        <v>26677</v>
      </c>
      <c r="C1314" s="20" t="n">
        <f aca="false">ROUND(7.3/FX,2)</f>
        <v>1.01</v>
      </c>
      <c r="D1314" s="21" t="s">
        <v>13732</v>
      </c>
      <c r="E1314" s="21" t="s">
        <v>734</v>
      </c>
      <c r="F1314" s="21" t="s">
        <v>11968</v>
      </c>
      <c r="G1314" s="21" t="s">
        <v>25439</v>
      </c>
      <c r="H1314" s="21" t="s">
        <v>25619</v>
      </c>
    </row>
    <row r="1315" customFormat="false" ht="15" hidden="false" customHeight="false" outlineLevel="0" collapsed="false">
      <c r="B1315" s="19" t="s">
        <v>26678</v>
      </c>
      <c r="C1315" s="20" t="n">
        <f aca="false">ROUND(7.3/FX,2)</f>
        <v>1.01</v>
      </c>
      <c r="D1315" s="21" t="s">
        <v>13732</v>
      </c>
      <c r="E1315" s="21" t="s">
        <v>734</v>
      </c>
      <c r="F1315" s="21" t="s">
        <v>2751</v>
      </c>
      <c r="G1315" s="21" t="s">
        <v>25439</v>
      </c>
      <c r="H1315" s="21" t="s">
        <v>25619</v>
      </c>
    </row>
    <row r="1316" customFormat="false" ht="15" hidden="false" customHeight="false" outlineLevel="0" collapsed="false">
      <c r="B1316" s="19" t="s">
        <v>26679</v>
      </c>
      <c r="C1316" s="20" t="n">
        <f aca="false">ROUND(8.07/FX,2)</f>
        <v>1.12</v>
      </c>
      <c r="D1316" s="21" t="s">
        <v>13732</v>
      </c>
      <c r="E1316" s="21" t="s">
        <v>734</v>
      </c>
      <c r="F1316" s="21" t="s">
        <v>2801</v>
      </c>
      <c r="G1316" s="21" t="s">
        <v>25439</v>
      </c>
      <c r="H1316" s="21" t="s">
        <v>25619</v>
      </c>
    </row>
    <row r="1317" customFormat="false" ht="15" hidden="false" customHeight="false" outlineLevel="0" collapsed="false">
      <c r="B1317" s="19" t="s">
        <v>26680</v>
      </c>
      <c r="C1317" s="20" t="n">
        <f aca="false">ROUND(8.84/FX,2)</f>
        <v>1.23</v>
      </c>
      <c r="D1317" s="21" t="s">
        <v>13732</v>
      </c>
      <c r="E1317" s="21" t="s">
        <v>734</v>
      </c>
      <c r="F1317" s="21" t="s">
        <v>12101</v>
      </c>
      <c r="G1317" s="21" t="s">
        <v>25439</v>
      </c>
      <c r="H1317" s="21" t="s">
        <v>25619</v>
      </c>
    </row>
    <row r="1318" customFormat="false" ht="15" hidden="false" customHeight="false" outlineLevel="0" collapsed="false">
      <c r="B1318" s="19" t="s">
        <v>26681</v>
      </c>
      <c r="C1318" s="20" t="n">
        <f aca="false">ROUND(9.03/FX,2)</f>
        <v>1.25</v>
      </c>
      <c r="D1318" s="21" t="s">
        <v>13732</v>
      </c>
      <c r="E1318" s="21" t="s">
        <v>734</v>
      </c>
      <c r="F1318" s="21" t="s">
        <v>2851</v>
      </c>
      <c r="G1318" s="21" t="s">
        <v>25439</v>
      </c>
      <c r="H1318" s="21" t="s">
        <v>25619</v>
      </c>
    </row>
    <row r="1319" customFormat="false" ht="15" hidden="false" customHeight="false" outlineLevel="0" collapsed="false">
      <c r="B1319" s="19" t="s">
        <v>26682</v>
      </c>
      <c r="C1319" s="20" t="n">
        <f aca="false">ROUND(9.4/FX,2)</f>
        <v>1.31</v>
      </c>
      <c r="D1319" s="21" t="s">
        <v>13732</v>
      </c>
      <c r="E1319" s="21" t="s">
        <v>734</v>
      </c>
      <c r="F1319" s="21" t="s">
        <v>2901</v>
      </c>
      <c r="G1319" s="21" t="s">
        <v>25439</v>
      </c>
      <c r="H1319" s="21" t="s">
        <v>25619</v>
      </c>
    </row>
    <row r="1320" customFormat="false" ht="15" hidden="false" customHeight="false" outlineLevel="0" collapsed="false">
      <c r="B1320" s="19" t="s">
        <v>26683</v>
      </c>
      <c r="C1320" s="20" t="n">
        <f aca="false">ROUND(1.78/FX,2)</f>
        <v>0.25</v>
      </c>
      <c r="D1320" s="21" t="s">
        <v>13732</v>
      </c>
      <c r="E1320" s="21" t="s">
        <v>734</v>
      </c>
      <c r="F1320" s="21" t="s">
        <v>3247</v>
      </c>
      <c r="G1320" s="21" t="s">
        <v>25439</v>
      </c>
      <c r="H1320" s="21" t="s">
        <v>25627</v>
      </c>
    </row>
    <row r="1321" customFormat="false" ht="15" hidden="false" customHeight="false" outlineLevel="0" collapsed="false">
      <c r="B1321" s="19" t="s">
        <v>26684</v>
      </c>
      <c r="C1321" s="20" t="n">
        <f aca="false">ROUND(1.29/FX,2)</f>
        <v>0.18</v>
      </c>
      <c r="D1321" s="21" t="s">
        <v>13732</v>
      </c>
      <c r="E1321" s="21" t="s">
        <v>734</v>
      </c>
      <c r="F1321" s="21" t="s">
        <v>3317</v>
      </c>
      <c r="G1321" s="21" t="s">
        <v>25439</v>
      </c>
      <c r="H1321" s="21" t="s">
        <v>25627</v>
      </c>
    </row>
    <row r="1322" customFormat="false" ht="15" hidden="false" customHeight="false" outlineLevel="0" collapsed="false">
      <c r="B1322" s="19" t="s">
        <v>26685</v>
      </c>
      <c r="C1322" s="20" t="n">
        <f aca="false">ROUND(1.27/FX,2)</f>
        <v>0.18</v>
      </c>
      <c r="D1322" s="21" t="s">
        <v>13732</v>
      </c>
      <c r="E1322" s="21" t="s">
        <v>734</v>
      </c>
      <c r="F1322" s="21" t="s">
        <v>784</v>
      </c>
      <c r="G1322" s="21" t="s">
        <v>25439</v>
      </c>
      <c r="H1322" s="21" t="s">
        <v>25627</v>
      </c>
    </row>
    <row r="1323" customFormat="false" ht="15" hidden="false" customHeight="false" outlineLevel="0" collapsed="false">
      <c r="B1323" s="19" t="s">
        <v>26686</v>
      </c>
      <c r="C1323" s="20" t="n">
        <f aca="false">ROUND(1.38/FX,2)</f>
        <v>0.19</v>
      </c>
      <c r="D1323" s="21" t="s">
        <v>13732</v>
      </c>
      <c r="E1323" s="21" t="s">
        <v>734</v>
      </c>
      <c r="F1323" s="21" t="s">
        <v>3328</v>
      </c>
      <c r="G1323" s="21" t="s">
        <v>25439</v>
      </c>
      <c r="H1323" s="21" t="s">
        <v>25627</v>
      </c>
    </row>
    <row r="1324" customFormat="false" ht="15" hidden="false" customHeight="false" outlineLevel="0" collapsed="false">
      <c r="B1324" s="19" t="s">
        <v>26687</v>
      </c>
      <c r="C1324" s="20" t="n">
        <f aca="false">ROUND(1.52/FX,2)</f>
        <v>0.21</v>
      </c>
      <c r="D1324" s="21" t="s">
        <v>13732</v>
      </c>
      <c r="E1324" s="21" t="s">
        <v>734</v>
      </c>
      <c r="F1324" s="21" t="s">
        <v>6246</v>
      </c>
      <c r="G1324" s="21" t="s">
        <v>25439</v>
      </c>
      <c r="H1324" s="21" t="s">
        <v>25627</v>
      </c>
    </row>
    <row r="1325" customFormat="false" ht="15" hidden="false" customHeight="false" outlineLevel="0" collapsed="false">
      <c r="B1325" s="19" t="s">
        <v>26688</v>
      </c>
      <c r="C1325" s="20" t="n">
        <f aca="false">ROUND(1.62/FX,2)</f>
        <v>0.23</v>
      </c>
      <c r="D1325" s="21" t="s">
        <v>13732</v>
      </c>
      <c r="E1325" s="21" t="s">
        <v>734</v>
      </c>
      <c r="F1325" s="21" t="s">
        <v>7358</v>
      </c>
      <c r="G1325" s="21" t="s">
        <v>25439</v>
      </c>
      <c r="H1325" s="21" t="s">
        <v>25627</v>
      </c>
    </row>
    <row r="1326" customFormat="false" ht="15" hidden="false" customHeight="false" outlineLevel="0" collapsed="false">
      <c r="B1326" s="19" t="s">
        <v>26689</v>
      </c>
      <c r="C1326" s="20" t="n">
        <f aca="false">ROUND(1.78/FX,2)</f>
        <v>0.25</v>
      </c>
      <c r="D1326" s="21" t="s">
        <v>13732</v>
      </c>
      <c r="E1326" s="21" t="s">
        <v>734</v>
      </c>
      <c r="F1326" s="21" t="s">
        <v>2911</v>
      </c>
      <c r="G1326" s="21" t="s">
        <v>25439</v>
      </c>
      <c r="H1326" s="21" t="s">
        <v>25627</v>
      </c>
    </row>
    <row r="1327" customFormat="false" ht="15" hidden="false" customHeight="false" outlineLevel="0" collapsed="false">
      <c r="B1327" s="19" t="s">
        <v>26690</v>
      </c>
      <c r="C1327" s="20" t="n">
        <f aca="false">ROUND(2.08/FX,2)</f>
        <v>0.29</v>
      </c>
      <c r="D1327" s="21" t="s">
        <v>13732</v>
      </c>
      <c r="E1327" s="21" t="s">
        <v>734</v>
      </c>
      <c r="F1327" s="21" t="s">
        <v>7275</v>
      </c>
      <c r="G1327" s="21" t="s">
        <v>25439</v>
      </c>
      <c r="H1327" s="21" t="s">
        <v>25627</v>
      </c>
    </row>
    <row r="1328" customFormat="false" ht="15" hidden="false" customHeight="false" outlineLevel="0" collapsed="false">
      <c r="B1328" s="19" t="s">
        <v>26691</v>
      </c>
      <c r="C1328" s="20" t="n">
        <f aca="false">ROUND(2.62/FX,2)</f>
        <v>0.36</v>
      </c>
      <c r="D1328" s="21" t="s">
        <v>13732</v>
      </c>
      <c r="E1328" s="21" t="s">
        <v>734</v>
      </c>
      <c r="F1328" s="21" t="s">
        <v>2961</v>
      </c>
      <c r="G1328" s="21" t="s">
        <v>25439</v>
      </c>
      <c r="H1328" s="21" t="s">
        <v>25619</v>
      </c>
    </row>
    <row r="1329" customFormat="false" ht="15" hidden="false" customHeight="false" outlineLevel="0" collapsed="false">
      <c r="B1329" s="19" t="s">
        <v>26692</v>
      </c>
      <c r="C1329" s="20" t="n">
        <f aca="false">ROUND(2.04/FX,2)</f>
        <v>0.28</v>
      </c>
      <c r="D1329" s="21" t="s">
        <v>13732</v>
      </c>
      <c r="E1329" s="21" t="s">
        <v>734</v>
      </c>
      <c r="F1329" s="21" t="s">
        <v>2961</v>
      </c>
      <c r="G1329" s="21" t="s">
        <v>25439</v>
      </c>
      <c r="H1329" s="21" t="s">
        <v>25627</v>
      </c>
    </row>
    <row r="1330" customFormat="false" ht="15" hidden="false" customHeight="false" outlineLevel="0" collapsed="false">
      <c r="B1330" s="19" t="s">
        <v>26693</v>
      </c>
      <c r="C1330" s="20" t="n">
        <f aca="false">ROUND(2.81/FX,2)</f>
        <v>0.39</v>
      </c>
      <c r="D1330" s="21" t="s">
        <v>13732</v>
      </c>
      <c r="E1330" s="21" t="s">
        <v>734</v>
      </c>
      <c r="F1330" s="21" t="s">
        <v>13817</v>
      </c>
      <c r="G1330" s="21" t="s">
        <v>25439</v>
      </c>
      <c r="H1330" s="21" t="s">
        <v>25619</v>
      </c>
    </row>
    <row r="1331" customFormat="false" ht="15" hidden="false" customHeight="false" outlineLevel="0" collapsed="false">
      <c r="B1331" s="19" t="s">
        <v>26694</v>
      </c>
      <c r="C1331" s="20" t="n">
        <f aca="false">ROUND(2.3/FX,2)</f>
        <v>0.32</v>
      </c>
      <c r="D1331" s="21" t="s">
        <v>13732</v>
      </c>
      <c r="E1331" s="21" t="s">
        <v>734</v>
      </c>
      <c r="F1331" s="21" t="s">
        <v>3011</v>
      </c>
      <c r="G1331" s="21" t="s">
        <v>25439</v>
      </c>
      <c r="H1331" s="21" t="s">
        <v>25627</v>
      </c>
    </row>
    <row r="1332" customFormat="false" ht="15" hidden="false" customHeight="false" outlineLevel="0" collapsed="false">
      <c r="B1332" s="19" t="s">
        <v>26695</v>
      </c>
      <c r="C1332" s="20" t="n">
        <f aca="false">ROUND(3.21/FX,2)</f>
        <v>0.45</v>
      </c>
      <c r="D1332" s="21" t="s">
        <v>13732</v>
      </c>
      <c r="E1332" s="21" t="s">
        <v>734</v>
      </c>
      <c r="F1332" s="21" t="s">
        <v>7396</v>
      </c>
      <c r="G1332" s="21" t="s">
        <v>25439</v>
      </c>
      <c r="H1332" s="21" t="s">
        <v>25619</v>
      </c>
    </row>
    <row r="1333" customFormat="false" ht="15" hidden="false" customHeight="false" outlineLevel="0" collapsed="false">
      <c r="B1333" s="19" t="s">
        <v>26696</v>
      </c>
      <c r="C1333" s="20" t="n">
        <f aca="false">ROUND(2.58/FX,2)</f>
        <v>0.36</v>
      </c>
      <c r="D1333" s="21" t="s">
        <v>13732</v>
      </c>
      <c r="E1333" s="21" t="s">
        <v>734</v>
      </c>
      <c r="F1333" s="21" t="s">
        <v>3061</v>
      </c>
      <c r="G1333" s="21" t="s">
        <v>25439</v>
      </c>
      <c r="H1333" s="21" t="s">
        <v>25627</v>
      </c>
    </row>
    <row r="1334" customFormat="false" ht="15" hidden="false" customHeight="false" outlineLevel="0" collapsed="false">
      <c r="B1334" s="19" t="s">
        <v>26697</v>
      </c>
      <c r="C1334" s="20" t="n">
        <f aca="false">ROUND(3.76/FX,2)</f>
        <v>0.52</v>
      </c>
      <c r="D1334" s="21" t="s">
        <v>13732</v>
      </c>
      <c r="E1334" s="21" t="s">
        <v>734</v>
      </c>
      <c r="F1334" s="21" t="s">
        <v>11870</v>
      </c>
      <c r="G1334" s="21" t="s">
        <v>25439</v>
      </c>
      <c r="H1334" s="21" t="s">
        <v>25619</v>
      </c>
    </row>
    <row r="1335" customFormat="false" ht="15" hidden="false" customHeight="false" outlineLevel="0" collapsed="false">
      <c r="B1335" s="19" t="s">
        <v>26698</v>
      </c>
      <c r="C1335" s="20" t="n">
        <f aca="false">ROUND(3.77/FX,2)</f>
        <v>0.52</v>
      </c>
      <c r="D1335" s="21" t="s">
        <v>13732</v>
      </c>
      <c r="E1335" s="21" t="s">
        <v>734</v>
      </c>
      <c r="F1335" s="21" t="s">
        <v>3111</v>
      </c>
      <c r="G1335" s="21" t="s">
        <v>25439</v>
      </c>
      <c r="H1335" s="21" t="s">
        <v>25619</v>
      </c>
    </row>
    <row r="1336" customFormat="false" ht="15" hidden="false" customHeight="false" outlineLevel="0" collapsed="false">
      <c r="B1336" s="19" t="s">
        <v>26699</v>
      </c>
      <c r="C1336" s="20" t="n">
        <f aca="false">ROUND(4.1/FX,2)</f>
        <v>0.57</v>
      </c>
      <c r="D1336" s="21" t="s">
        <v>13732</v>
      </c>
      <c r="E1336" s="21" t="s">
        <v>734</v>
      </c>
      <c r="F1336" s="21" t="s">
        <v>784</v>
      </c>
      <c r="G1336" s="21" t="s">
        <v>26700</v>
      </c>
      <c r="H1336" s="21" t="s">
        <v>25627</v>
      </c>
    </row>
    <row r="1337" customFormat="false" ht="15" hidden="false" customHeight="false" outlineLevel="0" collapsed="false">
      <c r="B1337" s="19" t="s">
        <v>26701</v>
      </c>
      <c r="C1337" s="20" t="n">
        <f aca="false">ROUND(4.32/FX,2)</f>
        <v>0.6</v>
      </c>
      <c r="D1337" s="21" t="s">
        <v>13732</v>
      </c>
      <c r="E1337" s="21" t="s">
        <v>734</v>
      </c>
      <c r="F1337" s="21" t="s">
        <v>6246</v>
      </c>
      <c r="G1337" s="21" t="s">
        <v>26700</v>
      </c>
      <c r="H1337" s="21" t="s">
        <v>25627</v>
      </c>
    </row>
    <row r="1338" customFormat="false" ht="15" hidden="false" customHeight="false" outlineLevel="0" collapsed="false">
      <c r="B1338" s="19" t="s">
        <v>26702</v>
      </c>
      <c r="C1338" s="20" t="n">
        <f aca="false">ROUND(4.64/FX,2)</f>
        <v>0.64</v>
      </c>
      <c r="D1338" s="21" t="s">
        <v>13732</v>
      </c>
      <c r="E1338" s="21" t="s">
        <v>734</v>
      </c>
      <c r="F1338" s="21" t="s">
        <v>2911</v>
      </c>
      <c r="G1338" s="21" t="s">
        <v>26700</v>
      </c>
      <c r="H1338" s="21" t="s">
        <v>25627</v>
      </c>
    </row>
    <row r="1339" customFormat="false" ht="15" hidden="false" customHeight="false" outlineLevel="0" collapsed="false">
      <c r="B1339" s="19" t="s">
        <v>26703</v>
      </c>
      <c r="C1339" s="20" t="n">
        <f aca="false">ROUND(5.08/FX,2)</f>
        <v>0.71</v>
      </c>
      <c r="D1339" s="21" t="s">
        <v>13732</v>
      </c>
      <c r="E1339" s="21" t="s">
        <v>734</v>
      </c>
      <c r="F1339" s="21" t="s">
        <v>2961</v>
      </c>
      <c r="G1339" s="21" t="s">
        <v>26700</v>
      </c>
      <c r="H1339" s="21" t="s">
        <v>25627</v>
      </c>
    </row>
    <row r="1340" customFormat="false" ht="15" hidden="false" customHeight="false" outlineLevel="0" collapsed="false">
      <c r="B1340" s="19" t="s">
        <v>26704</v>
      </c>
      <c r="C1340" s="20" t="n">
        <f aca="false">ROUND(5.4/FX,2)</f>
        <v>0.75</v>
      </c>
      <c r="D1340" s="21" t="s">
        <v>13732</v>
      </c>
      <c r="E1340" s="21" t="s">
        <v>734</v>
      </c>
      <c r="F1340" s="21" t="s">
        <v>13817</v>
      </c>
      <c r="G1340" s="21" t="s">
        <v>26700</v>
      </c>
      <c r="H1340" s="21" t="s">
        <v>25627</v>
      </c>
    </row>
    <row r="1341" customFormat="false" ht="15" hidden="false" customHeight="false" outlineLevel="0" collapsed="false">
      <c r="B1341" s="19" t="s">
        <v>26705</v>
      </c>
      <c r="C1341" s="20" t="n">
        <f aca="false">ROUND(5.4/FX,2)</f>
        <v>0.75</v>
      </c>
      <c r="D1341" s="21" t="s">
        <v>13732</v>
      </c>
      <c r="E1341" s="21" t="s">
        <v>734</v>
      </c>
      <c r="F1341" s="21" t="s">
        <v>3011</v>
      </c>
      <c r="G1341" s="21" t="s">
        <v>26700</v>
      </c>
      <c r="H1341" s="21" t="s">
        <v>25627</v>
      </c>
    </row>
    <row r="1342" customFormat="false" ht="15" hidden="false" customHeight="false" outlineLevel="0" collapsed="false">
      <c r="B1342" s="19" t="s">
        <v>26706</v>
      </c>
      <c r="C1342" s="20" t="n">
        <f aca="false">ROUND(6.7/FX,2)</f>
        <v>0.93</v>
      </c>
      <c r="D1342" s="21" t="s">
        <v>13732</v>
      </c>
      <c r="E1342" s="21" t="s">
        <v>734</v>
      </c>
      <c r="F1342" s="21" t="s">
        <v>2600</v>
      </c>
      <c r="G1342" s="21" t="s">
        <v>25481</v>
      </c>
      <c r="H1342" s="21" t="s">
        <v>25619</v>
      </c>
    </row>
    <row r="1343" customFormat="false" ht="15" hidden="false" customHeight="false" outlineLevel="0" collapsed="false">
      <c r="B1343" s="19" t="s">
        <v>26707</v>
      </c>
      <c r="C1343" s="20" t="n">
        <f aca="false">ROUND(7.34/FX,2)</f>
        <v>1.02</v>
      </c>
      <c r="D1343" s="21" t="s">
        <v>13732</v>
      </c>
      <c r="E1343" s="21" t="s">
        <v>734</v>
      </c>
      <c r="F1343" s="21" t="s">
        <v>2651</v>
      </c>
      <c r="G1343" s="21" t="s">
        <v>25481</v>
      </c>
      <c r="H1343" s="21" t="s">
        <v>25619</v>
      </c>
    </row>
    <row r="1344" customFormat="false" ht="15" hidden="false" customHeight="false" outlineLevel="0" collapsed="false">
      <c r="B1344" s="19" t="s">
        <v>26708</v>
      </c>
      <c r="C1344" s="20" t="n">
        <f aca="false">ROUND(7.56/FX,2)</f>
        <v>1.05</v>
      </c>
      <c r="D1344" s="21" t="s">
        <v>13732</v>
      </c>
      <c r="E1344" s="21" t="s">
        <v>734</v>
      </c>
      <c r="F1344" s="21" t="s">
        <v>2701</v>
      </c>
      <c r="G1344" s="21" t="s">
        <v>25481</v>
      </c>
      <c r="H1344" s="21" t="s">
        <v>25619</v>
      </c>
    </row>
    <row r="1345" customFormat="false" ht="15" hidden="false" customHeight="false" outlineLevel="0" collapsed="false">
      <c r="B1345" s="19" t="s">
        <v>26709</v>
      </c>
      <c r="C1345" s="20" t="n">
        <f aca="false">ROUND(8.43/FX,2)</f>
        <v>1.17</v>
      </c>
      <c r="D1345" s="21" t="s">
        <v>13732</v>
      </c>
      <c r="E1345" s="21" t="s">
        <v>734</v>
      </c>
      <c r="F1345" s="21" t="s">
        <v>2751</v>
      </c>
      <c r="G1345" s="21" t="s">
        <v>25481</v>
      </c>
      <c r="H1345" s="21" t="s">
        <v>25619</v>
      </c>
    </row>
    <row r="1346" customFormat="false" ht="15" hidden="false" customHeight="false" outlineLevel="0" collapsed="false">
      <c r="B1346" s="19" t="s">
        <v>26710</v>
      </c>
      <c r="C1346" s="20" t="n">
        <f aca="false">ROUND(9.28/FX,2)</f>
        <v>1.29</v>
      </c>
      <c r="D1346" s="21" t="s">
        <v>13732</v>
      </c>
      <c r="E1346" s="21" t="s">
        <v>734</v>
      </c>
      <c r="F1346" s="21" t="s">
        <v>2801</v>
      </c>
      <c r="G1346" s="21" t="s">
        <v>25481</v>
      </c>
      <c r="H1346" s="21" t="s">
        <v>25619</v>
      </c>
    </row>
    <row r="1347" customFormat="false" ht="15" hidden="false" customHeight="false" outlineLevel="0" collapsed="false">
      <c r="B1347" s="19" t="s">
        <v>26711</v>
      </c>
      <c r="C1347" s="20" t="n">
        <f aca="false">ROUND(9.71/FX,2)</f>
        <v>1.35</v>
      </c>
      <c r="D1347" s="21" t="s">
        <v>13732</v>
      </c>
      <c r="E1347" s="21" t="s">
        <v>734</v>
      </c>
      <c r="F1347" s="21" t="s">
        <v>12101</v>
      </c>
      <c r="G1347" s="21" t="s">
        <v>25481</v>
      </c>
      <c r="H1347" s="21" t="s">
        <v>25619</v>
      </c>
    </row>
    <row r="1348" customFormat="false" ht="15" hidden="false" customHeight="false" outlineLevel="0" collapsed="false">
      <c r="B1348" s="19" t="s">
        <v>26712</v>
      </c>
      <c r="C1348" s="20" t="n">
        <f aca="false">ROUND(9.71/FX,2)</f>
        <v>1.35</v>
      </c>
      <c r="D1348" s="21" t="s">
        <v>13732</v>
      </c>
      <c r="E1348" s="21" t="s">
        <v>734</v>
      </c>
      <c r="F1348" s="21" t="s">
        <v>2851</v>
      </c>
      <c r="G1348" s="21" t="s">
        <v>25481</v>
      </c>
      <c r="H1348" s="21" t="s">
        <v>25619</v>
      </c>
    </row>
    <row r="1349" customFormat="false" ht="15" hidden="false" customHeight="false" outlineLevel="0" collapsed="false">
      <c r="B1349" s="19" t="s">
        <v>26713</v>
      </c>
      <c r="C1349" s="20" t="n">
        <f aca="false">ROUND(3.87/FX,2)</f>
        <v>0.54</v>
      </c>
      <c r="D1349" s="21" t="s">
        <v>13732</v>
      </c>
      <c r="E1349" s="21" t="s">
        <v>734</v>
      </c>
      <c r="F1349" s="21" t="s">
        <v>784</v>
      </c>
      <c r="G1349" s="21" t="s">
        <v>25481</v>
      </c>
      <c r="H1349" s="21" t="s">
        <v>25627</v>
      </c>
    </row>
    <row r="1350" customFormat="false" ht="15" hidden="false" customHeight="false" outlineLevel="0" collapsed="false">
      <c r="B1350" s="19" t="s">
        <v>26714</v>
      </c>
      <c r="C1350" s="20" t="n">
        <f aca="false">ROUND(3.98/FX,2)</f>
        <v>0.55</v>
      </c>
      <c r="D1350" s="21" t="s">
        <v>13732</v>
      </c>
      <c r="E1350" s="21" t="s">
        <v>734</v>
      </c>
      <c r="F1350" s="21" t="s">
        <v>3328</v>
      </c>
      <c r="G1350" s="21" t="s">
        <v>25481</v>
      </c>
      <c r="H1350" s="21" t="s">
        <v>25627</v>
      </c>
    </row>
    <row r="1351" customFormat="false" ht="15" hidden="false" customHeight="false" outlineLevel="0" collapsed="false">
      <c r="B1351" s="19" t="s">
        <v>26715</v>
      </c>
      <c r="C1351" s="20" t="n">
        <f aca="false">ROUND(3.98/FX,2)</f>
        <v>0.55</v>
      </c>
      <c r="D1351" s="21" t="s">
        <v>13732</v>
      </c>
      <c r="E1351" s="21" t="s">
        <v>734</v>
      </c>
      <c r="F1351" s="21" t="s">
        <v>6246</v>
      </c>
      <c r="G1351" s="21" t="s">
        <v>25481</v>
      </c>
      <c r="H1351" s="21" t="s">
        <v>25627</v>
      </c>
    </row>
    <row r="1352" customFormat="false" ht="15" hidden="false" customHeight="false" outlineLevel="0" collapsed="false">
      <c r="B1352" s="19" t="s">
        <v>26716</v>
      </c>
      <c r="C1352" s="20" t="n">
        <f aca="false">ROUND(3.98/FX,2)</f>
        <v>0.55</v>
      </c>
      <c r="D1352" s="21" t="s">
        <v>13732</v>
      </c>
      <c r="E1352" s="21" t="s">
        <v>734</v>
      </c>
      <c r="F1352" s="21" t="s">
        <v>7358</v>
      </c>
      <c r="G1352" s="21" t="s">
        <v>25481</v>
      </c>
      <c r="H1352" s="21" t="s">
        <v>25627</v>
      </c>
    </row>
    <row r="1353" customFormat="false" ht="15" hidden="false" customHeight="false" outlineLevel="0" collapsed="false">
      <c r="B1353" s="19" t="s">
        <v>26717</v>
      </c>
      <c r="C1353" s="20" t="n">
        <f aca="false">ROUND(3.97/FX,2)</f>
        <v>0.55</v>
      </c>
      <c r="D1353" s="21" t="s">
        <v>13732</v>
      </c>
      <c r="E1353" s="21" t="s">
        <v>734</v>
      </c>
      <c r="F1353" s="21" t="s">
        <v>2911</v>
      </c>
      <c r="G1353" s="21" t="s">
        <v>25481</v>
      </c>
      <c r="H1353" s="21" t="s">
        <v>25627</v>
      </c>
    </row>
    <row r="1354" customFormat="false" ht="15" hidden="false" customHeight="false" outlineLevel="0" collapsed="false">
      <c r="B1354" s="19" t="s">
        <v>26718</v>
      </c>
      <c r="C1354" s="20" t="n">
        <f aca="false">ROUND(4.05/FX,2)</f>
        <v>0.56</v>
      </c>
      <c r="D1354" s="21" t="s">
        <v>13732</v>
      </c>
      <c r="E1354" s="21" t="s">
        <v>734</v>
      </c>
      <c r="F1354" s="21" t="s">
        <v>7275</v>
      </c>
      <c r="G1354" s="21" t="s">
        <v>25481</v>
      </c>
      <c r="H1354" s="21" t="s">
        <v>25627</v>
      </c>
    </row>
    <row r="1355" customFormat="false" ht="15" hidden="false" customHeight="false" outlineLevel="0" collapsed="false">
      <c r="B1355" s="19" t="s">
        <v>26719</v>
      </c>
      <c r="C1355" s="20" t="n">
        <f aca="false">ROUND(4.05/FX,2)</f>
        <v>0.56</v>
      </c>
      <c r="D1355" s="21" t="s">
        <v>13732</v>
      </c>
      <c r="E1355" s="21" t="s">
        <v>734</v>
      </c>
      <c r="F1355" s="21" t="s">
        <v>2961</v>
      </c>
      <c r="G1355" s="21" t="s">
        <v>25481</v>
      </c>
      <c r="H1355" s="21" t="s">
        <v>25627</v>
      </c>
    </row>
    <row r="1356" customFormat="false" ht="15" hidden="false" customHeight="false" outlineLevel="0" collapsed="false">
      <c r="B1356" s="19" t="s">
        <v>26720</v>
      </c>
      <c r="C1356" s="20" t="n">
        <f aca="false">ROUND(4.54/FX,2)</f>
        <v>0.63</v>
      </c>
      <c r="D1356" s="21" t="s">
        <v>13732</v>
      </c>
      <c r="E1356" s="21" t="s">
        <v>734</v>
      </c>
      <c r="F1356" s="21" t="s">
        <v>13817</v>
      </c>
      <c r="G1356" s="21" t="s">
        <v>25481</v>
      </c>
      <c r="H1356" s="21" t="s">
        <v>25627</v>
      </c>
    </row>
    <row r="1357" customFormat="false" ht="15" hidden="false" customHeight="false" outlineLevel="0" collapsed="false">
      <c r="B1357" s="19" t="s">
        <v>26721</v>
      </c>
      <c r="C1357" s="20" t="n">
        <f aca="false">ROUND(4.55/FX,2)</f>
        <v>0.63</v>
      </c>
      <c r="D1357" s="21" t="s">
        <v>13732</v>
      </c>
      <c r="E1357" s="21" t="s">
        <v>734</v>
      </c>
      <c r="F1357" s="21" t="s">
        <v>3011</v>
      </c>
      <c r="G1357" s="21" t="s">
        <v>25481</v>
      </c>
      <c r="H1357" s="21" t="s">
        <v>25627</v>
      </c>
    </row>
    <row r="1358" customFormat="false" ht="15" hidden="false" customHeight="false" outlineLevel="0" collapsed="false">
      <c r="B1358" s="19" t="s">
        <v>26722</v>
      </c>
      <c r="C1358" s="20" t="n">
        <f aca="false">ROUND(5.13/FX,2)</f>
        <v>0.71</v>
      </c>
      <c r="D1358" s="21" t="s">
        <v>13732</v>
      </c>
      <c r="E1358" s="21" t="s">
        <v>734</v>
      </c>
      <c r="F1358" s="21" t="s">
        <v>7396</v>
      </c>
      <c r="G1358" s="21" t="s">
        <v>25481</v>
      </c>
      <c r="H1358" s="21" t="s">
        <v>25619</v>
      </c>
    </row>
    <row r="1359" customFormat="false" ht="15" hidden="false" customHeight="false" outlineLevel="0" collapsed="false">
      <c r="B1359" s="19" t="s">
        <v>26723</v>
      </c>
      <c r="C1359" s="20" t="n">
        <f aca="false">ROUND(5.13/FX,2)</f>
        <v>0.71</v>
      </c>
      <c r="D1359" s="21" t="s">
        <v>13732</v>
      </c>
      <c r="E1359" s="21" t="s">
        <v>734</v>
      </c>
      <c r="F1359" s="21" t="s">
        <v>7396</v>
      </c>
      <c r="G1359" s="21" t="s">
        <v>25481</v>
      </c>
      <c r="H1359" s="21" t="s">
        <v>25627</v>
      </c>
    </row>
    <row r="1360" customFormat="false" ht="15" hidden="false" customHeight="false" outlineLevel="0" collapsed="false">
      <c r="B1360" s="19" t="s">
        <v>26724</v>
      </c>
      <c r="C1360" s="20" t="n">
        <f aca="false">ROUND(5.13/FX,2)</f>
        <v>0.71</v>
      </c>
      <c r="D1360" s="21" t="s">
        <v>13732</v>
      </c>
      <c r="E1360" s="21" t="s">
        <v>734</v>
      </c>
      <c r="F1360" s="21" t="s">
        <v>3061</v>
      </c>
      <c r="G1360" s="21" t="s">
        <v>25481</v>
      </c>
      <c r="H1360" s="21" t="s">
        <v>25627</v>
      </c>
    </row>
    <row r="1361" customFormat="false" ht="15" hidden="false" customHeight="false" outlineLevel="0" collapsed="false">
      <c r="B1361" s="19" t="s">
        <v>26725</v>
      </c>
      <c r="C1361" s="20" t="n">
        <f aca="false">ROUND(5.7/FX,2)</f>
        <v>0.79</v>
      </c>
      <c r="D1361" s="21" t="s">
        <v>13732</v>
      </c>
      <c r="E1361" s="21" t="s">
        <v>734</v>
      </c>
      <c r="F1361" s="21" t="s">
        <v>11870</v>
      </c>
      <c r="G1361" s="21" t="s">
        <v>25481</v>
      </c>
      <c r="H1361" s="21" t="s">
        <v>25627</v>
      </c>
    </row>
    <row r="1362" customFormat="false" ht="15" hidden="false" customHeight="false" outlineLevel="0" collapsed="false">
      <c r="B1362" s="19" t="s">
        <v>26726</v>
      </c>
      <c r="C1362" s="20" t="n">
        <f aca="false">ROUND(5.7/FX,2)</f>
        <v>0.79</v>
      </c>
      <c r="D1362" s="21" t="s">
        <v>13732</v>
      </c>
      <c r="E1362" s="21" t="s">
        <v>734</v>
      </c>
      <c r="F1362" s="21" t="s">
        <v>3111</v>
      </c>
      <c r="G1362" s="21" t="s">
        <v>25481</v>
      </c>
      <c r="H1362" s="21" t="s">
        <v>25627</v>
      </c>
    </row>
    <row r="1363" customFormat="false" ht="15" hidden="false" customHeight="false" outlineLevel="0" collapsed="false">
      <c r="B1363" s="19" t="s">
        <v>26727</v>
      </c>
      <c r="C1363" s="20" t="n">
        <f aca="false">ROUND(12.09/FX,2)</f>
        <v>1.68</v>
      </c>
      <c r="D1363" s="21" t="s">
        <v>13732</v>
      </c>
      <c r="E1363" s="21" t="s">
        <v>734</v>
      </c>
      <c r="F1363" s="21" t="s">
        <v>2600</v>
      </c>
      <c r="G1363" s="21" t="s">
        <v>26728</v>
      </c>
      <c r="H1363" s="21" t="s">
        <v>25619</v>
      </c>
    </row>
    <row r="1364" customFormat="false" ht="15" hidden="false" customHeight="false" outlineLevel="0" collapsed="false">
      <c r="B1364" s="19" t="s">
        <v>26729</v>
      </c>
      <c r="C1364" s="20" t="n">
        <f aca="false">ROUND(12.52/FX,2)</f>
        <v>1.74</v>
      </c>
      <c r="D1364" s="21" t="s">
        <v>13732</v>
      </c>
      <c r="E1364" s="21" t="s">
        <v>734</v>
      </c>
      <c r="F1364" s="21" t="s">
        <v>2651</v>
      </c>
      <c r="G1364" s="21" t="s">
        <v>26728</v>
      </c>
      <c r="H1364" s="21" t="s">
        <v>25619</v>
      </c>
    </row>
    <row r="1365" customFormat="false" ht="15" hidden="false" customHeight="false" outlineLevel="0" collapsed="false">
      <c r="B1365" s="19" t="s">
        <v>26730</v>
      </c>
      <c r="C1365" s="20" t="n">
        <f aca="false">ROUND(12.95/FX,2)</f>
        <v>1.8</v>
      </c>
      <c r="D1365" s="21" t="s">
        <v>13732</v>
      </c>
      <c r="E1365" s="21" t="s">
        <v>734</v>
      </c>
      <c r="F1365" s="21" t="s">
        <v>2701</v>
      </c>
      <c r="G1365" s="21" t="s">
        <v>26728</v>
      </c>
      <c r="H1365" s="21" t="s">
        <v>25619</v>
      </c>
    </row>
    <row r="1366" customFormat="false" ht="15" hidden="false" customHeight="false" outlineLevel="0" collapsed="false">
      <c r="B1366" s="19" t="s">
        <v>26731</v>
      </c>
      <c r="C1366" s="20" t="n">
        <f aca="false">ROUND(6.43/FX,2)</f>
        <v>0.89</v>
      </c>
      <c r="D1366" s="21" t="s">
        <v>13732</v>
      </c>
      <c r="E1366" s="21" t="s">
        <v>734</v>
      </c>
      <c r="F1366" s="21" t="s">
        <v>6246</v>
      </c>
      <c r="G1366" s="21" t="s">
        <v>26728</v>
      </c>
      <c r="H1366" s="21" t="s">
        <v>25627</v>
      </c>
    </row>
    <row r="1367" customFormat="false" ht="15" hidden="false" customHeight="false" outlineLevel="0" collapsed="false">
      <c r="B1367" s="19" t="s">
        <v>26732</v>
      </c>
      <c r="C1367" s="20" t="n">
        <f aca="false">ROUND(6.64/FX,2)</f>
        <v>0.92</v>
      </c>
      <c r="D1367" s="21" t="s">
        <v>13732</v>
      </c>
      <c r="E1367" s="21" t="s">
        <v>734</v>
      </c>
      <c r="F1367" s="21" t="s">
        <v>7358</v>
      </c>
      <c r="G1367" s="21" t="s">
        <v>26728</v>
      </c>
      <c r="H1367" s="21" t="s">
        <v>25627</v>
      </c>
    </row>
    <row r="1368" customFormat="false" ht="15" hidden="false" customHeight="false" outlineLevel="0" collapsed="false">
      <c r="B1368" s="19" t="s">
        <v>26733</v>
      </c>
      <c r="C1368" s="20" t="n">
        <f aca="false">ROUND(7.23/FX,2)</f>
        <v>1</v>
      </c>
      <c r="D1368" s="21" t="s">
        <v>13732</v>
      </c>
      <c r="E1368" s="21" t="s">
        <v>734</v>
      </c>
      <c r="F1368" s="21" t="s">
        <v>2911</v>
      </c>
      <c r="G1368" s="21" t="s">
        <v>26728</v>
      </c>
      <c r="H1368" s="21" t="s">
        <v>25627</v>
      </c>
    </row>
    <row r="1369" customFormat="false" ht="15" hidden="false" customHeight="false" outlineLevel="0" collapsed="false">
      <c r="B1369" s="19" t="s">
        <v>26734</v>
      </c>
      <c r="C1369" s="20" t="n">
        <f aca="false">ROUND(8.2/FX,2)</f>
        <v>1.14</v>
      </c>
      <c r="D1369" s="21" t="s">
        <v>13732</v>
      </c>
      <c r="E1369" s="21" t="s">
        <v>734</v>
      </c>
      <c r="F1369" s="21" t="s">
        <v>7275</v>
      </c>
      <c r="G1369" s="21" t="s">
        <v>26728</v>
      </c>
      <c r="H1369" s="21" t="s">
        <v>25627</v>
      </c>
    </row>
    <row r="1370" customFormat="false" ht="15" hidden="false" customHeight="false" outlineLevel="0" collapsed="false">
      <c r="B1370" s="19" t="s">
        <v>26735</v>
      </c>
      <c r="C1370" s="20" t="n">
        <f aca="false">ROUND(8.2/FX,2)</f>
        <v>1.14</v>
      </c>
      <c r="D1370" s="21" t="s">
        <v>13732</v>
      </c>
      <c r="E1370" s="21" t="s">
        <v>734</v>
      </c>
      <c r="F1370" s="21" t="s">
        <v>2961</v>
      </c>
      <c r="G1370" s="21" t="s">
        <v>26728</v>
      </c>
      <c r="H1370" s="21" t="s">
        <v>25627</v>
      </c>
    </row>
    <row r="1371" customFormat="false" ht="15" hidden="false" customHeight="false" outlineLevel="0" collapsed="false">
      <c r="B1371" s="19" t="s">
        <v>26736</v>
      </c>
      <c r="C1371" s="20" t="n">
        <f aca="false">ROUND(9.17/FX,2)</f>
        <v>1.27</v>
      </c>
      <c r="D1371" s="21" t="s">
        <v>13732</v>
      </c>
      <c r="E1371" s="21" t="s">
        <v>734</v>
      </c>
      <c r="F1371" s="21" t="s">
        <v>13817</v>
      </c>
      <c r="G1371" s="21" t="s">
        <v>26728</v>
      </c>
      <c r="H1371" s="21" t="s">
        <v>25627</v>
      </c>
    </row>
    <row r="1372" customFormat="false" ht="15" hidden="false" customHeight="false" outlineLevel="0" collapsed="false">
      <c r="B1372" s="19" t="s">
        <v>26737</v>
      </c>
      <c r="C1372" s="20" t="n">
        <f aca="false">ROUND(9.17/FX,2)</f>
        <v>1.27</v>
      </c>
      <c r="D1372" s="21" t="s">
        <v>13732</v>
      </c>
      <c r="E1372" s="21" t="s">
        <v>734</v>
      </c>
      <c r="F1372" s="21" t="s">
        <v>3011</v>
      </c>
      <c r="G1372" s="21" t="s">
        <v>26728</v>
      </c>
      <c r="H1372" s="21" t="s">
        <v>25627</v>
      </c>
    </row>
    <row r="1373" customFormat="false" ht="15" hidden="false" customHeight="false" outlineLevel="0" collapsed="false">
      <c r="B1373" s="19" t="s">
        <v>26738</v>
      </c>
      <c r="C1373" s="20" t="n">
        <f aca="false">ROUND(10.15/FX,2)</f>
        <v>1.41</v>
      </c>
      <c r="D1373" s="21" t="s">
        <v>13732</v>
      </c>
      <c r="E1373" s="21" t="s">
        <v>734</v>
      </c>
      <c r="F1373" s="21" t="s">
        <v>7396</v>
      </c>
      <c r="G1373" s="21" t="s">
        <v>26728</v>
      </c>
      <c r="H1373" s="21" t="s">
        <v>25627</v>
      </c>
    </row>
    <row r="1374" customFormat="false" ht="15" hidden="false" customHeight="false" outlineLevel="0" collapsed="false">
      <c r="B1374" s="19" t="s">
        <v>26739</v>
      </c>
      <c r="C1374" s="20" t="n">
        <f aca="false">ROUND(10.15/FX,2)</f>
        <v>1.41</v>
      </c>
      <c r="D1374" s="21" t="s">
        <v>13732</v>
      </c>
      <c r="E1374" s="21" t="s">
        <v>734</v>
      </c>
      <c r="F1374" s="21" t="s">
        <v>3061</v>
      </c>
      <c r="G1374" s="21" t="s">
        <v>26728</v>
      </c>
      <c r="H1374" s="21" t="s">
        <v>25627</v>
      </c>
    </row>
    <row r="1375" customFormat="false" ht="15" hidden="false" customHeight="false" outlineLevel="0" collapsed="false">
      <c r="B1375" s="19" t="s">
        <v>26740</v>
      </c>
      <c r="C1375" s="20" t="n">
        <f aca="false">ROUND(11.11/FX,2)</f>
        <v>1.54</v>
      </c>
      <c r="D1375" s="21" t="s">
        <v>13732</v>
      </c>
      <c r="E1375" s="21" t="s">
        <v>734</v>
      </c>
      <c r="F1375" s="21" t="s">
        <v>11870</v>
      </c>
      <c r="G1375" s="21" t="s">
        <v>26728</v>
      </c>
      <c r="H1375" s="21" t="s">
        <v>25627</v>
      </c>
    </row>
    <row r="1376" customFormat="false" ht="15" hidden="false" customHeight="false" outlineLevel="0" collapsed="false">
      <c r="B1376" s="19" t="s">
        <v>26741</v>
      </c>
      <c r="C1376" s="20" t="n">
        <f aca="false">ROUND(11.11/FX,2)</f>
        <v>1.54</v>
      </c>
      <c r="D1376" s="21" t="s">
        <v>13732</v>
      </c>
      <c r="E1376" s="21" t="s">
        <v>734</v>
      </c>
      <c r="F1376" s="21" t="s">
        <v>3111</v>
      </c>
      <c r="G1376" s="21" t="s">
        <v>26728</v>
      </c>
      <c r="H1376" s="21" t="s">
        <v>25627</v>
      </c>
    </row>
    <row r="1377" customFormat="false" ht="15" hidden="false" customHeight="false" outlineLevel="0" collapsed="false">
      <c r="B1377" s="19" t="s">
        <v>26742</v>
      </c>
      <c r="C1377" s="20" t="n">
        <f aca="false">ROUND(33.47/FX,2)</f>
        <v>4.65</v>
      </c>
      <c r="D1377" s="21" t="s">
        <v>13732</v>
      </c>
      <c r="E1377" s="21" t="s">
        <v>734</v>
      </c>
      <c r="F1377" s="21" t="s">
        <v>2701</v>
      </c>
      <c r="G1377" s="21" t="s">
        <v>26743</v>
      </c>
      <c r="H1377" s="21" t="s">
        <v>25619</v>
      </c>
    </row>
    <row r="1378" customFormat="false" ht="15" hidden="false" customHeight="false" outlineLevel="0" collapsed="false">
      <c r="B1378" s="19" t="s">
        <v>26744</v>
      </c>
      <c r="C1378" s="20" t="n">
        <f aca="false">ROUND(41.6/FX,2)</f>
        <v>5.78</v>
      </c>
      <c r="D1378" s="21" t="s">
        <v>13732</v>
      </c>
      <c r="E1378" s="21" t="s">
        <v>734</v>
      </c>
      <c r="F1378" s="21" t="s">
        <v>2801</v>
      </c>
      <c r="G1378" s="21" t="s">
        <v>26743</v>
      </c>
      <c r="H1378" s="21" t="s">
        <v>25619</v>
      </c>
    </row>
    <row r="1379" customFormat="false" ht="15" hidden="false" customHeight="false" outlineLevel="0" collapsed="false">
      <c r="B1379" s="19" t="s">
        <v>26745</v>
      </c>
      <c r="C1379" s="20" t="n">
        <f aca="false">ROUND(16.3/FX,2)</f>
        <v>2.26</v>
      </c>
      <c r="D1379" s="21" t="s">
        <v>13732</v>
      </c>
      <c r="E1379" s="21" t="s">
        <v>734</v>
      </c>
      <c r="F1379" s="21" t="s">
        <v>7358</v>
      </c>
      <c r="G1379" s="21" t="s">
        <v>26743</v>
      </c>
      <c r="H1379" s="21" t="s">
        <v>25627</v>
      </c>
    </row>
    <row r="1380" customFormat="false" ht="15" hidden="false" customHeight="false" outlineLevel="0" collapsed="false">
      <c r="B1380" s="19" t="s">
        <v>26746</v>
      </c>
      <c r="C1380" s="20" t="n">
        <f aca="false">ROUND(17.79/FX,2)</f>
        <v>2.47</v>
      </c>
      <c r="D1380" s="21" t="s">
        <v>13732</v>
      </c>
      <c r="E1380" s="21" t="s">
        <v>734</v>
      </c>
      <c r="F1380" s="21" t="s">
        <v>2911</v>
      </c>
      <c r="G1380" s="21" t="s">
        <v>26743</v>
      </c>
      <c r="H1380" s="21" t="s">
        <v>25627</v>
      </c>
    </row>
    <row r="1381" customFormat="false" ht="15" hidden="false" customHeight="false" outlineLevel="0" collapsed="false">
      <c r="B1381" s="19" t="s">
        <v>26747</v>
      </c>
      <c r="C1381" s="20" t="n">
        <f aca="false">ROUND(21.58/FX,2)</f>
        <v>3</v>
      </c>
      <c r="D1381" s="21" t="s">
        <v>13732</v>
      </c>
      <c r="E1381" s="21" t="s">
        <v>734</v>
      </c>
      <c r="F1381" s="21" t="s">
        <v>2961</v>
      </c>
      <c r="G1381" s="21" t="s">
        <v>26743</v>
      </c>
      <c r="H1381" s="21" t="s">
        <v>25627</v>
      </c>
    </row>
    <row r="1382" customFormat="false" ht="15" hidden="false" customHeight="false" outlineLevel="0" collapsed="false">
      <c r="B1382" s="19" t="s">
        <v>26748</v>
      </c>
      <c r="C1382" s="20" t="n">
        <f aca="false">ROUND(23.74/FX,2)</f>
        <v>3.3</v>
      </c>
      <c r="D1382" s="21" t="s">
        <v>13732</v>
      </c>
      <c r="E1382" s="21" t="s">
        <v>734</v>
      </c>
      <c r="F1382" s="21" t="s">
        <v>3011</v>
      </c>
      <c r="G1382" s="21" t="s">
        <v>26743</v>
      </c>
      <c r="H1382" s="21" t="s">
        <v>25627</v>
      </c>
    </row>
    <row r="1383" customFormat="false" ht="15" hidden="false" customHeight="false" outlineLevel="0" collapsed="false">
      <c r="B1383" s="19" t="s">
        <v>26749</v>
      </c>
      <c r="C1383" s="20" t="n">
        <f aca="false">ROUND(26.98/FX,2)</f>
        <v>3.75</v>
      </c>
      <c r="D1383" s="21" t="s">
        <v>13732</v>
      </c>
      <c r="E1383" s="21" t="s">
        <v>734</v>
      </c>
      <c r="F1383" s="21" t="s">
        <v>3061</v>
      </c>
      <c r="G1383" s="21" t="s">
        <v>26743</v>
      </c>
      <c r="H1383" s="21" t="s">
        <v>25627</v>
      </c>
    </row>
    <row r="1384" customFormat="false" ht="15" hidden="false" customHeight="false" outlineLevel="0" collapsed="false">
      <c r="B1384" s="19" t="s">
        <v>26750</v>
      </c>
      <c r="C1384" s="20" t="n">
        <f aca="false">ROUND(30.2/FX,2)</f>
        <v>4.19</v>
      </c>
      <c r="D1384" s="21" t="s">
        <v>13732</v>
      </c>
      <c r="E1384" s="21" t="s">
        <v>734</v>
      </c>
      <c r="F1384" s="21" t="s">
        <v>3111</v>
      </c>
      <c r="G1384" s="21" t="s">
        <v>26743</v>
      </c>
      <c r="H1384" s="21" t="s">
        <v>25627</v>
      </c>
    </row>
    <row r="1385" customFormat="false" ht="15" hidden="false" customHeight="false" outlineLevel="0" collapsed="false">
      <c r="B1385" s="19" t="s">
        <v>26751</v>
      </c>
      <c r="C1385" s="20" t="n">
        <f aca="false">ROUND(1.04/FX,2)</f>
        <v>0.14</v>
      </c>
      <c r="D1385" s="21" t="s">
        <v>25462</v>
      </c>
      <c r="E1385" s="21" t="s">
        <v>734</v>
      </c>
      <c r="F1385" s="21" t="s">
        <v>707</v>
      </c>
      <c r="G1385" s="21" t="s">
        <v>11407</v>
      </c>
      <c r="H1385" s="21" t="s">
        <v>25627</v>
      </c>
    </row>
    <row r="1386" customFormat="false" ht="15" hidden="false" customHeight="false" outlineLevel="0" collapsed="false">
      <c r="B1386" s="19" t="s">
        <v>26752</v>
      </c>
      <c r="C1386" s="20" t="n">
        <f aca="false">ROUND(1.05/FX,2)</f>
        <v>0.15</v>
      </c>
      <c r="D1386" s="21" t="s">
        <v>13978</v>
      </c>
      <c r="E1386" s="21" t="s">
        <v>734</v>
      </c>
      <c r="F1386" s="21" t="s">
        <v>761</v>
      </c>
      <c r="G1386" s="21" t="s">
        <v>11407</v>
      </c>
      <c r="H1386" s="21" t="s">
        <v>25627</v>
      </c>
    </row>
    <row r="1387" customFormat="false" ht="15" hidden="false" customHeight="false" outlineLevel="0" collapsed="false">
      <c r="B1387" s="19" t="s">
        <v>26753</v>
      </c>
      <c r="C1387" s="20" t="n">
        <f aca="false">ROUND(1.03/FX,2)</f>
        <v>0.14</v>
      </c>
      <c r="D1387" s="21" t="s">
        <v>13988</v>
      </c>
      <c r="E1387" s="21" t="s">
        <v>734</v>
      </c>
      <c r="F1387" s="21" t="s">
        <v>4721</v>
      </c>
      <c r="G1387" s="21" t="s">
        <v>11407</v>
      </c>
      <c r="H1387" s="21" t="s">
        <v>25627</v>
      </c>
    </row>
    <row r="1388" customFormat="false" ht="15" hidden="false" customHeight="false" outlineLevel="0" collapsed="false">
      <c r="B1388" s="19" t="s">
        <v>26754</v>
      </c>
      <c r="C1388" s="20" t="n">
        <f aca="false">ROUND(1.05/FX,2)</f>
        <v>0.15</v>
      </c>
      <c r="D1388" s="21" t="s">
        <v>13978</v>
      </c>
      <c r="E1388" s="21" t="s">
        <v>734</v>
      </c>
      <c r="F1388" s="21" t="s">
        <v>3833</v>
      </c>
      <c r="G1388" s="21" t="s">
        <v>11407</v>
      </c>
      <c r="H1388" s="21" t="s">
        <v>25627</v>
      </c>
    </row>
    <row r="1389" customFormat="false" ht="15" hidden="false" customHeight="false" outlineLevel="0" collapsed="false">
      <c r="B1389" s="19" t="s">
        <v>26755</v>
      </c>
      <c r="C1389" s="20" t="n">
        <f aca="false">ROUND(1.07/FX,2)</f>
        <v>0.15</v>
      </c>
      <c r="D1389" s="21" t="s">
        <v>13978</v>
      </c>
      <c r="E1389" s="21" t="s">
        <v>734</v>
      </c>
      <c r="F1389" s="21" t="s">
        <v>3247</v>
      </c>
      <c r="G1389" s="21" t="s">
        <v>11407</v>
      </c>
      <c r="H1389" s="21" t="s">
        <v>25627</v>
      </c>
    </row>
    <row r="1390" customFormat="false" ht="15" hidden="false" customHeight="false" outlineLevel="0" collapsed="false">
      <c r="B1390" s="19" t="s">
        <v>26756</v>
      </c>
      <c r="C1390" s="20" t="n">
        <f aca="false">ROUND(1.03/FX,2)</f>
        <v>0.14</v>
      </c>
      <c r="D1390" s="21" t="s">
        <v>21722</v>
      </c>
      <c r="E1390" s="21" t="s">
        <v>734</v>
      </c>
      <c r="F1390" s="21" t="s">
        <v>3317</v>
      </c>
      <c r="G1390" s="21" t="s">
        <v>11407</v>
      </c>
      <c r="H1390" s="21" t="s">
        <v>25627</v>
      </c>
    </row>
    <row r="1391" customFormat="false" ht="15" hidden="false" customHeight="false" outlineLevel="0" collapsed="false">
      <c r="B1391" s="19" t="s">
        <v>26757</v>
      </c>
      <c r="C1391" s="20" t="n">
        <f aca="false">ROUND(1.03/FX,2)</f>
        <v>0.14</v>
      </c>
      <c r="D1391" s="21" t="s">
        <v>14056</v>
      </c>
      <c r="E1391" s="21" t="s">
        <v>734</v>
      </c>
      <c r="F1391" s="21" t="s">
        <v>784</v>
      </c>
      <c r="G1391" s="21" t="s">
        <v>11407</v>
      </c>
      <c r="H1391" s="21" t="s">
        <v>25627</v>
      </c>
    </row>
    <row r="1392" customFormat="false" ht="15" hidden="false" customHeight="false" outlineLevel="0" collapsed="false">
      <c r="B1392" s="19" t="s">
        <v>26758</v>
      </c>
      <c r="C1392" s="20" t="n">
        <f aca="false">ROUND(1.05/FX,2)</f>
        <v>0.15</v>
      </c>
      <c r="D1392" s="21" t="s">
        <v>25459</v>
      </c>
      <c r="E1392" s="21" t="s">
        <v>734</v>
      </c>
      <c r="F1392" s="21" t="s">
        <v>789</v>
      </c>
      <c r="G1392" s="21" t="s">
        <v>11407</v>
      </c>
      <c r="H1392" s="21" t="s">
        <v>25627</v>
      </c>
    </row>
    <row r="1393" customFormat="false" ht="15" hidden="false" customHeight="false" outlineLevel="0" collapsed="false">
      <c r="B1393" s="19" t="s">
        <v>26759</v>
      </c>
      <c r="C1393" s="20" t="n">
        <f aca="false">ROUND(1.05/FX,2)</f>
        <v>0.15</v>
      </c>
      <c r="D1393" s="21" t="s">
        <v>25459</v>
      </c>
      <c r="E1393" s="21" t="s">
        <v>734</v>
      </c>
      <c r="F1393" s="21" t="s">
        <v>716</v>
      </c>
      <c r="G1393" s="21" t="s">
        <v>11407</v>
      </c>
      <c r="H1393" s="21" t="s">
        <v>25627</v>
      </c>
    </row>
    <row r="1394" customFormat="false" ht="15" hidden="false" customHeight="false" outlineLevel="0" collapsed="false">
      <c r="B1394" s="19" t="s">
        <v>26760</v>
      </c>
      <c r="C1394" s="20" t="n">
        <f aca="false">ROUND(1.02/FX,2)</f>
        <v>0.14</v>
      </c>
      <c r="D1394" s="21" t="s">
        <v>25462</v>
      </c>
      <c r="E1394" s="21" t="s">
        <v>734</v>
      </c>
      <c r="F1394" s="21" t="s">
        <v>847</v>
      </c>
      <c r="G1394" s="21" t="s">
        <v>11407</v>
      </c>
      <c r="H1394" s="21" t="s">
        <v>25627</v>
      </c>
    </row>
    <row r="1395" customFormat="false" ht="15" hidden="false" customHeight="false" outlineLevel="0" collapsed="false">
      <c r="B1395" s="19" t="s">
        <v>26761</v>
      </c>
      <c r="C1395" s="20" t="n">
        <f aca="false">ROUND(1.04/FX,2)</f>
        <v>0.14</v>
      </c>
      <c r="D1395" s="21" t="s">
        <v>25471</v>
      </c>
      <c r="E1395" s="21" t="s">
        <v>734</v>
      </c>
      <c r="F1395" s="21" t="s">
        <v>707</v>
      </c>
      <c r="G1395" s="21" t="s">
        <v>11409</v>
      </c>
      <c r="H1395" s="21" t="s">
        <v>25627</v>
      </c>
    </row>
    <row r="1396" customFormat="false" ht="15" hidden="false" customHeight="false" outlineLevel="0" collapsed="false">
      <c r="B1396" s="19" t="s">
        <v>26762</v>
      </c>
      <c r="C1396" s="20" t="n">
        <f aca="false">ROUND(1/FX,2)</f>
        <v>0.14</v>
      </c>
      <c r="D1396" s="21" t="s">
        <v>25459</v>
      </c>
      <c r="E1396" s="21" t="s">
        <v>734</v>
      </c>
      <c r="F1396" s="21" t="s">
        <v>761</v>
      </c>
      <c r="G1396" s="21" t="s">
        <v>11409</v>
      </c>
      <c r="H1396" s="21" t="s">
        <v>25627</v>
      </c>
    </row>
    <row r="1397" customFormat="false" ht="15" hidden="false" customHeight="false" outlineLevel="0" collapsed="false">
      <c r="B1397" s="19" t="s">
        <v>26763</v>
      </c>
      <c r="C1397" s="20" t="n">
        <f aca="false">ROUND(1.07/FX,2)</f>
        <v>0.15</v>
      </c>
      <c r="D1397" s="21" t="s">
        <v>13978</v>
      </c>
      <c r="E1397" s="21" t="s">
        <v>734</v>
      </c>
      <c r="F1397" s="21" t="s">
        <v>4721</v>
      </c>
      <c r="G1397" s="21" t="s">
        <v>11409</v>
      </c>
      <c r="H1397" s="21" t="s">
        <v>25627</v>
      </c>
    </row>
    <row r="1398" customFormat="false" ht="15" hidden="false" customHeight="false" outlineLevel="0" collapsed="false">
      <c r="B1398" s="19" t="s">
        <v>26764</v>
      </c>
      <c r="C1398" s="20" t="n">
        <f aca="false">ROUND(1.04/FX,2)</f>
        <v>0.14</v>
      </c>
      <c r="D1398" s="21" t="s">
        <v>25459</v>
      </c>
      <c r="E1398" s="21" t="s">
        <v>734</v>
      </c>
      <c r="F1398" s="21" t="s">
        <v>3833</v>
      </c>
      <c r="G1398" s="21" t="s">
        <v>11409</v>
      </c>
      <c r="H1398" s="21" t="s">
        <v>25627</v>
      </c>
    </row>
    <row r="1399" customFormat="false" ht="15" hidden="false" customHeight="false" outlineLevel="0" collapsed="false">
      <c r="B1399" s="19" t="s">
        <v>26765</v>
      </c>
      <c r="C1399" s="20" t="n">
        <f aca="false">ROUND(1.09/FX,2)</f>
        <v>0.15</v>
      </c>
      <c r="D1399" s="21" t="s">
        <v>21722</v>
      </c>
      <c r="E1399" s="21" t="s">
        <v>734</v>
      </c>
      <c r="F1399" s="21" t="s">
        <v>4000</v>
      </c>
      <c r="G1399" s="21" t="s">
        <v>11409</v>
      </c>
      <c r="H1399" s="21" t="s">
        <v>25627</v>
      </c>
    </row>
    <row r="1400" customFormat="false" ht="15" hidden="false" customHeight="false" outlineLevel="0" collapsed="false">
      <c r="B1400" s="19" t="s">
        <v>26766</v>
      </c>
      <c r="C1400" s="20" t="n">
        <f aca="false">ROUND(1.03/FX,2)</f>
        <v>0.14</v>
      </c>
      <c r="D1400" s="21" t="s">
        <v>13978</v>
      </c>
      <c r="E1400" s="21" t="s">
        <v>734</v>
      </c>
      <c r="F1400" s="21" t="s">
        <v>3247</v>
      </c>
      <c r="G1400" s="21" t="s">
        <v>11409</v>
      </c>
      <c r="H1400" s="21" t="s">
        <v>25627</v>
      </c>
    </row>
    <row r="1401" customFormat="false" ht="15" hidden="false" customHeight="false" outlineLevel="0" collapsed="false">
      <c r="B1401" s="19" t="s">
        <v>26767</v>
      </c>
      <c r="C1401" s="20" t="n">
        <f aca="false">ROUND(1.01/FX,2)</f>
        <v>0.14</v>
      </c>
      <c r="D1401" s="21" t="s">
        <v>14056</v>
      </c>
      <c r="E1401" s="21" t="s">
        <v>734</v>
      </c>
      <c r="F1401" s="21" t="s">
        <v>3317</v>
      </c>
      <c r="G1401" s="21" t="s">
        <v>11409</v>
      </c>
      <c r="H1401" s="21" t="s">
        <v>25627</v>
      </c>
    </row>
    <row r="1402" customFormat="false" ht="15" hidden="false" customHeight="false" outlineLevel="0" collapsed="false">
      <c r="B1402" s="19" t="s">
        <v>26768</v>
      </c>
      <c r="C1402" s="20" t="n">
        <f aca="false">ROUND(1.12/FX,2)</f>
        <v>0.16</v>
      </c>
      <c r="D1402" s="21" t="s">
        <v>13994</v>
      </c>
      <c r="E1402" s="21" t="s">
        <v>734</v>
      </c>
      <c r="F1402" s="21" t="s">
        <v>784</v>
      </c>
      <c r="G1402" s="21" t="s">
        <v>11409</v>
      </c>
      <c r="H1402" s="21" t="s">
        <v>25627</v>
      </c>
    </row>
    <row r="1403" customFormat="false" ht="15" hidden="false" customHeight="false" outlineLevel="0" collapsed="false">
      <c r="B1403" s="19" t="s">
        <v>26769</v>
      </c>
      <c r="C1403" s="20" t="n">
        <f aca="false">ROUND(1.16/FX,2)</f>
        <v>0.16</v>
      </c>
      <c r="D1403" s="21" t="s">
        <v>13994</v>
      </c>
      <c r="E1403" s="21" t="s">
        <v>734</v>
      </c>
      <c r="F1403" s="21" t="s">
        <v>3328</v>
      </c>
      <c r="G1403" s="21" t="s">
        <v>11409</v>
      </c>
      <c r="H1403" s="21" t="s">
        <v>25627</v>
      </c>
    </row>
    <row r="1404" customFormat="false" ht="15" hidden="false" customHeight="false" outlineLevel="0" collapsed="false">
      <c r="B1404" s="19" t="s">
        <v>26770</v>
      </c>
      <c r="C1404" s="20" t="n">
        <f aca="false">ROUND(1.03/FX,2)</f>
        <v>0.14</v>
      </c>
      <c r="D1404" s="21" t="s">
        <v>14007</v>
      </c>
      <c r="E1404" s="21" t="s">
        <v>734</v>
      </c>
      <c r="F1404" s="21" t="s">
        <v>6246</v>
      </c>
      <c r="G1404" s="21" t="s">
        <v>11409</v>
      </c>
      <c r="H1404" s="21" t="s">
        <v>25627</v>
      </c>
    </row>
    <row r="1405" customFormat="false" ht="15" hidden="false" customHeight="false" outlineLevel="0" collapsed="false">
      <c r="B1405" s="19" t="s">
        <v>26771</v>
      </c>
      <c r="C1405" s="20" t="n">
        <f aca="false">ROUND(1.01/FX,2)</f>
        <v>0.14</v>
      </c>
      <c r="D1405" s="21" t="s">
        <v>25471</v>
      </c>
      <c r="E1405" s="21" t="s">
        <v>734</v>
      </c>
      <c r="F1405" s="21" t="s">
        <v>716</v>
      </c>
      <c r="G1405" s="21" t="s">
        <v>11409</v>
      </c>
      <c r="H1405" s="21" t="s">
        <v>25627</v>
      </c>
    </row>
    <row r="1406" customFormat="false" ht="15" hidden="false" customHeight="false" outlineLevel="0" collapsed="false">
      <c r="B1406" s="19" t="s">
        <v>26772</v>
      </c>
      <c r="C1406" s="20" t="n">
        <f aca="false">ROUND(1.06/FX,2)</f>
        <v>0.15</v>
      </c>
      <c r="D1406" s="21" t="s">
        <v>24287</v>
      </c>
      <c r="E1406" s="21" t="s">
        <v>734</v>
      </c>
      <c r="F1406" s="21" t="s">
        <v>847</v>
      </c>
      <c r="G1406" s="21" t="s">
        <v>11409</v>
      </c>
      <c r="H1406" s="21" t="s">
        <v>25627</v>
      </c>
    </row>
    <row r="1407" customFormat="false" ht="15" hidden="false" customHeight="false" outlineLevel="0" collapsed="false">
      <c r="B1407" s="19" t="s">
        <v>26773</v>
      </c>
      <c r="C1407" s="20" t="n">
        <f aca="false">ROUND(1/FX,2)</f>
        <v>0.14</v>
      </c>
      <c r="D1407" s="21" t="s">
        <v>25459</v>
      </c>
      <c r="E1407" s="21" t="s">
        <v>734</v>
      </c>
      <c r="F1407" s="21" t="s">
        <v>707</v>
      </c>
      <c r="G1407" s="21" t="s">
        <v>11411</v>
      </c>
      <c r="H1407" s="21" t="s">
        <v>25627</v>
      </c>
    </row>
    <row r="1408" customFormat="false" ht="15" hidden="false" customHeight="false" outlineLevel="0" collapsed="false">
      <c r="B1408" s="19" t="s">
        <v>26774</v>
      </c>
      <c r="C1408" s="20" t="n">
        <f aca="false">ROUND(1.02/FX,2)</f>
        <v>0.14</v>
      </c>
      <c r="D1408" s="21" t="s">
        <v>25459</v>
      </c>
      <c r="E1408" s="21" t="s">
        <v>734</v>
      </c>
      <c r="F1408" s="21" t="s">
        <v>761</v>
      </c>
      <c r="G1408" s="21" t="s">
        <v>11411</v>
      </c>
      <c r="H1408" s="21" t="s">
        <v>25627</v>
      </c>
    </row>
    <row r="1409" customFormat="false" ht="15" hidden="false" customHeight="false" outlineLevel="0" collapsed="false">
      <c r="B1409" s="19" t="s">
        <v>26775</v>
      </c>
      <c r="C1409" s="20" t="n">
        <f aca="false">ROUND(1.07/FX,2)</f>
        <v>0.15</v>
      </c>
      <c r="D1409" s="21" t="s">
        <v>21722</v>
      </c>
      <c r="E1409" s="21" t="s">
        <v>734</v>
      </c>
      <c r="F1409" s="21" t="s">
        <v>4721</v>
      </c>
      <c r="G1409" s="21" t="s">
        <v>11411</v>
      </c>
      <c r="H1409" s="21" t="s">
        <v>25627</v>
      </c>
    </row>
    <row r="1410" customFormat="false" ht="15" hidden="false" customHeight="false" outlineLevel="0" collapsed="false">
      <c r="B1410" s="19" t="s">
        <v>26776</v>
      </c>
      <c r="C1410" s="20" t="n">
        <f aca="false">ROUND(1.04/FX,2)</f>
        <v>0.14</v>
      </c>
      <c r="D1410" s="21" t="s">
        <v>25462</v>
      </c>
      <c r="E1410" s="21" t="s">
        <v>734</v>
      </c>
      <c r="F1410" s="21" t="s">
        <v>3833</v>
      </c>
      <c r="G1410" s="21" t="s">
        <v>11411</v>
      </c>
      <c r="H1410" s="21" t="s">
        <v>25627</v>
      </c>
    </row>
    <row r="1411" customFormat="false" ht="15" hidden="false" customHeight="false" outlineLevel="0" collapsed="false">
      <c r="B1411" s="19" t="s">
        <v>26777</v>
      </c>
      <c r="C1411" s="20" t="n">
        <f aca="false">ROUND(1.07/FX,2)</f>
        <v>0.15</v>
      </c>
      <c r="D1411" s="21" t="s">
        <v>13988</v>
      </c>
      <c r="E1411" s="21" t="s">
        <v>734</v>
      </c>
      <c r="F1411" s="21" t="s">
        <v>4000</v>
      </c>
      <c r="G1411" s="21" t="s">
        <v>11411</v>
      </c>
      <c r="H1411" s="21" t="s">
        <v>25627</v>
      </c>
    </row>
    <row r="1412" customFormat="false" ht="15" hidden="false" customHeight="false" outlineLevel="0" collapsed="false">
      <c r="B1412" s="19" t="s">
        <v>26778</v>
      </c>
      <c r="C1412" s="20" t="n">
        <f aca="false">ROUND(1.02/FX,2)</f>
        <v>0.14</v>
      </c>
      <c r="D1412" s="21" t="s">
        <v>21722</v>
      </c>
      <c r="E1412" s="21" t="s">
        <v>734</v>
      </c>
      <c r="F1412" s="21" t="s">
        <v>3247</v>
      </c>
      <c r="G1412" s="21" t="s">
        <v>11411</v>
      </c>
      <c r="H1412" s="21" t="s">
        <v>25627</v>
      </c>
    </row>
    <row r="1413" customFormat="false" ht="15" hidden="false" customHeight="false" outlineLevel="0" collapsed="false">
      <c r="B1413" s="19" t="s">
        <v>26779</v>
      </c>
      <c r="C1413" s="20" t="n">
        <f aca="false">ROUND(1.01/FX,2)</f>
        <v>0.14</v>
      </c>
      <c r="D1413" s="21" t="s">
        <v>13988</v>
      </c>
      <c r="E1413" s="21" t="s">
        <v>734</v>
      </c>
      <c r="F1413" s="21" t="s">
        <v>3317</v>
      </c>
      <c r="G1413" s="21" t="s">
        <v>11411</v>
      </c>
      <c r="H1413" s="21" t="s">
        <v>25627</v>
      </c>
    </row>
    <row r="1414" customFormat="false" ht="15" hidden="false" customHeight="false" outlineLevel="0" collapsed="false">
      <c r="B1414" s="19" t="s">
        <v>26780</v>
      </c>
      <c r="C1414" s="20" t="n">
        <f aca="false">ROUND(1.03/FX,2)</f>
        <v>0.14</v>
      </c>
      <c r="D1414" s="21" t="s">
        <v>14016</v>
      </c>
      <c r="E1414" s="21" t="s">
        <v>734</v>
      </c>
      <c r="F1414" s="21" t="s">
        <v>784</v>
      </c>
      <c r="G1414" s="21" t="s">
        <v>11411</v>
      </c>
      <c r="H1414" s="21" t="s">
        <v>25627</v>
      </c>
    </row>
    <row r="1415" customFormat="false" ht="15" hidden="false" customHeight="false" outlineLevel="0" collapsed="false">
      <c r="B1415" s="19" t="s">
        <v>26781</v>
      </c>
      <c r="C1415" s="20" t="n">
        <f aca="false">ROUND(1.05/FX,2)</f>
        <v>0.15</v>
      </c>
      <c r="D1415" s="21" t="s">
        <v>14056</v>
      </c>
      <c r="E1415" s="21" t="s">
        <v>734</v>
      </c>
      <c r="F1415" s="21" t="s">
        <v>3328</v>
      </c>
      <c r="G1415" s="21" t="s">
        <v>11411</v>
      </c>
      <c r="H1415" s="21" t="s">
        <v>25627</v>
      </c>
    </row>
    <row r="1416" customFormat="false" ht="15" hidden="false" customHeight="false" outlineLevel="0" collapsed="false">
      <c r="B1416" s="19" t="s">
        <v>26782</v>
      </c>
      <c r="C1416" s="20" t="n">
        <f aca="false">ROUND(1.04/FX,2)</f>
        <v>0.14</v>
      </c>
      <c r="D1416" s="21" t="s">
        <v>14007</v>
      </c>
      <c r="E1416" s="21" t="s">
        <v>734</v>
      </c>
      <c r="F1416" s="21" t="s">
        <v>6246</v>
      </c>
      <c r="G1416" s="21" t="s">
        <v>11411</v>
      </c>
      <c r="H1416" s="21" t="s">
        <v>25627</v>
      </c>
    </row>
    <row r="1417" customFormat="false" ht="15" hidden="false" customHeight="false" outlineLevel="0" collapsed="false">
      <c r="B1417" s="19" t="s">
        <v>26783</v>
      </c>
      <c r="C1417" s="20" t="n">
        <f aca="false">ROUND(1.18/FX,2)</f>
        <v>0.16</v>
      </c>
      <c r="D1417" s="21" t="s">
        <v>14007</v>
      </c>
      <c r="E1417" s="21" t="s">
        <v>734</v>
      </c>
      <c r="F1417" s="21" t="s">
        <v>7358</v>
      </c>
      <c r="G1417" s="21" t="s">
        <v>11411</v>
      </c>
      <c r="H1417" s="21" t="s">
        <v>25627</v>
      </c>
    </row>
    <row r="1418" customFormat="false" ht="15" hidden="false" customHeight="false" outlineLevel="0" collapsed="false">
      <c r="B1418" s="19" t="s">
        <v>26784</v>
      </c>
      <c r="C1418" s="20" t="n">
        <f aca="false">ROUND(1.15/FX,2)</f>
        <v>0.16</v>
      </c>
      <c r="D1418" s="21" t="s">
        <v>13743</v>
      </c>
      <c r="E1418" s="21" t="s">
        <v>734</v>
      </c>
      <c r="F1418" s="21" t="s">
        <v>2911</v>
      </c>
      <c r="G1418" s="21" t="s">
        <v>11411</v>
      </c>
      <c r="H1418" s="21" t="s">
        <v>25627</v>
      </c>
    </row>
    <row r="1419" customFormat="false" ht="15" hidden="false" customHeight="false" outlineLevel="0" collapsed="false">
      <c r="B1419" s="19" t="s">
        <v>26785</v>
      </c>
      <c r="C1419" s="20" t="n">
        <f aca="false">ROUND(1.01/FX,2)</f>
        <v>0.14</v>
      </c>
      <c r="D1419" s="21" t="s">
        <v>25459</v>
      </c>
      <c r="E1419" s="21" t="s">
        <v>734</v>
      </c>
      <c r="F1419" s="21" t="s">
        <v>716</v>
      </c>
      <c r="G1419" s="21" t="s">
        <v>11411</v>
      </c>
      <c r="H1419" s="21" t="s">
        <v>25627</v>
      </c>
    </row>
    <row r="1420" customFormat="false" ht="15" hidden="false" customHeight="false" outlineLevel="0" collapsed="false">
      <c r="B1420" s="19" t="s">
        <v>26786</v>
      </c>
      <c r="C1420" s="20" t="n">
        <f aca="false">ROUND(1.05/FX,2)</f>
        <v>0.15</v>
      </c>
      <c r="D1420" s="21" t="s">
        <v>13981</v>
      </c>
      <c r="E1420" s="21" t="s">
        <v>734</v>
      </c>
      <c r="F1420" s="21" t="s">
        <v>847</v>
      </c>
      <c r="G1420" s="21" t="s">
        <v>11411</v>
      </c>
      <c r="H1420" s="21" t="s">
        <v>25627</v>
      </c>
    </row>
    <row r="1421" customFormat="false" ht="15" hidden="false" customHeight="false" outlineLevel="0" collapsed="false">
      <c r="B1421" s="19" t="s">
        <v>26787</v>
      </c>
      <c r="C1421" s="20" t="n">
        <f aca="false">ROUND(1.07/FX,2)</f>
        <v>0.15</v>
      </c>
      <c r="D1421" s="21" t="s">
        <v>13978</v>
      </c>
      <c r="E1421" s="21" t="s">
        <v>734</v>
      </c>
      <c r="F1421" s="21" t="s">
        <v>707</v>
      </c>
      <c r="G1421" s="21" t="s">
        <v>11413</v>
      </c>
      <c r="H1421" s="21" t="s">
        <v>25627</v>
      </c>
    </row>
    <row r="1422" customFormat="false" ht="15" hidden="false" customHeight="false" outlineLevel="0" collapsed="false">
      <c r="B1422" s="19" t="s">
        <v>26788</v>
      </c>
      <c r="C1422" s="20" t="n">
        <f aca="false">ROUND(1.02/FX,2)</f>
        <v>0.14</v>
      </c>
      <c r="D1422" s="21" t="s">
        <v>13988</v>
      </c>
      <c r="E1422" s="21" t="s">
        <v>734</v>
      </c>
      <c r="F1422" s="21" t="s">
        <v>761</v>
      </c>
      <c r="G1422" s="21" t="s">
        <v>11413</v>
      </c>
      <c r="H1422" s="21" t="s">
        <v>25627</v>
      </c>
    </row>
    <row r="1423" customFormat="false" ht="15" hidden="false" customHeight="false" outlineLevel="0" collapsed="false">
      <c r="B1423" s="19" t="s">
        <v>26789</v>
      </c>
      <c r="C1423" s="20" t="n">
        <f aca="false">ROUND(1.12/FX,2)</f>
        <v>0.16</v>
      </c>
      <c r="D1423" s="21" t="s">
        <v>14056</v>
      </c>
      <c r="E1423" s="21" t="s">
        <v>734</v>
      </c>
      <c r="F1423" s="21" t="s">
        <v>4721</v>
      </c>
      <c r="G1423" s="21" t="s">
        <v>11413</v>
      </c>
      <c r="H1423" s="21" t="s">
        <v>25627</v>
      </c>
    </row>
    <row r="1424" customFormat="false" ht="15" hidden="false" customHeight="false" outlineLevel="0" collapsed="false">
      <c r="B1424" s="19" t="s">
        <v>26790</v>
      </c>
      <c r="C1424" s="20" t="n">
        <f aca="false">ROUND(1.03/FX,2)</f>
        <v>0.14</v>
      </c>
      <c r="D1424" s="21" t="s">
        <v>13997</v>
      </c>
      <c r="E1424" s="21" t="s">
        <v>734</v>
      </c>
      <c r="F1424" s="21" t="s">
        <v>3833</v>
      </c>
      <c r="G1424" s="21" t="s">
        <v>11413</v>
      </c>
      <c r="H1424" s="21" t="s">
        <v>25627</v>
      </c>
    </row>
    <row r="1425" customFormat="false" ht="15" hidden="false" customHeight="false" outlineLevel="0" collapsed="false">
      <c r="B1425" s="19" t="s">
        <v>26791</v>
      </c>
      <c r="C1425" s="20" t="n">
        <f aca="false">ROUND(1.09/FX,2)</f>
        <v>0.15</v>
      </c>
      <c r="D1425" s="21" t="s">
        <v>13994</v>
      </c>
      <c r="E1425" s="21" t="s">
        <v>734</v>
      </c>
      <c r="F1425" s="21" t="s">
        <v>4000</v>
      </c>
      <c r="G1425" s="21" t="s">
        <v>11413</v>
      </c>
      <c r="H1425" s="21" t="s">
        <v>25627</v>
      </c>
    </row>
    <row r="1426" customFormat="false" ht="15" hidden="false" customHeight="false" outlineLevel="0" collapsed="false">
      <c r="B1426" s="19" t="s">
        <v>26792</v>
      </c>
      <c r="C1426" s="20" t="n">
        <f aca="false">ROUND(1.02/FX,2)</f>
        <v>0.14</v>
      </c>
      <c r="D1426" s="21" t="s">
        <v>14056</v>
      </c>
      <c r="E1426" s="21" t="s">
        <v>734</v>
      </c>
      <c r="F1426" s="21" t="s">
        <v>3247</v>
      </c>
      <c r="G1426" s="21" t="s">
        <v>11413</v>
      </c>
      <c r="H1426" s="21" t="s">
        <v>25627</v>
      </c>
    </row>
    <row r="1427" customFormat="false" ht="15" hidden="false" customHeight="false" outlineLevel="0" collapsed="false">
      <c r="B1427" s="19" t="s">
        <v>26793</v>
      </c>
      <c r="C1427" s="20" t="n">
        <f aca="false">ROUND(1.13/FX,2)</f>
        <v>0.16</v>
      </c>
      <c r="D1427" s="21" t="s">
        <v>13994</v>
      </c>
      <c r="E1427" s="21" t="s">
        <v>734</v>
      </c>
      <c r="F1427" s="21" t="s">
        <v>5097</v>
      </c>
      <c r="G1427" s="21" t="s">
        <v>11413</v>
      </c>
      <c r="H1427" s="21" t="s">
        <v>25627</v>
      </c>
    </row>
    <row r="1428" customFormat="false" ht="15" hidden="false" customHeight="false" outlineLevel="0" collapsed="false">
      <c r="B1428" s="19" t="s">
        <v>26794</v>
      </c>
      <c r="C1428" s="20" t="n">
        <f aca="false">ROUND(1.03/FX,2)</f>
        <v>0.14</v>
      </c>
      <c r="D1428" s="21" t="s">
        <v>13994</v>
      </c>
      <c r="E1428" s="21" t="s">
        <v>734</v>
      </c>
      <c r="F1428" s="21" t="s">
        <v>3317</v>
      </c>
      <c r="G1428" s="21" t="s">
        <v>11413</v>
      </c>
      <c r="H1428" s="21" t="s">
        <v>25627</v>
      </c>
    </row>
    <row r="1429" customFormat="false" ht="15" hidden="false" customHeight="false" outlineLevel="0" collapsed="false">
      <c r="B1429" s="19" t="s">
        <v>26795</v>
      </c>
      <c r="C1429" s="20" t="n">
        <f aca="false">ROUND(1.1/FX,2)</f>
        <v>0.15</v>
      </c>
      <c r="D1429" s="21" t="s">
        <v>13994</v>
      </c>
      <c r="E1429" s="21" t="s">
        <v>734</v>
      </c>
      <c r="F1429" s="21" t="s">
        <v>784</v>
      </c>
      <c r="G1429" s="21" t="s">
        <v>11413</v>
      </c>
      <c r="H1429" s="21" t="s">
        <v>25627</v>
      </c>
    </row>
    <row r="1430" customFormat="false" ht="15" hidden="false" customHeight="false" outlineLevel="0" collapsed="false">
      <c r="B1430" s="19" t="s">
        <v>26796</v>
      </c>
      <c r="C1430" s="20" t="n">
        <f aca="false">ROUND(1.14/FX,2)</f>
        <v>0.16</v>
      </c>
      <c r="D1430" s="21" t="s">
        <v>13994</v>
      </c>
      <c r="E1430" s="21" t="s">
        <v>734</v>
      </c>
      <c r="F1430" s="21" t="s">
        <v>3328</v>
      </c>
      <c r="G1430" s="21" t="s">
        <v>11413</v>
      </c>
      <c r="H1430" s="21" t="s">
        <v>25627</v>
      </c>
    </row>
    <row r="1431" customFormat="false" ht="15" hidden="false" customHeight="false" outlineLevel="0" collapsed="false">
      <c r="B1431" s="19" t="s">
        <v>26797</v>
      </c>
      <c r="C1431" s="20" t="n">
        <f aca="false">ROUND(1.1/FX,2)</f>
        <v>0.15</v>
      </c>
      <c r="D1431" s="21" t="s">
        <v>14007</v>
      </c>
      <c r="E1431" s="21" t="s">
        <v>734</v>
      </c>
      <c r="F1431" s="21" t="s">
        <v>6246</v>
      </c>
      <c r="G1431" s="21" t="s">
        <v>11413</v>
      </c>
      <c r="H1431" s="21" t="s">
        <v>25627</v>
      </c>
    </row>
    <row r="1432" customFormat="false" ht="15" hidden="false" customHeight="false" outlineLevel="0" collapsed="false">
      <c r="B1432" s="19" t="s">
        <v>26798</v>
      </c>
      <c r="C1432" s="20" t="n">
        <f aca="false">ROUND(1.21/FX,2)</f>
        <v>0.17</v>
      </c>
      <c r="D1432" s="21" t="s">
        <v>13743</v>
      </c>
      <c r="E1432" s="21" t="s">
        <v>734</v>
      </c>
      <c r="F1432" s="21" t="s">
        <v>7358</v>
      </c>
      <c r="G1432" s="21" t="s">
        <v>11413</v>
      </c>
      <c r="H1432" s="21" t="s">
        <v>25619</v>
      </c>
    </row>
    <row r="1433" customFormat="false" ht="15" hidden="false" customHeight="false" outlineLevel="0" collapsed="false">
      <c r="B1433" s="19" t="s">
        <v>26799</v>
      </c>
      <c r="C1433" s="20" t="n">
        <f aca="false">ROUND(1.05/FX,2)</f>
        <v>0.15</v>
      </c>
      <c r="D1433" s="21" t="s">
        <v>13743</v>
      </c>
      <c r="E1433" s="21" t="s">
        <v>734</v>
      </c>
      <c r="F1433" s="21" t="s">
        <v>2911</v>
      </c>
      <c r="G1433" s="21" t="s">
        <v>11413</v>
      </c>
      <c r="H1433" s="21" t="s">
        <v>25627</v>
      </c>
    </row>
    <row r="1434" customFormat="false" ht="15" hidden="false" customHeight="false" outlineLevel="0" collapsed="false">
      <c r="B1434" s="19" t="s">
        <v>26800</v>
      </c>
      <c r="C1434" s="20" t="n">
        <f aca="false">ROUND(1.05/FX,2)</f>
        <v>0.15</v>
      </c>
      <c r="D1434" s="21" t="s">
        <v>13739</v>
      </c>
      <c r="E1434" s="21" t="s">
        <v>734</v>
      </c>
      <c r="F1434" s="21" t="s">
        <v>7275</v>
      </c>
      <c r="G1434" s="21" t="s">
        <v>11413</v>
      </c>
      <c r="H1434" s="21" t="s">
        <v>25627</v>
      </c>
    </row>
    <row r="1435" customFormat="false" ht="15" hidden="false" customHeight="false" outlineLevel="0" collapsed="false">
      <c r="B1435" s="19" t="s">
        <v>26801</v>
      </c>
      <c r="C1435" s="20" t="n">
        <f aca="false">ROUND(1.06/FX,2)</f>
        <v>0.15</v>
      </c>
      <c r="D1435" s="21" t="s">
        <v>13739</v>
      </c>
      <c r="E1435" s="21" t="s">
        <v>734</v>
      </c>
      <c r="F1435" s="21" t="s">
        <v>2961</v>
      </c>
      <c r="G1435" s="21" t="s">
        <v>11413</v>
      </c>
      <c r="H1435" s="21" t="s">
        <v>25627</v>
      </c>
    </row>
    <row r="1436" customFormat="false" ht="15" hidden="false" customHeight="false" outlineLevel="0" collapsed="false">
      <c r="B1436" s="19" t="s">
        <v>26802</v>
      </c>
      <c r="C1436" s="20" t="n">
        <f aca="false">ROUND(1.27/FX,2)</f>
        <v>0.18</v>
      </c>
      <c r="D1436" s="21" t="s">
        <v>13739</v>
      </c>
      <c r="E1436" s="21" t="s">
        <v>734</v>
      </c>
      <c r="F1436" s="21" t="s">
        <v>3011</v>
      </c>
      <c r="G1436" s="21" t="s">
        <v>11413</v>
      </c>
      <c r="H1436" s="21" t="s">
        <v>25627</v>
      </c>
    </row>
    <row r="1437" customFormat="false" ht="15" hidden="false" customHeight="false" outlineLevel="0" collapsed="false">
      <c r="B1437" s="19" t="s">
        <v>26803</v>
      </c>
      <c r="C1437" s="20" t="n">
        <f aca="false">ROUND(1.03/FX,2)</f>
        <v>0.14</v>
      </c>
      <c r="D1437" s="21" t="s">
        <v>21722</v>
      </c>
      <c r="E1437" s="21" t="s">
        <v>734</v>
      </c>
      <c r="F1437" s="21" t="s">
        <v>847</v>
      </c>
      <c r="G1437" s="21" t="s">
        <v>11413</v>
      </c>
      <c r="H1437" s="21" t="s">
        <v>25627</v>
      </c>
    </row>
    <row r="1438" customFormat="false" ht="15" hidden="false" customHeight="false" outlineLevel="0" collapsed="false">
      <c r="B1438" s="19" t="s">
        <v>26804</v>
      </c>
      <c r="C1438" s="20" t="n">
        <f aca="false">ROUND(1.06/FX,2)</f>
        <v>0.15</v>
      </c>
      <c r="D1438" s="21" t="s">
        <v>13994</v>
      </c>
      <c r="E1438" s="21" t="s">
        <v>734</v>
      </c>
      <c r="F1438" s="21" t="s">
        <v>707</v>
      </c>
      <c r="G1438" s="21" t="s">
        <v>11415</v>
      </c>
      <c r="H1438" s="21" t="s">
        <v>25627</v>
      </c>
    </row>
    <row r="1439" customFormat="false" ht="15" hidden="false" customHeight="false" outlineLevel="0" collapsed="false">
      <c r="B1439" s="19" t="s">
        <v>26805</v>
      </c>
      <c r="C1439" s="20" t="n">
        <f aca="false">ROUND(1.07/FX,2)</f>
        <v>0.15</v>
      </c>
      <c r="D1439" s="21" t="s">
        <v>13994</v>
      </c>
      <c r="E1439" s="21" t="s">
        <v>734</v>
      </c>
      <c r="F1439" s="21" t="s">
        <v>761</v>
      </c>
      <c r="G1439" s="21" t="s">
        <v>11415</v>
      </c>
      <c r="H1439" s="21" t="s">
        <v>25627</v>
      </c>
    </row>
    <row r="1440" customFormat="false" ht="15" hidden="false" customHeight="false" outlineLevel="0" collapsed="false">
      <c r="B1440" s="19" t="s">
        <v>26806</v>
      </c>
      <c r="C1440" s="20" t="n">
        <f aca="false">ROUND(1/FX,2)</f>
        <v>0.14</v>
      </c>
      <c r="D1440" s="21" t="s">
        <v>13743</v>
      </c>
      <c r="E1440" s="21" t="s">
        <v>734</v>
      </c>
      <c r="F1440" s="21" t="s">
        <v>4721</v>
      </c>
      <c r="G1440" s="21" t="s">
        <v>11415</v>
      </c>
      <c r="H1440" s="21" t="s">
        <v>25627</v>
      </c>
    </row>
    <row r="1441" customFormat="false" ht="15" hidden="false" customHeight="false" outlineLevel="0" collapsed="false">
      <c r="B1441" s="19" t="s">
        <v>26807</v>
      </c>
      <c r="C1441" s="20" t="n">
        <f aca="false">ROUND(1.09/FX,2)</f>
        <v>0.15</v>
      </c>
      <c r="D1441" s="21" t="s">
        <v>13994</v>
      </c>
      <c r="E1441" s="21" t="s">
        <v>734</v>
      </c>
      <c r="F1441" s="21" t="s">
        <v>3833</v>
      </c>
      <c r="G1441" s="21" t="s">
        <v>11415</v>
      </c>
      <c r="H1441" s="21" t="s">
        <v>25627</v>
      </c>
    </row>
    <row r="1442" customFormat="false" ht="15" hidden="false" customHeight="false" outlineLevel="0" collapsed="false">
      <c r="B1442" s="19" t="s">
        <v>26808</v>
      </c>
      <c r="C1442" s="20" t="n">
        <f aca="false">ROUND(1.02/FX,2)</f>
        <v>0.14</v>
      </c>
      <c r="D1442" s="21" t="s">
        <v>13743</v>
      </c>
      <c r="E1442" s="21" t="s">
        <v>734</v>
      </c>
      <c r="F1442" s="21" t="s">
        <v>4000</v>
      </c>
      <c r="G1442" s="21" t="s">
        <v>11415</v>
      </c>
      <c r="H1442" s="21" t="s">
        <v>25627</v>
      </c>
    </row>
    <row r="1443" customFormat="false" ht="15" hidden="false" customHeight="false" outlineLevel="0" collapsed="false">
      <c r="B1443" s="19" t="s">
        <v>26809</v>
      </c>
      <c r="C1443" s="20" t="n">
        <f aca="false">ROUND(1.04/FX,2)</f>
        <v>0.14</v>
      </c>
      <c r="D1443" s="21" t="s">
        <v>14007</v>
      </c>
      <c r="E1443" s="21" t="s">
        <v>734</v>
      </c>
      <c r="F1443" s="21" t="s">
        <v>3247</v>
      </c>
      <c r="G1443" s="21" t="s">
        <v>11415</v>
      </c>
      <c r="H1443" s="21" t="s">
        <v>25627</v>
      </c>
    </row>
    <row r="1444" customFormat="false" ht="15" hidden="false" customHeight="false" outlineLevel="0" collapsed="false">
      <c r="B1444" s="19" t="s">
        <v>26810</v>
      </c>
      <c r="C1444" s="20" t="n">
        <f aca="false">ROUND(5.85/FX,2)</f>
        <v>0.81</v>
      </c>
      <c r="D1444" s="21" t="s">
        <v>13974</v>
      </c>
      <c r="E1444" s="21" t="s">
        <v>734</v>
      </c>
      <c r="F1444" s="21" t="s">
        <v>5097</v>
      </c>
      <c r="G1444" s="21" t="s">
        <v>11415</v>
      </c>
      <c r="H1444" s="21" t="s">
        <v>25627</v>
      </c>
    </row>
    <row r="1445" customFormat="false" ht="15" hidden="false" customHeight="false" outlineLevel="0" collapsed="false">
      <c r="B1445" s="19" t="s">
        <v>26811</v>
      </c>
      <c r="C1445" s="20" t="n">
        <f aca="false">ROUND(1.14/FX,2)</f>
        <v>0.16</v>
      </c>
      <c r="D1445" s="21" t="s">
        <v>14007</v>
      </c>
      <c r="E1445" s="21" t="s">
        <v>734</v>
      </c>
      <c r="F1445" s="21" t="s">
        <v>3317</v>
      </c>
      <c r="G1445" s="21" t="s">
        <v>11415</v>
      </c>
      <c r="H1445" s="21" t="s">
        <v>25627</v>
      </c>
    </row>
    <row r="1446" customFormat="false" ht="15" hidden="false" customHeight="false" outlineLevel="0" collapsed="false">
      <c r="B1446" s="19" t="s">
        <v>26812</v>
      </c>
      <c r="C1446" s="20" t="n">
        <f aca="false">ROUND(1.05/FX,2)</f>
        <v>0.15</v>
      </c>
      <c r="D1446" s="21" t="s">
        <v>13751</v>
      </c>
      <c r="E1446" s="21" t="s">
        <v>734</v>
      </c>
      <c r="F1446" s="21" t="s">
        <v>6768</v>
      </c>
      <c r="G1446" s="21" t="s">
        <v>11415</v>
      </c>
      <c r="H1446" s="21" t="s">
        <v>25627</v>
      </c>
    </row>
    <row r="1447" customFormat="false" ht="15" hidden="false" customHeight="false" outlineLevel="0" collapsed="false">
      <c r="B1447" s="19" t="s">
        <v>26813</v>
      </c>
      <c r="C1447" s="20" t="n">
        <f aca="false">ROUND(1.01/FX,2)</f>
        <v>0.14</v>
      </c>
      <c r="D1447" s="21" t="s">
        <v>13743</v>
      </c>
      <c r="E1447" s="21" t="s">
        <v>734</v>
      </c>
      <c r="F1447" s="21" t="s">
        <v>784</v>
      </c>
      <c r="G1447" s="21" t="s">
        <v>11415</v>
      </c>
      <c r="H1447" s="21" t="s">
        <v>25627</v>
      </c>
    </row>
    <row r="1448" customFormat="false" ht="15" hidden="false" customHeight="false" outlineLevel="0" collapsed="false">
      <c r="B1448" s="19" t="s">
        <v>26814</v>
      </c>
      <c r="C1448" s="20" t="n">
        <f aca="false">ROUND(1.16/FX,2)</f>
        <v>0.16</v>
      </c>
      <c r="D1448" s="21" t="s">
        <v>13743</v>
      </c>
      <c r="E1448" s="21" t="s">
        <v>734</v>
      </c>
      <c r="F1448" s="21" t="s">
        <v>3328</v>
      </c>
      <c r="G1448" s="21" t="s">
        <v>11415</v>
      </c>
      <c r="H1448" s="21" t="s">
        <v>25627</v>
      </c>
    </row>
    <row r="1449" customFormat="false" ht="15" hidden="false" customHeight="false" outlineLevel="0" collapsed="false">
      <c r="B1449" s="19" t="s">
        <v>26815</v>
      </c>
      <c r="C1449" s="20" t="n">
        <f aca="false">ROUND(1.07/FX,2)</f>
        <v>0.15</v>
      </c>
      <c r="D1449" s="21" t="s">
        <v>14013</v>
      </c>
      <c r="E1449" s="21" t="s">
        <v>734</v>
      </c>
      <c r="F1449" s="21" t="s">
        <v>6246</v>
      </c>
      <c r="G1449" s="21" t="s">
        <v>11415</v>
      </c>
      <c r="H1449" s="21" t="s">
        <v>25627</v>
      </c>
    </row>
    <row r="1450" customFormat="false" ht="15" hidden="false" customHeight="false" outlineLevel="0" collapsed="false">
      <c r="B1450" s="19" t="s">
        <v>26816</v>
      </c>
      <c r="C1450" s="20" t="n">
        <f aca="false">ROUND(1.13/FX,2)</f>
        <v>0.16</v>
      </c>
      <c r="D1450" s="21" t="s">
        <v>14013</v>
      </c>
      <c r="E1450" s="21" t="s">
        <v>734</v>
      </c>
      <c r="F1450" s="21" t="s">
        <v>7358</v>
      </c>
      <c r="G1450" s="21" t="s">
        <v>11415</v>
      </c>
      <c r="H1450" s="21" t="s">
        <v>25627</v>
      </c>
    </row>
    <row r="1451" customFormat="false" ht="15" hidden="false" customHeight="false" outlineLevel="0" collapsed="false">
      <c r="B1451" s="19" t="s">
        <v>26817</v>
      </c>
      <c r="C1451" s="20" t="n">
        <f aca="false">ROUND(1.07/FX,2)</f>
        <v>0.15</v>
      </c>
      <c r="D1451" s="21" t="s">
        <v>13739</v>
      </c>
      <c r="E1451" s="21" t="s">
        <v>734</v>
      </c>
      <c r="F1451" s="21" t="s">
        <v>2911</v>
      </c>
      <c r="G1451" s="21" t="s">
        <v>11415</v>
      </c>
      <c r="H1451" s="21" t="s">
        <v>25619</v>
      </c>
    </row>
    <row r="1452" customFormat="false" ht="15" hidden="false" customHeight="false" outlineLevel="0" collapsed="false">
      <c r="B1452" s="19" t="s">
        <v>26818</v>
      </c>
      <c r="C1452" s="20" t="n">
        <f aca="false">ROUND(1.15/FX,2)</f>
        <v>0.16</v>
      </c>
      <c r="D1452" s="21" t="s">
        <v>14013</v>
      </c>
      <c r="E1452" s="21" t="s">
        <v>734</v>
      </c>
      <c r="F1452" s="21" t="s">
        <v>2911</v>
      </c>
      <c r="G1452" s="21" t="s">
        <v>11415</v>
      </c>
      <c r="H1452" s="21" t="s">
        <v>25627</v>
      </c>
    </row>
    <row r="1453" customFormat="false" ht="15" hidden="false" customHeight="false" outlineLevel="0" collapsed="false">
      <c r="B1453" s="19" t="s">
        <v>26819</v>
      </c>
      <c r="C1453" s="20" t="n">
        <f aca="false">ROUND(1.39/FX,2)</f>
        <v>0.19</v>
      </c>
      <c r="D1453" s="21" t="s">
        <v>13751</v>
      </c>
      <c r="E1453" s="21" t="s">
        <v>734</v>
      </c>
      <c r="F1453" s="21" t="s">
        <v>7275</v>
      </c>
      <c r="G1453" s="21" t="s">
        <v>11415</v>
      </c>
      <c r="H1453" s="21" t="s">
        <v>25627</v>
      </c>
    </row>
    <row r="1454" customFormat="false" ht="15" hidden="false" customHeight="false" outlineLevel="0" collapsed="false">
      <c r="B1454" s="19" t="s">
        <v>26820</v>
      </c>
      <c r="C1454" s="20" t="n">
        <f aca="false">ROUND(1.32/FX,2)</f>
        <v>0.18</v>
      </c>
      <c r="D1454" s="21" t="s">
        <v>13739</v>
      </c>
      <c r="E1454" s="21" t="s">
        <v>734</v>
      </c>
      <c r="F1454" s="21" t="s">
        <v>2961</v>
      </c>
      <c r="G1454" s="21" t="s">
        <v>11415</v>
      </c>
      <c r="H1454" s="21" t="s">
        <v>25619</v>
      </c>
    </row>
    <row r="1455" customFormat="false" ht="15" hidden="false" customHeight="false" outlineLevel="0" collapsed="false">
      <c r="B1455" s="19" t="s">
        <v>26821</v>
      </c>
      <c r="C1455" s="20" t="n">
        <f aca="false">ROUND(1.42/FX,2)</f>
        <v>0.2</v>
      </c>
      <c r="D1455" s="21" t="s">
        <v>13751</v>
      </c>
      <c r="E1455" s="21" t="s">
        <v>734</v>
      </c>
      <c r="F1455" s="21" t="s">
        <v>2961</v>
      </c>
      <c r="G1455" s="21" t="s">
        <v>11415</v>
      </c>
      <c r="H1455" s="21" t="s">
        <v>25627</v>
      </c>
    </row>
    <row r="1456" customFormat="false" ht="15" hidden="false" customHeight="false" outlineLevel="0" collapsed="false">
      <c r="B1456" s="19" t="s">
        <v>26822</v>
      </c>
      <c r="C1456" s="20" t="n">
        <f aca="false">ROUND(1.63/FX,2)</f>
        <v>0.23</v>
      </c>
      <c r="D1456" s="21" t="s">
        <v>13739</v>
      </c>
      <c r="E1456" s="21" t="s">
        <v>734</v>
      </c>
      <c r="F1456" s="21" t="s">
        <v>13817</v>
      </c>
      <c r="G1456" s="21" t="s">
        <v>11415</v>
      </c>
      <c r="H1456" s="21" t="s">
        <v>25627</v>
      </c>
    </row>
    <row r="1457" customFormat="false" ht="15" hidden="false" customHeight="false" outlineLevel="0" collapsed="false">
      <c r="B1457" s="19" t="s">
        <v>26823</v>
      </c>
      <c r="C1457" s="20" t="n">
        <f aca="false">ROUND(1.92/FX,2)</f>
        <v>0.27</v>
      </c>
      <c r="D1457" s="21" t="s">
        <v>13739</v>
      </c>
      <c r="E1457" s="21" t="s">
        <v>734</v>
      </c>
      <c r="F1457" s="21" t="s">
        <v>3011</v>
      </c>
      <c r="G1457" s="21" t="s">
        <v>11415</v>
      </c>
      <c r="H1457" s="21" t="s">
        <v>25619</v>
      </c>
    </row>
    <row r="1458" customFormat="false" ht="15" hidden="false" customHeight="false" outlineLevel="0" collapsed="false">
      <c r="B1458" s="19" t="s">
        <v>26824</v>
      </c>
      <c r="C1458" s="20" t="n">
        <f aca="false">ROUND(1.67/FX,2)</f>
        <v>0.23</v>
      </c>
      <c r="D1458" s="21" t="s">
        <v>13739</v>
      </c>
      <c r="E1458" s="21" t="s">
        <v>734</v>
      </c>
      <c r="F1458" s="21" t="s">
        <v>3011</v>
      </c>
      <c r="G1458" s="21" t="s">
        <v>11415</v>
      </c>
      <c r="H1458" s="21" t="s">
        <v>25627</v>
      </c>
    </row>
    <row r="1459" customFormat="false" ht="15" hidden="false" customHeight="false" outlineLevel="0" collapsed="false">
      <c r="B1459" s="19" t="s">
        <v>26825</v>
      </c>
      <c r="C1459" s="20" t="n">
        <f aca="false">ROUND(1.95/FX,2)</f>
        <v>0.27</v>
      </c>
      <c r="D1459" s="21" t="s">
        <v>13739</v>
      </c>
      <c r="E1459" s="21" t="s">
        <v>734</v>
      </c>
      <c r="F1459" s="21" t="s">
        <v>7396</v>
      </c>
      <c r="G1459" s="21" t="s">
        <v>11415</v>
      </c>
      <c r="H1459" s="21" t="s">
        <v>25627</v>
      </c>
    </row>
    <row r="1460" customFormat="false" ht="15" hidden="false" customHeight="false" outlineLevel="0" collapsed="false">
      <c r="B1460" s="19" t="s">
        <v>26826</v>
      </c>
      <c r="C1460" s="20" t="n">
        <f aca="false">ROUND(1.25/FX,2)</f>
        <v>0.17</v>
      </c>
      <c r="D1460" s="21" t="s">
        <v>13732</v>
      </c>
      <c r="E1460" s="21" t="s">
        <v>734</v>
      </c>
      <c r="F1460" s="21" t="s">
        <v>3061</v>
      </c>
      <c r="G1460" s="21" t="s">
        <v>11415</v>
      </c>
      <c r="H1460" s="21" t="s">
        <v>25619</v>
      </c>
    </row>
    <row r="1461" customFormat="false" ht="15" hidden="false" customHeight="false" outlineLevel="0" collapsed="false">
      <c r="B1461" s="19" t="s">
        <v>26827</v>
      </c>
      <c r="C1461" s="20" t="n">
        <f aca="false">ROUND(1.04/FX,2)</f>
        <v>0.14</v>
      </c>
      <c r="D1461" s="21" t="s">
        <v>13732</v>
      </c>
      <c r="E1461" s="21" t="s">
        <v>734</v>
      </c>
      <c r="F1461" s="21" t="s">
        <v>3061</v>
      </c>
      <c r="G1461" s="21" t="s">
        <v>11415</v>
      </c>
      <c r="H1461" s="21" t="s">
        <v>25627</v>
      </c>
    </row>
    <row r="1462" customFormat="false" ht="15" hidden="false" customHeight="false" outlineLevel="0" collapsed="false">
      <c r="B1462" s="19" t="s">
        <v>26828</v>
      </c>
      <c r="C1462" s="20" t="n">
        <f aca="false">ROUND(2.11/FX,2)</f>
        <v>0.29</v>
      </c>
      <c r="D1462" s="21" t="s">
        <v>13732</v>
      </c>
      <c r="E1462" s="21" t="s">
        <v>734</v>
      </c>
      <c r="F1462" s="21" t="s">
        <v>3111</v>
      </c>
      <c r="G1462" s="21" t="s">
        <v>11415</v>
      </c>
      <c r="H1462" s="21" t="s">
        <v>25627</v>
      </c>
    </row>
    <row r="1465" customFormat="false" ht="61.5" hidden="false" customHeight="true" outlineLevel="0" collapsed="false">
      <c r="A1465" s="9"/>
      <c r="B1465" s="10" t="s">
        <v>26829</v>
      </c>
      <c r="C1465" s="10"/>
      <c r="D1465" s="10"/>
    </row>
    <row r="1466" customFormat="false" ht="15" hidden="false" customHeight="false" outlineLevel="0" collapsed="false">
      <c r="B1466" s="18" t="s">
        <v>701</v>
      </c>
      <c r="C1466" s="18" t="s">
        <v>702</v>
      </c>
      <c r="D1466" s="18" t="s">
        <v>5610</v>
      </c>
    </row>
    <row r="1467" customFormat="false" ht="15" hidden="false" customHeight="false" outlineLevel="0" collapsed="false">
      <c r="B1467" s="19" t="s">
        <v>26830</v>
      </c>
      <c r="C1467" s="20" t="n">
        <f aca="false">ROUND(1.43/FX,2)</f>
        <v>0.2</v>
      </c>
      <c r="D1467" s="22" t="s">
        <v>5612</v>
      </c>
    </row>
    <row r="1470" customFormat="false" ht="61.5" hidden="false" customHeight="true" outlineLevel="0" collapsed="false">
      <c r="A1470" s="9"/>
      <c r="B1470" s="10" t="s">
        <v>26831</v>
      </c>
      <c r="C1470" s="10"/>
      <c r="D1470" s="10"/>
      <c r="E1470" s="10"/>
      <c r="F1470" s="10"/>
      <c r="G1470" s="10"/>
      <c r="H1470" s="10"/>
    </row>
    <row r="1471" customFormat="false" ht="15" hidden="false" customHeight="false" outlineLevel="0" collapsed="false">
      <c r="A1471" s="12" t="s">
        <v>700</v>
      </c>
      <c r="B1471" s="13" t="s">
        <v>701</v>
      </c>
      <c r="C1471" s="13" t="s">
        <v>702</v>
      </c>
      <c r="D1471" s="13" t="s">
        <v>722</v>
      </c>
      <c r="E1471" s="13" t="s">
        <v>704</v>
      </c>
      <c r="F1471" s="13" t="s">
        <v>705</v>
      </c>
      <c r="G1471" s="13" t="s">
        <v>11716</v>
      </c>
      <c r="H1471" s="13" t="s">
        <v>13701</v>
      </c>
    </row>
    <row r="1472" customFormat="false" ht="30" hidden="false" customHeight="true" outlineLevel="0" collapsed="false">
      <c r="A1472" s="14" t="s">
        <v>706</v>
      </c>
      <c r="B1472" s="15" t="str">
        <f aca="false">IF(COUNTIFS($D$1475:$D$1500,IF(D1472="","*",D1472),$E$1475:$E$1500,IF(E1472="","*",E1472),$F$1475:$F$1500,IF(F1472="","*",F1472),$G$1475:$G$1500,IF(G1472="","*",G1472),$H$1475:$H$1500,IF(H1472="","*",H1472))=1,INDEX($B:$B,SUMPRODUCT(((D1472="")+($D$1475:$D$1500=D1472)&gt;0)*((E1472="")+($E$1475:$E$1500=E1472)&gt;0)*((F1472="")+($F$1475:$F$1500=F1472)&gt;0)*((G1472="")+($G$1475:$G$1500=G1472)&gt;0)*((H1472="")+($H$1475:$H$1500=H1472)&gt;0)*ROW($B$1475:$B$1500))),IF(COUNTIFS($D$1475:$D$1500,IF(D1472="","*",D1472),$E$1475:$E$1500,IF(E1472="","*",E1472),$F$1475:$F$1500,IF(F1472="","*",F1472),$G$1475:$G$1500,IF(G1472="","*",G1472),$H$1475:$H$1500,IF(H1472="","*",H1472))=0,"Not available",COUNTIFS($D$1475:$D$1500,IF(D1472="","*",D1472),$E$1475:$E$1500,IF(E1472="","*",E1472),$F$1475:$F$1500,IF(F1472="","*",F1472),$G$1475:$G$1500,IF(G1472="","*",G1472),$H$1475:$H$1500,IF(H1472="","*",H1472))&amp;" match, keep choosing"))</f>
        <v>D7991-G109-M5x16-P5</v>
      </c>
      <c r="C1472" s="16" t="n">
        <f aca="false">IF(COUNTIFS($D$1475:$D$1500,IF(D1472="","*",D1472),$E$1475:$E$1500,IF(E1472="","*",E1472),$F$1475:$F$1500,IF(F1472="","*",F1472),$G$1475:$G$1500,IF(G1472="","*",G1472),$H$1475:$H$1500,IF(H1472="","*",H1472))=1,INDEX($C:$C,SUMPRODUCT(((D1472="")+($D$1475:$D$1500=D1472)&gt;0)*((E1472="")+($E$1475:$E$1500=E1472)&gt;0)*((F1472="")+($F$1475:$F$1500=F1472)&gt;0)*((G1472="")+($G$1475:$G$1500=G1472)&gt;0)*((H1472="")+($H$1475:$H$1500=H1472)&gt;0)*ROW($B$1475:$B$1500))),"")</f>
        <v>0.02</v>
      </c>
      <c r="D1472" s="17" t="s">
        <v>8668</v>
      </c>
      <c r="E1472" s="17" t="s">
        <v>26832</v>
      </c>
      <c r="F1472" s="17" t="s">
        <v>13743</v>
      </c>
      <c r="G1472" s="17" t="s">
        <v>3833</v>
      </c>
      <c r="H1472" s="17" t="s">
        <v>11411</v>
      </c>
    </row>
    <row r="1474" customFormat="false" ht="15" hidden="false" customHeight="false" outlineLevel="0" collapsed="false">
      <c r="B1474" s="18" t="s">
        <v>701</v>
      </c>
      <c r="C1474" s="18" t="s">
        <v>702</v>
      </c>
      <c r="D1474" s="18" t="s">
        <v>722</v>
      </c>
      <c r="E1474" s="18" t="s">
        <v>704</v>
      </c>
      <c r="F1474" s="18" t="s">
        <v>705</v>
      </c>
      <c r="G1474" s="18" t="s">
        <v>11716</v>
      </c>
      <c r="H1474" s="18" t="s">
        <v>13701</v>
      </c>
    </row>
    <row r="1475" customFormat="false" ht="28.35" hidden="false" customHeight="false" outlineLevel="0" collapsed="false">
      <c r="B1475" s="19" t="s">
        <v>26833</v>
      </c>
      <c r="C1475" s="20" t="n">
        <f aca="false">ROUND(0.17/FX,2)</f>
        <v>0.02</v>
      </c>
      <c r="D1475" s="21" t="s">
        <v>8668</v>
      </c>
      <c r="E1475" s="21" t="s">
        <v>26832</v>
      </c>
      <c r="F1475" s="21" t="s">
        <v>13743</v>
      </c>
      <c r="G1475" s="21" t="s">
        <v>3833</v>
      </c>
      <c r="H1475" s="21" t="s">
        <v>11411</v>
      </c>
    </row>
    <row r="1476" customFormat="false" ht="28.35" hidden="false" customHeight="false" outlineLevel="0" collapsed="false">
      <c r="B1476" s="19" t="s">
        <v>26834</v>
      </c>
      <c r="C1476" s="20" t="n">
        <f aca="false">ROUND(0.19/FX,2)</f>
        <v>0.03</v>
      </c>
      <c r="D1476" s="21" t="s">
        <v>8668</v>
      </c>
      <c r="E1476" s="21" t="s">
        <v>26832</v>
      </c>
      <c r="F1476" s="21" t="s">
        <v>13739</v>
      </c>
      <c r="G1476" s="21" t="s">
        <v>3247</v>
      </c>
      <c r="H1476" s="21" t="s">
        <v>11415</v>
      </c>
    </row>
    <row r="1477" customFormat="false" ht="28.35" hidden="false" customHeight="false" outlineLevel="0" collapsed="false">
      <c r="B1477" s="19" t="s">
        <v>26835</v>
      </c>
      <c r="C1477" s="20" t="n">
        <f aca="false">ROUND(1.1/FX,2)</f>
        <v>0.15</v>
      </c>
      <c r="D1477" s="21" t="s">
        <v>8668</v>
      </c>
      <c r="E1477" s="21" t="s">
        <v>26832</v>
      </c>
      <c r="F1477" s="21" t="s">
        <v>14007</v>
      </c>
      <c r="G1477" s="21" t="s">
        <v>3317</v>
      </c>
      <c r="H1477" s="21" t="s">
        <v>11415</v>
      </c>
    </row>
    <row r="1478" customFormat="false" ht="15" hidden="false" customHeight="false" outlineLevel="0" collapsed="false">
      <c r="B1478" s="19" t="s">
        <v>26836</v>
      </c>
      <c r="C1478" s="20" t="n">
        <f aca="false">ROUND(0.22/FX,2)</f>
        <v>0.03</v>
      </c>
      <c r="D1478" s="21" t="s">
        <v>8668</v>
      </c>
      <c r="E1478" s="21" t="s">
        <v>8669</v>
      </c>
      <c r="F1478" s="21" t="s">
        <v>13997</v>
      </c>
      <c r="G1478" s="21" t="s">
        <v>707</v>
      </c>
      <c r="H1478" s="21" t="s">
        <v>11407</v>
      </c>
    </row>
    <row r="1479" customFormat="false" ht="15" hidden="false" customHeight="false" outlineLevel="0" collapsed="false">
      <c r="B1479" s="19" t="s">
        <v>26837</v>
      </c>
      <c r="C1479" s="20" t="n">
        <f aca="false">ROUND(1.04/FX,2)</f>
        <v>0.14</v>
      </c>
      <c r="D1479" s="21" t="s">
        <v>724</v>
      </c>
      <c r="E1479" s="21" t="s">
        <v>8669</v>
      </c>
      <c r="F1479" s="21" t="s">
        <v>13981</v>
      </c>
      <c r="G1479" s="21" t="s">
        <v>4000</v>
      </c>
      <c r="H1479" s="21" t="s">
        <v>11407</v>
      </c>
    </row>
    <row r="1480" customFormat="false" ht="15" hidden="false" customHeight="false" outlineLevel="0" collapsed="false">
      <c r="B1480" s="19" t="s">
        <v>26838</v>
      </c>
      <c r="C1480" s="20" t="n">
        <f aca="false">ROUND(1.04/FX,2)</f>
        <v>0.14</v>
      </c>
      <c r="D1480" s="21" t="s">
        <v>8668</v>
      </c>
      <c r="E1480" s="21" t="s">
        <v>8669</v>
      </c>
      <c r="F1480" s="21" t="s">
        <v>21725</v>
      </c>
      <c r="G1480" s="21" t="s">
        <v>847</v>
      </c>
      <c r="H1480" s="21" t="s">
        <v>11407</v>
      </c>
    </row>
    <row r="1481" customFormat="false" ht="15" hidden="false" customHeight="false" outlineLevel="0" collapsed="false">
      <c r="B1481" s="19" t="s">
        <v>26839</v>
      </c>
      <c r="C1481" s="20" t="n">
        <f aca="false">ROUND(1/FX,2)</f>
        <v>0.14</v>
      </c>
      <c r="D1481" s="21" t="s">
        <v>8668</v>
      </c>
      <c r="E1481" s="21" t="s">
        <v>8669</v>
      </c>
      <c r="F1481" s="21" t="s">
        <v>24231</v>
      </c>
      <c r="G1481" s="21" t="s">
        <v>707</v>
      </c>
      <c r="H1481" s="21" t="s">
        <v>11409</v>
      </c>
    </row>
    <row r="1482" customFormat="false" ht="15" hidden="false" customHeight="false" outlineLevel="0" collapsed="false">
      <c r="B1482" s="19" t="s">
        <v>26840</v>
      </c>
      <c r="C1482" s="20" t="n">
        <f aca="false">ROUND(1.01/FX,2)</f>
        <v>0.14</v>
      </c>
      <c r="D1482" s="21" t="s">
        <v>724</v>
      </c>
      <c r="E1482" s="21" t="s">
        <v>8669</v>
      </c>
      <c r="F1482" s="21" t="s">
        <v>13978</v>
      </c>
      <c r="G1482" s="21" t="s">
        <v>761</v>
      </c>
      <c r="H1482" s="21" t="s">
        <v>11409</v>
      </c>
    </row>
    <row r="1483" customFormat="false" ht="15" hidden="false" customHeight="false" outlineLevel="0" collapsed="false">
      <c r="B1483" s="19" t="s">
        <v>26841</v>
      </c>
      <c r="C1483" s="20" t="n">
        <f aca="false">ROUND(0.91/FX,2)</f>
        <v>0.13</v>
      </c>
      <c r="D1483" s="21" t="s">
        <v>8668</v>
      </c>
      <c r="E1483" s="21" t="s">
        <v>8669</v>
      </c>
      <c r="F1483" s="21" t="s">
        <v>13974</v>
      </c>
      <c r="G1483" s="21" t="s">
        <v>761</v>
      </c>
      <c r="H1483" s="21" t="s">
        <v>11409</v>
      </c>
    </row>
    <row r="1484" customFormat="false" ht="15" hidden="false" customHeight="false" outlineLevel="0" collapsed="false">
      <c r="B1484" s="19" t="s">
        <v>26842</v>
      </c>
      <c r="C1484" s="20" t="n">
        <f aca="false">ROUND(3.64/FX,2)</f>
        <v>0.51</v>
      </c>
      <c r="D1484" s="21" t="s">
        <v>8668</v>
      </c>
      <c r="E1484" s="21" t="s">
        <v>8669</v>
      </c>
      <c r="F1484" s="21" t="s">
        <v>21725</v>
      </c>
      <c r="G1484" s="21" t="s">
        <v>3247</v>
      </c>
      <c r="H1484" s="21" t="s">
        <v>11409</v>
      </c>
    </row>
    <row r="1485" customFormat="false" ht="15" hidden="false" customHeight="false" outlineLevel="0" collapsed="false">
      <c r="B1485" s="19" t="s">
        <v>26843</v>
      </c>
      <c r="C1485" s="20" t="n">
        <f aca="false">ROUND(0.6/FX,2)</f>
        <v>0.08</v>
      </c>
      <c r="D1485" s="21" t="s">
        <v>8668</v>
      </c>
      <c r="E1485" s="21" t="s">
        <v>8669</v>
      </c>
      <c r="F1485" s="21" t="s">
        <v>13997</v>
      </c>
      <c r="G1485" s="21" t="s">
        <v>707</v>
      </c>
      <c r="H1485" s="21" t="s">
        <v>11411</v>
      </c>
    </row>
    <row r="1486" customFormat="false" ht="15" hidden="false" customHeight="false" outlineLevel="0" collapsed="false">
      <c r="B1486" s="19" t="s">
        <v>26844</v>
      </c>
      <c r="C1486" s="20" t="n">
        <f aca="false">ROUND(1.02/FX,2)</f>
        <v>0.14</v>
      </c>
      <c r="D1486" s="21" t="s">
        <v>8668</v>
      </c>
      <c r="E1486" s="21" t="s">
        <v>8669</v>
      </c>
      <c r="F1486" s="21" t="s">
        <v>25462</v>
      </c>
      <c r="G1486" s="21" t="s">
        <v>761</v>
      </c>
      <c r="H1486" s="21" t="s">
        <v>11411</v>
      </c>
    </row>
    <row r="1487" customFormat="false" ht="15" hidden="false" customHeight="false" outlineLevel="0" collapsed="false">
      <c r="B1487" s="19" t="s">
        <v>26845</v>
      </c>
      <c r="C1487" s="20" t="n">
        <f aca="false">ROUND(1.01/FX,2)</f>
        <v>0.14</v>
      </c>
      <c r="D1487" s="21" t="s">
        <v>8668</v>
      </c>
      <c r="E1487" s="21" t="s">
        <v>8669</v>
      </c>
      <c r="F1487" s="21" t="s">
        <v>13978</v>
      </c>
      <c r="G1487" s="21" t="s">
        <v>4721</v>
      </c>
      <c r="H1487" s="21" t="s">
        <v>11411</v>
      </c>
    </row>
    <row r="1488" customFormat="false" ht="15" hidden="false" customHeight="false" outlineLevel="0" collapsed="false">
      <c r="B1488" s="19" t="s">
        <v>26846</v>
      </c>
      <c r="C1488" s="20" t="n">
        <f aca="false">ROUND(0.91/FX,2)</f>
        <v>0.13</v>
      </c>
      <c r="D1488" s="21" t="s">
        <v>8668</v>
      </c>
      <c r="E1488" s="21" t="s">
        <v>8669</v>
      </c>
      <c r="F1488" s="21" t="s">
        <v>13997</v>
      </c>
      <c r="G1488" s="21" t="s">
        <v>714</v>
      </c>
      <c r="H1488" s="21" t="s">
        <v>11411</v>
      </c>
    </row>
    <row r="1489" customFormat="false" ht="15" hidden="false" customHeight="false" outlineLevel="0" collapsed="false">
      <c r="B1489" s="19" t="s">
        <v>26847</v>
      </c>
      <c r="C1489" s="20" t="n">
        <f aca="false">ROUND(1.01/FX,2)</f>
        <v>0.14</v>
      </c>
      <c r="D1489" s="21" t="s">
        <v>8668</v>
      </c>
      <c r="E1489" s="21" t="s">
        <v>8669</v>
      </c>
      <c r="F1489" s="21" t="s">
        <v>21722</v>
      </c>
      <c r="G1489" s="21" t="s">
        <v>3833</v>
      </c>
      <c r="H1489" s="21" t="s">
        <v>11411</v>
      </c>
    </row>
    <row r="1490" customFormat="false" ht="15" hidden="false" customHeight="false" outlineLevel="0" collapsed="false">
      <c r="B1490" s="19" t="s">
        <v>26848</v>
      </c>
      <c r="C1490" s="20" t="n">
        <f aca="false">ROUND(1.04/FX,2)</f>
        <v>0.14</v>
      </c>
      <c r="D1490" s="21" t="s">
        <v>8668</v>
      </c>
      <c r="E1490" s="21" t="s">
        <v>8669</v>
      </c>
      <c r="F1490" s="21" t="s">
        <v>14056</v>
      </c>
      <c r="G1490" s="21" t="s">
        <v>784</v>
      </c>
      <c r="H1490" s="21" t="s">
        <v>11411</v>
      </c>
    </row>
    <row r="1491" customFormat="false" ht="15" hidden="false" customHeight="false" outlineLevel="0" collapsed="false">
      <c r="B1491" s="19" t="s">
        <v>26849</v>
      </c>
      <c r="C1491" s="20" t="n">
        <f aca="false">ROUND(1.01/FX,2)</f>
        <v>0.14</v>
      </c>
      <c r="D1491" s="21" t="s">
        <v>8668</v>
      </c>
      <c r="E1491" s="21" t="s">
        <v>8669</v>
      </c>
      <c r="F1491" s="21" t="s">
        <v>13743</v>
      </c>
      <c r="G1491" s="21" t="s">
        <v>2911</v>
      </c>
      <c r="H1491" s="21" t="s">
        <v>11411</v>
      </c>
    </row>
    <row r="1492" customFormat="false" ht="15" hidden="false" customHeight="false" outlineLevel="0" collapsed="false">
      <c r="B1492" s="19" t="s">
        <v>26850</v>
      </c>
      <c r="C1492" s="20" t="n">
        <f aca="false">ROUND(1/FX,2)</f>
        <v>0.14</v>
      </c>
      <c r="D1492" s="21" t="s">
        <v>8668</v>
      </c>
      <c r="E1492" s="21" t="s">
        <v>8669</v>
      </c>
      <c r="F1492" s="21" t="s">
        <v>25462</v>
      </c>
      <c r="G1492" s="21" t="s">
        <v>716</v>
      </c>
      <c r="H1492" s="21" t="s">
        <v>11411</v>
      </c>
    </row>
    <row r="1493" customFormat="false" ht="15" hidden="false" customHeight="false" outlineLevel="0" collapsed="false">
      <c r="B1493" s="19" t="s">
        <v>26851</v>
      </c>
      <c r="C1493" s="20" t="n">
        <f aca="false">ROUND(1.09/FX,2)</f>
        <v>0.15</v>
      </c>
      <c r="D1493" s="21" t="s">
        <v>8668</v>
      </c>
      <c r="E1493" s="21" t="s">
        <v>8669</v>
      </c>
      <c r="F1493" s="21" t="s">
        <v>14013</v>
      </c>
      <c r="G1493" s="21" t="s">
        <v>2961</v>
      </c>
      <c r="H1493" s="21" t="s">
        <v>11411</v>
      </c>
    </row>
    <row r="1494" customFormat="false" ht="15" hidden="false" customHeight="false" outlineLevel="0" collapsed="false">
      <c r="B1494" s="19" t="s">
        <v>26852</v>
      </c>
      <c r="C1494" s="20" t="n">
        <f aca="false">ROUND(1.04/FX,2)</f>
        <v>0.14</v>
      </c>
      <c r="D1494" s="21" t="s">
        <v>8668</v>
      </c>
      <c r="E1494" s="21" t="s">
        <v>8669</v>
      </c>
      <c r="F1494" s="21" t="s">
        <v>25459</v>
      </c>
      <c r="G1494" s="21" t="s">
        <v>847</v>
      </c>
      <c r="H1494" s="21" t="s">
        <v>11411</v>
      </c>
    </row>
    <row r="1495" customFormat="false" ht="15" hidden="false" customHeight="false" outlineLevel="0" collapsed="false">
      <c r="B1495" s="19" t="s">
        <v>26853</v>
      </c>
      <c r="C1495" s="20" t="n">
        <f aca="false">ROUND(1.09/FX,2)</f>
        <v>0.15</v>
      </c>
      <c r="D1495" s="21" t="s">
        <v>8668</v>
      </c>
      <c r="E1495" s="21" t="s">
        <v>8669</v>
      </c>
      <c r="F1495" s="21" t="s">
        <v>13988</v>
      </c>
      <c r="G1495" s="21" t="s">
        <v>707</v>
      </c>
      <c r="H1495" s="21" t="s">
        <v>11413</v>
      </c>
    </row>
    <row r="1496" customFormat="false" ht="15" hidden="false" customHeight="false" outlineLevel="0" collapsed="false">
      <c r="B1496" s="19" t="s">
        <v>26854</v>
      </c>
      <c r="C1496" s="20" t="n">
        <f aca="false">ROUND(1.09/FX,2)</f>
        <v>0.15</v>
      </c>
      <c r="D1496" s="21" t="s">
        <v>8668</v>
      </c>
      <c r="E1496" s="21" t="s">
        <v>8669</v>
      </c>
      <c r="F1496" s="21" t="s">
        <v>13988</v>
      </c>
      <c r="G1496" s="21" t="s">
        <v>761</v>
      </c>
      <c r="H1496" s="21" t="s">
        <v>11413</v>
      </c>
    </row>
    <row r="1497" customFormat="false" ht="15" hidden="false" customHeight="false" outlineLevel="0" collapsed="false">
      <c r="B1497" s="19" t="s">
        <v>26855</v>
      </c>
      <c r="C1497" s="20" t="n">
        <f aca="false">ROUND(9.49/FX,2)</f>
        <v>1.32</v>
      </c>
      <c r="D1497" s="21" t="s">
        <v>8668</v>
      </c>
      <c r="E1497" s="21" t="s">
        <v>8669</v>
      </c>
      <c r="F1497" s="21" t="s">
        <v>23567</v>
      </c>
      <c r="G1497" s="21" t="s">
        <v>3833</v>
      </c>
      <c r="H1497" s="21" t="s">
        <v>11413</v>
      </c>
    </row>
    <row r="1498" customFormat="false" ht="15" hidden="false" customHeight="false" outlineLevel="0" collapsed="false">
      <c r="B1498" s="19" t="s">
        <v>26856</v>
      </c>
      <c r="C1498" s="20" t="n">
        <f aca="false">ROUND(5.59/FX,2)</f>
        <v>0.78</v>
      </c>
      <c r="D1498" s="21" t="s">
        <v>8668</v>
      </c>
      <c r="E1498" s="21" t="s">
        <v>8669</v>
      </c>
      <c r="F1498" s="21" t="s">
        <v>21725</v>
      </c>
      <c r="G1498" s="21" t="s">
        <v>3247</v>
      </c>
      <c r="H1498" s="21" t="s">
        <v>11413</v>
      </c>
    </row>
    <row r="1499" customFormat="false" ht="15" hidden="false" customHeight="false" outlineLevel="0" collapsed="false">
      <c r="B1499" s="19" t="s">
        <v>26857</v>
      </c>
      <c r="C1499" s="20" t="n">
        <f aca="false">ROUND(7.43/FX,2)</f>
        <v>1.03</v>
      </c>
      <c r="D1499" s="21" t="s">
        <v>8668</v>
      </c>
      <c r="E1499" s="21" t="s">
        <v>8669</v>
      </c>
      <c r="F1499" s="21" t="s">
        <v>21725</v>
      </c>
      <c r="G1499" s="21" t="s">
        <v>784</v>
      </c>
      <c r="H1499" s="21" t="s">
        <v>11413</v>
      </c>
    </row>
    <row r="1500" customFormat="false" ht="15" hidden="false" customHeight="false" outlineLevel="0" collapsed="false">
      <c r="B1500" s="19" t="s">
        <v>26858</v>
      </c>
      <c r="C1500" s="20" t="n">
        <f aca="false">ROUND(1.14/FX,2)</f>
        <v>0.16</v>
      </c>
      <c r="D1500" s="21" t="s">
        <v>8668</v>
      </c>
      <c r="E1500" s="21" t="s">
        <v>8669</v>
      </c>
      <c r="F1500" s="21" t="s">
        <v>13743</v>
      </c>
      <c r="G1500" s="21" t="s">
        <v>3833</v>
      </c>
      <c r="H1500" s="21" t="s">
        <v>11415</v>
      </c>
    </row>
    <row r="1503" customFormat="false" ht="61.5" hidden="false" customHeight="true" outlineLevel="0" collapsed="false">
      <c r="A1503" s="9"/>
      <c r="B1503" s="10" t="s">
        <v>26859</v>
      </c>
      <c r="C1503" s="10"/>
      <c r="D1503" s="10"/>
      <c r="E1503" s="10"/>
      <c r="F1503" s="10"/>
      <c r="G1503" s="10"/>
      <c r="H1503" s="10"/>
      <c r="I1503" s="10"/>
    </row>
    <row r="1504" customFormat="false" ht="15" hidden="false" customHeight="false" outlineLevel="0" collapsed="false">
      <c r="A1504" s="12" t="s">
        <v>700</v>
      </c>
      <c r="B1504" s="13" t="s">
        <v>701</v>
      </c>
      <c r="C1504" s="13" t="s">
        <v>702</v>
      </c>
      <c r="D1504" s="13" t="s">
        <v>722</v>
      </c>
      <c r="E1504" s="13" t="s">
        <v>723</v>
      </c>
      <c r="F1504" s="13" t="s">
        <v>6328</v>
      </c>
      <c r="G1504" s="13" t="s">
        <v>11716</v>
      </c>
      <c r="H1504" s="13" t="s">
        <v>13701</v>
      </c>
      <c r="I1504" s="13" t="s">
        <v>26860</v>
      </c>
    </row>
    <row r="1505" customFormat="false" ht="30" hidden="false" customHeight="true" outlineLevel="0" collapsed="false">
      <c r="A1505" s="14" t="s">
        <v>706</v>
      </c>
      <c r="B1505" s="15" t="str">
        <f aca="false">IF(COUNTIFS($D$1508:$D$1988,IF(D1505="","*",D1505),$E$1508:$E$1988,IF(E1505="","*",E1505),$F$1508:$F$1988,IF(F1505="","*",F1505),$G$1508:$G$1988,IF(G1505="","*",G1505),$H$1508:$H$1988,IF(H1505="","*",H1505),$I$1508:$I$1988,IF(I1505="","*",I1505))=1,INDEX($B:$B,SUMPRODUCT(((D1505="")+($D$1508:$D$1988=D1505)&gt;0)*((E1505="")+($E$1508:$E$1988=E1505)&gt;0)*((F1505="")+($F$1508:$F$1988=F1505)&gt;0)*((G1505="")+($G$1508:$G$1988=G1505)&gt;0)*((H1505="")+($H$1508:$H$1988=H1505)&gt;0)*((I1505="")+($I$1508:$I$1988=I1505)&gt;0)*ROW($B$1508:$B$1988))),IF(COUNTIFS($D$1508:$D$1988,IF(D1505="","*",D1505),$E$1508:$E$1988,IF(E1505="","*",E1505),$F$1508:$F$1988,IF(F1505="","*",F1505),$G$1508:$G$1988,IF(G1505="","*",G1505),$H$1508:$H$1988,IF(H1505="","*",H1505),$I$1508:$I$1988,IF(I1505="","*",I1505))=0,"Not available",COUNTIFS($D$1508:$D$1988,IF(D1505="","*",D1505),$E$1508:$E$1988,IF(E1505="","*",E1505),$F$1508:$F$1988,IF(F1505="","*",F1505),$G$1508:$G$1988,IF(G1505="","*",G1505),$H$1508:$H$1988,IF(H1505="","*",H1505),$I$1508:$I$1988,IF(I1505="","*",I1505))&amp;" match, keep choosing"))</f>
        <v>TL-L-CS-BK-M3x10</v>
      </c>
      <c r="C1505" s="16" t="n">
        <f aca="false">IF(COUNTIFS($D$1508:$D$1988,IF(D1505="","*",D1505),$E$1508:$E$1988,IF(E1505="","*",E1505),$F$1508:$F$1988,IF(F1505="","*",F1505),$G$1508:$G$1988,IF(G1505="","*",G1505),$H$1508:$H$1988,IF(H1505="","*",H1505),$I$1508:$I$1988,IF(I1505="","*",I1505))=1,INDEX($C:$C,SUMPRODUCT(((D1505="")+($D$1508:$D$1988=D1505)&gt;0)*((E1505="")+($E$1508:$E$1988=E1505)&gt;0)*((F1505="")+($F$1508:$F$1988=F1505)&gt;0)*((G1505="")+($G$1508:$G$1988=G1505)&gt;0)*((H1505="")+($H$1508:$H$1988=H1505)&gt;0)*((I1505="")+($I$1508:$I$1988=I1505)&gt;0)*ROW($B$1508:$B$1988))),"")</f>
        <v>0.53</v>
      </c>
      <c r="D1505" s="17" t="s">
        <v>724</v>
      </c>
      <c r="E1505" s="17" t="s">
        <v>734</v>
      </c>
      <c r="F1505" s="17" t="s">
        <v>26861</v>
      </c>
      <c r="G1505" s="17" t="s">
        <v>707</v>
      </c>
      <c r="H1505" s="17" t="s">
        <v>11407</v>
      </c>
      <c r="I1505" s="17" t="s">
        <v>10100</v>
      </c>
    </row>
    <row r="1507" customFormat="false" ht="15" hidden="false" customHeight="false" outlineLevel="0" collapsed="false">
      <c r="B1507" s="18" t="s">
        <v>701</v>
      </c>
      <c r="C1507" s="18" t="s">
        <v>702</v>
      </c>
      <c r="D1507" s="18" t="s">
        <v>722</v>
      </c>
      <c r="E1507" s="18" t="s">
        <v>723</v>
      </c>
      <c r="F1507" s="18" t="s">
        <v>6328</v>
      </c>
      <c r="G1507" s="18" t="s">
        <v>11716</v>
      </c>
      <c r="H1507" s="18" t="s">
        <v>13701</v>
      </c>
      <c r="I1507" s="18" t="s">
        <v>26860</v>
      </c>
    </row>
    <row r="1508" customFormat="false" ht="15" hidden="false" customHeight="false" outlineLevel="0" collapsed="false">
      <c r="B1508" s="19" t="s">
        <v>26862</v>
      </c>
      <c r="C1508" s="20" t="n">
        <f aca="false">ROUND(3.84/FX,2)</f>
        <v>0.53</v>
      </c>
      <c r="D1508" s="21" t="s">
        <v>724</v>
      </c>
      <c r="E1508" s="21" t="s">
        <v>734</v>
      </c>
      <c r="F1508" s="21" t="s">
        <v>26861</v>
      </c>
      <c r="G1508" s="21" t="s">
        <v>707</v>
      </c>
      <c r="H1508" s="21" t="s">
        <v>11407</v>
      </c>
      <c r="I1508" s="21" t="s">
        <v>10100</v>
      </c>
    </row>
    <row r="1509" customFormat="false" ht="15" hidden="false" customHeight="false" outlineLevel="0" collapsed="false">
      <c r="B1509" s="19" t="s">
        <v>26863</v>
      </c>
      <c r="C1509" s="20" t="n">
        <f aca="false">ROUND(3.88/FX,2)</f>
        <v>0.54</v>
      </c>
      <c r="D1509" s="21" t="s">
        <v>724</v>
      </c>
      <c r="E1509" s="21" t="s">
        <v>734</v>
      </c>
      <c r="F1509" s="21" t="s">
        <v>26861</v>
      </c>
      <c r="G1509" s="21" t="s">
        <v>714</v>
      </c>
      <c r="H1509" s="21" t="s">
        <v>11407</v>
      </c>
      <c r="I1509" s="21" t="s">
        <v>10100</v>
      </c>
    </row>
    <row r="1510" customFormat="false" ht="15" hidden="false" customHeight="false" outlineLevel="0" collapsed="false">
      <c r="B1510" s="19" t="s">
        <v>26864</v>
      </c>
      <c r="C1510" s="20" t="n">
        <f aca="false">ROUND(3.88/FX,2)</f>
        <v>0.54</v>
      </c>
      <c r="D1510" s="21" t="s">
        <v>724</v>
      </c>
      <c r="E1510" s="21" t="s">
        <v>734</v>
      </c>
      <c r="F1510" s="21" t="s">
        <v>26861</v>
      </c>
      <c r="G1510" s="21" t="s">
        <v>3247</v>
      </c>
      <c r="H1510" s="21" t="s">
        <v>11407</v>
      </c>
      <c r="I1510" s="21" t="s">
        <v>10100</v>
      </c>
    </row>
    <row r="1511" customFormat="false" ht="15" hidden="false" customHeight="false" outlineLevel="0" collapsed="false">
      <c r="B1511" s="19" t="s">
        <v>26865</v>
      </c>
      <c r="C1511" s="20" t="n">
        <f aca="false">ROUND(3.77/FX,2)</f>
        <v>0.52</v>
      </c>
      <c r="D1511" s="21" t="s">
        <v>724</v>
      </c>
      <c r="E1511" s="21" t="s">
        <v>734</v>
      </c>
      <c r="F1511" s="21" t="s">
        <v>26861</v>
      </c>
      <c r="G1511" s="21" t="s">
        <v>707</v>
      </c>
      <c r="H1511" s="21" t="s">
        <v>11409</v>
      </c>
      <c r="I1511" s="21" t="s">
        <v>10100</v>
      </c>
    </row>
    <row r="1512" customFormat="false" ht="15" hidden="false" customHeight="false" outlineLevel="0" collapsed="false">
      <c r="B1512" s="19" t="s">
        <v>26866</v>
      </c>
      <c r="C1512" s="20" t="n">
        <f aca="false">ROUND(3.77/FX,2)</f>
        <v>0.52</v>
      </c>
      <c r="D1512" s="21" t="s">
        <v>724</v>
      </c>
      <c r="E1512" s="21" t="s">
        <v>734</v>
      </c>
      <c r="F1512" s="21" t="s">
        <v>26861</v>
      </c>
      <c r="G1512" s="21" t="s">
        <v>761</v>
      </c>
      <c r="H1512" s="21" t="s">
        <v>11409</v>
      </c>
      <c r="I1512" s="21" t="s">
        <v>10100</v>
      </c>
    </row>
    <row r="1513" customFormat="false" ht="15" hidden="false" customHeight="false" outlineLevel="0" collapsed="false">
      <c r="B1513" s="19" t="s">
        <v>26867</v>
      </c>
      <c r="C1513" s="20" t="n">
        <f aca="false">ROUND(3.79/FX,2)</f>
        <v>0.53</v>
      </c>
      <c r="D1513" s="21" t="s">
        <v>724</v>
      </c>
      <c r="E1513" s="21" t="s">
        <v>734</v>
      </c>
      <c r="F1513" s="21" t="s">
        <v>26861</v>
      </c>
      <c r="G1513" s="21" t="s">
        <v>714</v>
      </c>
      <c r="H1513" s="21" t="s">
        <v>11409</v>
      </c>
      <c r="I1513" s="21" t="s">
        <v>10100</v>
      </c>
    </row>
    <row r="1514" customFormat="false" ht="15" hidden="false" customHeight="false" outlineLevel="0" collapsed="false">
      <c r="B1514" s="19" t="s">
        <v>26868</v>
      </c>
      <c r="C1514" s="20" t="n">
        <f aca="false">ROUND(3.8/FX,2)</f>
        <v>0.53</v>
      </c>
      <c r="D1514" s="21" t="s">
        <v>724</v>
      </c>
      <c r="E1514" s="21" t="s">
        <v>734</v>
      </c>
      <c r="F1514" s="21" t="s">
        <v>26861</v>
      </c>
      <c r="G1514" s="21" t="s">
        <v>5492</v>
      </c>
      <c r="H1514" s="21" t="s">
        <v>11409</v>
      </c>
      <c r="I1514" s="21" t="s">
        <v>10100</v>
      </c>
    </row>
    <row r="1515" customFormat="false" ht="15" hidden="false" customHeight="false" outlineLevel="0" collapsed="false">
      <c r="B1515" s="19" t="s">
        <v>26869</v>
      </c>
      <c r="C1515" s="20" t="n">
        <f aca="false">ROUND(3.88/FX,2)</f>
        <v>0.54</v>
      </c>
      <c r="D1515" s="21" t="s">
        <v>724</v>
      </c>
      <c r="E1515" s="21" t="s">
        <v>734</v>
      </c>
      <c r="F1515" s="21" t="s">
        <v>26861</v>
      </c>
      <c r="G1515" s="21" t="s">
        <v>3247</v>
      </c>
      <c r="H1515" s="21" t="s">
        <v>11409</v>
      </c>
      <c r="I1515" s="21" t="s">
        <v>10100</v>
      </c>
    </row>
    <row r="1516" customFormat="false" ht="15" hidden="false" customHeight="false" outlineLevel="0" collapsed="false">
      <c r="B1516" s="19" t="s">
        <v>26870</v>
      </c>
      <c r="C1516" s="20" t="n">
        <f aca="false">ROUND(3.76/FX,2)</f>
        <v>0.52</v>
      </c>
      <c r="D1516" s="21" t="s">
        <v>724</v>
      </c>
      <c r="E1516" s="21" t="s">
        <v>734</v>
      </c>
      <c r="F1516" s="21" t="s">
        <v>26861</v>
      </c>
      <c r="G1516" s="21" t="s">
        <v>789</v>
      </c>
      <c r="H1516" s="21" t="s">
        <v>11409</v>
      </c>
      <c r="I1516" s="21" t="s">
        <v>10100</v>
      </c>
    </row>
    <row r="1517" customFormat="false" ht="15" hidden="false" customHeight="false" outlineLevel="0" collapsed="false">
      <c r="B1517" s="19" t="s">
        <v>26871</v>
      </c>
      <c r="C1517" s="20" t="n">
        <f aca="false">ROUND(3.77/FX,2)</f>
        <v>0.52</v>
      </c>
      <c r="D1517" s="21" t="s">
        <v>724</v>
      </c>
      <c r="E1517" s="21" t="s">
        <v>734</v>
      </c>
      <c r="F1517" s="21" t="s">
        <v>26861</v>
      </c>
      <c r="G1517" s="21" t="s">
        <v>707</v>
      </c>
      <c r="H1517" s="21" t="s">
        <v>11411</v>
      </c>
      <c r="I1517" s="21" t="s">
        <v>10100</v>
      </c>
    </row>
    <row r="1518" customFormat="false" ht="15" hidden="false" customHeight="false" outlineLevel="0" collapsed="false">
      <c r="B1518" s="19" t="s">
        <v>26872</v>
      </c>
      <c r="C1518" s="20" t="n">
        <f aca="false">ROUND(3.77/FX,2)</f>
        <v>0.52</v>
      </c>
      <c r="D1518" s="21" t="s">
        <v>724</v>
      </c>
      <c r="E1518" s="21" t="s">
        <v>734</v>
      </c>
      <c r="F1518" s="21" t="s">
        <v>26861</v>
      </c>
      <c r="G1518" s="21" t="s">
        <v>761</v>
      </c>
      <c r="H1518" s="21" t="s">
        <v>11411</v>
      </c>
      <c r="I1518" s="21" t="s">
        <v>10100</v>
      </c>
    </row>
    <row r="1519" customFormat="false" ht="15" hidden="false" customHeight="false" outlineLevel="0" collapsed="false">
      <c r="B1519" s="19" t="s">
        <v>26873</v>
      </c>
      <c r="C1519" s="20" t="n">
        <f aca="false">ROUND(3.77/FX,2)</f>
        <v>0.52</v>
      </c>
      <c r="D1519" s="21" t="s">
        <v>724</v>
      </c>
      <c r="E1519" s="21" t="s">
        <v>734</v>
      </c>
      <c r="F1519" s="21" t="s">
        <v>26861</v>
      </c>
      <c r="G1519" s="21" t="s">
        <v>5492</v>
      </c>
      <c r="H1519" s="21" t="s">
        <v>11411</v>
      </c>
      <c r="I1519" s="21" t="s">
        <v>10100</v>
      </c>
    </row>
    <row r="1520" customFormat="false" ht="15" hidden="false" customHeight="false" outlineLevel="0" collapsed="false">
      <c r="B1520" s="19" t="s">
        <v>26874</v>
      </c>
      <c r="C1520" s="20" t="n">
        <f aca="false">ROUND(3.89/FX,2)</f>
        <v>0.54</v>
      </c>
      <c r="D1520" s="21" t="s">
        <v>724</v>
      </c>
      <c r="E1520" s="21" t="s">
        <v>734</v>
      </c>
      <c r="F1520" s="21" t="s">
        <v>26861</v>
      </c>
      <c r="G1520" s="21" t="s">
        <v>3247</v>
      </c>
      <c r="H1520" s="21" t="s">
        <v>11411</v>
      </c>
      <c r="I1520" s="21" t="s">
        <v>10100</v>
      </c>
    </row>
    <row r="1521" customFormat="false" ht="15" hidden="false" customHeight="false" outlineLevel="0" collapsed="false">
      <c r="B1521" s="19" t="s">
        <v>26875</v>
      </c>
      <c r="C1521" s="20" t="n">
        <f aca="false">ROUND(3.77/FX,2)</f>
        <v>0.52</v>
      </c>
      <c r="D1521" s="21" t="s">
        <v>724</v>
      </c>
      <c r="E1521" s="21" t="s">
        <v>734</v>
      </c>
      <c r="F1521" s="21" t="s">
        <v>26861</v>
      </c>
      <c r="G1521" s="21" t="s">
        <v>707</v>
      </c>
      <c r="H1521" s="21" t="s">
        <v>11413</v>
      </c>
      <c r="I1521" s="21" t="s">
        <v>10100</v>
      </c>
    </row>
    <row r="1522" customFormat="false" ht="15" hidden="false" customHeight="false" outlineLevel="0" collapsed="false">
      <c r="B1522" s="19" t="s">
        <v>26876</v>
      </c>
      <c r="C1522" s="20" t="n">
        <f aca="false">ROUND(3.77/FX,2)</f>
        <v>0.52</v>
      </c>
      <c r="D1522" s="21" t="s">
        <v>724</v>
      </c>
      <c r="E1522" s="21" t="s">
        <v>734</v>
      </c>
      <c r="F1522" s="21" t="s">
        <v>26861</v>
      </c>
      <c r="G1522" s="21" t="s">
        <v>761</v>
      </c>
      <c r="H1522" s="21" t="s">
        <v>11413</v>
      </c>
      <c r="I1522" s="21" t="s">
        <v>10100</v>
      </c>
    </row>
    <row r="1523" customFormat="false" ht="15" hidden="false" customHeight="false" outlineLevel="0" collapsed="false">
      <c r="B1523" s="19" t="s">
        <v>26877</v>
      </c>
      <c r="C1523" s="20" t="n">
        <f aca="false">ROUND(3.84/FX,2)</f>
        <v>0.53</v>
      </c>
      <c r="D1523" s="21" t="s">
        <v>724</v>
      </c>
      <c r="E1523" s="21" t="s">
        <v>734</v>
      </c>
      <c r="F1523" s="21" t="s">
        <v>26861</v>
      </c>
      <c r="G1523" s="21" t="s">
        <v>714</v>
      </c>
      <c r="H1523" s="21" t="s">
        <v>11413</v>
      </c>
      <c r="I1523" s="21" t="s">
        <v>10100</v>
      </c>
    </row>
    <row r="1524" customFormat="false" ht="15" hidden="false" customHeight="false" outlineLevel="0" collapsed="false">
      <c r="B1524" s="19" t="s">
        <v>26878</v>
      </c>
      <c r="C1524" s="20" t="n">
        <f aca="false">ROUND(3.89/FX,2)</f>
        <v>0.54</v>
      </c>
      <c r="D1524" s="21" t="s">
        <v>724</v>
      </c>
      <c r="E1524" s="21" t="s">
        <v>734</v>
      </c>
      <c r="F1524" s="21" t="s">
        <v>26861</v>
      </c>
      <c r="G1524" s="21" t="s">
        <v>3247</v>
      </c>
      <c r="H1524" s="21" t="s">
        <v>11413</v>
      </c>
      <c r="I1524" s="21" t="s">
        <v>10100</v>
      </c>
    </row>
    <row r="1525" customFormat="false" ht="15" hidden="false" customHeight="false" outlineLevel="0" collapsed="false">
      <c r="B1525" s="19" t="s">
        <v>26879</v>
      </c>
      <c r="C1525" s="20" t="n">
        <f aca="false">ROUND(4.03/FX,2)</f>
        <v>0.56</v>
      </c>
      <c r="D1525" s="21" t="s">
        <v>724</v>
      </c>
      <c r="E1525" s="21" t="s">
        <v>734</v>
      </c>
      <c r="F1525" s="21" t="s">
        <v>26861</v>
      </c>
      <c r="G1525" s="21" t="s">
        <v>3317</v>
      </c>
      <c r="H1525" s="21" t="s">
        <v>11413</v>
      </c>
      <c r="I1525" s="21" t="s">
        <v>10100</v>
      </c>
    </row>
    <row r="1526" customFormat="false" ht="15" hidden="false" customHeight="false" outlineLevel="0" collapsed="false">
      <c r="B1526" s="19" t="s">
        <v>26880</v>
      </c>
      <c r="C1526" s="20" t="n">
        <f aca="false">ROUND(3.84/FX,2)</f>
        <v>0.53</v>
      </c>
      <c r="D1526" s="21" t="s">
        <v>724</v>
      </c>
      <c r="E1526" s="21" t="s">
        <v>734</v>
      </c>
      <c r="F1526" s="21" t="s">
        <v>26861</v>
      </c>
      <c r="G1526" s="21" t="s">
        <v>761</v>
      </c>
      <c r="H1526" s="21" t="s">
        <v>11415</v>
      </c>
      <c r="I1526" s="21" t="s">
        <v>10100</v>
      </c>
    </row>
    <row r="1527" customFormat="false" ht="15" hidden="false" customHeight="false" outlineLevel="0" collapsed="false">
      <c r="B1527" s="19" t="s">
        <v>26881</v>
      </c>
      <c r="C1527" s="20" t="n">
        <f aca="false">ROUND(3.88/FX,2)</f>
        <v>0.54</v>
      </c>
      <c r="D1527" s="21" t="s">
        <v>724</v>
      </c>
      <c r="E1527" s="21" t="s">
        <v>734</v>
      </c>
      <c r="F1527" s="21" t="s">
        <v>26861</v>
      </c>
      <c r="G1527" s="21" t="s">
        <v>714</v>
      </c>
      <c r="H1527" s="21" t="s">
        <v>11415</v>
      </c>
      <c r="I1527" s="21" t="s">
        <v>10100</v>
      </c>
    </row>
    <row r="1528" customFormat="false" ht="15" hidden="false" customHeight="false" outlineLevel="0" collapsed="false">
      <c r="B1528" s="19" t="s">
        <v>26882</v>
      </c>
      <c r="C1528" s="20" t="n">
        <f aca="false">ROUND(3.77/FX,2)</f>
        <v>0.52</v>
      </c>
      <c r="D1528" s="21" t="s">
        <v>724</v>
      </c>
      <c r="E1528" s="21" t="s">
        <v>734</v>
      </c>
      <c r="F1528" s="21" t="s">
        <v>26861</v>
      </c>
      <c r="G1528" s="21" t="s">
        <v>3247</v>
      </c>
      <c r="H1528" s="21" t="s">
        <v>11415</v>
      </c>
      <c r="I1528" s="21" t="s">
        <v>10100</v>
      </c>
    </row>
    <row r="1529" customFormat="false" ht="15" hidden="false" customHeight="false" outlineLevel="0" collapsed="false">
      <c r="B1529" s="19" t="s">
        <v>26883</v>
      </c>
      <c r="C1529" s="20" t="n">
        <f aca="false">ROUND(3.8/FX,2)</f>
        <v>0.53</v>
      </c>
      <c r="D1529" s="21" t="s">
        <v>724</v>
      </c>
      <c r="E1529" s="21" t="s">
        <v>734</v>
      </c>
      <c r="F1529" s="21" t="s">
        <v>26861</v>
      </c>
      <c r="G1529" s="21" t="s">
        <v>5492</v>
      </c>
      <c r="H1529" s="21" t="s">
        <v>26884</v>
      </c>
      <c r="I1529" s="21" t="s">
        <v>10100</v>
      </c>
    </row>
    <row r="1530" customFormat="false" ht="15" hidden="false" customHeight="false" outlineLevel="0" collapsed="false">
      <c r="B1530" s="19" t="s">
        <v>26885</v>
      </c>
      <c r="C1530" s="20" t="n">
        <f aca="false">ROUND(3.84/FX,2)</f>
        <v>0.53</v>
      </c>
      <c r="D1530" s="21" t="s">
        <v>18154</v>
      </c>
      <c r="E1530" s="21" t="s">
        <v>734</v>
      </c>
      <c r="F1530" s="21" t="s">
        <v>26861</v>
      </c>
      <c r="G1530" s="21" t="s">
        <v>707</v>
      </c>
      <c r="H1530" s="21" t="s">
        <v>11407</v>
      </c>
      <c r="I1530" s="21" t="s">
        <v>10100</v>
      </c>
    </row>
    <row r="1531" customFormat="false" ht="15" hidden="false" customHeight="false" outlineLevel="0" collapsed="false">
      <c r="B1531" s="19" t="s">
        <v>26886</v>
      </c>
      <c r="C1531" s="20" t="n">
        <f aca="false">ROUND(3.88/FX,2)</f>
        <v>0.54</v>
      </c>
      <c r="D1531" s="21" t="s">
        <v>18154</v>
      </c>
      <c r="E1531" s="21" t="s">
        <v>734</v>
      </c>
      <c r="F1531" s="21" t="s">
        <v>26861</v>
      </c>
      <c r="G1531" s="21" t="s">
        <v>714</v>
      </c>
      <c r="H1531" s="21" t="s">
        <v>11407</v>
      </c>
      <c r="I1531" s="21" t="s">
        <v>10100</v>
      </c>
    </row>
    <row r="1532" customFormat="false" ht="15" hidden="false" customHeight="false" outlineLevel="0" collapsed="false">
      <c r="B1532" s="19" t="s">
        <v>26887</v>
      </c>
      <c r="C1532" s="20" t="n">
        <f aca="false">ROUND(3.88/FX,2)</f>
        <v>0.54</v>
      </c>
      <c r="D1532" s="21" t="s">
        <v>18154</v>
      </c>
      <c r="E1532" s="21" t="s">
        <v>734</v>
      </c>
      <c r="F1532" s="21" t="s">
        <v>26861</v>
      </c>
      <c r="G1532" s="21" t="s">
        <v>3247</v>
      </c>
      <c r="H1532" s="21" t="s">
        <v>11407</v>
      </c>
      <c r="I1532" s="21" t="s">
        <v>10100</v>
      </c>
    </row>
    <row r="1533" customFormat="false" ht="15" hidden="false" customHeight="false" outlineLevel="0" collapsed="false">
      <c r="B1533" s="19" t="s">
        <v>26888</v>
      </c>
      <c r="C1533" s="20" t="n">
        <f aca="false">ROUND(3.77/FX,2)</f>
        <v>0.52</v>
      </c>
      <c r="D1533" s="21" t="s">
        <v>18154</v>
      </c>
      <c r="E1533" s="21" t="s">
        <v>734</v>
      </c>
      <c r="F1533" s="21" t="s">
        <v>26861</v>
      </c>
      <c r="G1533" s="21" t="s">
        <v>707</v>
      </c>
      <c r="H1533" s="21" t="s">
        <v>11409</v>
      </c>
      <c r="I1533" s="21" t="s">
        <v>10100</v>
      </c>
    </row>
    <row r="1534" customFormat="false" ht="15" hidden="false" customHeight="false" outlineLevel="0" collapsed="false">
      <c r="B1534" s="19" t="s">
        <v>26889</v>
      </c>
      <c r="C1534" s="20" t="n">
        <f aca="false">ROUND(3.77/FX,2)</f>
        <v>0.52</v>
      </c>
      <c r="D1534" s="21" t="s">
        <v>18154</v>
      </c>
      <c r="E1534" s="21" t="s">
        <v>734</v>
      </c>
      <c r="F1534" s="21" t="s">
        <v>26861</v>
      </c>
      <c r="G1534" s="21" t="s">
        <v>761</v>
      </c>
      <c r="H1534" s="21" t="s">
        <v>11409</v>
      </c>
      <c r="I1534" s="21" t="s">
        <v>10100</v>
      </c>
    </row>
    <row r="1535" customFormat="false" ht="15" hidden="false" customHeight="false" outlineLevel="0" collapsed="false">
      <c r="B1535" s="19" t="s">
        <v>26890</v>
      </c>
      <c r="C1535" s="20" t="n">
        <f aca="false">ROUND(3.79/FX,2)</f>
        <v>0.53</v>
      </c>
      <c r="D1535" s="21" t="s">
        <v>18154</v>
      </c>
      <c r="E1535" s="21" t="s">
        <v>734</v>
      </c>
      <c r="F1535" s="21" t="s">
        <v>26861</v>
      </c>
      <c r="G1535" s="21" t="s">
        <v>714</v>
      </c>
      <c r="H1535" s="21" t="s">
        <v>11409</v>
      </c>
      <c r="I1535" s="21" t="s">
        <v>10100</v>
      </c>
    </row>
    <row r="1536" customFormat="false" ht="15" hidden="false" customHeight="false" outlineLevel="0" collapsed="false">
      <c r="B1536" s="19" t="s">
        <v>26891</v>
      </c>
      <c r="C1536" s="20" t="n">
        <f aca="false">ROUND(3.8/FX,2)</f>
        <v>0.53</v>
      </c>
      <c r="D1536" s="21" t="s">
        <v>18154</v>
      </c>
      <c r="E1536" s="21" t="s">
        <v>734</v>
      </c>
      <c r="F1536" s="21" t="s">
        <v>26861</v>
      </c>
      <c r="G1536" s="21" t="s">
        <v>5492</v>
      </c>
      <c r="H1536" s="21" t="s">
        <v>11409</v>
      </c>
      <c r="I1536" s="21" t="s">
        <v>10100</v>
      </c>
    </row>
    <row r="1537" customFormat="false" ht="15" hidden="false" customHeight="false" outlineLevel="0" collapsed="false">
      <c r="B1537" s="19" t="s">
        <v>26892</v>
      </c>
      <c r="C1537" s="20" t="n">
        <f aca="false">ROUND(3.88/FX,2)</f>
        <v>0.54</v>
      </c>
      <c r="D1537" s="21" t="s">
        <v>18154</v>
      </c>
      <c r="E1537" s="21" t="s">
        <v>734</v>
      </c>
      <c r="F1537" s="21" t="s">
        <v>26861</v>
      </c>
      <c r="G1537" s="21" t="s">
        <v>3247</v>
      </c>
      <c r="H1537" s="21" t="s">
        <v>11409</v>
      </c>
      <c r="I1537" s="21" t="s">
        <v>10100</v>
      </c>
    </row>
    <row r="1538" customFormat="false" ht="15" hidden="false" customHeight="false" outlineLevel="0" collapsed="false">
      <c r="B1538" s="19" t="s">
        <v>26893</v>
      </c>
      <c r="C1538" s="20" t="n">
        <f aca="false">ROUND(3.76/FX,2)</f>
        <v>0.52</v>
      </c>
      <c r="D1538" s="21" t="s">
        <v>18154</v>
      </c>
      <c r="E1538" s="21" t="s">
        <v>734</v>
      </c>
      <c r="F1538" s="21" t="s">
        <v>26861</v>
      </c>
      <c r="G1538" s="21" t="s">
        <v>789</v>
      </c>
      <c r="H1538" s="21" t="s">
        <v>11409</v>
      </c>
      <c r="I1538" s="21" t="s">
        <v>10100</v>
      </c>
    </row>
    <row r="1539" customFormat="false" ht="15" hidden="false" customHeight="false" outlineLevel="0" collapsed="false">
      <c r="B1539" s="19" t="s">
        <v>26894</v>
      </c>
      <c r="C1539" s="20" t="n">
        <f aca="false">ROUND(3.77/FX,2)</f>
        <v>0.52</v>
      </c>
      <c r="D1539" s="21" t="s">
        <v>18154</v>
      </c>
      <c r="E1539" s="21" t="s">
        <v>734</v>
      </c>
      <c r="F1539" s="21" t="s">
        <v>26861</v>
      </c>
      <c r="G1539" s="21" t="s">
        <v>707</v>
      </c>
      <c r="H1539" s="21" t="s">
        <v>11411</v>
      </c>
      <c r="I1539" s="21" t="s">
        <v>10100</v>
      </c>
    </row>
    <row r="1540" customFormat="false" ht="15" hidden="false" customHeight="false" outlineLevel="0" collapsed="false">
      <c r="B1540" s="19" t="s">
        <v>26895</v>
      </c>
      <c r="C1540" s="20" t="n">
        <f aca="false">ROUND(3.77/FX,2)</f>
        <v>0.52</v>
      </c>
      <c r="D1540" s="21" t="s">
        <v>18154</v>
      </c>
      <c r="E1540" s="21" t="s">
        <v>734</v>
      </c>
      <c r="F1540" s="21" t="s">
        <v>26861</v>
      </c>
      <c r="G1540" s="21" t="s">
        <v>761</v>
      </c>
      <c r="H1540" s="21" t="s">
        <v>11411</v>
      </c>
      <c r="I1540" s="21" t="s">
        <v>10100</v>
      </c>
    </row>
    <row r="1541" customFormat="false" ht="15" hidden="false" customHeight="false" outlineLevel="0" collapsed="false">
      <c r="B1541" s="19" t="s">
        <v>26896</v>
      </c>
      <c r="C1541" s="20" t="n">
        <f aca="false">ROUND(3.77/FX,2)</f>
        <v>0.52</v>
      </c>
      <c r="D1541" s="21" t="s">
        <v>18154</v>
      </c>
      <c r="E1541" s="21" t="s">
        <v>734</v>
      </c>
      <c r="F1541" s="21" t="s">
        <v>26861</v>
      </c>
      <c r="G1541" s="21" t="s">
        <v>5492</v>
      </c>
      <c r="H1541" s="21" t="s">
        <v>11411</v>
      </c>
      <c r="I1541" s="21" t="s">
        <v>10100</v>
      </c>
    </row>
    <row r="1542" customFormat="false" ht="15" hidden="false" customHeight="false" outlineLevel="0" collapsed="false">
      <c r="B1542" s="19" t="s">
        <v>26897</v>
      </c>
      <c r="C1542" s="20" t="n">
        <f aca="false">ROUND(3.89/FX,2)</f>
        <v>0.54</v>
      </c>
      <c r="D1542" s="21" t="s">
        <v>18154</v>
      </c>
      <c r="E1542" s="21" t="s">
        <v>734</v>
      </c>
      <c r="F1542" s="21" t="s">
        <v>26861</v>
      </c>
      <c r="G1542" s="21" t="s">
        <v>3247</v>
      </c>
      <c r="H1542" s="21" t="s">
        <v>11411</v>
      </c>
      <c r="I1542" s="21" t="s">
        <v>10100</v>
      </c>
    </row>
    <row r="1543" customFormat="false" ht="15" hidden="false" customHeight="false" outlineLevel="0" collapsed="false">
      <c r="B1543" s="19" t="s">
        <v>26898</v>
      </c>
      <c r="C1543" s="20" t="n">
        <f aca="false">ROUND(3.77/FX,2)</f>
        <v>0.52</v>
      </c>
      <c r="D1543" s="21" t="s">
        <v>18154</v>
      </c>
      <c r="E1543" s="21" t="s">
        <v>734</v>
      </c>
      <c r="F1543" s="21" t="s">
        <v>26861</v>
      </c>
      <c r="G1543" s="21" t="s">
        <v>707</v>
      </c>
      <c r="H1543" s="21" t="s">
        <v>11413</v>
      </c>
      <c r="I1543" s="21" t="s">
        <v>10100</v>
      </c>
    </row>
    <row r="1544" customFormat="false" ht="15" hidden="false" customHeight="false" outlineLevel="0" collapsed="false">
      <c r="B1544" s="19" t="s">
        <v>26899</v>
      </c>
      <c r="C1544" s="20" t="n">
        <f aca="false">ROUND(3.77/FX,2)</f>
        <v>0.52</v>
      </c>
      <c r="D1544" s="21" t="s">
        <v>18154</v>
      </c>
      <c r="E1544" s="21" t="s">
        <v>734</v>
      </c>
      <c r="F1544" s="21" t="s">
        <v>26861</v>
      </c>
      <c r="G1544" s="21" t="s">
        <v>761</v>
      </c>
      <c r="H1544" s="21" t="s">
        <v>11413</v>
      </c>
      <c r="I1544" s="21" t="s">
        <v>10100</v>
      </c>
    </row>
    <row r="1545" customFormat="false" ht="15" hidden="false" customHeight="false" outlineLevel="0" collapsed="false">
      <c r="B1545" s="19" t="s">
        <v>26900</v>
      </c>
      <c r="C1545" s="20" t="n">
        <f aca="false">ROUND(3.84/FX,2)</f>
        <v>0.53</v>
      </c>
      <c r="D1545" s="21" t="s">
        <v>18154</v>
      </c>
      <c r="E1545" s="21" t="s">
        <v>734</v>
      </c>
      <c r="F1545" s="21" t="s">
        <v>26861</v>
      </c>
      <c r="G1545" s="21" t="s">
        <v>714</v>
      </c>
      <c r="H1545" s="21" t="s">
        <v>11413</v>
      </c>
      <c r="I1545" s="21" t="s">
        <v>10100</v>
      </c>
    </row>
    <row r="1546" customFormat="false" ht="15" hidden="false" customHeight="false" outlineLevel="0" collapsed="false">
      <c r="B1546" s="19" t="s">
        <v>26901</v>
      </c>
      <c r="C1546" s="20" t="n">
        <f aca="false">ROUND(3.89/FX,2)</f>
        <v>0.54</v>
      </c>
      <c r="D1546" s="21" t="s">
        <v>18154</v>
      </c>
      <c r="E1546" s="21" t="s">
        <v>734</v>
      </c>
      <c r="F1546" s="21" t="s">
        <v>26861</v>
      </c>
      <c r="G1546" s="21" t="s">
        <v>3247</v>
      </c>
      <c r="H1546" s="21" t="s">
        <v>11413</v>
      </c>
      <c r="I1546" s="21" t="s">
        <v>10100</v>
      </c>
    </row>
    <row r="1547" customFormat="false" ht="15" hidden="false" customHeight="false" outlineLevel="0" collapsed="false">
      <c r="B1547" s="19" t="s">
        <v>26902</v>
      </c>
      <c r="C1547" s="20" t="n">
        <f aca="false">ROUND(4.03/FX,2)</f>
        <v>0.56</v>
      </c>
      <c r="D1547" s="21" t="s">
        <v>18154</v>
      </c>
      <c r="E1547" s="21" t="s">
        <v>734</v>
      </c>
      <c r="F1547" s="21" t="s">
        <v>26861</v>
      </c>
      <c r="G1547" s="21" t="s">
        <v>3317</v>
      </c>
      <c r="H1547" s="21" t="s">
        <v>11413</v>
      </c>
      <c r="I1547" s="21" t="s">
        <v>10100</v>
      </c>
    </row>
    <row r="1548" customFormat="false" ht="15" hidden="false" customHeight="false" outlineLevel="0" collapsed="false">
      <c r="B1548" s="19" t="s">
        <v>26903</v>
      </c>
      <c r="C1548" s="20" t="n">
        <f aca="false">ROUND(3.84/FX,2)</f>
        <v>0.53</v>
      </c>
      <c r="D1548" s="21" t="s">
        <v>18154</v>
      </c>
      <c r="E1548" s="21" t="s">
        <v>734</v>
      </c>
      <c r="F1548" s="21" t="s">
        <v>26861</v>
      </c>
      <c r="G1548" s="21" t="s">
        <v>761</v>
      </c>
      <c r="H1548" s="21" t="s">
        <v>11415</v>
      </c>
      <c r="I1548" s="21" t="s">
        <v>10100</v>
      </c>
    </row>
    <row r="1549" customFormat="false" ht="15" hidden="false" customHeight="false" outlineLevel="0" collapsed="false">
      <c r="B1549" s="19" t="s">
        <v>26904</v>
      </c>
      <c r="C1549" s="20" t="n">
        <f aca="false">ROUND(3.88/FX,2)</f>
        <v>0.54</v>
      </c>
      <c r="D1549" s="21" t="s">
        <v>18154</v>
      </c>
      <c r="E1549" s="21" t="s">
        <v>734</v>
      </c>
      <c r="F1549" s="21" t="s">
        <v>26861</v>
      </c>
      <c r="G1549" s="21" t="s">
        <v>714</v>
      </c>
      <c r="H1549" s="21" t="s">
        <v>11415</v>
      </c>
      <c r="I1549" s="21" t="s">
        <v>10100</v>
      </c>
    </row>
    <row r="1550" customFormat="false" ht="15" hidden="false" customHeight="false" outlineLevel="0" collapsed="false">
      <c r="B1550" s="19" t="s">
        <v>26905</v>
      </c>
      <c r="C1550" s="20" t="n">
        <f aca="false">ROUND(3.77/FX,2)</f>
        <v>0.52</v>
      </c>
      <c r="D1550" s="21" t="s">
        <v>18154</v>
      </c>
      <c r="E1550" s="21" t="s">
        <v>734</v>
      </c>
      <c r="F1550" s="21" t="s">
        <v>26861</v>
      </c>
      <c r="G1550" s="21" t="s">
        <v>3247</v>
      </c>
      <c r="H1550" s="21" t="s">
        <v>11415</v>
      </c>
      <c r="I1550" s="21" t="s">
        <v>10100</v>
      </c>
    </row>
    <row r="1551" customFormat="false" ht="15" hidden="false" customHeight="false" outlineLevel="0" collapsed="false">
      <c r="B1551" s="19" t="s">
        <v>26906</v>
      </c>
      <c r="C1551" s="20" t="n">
        <f aca="false">ROUND(3.84/FX,2)</f>
        <v>0.53</v>
      </c>
      <c r="D1551" s="21" t="s">
        <v>6362</v>
      </c>
      <c r="E1551" s="21" t="s">
        <v>734</v>
      </c>
      <c r="F1551" s="21" t="s">
        <v>26861</v>
      </c>
      <c r="G1551" s="21" t="s">
        <v>707</v>
      </c>
      <c r="H1551" s="21" t="s">
        <v>11407</v>
      </c>
      <c r="I1551" s="21" t="s">
        <v>10100</v>
      </c>
    </row>
    <row r="1552" customFormat="false" ht="15" hidden="false" customHeight="false" outlineLevel="0" collapsed="false">
      <c r="B1552" s="19" t="s">
        <v>26907</v>
      </c>
      <c r="C1552" s="20" t="n">
        <f aca="false">ROUND(3.88/FX,2)</f>
        <v>0.54</v>
      </c>
      <c r="D1552" s="21" t="s">
        <v>6362</v>
      </c>
      <c r="E1552" s="21" t="s">
        <v>734</v>
      </c>
      <c r="F1552" s="21" t="s">
        <v>26861</v>
      </c>
      <c r="G1552" s="21" t="s">
        <v>714</v>
      </c>
      <c r="H1552" s="21" t="s">
        <v>11407</v>
      </c>
      <c r="I1552" s="21" t="s">
        <v>10100</v>
      </c>
    </row>
    <row r="1553" customFormat="false" ht="15" hidden="false" customHeight="false" outlineLevel="0" collapsed="false">
      <c r="B1553" s="19" t="s">
        <v>26908</v>
      </c>
      <c r="C1553" s="20" t="n">
        <f aca="false">ROUND(3.88/FX,2)</f>
        <v>0.54</v>
      </c>
      <c r="D1553" s="21" t="s">
        <v>6362</v>
      </c>
      <c r="E1553" s="21" t="s">
        <v>734</v>
      </c>
      <c r="F1553" s="21" t="s">
        <v>26861</v>
      </c>
      <c r="G1553" s="21" t="s">
        <v>3247</v>
      </c>
      <c r="H1553" s="21" t="s">
        <v>11407</v>
      </c>
      <c r="I1553" s="21" t="s">
        <v>10100</v>
      </c>
    </row>
    <row r="1554" customFormat="false" ht="15" hidden="false" customHeight="false" outlineLevel="0" collapsed="false">
      <c r="B1554" s="19" t="s">
        <v>26909</v>
      </c>
      <c r="C1554" s="20" t="n">
        <f aca="false">ROUND(3.77/FX,2)</f>
        <v>0.52</v>
      </c>
      <c r="D1554" s="21" t="s">
        <v>6362</v>
      </c>
      <c r="E1554" s="21" t="s">
        <v>734</v>
      </c>
      <c r="F1554" s="21" t="s">
        <v>26861</v>
      </c>
      <c r="G1554" s="21" t="s">
        <v>707</v>
      </c>
      <c r="H1554" s="21" t="s">
        <v>11409</v>
      </c>
      <c r="I1554" s="21" t="s">
        <v>10100</v>
      </c>
    </row>
    <row r="1555" customFormat="false" ht="15" hidden="false" customHeight="false" outlineLevel="0" collapsed="false">
      <c r="B1555" s="19" t="s">
        <v>26910</v>
      </c>
      <c r="C1555" s="20" t="n">
        <f aca="false">ROUND(3.77/FX,2)</f>
        <v>0.52</v>
      </c>
      <c r="D1555" s="21" t="s">
        <v>6362</v>
      </c>
      <c r="E1555" s="21" t="s">
        <v>734</v>
      </c>
      <c r="F1555" s="21" t="s">
        <v>26861</v>
      </c>
      <c r="G1555" s="21" t="s">
        <v>761</v>
      </c>
      <c r="H1555" s="21" t="s">
        <v>11409</v>
      </c>
      <c r="I1555" s="21" t="s">
        <v>10100</v>
      </c>
    </row>
    <row r="1556" customFormat="false" ht="15" hidden="false" customHeight="false" outlineLevel="0" collapsed="false">
      <c r="B1556" s="19" t="s">
        <v>26911</v>
      </c>
      <c r="C1556" s="20" t="n">
        <f aca="false">ROUND(3.79/FX,2)</f>
        <v>0.53</v>
      </c>
      <c r="D1556" s="21" t="s">
        <v>6362</v>
      </c>
      <c r="E1556" s="21" t="s">
        <v>734</v>
      </c>
      <c r="F1556" s="21" t="s">
        <v>26861</v>
      </c>
      <c r="G1556" s="21" t="s">
        <v>714</v>
      </c>
      <c r="H1556" s="21" t="s">
        <v>11409</v>
      </c>
      <c r="I1556" s="21" t="s">
        <v>10100</v>
      </c>
    </row>
    <row r="1557" customFormat="false" ht="15" hidden="false" customHeight="false" outlineLevel="0" collapsed="false">
      <c r="B1557" s="19" t="s">
        <v>26912</v>
      </c>
      <c r="C1557" s="20" t="n">
        <f aca="false">ROUND(3.8/FX,2)</f>
        <v>0.53</v>
      </c>
      <c r="D1557" s="21" t="s">
        <v>6362</v>
      </c>
      <c r="E1557" s="21" t="s">
        <v>734</v>
      </c>
      <c r="F1557" s="21" t="s">
        <v>26861</v>
      </c>
      <c r="G1557" s="21" t="s">
        <v>5492</v>
      </c>
      <c r="H1557" s="21" t="s">
        <v>11409</v>
      </c>
      <c r="I1557" s="21" t="s">
        <v>10100</v>
      </c>
    </row>
    <row r="1558" customFormat="false" ht="15" hidden="false" customHeight="false" outlineLevel="0" collapsed="false">
      <c r="B1558" s="19" t="s">
        <v>26913</v>
      </c>
      <c r="C1558" s="20" t="n">
        <f aca="false">ROUND(3.88/FX,2)</f>
        <v>0.54</v>
      </c>
      <c r="D1558" s="21" t="s">
        <v>6362</v>
      </c>
      <c r="E1558" s="21" t="s">
        <v>734</v>
      </c>
      <c r="F1558" s="21" t="s">
        <v>26861</v>
      </c>
      <c r="G1558" s="21" t="s">
        <v>3247</v>
      </c>
      <c r="H1558" s="21" t="s">
        <v>11409</v>
      </c>
      <c r="I1558" s="21" t="s">
        <v>10100</v>
      </c>
    </row>
    <row r="1559" customFormat="false" ht="15" hidden="false" customHeight="false" outlineLevel="0" collapsed="false">
      <c r="B1559" s="19" t="s">
        <v>26914</v>
      </c>
      <c r="C1559" s="20" t="n">
        <f aca="false">ROUND(3.76/FX,2)</f>
        <v>0.52</v>
      </c>
      <c r="D1559" s="21" t="s">
        <v>6362</v>
      </c>
      <c r="E1559" s="21" t="s">
        <v>734</v>
      </c>
      <c r="F1559" s="21" t="s">
        <v>26861</v>
      </c>
      <c r="G1559" s="21" t="s">
        <v>789</v>
      </c>
      <c r="H1559" s="21" t="s">
        <v>11409</v>
      </c>
      <c r="I1559" s="21" t="s">
        <v>10100</v>
      </c>
    </row>
    <row r="1560" customFormat="false" ht="15" hidden="false" customHeight="false" outlineLevel="0" collapsed="false">
      <c r="B1560" s="19" t="s">
        <v>26915</v>
      </c>
      <c r="C1560" s="20" t="n">
        <f aca="false">ROUND(3.77/FX,2)</f>
        <v>0.52</v>
      </c>
      <c r="D1560" s="21" t="s">
        <v>6362</v>
      </c>
      <c r="E1560" s="21" t="s">
        <v>734</v>
      </c>
      <c r="F1560" s="21" t="s">
        <v>26861</v>
      </c>
      <c r="G1560" s="21" t="s">
        <v>707</v>
      </c>
      <c r="H1560" s="21" t="s">
        <v>11411</v>
      </c>
      <c r="I1560" s="21" t="s">
        <v>10100</v>
      </c>
    </row>
    <row r="1561" customFormat="false" ht="15" hidden="false" customHeight="false" outlineLevel="0" collapsed="false">
      <c r="B1561" s="19" t="s">
        <v>26916</v>
      </c>
      <c r="C1561" s="20" t="n">
        <f aca="false">ROUND(3.77/FX,2)</f>
        <v>0.52</v>
      </c>
      <c r="D1561" s="21" t="s">
        <v>6362</v>
      </c>
      <c r="E1561" s="21" t="s">
        <v>734</v>
      </c>
      <c r="F1561" s="21" t="s">
        <v>26861</v>
      </c>
      <c r="G1561" s="21" t="s">
        <v>761</v>
      </c>
      <c r="H1561" s="21" t="s">
        <v>11411</v>
      </c>
      <c r="I1561" s="21" t="s">
        <v>10100</v>
      </c>
    </row>
    <row r="1562" customFormat="false" ht="15" hidden="false" customHeight="false" outlineLevel="0" collapsed="false">
      <c r="B1562" s="19" t="s">
        <v>26917</v>
      </c>
      <c r="C1562" s="20" t="n">
        <f aca="false">ROUND(3.77/FX,2)</f>
        <v>0.52</v>
      </c>
      <c r="D1562" s="21" t="s">
        <v>6362</v>
      </c>
      <c r="E1562" s="21" t="s">
        <v>734</v>
      </c>
      <c r="F1562" s="21" t="s">
        <v>26861</v>
      </c>
      <c r="G1562" s="21" t="s">
        <v>5492</v>
      </c>
      <c r="H1562" s="21" t="s">
        <v>11411</v>
      </c>
      <c r="I1562" s="21" t="s">
        <v>10100</v>
      </c>
    </row>
    <row r="1563" customFormat="false" ht="15" hidden="false" customHeight="false" outlineLevel="0" collapsed="false">
      <c r="B1563" s="19" t="s">
        <v>26918</v>
      </c>
      <c r="C1563" s="20" t="n">
        <f aca="false">ROUND(3.89/FX,2)</f>
        <v>0.54</v>
      </c>
      <c r="D1563" s="21" t="s">
        <v>6362</v>
      </c>
      <c r="E1563" s="21" t="s">
        <v>734</v>
      </c>
      <c r="F1563" s="21" t="s">
        <v>26861</v>
      </c>
      <c r="G1563" s="21" t="s">
        <v>3247</v>
      </c>
      <c r="H1563" s="21" t="s">
        <v>11411</v>
      </c>
      <c r="I1563" s="21" t="s">
        <v>10100</v>
      </c>
    </row>
    <row r="1564" customFormat="false" ht="15" hidden="false" customHeight="false" outlineLevel="0" collapsed="false">
      <c r="B1564" s="19" t="s">
        <v>26919</v>
      </c>
      <c r="C1564" s="20" t="n">
        <f aca="false">ROUND(3.77/FX,2)</f>
        <v>0.52</v>
      </c>
      <c r="D1564" s="21" t="s">
        <v>6362</v>
      </c>
      <c r="E1564" s="21" t="s">
        <v>734</v>
      </c>
      <c r="F1564" s="21" t="s">
        <v>26861</v>
      </c>
      <c r="G1564" s="21" t="s">
        <v>707</v>
      </c>
      <c r="H1564" s="21" t="s">
        <v>11413</v>
      </c>
      <c r="I1564" s="21" t="s">
        <v>10100</v>
      </c>
    </row>
    <row r="1565" customFormat="false" ht="15" hidden="false" customHeight="false" outlineLevel="0" collapsed="false">
      <c r="B1565" s="19" t="s">
        <v>26920</v>
      </c>
      <c r="C1565" s="20" t="n">
        <f aca="false">ROUND(3.77/FX,2)</f>
        <v>0.52</v>
      </c>
      <c r="D1565" s="21" t="s">
        <v>6362</v>
      </c>
      <c r="E1565" s="21" t="s">
        <v>734</v>
      </c>
      <c r="F1565" s="21" t="s">
        <v>26861</v>
      </c>
      <c r="G1565" s="21" t="s">
        <v>761</v>
      </c>
      <c r="H1565" s="21" t="s">
        <v>11413</v>
      </c>
      <c r="I1565" s="21" t="s">
        <v>10100</v>
      </c>
    </row>
    <row r="1566" customFormat="false" ht="15" hidden="false" customHeight="false" outlineLevel="0" collapsed="false">
      <c r="B1566" s="19" t="s">
        <v>26921</v>
      </c>
      <c r="C1566" s="20" t="n">
        <f aca="false">ROUND(3.84/FX,2)</f>
        <v>0.53</v>
      </c>
      <c r="D1566" s="21" t="s">
        <v>6362</v>
      </c>
      <c r="E1566" s="21" t="s">
        <v>734</v>
      </c>
      <c r="F1566" s="21" t="s">
        <v>26861</v>
      </c>
      <c r="G1566" s="21" t="s">
        <v>714</v>
      </c>
      <c r="H1566" s="21" t="s">
        <v>11413</v>
      </c>
      <c r="I1566" s="21" t="s">
        <v>10100</v>
      </c>
    </row>
    <row r="1567" customFormat="false" ht="15" hidden="false" customHeight="false" outlineLevel="0" collapsed="false">
      <c r="B1567" s="19" t="s">
        <v>26922</v>
      </c>
      <c r="C1567" s="20" t="n">
        <f aca="false">ROUND(3.89/FX,2)</f>
        <v>0.54</v>
      </c>
      <c r="D1567" s="21" t="s">
        <v>6362</v>
      </c>
      <c r="E1567" s="21" t="s">
        <v>734</v>
      </c>
      <c r="F1567" s="21" t="s">
        <v>26861</v>
      </c>
      <c r="G1567" s="21" t="s">
        <v>3247</v>
      </c>
      <c r="H1567" s="21" t="s">
        <v>11413</v>
      </c>
      <c r="I1567" s="21" t="s">
        <v>10100</v>
      </c>
    </row>
    <row r="1568" customFormat="false" ht="15" hidden="false" customHeight="false" outlineLevel="0" collapsed="false">
      <c r="B1568" s="19" t="s">
        <v>26923</v>
      </c>
      <c r="C1568" s="20" t="n">
        <f aca="false">ROUND(4.03/FX,2)</f>
        <v>0.56</v>
      </c>
      <c r="D1568" s="21" t="s">
        <v>6362</v>
      </c>
      <c r="E1568" s="21" t="s">
        <v>734</v>
      </c>
      <c r="F1568" s="21" t="s">
        <v>26861</v>
      </c>
      <c r="G1568" s="21" t="s">
        <v>3317</v>
      </c>
      <c r="H1568" s="21" t="s">
        <v>11413</v>
      </c>
      <c r="I1568" s="21" t="s">
        <v>10100</v>
      </c>
    </row>
    <row r="1569" customFormat="false" ht="15" hidden="false" customHeight="false" outlineLevel="0" collapsed="false">
      <c r="B1569" s="19" t="s">
        <v>26924</v>
      </c>
      <c r="C1569" s="20" t="n">
        <f aca="false">ROUND(3.84/FX,2)</f>
        <v>0.53</v>
      </c>
      <c r="D1569" s="21" t="s">
        <v>6362</v>
      </c>
      <c r="E1569" s="21" t="s">
        <v>734</v>
      </c>
      <c r="F1569" s="21" t="s">
        <v>26861</v>
      </c>
      <c r="G1569" s="21" t="s">
        <v>761</v>
      </c>
      <c r="H1569" s="21" t="s">
        <v>11415</v>
      </c>
      <c r="I1569" s="21" t="s">
        <v>10100</v>
      </c>
    </row>
    <row r="1570" customFormat="false" ht="15" hidden="false" customHeight="false" outlineLevel="0" collapsed="false">
      <c r="B1570" s="19" t="s">
        <v>26925</v>
      </c>
      <c r="C1570" s="20" t="n">
        <f aca="false">ROUND(3.88/FX,2)</f>
        <v>0.54</v>
      </c>
      <c r="D1570" s="21" t="s">
        <v>6362</v>
      </c>
      <c r="E1570" s="21" t="s">
        <v>734</v>
      </c>
      <c r="F1570" s="21" t="s">
        <v>26861</v>
      </c>
      <c r="G1570" s="21" t="s">
        <v>714</v>
      </c>
      <c r="H1570" s="21" t="s">
        <v>11415</v>
      </c>
      <c r="I1570" s="21" t="s">
        <v>10100</v>
      </c>
    </row>
    <row r="1571" customFormat="false" ht="15" hidden="false" customHeight="false" outlineLevel="0" collapsed="false">
      <c r="B1571" s="19" t="s">
        <v>26926</v>
      </c>
      <c r="C1571" s="20" t="n">
        <f aca="false">ROUND(3.77/FX,2)</f>
        <v>0.52</v>
      </c>
      <c r="D1571" s="21" t="s">
        <v>6362</v>
      </c>
      <c r="E1571" s="21" t="s">
        <v>734</v>
      </c>
      <c r="F1571" s="21" t="s">
        <v>26861</v>
      </c>
      <c r="G1571" s="21" t="s">
        <v>3247</v>
      </c>
      <c r="H1571" s="21" t="s">
        <v>11415</v>
      </c>
      <c r="I1571" s="21" t="s">
        <v>10100</v>
      </c>
    </row>
    <row r="1572" customFormat="false" ht="15" hidden="false" customHeight="false" outlineLevel="0" collapsed="false">
      <c r="B1572" s="19" t="s">
        <v>26927</v>
      </c>
      <c r="C1572" s="20" t="n">
        <f aca="false">ROUND(3.8/FX,2)</f>
        <v>0.53</v>
      </c>
      <c r="D1572" s="21" t="s">
        <v>6362</v>
      </c>
      <c r="E1572" s="21" t="s">
        <v>734</v>
      </c>
      <c r="F1572" s="21" t="s">
        <v>26861</v>
      </c>
      <c r="G1572" s="21" t="s">
        <v>5492</v>
      </c>
      <c r="H1572" s="21" t="s">
        <v>26884</v>
      </c>
      <c r="I1572" s="21" t="s">
        <v>10100</v>
      </c>
    </row>
    <row r="1573" customFormat="false" ht="15" hidden="false" customHeight="false" outlineLevel="0" collapsed="false">
      <c r="B1573" s="19" t="s">
        <v>26928</v>
      </c>
      <c r="C1573" s="20" t="n">
        <f aca="false">ROUND(5.14/FX,2)</f>
        <v>0.71</v>
      </c>
      <c r="D1573" s="21" t="s">
        <v>724</v>
      </c>
      <c r="E1573" s="21" t="s">
        <v>734</v>
      </c>
      <c r="F1573" s="21" t="s">
        <v>26861</v>
      </c>
      <c r="G1573" s="21" t="s">
        <v>707</v>
      </c>
      <c r="H1573" s="21" t="s">
        <v>11407</v>
      </c>
      <c r="I1573" s="21" t="s">
        <v>26929</v>
      </c>
    </row>
    <row r="1574" customFormat="false" ht="15" hidden="false" customHeight="false" outlineLevel="0" collapsed="false">
      <c r="B1574" s="19" t="s">
        <v>26930</v>
      </c>
      <c r="C1574" s="20" t="n">
        <f aca="false">ROUND(5.14/FX,2)</f>
        <v>0.71</v>
      </c>
      <c r="D1574" s="21" t="s">
        <v>724</v>
      </c>
      <c r="E1574" s="21" t="s">
        <v>734</v>
      </c>
      <c r="F1574" s="21" t="s">
        <v>26861</v>
      </c>
      <c r="G1574" s="21" t="s">
        <v>707</v>
      </c>
      <c r="H1574" s="21" t="s">
        <v>11409</v>
      </c>
      <c r="I1574" s="21" t="s">
        <v>26929</v>
      </c>
    </row>
    <row r="1575" customFormat="false" ht="15" hidden="false" customHeight="false" outlineLevel="0" collapsed="false">
      <c r="B1575" s="19" t="s">
        <v>26931</v>
      </c>
      <c r="C1575" s="20" t="n">
        <f aca="false">ROUND(5.18/FX,2)</f>
        <v>0.72</v>
      </c>
      <c r="D1575" s="21" t="s">
        <v>724</v>
      </c>
      <c r="E1575" s="21" t="s">
        <v>734</v>
      </c>
      <c r="F1575" s="21" t="s">
        <v>26861</v>
      </c>
      <c r="G1575" s="21" t="s">
        <v>761</v>
      </c>
      <c r="H1575" s="21" t="s">
        <v>11409</v>
      </c>
      <c r="I1575" s="21" t="s">
        <v>26929</v>
      </c>
    </row>
    <row r="1576" customFormat="false" ht="15" hidden="false" customHeight="false" outlineLevel="0" collapsed="false">
      <c r="B1576" s="19" t="s">
        <v>26932</v>
      </c>
      <c r="C1576" s="20" t="n">
        <f aca="false">ROUND(5.23/FX,2)</f>
        <v>0.73</v>
      </c>
      <c r="D1576" s="21" t="s">
        <v>724</v>
      </c>
      <c r="E1576" s="21" t="s">
        <v>734</v>
      </c>
      <c r="F1576" s="21" t="s">
        <v>26861</v>
      </c>
      <c r="G1576" s="21" t="s">
        <v>5492</v>
      </c>
      <c r="H1576" s="21" t="s">
        <v>11409</v>
      </c>
      <c r="I1576" s="21" t="s">
        <v>26929</v>
      </c>
    </row>
    <row r="1577" customFormat="false" ht="15" hidden="false" customHeight="false" outlineLevel="0" collapsed="false">
      <c r="B1577" s="19" t="s">
        <v>26933</v>
      </c>
      <c r="C1577" s="20" t="n">
        <f aca="false">ROUND(5.14/FX,2)</f>
        <v>0.71</v>
      </c>
      <c r="D1577" s="21" t="s">
        <v>724</v>
      </c>
      <c r="E1577" s="21" t="s">
        <v>734</v>
      </c>
      <c r="F1577" s="21" t="s">
        <v>26861</v>
      </c>
      <c r="G1577" s="21" t="s">
        <v>707</v>
      </c>
      <c r="H1577" s="21" t="s">
        <v>11411</v>
      </c>
      <c r="I1577" s="21" t="s">
        <v>26929</v>
      </c>
    </row>
    <row r="1578" customFormat="false" ht="15" hidden="false" customHeight="false" outlineLevel="0" collapsed="false">
      <c r="B1578" s="19" t="s">
        <v>26934</v>
      </c>
      <c r="C1578" s="20" t="n">
        <f aca="false">ROUND(5.14/FX,2)</f>
        <v>0.71</v>
      </c>
      <c r="D1578" s="21" t="s">
        <v>724</v>
      </c>
      <c r="E1578" s="21" t="s">
        <v>734</v>
      </c>
      <c r="F1578" s="21" t="s">
        <v>26861</v>
      </c>
      <c r="G1578" s="21" t="s">
        <v>761</v>
      </c>
      <c r="H1578" s="21" t="s">
        <v>11411</v>
      </c>
      <c r="I1578" s="21" t="s">
        <v>26929</v>
      </c>
    </row>
    <row r="1579" customFormat="false" ht="15" hidden="false" customHeight="false" outlineLevel="0" collapsed="false">
      <c r="B1579" s="19" t="s">
        <v>26935</v>
      </c>
      <c r="C1579" s="20" t="n">
        <f aca="false">ROUND(5.27/FX,2)</f>
        <v>0.73</v>
      </c>
      <c r="D1579" s="21" t="s">
        <v>724</v>
      </c>
      <c r="E1579" s="21" t="s">
        <v>734</v>
      </c>
      <c r="F1579" s="21" t="s">
        <v>26861</v>
      </c>
      <c r="G1579" s="21" t="s">
        <v>5492</v>
      </c>
      <c r="H1579" s="21" t="s">
        <v>11411</v>
      </c>
      <c r="I1579" s="21" t="s">
        <v>26929</v>
      </c>
    </row>
    <row r="1580" customFormat="false" ht="15" hidden="false" customHeight="false" outlineLevel="0" collapsed="false">
      <c r="B1580" s="19" t="s">
        <v>26936</v>
      </c>
      <c r="C1580" s="20" t="n">
        <f aca="false">ROUND(5.28/FX,2)</f>
        <v>0.73</v>
      </c>
      <c r="D1580" s="21" t="s">
        <v>724</v>
      </c>
      <c r="E1580" s="21" t="s">
        <v>734</v>
      </c>
      <c r="F1580" s="21" t="s">
        <v>26861</v>
      </c>
      <c r="G1580" s="21" t="s">
        <v>714</v>
      </c>
      <c r="H1580" s="21" t="s">
        <v>11413</v>
      </c>
      <c r="I1580" s="21" t="s">
        <v>26929</v>
      </c>
    </row>
    <row r="1581" customFormat="false" ht="15" hidden="false" customHeight="false" outlineLevel="0" collapsed="false">
      <c r="B1581" s="19" t="s">
        <v>26937</v>
      </c>
      <c r="C1581" s="20" t="n">
        <f aca="false">ROUND(5.14/FX,2)</f>
        <v>0.71</v>
      </c>
      <c r="D1581" s="21" t="s">
        <v>724</v>
      </c>
      <c r="E1581" s="21" t="s">
        <v>26938</v>
      </c>
      <c r="F1581" s="21" t="s">
        <v>26861</v>
      </c>
      <c r="G1581" s="21" t="s">
        <v>707</v>
      </c>
      <c r="H1581" s="21" t="s">
        <v>11407</v>
      </c>
      <c r="I1581" s="21" t="s">
        <v>26929</v>
      </c>
    </row>
    <row r="1582" customFormat="false" ht="15" hidden="false" customHeight="false" outlineLevel="0" collapsed="false">
      <c r="B1582" s="19" t="s">
        <v>26939</v>
      </c>
      <c r="C1582" s="20" t="n">
        <f aca="false">ROUND(5.14/FX,2)</f>
        <v>0.71</v>
      </c>
      <c r="D1582" s="21" t="s">
        <v>724</v>
      </c>
      <c r="E1582" s="21" t="s">
        <v>26938</v>
      </c>
      <c r="F1582" s="21" t="s">
        <v>26861</v>
      </c>
      <c r="G1582" s="21" t="s">
        <v>707</v>
      </c>
      <c r="H1582" s="21" t="s">
        <v>11409</v>
      </c>
      <c r="I1582" s="21" t="s">
        <v>26929</v>
      </c>
    </row>
    <row r="1583" customFormat="false" ht="15" hidden="false" customHeight="false" outlineLevel="0" collapsed="false">
      <c r="B1583" s="19" t="s">
        <v>26940</v>
      </c>
      <c r="C1583" s="20" t="n">
        <f aca="false">ROUND(5.18/FX,2)</f>
        <v>0.72</v>
      </c>
      <c r="D1583" s="21" t="s">
        <v>724</v>
      </c>
      <c r="E1583" s="21" t="s">
        <v>26938</v>
      </c>
      <c r="F1583" s="21" t="s">
        <v>26861</v>
      </c>
      <c r="G1583" s="21" t="s">
        <v>761</v>
      </c>
      <c r="H1583" s="21" t="s">
        <v>11409</v>
      </c>
      <c r="I1583" s="21" t="s">
        <v>26929</v>
      </c>
    </row>
    <row r="1584" customFormat="false" ht="15" hidden="false" customHeight="false" outlineLevel="0" collapsed="false">
      <c r="B1584" s="19" t="s">
        <v>26941</v>
      </c>
      <c r="C1584" s="20" t="n">
        <f aca="false">ROUND(5.14/FX,2)</f>
        <v>0.71</v>
      </c>
      <c r="D1584" s="21" t="s">
        <v>724</v>
      </c>
      <c r="E1584" s="21" t="s">
        <v>26938</v>
      </c>
      <c r="F1584" s="21" t="s">
        <v>26861</v>
      </c>
      <c r="G1584" s="21" t="s">
        <v>5492</v>
      </c>
      <c r="H1584" s="21" t="s">
        <v>11409</v>
      </c>
      <c r="I1584" s="21" t="s">
        <v>26929</v>
      </c>
    </row>
    <row r="1585" customFormat="false" ht="15" hidden="false" customHeight="false" outlineLevel="0" collapsed="false">
      <c r="B1585" s="19" t="s">
        <v>26942</v>
      </c>
      <c r="C1585" s="20" t="n">
        <f aca="false">ROUND(5.14/FX,2)</f>
        <v>0.71</v>
      </c>
      <c r="D1585" s="21" t="s">
        <v>724</v>
      </c>
      <c r="E1585" s="21" t="s">
        <v>26938</v>
      </c>
      <c r="F1585" s="21" t="s">
        <v>26861</v>
      </c>
      <c r="G1585" s="21" t="s">
        <v>707</v>
      </c>
      <c r="H1585" s="21" t="s">
        <v>11411</v>
      </c>
      <c r="I1585" s="21" t="s">
        <v>26929</v>
      </c>
    </row>
    <row r="1586" customFormat="false" ht="15" hidden="false" customHeight="false" outlineLevel="0" collapsed="false">
      <c r="B1586" s="19" t="s">
        <v>26943</v>
      </c>
      <c r="C1586" s="20" t="n">
        <f aca="false">ROUND(5.18/FX,2)</f>
        <v>0.72</v>
      </c>
      <c r="D1586" s="21" t="s">
        <v>724</v>
      </c>
      <c r="E1586" s="21" t="s">
        <v>26938</v>
      </c>
      <c r="F1586" s="21" t="s">
        <v>26861</v>
      </c>
      <c r="G1586" s="21" t="s">
        <v>761</v>
      </c>
      <c r="H1586" s="21" t="s">
        <v>11411</v>
      </c>
      <c r="I1586" s="21" t="s">
        <v>26929</v>
      </c>
    </row>
    <row r="1587" customFormat="false" ht="15" hidden="false" customHeight="false" outlineLevel="0" collapsed="false">
      <c r="B1587" s="19" t="s">
        <v>26944</v>
      </c>
      <c r="C1587" s="20" t="n">
        <f aca="false">ROUND(5.27/FX,2)</f>
        <v>0.73</v>
      </c>
      <c r="D1587" s="21" t="s">
        <v>724</v>
      </c>
      <c r="E1587" s="21" t="s">
        <v>26938</v>
      </c>
      <c r="F1587" s="21" t="s">
        <v>26861</v>
      </c>
      <c r="G1587" s="21" t="s">
        <v>714</v>
      </c>
      <c r="H1587" s="21" t="s">
        <v>11411</v>
      </c>
      <c r="I1587" s="21" t="s">
        <v>26929</v>
      </c>
    </row>
    <row r="1588" customFormat="false" ht="15" hidden="false" customHeight="false" outlineLevel="0" collapsed="false">
      <c r="B1588" s="19" t="s">
        <v>26945</v>
      </c>
      <c r="C1588" s="20" t="n">
        <f aca="false">ROUND(5.28/FX,2)</f>
        <v>0.73</v>
      </c>
      <c r="D1588" s="21" t="s">
        <v>724</v>
      </c>
      <c r="E1588" s="21" t="s">
        <v>26938</v>
      </c>
      <c r="F1588" s="21" t="s">
        <v>26861</v>
      </c>
      <c r="G1588" s="21" t="s">
        <v>714</v>
      </c>
      <c r="H1588" s="21" t="s">
        <v>11413</v>
      </c>
      <c r="I1588" s="21" t="s">
        <v>26929</v>
      </c>
    </row>
    <row r="1589" customFormat="false" ht="15" hidden="false" customHeight="false" outlineLevel="0" collapsed="false">
      <c r="B1589" s="19" t="s">
        <v>26946</v>
      </c>
      <c r="C1589" s="20" t="n">
        <f aca="false">ROUND(3.25/FX,2)</f>
        <v>0.45</v>
      </c>
      <c r="D1589" s="21" t="s">
        <v>18154</v>
      </c>
      <c r="E1589" s="21" t="s">
        <v>734</v>
      </c>
      <c r="F1589" s="21" t="s">
        <v>26861</v>
      </c>
      <c r="G1589" s="21" t="s">
        <v>707</v>
      </c>
      <c r="H1589" s="21" t="s">
        <v>11407</v>
      </c>
      <c r="I1589" s="21" t="s">
        <v>26929</v>
      </c>
    </row>
    <row r="1590" customFormat="false" ht="15" hidden="false" customHeight="false" outlineLevel="0" collapsed="false">
      <c r="B1590" s="19" t="s">
        <v>26947</v>
      </c>
      <c r="C1590" s="20" t="n">
        <f aca="false">ROUND(5.14/FX,2)</f>
        <v>0.71</v>
      </c>
      <c r="D1590" s="21" t="s">
        <v>18154</v>
      </c>
      <c r="E1590" s="21" t="s">
        <v>734</v>
      </c>
      <c r="F1590" s="21" t="s">
        <v>26861</v>
      </c>
      <c r="G1590" s="21" t="s">
        <v>707</v>
      </c>
      <c r="H1590" s="21" t="s">
        <v>11409</v>
      </c>
      <c r="I1590" s="21" t="s">
        <v>26929</v>
      </c>
    </row>
    <row r="1591" customFormat="false" ht="15" hidden="false" customHeight="false" outlineLevel="0" collapsed="false">
      <c r="B1591" s="19" t="s">
        <v>26948</v>
      </c>
      <c r="C1591" s="20" t="n">
        <f aca="false">ROUND(5.18/FX,2)</f>
        <v>0.72</v>
      </c>
      <c r="D1591" s="21" t="s">
        <v>18154</v>
      </c>
      <c r="E1591" s="21" t="s">
        <v>734</v>
      </c>
      <c r="F1591" s="21" t="s">
        <v>26861</v>
      </c>
      <c r="G1591" s="21" t="s">
        <v>761</v>
      </c>
      <c r="H1591" s="21" t="s">
        <v>11409</v>
      </c>
      <c r="I1591" s="21" t="s">
        <v>26929</v>
      </c>
    </row>
    <row r="1592" customFormat="false" ht="15" hidden="false" customHeight="false" outlineLevel="0" collapsed="false">
      <c r="B1592" s="19" t="s">
        <v>26949</v>
      </c>
      <c r="C1592" s="20" t="n">
        <f aca="false">ROUND(5.23/FX,2)</f>
        <v>0.73</v>
      </c>
      <c r="D1592" s="21" t="s">
        <v>18154</v>
      </c>
      <c r="E1592" s="21" t="s">
        <v>734</v>
      </c>
      <c r="F1592" s="21" t="s">
        <v>26861</v>
      </c>
      <c r="G1592" s="21" t="s">
        <v>5492</v>
      </c>
      <c r="H1592" s="21" t="s">
        <v>11409</v>
      </c>
      <c r="I1592" s="21" t="s">
        <v>26929</v>
      </c>
    </row>
    <row r="1593" customFormat="false" ht="15" hidden="false" customHeight="false" outlineLevel="0" collapsed="false">
      <c r="B1593" s="19" t="s">
        <v>26950</v>
      </c>
      <c r="C1593" s="20" t="n">
        <f aca="false">ROUND(5.14/FX,2)</f>
        <v>0.71</v>
      </c>
      <c r="D1593" s="21" t="s">
        <v>18154</v>
      </c>
      <c r="E1593" s="21" t="s">
        <v>734</v>
      </c>
      <c r="F1593" s="21" t="s">
        <v>26861</v>
      </c>
      <c r="G1593" s="21" t="s">
        <v>707</v>
      </c>
      <c r="H1593" s="21" t="s">
        <v>11411</v>
      </c>
      <c r="I1593" s="21" t="s">
        <v>26929</v>
      </c>
    </row>
    <row r="1594" customFormat="false" ht="15" hidden="false" customHeight="false" outlineLevel="0" collapsed="false">
      <c r="B1594" s="19" t="s">
        <v>26951</v>
      </c>
      <c r="C1594" s="20" t="n">
        <f aca="false">ROUND(5.14/FX,2)</f>
        <v>0.71</v>
      </c>
      <c r="D1594" s="21" t="s">
        <v>18154</v>
      </c>
      <c r="E1594" s="21" t="s">
        <v>734</v>
      </c>
      <c r="F1594" s="21" t="s">
        <v>26861</v>
      </c>
      <c r="G1594" s="21" t="s">
        <v>761</v>
      </c>
      <c r="H1594" s="21" t="s">
        <v>11411</v>
      </c>
      <c r="I1594" s="21" t="s">
        <v>26929</v>
      </c>
    </row>
    <row r="1595" customFormat="false" ht="15" hidden="false" customHeight="false" outlineLevel="0" collapsed="false">
      <c r="B1595" s="19" t="s">
        <v>26952</v>
      </c>
      <c r="C1595" s="20" t="n">
        <f aca="false">ROUND(5.27/FX,2)</f>
        <v>0.73</v>
      </c>
      <c r="D1595" s="21" t="s">
        <v>18154</v>
      </c>
      <c r="E1595" s="21" t="s">
        <v>734</v>
      </c>
      <c r="F1595" s="21" t="s">
        <v>26861</v>
      </c>
      <c r="G1595" s="21" t="s">
        <v>5492</v>
      </c>
      <c r="H1595" s="21" t="s">
        <v>11411</v>
      </c>
      <c r="I1595" s="21" t="s">
        <v>26929</v>
      </c>
    </row>
    <row r="1596" customFormat="false" ht="15" hidden="false" customHeight="false" outlineLevel="0" collapsed="false">
      <c r="B1596" s="19" t="s">
        <v>26953</v>
      </c>
      <c r="C1596" s="20" t="n">
        <f aca="false">ROUND(5.28/FX,2)</f>
        <v>0.73</v>
      </c>
      <c r="D1596" s="21" t="s">
        <v>18154</v>
      </c>
      <c r="E1596" s="21" t="s">
        <v>734</v>
      </c>
      <c r="F1596" s="21" t="s">
        <v>26861</v>
      </c>
      <c r="G1596" s="21" t="s">
        <v>714</v>
      </c>
      <c r="H1596" s="21" t="s">
        <v>11413</v>
      </c>
      <c r="I1596" s="21" t="s">
        <v>26929</v>
      </c>
    </row>
    <row r="1597" customFormat="false" ht="15" hidden="false" customHeight="false" outlineLevel="0" collapsed="false">
      <c r="B1597" s="19" t="s">
        <v>26954</v>
      </c>
      <c r="C1597" s="20" t="n">
        <f aca="false">ROUND(5.14/FX,2)</f>
        <v>0.71</v>
      </c>
      <c r="D1597" s="21" t="s">
        <v>18154</v>
      </c>
      <c r="E1597" s="21" t="s">
        <v>26938</v>
      </c>
      <c r="F1597" s="21" t="s">
        <v>26861</v>
      </c>
      <c r="G1597" s="21" t="s">
        <v>707</v>
      </c>
      <c r="H1597" s="21" t="s">
        <v>11407</v>
      </c>
      <c r="I1597" s="21" t="s">
        <v>26929</v>
      </c>
    </row>
    <row r="1598" customFormat="false" ht="15" hidden="false" customHeight="false" outlineLevel="0" collapsed="false">
      <c r="B1598" s="19" t="s">
        <v>26955</v>
      </c>
      <c r="C1598" s="20" t="n">
        <f aca="false">ROUND(5.14/FX,2)</f>
        <v>0.71</v>
      </c>
      <c r="D1598" s="21" t="s">
        <v>18154</v>
      </c>
      <c r="E1598" s="21" t="s">
        <v>26938</v>
      </c>
      <c r="F1598" s="21" t="s">
        <v>26861</v>
      </c>
      <c r="G1598" s="21" t="s">
        <v>707</v>
      </c>
      <c r="H1598" s="21" t="s">
        <v>11409</v>
      </c>
      <c r="I1598" s="21" t="s">
        <v>26929</v>
      </c>
    </row>
    <row r="1599" customFormat="false" ht="15" hidden="false" customHeight="false" outlineLevel="0" collapsed="false">
      <c r="B1599" s="19" t="s">
        <v>26956</v>
      </c>
      <c r="C1599" s="20" t="n">
        <f aca="false">ROUND(5.18/FX,2)</f>
        <v>0.72</v>
      </c>
      <c r="D1599" s="21" t="s">
        <v>18154</v>
      </c>
      <c r="E1599" s="21" t="s">
        <v>26938</v>
      </c>
      <c r="F1599" s="21" t="s">
        <v>26861</v>
      </c>
      <c r="G1599" s="21" t="s">
        <v>761</v>
      </c>
      <c r="H1599" s="21" t="s">
        <v>11409</v>
      </c>
      <c r="I1599" s="21" t="s">
        <v>26929</v>
      </c>
    </row>
    <row r="1600" customFormat="false" ht="15" hidden="false" customHeight="false" outlineLevel="0" collapsed="false">
      <c r="B1600" s="19" t="s">
        <v>26957</v>
      </c>
      <c r="C1600" s="20" t="n">
        <f aca="false">ROUND(5.14/FX,2)</f>
        <v>0.71</v>
      </c>
      <c r="D1600" s="21" t="s">
        <v>18154</v>
      </c>
      <c r="E1600" s="21" t="s">
        <v>26938</v>
      </c>
      <c r="F1600" s="21" t="s">
        <v>26861</v>
      </c>
      <c r="G1600" s="21" t="s">
        <v>5492</v>
      </c>
      <c r="H1600" s="21" t="s">
        <v>11409</v>
      </c>
      <c r="I1600" s="21" t="s">
        <v>26929</v>
      </c>
    </row>
    <row r="1601" customFormat="false" ht="15" hidden="false" customHeight="false" outlineLevel="0" collapsed="false">
      <c r="B1601" s="19" t="s">
        <v>26958</v>
      </c>
      <c r="C1601" s="20" t="n">
        <f aca="false">ROUND(5.14/FX,2)</f>
        <v>0.71</v>
      </c>
      <c r="D1601" s="21" t="s">
        <v>18154</v>
      </c>
      <c r="E1601" s="21" t="s">
        <v>26938</v>
      </c>
      <c r="F1601" s="21" t="s">
        <v>26861</v>
      </c>
      <c r="G1601" s="21" t="s">
        <v>707</v>
      </c>
      <c r="H1601" s="21" t="s">
        <v>11411</v>
      </c>
      <c r="I1601" s="21" t="s">
        <v>26929</v>
      </c>
    </row>
    <row r="1602" customFormat="false" ht="15" hidden="false" customHeight="false" outlineLevel="0" collapsed="false">
      <c r="B1602" s="19" t="s">
        <v>26959</v>
      </c>
      <c r="C1602" s="20" t="n">
        <f aca="false">ROUND(5.18/FX,2)</f>
        <v>0.72</v>
      </c>
      <c r="D1602" s="21" t="s">
        <v>18154</v>
      </c>
      <c r="E1602" s="21" t="s">
        <v>26938</v>
      </c>
      <c r="F1602" s="21" t="s">
        <v>26861</v>
      </c>
      <c r="G1602" s="21" t="s">
        <v>761</v>
      </c>
      <c r="H1602" s="21" t="s">
        <v>11411</v>
      </c>
      <c r="I1602" s="21" t="s">
        <v>26929</v>
      </c>
    </row>
    <row r="1603" customFormat="false" ht="15" hidden="false" customHeight="false" outlineLevel="0" collapsed="false">
      <c r="B1603" s="19" t="s">
        <v>26960</v>
      </c>
      <c r="C1603" s="20" t="n">
        <f aca="false">ROUND(5.27/FX,2)</f>
        <v>0.73</v>
      </c>
      <c r="D1603" s="21" t="s">
        <v>18154</v>
      </c>
      <c r="E1603" s="21" t="s">
        <v>26938</v>
      </c>
      <c r="F1603" s="21" t="s">
        <v>26861</v>
      </c>
      <c r="G1603" s="21" t="s">
        <v>714</v>
      </c>
      <c r="H1603" s="21" t="s">
        <v>11411</v>
      </c>
      <c r="I1603" s="21" t="s">
        <v>26929</v>
      </c>
    </row>
    <row r="1604" customFormat="false" ht="15" hidden="false" customHeight="false" outlineLevel="0" collapsed="false">
      <c r="B1604" s="19" t="s">
        <v>26961</v>
      </c>
      <c r="C1604" s="20" t="n">
        <f aca="false">ROUND(5.28/FX,2)</f>
        <v>0.73</v>
      </c>
      <c r="D1604" s="21" t="s">
        <v>18154</v>
      </c>
      <c r="E1604" s="21" t="s">
        <v>26938</v>
      </c>
      <c r="F1604" s="21" t="s">
        <v>26861</v>
      </c>
      <c r="G1604" s="21" t="s">
        <v>714</v>
      </c>
      <c r="H1604" s="21" t="s">
        <v>11413</v>
      </c>
      <c r="I1604" s="21" t="s">
        <v>26929</v>
      </c>
    </row>
    <row r="1605" customFormat="false" ht="15" hidden="false" customHeight="false" outlineLevel="0" collapsed="false">
      <c r="B1605" s="19" t="s">
        <v>26962</v>
      </c>
      <c r="C1605" s="20" t="n">
        <f aca="false">ROUND(5.14/FX,2)</f>
        <v>0.71</v>
      </c>
      <c r="D1605" s="21" t="s">
        <v>6362</v>
      </c>
      <c r="E1605" s="21" t="s">
        <v>734</v>
      </c>
      <c r="F1605" s="21" t="s">
        <v>26861</v>
      </c>
      <c r="G1605" s="21" t="s">
        <v>707</v>
      </c>
      <c r="H1605" s="21" t="s">
        <v>11407</v>
      </c>
      <c r="I1605" s="21" t="s">
        <v>26929</v>
      </c>
    </row>
    <row r="1606" customFormat="false" ht="15" hidden="false" customHeight="false" outlineLevel="0" collapsed="false">
      <c r="B1606" s="19" t="s">
        <v>26963</v>
      </c>
      <c r="C1606" s="20" t="n">
        <f aca="false">ROUND(5.14/FX,2)</f>
        <v>0.71</v>
      </c>
      <c r="D1606" s="21" t="s">
        <v>6362</v>
      </c>
      <c r="E1606" s="21" t="s">
        <v>734</v>
      </c>
      <c r="F1606" s="21" t="s">
        <v>26861</v>
      </c>
      <c r="G1606" s="21" t="s">
        <v>707</v>
      </c>
      <c r="H1606" s="21" t="s">
        <v>11409</v>
      </c>
      <c r="I1606" s="21" t="s">
        <v>26929</v>
      </c>
    </row>
    <row r="1607" customFormat="false" ht="15" hidden="false" customHeight="false" outlineLevel="0" collapsed="false">
      <c r="B1607" s="19" t="s">
        <v>26964</v>
      </c>
      <c r="C1607" s="20" t="n">
        <f aca="false">ROUND(5.18/FX,2)</f>
        <v>0.72</v>
      </c>
      <c r="D1607" s="21" t="s">
        <v>6362</v>
      </c>
      <c r="E1607" s="21" t="s">
        <v>734</v>
      </c>
      <c r="F1607" s="21" t="s">
        <v>26861</v>
      </c>
      <c r="G1607" s="21" t="s">
        <v>761</v>
      </c>
      <c r="H1607" s="21" t="s">
        <v>11409</v>
      </c>
      <c r="I1607" s="21" t="s">
        <v>26929</v>
      </c>
    </row>
    <row r="1608" customFormat="false" ht="15" hidden="false" customHeight="false" outlineLevel="0" collapsed="false">
      <c r="B1608" s="19" t="s">
        <v>26965</v>
      </c>
      <c r="C1608" s="20" t="n">
        <f aca="false">ROUND(5.23/FX,2)</f>
        <v>0.73</v>
      </c>
      <c r="D1608" s="21" t="s">
        <v>6362</v>
      </c>
      <c r="E1608" s="21" t="s">
        <v>734</v>
      </c>
      <c r="F1608" s="21" t="s">
        <v>26861</v>
      </c>
      <c r="G1608" s="21" t="s">
        <v>5492</v>
      </c>
      <c r="H1608" s="21" t="s">
        <v>11409</v>
      </c>
      <c r="I1608" s="21" t="s">
        <v>26929</v>
      </c>
    </row>
    <row r="1609" customFormat="false" ht="15" hidden="false" customHeight="false" outlineLevel="0" collapsed="false">
      <c r="B1609" s="19" t="s">
        <v>26966</v>
      </c>
      <c r="C1609" s="20" t="n">
        <f aca="false">ROUND(5.14/FX,2)</f>
        <v>0.71</v>
      </c>
      <c r="D1609" s="21" t="s">
        <v>6362</v>
      </c>
      <c r="E1609" s="21" t="s">
        <v>734</v>
      </c>
      <c r="F1609" s="21" t="s">
        <v>26861</v>
      </c>
      <c r="G1609" s="21" t="s">
        <v>707</v>
      </c>
      <c r="H1609" s="21" t="s">
        <v>11411</v>
      </c>
      <c r="I1609" s="21" t="s">
        <v>26929</v>
      </c>
    </row>
    <row r="1610" customFormat="false" ht="15" hidden="false" customHeight="false" outlineLevel="0" collapsed="false">
      <c r="B1610" s="19" t="s">
        <v>26967</v>
      </c>
      <c r="C1610" s="20" t="n">
        <f aca="false">ROUND(5.14/FX,2)</f>
        <v>0.71</v>
      </c>
      <c r="D1610" s="21" t="s">
        <v>6362</v>
      </c>
      <c r="E1610" s="21" t="s">
        <v>734</v>
      </c>
      <c r="F1610" s="21" t="s">
        <v>26861</v>
      </c>
      <c r="G1610" s="21" t="s">
        <v>761</v>
      </c>
      <c r="H1610" s="21" t="s">
        <v>11411</v>
      </c>
      <c r="I1610" s="21" t="s">
        <v>26929</v>
      </c>
    </row>
    <row r="1611" customFormat="false" ht="15" hidden="false" customHeight="false" outlineLevel="0" collapsed="false">
      <c r="B1611" s="19" t="s">
        <v>26968</v>
      </c>
      <c r="C1611" s="20" t="n">
        <f aca="false">ROUND(5.27/FX,2)</f>
        <v>0.73</v>
      </c>
      <c r="D1611" s="21" t="s">
        <v>6362</v>
      </c>
      <c r="E1611" s="21" t="s">
        <v>734</v>
      </c>
      <c r="F1611" s="21" t="s">
        <v>26861</v>
      </c>
      <c r="G1611" s="21" t="s">
        <v>5492</v>
      </c>
      <c r="H1611" s="21" t="s">
        <v>11411</v>
      </c>
      <c r="I1611" s="21" t="s">
        <v>26929</v>
      </c>
    </row>
    <row r="1612" customFormat="false" ht="15" hidden="false" customHeight="false" outlineLevel="0" collapsed="false">
      <c r="B1612" s="19" t="s">
        <v>26969</v>
      </c>
      <c r="C1612" s="20" t="n">
        <f aca="false">ROUND(5.46/FX,2)</f>
        <v>0.76</v>
      </c>
      <c r="D1612" s="21" t="s">
        <v>6362</v>
      </c>
      <c r="E1612" s="21" t="s">
        <v>734</v>
      </c>
      <c r="F1612" s="21" t="s">
        <v>26861</v>
      </c>
      <c r="G1612" s="21" t="s">
        <v>707</v>
      </c>
      <c r="H1612" s="21" t="s">
        <v>11413</v>
      </c>
      <c r="I1612" s="21" t="s">
        <v>26929</v>
      </c>
    </row>
    <row r="1613" customFormat="false" ht="15" hidden="false" customHeight="false" outlineLevel="0" collapsed="false">
      <c r="B1613" s="19" t="s">
        <v>26970</v>
      </c>
      <c r="C1613" s="20" t="n">
        <f aca="false">ROUND(5.28/FX,2)</f>
        <v>0.73</v>
      </c>
      <c r="D1613" s="21" t="s">
        <v>6362</v>
      </c>
      <c r="E1613" s="21" t="s">
        <v>734</v>
      </c>
      <c r="F1613" s="21" t="s">
        <v>26861</v>
      </c>
      <c r="G1613" s="21" t="s">
        <v>714</v>
      </c>
      <c r="H1613" s="21" t="s">
        <v>11413</v>
      </c>
      <c r="I1613" s="21" t="s">
        <v>26929</v>
      </c>
    </row>
    <row r="1614" customFormat="false" ht="15" hidden="false" customHeight="false" outlineLevel="0" collapsed="false">
      <c r="B1614" s="19" t="s">
        <v>26971</v>
      </c>
      <c r="C1614" s="20" t="n">
        <f aca="false">ROUND(5.14/FX,2)</f>
        <v>0.71</v>
      </c>
      <c r="D1614" s="21" t="s">
        <v>6362</v>
      </c>
      <c r="E1614" s="21" t="s">
        <v>26938</v>
      </c>
      <c r="F1614" s="21" t="s">
        <v>26861</v>
      </c>
      <c r="G1614" s="21" t="s">
        <v>707</v>
      </c>
      <c r="H1614" s="21" t="s">
        <v>11407</v>
      </c>
      <c r="I1614" s="21" t="s">
        <v>26929</v>
      </c>
    </row>
    <row r="1615" customFormat="false" ht="15" hidden="false" customHeight="false" outlineLevel="0" collapsed="false">
      <c r="B1615" s="19" t="s">
        <v>26972</v>
      </c>
      <c r="C1615" s="20" t="n">
        <f aca="false">ROUND(5.14/FX,2)</f>
        <v>0.71</v>
      </c>
      <c r="D1615" s="21" t="s">
        <v>6362</v>
      </c>
      <c r="E1615" s="21" t="s">
        <v>26938</v>
      </c>
      <c r="F1615" s="21" t="s">
        <v>26861</v>
      </c>
      <c r="G1615" s="21" t="s">
        <v>707</v>
      </c>
      <c r="H1615" s="21" t="s">
        <v>11409</v>
      </c>
      <c r="I1615" s="21" t="s">
        <v>26929</v>
      </c>
    </row>
    <row r="1616" customFormat="false" ht="15" hidden="false" customHeight="false" outlineLevel="0" collapsed="false">
      <c r="B1616" s="19" t="s">
        <v>26973</v>
      </c>
      <c r="C1616" s="20" t="n">
        <f aca="false">ROUND(5.18/FX,2)</f>
        <v>0.72</v>
      </c>
      <c r="D1616" s="21" t="s">
        <v>6362</v>
      </c>
      <c r="E1616" s="21" t="s">
        <v>26938</v>
      </c>
      <c r="F1616" s="21" t="s">
        <v>26861</v>
      </c>
      <c r="G1616" s="21" t="s">
        <v>761</v>
      </c>
      <c r="H1616" s="21" t="s">
        <v>11409</v>
      </c>
      <c r="I1616" s="21" t="s">
        <v>26929</v>
      </c>
    </row>
    <row r="1617" customFormat="false" ht="15" hidden="false" customHeight="false" outlineLevel="0" collapsed="false">
      <c r="B1617" s="19" t="s">
        <v>26974</v>
      </c>
      <c r="C1617" s="20" t="n">
        <f aca="false">ROUND(5.14/FX,2)</f>
        <v>0.71</v>
      </c>
      <c r="D1617" s="21" t="s">
        <v>6362</v>
      </c>
      <c r="E1617" s="21" t="s">
        <v>26938</v>
      </c>
      <c r="F1617" s="21" t="s">
        <v>26861</v>
      </c>
      <c r="G1617" s="21" t="s">
        <v>5492</v>
      </c>
      <c r="H1617" s="21" t="s">
        <v>11409</v>
      </c>
      <c r="I1617" s="21" t="s">
        <v>26929</v>
      </c>
    </row>
    <row r="1618" customFormat="false" ht="15" hidden="false" customHeight="false" outlineLevel="0" collapsed="false">
      <c r="B1618" s="19" t="s">
        <v>26975</v>
      </c>
      <c r="C1618" s="20" t="n">
        <f aca="false">ROUND(5.14/FX,2)</f>
        <v>0.71</v>
      </c>
      <c r="D1618" s="21" t="s">
        <v>6362</v>
      </c>
      <c r="E1618" s="21" t="s">
        <v>26938</v>
      </c>
      <c r="F1618" s="21" t="s">
        <v>26861</v>
      </c>
      <c r="G1618" s="21" t="s">
        <v>707</v>
      </c>
      <c r="H1618" s="21" t="s">
        <v>11411</v>
      </c>
      <c r="I1618" s="21" t="s">
        <v>26929</v>
      </c>
    </row>
    <row r="1619" customFormat="false" ht="15" hidden="false" customHeight="false" outlineLevel="0" collapsed="false">
      <c r="B1619" s="19" t="s">
        <v>26976</v>
      </c>
      <c r="C1619" s="20" t="n">
        <f aca="false">ROUND(5.18/FX,2)</f>
        <v>0.72</v>
      </c>
      <c r="D1619" s="21" t="s">
        <v>6362</v>
      </c>
      <c r="E1619" s="21" t="s">
        <v>26938</v>
      </c>
      <c r="F1619" s="21" t="s">
        <v>26861</v>
      </c>
      <c r="G1619" s="21" t="s">
        <v>761</v>
      </c>
      <c r="H1619" s="21" t="s">
        <v>11411</v>
      </c>
      <c r="I1619" s="21" t="s">
        <v>26929</v>
      </c>
    </row>
    <row r="1620" customFormat="false" ht="15" hidden="false" customHeight="false" outlineLevel="0" collapsed="false">
      <c r="B1620" s="19" t="s">
        <v>26977</v>
      </c>
      <c r="C1620" s="20" t="n">
        <f aca="false">ROUND(5.27/FX,2)</f>
        <v>0.73</v>
      </c>
      <c r="D1620" s="21" t="s">
        <v>6362</v>
      </c>
      <c r="E1620" s="21" t="s">
        <v>26938</v>
      </c>
      <c r="F1620" s="21" t="s">
        <v>26861</v>
      </c>
      <c r="G1620" s="21" t="s">
        <v>714</v>
      </c>
      <c r="H1620" s="21" t="s">
        <v>11411</v>
      </c>
      <c r="I1620" s="21" t="s">
        <v>26929</v>
      </c>
    </row>
    <row r="1621" customFormat="false" ht="15" hidden="false" customHeight="false" outlineLevel="0" collapsed="false">
      <c r="B1621" s="19" t="s">
        <v>26978</v>
      </c>
      <c r="C1621" s="20" t="n">
        <f aca="false">ROUND(5.28/FX,2)</f>
        <v>0.73</v>
      </c>
      <c r="D1621" s="21" t="s">
        <v>6362</v>
      </c>
      <c r="E1621" s="21" t="s">
        <v>26938</v>
      </c>
      <c r="F1621" s="21" t="s">
        <v>26861</v>
      </c>
      <c r="G1621" s="21" t="s">
        <v>714</v>
      </c>
      <c r="H1621" s="21" t="s">
        <v>11413</v>
      </c>
      <c r="I1621" s="21" t="s">
        <v>26929</v>
      </c>
    </row>
    <row r="1622" customFormat="false" ht="15" hidden="false" customHeight="false" outlineLevel="0" collapsed="false">
      <c r="B1622" s="19" t="s">
        <v>26979</v>
      </c>
      <c r="C1622" s="20" t="n">
        <f aca="false">ROUND(3.51/FX,2)</f>
        <v>0.49</v>
      </c>
      <c r="D1622" s="21" t="s">
        <v>724</v>
      </c>
      <c r="E1622" s="21" t="s">
        <v>734</v>
      </c>
      <c r="F1622" s="21" t="s">
        <v>26980</v>
      </c>
      <c r="G1622" s="21" t="s">
        <v>6359</v>
      </c>
      <c r="H1622" s="21" t="s">
        <v>11409</v>
      </c>
      <c r="I1622" s="21" t="s">
        <v>10100</v>
      </c>
    </row>
    <row r="1623" customFormat="false" ht="15" hidden="false" customHeight="false" outlineLevel="0" collapsed="false">
      <c r="B1623" s="19" t="s">
        <v>26981</v>
      </c>
      <c r="C1623" s="20" t="n">
        <f aca="false">ROUND(3.51/FX,2)</f>
        <v>0.49</v>
      </c>
      <c r="D1623" s="21" t="s">
        <v>724</v>
      </c>
      <c r="E1623" s="21" t="s">
        <v>734</v>
      </c>
      <c r="F1623" s="21" t="s">
        <v>26980</v>
      </c>
      <c r="G1623" s="21" t="s">
        <v>714</v>
      </c>
      <c r="H1623" s="21" t="s">
        <v>11409</v>
      </c>
      <c r="I1623" s="21" t="s">
        <v>10100</v>
      </c>
    </row>
    <row r="1624" customFormat="false" ht="15" hidden="false" customHeight="false" outlineLevel="0" collapsed="false">
      <c r="B1624" s="19" t="s">
        <v>26982</v>
      </c>
      <c r="C1624" s="20" t="n">
        <f aca="false">ROUND(3.51/FX,2)</f>
        <v>0.49</v>
      </c>
      <c r="D1624" s="21" t="s">
        <v>724</v>
      </c>
      <c r="E1624" s="21" t="s">
        <v>734</v>
      </c>
      <c r="F1624" s="21" t="s">
        <v>26980</v>
      </c>
      <c r="G1624" s="21" t="s">
        <v>6940</v>
      </c>
      <c r="H1624" s="21" t="s">
        <v>11409</v>
      </c>
      <c r="I1624" s="21" t="s">
        <v>10100</v>
      </c>
    </row>
    <row r="1625" customFormat="false" ht="15" hidden="false" customHeight="false" outlineLevel="0" collapsed="false">
      <c r="B1625" s="19" t="s">
        <v>26983</v>
      </c>
      <c r="C1625" s="20" t="n">
        <f aca="false">ROUND(3.58/FX,2)</f>
        <v>0.5</v>
      </c>
      <c r="D1625" s="21" t="s">
        <v>724</v>
      </c>
      <c r="E1625" s="21" t="s">
        <v>734</v>
      </c>
      <c r="F1625" s="21" t="s">
        <v>26980</v>
      </c>
      <c r="G1625" s="21" t="s">
        <v>6723</v>
      </c>
      <c r="H1625" s="21" t="s">
        <v>11409</v>
      </c>
      <c r="I1625" s="21" t="s">
        <v>10100</v>
      </c>
    </row>
    <row r="1626" customFormat="false" ht="15" hidden="false" customHeight="false" outlineLevel="0" collapsed="false">
      <c r="B1626" s="19" t="s">
        <v>26984</v>
      </c>
      <c r="C1626" s="20" t="n">
        <f aca="false">ROUND(3.51/FX,2)</f>
        <v>0.49</v>
      </c>
      <c r="D1626" s="21" t="s">
        <v>724</v>
      </c>
      <c r="E1626" s="21" t="s">
        <v>734</v>
      </c>
      <c r="F1626" s="21" t="s">
        <v>26980</v>
      </c>
      <c r="G1626" s="21" t="s">
        <v>6418</v>
      </c>
      <c r="H1626" s="21" t="s">
        <v>11409</v>
      </c>
      <c r="I1626" s="21" t="s">
        <v>10100</v>
      </c>
    </row>
    <row r="1627" customFormat="false" ht="15" hidden="false" customHeight="false" outlineLevel="0" collapsed="false">
      <c r="B1627" s="19" t="s">
        <v>26985</v>
      </c>
      <c r="C1627" s="20" t="n">
        <f aca="false">ROUND(3.51/FX,2)</f>
        <v>0.49</v>
      </c>
      <c r="D1627" s="21" t="s">
        <v>724</v>
      </c>
      <c r="E1627" s="21" t="s">
        <v>734</v>
      </c>
      <c r="F1627" s="21" t="s">
        <v>26980</v>
      </c>
      <c r="G1627" s="21" t="s">
        <v>20196</v>
      </c>
      <c r="H1627" s="21" t="s">
        <v>11409</v>
      </c>
      <c r="I1627" s="21" t="s">
        <v>10100</v>
      </c>
    </row>
    <row r="1628" customFormat="false" ht="15" hidden="false" customHeight="false" outlineLevel="0" collapsed="false">
      <c r="B1628" s="19" t="s">
        <v>26986</v>
      </c>
      <c r="C1628" s="20" t="n">
        <f aca="false">ROUND(3.51/FX,2)</f>
        <v>0.49</v>
      </c>
      <c r="D1628" s="21" t="s">
        <v>724</v>
      </c>
      <c r="E1628" s="21" t="s">
        <v>734</v>
      </c>
      <c r="F1628" s="21" t="s">
        <v>26980</v>
      </c>
      <c r="G1628" s="21" t="s">
        <v>19305</v>
      </c>
      <c r="H1628" s="21" t="s">
        <v>11409</v>
      </c>
      <c r="I1628" s="21" t="s">
        <v>10100</v>
      </c>
    </row>
    <row r="1629" customFormat="false" ht="15" hidden="false" customHeight="false" outlineLevel="0" collapsed="false">
      <c r="B1629" s="19" t="s">
        <v>26987</v>
      </c>
      <c r="C1629" s="20" t="n">
        <f aca="false">ROUND(3.25/FX,2)</f>
        <v>0.45</v>
      </c>
      <c r="D1629" s="21" t="s">
        <v>724</v>
      </c>
      <c r="E1629" s="21" t="s">
        <v>734</v>
      </c>
      <c r="F1629" s="21" t="s">
        <v>26980</v>
      </c>
      <c r="G1629" s="21" t="s">
        <v>707</v>
      </c>
      <c r="H1629" s="21" t="s">
        <v>11407</v>
      </c>
      <c r="I1629" s="21" t="s">
        <v>26929</v>
      </c>
    </row>
    <row r="1630" customFormat="false" ht="15" hidden="false" customHeight="false" outlineLevel="0" collapsed="false">
      <c r="B1630" s="19" t="s">
        <v>26988</v>
      </c>
      <c r="C1630" s="20" t="n">
        <f aca="false">ROUND(6.5/FX,2)</f>
        <v>0.9</v>
      </c>
      <c r="D1630" s="21" t="s">
        <v>724</v>
      </c>
      <c r="E1630" s="21" t="s">
        <v>734</v>
      </c>
      <c r="F1630" s="21" t="s">
        <v>26980</v>
      </c>
      <c r="G1630" s="21" t="s">
        <v>2600</v>
      </c>
      <c r="H1630" s="21" t="s">
        <v>11407</v>
      </c>
      <c r="I1630" s="21" t="s">
        <v>26929</v>
      </c>
    </row>
    <row r="1631" customFormat="false" ht="15" hidden="false" customHeight="false" outlineLevel="0" collapsed="false">
      <c r="B1631" s="19" t="s">
        <v>26989</v>
      </c>
      <c r="C1631" s="20" t="n">
        <f aca="false">ROUND(3.25/FX,2)</f>
        <v>0.45</v>
      </c>
      <c r="D1631" s="21" t="s">
        <v>724</v>
      </c>
      <c r="E1631" s="21" t="s">
        <v>734</v>
      </c>
      <c r="F1631" s="21" t="s">
        <v>26980</v>
      </c>
      <c r="G1631" s="21" t="s">
        <v>761</v>
      </c>
      <c r="H1631" s="21" t="s">
        <v>11407</v>
      </c>
      <c r="I1631" s="21" t="s">
        <v>26929</v>
      </c>
    </row>
    <row r="1632" customFormat="false" ht="15" hidden="false" customHeight="false" outlineLevel="0" collapsed="false">
      <c r="B1632" s="19" t="s">
        <v>26990</v>
      </c>
      <c r="C1632" s="20" t="n">
        <f aca="false">ROUND(3.25/FX,2)</f>
        <v>0.45</v>
      </c>
      <c r="D1632" s="21" t="s">
        <v>724</v>
      </c>
      <c r="E1632" s="21" t="s">
        <v>734</v>
      </c>
      <c r="F1632" s="21" t="s">
        <v>26980</v>
      </c>
      <c r="G1632" s="21" t="s">
        <v>714</v>
      </c>
      <c r="H1632" s="21" t="s">
        <v>11407</v>
      </c>
      <c r="I1632" s="21" t="s">
        <v>26929</v>
      </c>
    </row>
    <row r="1633" customFormat="false" ht="15" hidden="false" customHeight="false" outlineLevel="0" collapsed="false">
      <c r="B1633" s="19" t="s">
        <v>26991</v>
      </c>
      <c r="C1633" s="20" t="n">
        <f aca="false">ROUND(3.25/FX,2)</f>
        <v>0.45</v>
      </c>
      <c r="D1633" s="21" t="s">
        <v>724</v>
      </c>
      <c r="E1633" s="21" t="s">
        <v>734</v>
      </c>
      <c r="F1633" s="21" t="s">
        <v>26980</v>
      </c>
      <c r="G1633" s="21" t="s">
        <v>4000</v>
      </c>
      <c r="H1633" s="21" t="s">
        <v>11407</v>
      </c>
      <c r="I1633" s="21" t="s">
        <v>26929</v>
      </c>
    </row>
    <row r="1634" customFormat="false" ht="15" hidden="false" customHeight="false" outlineLevel="0" collapsed="false">
      <c r="B1634" s="19" t="s">
        <v>26992</v>
      </c>
      <c r="C1634" s="20" t="n">
        <f aca="false">ROUND(3.25/FX,2)</f>
        <v>0.45</v>
      </c>
      <c r="D1634" s="21" t="s">
        <v>724</v>
      </c>
      <c r="E1634" s="21" t="s">
        <v>734</v>
      </c>
      <c r="F1634" s="21" t="s">
        <v>26980</v>
      </c>
      <c r="G1634" s="21" t="s">
        <v>3247</v>
      </c>
      <c r="H1634" s="21" t="s">
        <v>11407</v>
      </c>
      <c r="I1634" s="21" t="s">
        <v>26929</v>
      </c>
    </row>
    <row r="1635" customFormat="false" ht="15" hidden="false" customHeight="false" outlineLevel="0" collapsed="false">
      <c r="B1635" s="19" t="s">
        <v>26993</v>
      </c>
      <c r="C1635" s="20" t="n">
        <f aca="false">ROUND(3.25/FX,2)</f>
        <v>0.45</v>
      </c>
      <c r="D1635" s="21" t="s">
        <v>724</v>
      </c>
      <c r="E1635" s="21" t="s">
        <v>734</v>
      </c>
      <c r="F1635" s="21" t="s">
        <v>26980</v>
      </c>
      <c r="G1635" s="21" t="s">
        <v>3317</v>
      </c>
      <c r="H1635" s="21" t="s">
        <v>11407</v>
      </c>
      <c r="I1635" s="21" t="s">
        <v>26929</v>
      </c>
    </row>
    <row r="1636" customFormat="false" ht="15" hidden="false" customHeight="false" outlineLevel="0" collapsed="false">
      <c r="B1636" s="19" t="s">
        <v>26994</v>
      </c>
      <c r="C1636" s="20" t="n">
        <f aca="false">ROUND(3.9/FX,2)</f>
        <v>0.54</v>
      </c>
      <c r="D1636" s="21" t="s">
        <v>724</v>
      </c>
      <c r="E1636" s="21" t="s">
        <v>734</v>
      </c>
      <c r="F1636" s="21" t="s">
        <v>26980</v>
      </c>
      <c r="G1636" s="21" t="s">
        <v>784</v>
      </c>
      <c r="H1636" s="21" t="s">
        <v>11407</v>
      </c>
      <c r="I1636" s="21" t="s">
        <v>26929</v>
      </c>
    </row>
    <row r="1637" customFormat="false" ht="15" hidden="false" customHeight="false" outlineLevel="0" collapsed="false">
      <c r="B1637" s="19" t="s">
        <v>26995</v>
      </c>
      <c r="C1637" s="20" t="n">
        <f aca="false">ROUND(3.9/FX,2)</f>
        <v>0.54</v>
      </c>
      <c r="D1637" s="21" t="s">
        <v>724</v>
      </c>
      <c r="E1637" s="21" t="s">
        <v>734</v>
      </c>
      <c r="F1637" s="21" t="s">
        <v>26980</v>
      </c>
      <c r="G1637" s="21" t="s">
        <v>3328</v>
      </c>
      <c r="H1637" s="21" t="s">
        <v>11407</v>
      </c>
      <c r="I1637" s="21" t="s">
        <v>26929</v>
      </c>
    </row>
    <row r="1638" customFormat="false" ht="15" hidden="false" customHeight="false" outlineLevel="0" collapsed="false">
      <c r="B1638" s="19" t="s">
        <v>26996</v>
      </c>
      <c r="C1638" s="20" t="n">
        <f aca="false">ROUND(3.9/FX,2)</f>
        <v>0.54</v>
      </c>
      <c r="D1638" s="21" t="s">
        <v>724</v>
      </c>
      <c r="E1638" s="21" t="s">
        <v>734</v>
      </c>
      <c r="F1638" s="21" t="s">
        <v>26980</v>
      </c>
      <c r="G1638" s="21" t="s">
        <v>6246</v>
      </c>
      <c r="H1638" s="21" t="s">
        <v>11407</v>
      </c>
      <c r="I1638" s="21" t="s">
        <v>26929</v>
      </c>
    </row>
    <row r="1639" customFormat="false" ht="15" hidden="false" customHeight="false" outlineLevel="0" collapsed="false">
      <c r="B1639" s="19" t="s">
        <v>26997</v>
      </c>
      <c r="C1639" s="20" t="n">
        <f aca="false">ROUND(3.9/FX,2)</f>
        <v>0.54</v>
      </c>
      <c r="D1639" s="21" t="s">
        <v>724</v>
      </c>
      <c r="E1639" s="21" t="s">
        <v>734</v>
      </c>
      <c r="F1639" s="21" t="s">
        <v>26980</v>
      </c>
      <c r="G1639" s="21" t="s">
        <v>7358</v>
      </c>
      <c r="H1639" s="21" t="s">
        <v>11407</v>
      </c>
      <c r="I1639" s="21" t="s">
        <v>26929</v>
      </c>
    </row>
    <row r="1640" customFormat="false" ht="15" hidden="false" customHeight="false" outlineLevel="0" collapsed="false">
      <c r="B1640" s="19" t="s">
        <v>26998</v>
      </c>
      <c r="C1640" s="20" t="n">
        <f aca="false">ROUND(3.9/FX,2)</f>
        <v>0.54</v>
      </c>
      <c r="D1640" s="21" t="s">
        <v>724</v>
      </c>
      <c r="E1640" s="21" t="s">
        <v>734</v>
      </c>
      <c r="F1640" s="21" t="s">
        <v>26980</v>
      </c>
      <c r="G1640" s="21" t="s">
        <v>2911</v>
      </c>
      <c r="H1640" s="21" t="s">
        <v>11407</v>
      </c>
      <c r="I1640" s="21" t="s">
        <v>26929</v>
      </c>
    </row>
    <row r="1641" customFormat="false" ht="15" hidden="false" customHeight="false" outlineLevel="0" collapsed="false">
      <c r="B1641" s="19" t="s">
        <v>26999</v>
      </c>
      <c r="C1641" s="20" t="n">
        <f aca="false">ROUND(3.25/FX,2)</f>
        <v>0.45</v>
      </c>
      <c r="D1641" s="21" t="s">
        <v>724</v>
      </c>
      <c r="E1641" s="21" t="s">
        <v>734</v>
      </c>
      <c r="F1641" s="21" t="s">
        <v>26980</v>
      </c>
      <c r="G1641" s="21" t="s">
        <v>716</v>
      </c>
      <c r="H1641" s="21" t="s">
        <v>11407</v>
      </c>
      <c r="I1641" s="21" t="s">
        <v>26929</v>
      </c>
    </row>
    <row r="1642" customFormat="false" ht="15" hidden="false" customHeight="false" outlineLevel="0" collapsed="false">
      <c r="B1642" s="19" t="s">
        <v>27000</v>
      </c>
      <c r="C1642" s="20" t="n">
        <f aca="false">ROUND(5.2/FX,2)</f>
        <v>0.72</v>
      </c>
      <c r="D1642" s="21" t="s">
        <v>724</v>
      </c>
      <c r="E1642" s="21" t="s">
        <v>734</v>
      </c>
      <c r="F1642" s="21" t="s">
        <v>26980</v>
      </c>
      <c r="G1642" s="21" t="s">
        <v>2961</v>
      </c>
      <c r="H1642" s="21" t="s">
        <v>11407</v>
      </c>
      <c r="I1642" s="21" t="s">
        <v>26929</v>
      </c>
    </row>
    <row r="1643" customFormat="false" ht="15" hidden="false" customHeight="false" outlineLevel="0" collapsed="false">
      <c r="B1643" s="19" t="s">
        <v>27001</v>
      </c>
      <c r="C1643" s="20" t="n">
        <f aca="false">ROUND(5.2/FX,2)</f>
        <v>0.72</v>
      </c>
      <c r="D1643" s="21" t="s">
        <v>724</v>
      </c>
      <c r="E1643" s="21" t="s">
        <v>734</v>
      </c>
      <c r="F1643" s="21" t="s">
        <v>26980</v>
      </c>
      <c r="G1643" s="21" t="s">
        <v>3011</v>
      </c>
      <c r="H1643" s="21" t="s">
        <v>11407</v>
      </c>
      <c r="I1643" s="21" t="s">
        <v>26929</v>
      </c>
    </row>
    <row r="1644" customFormat="false" ht="15" hidden="false" customHeight="false" outlineLevel="0" collapsed="false">
      <c r="B1644" s="19" t="s">
        <v>27002</v>
      </c>
      <c r="C1644" s="20" t="n">
        <f aca="false">ROUND(3.25/FX,2)</f>
        <v>0.45</v>
      </c>
      <c r="D1644" s="21" t="s">
        <v>724</v>
      </c>
      <c r="E1644" s="21" t="s">
        <v>734</v>
      </c>
      <c r="F1644" s="21" t="s">
        <v>26980</v>
      </c>
      <c r="G1644" s="21" t="s">
        <v>847</v>
      </c>
      <c r="H1644" s="21" t="s">
        <v>11407</v>
      </c>
      <c r="I1644" s="21" t="s">
        <v>26929</v>
      </c>
    </row>
    <row r="1645" customFormat="false" ht="15" hidden="false" customHeight="false" outlineLevel="0" collapsed="false">
      <c r="B1645" s="19" t="s">
        <v>27003</v>
      </c>
      <c r="C1645" s="20" t="n">
        <f aca="false">ROUND(6.5/FX,2)</f>
        <v>0.9</v>
      </c>
      <c r="D1645" s="21" t="s">
        <v>724</v>
      </c>
      <c r="E1645" s="21" t="s">
        <v>734</v>
      </c>
      <c r="F1645" s="21" t="s">
        <v>26980</v>
      </c>
      <c r="G1645" s="21" t="s">
        <v>3061</v>
      </c>
      <c r="H1645" s="21" t="s">
        <v>11407</v>
      </c>
      <c r="I1645" s="21" t="s">
        <v>26929</v>
      </c>
    </row>
    <row r="1646" customFormat="false" ht="15" hidden="false" customHeight="false" outlineLevel="0" collapsed="false">
      <c r="B1646" s="19" t="s">
        <v>27004</v>
      </c>
      <c r="C1646" s="20" t="n">
        <f aca="false">ROUND(6.5/FX,2)</f>
        <v>0.9</v>
      </c>
      <c r="D1646" s="21" t="s">
        <v>724</v>
      </c>
      <c r="E1646" s="21" t="s">
        <v>734</v>
      </c>
      <c r="F1646" s="21" t="s">
        <v>26980</v>
      </c>
      <c r="G1646" s="21" t="s">
        <v>3111</v>
      </c>
      <c r="H1646" s="21" t="s">
        <v>11407</v>
      </c>
      <c r="I1646" s="21" t="s">
        <v>26929</v>
      </c>
    </row>
    <row r="1647" customFormat="false" ht="15" hidden="false" customHeight="false" outlineLevel="0" collapsed="false">
      <c r="B1647" s="19" t="s">
        <v>27005</v>
      </c>
      <c r="C1647" s="20" t="n">
        <f aca="false">ROUND(3.25/FX,2)</f>
        <v>0.45</v>
      </c>
      <c r="D1647" s="21" t="s">
        <v>724</v>
      </c>
      <c r="E1647" s="21" t="s">
        <v>734</v>
      </c>
      <c r="F1647" s="21" t="s">
        <v>26980</v>
      </c>
      <c r="G1647" s="21" t="s">
        <v>707</v>
      </c>
      <c r="H1647" s="21" t="s">
        <v>11409</v>
      </c>
      <c r="I1647" s="21" t="s">
        <v>26929</v>
      </c>
    </row>
    <row r="1648" customFormat="false" ht="15" hidden="false" customHeight="false" outlineLevel="0" collapsed="false">
      <c r="B1648" s="19" t="s">
        <v>27006</v>
      </c>
      <c r="C1648" s="20" t="n">
        <f aca="false">ROUND(6.5/FX,2)</f>
        <v>0.9</v>
      </c>
      <c r="D1648" s="21" t="s">
        <v>724</v>
      </c>
      <c r="E1648" s="21" t="s">
        <v>734</v>
      </c>
      <c r="F1648" s="21" t="s">
        <v>26980</v>
      </c>
      <c r="G1648" s="21" t="s">
        <v>2600</v>
      </c>
      <c r="H1648" s="21" t="s">
        <v>11409</v>
      </c>
      <c r="I1648" s="21" t="s">
        <v>26929</v>
      </c>
    </row>
    <row r="1649" customFormat="false" ht="15" hidden="false" customHeight="false" outlineLevel="0" collapsed="false">
      <c r="B1649" s="19" t="s">
        <v>27007</v>
      </c>
      <c r="C1649" s="20" t="n">
        <f aca="false">ROUND(3.25/FX,2)</f>
        <v>0.45</v>
      </c>
      <c r="D1649" s="21" t="s">
        <v>724</v>
      </c>
      <c r="E1649" s="21" t="s">
        <v>734</v>
      </c>
      <c r="F1649" s="21" t="s">
        <v>26980</v>
      </c>
      <c r="G1649" s="21" t="s">
        <v>761</v>
      </c>
      <c r="H1649" s="21" t="s">
        <v>11409</v>
      </c>
      <c r="I1649" s="21" t="s">
        <v>26929</v>
      </c>
    </row>
    <row r="1650" customFormat="false" ht="15" hidden="false" customHeight="false" outlineLevel="0" collapsed="false">
      <c r="B1650" s="19" t="s">
        <v>27008</v>
      </c>
      <c r="C1650" s="20" t="n">
        <f aca="false">ROUND(3.25/FX,2)</f>
        <v>0.45</v>
      </c>
      <c r="D1650" s="21" t="s">
        <v>724</v>
      </c>
      <c r="E1650" s="21" t="s">
        <v>734</v>
      </c>
      <c r="F1650" s="21" t="s">
        <v>26980</v>
      </c>
      <c r="G1650" s="21" t="s">
        <v>714</v>
      </c>
      <c r="H1650" s="21" t="s">
        <v>11409</v>
      </c>
      <c r="I1650" s="21" t="s">
        <v>26929</v>
      </c>
    </row>
    <row r="1651" customFormat="false" ht="15" hidden="false" customHeight="false" outlineLevel="0" collapsed="false">
      <c r="B1651" s="19" t="s">
        <v>27009</v>
      </c>
      <c r="C1651" s="20" t="n">
        <f aca="false">ROUND(3.25/FX,2)</f>
        <v>0.45</v>
      </c>
      <c r="D1651" s="21" t="s">
        <v>724</v>
      </c>
      <c r="E1651" s="21" t="s">
        <v>734</v>
      </c>
      <c r="F1651" s="21" t="s">
        <v>26980</v>
      </c>
      <c r="G1651" s="21" t="s">
        <v>4000</v>
      </c>
      <c r="H1651" s="21" t="s">
        <v>11409</v>
      </c>
      <c r="I1651" s="21" t="s">
        <v>26929</v>
      </c>
    </row>
    <row r="1652" customFormat="false" ht="15" hidden="false" customHeight="false" outlineLevel="0" collapsed="false">
      <c r="B1652" s="19" t="s">
        <v>27010</v>
      </c>
      <c r="C1652" s="20" t="n">
        <f aca="false">ROUND(3.25/FX,2)</f>
        <v>0.45</v>
      </c>
      <c r="D1652" s="21" t="s">
        <v>724</v>
      </c>
      <c r="E1652" s="21" t="s">
        <v>734</v>
      </c>
      <c r="F1652" s="21" t="s">
        <v>26980</v>
      </c>
      <c r="G1652" s="21" t="s">
        <v>3247</v>
      </c>
      <c r="H1652" s="21" t="s">
        <v>11409</v>
      </c>
      <c r="I1652" s="21" t="s">
        <v>26929</v>
      </c>
    </row>
    <row r="1653" customFormat="false" ht="15" hidden="false" customHeight="false" outlineLevel="0" collapsed="false">
      <c r="B1653" s="19" t="s">
        <v>27011</v>
      </c>
      <c r="C1653" s="20" t="n">
        <f aca="false">ROUND(3.25/FX,2)</f>
        <v>0.45</v>
      </c>
      <c r="D1653" s="21" t="s">
        <v>724</v>
      </c>
      <c r="E1653" s="21" t="s">
        <v>734</v>
      </c>
      <c r="F1653" s="21" t="s">
        <v>26980</v>
      </c>
      <c r="G1653" s="21" t="s">
        <v>3317</v>
      </c>
      <c r="H1653" s="21" t="s">
        <v>11409</v>
      </c>
      <c r="I1653" s="21" t="s">
        <v>26929</v>
      </c>
    </row>
    <row r="1654" customFormat="false" ht="15" hidden="false" customHeight="false" outlineLevel="0" collapsed="false">
      <c r="B1654" s="19" t="s">
        <v>27012</v>
      </c>
      <c r="C1654" s="20" t="n">
        <f aca="false">ROUND(3.9/FX,2)</f>
        <v>0.54</v>
      </c>
      <c r="D1654" s="21" t="s">
        <v>724</v>
      </c>
      <c r="E1654" s="21" t="s">
        <v>734</v>
      </c>
      <c r="F1654" s="21" t="s">
        <v>26980</v>
      </c>
      <c r="G1654" s="21" t="s">
        <v>784</v>
      </c>
      <c r="H1654" s="21" t="s">
        <v>11409</v>
      </c>
      <c r="I1654" s="21" t="s">
        <v>26929</v>
      </c>
    </row>
    <row r="1655" customFormat="false" ht="15" hidden="false" customHeight="false" outlineLevel="0" collapsed="false">
      <c r="B1655" s="19" t="s">
        <v>27013</v>
      </c>
      <c r="C1655" s="20" t="n">
        <f aca="false">ROUND(3.9/FX,2)</f>
        <v>0.54</v>
      </c>
      <c r="D1655" s="21" t="s">
        <v>724</v>
      </c>
      <c r="E1655" s="21" t="s">
        <v>734</v>
      </c>
      <c r="F1655" s="21" t="s">
        <v>26980</v>
      </c>
      <c r="G1655" s="21" t="s">
        <v>3328</v>
      </c>
      <c r="H1655" s="21" t="s">
        <v>11409</v>
      </c>
      <c r="I1655" s="21" t="s">
        <v>26929</v>
      </c>
    </row>
    <row r="1656" customFormat="false" ht="15" hidden="false" customHeight="false" outlineLevel="0" collapsed="false">
      <c r="B1656" s="19" t="s">
        <v>27014</v>
      </c>
      <c r="C1656" s="20" t="n">
        <f aca="false">ROUND(5.2/FX,2)</f>
        <v>0.72</v>
      </c>
      <c r="D1656" s="21" t="s">
        <v>724</v>
      </c>
      <c r="E1656" s="21" t="s">
        <v>734</v>
      </c>
      <c r="F1656" s="21" t="s">
        <v>26980</v>
      </c>
      <c r="G1656" s="21" t="s">
        <v>6246</v>
      </c>
      <c r="H1656" s="21" t="s">
        <v>11409</v>
      </c>
      <c r="I1656" s="21" t="s">
        <v>26929</v>
      </c>
    </row>
    <row r="1657" customFormat="false" ht="15" hidden="false" customHeight="false" outlineLevel="0" collapsed="false">
      <c r="B1657" s="19" t="s">
        <v>27015</v>
      </c>
      <c r="C1657" s="20" t="n">
        <f aca="false">ROUND(5.2/FX,2)</f>
        <v>0.72</v>
      </c>
      <c r="D1657" s="21" t="s">
        <v>724</v>
      </c>
      <c r="E1657" s="21" t="s">
        <v>734</v>
      </c>
      <c r="F1657" s="21" t="s">
        <v>26980</v>
      </c>
      <c r="G1657" s="21" t="s">
        <v>7358</v>
      </c>
      <c r="H1657" s="21" t="s">
        <v>11409</v>
      </c>
      <c r="I1657" s="21" t="s">
        <v>26929</v>
      </c>
    </row>
    <row r="1658" customFormat="false" ht="15" hidden="false" customHeight="false" outlineLevel="0" collapsed="false">
      <c r="B1658" s="19" t="s">
        <v>27016</v>
      </c>
      <c r="C1658" s="20" t="n">
        <f aca="false">ROUND(5.2/FX,2)</f>
        <v>0.72</v>
      </c>
      <c r="D1658" s="21" t="s">
        <v>724</v>
      </c>
      <c r="E1658" s="21" t="s">
        <v>734</v>
      </c>
      <c r="F1658" s="21" t="s">
        <v>26980</v>
      </c>
      <c r="G1658" s="21" t="s">
        <v>2911</v>
      </c>
      <c r="H1658" s="21" t="s">
        <v>11409</v>
      </c>
      <c r="I1658" s="21" t="s">
        <v>26929</v>
      </c>
    </row>
    <row r="1659" customFormat="false" ht="15" hidden="false" customHeight="false" outlineLevel="0" collapsed="false">
      <c r="B1659" s="19" t="s">
        <v>27017</v>
      </c>
      <c r="C1659" s="20" t="n">
        <f aca="false">ROUND(3.25/FX,2)</f>
        <v>0.45</v>
      </c>
      <c r="D1659" s="21" t="s">
        <v>724</v>
      </c>
      <c r="E1659" s="21" t="s">
        <v>734</v>
      </c>
      <c r="F1659" s="21" t="s">
        <v>26980</v>
      </c>
      <c r="G1659" s="21" t="s">
        <v>716</v>
      </c>
      <c r="H1659" s="21" t="s">
        <v>11409</v>
      </c>
      <c r="I1659" s="21" t="s">
        <v>26929</v>
      </c>
    </row>
    <row r="1660" customFormat="false" ht="15" hidden="false" customHeight="false" outlineLevel="0" collapsed="false">
      <c r="B1660" s="19" t="s">
        <v>27018</v>
      </c>
      <c r="C1660" s="20" t="n">
        <f aca="false">ROUND(5.2/FX,2)</f>
        <v>0.72</v>
      </c>
      <c r="D1660" s="21" t="s">
        <v>724</v>
      </c>
      <c r="E1660" s="21" t="s">
        <v>734</v>
      </c>
      <c r="F1660" s="21" t="s">
        <v>26980</v>
      </c>
      <c r="G1660" s="21" t="s">
        <v>2961</v>
      </c>
      <c r="H1660" s="21" t="s">
        <v>11409</v>
      </c>
      <c r="I1660" s="21" t="s">
        <v>26929</v>
      </c>
    </row>
    <row r="1661" customFormat="false" ht="15" hidden="false" customHeight="false" outlineLevel="0" collapsed="false">
      <c r="B1661" s="19" t="s">
        <v>27019</v>
      </c>
      <c r="C1661" s="20" t="n">
        <f aca="false">ROUND(5.2/FX,2)</f>
        <v>0.72</v>
      </c>
      <c r="D1661" s="21" t="s">
        <v>724</v>
      </c>
      <c r="E1661" s="21" t="s">
        <v>734</v>
      </c>
      <c r="F1661" s="21" t="s">
        <v>26980</v>
      </c>
      <c r="G1661" s="21" t="s">
        <v>3011</v>
      </c>
      <c r="H1661" s="21" t="s">
        <v>11409</v>
      </c>
      <c r="I1661" s="21" t="s">
        <v>26929</v>
      </c>
    </row>
    <row r="1662" customFormat="false" ht="15" hidden="false" customHeight="false" outlineLevel="0" collapsed="false">
      <c r="B1662" s="19" t="s">
        <v>27020</v>
      </c>
      <c r="C1662" s="20" t="n">
        <f aca="false">ROUND(3.25/FX,2)</f>
        <v>0.45</v>
      </c>
      <c r="D1662" s="21" t="s">
        <v>724</v>
      </c>
      <c r="E1662" s="21" t="s">
        <v>734</v>
      </c>
      <c r="F1662" s="21" t="s">
        <v>26980</v>
      </c>
      <c r="G1662" s="21" t="s">
        <v>847</v>
      </c>
      <c r="H1662" s="21" t="s">
        <v>11409</v>
      </c>
      <c r="I1662" s="21" t="s">
        <v>26929</v>
      </c>
    </row>
    <row r="1663" customFormat="false" ht="15" hidden="false" customHeight="false" outlineLevel="0" collapsed="false">
      <c r="B1663" s="19" t="s">
        <v>27021</v>
      </c>
      <c r="C1663" s="20" t="n">
        <f aca="false">ROUND(6.5/FX,2)</f>
        <v>0.9</v>
      </c>
      <c r="D1663" s="21" t="s">
        <v>724</v>
      </c>
      <c r="E1663" s="21" t="s">
        <v>734</v>
      </c>
      <c r="F1663" s="21" t="s">
        <v>26980</v>
      </c>
      <c r="G1663" s="21" t="s">
        <v>3061</v>
      </c>
      <c r="H1663" s="21" t="s">
        <v>11409</v>
      </c>
      <c r="I1663" s="21" t="s">
        <v>26929</v>
      </c>
    </row>
    <row r="1664" customFormat="false" ht="15" hidden="false" customHeight="false" outlineLevel="0" collapsed="false">
      <c r="B1664" s="19" t="s">
        <v>27022</v>
      </c>
      <c r="C1664" s="20" t="n">
        <f aca="false">ROUND(6.5/FX,2)</f>
        <v>0.9</v>
      </c>
      <c r="D1664" s="21" t="s">
        <v>724</v>
      </c>
      <c r="E1664" s="21" t="s">
        <v>734</v>
      </c>
      <c r="F1664" s="21" t="s">
        <v>26980</v>
      </c>
      <c r="G1664" s="21" t="s">
        <v>3111</v>
      </c>
      <c r="H1664" s="21" t="s">
        <v>11409</v>
      </c>
      <c r="I1664" s="21" t="s">
        <v>26929</v>
      </c>
    </row>
    <row r="1665" customFormat="false" ht="15" hidden="false" customHeight="false" outlineLevel="0" collapsed="false">
      <c r="B1665" s="19" t="s">
        <v>27023</v>
      </c>
      <c r="C1665" s="20" t="n">
        <f aca="false">ROUND(3.25/FX,2)</f>
        <v>0.45</v>
      </c>
      <c r="D1665" s="21" t="s">
        <v>724</v>
      </c>
      <c r="E1665" s="21" t="s">
        <v>734</v>
      </c>
      <c r="F1665" s="21" t="s">
        <v>26980</v>
      </c>
      <c r="G1665" s="21" t="s">
        <v>707</v>
      </c>
      <c r="H1665" s="21" t="s">
        <v>11411</v>
      </c>
      <c r="I1665" s="21" t="s">
        <v>26929</v>
      </c>
    </row>
    <row r="1666" customFormat="false" ht="15" hidden="false" customHeight="false" outlineLevel="0" collapsed="false">
      <c r="B1666" s="19" t="s">
        <v>27024</v>
      </c>
      <c r="C1666" s="20" t="n">
        <f aca="false">ROUND(6.5/FX,2)</f>
        <v>0.9</v>
      </c>
      <c r="D1666" s="21" t="s">
        <v>724</v>
      </c>
      <c r="E1666" s="21" t="s">
        <v>734</v>
      </c>
      <c r="F1666" s="21" t="s">
        <v>26980</v>
      </c>
      <c r="G1666" s="21" t="s">
        <v>2600</v>
      </c>
      <c r="H1666" s="21" t="s">
        <v>11411</v>
      </c>
      <c r="I1666" s="21" t="s">
        <v>26929</v>
      </c>
    </row>
    <row r="1667" customFormat="false" ht="15" hidden="false" customHeight="false" outlineLevel="0" collapsed="false">
      <c r="B1667" s="19" t="s">
        <v>27025</v>
      </c>
      <c r="C1667" s="20" t="n">
        <f aca="false">ROUND(3.25/FX,2)</f>
        <v>0.45</v>
      </c>
      <c r="D1667" s="21" t="s">
        <v>724</v>
      </c>
      <c r="E1667" s="21" t="s">
        <v>734</v>
      </c>
      <c r="F1667" s="21" t="s">
        <v>26980</v>
      </c>
      <c r="G1667" s="21" t="s">
        <v>761</v>
      </c>
      <c r="H1667" s="21" t="s">
        <v>11411</v>
      </c>
      <c r="I1667" s="21" t="s">
        <v>26929</v>
      </c>
    </row>
    <row r="1668" customFormat="false" ht="15" hidden="false" customHeight="false" outlineLevel="0" collapsed="false">
      <c r="B1668" s="19" t="s">
        <v>27026</v>
      </c>
      <c r="C1668" s="20" t="n">
        <f aca="false">ROUND(3.25/FX,2)</f>
        <v>0.45</v>
      </c>
      <c r="D1668" s="21" t="s">
        <v>724</v>
      </c>
      <c r="E1668" s="21" t="s">
        <v>734</v>
      </c>
      <c r="F1668" s="21" t="s">
        <v>26980</v>
      </c>
      <c r="G1668" s="21" t="s">
        <v>714</v>
      </c>
      <c r="H1668" s="21" t="s">
        <v>11411</v>
      </c>
      <c r="I1668" s="21" t="s">
        <v>26929</v>
      </c>
    </row>
    <row r="1669" customFormat="false" ht="15" hidden="false" customHeight="false" outlineLevel="0" collapsed="false">
      <c r="B1669" s="19" t="s">
        <v>27027</v>
      </c>
      <c r="C1669" s="20" t="n">
        <f aca="false">ROUND(3.25/FX,2)</f>
        <v>0.45</v>
      </c>
      <c r="D1669" s="21" t="s">
        <v>724</v>
      </c>
      <c r="E1669" s="21" t="s">
        <v>734</v>
      </c>
      <c r="F1669" s="21" t="s">
        <v>26980</v>
      </c>
      <c r="G1669" s="21" t="s">
        <v>4000</v>
      </c>
      <c r="H1669" s="21" t="s">
        <v>11411</v>
      </c>
      <c r="I1669" s="21" t="s">
        <v>26929</v>
      </c>
    </row>
    <row r="1670" customFormat="false" ht="15" hidden="false" customHeight="false" outlineLevel="0" collapsed="false">
      <c r="B1670" s="19" t="s">
        <v>27028</v>
      </c>
      <c r="C1670" s="20" t="n">
        <f aca="false">ROUND(3.25/FX,2)</f>
        <v>0.45</v>
      </c>
      <c r="D1670" s="21" t="s">
        <v>724</v>
      </c>
      <c r="E1670" s="21" t="s">
        <v>734</v>
      </c>
      <c r="F1670" s="21" t="s">
        <v>26980</v>
      </c>
      <c r="G1670" s="21" t="s">
        <v>3247</v>
      </c>
      <c r="H1670" s="21" t="s">
        <v>11411</v>
      </c>
      <c r="I1670" s="21" t="s">
        <v>26929</v>
      </c>
    </row>
    <row r="1671" customFormat="false" ht="15" hidden="false" customHeight="false" outlineLevel="0" collapsed="false">
      <c r="B1671" s="19" t="s">
        <v>27029</v>
      </c>
      <c r="C1671" s="20" t="n">
        <f aca="false">ROUND(3.25/FX,2)</f>
        <v>0.45</v>
      </c>
      <c r="D1671" s="21" t="s">
        <v>724</v>
      </c>
      <c r="E1671" s="21" t="s">
        <v>734</v>
      </c>
      <c r="F1671" s="21" t="s">
        <v>26980</v>
      </c>
      <c r="G1671" s="21" t="s">
        <v>3317</v>
      </c>
      <c r="H1671" s="21" t="s">
        <v>11411</v>
      </c>
      <c r="I1671" s="21" t="s">
        <v>26929</v>
      </c>
    </row>
    <row r="1672" customFormat="false" ht="15" hidden="false" customHeight="false" outlineLevel="0" collapsed="false">
      <c r="B1672" s="19" t="s">
        <v>27030</v>
      </c>
      <c r="C1672" s="20" t="n">
        <f aca="false">ROUND(3.9/FX,2)</f>
        <v>0.54</v>
      </c>
      <c r="D1672" s="21" t="s">
        <v>724</v>
      </c>
      <c r="E1672" s="21" t="s">
        <v>734</v>
      </c>
      <c r="F1672" s="21" t="s">
        <v>26980</v>
      </c>
      <c r="G1672" s="21" t="s">
        <v>784</v>
      </c>
      <c r="H1672" s="21" t="s">
        <v>11411</v>
      </c>
      <c r="I1672" s="21" t="s">
        <v>26929</v>
      </c>
    </row>
    <row r="1673" customFormat="false" ht="15" hidden="false" customHeight="false" outlineLevel="0" collapsed="false">
      <c r="B1673" s="19" t="s">
        <v>27031</v>
      </c>
      <c r="C1673" s="20" t="n">
        <f aca="false">ROUND(3.9/FX,2)</f>
        <v>0.54</v>
      </c>
      <c r="D1673" s="21" t="s">
        <v>724</v>
      </c>
      <c r="E1673" s="21" t="s">
        <v>734</v>
      </c>
      <c r="F1673" s="21" t="s">
        <v>26980</v>
      </c>
      <c r="G1673" s="21" t="s">
        <v>3328</v>
      </c>
      <c r="H1673" s="21" t="s">
        <v>11411</v>
      </c>
      <c r="I1673" s="21" t="s">
        <v>26929</v>
      </c>
    </row>
    <row r="1674" customFormat="false" ht="15" hidden="false" customHeight="false" outlineLevel="0" collapsed="false">
      <c r="B1674" s="19" t="s">
        <v>27032</v>
      </c>
      <c r="C1674" s="20" t="n">
        <f aca="false">ROUND(5.2/FX,2)</f>
        <v>0.72</v>
      </c>
      <c r="D1674" s="21" t="s">
        <v>724</v>
      </c>
      <c r="E1674" s="21" t="s">
        <v>734</v>
      </c>
      <c r="F1674" s="21" t="s">
        <v>26980</v>
      </c>
      <c r="G1674" s="21" t="s">
        <v>6246</v>
      </c>
      <c r="H1674" s="21" t="s">
        <v>11411</v>
      </c>
      <c r="I1674" s="21" t="s">
        <v>26929</v>
      </c>
    </row>
    <row r="1675" customFormat="false" ht="15" hidden="false" customHeight="false" outlineLevel="0" collapsed="false">
      <c r="B1675" s="19" t="s">
        <v>27033</v>
      </c>
      <c r="C1675" s="20" t="n">
        <f aca="false">ROUND(5.2/FX,2)</f>
        <v>0.72</v>
      </c>
      <c r="D1675" s="21" t="s">
        <v>724</v>
      </c>
      <c r="E1675" s="21" t="s">
        <v>734</v>
      </c>
      <c r="F1675" s="21" t="s">
        <v>26980</v>
      </c>
      <c r="G1675" s="21" t="s">
        <v>7358</v>
      </c>
      <c r="H1675" s="21" t="s">
        <v>11411</v>
      </c>
      <c r="I1675" s="21" t="s">
        <v>26929</v>
      </c>
    </row>
    <row r="1676" customFormat="false" ht="15" hidden="false" customHeight="false" outlineLevel="0" collapsed="false">
      <c r="B1676" s="19" t="s">
        <v>27034</v>
      </c>
      <c r="C1676" s="20" t="n">
        <f aca="false">ROUND(5.2/FX,2)</f>
        <v>0.72</v>
      </c>
      <c r="D1676" s="21" t="s">
        <v>724</v>
      </c>
      <c r="E1676" s="21" t="s">
        <v>734</v>
      </c>
      <c r="F1676" s="21" t="s">
        <v>26980</v>
      </c>
      <c r="G1676" s="21" t="s">
        <v>2911</v>
      </c>
      <c r="H1676" s="21" t="s">
        <v>11411</v>
      </c>
      <c r="I1676" s="21" t="s">
        <v>26929</v>
      </c>
    </row>
    <row r="1677" customFormat="false" ht="15" hidden="false" customHeight="false" outlineLevel="0" collapsed="false">
      <c r="B1677" s="19" t="s">
        <v>27035</v>
      </c>
      <c r="C1677" s="20" t="n">
        <f aca="false">ROUND(3.25/FX,2)</f>
        <v>0.45</v>
      </c>
      <c r="D1677" s="21" t="s">
        <v>724</v>
      </c>
      <c r="E1677" s="21" t="s">
        <v>734</v>
      </c>
      <c r="F1677" s="21" t="s">
        <v>26980</v>
      </c>
      <c r="G1677" s="21" t="s">
        <v>716</v>
      </c>
      <c r="H1677" s="21" t="s">
        <v>11411</v>
      </c>
      <c r="I1677" s="21" t="s">
        <v>26929</v>
      </c>
    </row>
    <row r="1678" customFormat="false" ht="15" hidden="false" customHeight="false" outlineLevel="0" collapsed="false">
      <c r="B1678" s="19" t="s">
        <v>27036</v>
      </c>
      <c r="C1678" s="20" t="n">
        <f aca="false">ROUND(6.5/FX,2)</f>
        <v>0.9</v>
      </c>
      <c r="D1678" s="21" t="s">
        <v>724</v>
      </c>
      <c r="E1678" s="21" t="s">
        <v>734</v>
      </c>
      <c r="F1678" s="21" t="s">
        <v>26980</v>
      </c>
      <c r="G1678" s="21" t="s">
        <v>2961</v>
      </c>
      <c r="H1678" s="21" t="s">
        <v>11411</v>
      </c>
      <c r="I1678" s="21" t="s">
        <v>26929</v>
      </c>
    </row>
    <row r="1679" customFormat="false" ht="15" hidden="false" customHeight="false" outlineLevel="0" collapsed="false">
      <c r="B1679" s="19" t="s">
        <v>27037</v>
      </c>
      <c r="C1679" s="20" t="n">
        <f aca="false">ROUND(6.5/FX,2)</f>
        <v>0.9</v>
      </c>
      <c r="D1679" s="21" t="s">
        <v>724</v>
      </c>
      <c r="E1679" s="21" t="s">
        <v>734</v>
      </c>
      <c r="F1679" s="21" t="s">
        <v>26980</v>
      </c>
      <c r="G1679" s="21" t="s">
        <v>3011</v>
      </c>
      <c r="H1679" s="21" t="s">
        <v>11411</v>
      </c>
      <c r="I1679" s="21" t="s">
        <v>26929</v>
      </c>
    </row>
    <row r="1680" customFormat="false" ht="15" hidden="false" customHeight="false" outlineLevel="0" collapsed="false">
      <c r="B1680" s="19" t="s">
        <v>27038</v>
      </c>
      <c r="C1680" s="20" t="n">
        <f aca="false">ROUND(3.25/FX,2)</f>
        <v>0.45</v>
      </c>
      <c r="D1680" s="21" t="s">
        <v>724</v>
      </c>
      <c r="E1680" s="21" t="s">
        <v>734</v>
      </c>
      <c r="F1680" s="21" t="s">
        <v>26980</v>
      </c>
      <c r="G1680" s="21" t="s">
        <v>847</v>
      </c>
      <c r="H1680" s="21" t="s">
        <v>11411</v>
      </c>
      <c r="I1680" s="21" t="s">
        <v>26929</v>
      </c>
    </row>
    <row r="1681" customFormat="false" ht="15" hidden="false" customHeight="false" outlineLevel="0" collapsed="false">
      <c r="B1681" s="19" t="s">
        <v>27039</v>
      </c>
      <c r="C1681" s="20" t="n">
        <f aca="false">ROUND(6.5/FX,2)</f>
        <v>0.9</v>
      </c>
      <c r="D1681" s="21" t="s">
        <v>724</v>
      </c>
      <c r="E1681" s="21" t="s">
        <v>734</v>
      </c>
      <c r="F1681" s="21" t="s">
        <v>26980</v>
      </c>
      <c r="G1681" s="21" t="s">
        <v>3061</v>
      </c>
      <c r="H1681" s="21" t="s">
        <v>11411</v>
      </c>
      <c r="I1681" s="21" t="s">
        <v>26929</v>
      </c>
    </row>
    <row r="1682" customFormat="false" ht="15" hidden="false" customHeight="false" outlineLevel="0" collapsed="false">
      <c r="B1682" s="19" t="s">
        <v>27040</v>
      </c>
      <c r="C1682" s="20" t="n">
        <f aca="false">ROUND(6.5/FX,2)</f>
        <v>0.9</v>
      </c>
      <c r="D1682" s="21" t="s">
        <v>724</v>
      </c>
      <c r="E1682" s="21" t="s">
        <v>734</v>
      </c>
      <c r="F1682" s="21" t="s">
        <v>26980</v>
      </c>
      <c r="G1682" s="21" t="s">
        <v>3111</v>
      </c>
      <c r="H1682" s="21" t="s">
        <v>11411</v>
      </c>
      <c r="I1682" s="21" t="s">
        <v>26929</v>
      </c>
    </row>
    <row r="1683" customFormat="false" ht="15" hidden="false" customHeight="false" outlineLevel="0" collapsed="false">
      <c r="B1683" s="19" t="s">
        <v>27041</v>
      </c>
      <c r="C1683" s="20" t="n">
        <f aca="false">ROUND(3.9/FX,2)</f>
        <v>0.54</v>
      </c>
      <c r="D1683" s="21" t="s">
        <v>724</v>
      </c>
      <c r="E1683" s="21" t="s">
        <v>734</v>
      </c>
      <c r="F1683" s="21" t="s">
        <v>26980</v>
      </c>
      <c r="G1683" s="21" t="s">
        <v>707</v>
      </c>
      <c r="H1683" s="21" t="s">
        <v>11413</v>
      </c>
      <c r="I1683" s="21" t="s">
        <v>26929</v>
      </c>
    </row>
    <row r="1684" customFormat="false" ht="15" hidden="false" customHeight="false" outlineLevel="0" collapsed="false">
      <c r="B1684" s="19" t="s">
        <v>27042</v>
      </c>
      <c r="C1684" s="20" t="n">
        <f aca="false">ROUND(3.9/FX,2)</f>
        <v>0.54</v>
      </c>
      <c r="D1684" s="21" t="s">
        <v>724</v>
      </c>
      <c r="E1684" s="21" t="s">
        <v>734</v>
      </c>
      <c r="F1684" s="21" t="s">
        <v>26980</v>
      </c>
      <c r="G1684" s="21" t="s">
        <v>761</v>
      </c>
      <c r="H1684" s="21" t="s">
        <v>11413</v>
      </c>
      <c r="I1684" s="21" t="s">
        <v>26929</v>
      </c>
    </row>
    <row r="1685" customFormat="false" ht="15" hidden="false" customHeight="false" outlineLevel="0" collapsed="false">
      <c r="B1685" s="19" t="s">
        <v>27043</v>
      </c>
      <c r="C1685" s="20" t="n">
        <f aca="false">ROUND(3.9/FX,2)</f>
        <v>0.54</v>
      </c>
      <c r="D1685" s="21" t="s">
        <v>724</v>
      </c>
      <c r="E1685" s="21" t="s">
        <v>734</v>
      </c>
      <c r="F1685" s="21" t="s">
        <v>26980</v>
      </c>
      <c r="G1685" s="21" t="s">
        <v>714</v>
      </c>
      <c r="H1685" s="21" t="s">
        <v>11413</v>
      </c>
      <c r="I1685" s="21" t="s">
        <v>26929</v>
      </c>
    </row>
    <row r="1686" customFormat="false" ht="15" hidden="false" customHeight="false" outlineLevel="0" collapsed="false">
      <c r="B1686" s="19" t="s">
        <v>27044</v>
      </c>
      <c r="C1686" s="20" t="n">
        <f aca="false">ROUND(3.9/FX,2)</f>
        <v>0.54</v>
      </c>
      <c r="D1686" s="21" t="s">
        <v>724</v>
      </c>
      <c r="E1686" s="21" t="s">
        <v>734</v>
      </c>
      <c r="F1686" s="21" t="s">
        <v>26980</v>
      </c>
      <c r="G1686" s="21" t="s">
        <v>4000</v>
      </c>
      <c r="H1686" s="21" t="s">
        <v>11413</v>
      </c>
      <c r="I1686" s="21" t="s">
        <v>26929</v>
      </c>
    </row>
    <row r="1687" customFormat="false" ht="15" hidden="false" customHeight="false" outlineLevel="0" collapsed="false">
      <c r="B1687" s="19" t="s">
        <v>27045</v>
      </c>
      <c r="C1687" s="20" t="n">
        <f aca="false">ROUND(3.9/FX,2)</f>
        <v>0.54</v>
      </c>
      <c r="D1687" s="21" t="s">
        <v>724</v>
      </c>
      <c r="E1687" s="21" t="s">
        <v>734</v>
      </c>
      <c r="F1687" s="21" t="s">
        <v>26980</v>
      </c>
      <c r="G1687" s="21" t="s">
        <v>3247</v>
      </c>
      <c r="H1687" s="21" t="s">
        <v>11413</v>
      </c>
      <c r="I1687" s="21" t="s">
        <v>26929</v>
      </c>
    </row>
    <row r="1688" customFormat="false" ht="15" hidden="false" customHeight="false" outlineLevel="0" collapsed="false">
      <c r="B1688" s="19" t="s">
        <v>27046</v>
      </c>
      <c r="C1688" s="20" t="n">
        <f aca="false">ROUND(3.9/FX,2)</f>
        <v>0.54</v>
      </c>
      <c r="D1688" s="21" t="s">
        <v>724</v>
      </c>
      <c r="E1688" s="21" t="s">
        <v>734</v>
      </c>
      <c r="F1688" s="21" t="s">
        <v>26980</v>
      </c>
      <c r="G1688" s="21" t="s">
        <v>3317</v>
      </c>
      <c r="H1688" s="21" t="s">
        <v>11413</v>
      </c>
      <c r="I1688" s="21" t="s">
        <v>26929</v>
      </c>
    </row>
    <row r="1689" customFormat="false" ht="15" hidden="false" customHeight="false" outlineLevel="0" collapsed="false">
      <c r="B1689" s="19" t="s">
        <v>27047</v>
      </c>
      <c r="C1689" s="20" t="n">
        <f aca="false">ROUND(3.9/FX,2)</f>
        <v>0.54</v>
      </c>
      <c r="D1689" s="21" t="s">
        <v>724</v>
      </c>
      <c r="E1689" s="21" t="s">
        <v>734</v>
      </c>
      <c r="F1689" s="21" t="s">
        <v>26980</v>
      </c>
      <c r="G1689" s="21" t="s">
        <v>784</v>
      </c>
      <c r="H1689" s="21" t="s">
        <v>11413</v>
      </c>
      <c r="I1689" s="21" t="s">
        <v>26929</v>
      </c>
    </row>
    <row r="1690" customFormat="false" ht="15" hidden="false" customHeight="false" outlineLevel="0" collapsed="false">
      <c r="B1690" s="19" t="s">
        <v>27048</v>
      </c>
      <c r="C1690" s="20" t="n">
        <f aca="false">ROUND(3.9/FX,2)</f>
        <v>0.54</v>
      </c>
      <c r="D1690" s="21" t="s">
        <v>724</v>
      </c>
      <c r="E1690" s="21" t="s">
        <v>734</v>
      </c>
      <c r="F1690" s="21" t="s">
        <v>26980</v>
      </c>
      <c r="G1690" s="21" t="s">
        <v>3328</v>
      </c>
      <c r="H1690" s="21" t="s">
        <v>11413</v>
      </c>
      <c r="I1690" s="21" t="s">
        <v>26929</v>
      </c>
    </row>
    <row r="1691" customFormat="false" ht="15" hidden="false" customHeight="false" outlineLevel="0" collapsed="false">
      <c r="B1691" s="19" t="s">
        <v>27049</v>
      </c>
      <c r="C1691" s="20" t="n">
        <f aca="false">ROUND(5.2/FX,2)</f>
        <v>0.72</v>
      </c>
      <c r="D1691" s="21" t="s">
        <v>724</v>
      </c>
      <c r="E1691" s="21" t="s">
        <v>734</v>
      </c>
      <c r="F1691" s="21" t="s">
        <v>26980</v>
      </c>
      <c r="G1691" s="21" t="s">
        <v>6246</v>
      </c>
      <c r="H1691" s="21" t="s">
        <v>11413</v>
      </c>
      <c r="I1691" s="21" t="s">
        <v>26929</v>
      </c>
    </row>
    <row r="1692" customFormat="false" ht="15" hidden="false" customHeight="false" outlineLevel="0" collapsed="false">
      <c r="B1692" s="19" t="s">
        <v>27050</v>
      </c>
      <c r="C1692" s="20" t="n">
        <f aca="false">ROUND(5.2/FX,2)</f>
        <v>0.72</v>
      </c>
      <c r="D1692" s="21" t="s">
        <v>724</v>
      </c>
      <c r="E1692" s="21" t="s">
        <v>734</v>
      </c>
      <c r="F1692" s="21" t="s">
        <v>26980</v>
      </c>
      <c r="G1692" s="21" t="s">
        <v>7358</v>
      </c>
      <c r="H1692" s="21" t="s">
        <v>11413</v>
      </c>
      <c r="I1692" s="21" t="s">
        <v>26929</v>
      </c>
    </row>
    <row r="1693" customFormat="false" ht="15" hidden="false" customHeight="false" outlineLevel="0" collapsed="false">
      <c r="B1693" s="19" t="s">
        <v>27051</v>
      </c>
      <c r="C1693" s="20" t="n">
        <f aca="false">ROUND(6.5/FX,2)</f>
        <v>0.9</v>
      </c>
      <c r="D1693" s="21" t="s">
        <v>724</v>
      </c>
      <c r="E1693" s="21" t="s">
        <v>734</v>
      </c>
      <c r="F1693" s="21" t="s">
        <v>26980</v>
      </c>
      <c r="G1693" s="21" t="s">
        <v>2911</v>
      </c>
      <c r="H1693" s="21" t="s">
        <v>11413</v>
      </c>
      <c r="I1693" s="21" t="s">
        <v>26929</v>
      </c>
    </row>
    <row r="1694" customFormat="false" ht="15" hidden="false" customHeight="false" outlineLevel="0" collapsed="false">
      <c r="B1694" s="19" t="s">
        <v>27052</v>
      </c>
      <c r="C1694" s="20" t="n">
        <f aca="false">ROUND(6.5/FX,2)</f>
        <v>0.9</v>
      </c>
      <c r="D1694" s="21" t="s">
        <v>724</v>
      </c>
      <c r="E1694" s="21" t="s">
        <v>734</v>
      </c>
      <c r="F1694" s="21" t="s">
        <v>26980</v>
      </c>
      <c r="G1694" s="21" t="s">
        <v>7275</v>
      </c>
      <c r="H1694" s="21" t="s">
        <v>11413</v>
      </c>
      <c r="I1694" s="21" t="s">
        <v>26929</v>
      </c>
    </row>
    <row r="1695" customFormat="false" ht="15" hidden="false" customHeight="false" outlineLevel="0" collapsed="false">
      <c r="B1695" s="19" t="s">
        <v>27053</v>
      </c>
      <c r="C1695" s="20" t="n">
        <f aca="false">ROUND(3.25/FX,2)</f>
        <v>0.45</v>
      </c>
      <c r="D1695" s="21" t="s">
        <v>724</v>
      </c>
      <c r="E1695" s="21" t="s">
        <v>734</v>
      </c>
      <c r="F1695" s="21" t="s">
        <v>26980</v>
      </c>
      <c r="G1695" s="21" t="s">
        <v>716</v>
      </c>
      <c r="H1695" s="21" t="s">
        <v>11413</v>
      </c>
      <c r="I1695" s="21" t="s">
        <v>26929</v>
      </c>
    </row>
    <row r="1696" customFormat="false" ht="15" hidden="false" customHeight="false" outlineLevel="0" collapsed="false">
      <c r="B1696" s="19" t="s">
        <v>27054</v>
      </c>
      <c r="C1696" s="20" t="n">
        <f aca="false">ROUND(6.5/FX,2)</f>
        <v>0.9</v>
      </c>
      <c r="D1696" s="21" t="s">
        <v>724</v>
      </c>
      <c r="E1696" s="21" t="s">
        <v>734</v>
      </c>
      <c r="F1696" s="21" t="s">
        <v>26980</v>
      </c>
      <c r="G1696" s="21" t="s">
        <v>2961</v>
      </c>
      <c r="H1696" s="21" t="s">
        <v>11413</v>
      </c>
      <c r="I1696" s="21" t="s">
        <v>26929</v>
      </c>
    </row>
    <row r="1697" customFormat="false" ht="15" hidden="false" customHeight="false" outlineLevel="0" collapsed="false">
      <c r="B1697" s="19" t="s">
        <v>27055</v>
      </c>
      <c r="C1697" s="20" t="n">
        <f aca="false">ROUND(3.9/FX,2)</f>
        <v>0.54</v>
      </c>
      <c r="D1697" s="21" t="s">
        <v>724</v>
      </c>
      <c r="E1697" s="21" t="s">
        <v>734</v>
      </c>
      <c r="F1697" s="21" t="s">
        <v>26980</v>
      </c>
      <c r="G1697" s="21" t="s">
        <v>707</v>
      </c>
      <c r="H1697" s="21" t="s">
        <v>11415</v>
      </c>
      <c r="I1697" s="21" t="s">
        <v>26929</v>
      </c>
    </row>
    <row r="1698" customFormat="false" ht="15" hidden="false" customHeight="false" outlineLevel="0" collapsed="false">
      <c r="B1698" s="19" t="s">
        <v>27056</v>
      </c>
      <c r="C1698" s="20" t="n">
        <f aca="false">ROUND(3.9/FX,2)</f>
        <v>0.54</v>
      </c>
      <c r="D1698" s="21" t="s">
        <v>724</v>
      </c>
      <c r="E1698" s="21" t="s">
        <v>734</v>
      </c>
      <c r="F1698" s="21" t="s">
        <v>26980</v>
      </c>
      <c r="G1698" s="21" t="s">
        <v>761</v>
      </c>
      <c r="H1698" s="21" t="s">
        <v>11415</v>
      </c>
      <c r="I1698" s="21" t="s">
        <v>26929</v>
      </c>
    </row>
    <row r="1699" customFormat="false" ht="15" hidden="false" customHeight="false" outlineLevel="0" collapsed="false">
      <c r="B1699" s="19" t="s">
        <v>27057</v>
      </c>
      <c r="C1699" s="20" t="n">
        <f aca="false">ROUND(3.9/FX,2)</f>
        <v>0.54</v>
      </c>
      <c r="D1699" s="21" t="s">
        <v>724</v>
      </c>
      <c r="E1699" s="21" t="s">
        <v>734</v>
      </c>
      <c r="F1699" s="21" t="s">
        <v>26980</v>
      </c>
      <c r="G1699" s="21" t="s">
        <v>714</v>
      </c>
      <c r="H1699" s="21" t="s">
        <v>11415</v>
      </c>
      <c r="I1699" s="21" t="s">
        <v>26929</v>
      </c>
    </row>
    <row r="1700" customFormat="false" ht="15" hidden="false" customHeight="false" outlineLevel="0" collapsed="false">
      <c r="B1700" s="19" t="s">
        <v>27058</v>
      </c>
      <c r="C1700" s="20" t="n">
        <f aca="false">ROUND(3.9/FX,2)</f>
        <v>0.54</v>
      </c>
      <c r="D1700" s="21" t="s">
        <v>724</v>
      </c>
      <c r="E1700" s="21" t="s">
        <v>734</v>
      </c>
      <c r="F1700" s="21" t="s">
        <v>26980</v>
      </c>
      <c r="G1700" s="21" t="s">
        <v>4000</v>
      </c>
      <c r="H1700" s="21" t="s">
        <v>11415</v>
      </c>
      <c r="I1700" s="21" t="s">
        <v>26929</v>
      </c>
    </row>
    <row r="1701" customFormat="false" ht="15" hidden="false" customHeight="false" outlineLevel="0" collapsed="false">
      <c r="B1701" s="19" t="s">
        <v>27059</v>
      </c>
      <c r="C1701" s="20" t="n">
        <f aca="false">ROUND(3.9/FX,2)</f>
        <v>0.54</v>
      </c>
      <c r="D1701" s="21" t="s">
        <v>724</v>
      </c>
      <c r="E1701" s="21" t="s">
        <v>734</v>
      </c>
      <c r="F1701" s="21" t="s">
        <v>26980</v>
      </c>
      <c r="G1701" s="21" t="s">
        <v>3247</v>
      </c>
      <c r="H1701" s="21" t="s">
        <v>11415</v>
      </c>
      <c r="I1701" s="21" t="s">
        <v>26929</v>
      </c>
    </row>
    <row r="1702" customFormat="false" ht="15" hidden="false" customHeight="false" outlineLevel="0" collapsed="false">
      <c r="B1702" s="19" t="s">
        <v>27060</v>
      </c>
      <c r="C1702" s="20" t="n">
        <f aca="false">ROUND(3.9/FX,2)</f>
        <v>0.54</v>
      </c>
      <c r="D1702" s="21" t="s">
        <v>724</v>
      </c>
      <c r="E1702" s="21" t="s">
        <v>734</v>
      </c>
      <c r="F1702" s="21" t="s">
        <v>26980</v>
      </c>
      <c r="G1702" s="21" t="s">
        <v>3317</v>
      </c>
      <c r="H1702" s="21" t="s">
        <v>11415</v>
      </c>
      <c r="I1702" s="21" t="s">
        <v>26929</v>
      </c>
    </row>
    <row r="1703" customFormat="false" ht="15" hidden="false" customHeight="false" outlineLevel="0" collapsed="false">
      <c r="B1703" s="19" t="s">
        <v>27061</v>
      </c>
      <c r="C1703" s="20" t="n">
        <f aca="false">ROUND(3.9/FX,2)</f>
        <v>0.54</v>
      </c>
      <c r="D1703" s="21" t="s">
        <v>724</v>
      </c>
      <c r="E1703" s="21" t="s">
        <v>734</v>
      </c>
      <c r="F1703" s="21" t="s">
        <v>26980</v>
      </c>
      <c r="G1703" s="21" t="s">
        <v>784</v>
      </c>
      <c r="H1703" s="21" t="s">
        <v>11415</v>
      </c>
      <c r="I1703" s="21" t="s">
        <v>26929</v>
      </c>
    </row>
    <row r="1704" customFormat="false" ht="15" hidden="false" customHeight="false" outlineLevel="0" collapsed="false">
      <c r="B1704" s="19" t="s">
        <v>27062</v>
      </c>
      <c r="C1704" s="20" t="n">
        <f aca="false">ROUND(3.9/FX,2)</f>
        <v>0.54</v>
      </c>
      <c r="D1704" s="21" t="s">
        <v>724</v>
      </c>
      <c r="E1704" s="21" t="s">
        <v>734</v>
      </c>
      <c r="F1704" s="21" t="s">
        <v>26980</v>
      </c>
      <c r="G1704" s="21" t="s">
        <v>3328</v>
      </c>
      <c r="H1704" s="21" t="s">
        <v>11415</v>
      </c>
      <c r="I1704" s="21" t="s">
        <v>26929</v>
      </c>
    </row>
    <row r="1705" customFormat="false" ht="15" hidden="false" customHeight="false" outlineLevel="0" collapsed="false">
      <c r="B1705" s="19" t="s">
        <v>27063</v>
      </c>
      <c r="C1705" s="20" t="n">
        <f aca="false">ROUND(5.2/FX,2)</f>
        <v>0.72</v>
      </c>
      <c r="D1705" s="21" t="s">
        <v>724</v>
      </c>
      <c r="E1705" s="21" t="s">
        <v>734</v>
      </c>
      <c r="F1705" s="21" t="s">
        <v>26980</v>
      </c>
      <c r="G1705" s="21" t="s">
        <v>6246</v>
      </c>
      <c r="H1705" s="21" t="s">
        <v>11415</v>
      </c>
      <c r="I1705" s="21" t="s">
        <v>26929</v>
      </c>
    </row>
    <row r="1706" customFormat="false" ht="15" hidden="false" customHeight="false" outlineLevel="0" collapsed="false">
      <c r="B1706" s="19" t="s">
        <v>27064</v>
      </c>
      <c r="C1706" s="20" t="n">
        <f aca="false">ROUND(5.2/FX,2)</f>
        <v>0.72</v>
      </c>
      <c r="D1706" s="21" t="s">
        <v>724</v>
      </c>
      <c r="E1706" s="21" t="s">
        <v>734</v>
      </c>
      <c r="F1706" s="21" t="s">
        <v>26980</v>
      </c>
      <c r="G1706" s="21" t="s">
        <v>7358</v>
      </c>
      <c r="H1706" s="21" t="s">
        <v>11415</v>
      </c>
      <c r="I1706" s="21" t="s">
        <v>26929</v>
      </c>
    </row>
    <row r="1707" customFormat="false" ht="15" hidden="false" customHeight="false" outlineLevel="0" collapsed="false">
      <c r="B1707" s="19" t="s">
        <v>27065</v>
      </c>
      <c r="C1707" s="20" t="n">
        <f aca="false">ROUND(6.5/FX,2)</f>
        <v>0.9</v>
      </c>
      <c r="D1707" s="21" t="s">
        <v>724</v>
      </c>
      <c r="E1707" s="21" t="s">
        <v>734</v>
      </c>
      <c r="F1707" s="21" t="s">
        <v>26980</v>
      </c>
      <c r="G1707" s="21" t="s">
        <v>2911</v>
      </c>
      <c r="H1707" s="21" t="s">
        <v>11415</v>
      </c>
      <c r="I1707" s="21" t="s">
        <v>26929</v>
      </c>
    </row>
    <row r="1708" customFormat="false" ht="15" hidden="false" customHeight="false" outlineLevel="0" collapsed="false">
      <c r="B1708" s="19" t="s">
        <v>27066</v>
      </c>
      <c r="C1708" s="20" t="n">
        <f aca="false">ROUND(6.5/FX,2)</f>
        <v>0.9</v>
      </c>
      <c r="D1708" s="21" t="s">
        <v>724</v>
      </c>
      <c r="E1708" s="21" t="s">
        <v>734</v>
      </c>
      <c r="F1708" s="21" t="s">
        <v>26980</v>
      </c>
      <c r="G1708" s="21" t="s">
        <v>7275</v>
      </c>
      <c r="H1708" s="21" t="s">
        <v>11415</v>
      </c>
      <c r="I1708" s="21" t="s">
        <v>26929</v>
      </c>
    </row>
    <row r="1709" customFormat="false" ht="15" hidden="false" customHeight="false" outlineLevel="0" collapsed="false">
      <c r="B1709" s="19" t="s">
        <v>27067</v>
      </c>
      <c r="C1709" s="20" t="n">
        <f aca="false">ROUND(6.5/FX,2)</f>
        <v>0.9</v>
      </c>
      <c r="D1709" s="21" t="s">
        <v>724</v>
      </c>
      <c r="E1709" s="21" t="s">
        <v>734</v>
      </c>
      <c r="F1709" s="21" t="s">
        <v>26980</v>
      </c>
      <c r="G1709" s="21" t="s">
        <v>2961</v>
      </c>
      <c r="H1709" s="21" t="s">
        <v>11415</v>
      </c>
      <c r="I1709" s="21" t="s">
        <v>26929</v>
      </c>
    </row>
    <row r="1710" customFormat="false" ht="15" hidden="false" customHeight="false" outlineLevel="0" collapsed="false">
      <c r="B1710" s="19" t="s">
        <v>27068</v>
      </c>
      <c r="C1710" s="20" t="n">
        <f aca="false">ROUND(5.2/FX,2)</f>
        <v>0.72</v>
      </c>
      <c r="D1710" s="21" t="s">
        <v>724</v>
      </c>
      <c r="E1710" s="21" t="s">
        <v>734</v>
      </c>
      <c r="F1710" s="21" t="s">
        <v>26980</v>
      </c>
      <c r="G1710" s="21" t="s">
        <v>707</v>
      </c>
      <c r="H1710" s="21" t="s">
        <v>26884</v>
      </c>
      <c r="I1710" s="21" t="s">
        <v>26929</v>
      </c>
    </row>
    <row r="1711" customFormat="false" ht="15" hidden="false" customHeight="false" outlineLevel="0" collapsed="false">
      <c r="B1711" s="19" t="s">
        <v>27069</v>
      </c>
      <c r="C1711" s="20" t="n">
        <f aca="false">ROUND(5.2/FX,2)</f>
        <v>0.72</v>
      </c>
      <c r="D1711" s="21" t="s">
        <v>724</v>
      </c>
      <c r="E1711" s="21" t="s">
        <v>734</v>
      </c>
      <c r="F1711" s="21" t="s">
        <v>26980</v>
      </c>
      <c r="G1711" s="21" t="s">
        <v>761</v>
      </c>
      <c r="H1711" s="21" t="s">
        <v>26884</v>
      </c>
      <c r="I1711" s="21" t="s">
        <v>26929</v>
      </c>
    </row>
    <row r="1712" customFormat="false" ht="15" hidden="false" customHeight="false" outlineLevel="0" collapsed="false">
      <c r="B1712" s="19" t="s">
        <v>27070</v>
      </c>
      <c r="C1712" s="20" t="n">
        <f aca="false">ROUND(5.2/FX,2)</f>
        <v>0.72</v>
      </c>
      <c r="D1712" s="21" t="s">
        <v>724</v>
      </c>
      <c r="E1712" s="21" t="s">
        <v>734</v>
      </c>
      <c r="F1712" s="21" t="s">
        <v>26980</v>
      </c>
      <c r="G1712" s="21" t="s">
        <v>714</v>
      </c>
      <c r="H1712" s="21" t="s">
        <v>26884</v>
      </c>
      <c r="I1712" s="21" t="s">
        <v>26929</v>
      </c>
    </row>
    <row r="1713" customFormat="false" ht="15" hidden="false" customHeight="false" outlineLevel="0" collapsed="false">
      <c r="B1713" s="19" t="s">
        <v>27071</v>
      </c>
      <c r="C1713" s="20" t="n">
        <f aca="false">ROUND(5.2/FX,2)</f>
        <v>0.72</v>
      </c>
      <c r="D1713" s="21" t="s">
        <v>724</v>
      </c>
      <c r="E1713" s="21" t="s">
        <v>734</v>
      </c>
      <c r="F1713" s="21" t="s">
        <v>26980</v>
      </c>
      <c r="G1713" s="21" t="s">
        <v>4000</v>
      </c>
      <c r="H1713" s="21" t="s">
        <v>26884</v>
      </c>
      <c r="I1713" s="21" t="s">
        <v>26929</v>
      </c>
    </row>
    <row r="1714" customFormat="false" ht="15" hidden="false" customHeight="false" outlineLevel="0" collapsed="false">
      <c r="B1714" s="19" t="s">
        <v>27072</v>
      </c>
      <c r="C1714" s="20" t="n">
        <f aca="false">ROUND(5.2/FX,2)</f>
        <v>0.72</v>
      </c>
      <c r="D1714" s="21" t="s">
        <v>724</v>
      </c>
      <c r="E1714" s="21" t="s">
        <v>734</v>
      </c>
      <c r="F1714" s="21" t="s">
        <v>26980</v>
      </c>
      <c r="G1714" s="21" t="s">
        <v>3247</v>
      </c>
      <c r="H1714" s="21" t="s">
        <v>26884</v>
      </c>
      <c r="I1714" s="21" t="s">
        <v>26929</v>
      </c>
    </row>
    <row r="1715" customFormat="false" ht="15" hidden="false" customHeight="false" outlineLevel="0" collapsed="false">
      <c r="B1715" s="19" t="s">
        <v>27073</v>
      </c>
      <c r="C1715" s="20" t="n">
        <f aca="false">ROUND(5.2/FX,2)</f>
        <v>0.72</v>
      </c>
      <c r="D1715" s="21" t="s">
        <v>724</v>
      </c>
      <c r="E1715" s="21" t="s">
        <v>734</v>
      </c>
      <c r="F1715" s="21" t="s">
        <v>26980</v>
      </c>
      <c r="G1715" s="21" t="s">
        <v>3317</v>
      </c>
      <c r="H1715" s="21" t="s">
        <v>26884</v>
      </c>
      <c r="I1715" s="21" t="s">
        <v>26929</v>
      </c>
    </row>
    <row r="1716" customFormat="false" ht="15" hidden="false" customHeight="false" outlineLevel="0" collapsed="false">
      <c r="B1716" s="19" t="s">
        <v>27074</v>
      </c>
      <c r="C1716" s="20" t="n">
        <f aca="false">ROUND(5.2/FX,2)</f>
        <v>0.72</v>
      </c>
      <c r="D1716" s="21" t="s">
        <v>724</v>
      </c>
      <c r="E1716" s="21" t="s">
        <v>734</v>
      </c>
      <c r="F1716" s="21" t="s">
        <v>26980</v>
      </c>
      <c r="G1716" s="21" t="s">
        <v>784</v>
      </c>
      <c r="H1716" s="21" t="s">
        <v>26884</v>
      </c>
      <c r="I1716" s="21" t="s">
        <v>26929</v>
      </c>
    </row>
    <row r="1717" customFormat="false" ht="15" hidden="false" customHeight="false" outlineLevel="0" collapsed="false">
      <c r="B1717" s="19" t="s">
        <v>27075</v>
      </c>
      <c r="C1717" s="20" t="n">
        <f aca="false">ROUND(5.2/FX,2)</f>
        <v>0.72</v>
      </c>
      <c r="D1717" s="21" t="s">
        <v>724</v>
      </c>
      <c r="E1717" s="21" t="s">
        <v>734</v>
      </c>
      <c r="F1717" s="21" t="s">
        <v>26980</v>
      </c>
      <c r="G1717" s="21" t="s">
        <v>3328</v>
      </c>
      <c r="H1717" s="21" t="s">
        <v>26884</v>
      </c>
      <c r="I1717" s="21" t="s">
        <v>26929</v>
      </c>
    </row>
    <row r="1718" customFormat="false" ht="15" hidden="false" customHeight="false" outlineLevel="0" collapsed="false">
      <c r="B1718" s="19" t="s">
        <v>27076</v>
      </c>
      <c r="C1718" s="20" t="n">
        <f aca="false">ROUND(5.2/FX,2)</f>
        <v>0.72</v>
      </c>
      <c r="D1718" s="21" t="s">
        <v>724</v>
      </c>
      <c r="E1718" s="21" t="s">
        <v>734</v>
      </c>
      <c r="F1718" s="21" t="s">
        <v>26980</v>
      </c>
      <c r="G1718" s="21" t="s">
        <v>6246</v>
      </c>
      <c r="H1718" s="21" t="s">
        <v>26884</v>
      </c>
      <c r="I1718" s="21" t="s">
        <v>26929</v>
      </c>
    </row>
    <row r="1719" customFormat="false" ht="15" hidden="false" customHeight="false" outlineLevel="0" collapsed="false">
      <c r="B1719" s="19" t="s">
        <v>27077</v>
      </c>
      <c r="C1719" s="20" t="n">
        <f aca="false">ROUND(5.2/FX,2)</f>
        <v>0.72</v>
      </c>
      <c r="D1719" s="21" t="s">
        <v>724</v>
      </c>
      <c r="E1719" s="21" t="s">
        <v>734</v>
      </c>
      <c r="F1719" s="21" t="s">
        <v>26980</v>
      </c>
      <c r="G1719" s="21" t="s">
        <v>716</v>
      </c>
      <c r="H1719" s="21" t="s">
        <v>26884</v>
      </c>
      <c r="I1719" s="21" t="s">
        <v>26929</v>
      </c>
    </row>
    <row r="1720" customFormat="false" ht="15" hidden="false" customHeight="false" outlineLevel="0" collapsed="false">
      <c r="B1720" s="19" t="s">
        <v>27078</v>
      </c>
      <c r="C1720" s="20" t="n">
        <f aca="false">ROUND(5.2/FX,2)</f>
        <v>0.72</v>
      </c>
      <c r="D1720" s="21" t="s">
        <v>724</v>
      </c>
      <c r="E1720" s="21" t="s">
        <v>734</v>
      </c>
      <c r="F1720" s="21" t="s">
        <v>26980</v>
      </c>
      <c r="G1720" s="21" t="s">
        <v>847</v>
      </c>
      <c r="H1720" s="21" t="s">
        <v>26884</v>
      </c>
      <c r="I1720" s="21" t="s">
        <v>26929</v>
      </c>
    </row>
    <row r="1721" customFormat="false" ht="15" hidden="false" customHeight="false" outlineLevel="0" collapsed="false">
      <c r="B1721" s="19" t="s">
        <v>27079</v>
      </c>
      <c r="C1721" s="20" t="n">
        <f aca="false">ROUND(3.9/FX,2)</f>
        <v>0.54</v>
      </c>
      <c r="D1721" s="21" t="s">
        <v>27080</v>
      </c>
      <c r="E1721" s="21" t="s">
        <v>734</v>
      </c>
      <c r="F1721" s="21" t="s">
        <v>26980</v>
      </c>
      <c r="G1721" s="21" t="s">
        <v>707</v>
      </c>
      <c r="H1721" s="21" t="s">
        <v>11407</v>
      </c>
      <c r="I1721" s="21" t="s">
        <v>26929</v>
      </c>
    </row>
    <row r="1722" customFormat="false" ht="15" hidden="false" customHeight="false" outlineLevel="0" collapsed="false">
      <c r="B1722" s="19" t="s">
        <v>27081</v>
      </c>
      <c r="C1722" s="20" t="n">
        <f aca="false">ROUND(6.5/FX,2)</f>
        <v>0.9</v>
      </c>
      <c r="D1722" s="21" t="s">
        <v>27080</v>
      </c>
      <c r="E1722" s="21" t="s">
        <v>734</v>
      </c>
      <c r="F1722" s="21" t="s">
        <v>26980</v>
      </c>
      <c r="G1722" s="21" t="s">
        <v>2600</v>
      </c>
      <c r="H1722" s="21" t="s">
        <v>11407</v>
      </c>
      <c r="I1722" s="21" t="s">
        <v>26929</v>
      </c>
    </row>
    <row r="1723" customFormat="false" ht="15" hidden="false" customHeight="false" outlineLevel="0" collapsed="false">
      <c r="B1723" s="19" t="s">
        <v>27082</v>
      </c>
      <c r="C1723" s="20" t="n">
        <f aca="false">ROUND(3.9/FX,2)</f>
        <v>0.54</v>
      </c>
      <c r="D1723" s="21" t="s">
        <v>27080</v>
      </c>
      <c r="E1723" s="21" t="s">
        <v>734</v>
      </c>
      <c r="F1723" s="21" t="s">
        <v>26980</v>
      </c>
      <c r="G1723" s="21" t="s">
        <v>761</v>
      </c>
      <c r="H1723" s="21" t="s">
        <v>11407</v>
      </c>
      <c r="I1723" s="21" t="s">
        <v>26929</v>
      </c>
    </row>
    <row r="1724" customFormat="false" ht="15" hidden="false" customHeight="false" outlineLevel="0" collapsed="false">
      <c r="B1724" s="19" t="s">
        <v>27083</v>
      </c>
      <c r="C1724" s="20" t="n">
        <f aca="false">ROUND(3.9/FX,2)</f>
        <v>0.54</v>
      </c>
      <c r="D1724" s="21" t="s">
        <v>27080</v>
      </c>
      <c r="E1724" s="21" t="s">
        <v>734</v>
      </c>
      <c r="F1724" s="21" t="s">
        <v>26980</v>
      </c>
      <c r="G1724" s="21" t="s">
        <v>714</v>
      </c>
      <c r="H1724" s="21" t="s">
        <v>11407</v>
      </c>
      <c r="I1724" s="21" t="s">
        <v>26929</v>
      </c>
    </row>
    <row r="1725" customFormat="false" ht="15" hidden="false" customHeight="false" outlineLevel="0" collapsed="false">
      <c r="B1725" s="19" t="s">
        <v>27084</v>
      </c>
      <c r="C1725" s="20" t="n">
        <f aca="false">ROUND(3.9/FX,2)</f>
        <v>0.54</v>
      </c>
      <c r="D1725" s="21" t="s">
        <v>27080</v>
      </c>
      <c r="E1725" s="21" t="s">
        <v>734</v>
      </c>
      <c r="F1725" s="21" t="s">
        <v>26980</v>
      </c>
      <c r="G1725" s="21" t="s">
        <v>4000</v>
      </c>
      <c r="H1725" s="21" t="s">
        <v>11407</v>
      </c>
      <c r="I1725" s="21" t="s">
        <v>26929</v>
      </c>
    </row>
    <row r="1726" customFormat="false" ht="15" hidden="false" customHeight="false" outlineLevel="0" collapsed="false">
      <c r="B1726" s="19" t="s">
        <v>27085</v>
      </c>
      <c r="C1726" s="20" t="n">
        <f aca="false">ROUND(3.9/FX,2)</f>
        <v>0.54</v>
      </c>
      <c r="D1726" s="21" t="s">
        <v>27080</v>
      </c>
      <c r="E1726" s="21" t="s">
        <v>734</v>
      </c>
      <c r="F1726" s="21" t="s">
        <v>26980</v>
      </c>
      <c r="G1726" s="21" t="s">
        <v>3247</v>
      </c>
      <c r="H1726" s="21" t="s">
        <v>11407</v>
      </c>
      <c r="I1726" s="21" t="s">
        <v>26929</v>
      </c>
    </row>
    <row r="1727" customFormat="false" ht="15" hidden="false" customHeight="false" outlineLevel="0" collapsed="false">
      <c r="B1727" s="19" t="s">
        <v>27086</v>
      </c>
      <c r="C1727" s="20" t="n">
        <f aca="false">ROUND(3.9/FX,2)</f>
        <v>0.54</v>
      </c>
      <c r="D1727" s="21" t="s">
        <v>27080</v>
      </c>
      <c r="E1727" s="21" t="s">
        <v>734</v>
      </c>
      <c r="F1727" s="21" t="s">
        <v>26980</v>
      </c>
      <c r="G1727" s="21" t="s">
        <v>3317</v>
      </c>
      <c r="H1727" s="21" t="s">
        <v>11407</v>
      </c>
      <c r="I1727" s="21" t="s">
        <v>26929</v>
      </c>
    </row>
    <row r="1728" customFormat="false" ht="15" hidden="false" customHeight="false" outlineLevel="0" collapsed="false">
      <c r="B1728" s="19" t="s">
        <v>27087</v>
      </c>
      <c r="C1728" s="20" t="n">
        <f aca="false">ROUND(3.9/FX,2)</f>
        <v>0.54</v>
      </c>
      <c r="D1728" s="21" t="s">
        <v>27080</v>
      </c>
      <c r="E1728" s="21" t="s">
        <v>734</v>
      </c>
      <c r="F1728" s="21" t="s">
        <v>26980</v>
      </c>
      <c r="G1728" s="21" t="s">
        <v>784</v>
      </c>
      <c r="H1728" s="21" t="s">
        <v>11407</v>
      </c>
      <c r="I1728" s="21" t="s">
        <v>26929</v>
      </c>
    </row>
    <row r="1729" customFormat="false" ht="15" hidden="false" customHeight="false" outlineLevel="0" collapsed="false">
      <c r="B1729" s="19" t="s">
        <v>27088</v>
      </c>
      <c r="C1729" s="20" t="n">
        <f aca="false">ROUND(3.9/FX,2)</f>
        <v>0.54</v>
      </c>
      <c r="D1729" s="21" t="s">
        <v>27080</v>
      </c>
      <c r="E1729" s="21" t="s">
        <v>734</v>
      </c>
      <c r="F1729" s="21" t="s">
        <v>26980</v>
      </c>
      <c r="G1729" s="21" t="s">
        <v>3328</v>
      </c>
      <c r="H1729" s="21" t="s">
        <v>11407</v>
      </c>
      <c r="I1729" s="21" t="s">
        <v>26929</v>
      </c>
    </row>
    <row r="1730" customFormat="false" ht="15" hidden="false" customHeight="false" outlineLevel="0" collapsed="false">
      <c r="B1730" s="19" t="s">
        <v>27089</v>
      </c>
      <c r="C1730" s="20" t="n">
        <f aca="false">ROUND(3.9/FX,2)</f>
        <v>0.54</v>
      </c>
      <c r="D1730" s="21" t="s">
        <v>27080</v>
      </c>
      <c r="E1730" s="21" t="s">
        <v>734</v>
      </c>
      <c r="F1730" s="21" t="s">
        <v>26980</v>
      </c>
      <c r="G1730" s="21" t="s">
        <v>6246</v>
      </c>
      <c r="H1730" s="21" t="s">
        <v>11407</v>
      </c>
      <c r="I1730" s="21" t="s">
        <v>26929</v>
      </c>
    </row>
    <row r="1731" customFormat="false" ht="15" hidden="false" customHeight="false" outlineLevel="0" collapsed="false">
      <c r="B1731" s="19" t="s">
        <v>27090</v>
      </c>
      <c r="C1731" s="20" t="n">
        <f aca="false">ROUND(3.9/FX,2)</f>
        <v>0.54</v>
      </c>
      <c r="D1731" s="21" t="s">
        <v>27080</v>
      </c>
      <c r="E1731" s="21" t="s">
        <v>734</v>
      </c>
      <c r="F1731" s="21" t="s">
        <v>26980</v>
      </c>
      <c r="G1731" s="21" t="s">
        <v>7358</v>
      </c>
      <c r="H1731" s="21" t="s">
        <v>11407</v>
      </c>
      <c r="I1731" s="21" t="s">
        <v>26929</v>
      </c>
    </row>
    <row r="1732" customFormat="false" ht="15" hidden="false" customHeight="false" outlineLevel="0" collapsed="false">
      <c r="B1732" s="19" t="s">
        <v>27091</v>
      </c>
      <c r="C1732" s="20" t="n">
        <f aca="false">ROUND(3.9/FX,2)</f>
        <v>0.54</v>
      </c>
      <c r="D1732" s="21" t="s">
        <v>27080</v>
      </c>
      <c r="E1732" s="21" t="s">
        <v>734</v>
      </c>
      <c r="F1732" s="21" t="s">
        <v>26980</v>
      </c>
      <c r="G1732" s="21" t="s">
        <v>2911</v>
      </c>
      <c r="H1732" s="21" t="s">
        <v>11407</v>
      </c>
      <c r="I1732" s="21" t="s">
        <v>26929</v>
      </c>
    </row>
    <row r="1733" customFormat="false" ht="15" hidden="false" customHeight="false" outlineLevel="0" collapsed="false">
      <c r="B1733" s="19" t="s">
        <v>27092</v>
      </c>
      <c r="C1733" s="20" t="n">
        <f aca="false">ROUND(3.9/FX,2)</f>
        <v>0.54</v>
      </c>
      <c r="D1733" s="21" t="s">
        <v>27080</v>
      </c>
      <c r="E1733" s="21" t="s">
        <v>734</v>
      </c>
      <c r="F1733" s="21" t="s">
        <v>26980</v>
      </c>
      <c r="G1733" s="21" t="s">
        <v>716</v>
      </c>
      <c r="H1733" s="21" t="s">
        <v>11407</v>
      </c>
      <c r="I1733" s="21" t="s">
        <v>26929</v>
      </c>
    </row>
    <row r="1734" customFormat="false" ht="15" hidden="false" customHeight="false" outlineLevel="0" collapsed="false">
      <c r="B1734" s="19" t="s">
        <v>27093</v>
      </c>
      <c r="C1734" s="20" t="n">
        <f aca="false">ROUND(5.2/FX,2)</f>
        <v>0.72</v>
      </c>
      <c r="D1734" s="21" t="s">
        <v>27080</v>
      </c>
      <c r="E1734" s="21" t="s">
        <v>734</v>
      </c>
      <c r="F1734" s="21" t="s">
        <v>26980</v>
      </c>
      <c r="G1734" s="21" t="s">
        <v>2961</v>
      </c>
      <c r="H1734" s="21" t="s">
        <v>11407</v>
      </c>
      <c r="I1734" s="21" t="s">
        <v>26929</v>
      </c>
    </row>
    <row r="1735" customFormat="false" ht="15" hidden="false" customHeight="false" outlineLevel="0" collapsed="false">
      <c r="B1735" s="19" t="s">
        <v>27094</v>
      </c>
      <c r="C1735" s="20" t="n">
        <f aca="false">ROUND(5.2/FX,2)</f>
        <v>0.72</v>
      </c>
      <c r="D1735" s="21" t="s">
        <v>27080</v>
      </c>
      <c r="E1735" s="21" t="s">
        <v>734</v>
      </c>
      <c r="F1735" s="21" t="s">
        <v>26980</v>
      </c>
      <c r="G1735" s="21" t="s">
        <v>3011</v>
      </c>
      <c r="H1735" s="21" t="s">
        <v>11407</v>
      </c>
      <c r="I1735" s="21" t="s">
        <v>26929</v>
      </c>
    </row>
    <row r="1736" customFormat="false" ht="15" hidden="false" customHeight="false" outlineLevel="0" collapsed="false">
      <c r="B1736" s="19" t="s">
        <v>27095</v>
      </c>
      <c r="C1736" s="20" t="n">
        <f aca="false">ROUND(3.9/FX,2)</f>
        <v>0.54</v>
      </c>
      <c r="D1736" s="21" t="s">
        <v>27080</v>
      </c>
      <c r="E1736" s="21" t="s">
        <v>734</v>
      </c>
      <c r="F1736" s="21" t="s">
        <v>26980</v>
      </c>
      <c r="G1736" s="21" t="s">
        <v>847</v>
      </c>
      <c r="H1736" s="21" t="s">
        <v>11407</v>
      </c>
      <c r="I1736" s="21" t="s">
        <v>26929</v>
      </c>
    </row>
    <row r="1737" customFormat="false" ht="15" hidden="false" customHeight="false" outlineLevel="0" collapsed="false">
      <c r="B1737" s="19" t="s">
        <v>27096</v>
      </c>
      <c r="C1737" s="20" t="n">
        <f aca="false">ROUND(6.5/FX,2)</f>
        <v>0.9</v>
      </c>
      <c r="D1737" s="21" t="s">
        <v>27080</v>
      </c>
      <c r="E1737" s="21" t="s">
        <v>734</v>
      </c>
      <c r="F1737" s="21" t="s">
        <v>26980</v>
      </c>
      <c r="G1737" s="21" t="s">
        <v>3061</v>
      </c>
      <c r="H1737" s="21" t="s">
        <v>11407</v>
      </c>
      <c r="I1737" s="21" t="s">
        <v>26929</v>
      </c>
    </row>
    <row r="1738" customFormat="false" ht="15" hidden="false" customHeight="false" outlineLevel="0" collapsed="false">
      <c r="B1738" s="19" t="s">
        <v>27097</v>
      </c>
      <c r="C1738" s="20" t="n">
        <f aca="false">ROUND(6.5/FX,2)</f>
        <v>0.9</v>
      </c>
      <c r="D1738" s="21" t="s">
        <v>27080</v>
      </c>
      <c r="E1738" s="21" t="s">
        <v>734</v>
      </c>
      <c r="F1738" s="21" t="s">
        <v>26980</v>
      </c>
      <c r="G1738" s="21" t="s">
        <v>3111</v>
      </c>
      <c r="H1738" s="21" t="s">
        <v>11407</v>
      </c>
      <c r="I1738" s="21" t="s">
        <v>26929</v>
      </c>
    </row>
    <row r="1739" customFormat="false" ht="15" hidden="false" customHeight="false" outlineLevel="0" collapsed="false">
      <c r="B1739" s="19" t="s">
        <v>27098</v>
      </c>
      <c r="C1739" s="20" t="n">
        <f aca="false">ROUND(3.25/FX,2)</f>
        <v>0.45</v>
      </c>
      <c r="D1739" s="21" t="s">
        <v>27080</v>
      </c>
      <c r="E1739" s="21" t="s">
        <v>734</v>
      </c>
      <c r="F1739" s="21" t="s">
        <v>26980</v>
      </c>
      <c r="G1739" s="21" t="s">
        <v>707</v>
      </c>
      <c r="H1739" s="21" t="s">
        <v>11409</v>
      </c>
      <c r="I1739" s="21" t="s">
        <v>26929</v>
      </c>
    </row>
    <row r="1740" customFormat="false" ht="15" hidden="false" customHeight="false" outlineLevel="0" collapsed="false">
      <c r="B1740" s="19" t="s">
        <v>27099</v>
      </c>
      <c r="C1740" s="20" t="n">
        <f aca="false">ROUND(5.2/FX,2)</f>
        <v>0.72</v>
      </c>
      <c r="D1740" s="21" t="s">
        <v>27080</v>
      </c>
      <c r="E1740" s="21" t="s">
        <v>734</v>
      </c>
      <c r="F1740" s="21" t="s">
        <v>26980</v>
      </c>
      <c r="G1740" s="21" t="s">
        <v>2600</v>
      </c>
      <c r="H1740" s="21" t="s">
        <v>11409</v>
      </c>
      <c r="I1740" s="21" t="s">
        <v>26929</v>
      </c>
    </row>
    <row r="1741" customFormat="false" ht="15" hidden="false" customHeight="false" outlineLevel="0" collapsed="false">
      <c r="B1741" s="19" t="s">
        <v>27100</v>
      </c>
      <c r="C1741" s="20" t="n">
        <f aca="false">ROUND(3.25/FX,2)</f>
        <v>0.45</v>
      </c>
      <c r="D1741" s="21" t="s">
        <v>27080</v>
      </c>
      <c r="E1741" s="21" t="s">
        <v>734</v>
      </c>
      <c r="F1741" s="21" t="s">
        <v>26980</v>
      </c>
      <c r="G1741" s="21" t="s">
        <v>761</v>
      </c>
      <c r="H1741" s="21" t="s">
        <v>11409</v>
      </c>
      <c r="I1741" s="21" t="s">
        <v>26929</v>
      </c>
    </row>
    <row r="1742" customFormat="false" ht="15" hidden="false" customHeight="false" outlineLevel="0" collapsed="false">
      <c r="B1742" s="19" t="s">
        <v>27101</v>
      </c>
      <c r="C1742" s="20" t="n">
        <f aca="false">ROUND(3.25/FX,2)</f>
        <v>0.45</v>
      </c>
      <c r="D1742" s="21" t="s">
        <v>27080</v>
      </c>
      <c r="E1742" s="21" t="s">
        <v>734</v>
      </c>
      <c r="F1742" s="21" t="s">
        <v>26980</v>
      </c>
      <c r="G1742" s="21" t="s">
        <v>714</v>
      </c>
      <c r="H1742" s="21" t="s">
        <v>11409</v>
      </c>
      <c r="I1742" s="21" t="s">
        <v>26929</v>
      </c>
    </row>
    <row r="1743" customFormat="false" ht="15" hidden="false" customHeight="false" outlineLevel="0" collapsed="false">
      <c r="B1743" s="19" t="s">
        <v>27102</v>
      </c>
      <c r="C1743" s="20" t="n">
        <f aca="false">ROUND(3.25/FX,2)</f>
        <v>0.45</v>
      </c>
      <c r="D1743" s="21" t="s">
        <v>27080</v>
      </c>
      <c r="E1743" s="21" t="s">
        <v>734</v>
      </c>
      <c r="F1743" s="21" t="s">
        <v>26980</v>
      </c>
      <c r="G1743" s="21" t="s">
        <v>4000</v>
      </c>
      <c r="H1743" s="21" t="s">
        <v>11409</v>
      </c>
      <c r="I1743" s="21" t="s">
        <v>26929</v>
      </c>
    </row>
    <row r="1744" customFormat="false" ht="15" hidden="false" customHeight="false" outlineLevel="0" collapsed="false">
      <c r="B1744" s="19" t="s">
        <v>27103</v>
      </c>
      <c r="C1744" s="20" t="n">
        <f aca="false">ROUND(3.25/FX,2)</f>
        <v>0.45</v>
      </c>
      <c r="D1744" s="21" t="s">
        <v>27080</v>
      </c>
      <c r="E1744" s="21" t="s">
        <v>734</v>
      </c>
      <c r="F1744" s="21" t="s">
        <v>26980</v>
      </c>
      <c r="G1744" s="21" t="s">
        <v>3247</v>
      </c>
      <c r="H1744" s="21" t="s">
        <v>11409</v>
      </c>
      <c r="I1744" s="21" t="s">
        <v>26929</v>
      </c>
    </row>
    <row r="1745" customFormat="false" ht="15" hidden="false" customHeight="false" outlineLevel="0" collapsed="false">
      <c r="B1745" s="19" t="s">
        <v>27104</v>
      </c>
      <c r="C1745" s="20" t="n">
        <f aca="false">ROUND(3.25/FX,2)</f>
        <v>0.45</v>
      </c>
      <c r="D1745" s="21" t="s">
        <v>27080</v>
      </c>
      <c r="E1745" s="21" t="s">
        <v>734</v>
      </c>
      <c r="F1745" s="21" t="s">
        <v>26980</v>
      </c>
      <c r="G1745" s="21" t="s">
        <v>3317</v>
      </c>
      <c r="H1745" s="21" t="s">
        <v>11409</v>
      </c>
      <c r="I1745" s="21" t="s">
        <v>26929</v>
      </c>
    </row>
    <row r="1746" customFormat="false" ht="15" hidden="false" customHeight="false" outlineLevel="0" collapsed="false">
      <c r="B1746" s="19" t="s">
        <v>27105</v>
      </c>
      <c r="C1746" s="20" t="n">
        <f aca="false">ROUND(3.9/FX,2)</f>
        <v>0.54</v>
      </c>
      <c r="D1746" s="21" t="s">
        <v>27080</v>
      </c>
      <c r="E1746" s="21" t="s">
        <v>734</v>
      </c>
      <c r="F1746" s="21" t="s">
        <v>26980</v>
      </c>
      <c r="G1746" s="21" t="s">
        <v>784</v>
      </c>
      <c r="H1746" s="21" t="s">
        <v>11409</v>
      </c>
      <c r="I1746" s="21" t="s">
        <v>26929</v>
      </c>
    </row>
    <row r="1747" customFormat="false" ht="15" hidden="false" customHeight="false" outlineLevel="0" collapsed="false">
      <c r="B1747" s="19" t="s">
        <v>27106</v>
      </c>
      <c r="C1747" s="20" t="n">
        <f aca="false">ROUND(3.9/FX,2)</f>
        <v>0.54</v>
      </c>
      <c r="D1747" s="21" t="s">
        <v>27080</v>
      </c>
      <c r="E1747" s="21" t="s">
        <v>734</v>
      </c>
      <c r="F1747" s="21" t="s">
        <v>26980</v>
      </c>
      <c r="G1747" s="21" t="s">
        <v>3328</v>
      </c>
      <c r="H1747" s="21" t="s">
        <v>11409</v>
      </c>
      <c r="I1747" s="21" t="s">
        <v>26929</v>
      </c>
    </row>
    <row r="1748" customFormat="false" ht="15" hidden="false" customHeight="false" outlineLevel="0" collapsed="false">
      <c r="B1748" s="19" t="s">
        <v>27107</v>
      </c>
      <c r="C1748" s="20" t="n">
        <f aca="false">ROUND(3.9/FX,2)</f>
        <v>0.54</v>
      </c>
      <c r="D1748" s="21" t="s">
        <v>27080</v>
      </c>
      <c r="E1748" s="21" t="s">
        <v>734</v>
      </c>
      <c r="F1748" s="21" t="s">
        <v>26980</v>
      </c>
      <c r="G1748" s="21" t="s">
        <v>6246</v>
      </c>
      <c r="H1748" s="21" t="s">
        <v>11409</v>
      </c>
      <c r="I1748" s="21" t="s">
        <v>26929</v>
      </c>
    </row>
    <row r="1749" customFormat="false" ht="15" hidden="false" customHeight="false" outlineLevel="0" collapsed="false">
      <c r="B1749" s="19" t="s">
        <v>27108</v>
      </c>
      <c r="C1749" s="20" t="n">
        <f aca="false">ROUND(3.9/FX,2)</f>
        <v>0.54</v>
      </c>
      <c r="D1749" s="21" t="s">
        <v>27080</v>
      </c>
      <c r="E1749" s="21" t="s">
        <v>734</v>
      </c>
      <c r="F1749" s="21" t="s">
        <v>26980</v>
      </c>
      <c r="G1749" s="21" t="s">
        <v>7358</v>
      </c>
      <c r="H1749" s="21" t="s">
        <v>11409</v>
      </c>
      <c r="I1749" s="21" t="s">
        <v>26929</v>
      </c>
    </row>
    <row r="1750" customFormat="false" ht="15" hidden="false" customHeight="false" outlineLevel="0" collapsed="false">
      <c r="B1750" s="19" t="s">
        <v>27109</v>
      </c>
      <c r="C1750" s="20" t="n">
        <f aca="false">ROUND(3.9/FX,2)</f>
        <v>0.54</v>
      </c>
      <c r="D1750" s="21" t="s">
        <v>27080</v>
      </c>
      <c r="E1750" s="21" t="s">
        <v>734</v>
      </c>
      <c r="F1750" s="21" t="s">
        <v>26980</v>
      </c>
      <c r="G1750" s="21" t="s">
        <v>2911</v>
      </c>
      <c r="H1750" s="21" t="s">
        <v>11409</v>
      </c>
      <c r="I1750" s="21" t="s">
        <v>26929</v>
      </c>
    </row>
    <row r="1751" customFormat="false" ht="15" hidden="false" customHeight="false" outlineLevel="0" collapsed="false">
      <c r="B1751" s="19" t="s">
        <v>27110</v>
      </c>
      <c r="C1751" s="20" t="n">
        <f aca="false">ROUND(3.25/FX,2)</f>
        <v>0.45</v>
      </c>
      <c r="D1751" s="21" t="s">
        <v>27080</v>
      </c>
      <c r="E1751" s="21" t="s">
        <v>734</v>
      </c>
      <c r="F1751" s="21" t="s">
        <v>26980</v>
      </c>
      <c r="G1751" s="21" t="s">
        <v>716</v>
      </c>
      <c r="H1751" s="21" t="s">
        <v>11409</v>
      </c>
      <c r="I1751" s="21" t="s">
        <v>26929</v>
      </c>
    </row>
    <row r="1752" customFormat="false" ht="15" hidden="false" customHeight="false" outlineLevel="0" collapsed="false">
      <c r="B1752" s="19" t="s">
        <v>27111</v>
      </c>
      <c r="C1752" s="20" t="n">
        <f aca="false">ROUND(5.2/FX,2)</f>
        <v>0.72</v>
      </c>
      <c r="D1752" s="21" t="s">
        <v>27080</v>
      </c>
      <c r="E1752" s="21" t="s">
        <v>734</v>
      </c>
      <c r="F1752" s="21" t="s">
        <v>26980</v>
      </c>
      <c r="G1752" s="21" t="s">
        <v>2961</v>
      </c>
      <c r="H1752" s="21" t="s">
        <v>11409</v>
      </c>
      <c r="I1752" s="21" t="s">
        <v>26929</v>
      </c>
    </row>
    <row r="1753" customFormat="false" ht="15" hidden="false" customHeight="false" outlineLevel="0" collapsed="false">
      <c r="B1753" s="19" t="s">
        <v>27112</v>
      </c>
      <c r="C1753" s="20" t="n">
        <f aca="false">ROUND(5.2/FX,2)</f>
        <v>0.72</v>
      </c>
      <c r="D1753" s="21" t="s">
        <v>27080</v>
      </c>
      <c r="E1753" s="21" t="s">
        <v>734</v>
      </c>
      <c r="F1753" s="21" t="s">
        <v>26980</v>
      </c>
      <c r="G1753" s="21" t="s">
        <v>3011</v>
      </c>
      <c r="H1753" s="21" t="s">
        <v>11409</v>
      </c>
      <c r="I1753" s="21" t="s">
        <v>26929</v>
      </c>
    </row>
    <row r="1754" customFormat="false" ht="15" hidden="false" customHeight="false" outlineLevel="0" collapsed="false">
      <c r="B1754" s="19" t="s">
        <v>27113</v>
      </c>
      <c r="C1754" s="20" t="n">
        <f aca="false">ROUND(3.25/FX,2)</f>
        <v>0.45</v>
      </c>
      <c r="D1754" s="21" t="s">
        <v>27080</v>
      </c>
      <c r="E1754" s="21" t="s">
        <v>734</v>
      </c>
      <c r="F1754" s="21" t="s">
        <v>26980</v>
      </c>
      <c r="G1754" s="21" t="s">
        <v>847</v>
      </c>
      <c r="H1754" s="21" t="s">
        <v>11409</v>
      </c>
      <c r="I1754" s="21" t="s">
        <v>26929</v>
      </c>
    </row>
    <row r="1755" customFormat="false" ht="15" hidden="false" customHeight="false" outlineLevel="0" collapsed="false">
      <c r="B1755" s="19" t="s">
        <v>27114</v>
      </c>
      <c r="C1755" s="20" t="n">
        <f aca="false">ROUND(5.2/FX,2)</f>
        <v>0.72</v>
      </c>
      <c r="D1755" s="21" t="s">
        <v>27080</v>
      </c>
      <c r="E1755" s="21" t="s">
        <v>734</v>
      </c>
      <c r="F1755" s="21" t="s">
        <v>26980</v>
      </c>
      <c r="G1755" s="21" t="s">
        <v>3061</v>
      </c>
      <c r="H1755" s="21" t="s">
        <v>11409</v>
      </c>
      <c r="I1755" s="21" t="s">
        <v>26929</v>
      </c>
    </row>
    <row r="1756" customFormat="false" ht="15" hidden="false" customHeight="false" outlineLevel="0" collapsed="false">
      <c r="B1756" s="19" t="s">
        <v>27115</v>
      </c>
      <c r="C1756" s="20" t="n">
        <f aca="false">ROUND(5.2/FX,2)</f>
        <v>0.72</v>
      </c>
      <c r="D1756" s="21" t="s">
        <v>27080</v>
      </c>
      <c r="E1756" s="21" t="s">
        <v>734</v>
      </c>
      <c r="F1756" s="21" t="s">
        <v>26980</v>
      </c>
      <c r="G1756" s="21" t="s">
        <v>3111</v>
      </c>
      <c r="H1756" s="21" t="s">
        <v>11409</v>
      </c>
      <c r="I1756" s="21" t="s">
        <v>26929</v>
      </c>
    </row>
    <row r="1757" customFormat="false" ht="15" hidden="false" customHeight="false" outlineLevel="0" collapsed="false">
      <c r="B1757" s="19" t="s">
        <v>27116</v>
      </c>
      <c r="C1757" s="20" t="n">
        <f aca="false">ROUND(3.9/FX,2)</f>
        <v>0.54</v>
      </c>
      <c r="D1757" s="21" t="s">
        <v>27080</v>
      </c>
      <c r="E1757" s="21" t="s">
        <v>734</v>
      </c>
      <c r="F1757" s="21" t="s">
        <v>26980</v>
      </c>
      <c r="G1757" s="21" t="s">
        <v>707</v>
      </c>
      <c r="H1757" s="21" t="s">
        <v>11411</v>
      </c>
      <c r="I1757" s="21" t="s">
        <v>26929</v>
      </c>
    </row>
    <row r="1758" customFormat="false" ht="15" hidden="false" customHeight="false" outlineLevel="0" collapsed="false">
      <c r="B1758" s="19" t="s">
        <v>27117</v>
      </c>
      <c r="C1758" s="20" t="n">
        <f aca="false">ROUND(6.5/FX,2)</f>
        <v>0.9</v>
      </c>
      <c r="D1758" s="21" t="s">
        <v>27080</v>
      </c>
      <c r="E1758" s="21" t="s">
        <v>734</v>
      </c>
      <c r="F1758" s="21" t="s">
        <v>26980</v>
      </c>
      <c r="G1758" s="21" t="s">
        <v>2600</v>
      </c>
      <c r="H1758" s="21" t="s">
        <v>11411</v>
      </c>
      <c r="I1758" s="21" t="s">
        <v>26929</v>
      </c>
    </row>
    <row r="1759" customFormat="false" ht="15" hidden="false" customHeight="false" outlineLevel="0" collapsed="false">
      <c r="B1759" s="19" t="s">
        <v>27118</v>
      </c>
      <c r="C1759" s="20" t="n">
        <f aca="false">ROUND(3.9/FX,2)</f>
        <v>0.54</v>
      </c>
      <c r="D1759" s="21" t="s">
        <v>27080</v>
      </c>
      <c r="E1759" s="21" t="s">
        <v>734</v>
      </c>
      <c r="F1759" s="21" t="s">
        <v>26980</v>
      </c>
      <c r="G1759" s="21" t="s">
        <v>761</v>
      </c>
      <c r="H1759" s="21" t="s">
        <v>11411</v>
      </c>
      <c r="I1759" s="21" t="s">
        <v>26929</v>
      </c>
    </row>
    <row r="1760" customFormat="false" ht="15" hidden="false" customHeight="false" outlineLevel="0" collapsed="false">
      <c r="B1760" s="19" t="s">
        <v>27119</v>
      </c>
      <c r="C1760" s="20" t="n">
        <f aca="false">ROUND(3.9/FX,2)</f>
        <v>0.54</v>
      </c>
      <c r="D1760" s="21" t="s">
        <v>27080</v>
      </c>
      <c r="E1760" s="21" t="s">
        <v>734</v>
      </c>
      <c r="F1760" s="21" t="s">
        <v>26980</v>
      </c>
      <c r="G1760" s="21" t="s">
        <v>714</v>
      </c>
      <c r="H1760" s="21" t="s">
        <v>11411</v>
      </c>
      <c r="I1760" s="21" t="s">
        <v>26929</v>
      </c>
    </row>
    <row r="1761" customFormat="false" ht="15" hidden="false" customHeight="false" outlineLevel="0" collapsed="false">
      <c r="B1761" s="19" t="s">
        <v>27120</v>
      </c>
      <c r="C1761" s="20" t="n">
        <f aca="false">ROUND(3.9/FX,2)</f>
        <v>0.54</v>
      </c>
      <c r="D1761" s="21" t="s">
        <v>27080</v>
      </c>
      <c r="E1761" s="21" t="s">
        <v>734</v>
      </c>
      <c r="F1761" s="21" t="s">
        <v>26980</v>
      </c>
      <c r="G1761" s="21" t="s">
        <v>4000</v>
      </c>
      <c r="H1761" s="21" t="s">
        <v>11411</v>
      </c>
      <c r="I1761" s="21" t="s">
        <v>26929</v>
      </c>
    </row>
    <row r="1762" customFormat="false" ht="15" hidden="false" customHeight="false" outlineLevel="0" collapsed="false">
      <c r="B1762" s="19" t="s">
        <v>27121</v>
      </c>
      <c r="C1762" s="20" t="n">
        <f aca="false">ROUND(3.9/FX,2)</f>
        <v>0.54</v>
      </c>
      <c r="D1762" s="21" t="s">
        <v>27080</v>
      </c>
      <c r="E1762" s="21" t="s">
        <v>734</v>
      </c>
      <c r="F1762" s="21" t="s">
        <v>26980</v>
      </c>
      <c r="G1762" s="21" t="s">
        <v>3247</v>
      </c>
      <c r="H1762" s="21" t="s">
        <v>11411</v>
      </c>
      <c r="I1762" s="21" t="s">
        <v>26929</v>
      </c>
    </row>
    <row r="1763" customFormat="false" ht="15" hidden="false" customHeight="false" outlineLevel="0" collapsed="false">
      <c r="B1763" s="19" t="s">
        <v>27122</v>
      </c>
      <c r="C1763" s="20" t="n">
        <f aca="false">ROUND(3.9/FX,2)</f>
        <v>0.54</v>
      </c>
      <c r="D1763" s="21" t="s">
        <v>27080</v>
      </c>
      <c r="E1763" s="21" t="s">
        <v>734</v>
      </c>
      <c r="F1763" s="21" t="s">
        <v>26980</v>
      </c>
      <c r="G1763" s="21" t="s">
        <v>3317</v>
      </c>
      <c r="H1763" s="21" t="s">
        <v>11411</v>
      </c>
      <c r="I1763" s="21" t="s">
        <v>26929</v>
      </c>
    </row>
    <row r="1764" customFormat="false" ht="15" hidden="false" customHeight="false" outlineLevel="0" collapsed="false">
      <c r="B1764" s="19" t="s">
        <v>27123</v>
      </c>
      <c r="C1764" s="20" t="n">
        <f aca="false">ROUND(3.9/FX,2)</f>
        <v>0.54</v>
      </c>
      <c r="D1764" s="21" t="s">
        <v>27080</v>
      </c>
      <c r="E1764" s="21" t="s">
        <v>734</v>
      </c>
      <c r="F1764" s="21" t="s">
        <v>26980</v>
      </c>
      <c r="G1764" s="21" t="s">
        <v>784</v>
      </c>
      <c r="H1764" s="21" t="s">
        <v>11411</v>
      </c>
      <c r="I1764" s="21" t="s">
        <v>26929</v>
      </c>
    </row>
    <row r="1765" customFormat="false" ht="15" hidden="false" customHeight="false" outlineLevel="0" collapsed="false">
      <c r="B1765" s="19" t="s">
        <v>27124</v>
      </c>
      <c r="C1765" s="20" t="n">
        <f aca="false">ROUND(3.9/FX,2)</f>
        <v>0.54</v>
      </c>
      <c r="D1765" s="21" t="s">
        <v>27080</v>
      </c>
      <c r="E1765" s="21" t="s">
        <v>734</v>
      </c>
      <c r="F1765" s="21" t="s">
        <v>26980</v>
      </c>
      <c r="G1765" s="21" t="s">
        <v>3328</v>
      </c>
      <c r="H1765" s="21" t="s">
        <v>11411</v>
      </c>
      <c r="I1765" s="21" t="s">
        <v>26929</v>
      </c>
    </row>
    <row r="1766" customFormat="false" ht="15" hidden="false" customHeight="false" outlineLevel="0" collapsed="false">
      <c r="B1766" s="19" t="s">
        <v>27125</v>
      </c>
      <c r="C1766" s="20" t="n">
        <f aca="false">ROUND(5.2/FX,2)</f>
        <v>0.72</v>
      </c>
      <c r="D1766" s="21" t="s">
        <v>27080</v>
      </c>
      <c r="E1766" s="21" t="s">
        <v>734</v>
      </c>
      <c r="F1766" s="21" t="s">
        <v>26980</v>
      </c>
      <c r="G1766" s="21" t="s">
        <v>6246</v>
      </c>
      <c r="H1766" s="21" t="s">
        <v>11411</v>
      </c>
      <c r="I1766" s="21" t="s">
        <v>26929</v>
      </c>
    </row>
    <row r="1767" customFormat="false" ht="15" hidden="false" customHeight="false" outlineLevel="0" collapsed="false">
      <c r="B1767" s="19" t="s">
        <v>27126</v>
      </c>
      <c r="C1767" s="20" t="n">
        <f aca="false">ROUND(5.2/FX,2)</f>
        <v>0.72</v>
      </c>
      <c r="D1767" s="21" t="s">
        <v>27080</v>
      </c>
      <c r="E1767" s="21" t="s">
        <v>734</v>
      </c>
      <c r="F1767" s="21" t="s">
        <v>26980</v>
      </c>
      <c r="G1767" s="21" t="s">
        <v>7358</v>
      </c>
      <c r="H1767" s="21" t="s">
        <v>11411</v>
      </c>
      <c r="I1767" s="21" t="s">
        <v>26929</v>
      </c>
    </row>
    <row r="1768" customFormat="false" ht="15" hidden="false" customHeight="false" outlineLevel="0" collapsed="false">
      <c r="B1768" s="19" t="s">
        <v>27127</v>
      </c>
      <c r="C1768" s="20" t="n">
        <f aca="false">ROUND(5.2/FX,2)</f>
        <v>0.72</v>
      </c>
      <c r="D1768" s="21" t="s">
        <v>27080</v>
      </c>
      <c r="E1768" s="21" t="s">
        <v>734</v>
      </c>
      <c r="F1768" s="21" t="s">
        <v>26980</v>
      </c>
      <c r="G1768" s="21" t="s">
        <v>2911</v>
      </c>
      <c r="H1768" s="21" t="s">
        <v>11411</v>
      </c>
      <c r="I1768" s="21" t="s">
        <v>26929</v>
      </c>
    </row>
    <row r="1769" customFormat="false" ht="15" hidden="false" customHeight="false" outlineLevel="0" collapsed="false">
      <c r="B1769" s="19" t="s">
        <v>27128</v>
      </c>
      <c r="C1769" s="20" t="n">
        <f aca="false">ROUND(3.25/FX,2)</f>
        <v>0.45</v>
      </c>
      <c r="D1769" s="21" t="s">
        <v>27080</v>
      </c>
      <c r="E1769" s="21" t="s">
        <v>734</v>
      </c>
      <c r="F1769" s="21" t="s">
        <v>26980</v>
      </c>
      <c r="G1769" s="21" t="s">
        <v>716</v>
      </c>
      <c r="H1769" s="21" t="s">
        <v>11411</v>
      </c>
      <c r="I1769" s="21" t="s">
        <v>26929</v>
      </c>
    </row>
    <row r="1770" customFormat="false" ht="15" hidden="false" customHeight="false" outlineLevel="0" collapsed="false">
      <c r="B1770" s="19" t="s">
        <v>27129</v>
      </c>
      <c r="C1770" s="20" t="n">
        <f aca="false">ROUND(5.2/FX,2)</f>
        <v>0.72</v>
      </c>
      <c r="D1770" s="21" t="s">
        <v>27080</v>
      </c>
      <c r="E1770" s="21" t="s">
        <v>734</v>
      </c>
      <c r="F1770" s="21" t="s">
        <v>26980</v>
      </c>
      <c r="G1770" s="21" t="s">
        <v>2961</v>
      </c>
      <c r="H1770" s="21" t="s">
        <v>11411</v>
      </c>
      <c r="I1770" s="21" t="s">
        <v>26929</v>
      </c>
    </row>
    <row r="1771" customFormat="false" ht="15" hidden="false" customHeight="false" outlineLevel="0" collapsed="false">
      <c r="B1771" s="19" t="s">
        <v>27130</v>
      </c>
      <c r="C1771" s="20" t="n">
        <f aca="false">ROUND(5.2/FX,2)</f>
        <v>0.72</v>
      </c>
      <c r="D1771" s="21" t="s">
        <v>27080</v>
      </c>
      <c r="E1771" s="21" t="s">
        <v>734</v>
      </c>
      <c r="F1771" s="21" t="s">
        <v>26980</v>
      </c>
      <c r="G1771" s="21" t="s">
        <v>3011</v>
      </c>
      <c r="H1771" s="21" t="s">
        <v>11411</v>
      </c>
      <c r="I1771" s="21" t="s">
        <v>26929</v>
      </c>
    </row>
    <row r="1772" customFormat="false" ht="15" hidden="false" customHeight="false" outlineLevel="0" collapsed="false">
      <c r="B1772" s="19" t="s">
        <v>27131</v>
      </c>
      <c r="C1772" s="20" t="n">
        <f aca="false">ROUND(3.25/FX,2)</f>
        <v>0.45</v>
      </c>
      <c r="D1772" s="21" t="s">
        <v>27080</v>
      </c>
      <c r="E1772" s="21" t="s">
        <v>734</v>
      </c>
      <c r="F1772" s="21" t="s">
        <v>26980</v>
      </c>
      <c r="G1772" s="21" t="s">
        <v>847</v>
      </c>
      <c r="H1772" s="21" t="s">
        <v>11411</v>
      </c>
      <c r="I1772" s="21" t="s">
        <v>26929</v>
      </c>
    </row>
    <row r="1773" customFormat="false" ht="15" hidden="false" customHeight="false" outlineLevel="0" collapsed="false">
      <c r="B1773" s="19" t="s">
        <v>27132</v>
      </c>
      <c r="C1773" s="20" t="n">
        <f aca="false">ROUND(6.5/FX,2)</f>
        <v>0.9</v>
      </c>
      <c r="D1773" s="21" t="s">
        <v>27080</v>
      </c>
      <c r="E1773" s="21" t="s">
        <v>734</v>
      </c>
      <c r="F1773" s="21" t="s">
        <v>26980</v>
      </c>
      <c r="G1773" s="21" t="s">
        <v>3061</v>
      </c>
      <c r="H1773" s="21" t="s">
        <v>11411</v>
      </c>
      <c r="I1773" s="21" t="s">
        <v>26929</v>
      </c>
    </row>
    <row r="1774" customFormat="false" ht="15" hidden="false" customHeight="false" outlineLevel="0" collapsed="false">
      <c r="B1774" s="19" t="s">
        <v>27133</v>
      </c>
      <c r="C1774" s="20" t="n">
        <f aca="false">ROUND(6.5/FX,2)</f>
        <v>0.9</v>
      </c>
      <c r="D1774" s="21" t="s">
        <v>27080</v>
      </c>
      <c r="E1774" s="21" t="s">
        <v>734</v>
      </c>
      <c r="F1774" s="21" t="s">
        <v>26980</v>
      </c>
      <c r="G1774" s="21" t="s">
        <v>3111</v>
      </c>
      <c r="H1774" s="21" t="s">
        <v>11411</v>
      </c>
      <c r="I1774" s="21" t="s">
        <v>26929</v>
      </c>
    </row>
    <row r="1775" customFormat="false" ht="15" hidden="false" customHeight="false" outlineLevel="0" collapsed="false">
      <c r="B1775" s="19" t="s">
        <v>27134</v>
      </c>
      <c r="C1775" s="20" t="n">
        <f aca="false">ROUND(3.9/FX,2)</f>
        <v>0.54</v>
      </c>
      <c r="D1775" s="21" t="s">
        <v>27080</v>
      </c>
      <c r="E1775" s="21" t="s">
        <v>734</v>
      </c>
      <c r="F1775" s="21" t="s">
        <v>26980</v>
      </c>
      <c r="G1775" s="21" t="s">
        <v>707</v>
      </c>
      <c r="H1775" s="21" t="s">
        <v>11413</v>
      </c>
      <c r="I1775" s="21" t="s">
        <v>26929</v>
      </c>
    </row>
    <row r="1776" customFormat="false" ht="15" hidden="false" customHeight="false" outlineLevel="0" collapsed="false">
      <c r="B1776" s="19" t="s">
        <v>27135</v>
      </c>
      <c r="C1776" s="20" t="n">
        <f aca="false">ROUND(3.9/FX,2)</f>
        <v>0.54</v>
      </c>
      <c r="D1776" s="21" t="s">
        <v>27080</v>
      </c>
      <c r="E1776" s="21" t="s">
        <v>734</v>
      </c>
      <c r="F1776" s="21" t="s">
        <v>26980</v>
      </c>
      <c r="G1776" s="21" t="s">
        <v>761</v>
      </c>
      <c r="H1776" s="21" t="s">
        <v>11413</v>
      </c>
      <c r="I1776" s="21" t="s">
        <v>26929</v>
      </c>
    </row>
    <row r="1777" customFormat="false" ht="15" hidden="false" customHeight="false" outlineLevel="0" collapsed="false">
      <c r="B1777" s="19" t="s">
        <v>27136</v>
      </c>
      <c r="C1777" s="20" t="n">
        <f aca="false">ROUND(3.9/FX,2)</f>
        <v>0.54</v>
      </c>
      <c r="D1777" s="21" t="s">
        <v>27080</v>
      </c>
      <c r="E1777" s="21" t="s">
        <v>734</v>
      </c>
      <c r="F1777" s="21" t="s">
        <v>26980</v>
      </c>
      <c r="G1777" s="21" t="s">
        <v>714</v>
      </c>
      <c r="H1777" s="21" t="s">
        <v>11413</v>
      </c>
      <c r="I1777" s="21" t="s">
        <v>26929</v>
      </c>
    </row>
    <row r="1778" customFormat="false" ht="15" hidden="false" customHeight="false" outlineLevel="0" collapsed="false">
      <c r="B1778" s="19" t="s">
        <v>27137</v>
      </c>
      <c r="C1778" s="20" t="n">
        <f aca="false">ROUND(3.9/FX,2)</f>
        <v>0.54</v>
      </c>
      <c r="D1778" s="21" t="s">
        <v>27080</v>
      </c>
      <c r="E1778" s="21" t="s">
        <v>734</v>
      </c>
      <c r="F1778" s="21" t="s">
        <v>26980</v>
      </c>
      <c r="G1778" s="21" t="s">
        <v>4000</v>
      </c>
      <c r="H1778" s="21" t="s">
        <v>11413</v>
      </c>
      <c r="I1778" s="21" t="s">
        <v>26929</v>
      </c>
    </row>
    <row r="1779" customFormat="false" ht="15" hidden="false" customHeight="false" outlineLevel="0" collapsed="false">
      <c r="B1779" s="19" t="s">
        <v>27138</v>
      </c>
      <c r="C1779" s="20" t="n">
        <f aca="false">ROUND(3.9/FX,2)</f>
        <v>0.54</v>
      </c>
      <c r="D1779" s="21" t="s">
        <v>27080</v>
      </c>
      <c r="E1779" s="21" t="s">
        <v>734</v>
      </c>
      <c r="F1779" s="21" t="s">
        <v>26980</v>
      </c>
      <c r="G1779" s="21" t="s">
        <v>3247</v>
      </c>
      <c r="H1779" s="21" t="s">
        <v>11413</v>
      </c>
      <c r="I1779" s="21" t="s">
        <v>26929</v>
      </c>
    </row>
    <row r="1780" customFormat="false" ht="15" hidden="false" customHeight="false" outlineLevel="0" collapsed="false">
      <c r="B1780" s="19" t="s">
        <v>27139</v>
      </c>
      <c r="C1780" s="20" t="n">
        <f aca="false">ROUND(3.9/FX,2)</f>
        <v>0.54</v>
      </c>
      <c r="D1780" s="21" t="s">
        <v>27080</v>
      </c>
      <c r="E1780" s="21" t="s">
        <v>734</v>
      </c>
      <c r="F1780" s="21" t="s">
        <v>26980</v>
      </c>
      <c r="G1780" s="21" t="s">
        <v>3317</v>
      </c>
      <c r="H1780" s="21" t="s">
        <v>11413</v>
      </c>
      <c r="I1780" s="21" t="s">
        <v>26929</v>
      </c>
    </row>
    <row r="1781" customFormat="false" ht="15" hidden="false" customHeight="false" outlineLevel="0" collapsed="false">
      <c r="B1781" s="19" t="s">
        <v>27140</v>
      </c>
      <c r="C1781" s="20" t="n">
        <f aca="false">ROUND(3.9/FX,2)</f>
        <v>0.54</v>
      </c>
      <c r="D1781" s="21" t="s">
        <v>27080</v>
      </c>
      <c r="E1781" s="21" t="s">
        <v>734</v>
      </c>
      <c r="F1781" s="21" t="s">
        <v>26980</v>
      </c>
      <c r="G1781" s="21" t="s">
        <v>784</v>
      </c>
      <c r="H1781" s="21" t="s">
        <v>11413</v>
      </c>
      <c r="I1781" s="21" t="s">
        <v>26929</v>
      </c>
    </row>
    <row r="1782" customFormat="false" ht="15" hidden="false" customHeight="false" outlineLevel="0" collapsed="false">
      <c r="B1782" s="19" t="s">
        <v>27141</v>
      </c>
      <c r="C1782" s="20" t="n">
        <f aca="false">ROUND(3.9/FX,2)</f>
        <v>0.54</v>
      </c>
      <c r="D1782" s="21" t="s">
        <v>27080</v>
      </c>
      <c r="E1782" s="21" t="s">
        <v>734</v>
      </c>
      <c r="F1782" s="21" t="s">
        <v>26980</v>
      </c>
      <c r="G1782" s="21" t="s">
        <v>3328</v>
      </c>
      <c r="H1782" s="21" t="s">
        <v>11413</v>
      </c>
      <c r="I1782" s="21" t="s">
        <v>26929</v>
      </c>
    </row>
    <row r="1783" customFormat="false" ht="15" hidden="false" customHeight="false" outlineLevel="0" collapsed="false">
      <c r="B1783" s="19" t="s">
        <v>27142</v>
      </c>
      <c r="C1783" s="20" t="n">
        <f aca="false">ROUND(5.2/FX,2)</f>
        <v>0.72</v>
      </c>
      <c r="D1783" s="21" t="s">
        <v>27080</v>
      </c>
      <c r="E1783" s="21" t="s">
        <v>734</v>
      </c>
      <c r="F1783" s="21" t="s">
        <v>26980</v>
      </c>
      <c r="G1783" s="21" t="s">
        <v>6246</v>
      </c>
      <c r="H1783" s="21" t="s">
        <v>11413</v>
      </c>
      <c r="I1783" s="21" t="s">
        <v>26929</v>
      </c>
    </row>
    <row r="1784" customFormat="false" ht="15" hidden="false" customHeight="false" outlineLevel="0" collapsed="false">
      <c r="B1784" s="19" t="s">
        <v>27143</v>
      </c>
      <c r="C1784" s="20" t="n">
        <f aca="false">ROUND(5.2/FX,2)</f>
        <v>0.72</v>
      </c>
      <c r="D1784" s="21" t="s">
        <v>27080</v>
      </c>
      <c r="E1784" s="21" t="s">
        <v>734</v>
      </c>
      <c r="F1784" s="21" t="s">
        <v>26980</v>
      </c>
      <c r="G1784" s="21" t="s">
        <v>7358</v>
      </c>
      <c r="H1784" s="21" t="s">
        <v>11413</v>
      </c>
      <c r="I1784" s="21" t="s">
        <v>26929</v>
      </c>
    </row>
    <row r="1785" customFormat="false" ht="15" hidden="false" customHeight="false" outlineLevel="0" collapsed="false">
      <c r="B1785" s="19" t="s">
        <v>27144</v>
      </c>
      <c r="C1785" s="20" t="n">
        <f aca="false">ROUND(6.5/FX,2)</f>
        <v>0.9</v>
      </c>
      <c r="D1785" s="21" t="s">
        <v>27080</v>
      </c>
      <c r="E1785" s="21" t="s">
        <v>734</v>
      </c>
      <c r="F1785" s="21" t="s">
        <v>26980</v>
      </c>
      <c r="G1785" s="21" t="s">
        <v>2911</v>
      </c>
      <c r="H1785" s="21" t="s">
        <v>11413</v>
      </c>
      <c r="I1785" s="21" t="s">
        <v>26929</v>
      </c>
    </row>
    <row r="1786" customFormat="false" ht="15" hidden="false" customHeight="false" outlineLevel="0" collapsed="false">
      <c r="B1786" s="19" t="s">
        <v>27145</v>
      </c>
      <c r="C1786" s="20" t="n">
        <f aca="false">ROUND(3.25/FX,2)</f>
        <v>0.45</v>
      </c>
      <c r="D1786" s="21" t="s">
        <v>27080</v>
      </c>
      <c r="E1786" s="21" t="s">
        <v>734</v>
      </c>
      <c r="F1786" s="21" t="s">
        <v>26980</v>
      </c>
      <c r="G1786" s="21" t="s">
        <v>716</v>
      </c>
      <c r="H1786" s="21" t="s">
        <v>11413</v>
      </c>
      <c r="I1786" s="21" t="s">
        <v>26929</v>
      </c>
    </row>
    <row r="1787" customFormat="false" ht="15" hidden="false" customHeight="false" outlineLevel="0" collapsed="false">
      <c r="B1787" s="19" t="s">
        <v>27146</v>
      </c>
      <c r="C1787" s="20" t="n">
        <f aca="false">ROUND(6.5/FX,2)</f>
        <v>0.9</v>
      </c>
      <c r="D1787" s="21" t="s">
        <v>27080</v>
      </c>
      <c r="E1787" s="21" t="s">
        <v>734</v>
      </c>
      <c r="F1787" s="21" t="s">
        <v>26980</v>
      </c>
      <c r="G1787" s="21" t="s">
        <v>2961</v>
      </c>
      <c r="H1787" s="21" t="s">
        <v>11413</v>
      </c>
      <c r="I1787" s="21" t="s">
        <v>26929</v>
      </c>
    </row>
    <row r="1788" customFormat="false" ht="15" hidden="false" customHeight="false" outlineLevel="0" collapsed="false">
      <c r="B1788" s="19" t="s">
        <v>27147</v>
      </c>
      <c r="C1788" s="20" t="n">
        <f aca="false">ROUND(3.9/FX,2)</f>
        <v>0.54</v>
      </c>
      <c r="D1788" s="21" t="s">
        <v>27080</v>
      </c>
      <c r="E1788" s="21" t="s">
        <v>734</v>
      </c>
      <c r="F1788" s="21" t="s">
        <v>26980</v>
      </c>
      <c r="G1788" s="21" t="s">
        <v>707</v>
      </c>
      <c r="H1788" s="21" t="s">
        <v>11415</v>
      </c>
      <c r="I1788" s="21" t="s">
        <v>26929</v>
      </c>
    </row>
    <row r="1789" customFormat="false" ht="15" hidden="false" customHeight="false" outlineLevel="0" collapsed="false">
      <c r="B1789" s="19" t="s">
        <v>27148</v>
      </c>
      <c r="C1789" s="20" t="n">
        <f aca="false">ROUND(3.9/FX,2)</f>
        <v>0.54</v>
      </c>
      <c r="D1789" s="21" t="s">
        <v>27080</v>
      </c>
      <c r="E1789" s="21" t="s">
        <v>734</v>
      </c>
      <c r="F1789" s="21" t="s">
        <v>26980</v>
      </c>
      <c r="G1789" s="21" t="s">
        <v>761</v>
      </c>
      <c r="H1789" s="21" t="s">
        <v>11415</v>
      </c>
      <c r="I1789" s="21" t="s">
        <v>26929</v>
      </c>
    </row>
    <row r="1790" customFormat="false" ht="15" hidden="false" customHeight="false" outlineLevel="0" collapsed="false">
      <c r="B1790" s="19" t="s">
        <v>27149</v>
      </c>
      <c r="C1790" s="20" t="n">
        <f aca="false">ROUND(3.9/FX,2)</f>
        <v>0.54</v>
      </c>
      <c r="D1790" s="21" t="s">
        <v>27080</v>
      </c>
      <c r="E1790" s="21" t="s">
        <v>734</v>
      </c>
      <c r="F1790" s="21" t="s">
        <v>26980</v>
      </c>
      <c r="G1790" s="21" t="s">
        <v>714</v>
      </c>
      <c r="H1790" s="21" t="s">
        <v>11415</v>
      </c>
      <c r="I1790" s="21" t="s">
        <v>26929</v>
      </c>
    </row>
    <row r="1791" customFormat="false" ht="15" hidden="false" customHeight="false" outlineLevel="0" collapsed="false">
      <c r="B1791" s="19" t="s">
        <v>27150</v>
      </c>
      <c r="C1791" s="20" t="n">
        <f aca="false">ROUND(3.9/FX,2)</f>
        <v>0.54</v>
      </c>
      <c r="D1791" s="21" t="s">
        <v>27080</v>
      </c>
      <c r="E1791" s="21" t="s">
        <v>734</v>
      </c>
      <c r="F1791" s="21" t="s">
        <v>26980</v>
      </c>
      <c r="G1791" s="21" t="s">
        <v>3247</v>
      </c>
      <c r="H1791" s="21" t="s">
        <v>11415</v>
      </c>
      <c r="I1791" s="21" t="s">
        <v>26929</v>
      </c>
    </row>
    <row r="1792" customFormat="false" ht="15" hidden="false" customHeight="false" outlineLevel="0" collapsed="false">
      <c r="B1792" s="19" t="s">
        <v>27151</v>
      </c>
      <c r="C1792" s="20" t="n">
        <f aca="false">ROUND(3.9/FX,2)</f>
        <v>0.54</v>
      </c>
      <c r="D1792" s="21" t="s">
        <v>27080</v>
      </c>
      <c r="E1792" s="21" t="s">
        <v>734</v>
      </c>
      <c r="F1792" s="21" t="s">
        <v>26980</v>
      </c>
      <c r="G1792" s="21" t="s">
        <v>3317</v>
      </c>
      <c r="H1792" s="21" t="s">
        <v>11415</v>
      </c>
      <c r="I1792" s="21" t="s">
        <v>26929</v>
      </c>
    </row>
    <row r="1793" customFormat="false" ht="15" hidden="false" customHeight="false" outlineLevel="0" collapsed="false">
      <c r="B1793" s="19" t="s">
        <v>27152</v>
      </c>
      <c r="C1793" s="20" t="n">
        <f aca="false">ROUND(3.9/FX,2)</f>
        <v>0.54</v>
      </c>
      <c r="D1793" s="21" t="s">
        <v>27080</v>
      </c>
      <c r="E1793" s="21" t="s">
        <v>734</v>
      </c>
      <c r="F1793" s="21" t="s">
        <v>26980</v>
      </c>
      <c r="G1793" s="21" t="s">
        <v>784</v>
      </c>
      <c r="H1793" s="21" t="s">
        <v>11415</v>
      </c>
      <c r="I1793" s="21" t="s">
        <v>26929</v>
      </c>
    </row>
    <row r="1794" customFormat="false" ht="15" hidden="false" customHeight="false" outlineLevel="0" collapsed="false">
      <c r="B1794" s="19" t="s">
        <v>27153</v>
      </c>
      <c r="C1794" s="20" t="n">
        <f aca="false">ROUND(3.9/FX,2)</f>
        <v>0.54</v>
      </c>
      <c r="D1794" s="21" t="s">
        <v>27080</v>
      </c>
      <c r="E1794" s="21" t="s">
        <v>734</v>
      </c>
      <c r="F1794" s="21" t="s">
        <v>26980</v>
      </c>
      <c r="G1794" s="21" t="s">
        <v>3328</v>
      </c>
      <c r="H1794" s="21" t="s">
        <v>11415</v>
      </c>
      <c r="I1794" s="21" t="s">
        <v>26929</v>
      </c>
    </row>
    <row r="1795" customFormat="false" ht="15" hidden="false" customHeight="false" outlineLevel="0" collapsed="false">
      <c r="B1795" s="19" t="s">
        <v>27154</v>
      </c>
      <c r="C1795" s="20" t="n">
        <f aca="false">ROUND(3.9/FX,2)</f>
        <v>0.54</v>
      </c>
      <c r="D1795" s="21" t="s">
        <v>27080</v>
      </c>
      <c r="E1795" s="21" t="s">
        <v>734</v>
      </c>
      <c r="F1795" s="21" t="s">
        <v>26980</v>
      </c>
      <c r="G1795" s="21" t="s">
        <v>6246</v>
      </c>
      <c r="H1795" s="21" t="s">
        <v>11415</v>
      </c>
      <c r="I1795" s="21" t="s">
        <v>26929</v>
      </c>
    </row>
    <row r="1796" customFormat="false" ht="15" hidden="false" customHeight="false" outlineLevel="0" collapsed="false">
      <c r="B1796" s="19" t="s">
        <v>27155</v>
      </c>
      <c r="C1796" s="20" t="n">
        <f aca="false">ROUND(5.2/FX,2)</f>
        <v>0.72</v>
      </c>
      <c r="D1796" s="21" t="s">
        <v>27080</v>
      </c>
      <c r="E1796" s="21" t="s">
        <v>734</v>
      </c>
      <c r="F1796" s="21" t="s">
        <v>26980</v>
      </c>
      <c r="G1796" s="21" t="s">
        <v>7358</v>
      </c>
      <c r="H1796" s="21" t="s">
        <v>11415</v>
      </c>
      <c r="I1796" s="21" t="s">
        <v>26929</v>
      </c>
    </row>
    <row r="1797" customFormat="false" ht="15" hidden="false" customHeight="false" outlineLevel="0" collapsed="false">
      <c r="B1797" s="19" t="s">
        <v>27156</v>
      </c>
      <c r="C1797" s="20" t="n">
        <f aca="false">ROUND(5.2/FX,2)</f>
        <v>0.72</v>
      </c>
      <c r="D1797" s="21" t="s">
        <v>27080</v>
      </c>
      <c r="E1797" s="21" t="s">
        <v>734</v>
      </c>
      <c r="F1797" s="21" t="s">
        <v>26980</v>
      </c>
      <c r="G1797" s="21" t="s">
        <v>2911</v>
      </c>
      <c r="H1797" s="21" t="s">
        <v>11415</v>
      </c>
      <c r="I1797" s="21" t="s">
        <v>26929</v>
      </c>
    </row>
    <row r="1798" customFormat="false" ht="15" hidden="false" customHeight="false" outlineLevel="0" collapsed="false">
      <c r="B1798" s="19" t="s">
        <v>27157</v>
      </c>
      <c r="C1798" s="20" t="n">
        <f aca="false">ROUND(6.5/FX,2)</f>
        <v>0.9</v>
      </c>
      <c r="D1798" s="21" t="s">
        <v>27080</v>
      </c>
      <c r="E1798" s="21" t="s">
        <v>734</v>
      </c>
      <c r="F1798" s="21" t="s">
        <v>26980</v>
      </c>
      <c r="G1798" s="21" t="s">
        <v>7275</v>
      </c>
      <c r="H1798" s="21" t="s">
        <v>11415</v>
      </c>
      <c r="I1798" s="21" t="s">
        <v>26929</v>
      </c>
    </row>
    <row r="1799" customFormat="false" ht="15" hidden="false" customHeight="false" outlineLevel="0" collapsed="false">
      <c r="B1799" s="19" t="s">
        <v>27158</v>
      </c>
      <c r="C1799" s="20" t="n">
        <f aca="false">ROUND(6.5/FX,2)</f>
        <v>0.9</v>
      </c>
      <c r="D1799" s="21" t="s">
        <v>27080</v>
      </c>
      <c r="E1799" s="21" t="s">
        <v>734</v>
      </c>
      <c r="F1799" s="21" t="s">
        <v>26980</v>
      </c>
      <c r="G1799" s="21" t="s">
        <v>2961</v>
      </c>
      <c r="H1799" s="21" t="s">
        <v>11415</v>
      </c>
      <c r="I1799" s="21" t="s">
        <v>26929</v>
      </c>
    </row>
    <row r="1800" customFormat="false" ht="15" hidden="false" customHeight="false" outlineLevel="0" collapsed="false">
      <c r="B1800" s="19" t="s">
        <v>27159</v>
      </c>
      <c r="C1800" s="20" t="n">
        <f aca="false">ROUND(5.2/FX,2)</f>
        <v>0.72</v>
      </c>
      <c r="D1800" s="21" t="s">
        <v>27080</v>
      </c>
      <c r="E1800" s="21" t="s">
        <v>734</v>
      </c>
      <c r="F1800" s="21" t="s">
        <v>26980</v>
      </c>
      <c r="G1800" s="21" t="s">
        <v>2651</v>
      </c>
      <c r="H1800" s="21" t="s">
        <v>26884</v>
      </c>
      <c r="I1800" s="21" t="s">
        <v>26929</v>
      </c>
    </row>
    <row r="1801" customFormat="false" ht="15" hidden="false" customHeight="false" outlineLevel="0" collapsed="false">
      <c r="B1801" s="19" t="s">
        <v>27160</v>
      </c>
      <c r="C1801" s="20" t="n">
        <f aca="false">ROUND(5.2/FX,2)</f>
        <v>0.72</v>
      </c>
      <c r="D1801" s="21" t="s">
        <v>27080</v>
      </c>
      <c r="E1801" s="21" t="s">
        <v>734</v>
      </c>
      <c r="F1801" s="21" t="s">
        <v>26980</v>
      </c>
      <c r="G1801" s="21" t="s">
        <v>761</v>
      </c>
      <c r="H1801" s="21" t="s">
        <v>26884</v>
      </c>
      <c r="I1801" s="21" t="s">
        <v>26929</v>
      </c>
    </row>
    <row r="1802" customFormat="false" ht="15" hidden="false" customHeight="false" outlineLevel="0" collapsed="false">
      <c r="B1802" s="19" t="s">
        <v>27161</v>
      </c>
      <c r="C1802" s="20" t="n">
        <f aca="false">ROUND(5.2/FX,2)</f>
        <v>0.72</v>
      </c>
      <c r="D1802" s="21" t="s">
        <v>27080</v>
      </c>
      <c r="E1802" s="21" t="s">
        <v>734</v>
      </c>
      <c r="F1802" s="21" t="s">
        <v>26980</v>
      </c>
      <c r="G1802" s="21" t="s">
        <v>714</v>
      </c>
      <c r="H1802" s="21" t="s">
        <v>26884</v>
      </c>
      <c r="I1802" s="21" t="s">
        <v>26929</v>
      </c>
    </row>
    <row r="1803" customFormat="false" ht="15" hidden="false" customHeight="false" outlineLevel="0" collapsed="false">
      <c r="B1803" s="19" t="s">
        <v>27162</v>
      </c>
      <c r="C1803" s="20" t="n">
        <f aca="false">ROUND(5.2/FX,2)</f>
        <v>0.72</v>
      </c>
      <c r="D1803" s="21" t="s">
        <v>27080</v>
      </c>
      <c r="E1803" s="21" t="s">
        <v>734</v>
      </c>
      <c r="F1803" s="21" t="s">
        <v>26980</v>
      </c>
      <c r="G1803" s="21" t="s">
        <v>4000</v>
      </c>
      <c r="H1803" s="21" t="s">
        <v>26884</v>
      </c>
      <c r="I1803" s="21" t="s">
        <v>26929</v>
      </c>
    </row>
    <row r="1804" customFormat="false" ht="15" hidden="false" customHeight="false" outlineLevel="0" collapsed="false">
      <c r="B1804" s="19" t="s">
        <v>27163</v>
      </c>
      <c r="C1804" s="20" t="n">
        <f aca="false">ROUND(5.2/FX,2)</f>
        <v>0.72</v>
      </c>
      <c r="D1804" s="21" t="s">
        <v>27080</v>
      </c>
      <c r="E1804" s="21" t="s">
        <v>734</v>
      </c>
      <c r="F1804" s="21" t="s">
        <v>26980</v>
      </c>
      <c r="G1804" s="21" t="s">
        <v>3247</v>
      </c>
      <c r="H1804" s="21" t="s">
        <v>26884</v>
      </c>
      <c r="I1804" s="21" t="s">
        <v>26929</v>
      </c>
    </row>
    <row r="1805" customFormat="false" ht="15" hidden="false" customHeight="false" outlineLevel="0" collapsed="false">
      <c r="B1805" s="19" t="s">
        <v>27164</v>
      </c>
      <c r="C1805" s="20" t="n">
        <f aca="false">ROUND(5.2/FX,2)</f>
        <v>0.72</v>
      </c>
      <c r="D1805" s="21" t="s">
        <v>27080</v>
      </c>
      <c r="E1805" s="21" t="s">
        <v>734</v>
      </c>
      <c r="F1805" s="21" t="s">
        <v>26980</v>
      </c>
      <c r="G1805" s="21" t="s">
        <v>3317</v>
      </c>
      <c r="H1805" s="21" t="s">
        <v>26884</v>
      </c>
      <c r="I1805" s="21" t="s">
        <v>26929</v>
      </c>
    </row>
    <row r="1806" customFormat="false" ht="15" hidden="false" customHeight="false" outlineLevel="0" collapsed="false">
      <c r="B1806" s="19" t="s">
        <v>27165</v>
      </c>
      <c r="C1806" s="20" t="n">
        <f aca="false">ROUND(5.2/FX,2)</f>
        <v>0.72</v>
      </c>
      <c r="D1806" s="21" t="s">
        <v>27080</v>
      </c>
      <c r="E1806" s="21" t="s">
        <v>734</v>
      </c>
      <c r="F1806" s="21" t="s">
        <v>26980</v>
      </c>
      <c r="G1806" s="21" t="s">
        <v>784</v>
      </c>
      <c r="H1806" s="21" t="s">
        <v>26884</v>
      </c>
      <c r="I1806" s="21" t="s">
        <v>26929</v>
      </c>
    </row>
    <row r="1807" customFormat="false" ht="15" hidden="false" customHeight="false" outlineLevel="0" collapsed="false">
      <c r="B1807" s="19" t="s">
        <v>27166</v>
      </c>
      <c r="C1807" s="20" t="n">
        <f aca="false">ROUND(5.2/FX,2)</f>
        <v>0.72</v>
      </c>
      <c r="D1807" s="21" t="s">
        <v>27080</v>
      </c>
      <c r="E1807" s="21" t="s">
        <v>734</v>
      </c>
      <c r="F1807" s="21" t="s">
        <v>26980</v>
      </c>
      <c r="G1807" s="21" t="s">
        <v>3328</v>
      </c>
      <c r="H1807" s="21" t="s">
        <v>26884</v>
      </c>
      <c r="I1807" s="21" t="s">
        <v>26929</v>
      </c>
    </row>
    <row r="1808" customFormat="false" ht="15" hidden="false" customHeight="false" outlineLevel="0" collapsed="false">
      <c r="B1808" s="19" t="s">
        <v>27167</v>
      </c>
      <c r="C1808" s="20" t="n">
        <f aca="false">ROUND(5.2/FX,2)</f>
        <v>0.72</v>
      </c>
      <c r="D1808" s="21" t="s">
        <v>27080</v>
      </c>
      <c r="E1808" s="21" t="s">
        <v>734</v>
      </c>
      <c r="F1808" s="21" t="s">
        <v>26980</v>
      </c>
      <c r="G1808" s="21" t="s">
        <v>6246</v>
      </c>
      <c r="H1808" s="21" t="s">
        <v>26884</v>
      </c>
      <c r="I1808" s="21" t="s">
        <v>26929</v>
      </c>
    </row>
    <row r="1809" customFormat="false" ht="15" hidden="false" customHeight="false" outlineLevel="0" collapsed="false">
      <c r="B1809" s="19" t="s">
        <v>27168</v>
      </c>
      <c r="C1809" s="20" t="n">
        <f aca="false">ROUND(3.25/FX,2)</f>
        <v>0.45</v>
      </c>
      <c r="D1809" s="21" t="s">
        <v>27080</v>
      </c>
      <c r="E1809" s="21" t="s">
        <v>734</v>
      </c>
      <c r="F1809" s="21" t="s">
        <v>26980</v>
      </c>
      <c r="G1809" s="21" t="s">
        <v>716</v>
      </c>
      <c r="H1809" s="21" t="s">
        <v>26884</v>
      </c>
      <c r="I1809" s="21" t="s">
        <v>26929</v>
      </c>
    </row>
    <row r="1810" customFormat="false" ht="15" hidden="false" customHeight="false" outlineLevel="0" collapsed="false">
      <c r="B1810" s="19" t="s">
        <v>27169</v>
      </c>
      <c r="C1810" s="20" t="n">
        <f aca="false">ROUND(5.2/FX,2)</f>
        <v>0.72</v>
      </c>
      <c r="D1810" s="21" t="s">
        <v>27080</v>
      </c>
      <c r="E1810" s="21" t="s">
        <v>734</v>
      </c>
      <c r="F1810" s="21" t="s">
        <v>26980</v>
      </c>
      <c r="G1810" s="21" t="s">
        <v>847</v>
      </c>
      <c r="H1810" s="21" t="s">
        <v>26884</v>
      </c>
      <c r="I1810" s="21" t="s">
        <v>26929</v>
      </c>
    </row>
    <row r="1811" customFormat="false" ht="15" hidden="false" customHeight="false" outlineLevel="0" collapsed="false">
      <c r="B1811" s="19" t="s">
        <v>27170</v>
      </c>
      <c r="C1811" s="20" t="n">
        <f aca="false">ROUND(3.25/FX,2)</f>
        <v>0.45</v>
      </c>
      <c r="D1811" s="21" t="s">
        <v>6362</v>
      </c>
      <c r="E1811" s="21" t="s">
        <v>734</v>
      </c>
      <c r="F1811" s="21" t="s">
        <v>26980</v>
      </c>
      <c r="G1811" s="21" t="s">
        <v>707</v>
      </c>
      <c r="H1811" s="21" t="s">
        <v>11407</v>
      </c>
      <c r="I1811" s="21" t="s">
        <v>26929</v>
      </c>
    </row>
    <row r="1812" customFormat="false" ht="15" hidden="false" customHeight="false" outlineLevel="0" collapsed="false">
      <c r="B1812" s="19" t="s">
        <v>27171</v>
      </c>
      <c r="C1812" s="20" t="n">
        <f aca="false">ROUND(6.5/FX,2)</f>
        <v>0.9</v>
      </c>
      <c r="D1812" s="21" t="s">
        <v>6362</v>
      </c>
      <c r="E1812" s="21" t="s">
        <v>734</v>
      </c>
      <c r="F1812" s="21" t="s">
        <v>26980</v>
      </c>
      <c r="G1812" s="21" t="s">
        <v>2600</v>
      </c>
      <c r="H1812" s="21" t="s">
        <v>11407</v>
      </c>
      <c r="I1812" s="21" t="s">
        <v>26929</v>
      </c>
    </row>
    <row r="1813" customFormat="false" ht="15" hidden="false" customHeight="false" outlineLevel="0" collapsed="false">
      <c r="B1813" s="19" t="s">
        <v>27172</v>
      </c>
      <c r="C1813" s="20" t="n">
        <f aca="false">ROUND(3.25/FX,2)</f>
        <v>0.45</v>
      </c>
      <c r="D1813" s="21" t="s">
        <v>6362</v>
      </c>
      <c r="E1813" s="21" t="s">
        <v>734</v>
      </c>
      <c r="F1813" s="21" t="s">
        <v>26980</v>
      </c>
      <c r="G1813" s="21" t="s">
        <v>761</v>
      </c>
      <c r="H1813" s="21" t="s">
        <v>11407</v>
      </c>
      <c r="I1813" s="21" t="s">
        <v>26929</v>
      </c>
    </row>
    <row r="1814" customFormat="false" ht="15" hidden="false" customHeight="false" outlineLevel="0" collapsed="false">
      <c r="B1814" s="19" t="s">
        <v>27173</v>
      </c>
      <c r="C1814" s="20" t="n">
        <f aca="false">ROUND(3.25/FX,2)</f>
        <v>0.45</v>
      </c>
      <c r="D1814" s="21" t="s">
        <v>6362</v>
      </c>
      <c r="E1814" s="21" t="s">
        <v>734</v>
      </c>
      <c r="F1814" s="21" t="s">
        <v>26980</v>
      </c>
      <c r="G1814" s="21" t="s">
        <v>714</v>
      </c>
      <c r="H1814" s="21" t="s">
        <v>11407</v>
      </c>
      <c r="I1814" s="21" t="s">
        <v>26929</v>
      </c>
    </row>
    <row r="1815" customFormat="false" ht="15" hidden="false" customHeight="false" outlineLevel="0" collapsed="false">
      <c r="B1815" s="19" t="s">
        <v>27174</v>
      </c>
      <c r="C1815" s="20" t="n">
        <f aca="false">ROUND(3.25/FX,2)</f>
        <v>0.45</v>
      </c>
      <c r="D1815" s="21" t="s">
        <v>6362</v>
      </c>
      <c r="E1815" s="21" t="s">
        <v>734</v>
      </c>
      <c r="F1815" s="21" t="s">
        <v>26980</v>
      </c>
      <c r="G1815" s="21" t="s">
        <v>4000</v>
      </c>
      <c r="H1815" s="21" t="s">
        <v>11407</v>
      </c>
      <c r="I1815" s="21" t="s">
        <v>26929</v>
      </c>
    </row>
    <row r="1816" customFormat="false" ht="15" hidden="false" customHeight="false" outlineLevel="0" collapsed="false">
      <c r="B1816" s="19" t="s">
        <v>27175</v>
      </c>
      <c r="C1816" s="20" t="n">
        <f aca="false">ROUND(3.25/FX,2)</f>
        <v>0.45</v>
      </c>
      <c r="D1816" s="21" t="s">
        <v>6362</v>
      </c>
      <c r="E1816" s="21" t="s">
        <v>734</v>
      </c>
      <c r="F1816" s="21" t="s">
        <v>26980</v>
      </c>
      <c r="G1816" s="21" t="s">
        <v>3247</v>
      </c>
      <c r="H1816" s="21" t="s">
        <v>11407</v>
      </c>
      <c r="I1816" s="21" t="s">
        <v>26929</v>
      </c>
    </row>
    <row r="1817" customFormat="false" ht="15" hidden="false" customHeight="false" outlineLevel="0" collapsed="false">
      <c r="B1817" s="19" t="s">
        <v>27176</v>
      </c>
      <c r="C1817" s="20" t="n">
        <f aca="false">ROUND(3.25/FX,2)</f>
        <v>0.45</v>
      </c>
      <c r="D1817" s="21" t="s">
        <v>6362</v>
      </c>
      <c r="E1817" s="21" t="s">
        <v>734</v>
      </c>
      <c r="F1817" s="21" t="s">
        <v>26980</v>
      </c>
      <c r="G1817" s="21" t="s">
        <v>3317</v>
      </c>
      <c r="H1817" s="21" t="s">
        <v>11407</v>
      </c>
      <c r="I1817" s="21" t="s">
        <v>26929</v>
      </c>
    </row>
    <row r="1818" customFormat="false" ht="15" hidden="false" customHeight="false" outlineLevel="0" collapsed="false">
      <c r="B1818" s="19" t="s">
        <v>27177</v>
      </c>
      <c r="C1818" s="20" t="n">
        <f aca="false">ROUND(3.9/FX,2)</f>
        <v>0.54</v>
      </c>
      <c r="D1818" s="21" t="s">
        <v>6362</v>
      </c>
      <c r="E1818" s="21" t="s">
        <v>734</v>
      </c>
      <c r="F1818" s="21" t="s">
        <v>26980</v>
      </c>
      <c r="G1818" s="21" t="s">
        <v>784</v>
      </c>
      <c r="H1818" s="21" t="s">
        <v>11407</v>
      </c>
      <c r="I1818" s="21" t="s">
        <v>26929</v>
      </c>
    </row>
    <row r="1819" customFormat="false" ht="15" hidden="false" customHeight="false" outlineLevel="0" collapsed="false">
      <c r="B1819" s="19" t="s">
        <v>27178</v>
      </c>
      <c r="C1819" s="20" t="n">
        <f aca="false">ROUND(3.9/FX,2)</f>
        <v>0.54</v>
      </c>
      <c r="D1819" s="21" t="s">
        <v>6362</v>
      </c>
      <c r="E1819" s="21" t="s">
        <v>734</v>
      </c>
      <c r="F1819" s="21" t="s">
        <v>26980</v>
      </c>
      <c r="G1819" s="21" t="s">
        <v>3328</v>
      </c>
      <c r="H1819" s="21" t="s">
        <v>11407</v>
      </c>
      <c r="I1819" s="21" t="s">
        <v>26929</v>
      </c>
    </row>
    <row r="1820" customFormat="false" ht="15" hidden="false" customHeight="false" outlineLevel="0" collapsed="false">
      <c r="B1820" s="19" t="s">
        <v>27179</v>
      </c>
      <c r="C1820" s="20" t="n">
        <f aca="false">ROUND(3.9/FX,2)</f>
        <v>0.54</v>
      </c>
      <c r="D1820" s="21" t="s">
        <v>6362</v>
      </c>
      <c r="E1820" s="21" t="s">
        <v>734</v>
      </c>
      <c r="F1820" s="21" t="s">
        <v>26980</v>
      </c>
      <c r="G1820" s="21" t="s">
        <v>6246</v>
      </c>
      <c r="H1820" s="21" t="s">
        <v>11407</v>
      </c>
      <c r="I1820" s="21" t="s">
        <v>26929</v>
      </c>
    </row>
    <row r="1821" customFormat="false" ht="15" hidden="false" customHeight="false" outlineLevel="0" collapsed="false">
      <c r="B1821" s="19" t="s">
        <v>27180</v>
      </c>
      <c r="C1821" s="20" t="n">
        <f aca="false">ROUND(3.9/FX,2)</f>
        <v>0.54</v>
      </c>
      <c r="D1821" s="21" t="s">
        <v>6362</v>
      </c>
      <c r="E1821" s="21" t="s">
        <v>734</v>
      </c>
      <c r="F1821" s="21" t="s">
        <v>26980</v>
      </c>
      <c r="G1821" s="21" t="s">
        <v>7358</v>
      </c>
      <c r="H1821" s="21" t="s">
        <v>11407</v>
      </c>
      <c r="I1821" s="21" t="s">
        <v>26929</v>
      </c>
    </row>
    <row r="1822" customFormat="false" ht="15" hidden="false" customHeight="false" outlineLevel="0" collapsed="false">
      <c r="B1822" s="19" t="s">
        <v>27181</v>
      </c>
      <c r="C1822" s="20" t="n">
        <f aca="false">ROUND(3.9/FX,2)</f>
        <v>0.54</v>
      </c>
      <c r="D1822" s="21" t="s">
        <v>6362</v>
      </c>
      <c r="E1822" s="21" t="s">
        <v>734</v>
      </c>
      <c r="F1822" s="21" t="s">
        <v>26980</v>
      </c>
      <c r="G1822" s="21" t="s">
        <v>2911</v>
      </c>
      <c r="H1822" s="21" t="s">
        <v>11407</v>
      </c>
      <c r="I1822" s="21" t="s">
        <v>26929</v>
      </c>
    </row>
    <row r="1823" customFormat="false" ht="15" hidden="false" customHeight="false" outlineLevel="0" collapsed="false">
      <c r="B1823" s="19" t="s">
        <v>27182</v>
      </c>
      <c r="C1823" s="20" t="n">
        <f aca="false">ROUND(3.9/FX,2)</f>
        <v>0.54</v>
      </c>
      <c r="D1823" s="21" t="s">
        <v>6362</v>
      </c>
      <c r="E1823" s="21" t="s">
        <v>734</v>
      </c>
      <c r="F1823" s="21" t="s">
        <v>26980</v>
      </c>
      <c r="G1823" s="21" t="s">
        <v>2961</v>
      </c>
      <c r="H1823" s="21" t="s">
        <v>11407</v>
      </c>
      <c r="I1823" s="21" t="s">
        <v>26929</v>
      </c>
    </row>
    <row r="1824" customFormat="false" ht="15" hidden="false" customHeight="false" outlineLevel="0" collapsed="false">
      <c r="B1824" s="19" t="s">
        <v>27183</v>
      </c>
      <c r="C1824" s="20" t="n">
        <f aca="false">ROUND(5.2/FX,2)</f>
        <v>0.72</v>
      </c>
      <c r="D1824" s="21" t="s">
        <v>6362</v>
      </c>
      <c r="E1824" s="21" t="s">
        <v>734</v>
      </c>
      <c r="F1824" s="21" t="s">
        <v>26980</v>
      </c>
      <c r="G1824" s="21" t="s">
        <v>3011</v>
      </c>
      <c r="H1824" s="21" t="s">
        <v>11407</v>
      </c>
      <c r="I1824" s="21" t="s">
        <v>26929</v>
      </c>
    </row>
    <row r="1825" customFormat="false" ht="15" hidden="false" customHeight="false" outlineLevel="0" collapsed="false">
      <c r="B1825" s="19" t="s">
        <v>27184</v>
      </c>
      <c r="C1825" s="20" t="n">
        <f aca="false">ROUND(3.25/FX,2)</f>
        <v>0.45</v>
      </c>
      <c r="D1825" s="21" t="s">
        <v>6362</v>
      </c>
      <c r="E1825" s="21" t="s">
        <v>734</v>
      </c>
      <c r="F1825" s="21" t="s">
        <v>26980</v>
      </c>
      <c r="G1825" s="21" t="s">
        <v>847</v>
      </c>
      <c r="H1825" s="21" t="s">
        <v>11407</v>
      </c>
      <c r="I1825" s="21" t="s">
        <v>26929</v>
      </c>
    </row>
    <row r="1826" customFormat="false" ht="15" hidden="false" customHeight="false" outlineLevel="0" collapsed="false">
      <c r="B1826" s="19" t="s">
        <v>27185</v>
      </c>
      <c r="C1826" s="20" t="n">
        <f aca="false">ROUND(6.5/FX,2)</f>
        <v>0.9</v>
      </c>
      <c r="D1826" s="21" t="s">
        <v>6362</v>
      </c>
      <c r="E1826" s="21" t="s">
        <v>734</v>
      </c>
      <c r="F1826" s="21" t="s">
        <v>26980</v>
      </c>
      <c r="G1826" s="21" t="s">
        <v>3061</v>
      </c>
      <c r="H1826" s="21" t="s">
        <v>11407</v>
      </c>
      <c r="I1826" s="21" t="s">
        <v>26929</v>
      </c>
    </row>
    <row r="1827" customFormat="false" ht="15" hidden="false" customHeight="false" outlineLevel="0" collapsed="false">
      <c r="B1827" s="19" t="s">
        <v>27186</v>
      </c>
      <c r="C1827" s="20" t="n">
        <f aca="false">ROUND(6.5/FX,2)</f>
        <v>0.9</v>
      </c>
      <c r="D1827" s="21" t="s">
        <v>6362</v>
      </c>
      <c r="E1827" s="21" t="s">
        <v>734</v>
      </c>
      <c r="F1827" s="21" t="s">
        <v>26980</v>
      </c>
      <c r="G1827" s="21" t="s">
        <v>3111</v>
      </c>
      <c r="H1827" s="21" t="s">
        <v>11407</v>
      </c>
      <c r="I1827" s="21" t="s">
        <v>26929</v>
      </c>
    </row>
    <row r="1828" customFormat="false" ht="15" hidden="false" customHeight="false" outlineLevel="0" collapsed="false">
      <c r="B1828" s="19" t="s">
        <v>27187</v>
      </c>
      <c r="C1828" s="20" t="n">
        <f aca="false">ROUND(3.25/FX,2)</f>
        <v>0.45</v>
      </c>
      <c r="D1828" s="21" t="s">
        <v>6362</v>
      </c>
      <c r="E1828" s="21" t="s">
        <v>734</v>
      </c>
      <c r="F1828" s="21" t="s">
        <v>26980</v>
      </c>
      <c r="G1828" s="21" t="s">
        <v>707</v>
      </c>
      <c r="H1828" s="21" t="s">
        <v>11409</v>
      </c>
      <c r="I1828" s="21" t="s">
        <v>26929</v>
      </c>
    </row>
    <row r="1829" customFormat="false" ht="15" hidden="false" customHeight="false" outlineLevel="0" collapsed="false">
      <c r="B1829" s="19" t="s">
        <v>27188</v>
      </c>
      <c r="C1829" s="20" t="n">
        <f aca="false">ROUND(6.5/FX,2)</f>
        <v>0.9</v>
      </c>
      <c r="D1829" s="21" t="s">
        <v>6362</v>
      </c>
      <c r="E1829" s="21" t="s">
        <v>734</v>
      </c>
      <c r="F1829" s="21" t="s">
        <v>26980</v>
      </c>
      <c r="G1829" s="21" t="s">
        <v>2600</v>
      </c>
      <c r="H1829" s="21" t="s">
        <v>11409</v>
      </c>
      <c r="I1829" s="21" t="s">
        <v>26929</v>
      </c>
    </row>
    <row r="1830" customFormat="false" ht="15" hidden="false" customHeight="false" outlineLevel="0" collapsed="false">
      <c r="B1830" s="19" t="s">
        <v>27189</v>
      </c>
      <c r="C1830" s="20" t="n">
        <f aca="false">ROUND(3.25/FX,2)</f>
        <v>0.45</v>
      </c>
      <c r="D1830" s="21" t="s">
        <v>6362</v>
      </c>
      <c r="E1830" s="21" t="s">
        <v>734</v>
      </c>
      <c r="F1830" s="21" t="s">
        <v>26980</v>
      </c>
      <c r="G1830" s="21" t="s">
        <v>761</v>
      </c>
      <c r="H1830" s="21" t="s">
        <v>11409</v>
      </c>
      <c r="I1830" s="21" t="s">
        <v>26929</v>
      </c>
    </row>
    <row r="1831" customFormat="false" ht="15" hidden="false" customHeight="false" outlineLevel="0" collapsed="false">
      <c r="B1831" s="19" t="s">
        <v>27190</v>
      </c>
      <c r="C1831" s="20" t="n">
        <f aca="false">ROUND(3.25/FX,2)</f>
        <v>0.45</v>
      </c>
      <c r="D1831" s="21" t="s">
        <v>6362</v>
      </c>
      <c r="E1831" s="21" t="s">
        <v>734</v>
      </c>
      <c r="F1831" s="21" t="s">
        <v>26980</v>
      </c>
      <c r="G1831" s="21" t="s">
        <v>714</v>
      </c>
      <c r="H1831" s="21" t="s">
        <v>11409</v>
      </c>
      <c r="I1831" s="21" t="s">
        <v>26929</v>
      </c>
    </row>
    <row r="1832" customFormat="false" ht="15" hidden="false" customHeight="false" outlineLevel="0" collapsed="false">
      <c r="B1832" s="19" t="s">
        <v>27191</v>
      </c>
      <c r="C1832" s="20" t="n">
        <f aca="false">ROUND(3.25/FX,2)</f>
        <v>0.45</v>
      </c>
      <c r="D1832" s="21" t="s">
        <v>6362</v>
      </c>
      <c r="E1832" s="21" t="s">
        <v>734</v>
      </c>
      <c r="F1832" s="21" t="s">
        <v>26980</v>
      </c>
      <c r="G1832" s="21" t="s">
        <v>4000</v>
      </c>
      <c r="H1832" s="21" t="s">
        <v>11409</v>
      </c>
      <c r="I1832" s="21" t="s">
        <v>26929</v>
      </c>
    </row>
    <row r="1833" customFormat="false" ht="15" hidden="false" customHeight="false" outlineLevel="0" collapsed="false">
      <c r="B1833" s="19" t="s">
        <v>27192</v>
      </c>
      <c r="C1833" s="20" t="n">
        <f aca="false">ROUND(3.25/FX,2)</f>
        <v>0.45</v>
      </c>
      <c r="D1833" s="21" t="s">
        <v>6362</v>
      </c>
      <c r="E1833" s="21" t="s">
        <v>734</v>
      </c>
      <c r="F1833" s="21" t="s">
        <v>26980</v>
      </c>
      <c r="G1833" s="21" t="s">
        <v>3247</v>
      </c>
      <c r="H1833" s="21" t="s">
        <v>11409</v>
      </c>
      <c r="I1833" s="21" t="s">
        <v>26929</v>
      </c>
    </row>
    <row r="1834" customFormat="false" ht="15" hidden="false" customHeight="false" outlineLevel="0" collapsed="false">
      <c r="B1834" s="19" t="s">
        <v>27193</v>
      </c>
      <c r="C1834" s="20" t="n">
        <f aca="false">ROUND(3.25/FX,2)</f>
        <v>0.45</v>
      </c>
      <c r="D1834" s="21" t="s">
        <v>6362</v>
      </c>
      <c r="E1834" s="21" t="s">
        <v>734</v>
      </c>
      <c r="F1834" s="21" t="s">
        <v>26980</v>
      </c>
      <c r="G1834" s="21" t="s">
        <v>3317</v>
      </c>
      <c r="H1834" s="21" t="s">
        <v>11409</v>
      </c>
      <c r="I1834" s="21" t="s">
        <v>26929</v>
      </c>
    </row>
    <row r="1835" customFormat="false" ht="15" hidden="false" customHeight="false" outlineLevel="0" collapsed="false">
      <c r="B1835" s="19" t="s">
        <v>27194</v>
      </c>
      <c r="C1835" s="20" t="n">
        <f aca="false">ROUND(3.9/FX,2)</f>
        <v>0.54</v>
      </c>
      <c r="D1835" s="21" t="s">
        <v>6362</v>
      </c>
      <c r="E1835" s="21" t="s">
        <v>734</v>
      </c>
      <c r="F1835" s="21" t="s">
        <v>26980</v>
      </c>
      <c r="G1835" s="21" t="s">
        <v>784</v>
      </c>
      <c r="H1835" s="21" t="s">
        <v>11409</v>
      </c>
      <c r="I1835" s="21" t="s">
        <v>26929</v>
      </c>
    </row>
    <row r="1836" customFormat="false" ht="15" hidden="false" customHeight="false" outlineLevel="0" collapsed="false">
      <c r="B1836" s="19" t="s">
        <v>27195</v>
      </c>
      <c r="C1836" s="20" t="n">
        <f aca="false">ROUND(3.9/FX,2)</f>
        <v>0.54</v>
      </c>
      <c r="D1836" s="21" t="s">
        <v>6362</v>
      </c>
      <c r="E1836" s="21" t="s">
        <v>734</v>
      </c>
      <c r="F1836" s="21" t="s">
        <v>26980</v>
      </c>
      <c r="G1836" s="21" t="s">
        <v>3328</v>
      </c>
      <c r="H1836" s="21" t="s">
        <v>11409</v>
      </c>
      <c r="I1836" s="21" t="s">
        <v>26929</v>
      </c>
    </row>
    <row r="1837" customFormat="false" ht="15" hidden="false" customHeight="false" outlineLevel="0" collapsed="false">
      <c r="B1837" s="19" t="s">
        <v>27196</v>
      </c>
      <c r="C1837" s="20" t="n">
        <f aca="false">ROUND(3.9/FX,2)</f>
        <v>0.54</v>
      </c>
      <c r="D1837" s="21" t="s">
        <v>6362</v>
      </c>
      <c r="E1837" s="21" t="s">
        <v>734</v>
      </c>
      <c r="F1837" s="21" t="s">
        <v>26980</v>
      </c>
      <c r="G1837" s="21" t="s">
        <v>6246</v>
      </c>
      <c r="H1837" s="21" t="s">
        <v>11409</v>
      </c>
      <c r="I1837" s="21" t="s">
        <v>26929</v>
      </c>
    </row>
    <row r="1838" customFormat="false" ht="15" hidden="false" customHeight="false" outlineLevel="0" collapsed="false">
      <c r="B1838" s="19" t="s">
        <v>27197</v>
      </c>
      <c r="C1838" s="20" t="n">
        <f aca="false">ROUND(5.2/FX,2)</f>
        <v>0.72</v>
      </c>
      <c r="D1838" s="21" t="s">
        <v>6362</v>
      </c>
      <c r="E1838" s="21" t="s">
        <v>734</v>
      </c>
      <c r="F1838" s="21" t="s">
        <v>26980</v>
      </c>
      <c r="G1838" s="21" t="s">
        <v>7358</v>
      </c>
      <c r="H1838" s="21" t="s">
        <v>11409</v>
      </c>
      <c r="I1838" s="21" t="s">
        <v>26929</v>
      </c>
    </row>
    <row r="1839" customFormat="false" ht="15" hidden="false" customHeight="false" outlineLevel="0" collapsed="false">
      <c r="B1839" s="19" t="s">
        <v>27198</v>
      </c>
      <c r="C1839" s="20" t="n">
        <f aca="false">ROUND(5.2/FX,2)</f>
        <v>0.72</v>
      </c>
      <c r="D1839" s="21" t="s">
        <v>6362</v>
      </c>
      <c r="E1839" s="21" t="s">
        <v>734</v>
      </c>
      <c r="F1839" s="21" t="s">
        <v>26980</v>
      </c>
      <c r="G1839" s="21" t="s">
        <v>2911</v>
      </c>
      <c r="H1839" s="21" t="s">
        <v>11409</v>
      </c>
      <c r="I1839" s="21" t="s">
        <v>26929</v>
      </c>
    </row>
    <row r="1840" customFormat="false" ht="15" hidden="false" customHeight="false" outlineLevel="0" collapsed="false">
      <c r="B1840" s="19" t="s">
        <v>27199</v>
      </c>
      <c r="C1840" s="20" t="n">
        <f aca="false">ROUND(3.25/FX,2)</f>
        <v>0.45</v>
      </c>
      <c r="D1840" s="21" t="s">
        <v>6362</v>
      </c>
      <c r="E1840" s="21" t="s">
        <v>734</v>
      </c>
      <c r="F1840" s="21" t="s">
        <v>26980</v>
      </c>
      <c r="G1840" s="21" t="s">
        <v>716</v>
      </c>
      <c r="H1840" s="21" t="s">
        <v>11409</v>
      </c>
      <c r="I1840" s="21" t="s">
        <v>26929</v>
      </c>
    </row>
    <row r="1841" customFormat="false" ht="15" hidden="false" customHeight="false" outlineLevel="0" collapsed="false">
      <c r="B1841" s="19" t="s">
        <v>27200</v>
      </c>
      <c r="C1841" s="20" t="n">
        <f aca="false">ROUND(5.2/FX,2)</f>
        <v>0.72</v>
      </c>
      <c r="D1841" s="21" t="s">
        <v>6362</v>
      </c>
      <c r="E1841" s="21" t="s">
        <v>734</v>
      </c>
      <c r="F1841" s="21" t="s">
        <v>26980</v>
      </c>
      <c r="G1841" s="21" t="s">
        <v>2961</v>
      </c>
      <c r="H1841" s="21" t="s">
        <v>11409</v>
      </c>
      <c r="I1841" s="21" t="s">
        <v>26929</v>
      </c>
    </row>
    <row r="1842" customFormat="false" ht="15" hidden="false" customHeight="false" outlineLevel="0" collapsed="false">
      <c r="B1842" s="19" t="s">
        <v>27201</v>
      </c>
      <c r="C1842" s="20" t="n">
        <f aca="false">ROUND(5.2/FX,2)</f>
        <v>0.72</v>
      </c>
      <c r="D1842" s="21" t="s">
        <v>6362</v>
      </c>
      <c r="E1842" s="21" t="s">
        <v>734</v>
      </c>
      <c r="F1842" s="21" t="s">
        <v>26980</v>
      </c>
      <c r="G1842" s="21" t="s">
        <v>3011</v>
      </c>
      <c r="H1842" s="21" t="s">
        <v>11409</v>
      </c>
      <c r="I1842" s="21" t="s">
        <v>26929</v>
      </c>
    </row>
    <row r="1843" customFormat="false" ht="15" hidden="false" customHeight="false" outlineLevel="0" collapsed="false">
      <c r="B1843" s="19" t="s">
        <v>27202</v>
      </c>
      <c r="C1843" s="20" t="n">
        <f aca="false">ROUND(3.25/FX,2)</f>
        <v>0.45</v>
      </c>
      <c r="D1843" s="21" t="s">
        <v>6362</v>
      </c>
      <c r="E1843" s="21" t="s">
        <v>734</v>
      </c>
      <c r="F1843" s="21" t="s">
        <v>26980</v>
      </c>
      <c r="G1843" s="21" t="s">
        <v>847</v>
      </c>
      <c r="H1843" s="21" t="s">
        <v>11409</v>
      </c>
      <c r="I1843" s="21" t="s">
        <v>26929</v>
      </c>
    </row>
    <row r="1844" customFormat="false" ht="15" hidden="false" customHeight="false" outlineLevel="0" collapsed="false">
      <c r="B1844" s="19" t="s">
        <v>27203</v>
      </c>
      <c r="C1844" s="20" t="n">
        <f aca="false">ROUND(6.5/FX,2)</f>
        <v>0.9</v>
      </c>
      <c r="D1844" s="21" t="s">
        <v>6362</v>
      </c>
      <c r="E1844" s="21" t="s">
        <v>734</v>
      </c>
      <c r="F1844" s="21" t="s">
        <v>26980</v>
      </c>
      <c r="G1844" s="21" t="s">
        <v>3061</v>
      </c>
      <c r="H1844" s="21" t="s">
        <v>11409</v>
      </c>
      <c r="I1844" s="21" t="s">
        <v>26929</v>
      </c>
    </row>
    <row r="1845" customFormat="false" ht="15" hidden="false" customHeight="false" outlineLevel="0" collapsed="false">
      <c r="B1845" s="19" t="s">
        <v>27204</v>
      </c>
      <c r="C1845" s="20" t="n">
        <f aca="false">ROUND(6.5/FX,2)</f>
        <v>0.9</v>
      </c>
      <c r="D1845" s="21" t="s">
        <v>6362</v>
      </c>
      <c r="E1845" s="21" t="s">
        <v>734</v>
      </c>
      <c r="F1845" s="21" t="s">
        <v>26980</v>
      </c>
      <c r="G1845" s="21" t="s">
        <v>3111</v>
      </c>
      <c r="H1845" s="21" t="s">
        <v>11409</v>
      </c>
      <c r="I1845" s="21" t="s">
        <v>26929</v>
      </c>
    </row>
    <row r="1846" customFormat="false" ht="15" hidden="false" customHeight="false" outlineLevel="0" collapsed="false">
      <c r="B1846" s="19" t="s">
        <v>27205</v>
      </c>
      <c r="C1846" s="20" t="n">
        <f aca="false">ROUND(3.25/FX,2)</f>
        <v>0.45</v>
      </c>
      <c r="D1846" s="21" t="s">
        <v>6362</v>
      </c>
      <c r="E1846" s="21" t="s">
        <v>734</v>
      </c>
      <c r="F1846" s="21" t="s">
        <v>26980</v>
      </c>
      <c r="G1846" s="21" t="s">
        <v>707</v>
      </c>
      <c r="H1846" s="21" t="s">
        <v>11411</v>
      </c>
      <c r="I1846" s="21" t="s">
        <v>26929</v>
      </c>
    </row>
    <row r="1847" customFormat="false" ht="15" hidden="false" customHeight="false" outlineLevel="0" collapsed="false">
      <c r="B1847" s="19" t="s">
        <v>27206</v>
      </c>
      <c r="C1847" s="20" t="n">
        <f aca="false">ROUND(6.5/FX,2)</f>
        <v>0.9</v>
      </c>
      <c r="D1847" s="21" t="s">
        <v>6362</v>
      </c>
      <c r="E1847" s="21" t="s">
        <v>734</v>
      </c>
      <c r="F1847" s="21" t="s">
        <v>26980</v>
      </c>
      <c r="G1847" s="21" t="s">
        <v>2600</v>
      </c>
      <c r="H1847" s="21" t="s">
        <v>11411</v>
      </c>
      <c r="I1847" s="21" t="s">
        <v>26929</v>
      </c>
    </row>
    <row r="1848" customFormat="false" ht="15" hidden="false" customHeight="false" outlineLevel="0" collapsed="false">
      <c r="B1848" s="19" t="s">
        <v>27207</v>
      </c>
      <c r="C1848" s="20" t="n">
        <f aca="false">ROUND(3.25/FX,2)</f>
        <v>0.45</v>
      </c>
      <c r="D1848" s="21" t="s">
        <v>6362</v>
      </c>
      <c r="E1848" s="21" t="s">
        <v>734</v>
      </c>
      <c r="F1848" s="21" t="s">
        <v>26980</v>
      </c>
      <c r="G1848" s="21" t="s">
        <v>761</v>
      </c>
      <c r="H1848" s="21" t="s">
        <v>11411</v>
      </c>
      <c r="I1848" s="21" t="s">
        <v>26929</v>
      </c>
    </row>
    <row r="1849" customFormat="false" ht="15" hidden="false" customHeight="false" outlineLevel="0" collapsed="false">
      <c r="B1849" s="19" t="s">
        <v>27208</v>
      </c>
      <c r="C1849" s="20" t="n">
        <f aca="false">ROUND(3.25/FX,2)</f>
        <v>0.45</v>
      </c>
      <c r="D1849" s="21" t="s">
        <v>6362</v>
      </c>
      <c r="E1849" s="21" t="s">
        <v>734</v>
      </c>
      <c r="F1849" s="21" t="s">
        <v>26980</v>
      </c>
      <c r="G1849" s="21" t="s">
        <v>714</v>
      </c>
      <c r="H1849" s="21" t="s">
        <v>11411</v>
      </c>
      <c r="I1849" s="21" t="s">
        <v>26929</v>
      </c>
    </row>
    <row r="1850" customFormat="false" ht="15" hidden="false" customHeight="false" outlineLevel="0" collapsed="false">
      <c r="B1850" s="19" t="s">
        <v>27209</v>
      </c>
      <c r="C1850" s="20" t="n">
        <f aca="false">ROUND(3.25/FX,2)</f>
        <v>0.45</v>
      </c>
      <c r="D1850" s="21" t="s">
        <v>6362</v>
      </c>
      <c r="E1850" s="21" t="s">
        <v>734</v>
      </c>
      <c r="F1850" s="21" t="s">
        <v>26980</v>
      </c>
      <c r="G1850" s="21" t="s">
        <v>4000</v>
      </c>
      <c r="H1850" s="21" t="s">
        <v>11411</v>
      </c>
      <c r="I1850" s="21" t="s">
        <v>26929</v>
      </c>
    </row>
    <row r="1851" customFormat="false" ht="15" hidden="false" customHeight="false" outlineLevel="0" collapsed="false">
      <c r="B1851" s="19" t="s">
        <v>27210</v>
      </c>
      <c r="C1851" s="20" t="n">
        <f aca="false">ROUND(3.25/FX,2)</f>
        <v>0.45</v>
      </c>
      <c r="D1851" s="21" t="s">
        <v>6362</v>
      </c>
      <c r="E1851" s="21" t="s">
        <v>734</v>
      </c>
      <c r="F1851" s="21" t="s">
        <v>26980</v>
      </c>
      <c r="G1851" s="21" t="s">
        <v>3247</v>
      </c>
      <c r="H1851" s="21" t="s">
        <v>11411</v>
      </c>
      <c r="I1851" s="21" t="s">
        <v>26929</v>
      </c>
    </row>
    <row r="1852" customFormat="false" ht="15" hidden="false" customHeight="false" outlineLevel="0" collapsed="false">
      <c r="B1852" s="19" t="s">
        <v>27211</v>
      </c>
      <c r="C1852" s="20" t="n">
        <f aca="false">ROUND(3.25/FX,2)</f>
        <v>0.45</v>
      </c>
      <c r="D1852" s="21" t="s">
        <v>6362</v>
      </c>
      <c r="E1852" s="21" t="s">
        <v>734</v>
      </c>
      <c r="F1852" s="21" t="s">
        <v>26980</v>
      </c>
      <c r="G1852" s="21" t="s">
        <v>3317</v>
      </c>
      <c r="H1852" s="21" t="s">
        <v>11411</v>
      </c>
      <c r="I1852" s="21" t="s">
        <v>26929</v>
      </c>
    </row>
    <row r="1853" customFormat="false" ht="15" hidden="false" customHeight="false" outlineLevel="0" collapsed="false">
      <c r="B1853" s="19" t="s">
        <v>27212</v>
      </c>
      <c r="C1853" s="20" t="n">
        <f aca="false">ROUND(3.9/FX,2)</f>
        <v>0.54</v>
      </c>
      <c r="D1853" s="21" t="s">
        <v>6362</v>
      </c>
      <c r="E1853" s="21" t="s">
        <v>734</v>
      </c>
      <c r="F1853" s="21" t="s">
        <v>26980</v>
      </c>
      <c r="G1853" s="21" t="s">
        <v>784</v>
      </c>
      <c r="H1853" s="21" t="s">
        <v>11411</v>
      </c>
      <c r="I1853" s="21" t="s">
        <v>26929</v>
      </c>
    </row>
    <row r="1854" customFormat="false" ht="15" hidden="false" customHeight="false" outlineLevel="0" collapsed="false">
      <c r="B1854" s="19" t="s">
        <v>27213</v>
      </c>
      <c r="C1854" s="20" t="n">
        <f aca="false">ROUND(3.9/FX,2)</f>
        <v>0.54</v>
      </c>
      <c r="D1854" s="21" t="s">
        <v>6362</v>
      </c>
      <c r="E1854" s="21" t="s">
        <v>734</v>
      </c>
      <c r="F1854" s="21" t="s">
        <v>26980</v>
      </c>
      <c r="G1854" s="21" t="s">
        <v>3328</v>
      </c>
      <c r="H1854" s="21" t="s">
        <v>11411</v>
      </c>
      <c r="I1854" s="21" t="s">
        <v>26929</v>
      </c>
    </row>
    <row r="1855" customFormat="false" ht="15" hidden="false" customHeight="false" outlineLevel="0" collapsed="false">
      <c r="B1855" s="19" t="s">
        <v>27214</v>
      </c>
      <c r="C1855" s="20" t="n">
        <f aca="false">ROUND(5.2/FX,2)</f>
        <v>0.72</v>
      </c>
      <c r="D1855" s="21" t="s">
        <v>6362</v>
      </c>
      <c r="E1855" s="21" t="s">
        <v>734</v>
      </c>
      <c r="F1855" s="21" t="s">
        <v>26980</v>
      </c>
      <c r="G1855" s="21" t="s">
        <v>6246</v>
      </c>
      <c r="H1855" s="21" t="s">
        <v>11411</v>
      </c>
      <c r="I1855" s="21" t="s">
        <v>26929</v>
      </c>
    </row>
    <row r="1856" customFormat="false" ht="15" hidden="false" customHeight="false" outlineLevel="0" collapsed="false">
      <c r="B1856" s="19" t="s">
        <v>27215</v>
      </c>
      <c r="C1856" s="20" t="n">
        <f aca="false">ROUND(5.2/FX,2)</f>
        <v>0.72</v>
      </c>
      <c r="D1856" s="21" t="s">
        <v>6362</v>
      </c>
      <c r="E1856" s="21" t="s">
        <v>734</v>
      </c>
      <c r="F1856" s="21" t="s">
        <v>26980</v>
      </c>
      <c r="G1856" s="21" t="s">
        <v>7358</v>
      </c>
      <c r="H1856" s="21" t="s">
        <v>11411</v>
      </c>
      <c r="I1856" s="21" t="s">
        <v>26929</v>
      </c>
    </row>
    <row r="1857" customFormat="false" ht="15" hidden="false" customHeight="false" outlineLevel="0" collapsed="false">
      <c r="B1857" s="19" t="s">
        <v>27216</v>
      </c>
      <c r="C1857" s="20" t="n">
        <f aca="false">ROUND(5.2/FX,2)</f>
        <v>0.72</v>
      </c>
      <c r="D1857" s="21" t="s">
        <v>6362</v>
      </c>
      <c r="E1857" s="21" t="s">
        <v>734</v>
      </c>
      <c r="F1857" s="21" t="s">
        <v>26980</v>
      </c>
      <c r="G1857" s="21" t="s">
        <v>2911</v>
      </c>
      <c r="H1857" s="21" t="s">
        <v>11411</v>
      </c>
      <c r="I1857" s="21" t="s">
        <v>26929</v>
      </c>
    </row>
    <row r="1858" customFormat="false" ht="15" hidden="false" customHeight="false" outlineLevel="0" collapsed="false">
      <c r="B1858" s="19" t="s">
        <v>27217</v>
      </c>
      <c r="C1858" s="20" t="n">
        <f aca="false">ROUND(3.25/FX,2)</f>
        <v>0.45</v>
      </c>
      <c r="D1858" s="21" t="s">
        <v>6362</v>
      </c>
      <c r="E1858" s="21" t="s">
        <v>734</v>
      </c>
      <c r="F1858" s="21" t="s">
        <v>26980</v>
      </c>
      <c r="G1858" s="21" t="s">
        <v>716</v>
      </c>
      <c r="H1858" s="21" t="s">
        <v>11411</v>
      </c>
      <c r="I1858" s="21" t="s">
        <v>26929</v>
      </c>
    </row>
    <row r="1859" customFormat="false" ht="15" hidden="false" customHeight="false" outlineLevel="0" collapsed="false">
      <c r="B1859" s="19" t="s">
        <v>27218</v>
      </c>
      <c r="C1859" s="20" t="n">
        <f aca="false">ROUND(5.2/FX,2)</f>
        <v>0.72</v>
      </c>
      <c r="D1859" s="21" t="s">
        <v>6362</v>
      </c>
      <c r="E1859" s="21" t="s">
        <v>734</v>
      </c>
      <c r="F1859" s="21" t="s">
        <v>26980</v>
      </c>
      <c r="G1859" s="21" t="s">
        <v>2961</v>
      </c>
      <c r="H1859" s="21" t="s">
        <v>11411</v>
      </c>
      <c r="I1859" s="21" t="s">
        <v>26929</v>
      </c>
    </row>
    <row r="1860" customFormat="false" ht="15" hidden="false" customHeight="false" outlineLevel="0" collapsed="false">
      <c r="B1860" s="19" t="s">
        <v>27219</v>
      </c>
      <c r="C1860" s="20" t="n">
        <f aca="false">ROUND(5.2/FX,2)</f>
        <v>0.72</v>
      </c>
      <c r="D1860" s="21" t="s">
        <v>6362</v>
      </c>
      <c r="E1860" s="21" t="s">
        <v>734</v>
      </c>
      <c r="F1860" s="21" t="s">
        <v>26980</v>
      </c>
      <c r="G1860" s="21" t="s">
        <v>3011</v>
      </c>
      <c r="H1860" s="21" t="s">
        <v>11411</v>
      </c>
      <c r="I1860" s="21" t="s">
        <v>26929</v>
      </c>
    </row>
    <row r="1861" customFormat="false" ht="15" hidden="false" customHeight="false" outlineLevel="0" collapsed="false">
      <c r="B1861" s="19" t="s">
        <v>27220</v>
      </c>
      <c r="C1861" s="20" t="n">
        <f aca="false">ROUND(3.25/FX,2)</f>
        <v>0.45</v>
      </c>
      <c r="D1861" s="21" t="s">
        <v>6362</v>
      </c>
      <c r="E1861" s="21" t="s">
        <v>734</v>
      </c>
      <c r="F1861" s="21" t="s">
        <v>26980</v>
      </c>
      <c r="G1861" s="21" t="s">
        <v>847</v>
      </c>
      <c r="H1861" s="21" t="s">
        <v>11411</v>
      </c>
      <c r="I1861" s="21" t="s">
        <v>26929</v>
      </c>
    </row>
    <row r="1862" customFormat="false" ht="15" hidden="false" customHeight="false" outlineLevel="0" collapsed="false">
      <c r="B1862" s="19" t="s">
        <v>27221</v>
      </c>
      <c r="C1862" s="20" t="n">
        <f aca="false">ROUND(6.5/FX,2)</f>
        <v>0.9</v>
      </c>
      <c r="D1862" s="21" t="s">
        <v>6362</v>
      </c>
      <c r="E1862" s="21" t="s">
        <v>734</v>
      </c>
      <c r="F1862" s="21" t="s">
        <v>26980</v>
      </c>
      <c r="G1862" s="21" t="s">
        <v>3061</v>
      </c>
      <c r="H1862" s="21" t="s">
        <v>11411</v>
      </c>
      <c r="I1862" s="21" t="s">
        <v>26929</v>
      </c>
    </row>
    <row r="1863" customFormat="false" ht="15" hidden="false" customHeight="false" outlineLevel="0" collapsed="false">
      <c r="B1863" s="19" t="s">
        <v>27222</v>
      </c>
      <c r="C1863" s="20" t="n">
        <f aca="false">ROUND(6.5/FX,2)</f>
        <v>0.9</v>
      </c>
      <c r="D1863" s="21" t="s">
        <v>6362</v>
      </c>
      <c r="E1863" s="21" t="s">
        <v>734</v>
      </c>
      <c r="F1863" s="21" t="s">
        <v>26980</v>
      </c>
      <c r="G1863" s="21" t="s">
        <v>3111</v>
      </c>
      <c r="H1863" s="21" t="s">
        <v>11411</v>
      </c>
      <c r="I1863" s="21" t="s">
        <v>26929</v>
      </c>
    </row>
    <row r="1864" customFormat="false" ht="15" hidden="false" customHeight="false" outlineLevel="0" collapsed="false">
      <c r="B1864" s="19" t="s">
        <v>27223</v>
      </c>
      <c r="C1864" s="20" t="n">
        <f aca="false">ROUND(3.9/FX,2)</f>
        <v>0.54</v>
      </c>
      <c r="D1864" s="21" t="s">
        <v>6362</v>
      </c>
      <c r="E1864" s="21" t="s">
        <v>734</v>
      </c>
      <c r="F1864" s="21" t="s">
        <v>26980</v>
      </c>
      <c r="G1864" s="21" t="s">
        <v>707</v>
      </c>
      <c r="H1864" s="21" t="s">
        <v>11413</v>
      </c>
      <c r="I1864" s="21" t="s">
        <v>26929</v>
      </c>
    </row>
    <row r="1865" customFormat="false" ht="15" hidden="false" customHeight="false" outlineLevel="0" collapsed="false">
      <c r="B1865" s="19" t="s">
        <v>27224</v>
      </c>
      <c r="C1865" s="20" t="n">
        <f aca="false">ROUND(3.25/FX,2)</f>
        <v>0.45</v>
      </c>
      <c r="D1865" s="21" t="s">
        <v>6362</v>
      </c>
      <c r="E1865" s="21" t="s">
        <v>734</v>
      </c>
      <c r="F1865" s="21" t="s">
        <v>26980</v>
      </c>
      <c r="G1865" s="21" t="s">
        <v>761</v>
      </c>
      <c r="H1865" s="21" t="s">
        <v>11413</v>
      </c>
      <c r="I1865" s="21" t="s">
        <v>26929</v>
      </c>
    </row>
    <row r="1866" customFormat="false" ht="15" hidden="false" customHeight="false" outlineLevel="0" collapsed="false">
      <c r="B1866" s="19" t="s">
        <v>27225</v>
      </c>
      <c r="C1866" s="20" t="n">
        <f aca="false">ROUND(3.25/FX,2)</f>
        <v>0.45</v>
      </c>
      <c r="D1866" s="21" t="s">
        <v>6362</v>
      </c>
      <c r="E1866" s="21" t="s">
        <v>734</v>
      </c>
      <c r="F1866" s="21" t="s">
        <v>26980</v>
      </c>
      <c r="G1866" s="21" t="s">
        <v>714</v>
      </c>
      <c r="H1866" s="21" t="s">
        <v>11413</v>
      </c>
      <c r="I1866" s="21" t="s">
        <v>26929</v>
      </c>
    </row>
    <row r="1867" customFormat="false" ht="15" hidden="false" customHeight="false" outlineLevel="0" collapsed="false">
      <c r="B1867" s="19" t="s">
        <v>27226</v>
      </c>
      <c r="C1867" s="20" t="n">
        <f aca="false">ROUND(3.25/FX,2)</f>
        <v>0.45</v>
      </c>
      <c r="D1867" s="21" t="s">
        <v>6362</v>
      </c>
      <c r="E1867" s="21" t="s">
        <v>734</v>
      </c>
      <c r="F1867" s="21" t="s">
        <v>26980</v>
      </c>
      <c r="G1867" s="21" t="s">
        <v>4000</v>
      </c>
      <c r="H1867" s="21" t="s">
        <v>11413</v>
      </c>
      <c r="I1867" s="21" t="s">
        <v>26929</v>
      </c>
    </row>
    <row r="1868" customFormat="false" ht="15" hidden="false" customHeight="false" outlineLevel="0" collapsed="false">
      <c r="B1868" s="19" t="s">
        <v>27227</v>
      </c>
      <c r="C1868" s="20" t="n">
        <f aca="false">ROUND(3.25/FX,2)</f>
        <v>0.45</v>
      </c>
      <c r="D1868" s="21" t="s">
        <v>6362</v>
      </c>
      <c r="E1868" s="21" t="s">
        <v>734</v>
      </c>
      <c r="F1868" s="21" t="s">
        <v>26980</v>
      </c>
      <c r="G1868" s="21" t="s">
        <v>3247</v>
      </c>
      <c r="H1868" s="21" t="s">
        <v>11413</v>
      </c>
      <c r="I1868" s="21" t="s">
        <v>26929</v>
      </c>
    </row>
    <row r="1869" customFormat="false" ht="15" hidden="false" customHeight="false" outlineLevel="0" collapsed="false">
      <c r="B1869" s="19" t="s">
        <v>27228</v>
      </c>
      <c r="C1869" s="20" t="n">
        <f aca="false">ROUND(3.25/FX,2)</f>
        <v>0.45</v>
      </c>
      <c r="D1869" s="21" t="s">
        <v>6362</v>
      </c>
      <c r="E1869" s="21" t="s">
        <v>734</v>
      </c>
      <c r="F1869" s="21" t="s">
        <v>26980</v>
      </c>
      <c r="G1869" s="21" t="s">
        <v>3317</v>
      </c>
      <c r="H1869" s="21" t="s">
        <v>11413</v>
      </c>
      <c r="I1869" s="21" t="s">
        <v>26929</v>
      </c>
    </row>
    <row r="1870" customFormat="false" ht="15" hidden="false" customHeight="false" outlineLevel="0" collapsed="false">
      <c r="B1870" s="19" t="s">
        <v>27229</v>
      </c>
      <c r="C1870" s="20" t="n">
        <f aca="false">ROUND(3.25/FX,2)</f>
        <v>0.45</v>
      </c>
      <c r="D1870" s="21" t="s">
        <v>6362</v>
      </c>
      <c r="E1870" s="21" t="s">
        <v>734</v>
      </c>
      <c r="F1870" s="21" t="s">
        <v>26980</v>
      </c>
      <c r="G1870" s="21" t="s">
        <v>784</v>
      </c>
      <c r="H1870" s="21" t="s">
        <v>11413</v>
      </c>
      <c r="I1870" s="21" t="s">
        <v>26929</v>
      </c>
    </row>
    <row r="1871" customFormat="false" ht="15" hidden="false" customHeight="false" outlineLevel="0" collapsed="false">
      <c r="B1871" s="19" t="s">
        <v>27230</v>
      </c>
      <c r="C1871" s="20" t="n">
        <f aca="false">ROUND(3.25/FX,2)</f>
        <v>0.45</v>
      </c>
      <c r="D1871" s="21" t="s">
        <v>6362</v>
      </c>
      <c r="E1871" s="21" t="s">
        <v>734</v>
      </c>
      <c r="F1871" s="21" t="s">
        <v>26980</v>
      </c>
      <c r="G1871" s="21" t="s">
        <v>3328</v>
      </c>
      <c r="H1871" s="21" t="s">
        <v>11413</v>
      </c>
      <c r="I1871" s="21" t="s">
        <v>26929</v>
      </c>
    </row>
    <row r="1872" customFormat="false" ht="15" hidden="false" customHeight="false" outlineLevel="0" collapsed="false">
      <c r="B1872" s="19" t="s">
        <v>27231</v>
      </c>
      <c r="C1872" s="20" t="n">
        <f aca="false">ROUND(5.2/FX,2)</f>
        <v>0.72</v>
      </c>
      <c r="D1872" s="21" t="s">
        <v>6362</v>
      </c>
      <c r="E1872" s="21" t="s">
        <v>734</v>
      </c>
      <c r="F1872" s="21" t="s">
        <v>26980</v>
      </c>
      <c r="G1872" s="21" t="s">
        <v>6246</v>
      </c>
      <c r="H1872" s="21" t="s">
        <v>11413</v>
      </c>
      <c r="I1872" s="21" t="s">
        <v>26929</v>
      </c>
    </row>
    <row r="1873" customFormat="false" ht="15" hidden="false" customHeight="false" outlineLevel="0" collapsed="false">
      <c r="B1873" s="19" t="s">
        <v>27232</v>
      </c>
      <c r="C1873" s="20" t="n">
        <f aca="false">ROUND(5.2/FX,2)</f>
        <v>0.72</v>
      </c>
      <c r="D1873" s="21" t="s">
        <v>6362</v>
      </c>
      <c r="E1873" s="21" t="s">
        <v>734</v>
      </c>
      <c r="F1873" s="21" t="s">
        <v>26980</v>
      </c>
      <c r="G1873" s="21" t="s">
        <v>7358</v>
      </c>
      <c r="H1873" s="21" t="s">
        <v>11413</v>
      </c>
      <c r="I1873" s="21" t="s">
        <v>26929</v>
      </c>
    </row>
    <row r="1874" customFormat="false" ht="15" hidden="false" customHeight="false" outlineLevel="0" collapsed="false">
      <c r="B1874" s="19" t="s">
        <v>27233</v>
      </c>
      <c r="C1874" s="20" t="n">
        <f aca="false">ROUND(6.5/FX,2)</f>
        <v>0.9</v>
      </c>
      <c r="D1874" s="21" t="s">
        <v>6362</v>
      </c>
      <c r="E1874" s="21" t="s">
        <v>734</v>
      </c>
      <c r="F1874" s="21" t="s">
        <v>26980</v>
      </c>
      <c r="G1874" s="21" t="s">
        <v>2911</v>
      </c>
      <c r="H1874" s="21" t="s">
        <v>11413</v>
      </c>
      <c r="I1874" s="21" t="s">
        <v>26929</v>
      </c>
    </row>
    <row r="1875" customFormat="false" ht="15" hidden="false" customHeight="false" outlineLevel="0" collapsed="false">
      <c r="B1875" s="19" t="s">
        <v>27234</v>
      </c>
      <c r="C1875" s="20" t="n">
        <f aca="false">ROUND(3.25/FX,2)</f>
        <v>0.45</v>
      </c>
      <c r="D1875" s="21" t="s">
        <v>6362</v>
      </c>
      <c r="E1875" s="21" t="s">
        <v>734</v>
      </c>
      <c r="F1875" s="21" t="s">
        <v>26980</v>
      </c>
      <c r="G1875" s="21" t="s">
        <v>716</v>
      </c>
      <c r="H1875" s="21" t="s">
        <v>11413</v>
      </c>
      <c r="I1875" s="21" t="s">
        <v>26929</v>
      </c>
    </row>
    <row r="1876" customFormat="false" ht="15" hidden="false" customHeight="false" outlineLevel="0" collapsed="false">
      <c r="B1876" s="19" t="s">
        <v>27235</v>
      </c>
      <c r="C1876" s="20" t="n">
        <f aca="false">ROUND(6.5/FX,2)</f>
        <v>0.9</v>
      </c>
      <c r="D1876" s="21" t="s">
        <v>6362</v>
      </c>
      <c r="E1876" s="21" t="s">
        <v>734</v>
      </c>
      <c r="F1876" s="21" t="s">
        <v>26980</v>
      </c>
      <c r="G1876" s="21" t="s">
        <v>2961</v>
      </c>
      <c r="H1876" s="21" t="s">
        <v>11413</v>
      </c>
      <c r="I1876" s="21" t="s">
        <v>26929</v>
      </c>
    </row>
    <row r="1877" customFormat="false" ht="15" hidden="false" customHeight="false" outlineLevel="0" collapsed="false">
      <c r="B1877" s="19" t="s">
        <v>27236</v>
      </c>
      <c r="C1877" s="20" t="n">
        <f aca="false">ROUND(3.9/FX,2)</f>
        <v>0.54</v>
      </c>
      <c r="D1877" s="21" t="s">
        <v>6362</v>
      </c>
      <c r="E1877" s="21" t="s">
        <v>734</v>
      </c>
      <c r="F1877" s="21" t="s">
        <v>26980</v>
      </c>
      <c r="G1877" s="21" t="s">
        <v>707</v>
      </c>
      <c r="H1877" s="21" t="s">
        <v>11415</v>
      </c>
      <c r="I1877" s="21" t="s">
        <v>26929</v>
      </c>
    </row>
    <row r="1878" customFormat="false" ht="15" hidden="false" customHeight="false" outlineLevel="0" collapsed="false">
      <c r="B1878" s="19" t="s">
        <v>27237</v>
      </c>
      <c r="C1878" s="20" t="n">
        <f aca="false">ROUND(3.9/FX,2)</f>
        <v>0.54</v>
      </c>
      <c r="D1878" s="21" t="s">
        <v>6362</v>
      </c>
      <c r="E1878" s="21" t="s">
        <v>734</v>
      </c>
      <c r="F1878" s="21" t="s">
        <v>26980</v>
      </c>
      <c r="G1878" s="21" t="s">
        <v>761</v>
      </c>
      <c r="H1878" s="21" t="s">
        <v>11415</v>
      </c>
      <c r="I1878" s="21" t="s">
        <v>26929</v>
      </c>
    </row>
    <row r="1879" customFormat="false" ht="15" hidden="false" customHeight="false" outlineLevel="0" collapsed="false">
      <c r="B1879" s="19" t="s">
        <v>27238</v>
      </c>
      <c r="C1879" s="20" t="n">
        <f aca="false">ROUND(3.9/FX,2)</f>
        <v>0.54</v>
      </c>
      <c r="D1879" s="21" t="s">
        <v>6362</v>
      </c>
      <c r="E1879" s="21" t="s">
        <v>734</v>
      </c>
      <c r="F1879" s="21" t="s">
        <v>26980</v>
      </c>
      <c r="G1879" s="21" t="s">
        <v>714</v>
      </c>
      <c r="H1879" s="21" t="s">
        <v>11415</v>
      </c>
      <c r="I1879" s="21" t="s">
        <v>26929</v>
      </c>
    </row>
    <row r="1880" customFormat="false" ht="15" hidden="false" customHeight="false" outlineLevel="0" collapsed="false">
      <c r="B1880" s="19" t="s">
        <v>27239</v>
      </c>
      <c r="C1880" s="20" t="n">
        <f aca="false">ROUND(3.9/FX,2)</f>
        <v>0.54</v>
      </c>
      <c r="D1880" s="21" t="s">
        <v>6362</v>
      </c>
      <c r="E1880" s="21" t="s">
        <v>734</v>
      </c>
      <c r="F1880" s="21" t="s">
        <v>26980</v>
      </c>
      <c r="G1880" s="21" t="s">
        <v>3247</v>
      </c>
      <c r="H1880" s="21" t="s">
        <v>11415</v>
      </c>
      <c r="I1880" s="21" t="s">
        <v>26929</v>
      </c>
    </row>
    <row r="1881" customFormat="false" ht="15" hidden="false" customHeight="false" outlineLevel="0" collapsed="false">
      <c r="B1881" s="19" t="s">
        <v>27240</v>
      </c>
      <c r="C1881" s="20" t="n">
        <f aca="false">ROUND(3.9/FX,2)</f>
        <v>0.54</v>
      </c>
      <c r="D1881" s="21" t="s">
        <v>6362</v>
      </c>
      <c r="E1881" s="21" t="s">
        <v>734</v>
      </c>
      <c r="F1881" s="21" t="s">
        <v>26980</v>
      </c>
      <c r="G1881" s="21" t="s">
        <v>3317</v>
      </c>
      <c r="H1881" s="21" t="s">
        <v>11415</v>
      </c>
      <c r="I1881" s="21" t="s">
        <v>26929</v>
      </c>
    </row>
    <row r="1882" customFormat="false" ht="15" hidden="false" customHeight="false" outlineLevel="0" collapsed="false">
      <c r="B1882" s="19" t="s">
        <v>27241</v>
      </c>
      <c r="C1882" s="20" t="n">
        <f aca="false">ROUND(3.9/FX,2)</f>
        <v>0.54</v>
      </c>
      <c r="D1882" s="21" t="s">
        <v>6362</v>
      </c>
      <c r="E1882" s="21" t="s">
        <v>734</v>
      </c>
      <c r="F1882" s="21" t="s">
        <v>26980</v>
      </c>
      <c r="G1882" s="21" t="s">
        <v>784</v>
      </c>
      <c r="H1882" s="21" t="s">
        <v>11415</v>
      </c>
      <c r="I1882" s="21" t="s">
        <v>26929</v>
      </c>
    </row>
    <row r="1883" customFormat="false" ht="15" hidden="false" customHeight="false" outlineLevel="0" collapsed="false">
      <c r="B1883" s="19" t="s">
        <v>27242</v>
      </c>
      <c r="C1883" s="20" t="n">
        <f aca="false">ROUND(3.9/FX,2)</f>
        <v>0.54</v>
      </c>
      <c r="D1883" s="21" t="s">
        <v>6362</v>
      </c>
      <c r="E1883" s="21" t="s">
        <v>734</v>
      </c>
      <c r="F1883" s="21" t="s">
        <v>26980</v>
      </c>
      <c r="G1883" s="21" t="s">
        <v>3328</v>
      </c>
      <c r="H1883" s="21" t="s">
        <v>11415</v>
      </c>
      <c r="I1883" s="21" t="s">
        <v>26929</v>
      </c>
    </row>
    <row r="1884" customFormat="false" ht="15" hidden="false" customHeight="false" outlineLevel="0" collapsed="false">
      <c r="B1884" s="19" t="s">
        <v>27243</v>
      </c>
      <c r="C1884" s="20" t="n">
        <f aca="false">ROUND(5.2/FX,2)</f>
        <v>0.72</v>
      </c>
      <c r="D1884" s="21" t="s">
        <v>6362</v>
      </c>
      <c r="E1884" s="21" t="s">
        <v>734</v>
      </c>
      <c r="F1884" s="21" t="s">
        <v>26980</v>
      </c>
      <c r="G1884" s="21" t="s">
        <v>6246</v>
      </c>
      <c r="H1884" s="21" t="s">
        <v>11415</v>
      </c>
      <c r="I1884" s="21" t="s">
        <v>26929</v>
      </c>
    </row>
    <row r="1885" customFormat="false" ht="15" hidden="false" customHeight="false" outlineLevel="0" collapsed="false">
      <c r="B1885" s="19" t="s">
        <v>27244</v>
      </c>
      <c r="C1885" s="20" t="n">
        <f aca="false">ROUND(5.2/FX,2)</f>
        <v>0.72</v>
      </c>
      <c r="D1885" s="21" t="s">
        <v>6362</v>
      </c>
      <c r="E1885" s="21" t="s">
        <v>734</v>
      </c>
      <c r="F1885" s="21" t="s">
        <v>26980</v>
      </c>
      <c r="G1885" s="21" t="s">
        <v>7358</v>
      </c>
      <c r="H1885" s="21" t="s">
        <v>11415</v>
      </c>
      <c r="I1885" s="21" t="s">
        <v>26929</v>
      </c>
    </row>
    <row r="1886" customFormat="false" ht="15" hidden="false" customHeight="false" outlineLevel="0" collapsed="false">
      <c r="B1886" s="19" t="s">
        <v>27245</v>
      </c>
      <c r="C1886" s="20" t="n">
        <f aca="false">ROUND(6.5/FX,2)</f>
        <v>0.9</v>
      </c>
      <c r="D1886" s="21" t="s">
        <v>6362</v>
      </c>
      <c r="E1886" s="21" t="s">
        <v>734</v>
      </c>
      <c r="F1886" s="21" t="s">
        <v>26980</v>
      </c>
      <c r="G1886" s="21" t="s">
        <v>2911</v>
      </c>
      <c r="H1886" s="21" t="s">
        <v>11415</v>
      </c>
      <c r="I1886" s="21" t="s">
        <v>26929</v>
      </c>
    </row>
    <row r="1887" customFormat="false" ht="15" hidden="false" customHeight="false" outlineLevel="0" collapsed="false">
      <c r="B1887" s="19" t="s">
        <v>27246</v>
      </c>
      <c r="C1887" s="20" t="n">
        <f aca="false">ROUND(6.5/FX,2)</f>
        <v>0.9</v>
      </c>
      <c r="D1887" s="21" t="s">
        <v>6362</v>
      </c>
      <c r="E1887" s="21" t="s">
        <v>734</v>
      </c>
      <c r="F1887" s="21" t="s">
        <v>26980</v>
      </c>
      <c r="G1887" s="21" t="s">
        <v>7275</v>
      </c>
      <c r="H1887" s="21" t="s">
        <v>11415</v>
      </c>
      <c r="I1887" s="21" t="s">
        <v>26929</v>
      </c>
    </row>
    <row r="1888" customFormat="false" ht="15" hidden="false" customHeight="false" outlineLevel="0" collapsed="false">
      <c r="B1888" s="19" t="s">
        <v>27247</v>
      </c>
      <c r="C1888" s="20" t="n">
        <f aca="false">ROUND(6.5/FX,2)</f>
        <v>0.9</v>
      </c>
      <c r="D1888" s="21" t="s">
        <v>6362</v>
      </c>
      <c r="E1888" s="21" t="s">
        <v>734</v>
      </c>
      <c r="F1888" s="21" t="s">
        <v>26980</v>
      </c>
      <c r="G1888" s="21" t="s">
        <v>2961</v>
      </c>
      <c r="H1888" s="21" t="s">
        <v>11415</v>
      </c>
      <c r="I1888" s="21" t="s">
        <v>26929</v>
      </c>
    </row>
    <row r="1889" customFormat="false" ht="15" hidden="false" customHeight="false" outlineLevel="0" collapsed="false">
      <c r="B1889" s="19" t="s">
        <v>27248</v>
      </c>
      <c r="C1889" s="20" t="n">
        <f aca="false">ROUND(5.2/FX,2)</f>
        <v>0.72</v>
      </c>
      <c r="D1889" s="21" t="s">
        <v>6362</v>
      </c>
      <c r="E1889" s="21" t="s">
        <v>734</v>
      </c>
      <c r="F1889" s="21" t="s">
        <v>26980</v>
      </c>
      <c r="G1889" s="21" t="s">
        <v>707</v>
      </c>
      <c r="H1889" s="21" t="s">
        <v>26884</v>
      </c>
      <c r="I1889" s="21" t="s">
        <v>26929</v>
      </c>
    </row>
    <row r="1890" customFormat="false" ht="15" hidden="false" customHeight="false" outlineLevel="0" collapsed="false">
      <c r="B1890" s="19" t="s">
        <v>27249</v>
      </c>
      <c r="C1890" s="20" t="n">
        <f aca="false">ROUND(5.2/FX,2)</f>
        <v>0.72</v>
      </c>
      <c r="D1890" s="21" t="s">
        <v>6362</v>
      </c>
      <c r="E1890" s="21" t="s">
        <v>734</v>
      </c>
      <c r="F1890" s="21" t="s">
        <v>26980</v>
      </c>
      <c r="G1890" s="21" t="s">
        <v>761</v>
      </c>
      <c r="H1890" s="21" t="s">
        <v>26884</v>
      </c>
      <c r="I1890" s="21" t="s">
        <v>26929</v>
      </c>
    </row>
    <row r="1891" customFormat="false" ht="15" hidden="false" customHeight="false" outlineLevel="0" collapsed="false">
      <c r="B1891" s="19" t="s">
        <v>27250</v>
      </c>
      <c r="C1891" s="20" t="n">
        <f aca="false">ROUND(5.2/FX,2)</f>
        <v>0.72</v>
      </c>
      <c r="D1891" s="21" t="s">
        <v>6362</v>
      </c>
      <c r="E1891" s="21" t="s">
        <v>734</v>
      </c>
      <c r="F1891" s="21" t="s">
        <v>26980</v>
      </c>
      <c r="G1891" s="21" t="s">
        <v>714</v>
      </c>
      <c r="H1891" s="21" t="s">
        <v>26884</v>
      </c>
      <c r="I1891" s="21" t="s">
        <v>26929</v>
      </c>
    </row>
    <row r="1892" customFormat="false" ht="15" hidden="false" customHeight="false" outlineLevel="0" collapsed="false">
      <c r="B1892" s="19" t="s">
        <v>27251</v>
      </c>
      <c r="C1892" s="20" t="n">
        <f aca="false">ROUND(5.2/FX,2)</f>
        <v>0.72</v>
      </c>
      <c r="D1892" s="21" t="s">
        <v>6362</v>
      </c>
      <c r="E1892" s="21" t="s">
        <v>734</v>
      </c>
      <c r="F1892" s="21" t="s">
        <v>26980</v>
      </c>
      <c r="G1892" s="21" t="s">
        <v>3247</v>
      </c>
      <c r="H1892" s="21" t="s">
        <v>26884</v>
      </c>
      <c r="I1892" s="21" t="s">
        <v>26929</v>
      </c>
    </row>
    <row r="1893" customFormat="false" ht="15" hidden="false" customHeight="false" outlineLevel="0" collapsed="false">
      <c r="B1893" s="19" t="s">
        <v>27252</v>
      </c>
      <c r="C1893" s="20" t="n">
        <f aca="false">ROUND(5.2/FX,2)</f>
        <v>0.72</v>
      </c>
      <c r="D1893" s="21" t="s">
        <v>6362</v>
      </c>
      <c r="E1893" s="21" t="s">
        <v>734</v>
      </c>
      <c r="F1893" s="21" t="s">
        <v>26980</v>
      </c>
      <c r="G1893" s="21" t="s">
        <v>3317</v>
      </c>
      <c r="H1893" s="21" t="s">
        <v>26884</v>
      </c>
      <c r="I1893" s="21" t="s">
        <v>26929</v>
      </c>
    </row>
    <row r="1894" customFormat="false" ht="15" hidden="false" customHeight="false" outlineLevel="0" collapsed="false">
      <c r="B1894" s="19" t="s">
        <v>27253</v>
      </c>
      <c r="C1894" s="20" t="n">
        <f aca="false">ROUND(5.2/FX,2)</f>
        <v>0.72</v>
      </c>
      <c r="D1894" s="21" t="s">
        <v>6362</v>
      </c>
      <c r="E1894" s="21" t="s">
        <v>734</v>
      </c>
      <c r="F1894" s="21" t="s">
        <v>26980</v>
      </c>
      <c r="G1894" s="21" t="s">
        <v>784</v>
      </c>
      <c r="H1894" s="21" t="s">
        <v>26884</v>
      </c>
      <c r="I1894" s="21" t="s">
        <v>26929</v>
      </c>
    </row>
    <row r="1895" customFormat="false" ht="15" hidden="false" customHeight="false" outlineLevel="0" collapsed="false">
      <c r="B1895" s="19" t="s">
        <v>27254</v>
      </c>
      <c r="C1895" s="20" t="n">
        <f aca="false">ROUND(5.2/FX,2)</f>
        <v>0.72</v>
      </c>
      <c r="D1895" s="21" t="s">
        <v>6362</v>
      </c>
      <c r="E1895" s="21" t="s">
        <v>734</v>
      </c>
      <c r="F1895" s="21" t="s">
        <v>26980</v>
      </c>
      <c r="G1895" s="21" t="s">
        <v>3328</v>
      </c>
      <c r="H1895" s="21" t="s">
        <v>26884</v>
      </c>
      <c r="I1895" s="21" t="s">
        <v>26929</v>
      </c>
    </row>
    <row r="1896" customFormat="false" ht="15" hidden="false" customHeight="false" outlineLevel="0" collapsed="false">
      <c r="B1896" s="19" t="s">
        <v>27255</v>
      </c>
      <c r="C1896" s="20" t="n">
        <f aca="false">ROUND(5.2/FX,2)</f>
        <v>0.72</v>
      </c>
      <c r="D1896" s="21" t="s">
        <v>6362</v>
      </c>
      <c r="E1896" s="21" t="s">
        <v>734</v>
      </c>
      <c r="F1896" s="21" t="s">
        <v>26980</v>
      </c>
      <c r="G1896" s="21" t="s">
        <v>6246</v>
      </c>
      <c r="H1896" s="21" t="s">
        <v>26884</v>
      </c>
      <c r="I1896" s="21" t="s">
        <v>26929</v>
      </c>
    </row>
    <row r="1897" customFormat="false" ht="15" hidden="false" customHeight="false" outlineLevel="0" collapsed="false">
      <c r="B1897" s="19" t="s">
        <v>27256</v>
      </c>
      <c r="C1897" s="20" t="n">
        <f aca="false">ROUND(5.2/FX,2)</f>
        <v>0.72</v>
      </c>
      <c r="D1897" s="21" t="s">
        <v>6362</v>
      </c>
      <c r="E1897" s="21" t="s">
        <v>734</v>
      </c>
      <c r="F1897" s="21" t="s">
        <v>26980</v>
      </c>
      <c r="G1897" s="21" t="s">
        <v>716</v>
      </c>
      <c r="H1897" s="21" t="s">
        <v>26884</v>
      </c>
      <c r="I1897" s="21" t="s">
        <v>26929</v>
      </c>
    </row>
    <row r="1898" customFormat="false" ht="15" hidden="false" customHeight="false" outlineLevel="0" collapsed="false">
      <c r="B1898" s="19" t="s">
        <v>27257</v>
      </c>
      <c r="C1898" s="20" t="n">
        <f aca="false">ROUND(5.2/FX,2)</f>
        <v>0.72</v>
      </c>
      <c r="D1898" s="21" t="s">
        <v>6362</v>
      </c>
      <c r="E1898" s="21" t="s">
        <v>734</v>
      </c>
      <c r="F1898" s="21" t="s">
        <v>26980</v>
      </c>
      <c r="G1898" s="21" t="s">
        <v>847</v>
      </c>
      <c r="H1898" s="21" t="s">
        <v>26884</v>
      </c>
      <c r="I1898" s="21" t="s">
        <v>26929</v>
      </c>
    </row>
    <row r="1899" customFormat="false" ht="15" hidden="false" customHeight="false" outlineLevel="0" collapsed="false">
      <c r="B1899" s="19" t="s">
        <v>27258</v>
      </c>
      <c r="C1899" s="20" t="n">
        <f aca="false">ROUND(3.25/FX,2)</f>
        <v>0.45</v>
      </c>
      <c r="D1899" s="21" t="s">
        <v>6549</v>
      </c>
      <c r="E1899" s="21" t="s">
        <v>734</v>
      </c>
      <c r="F1899" s="21" t="s">
        <v>26980</v>
      </c>
      <c r="G1899" s="21" t="s">
        <v>707</v>
      </c>
      <c r="H1899" s="21" t="s">
        <v>11407</v>
      </c>
      <c r="I1899" s="21" t="s">
        <v>26929</v>
      </c>
    </row>
    <row r="1900" customFormat="false" ht="15" hidden="false" customHeight="false" outlineLevel="0" collapsed="false">
      <c r="B1900" s="19" t="s">
        <v>27259</v>
      </c>
      <c r="C1900" s="20" t="n">
        <f aca="false">ROUND(6.5/FX,2)</f>
        <v>0.9</v>
      </c>
      <c r="D1900" s="21" t="s">
        <v>6549</v>
      </c>
      <c r="E1900" s="21" t="s">
        <v>734</v>
      </c>
      <c r="F1900" s="21" t="s">
        <v>26980</v>
      </c>
      <c r="G1900" s="21" t="s">
        <v>2600</v>
      </c>
      <c r="H1900" s="21" t="s">
        <v>11407</v>
      </c>
      <c r="I1900" s="21" t="s">
        <v>26929</v>
      </c>
    </row>
    <row r="1901" customFormat="false" ht="15" hidden="false" customHeight="false" outlineLevel="0" collapsed="false">
      <c r="B1901" s="19" t="s">
        <v>27260</v>
      </c>
      <c r="C1901" s="20" t="n">
        <f aca="false">ROUND(3.25/FX,2)</f>
        <v>0.45</v>
      </c>
      <c r="D1901" s="21" t="s">
        <v>6549</v>
      </c>
      <c r="E1901" s="21" t="s">
        <v>734</v>
      </c>
      <c r="F1901" s="21" t="s">
        <v>26980</v>
      </c>
      <c r="G1901" s="21" t="s">
        <v>761</v>
      </c>
      <c r="H1901" s="21" t="s">
        <v>11407</v>
      </c>
      <c r="I1901" s="21" t="s">
        <v>26929</v>
      </c>
    </row>
    <row r="1902" customFormat="false" ht="15" hidden="false" customHeight="false" outlineLevel="0" collapsed="false">
      <c r="B1902" s="19" t="s">
        <v>27261</v>
      </c>
      <c r="C1902" s="20" t="n">
        <f aca="false">ROUND(3.25/FX,2)</f>
        <v>0.45</v>
      </c>
      <c r="D1902" s="21" t="s">
        <v>6549</v>
      </c>
      <c r="E1902" s="21" t="s">
        <v>734</v>
      </c>
      <c r="F1902" s="21" t="s">
        <v>26980</v>
      </c>
      <c r="G1902" s="21" t="s">
        <v>714</v>
      </c>
      <c r="H1902" s="21" t="s">
        <v>11407</v>
      </c>
      <c r="I1902" s="21" t="s">
        <v>26929</v>
      </c>
    </row>
    <row r="1903" customFormat="false" ht="15" hidden="false" customHeight="false" outlineLevel="0" collapsed="false">
      <c r="B1903" s="19" t="s">
        <v>27262</v>
      </c>
      <c r="C1903" s="20" t="n">
        <f aca="false">ROUND(3.25/FX,2)</f>
        <v>0.45</v>
      </c>
      <c r="D1903" s="21" t="s">
        <v>6549</v>
      </c>
      <c r="E1903" s="21" t="s">
        <v>734</v>
      </c>
      <c r="F1903" s="21" t="s">
        <v>26980</v>
      </c>
      <c r="G1903" s="21" t="s">
        <v>4000</v>
      </c>
      <c r="H1903" s="21" t="s">
        <v>11407</v>
      </c>
      <c r="I1903" s="21" t="s">
        <v>26929</v>
      </c>
    </row>
    <row r="1904" customFormat="false" ht="15" hidden="false" customHeight="false" outlineLevel="0" collapsed="false">
      <c r="B1904" s="19" t="s">
        <v>27263</v>
      </c>
      <c r="C1904" s="20" t="n">
        <f aca="false">ROUND(3.25/FX,2)</f>
        <v>0.45</v>
      </c>
      <c r="D1904" s="21" t="s">
        <v>6549</v>
      </c>
      <c r="E1904" s="21" t="s">
        <v>734</v>
      </c>
      <c r="F1904" s="21" t="s">
        <v>26980</v>
      </c>
      <c r="G1904" s="21" t="s">
        <v>3247</v>
      </c>
      <c r="H1904" s="21" t="s">
        <v>11407</v>
      </c>
      <c r="I1904" s="21" t="s">
        <v>26929</v>
      </c>
    </row>
    <row r="1905" customFormat="false" ht="15" hidden="false" customHeight="false" outlineLevel="0" collapsed="false">
      <c r="B1905" s="19" t="s">
        <v>27264</v>
      </c>
      <c r="C1905" s="20" t="n">
        <f aca="false">ROUND(3.25/FX,2)</f>
        <v>0.45</v>
      </c>
      <c r="D1905" s="21" t="s">
        <v>6549</v>
      </c>
      <c r="E1905" s="21" t="s">
        <v>734</v>
      </c>
      <c r="F1905" s="21" t="s">
        <v>26980</v>
      </c>
      <c r="G1905" s="21" t="s">
        <v>3317</v>
      </c>
      <c r="H1905" s="21" t="s">
        <v>11407</v>
      </c>
      <c r="I1905" s="21" t="s">
        <v>26929</v>
      </c>
    </row>
    <row r="1906" customFormat="false" ht="15" hidden="false" customHeight="false" outlineLevel="0" collapsed="false">
      <c r="B1906" s="19" t="s">
        <v>27265</v>
      </c>
      <c r="C1906" s="20" t="n">
        <f aca="false">ROUND(3.9/FX,2)</f>
        <v>0.54</v>
      </c>
      <c r="D1906" s="21" t="s">
        <v>6549</v>
      </c>
      <c r="E1906" s="21" t="s">
        <v>734</v>
      </c>
      <c r="F1906" s="21" t="s">
        <v>26980</v>
      </c>
      <c r="G1906" s="21" t="s">
        <v>784</v>
      </c>
      <c r="H1906" s="21" t="s">
        <v>11407</v>
      </c>
      <c r="I1906" s="21" t="s">
        <v>26929</v>
      </c>
    </row>
    <row r="1907" customFormat="false" ht="15" hidden="false" customHeight="false" outlineLevel="0" collapsed="false">
      <c r="B1907" s="19" t="s">
        <v>27266</v>
      </c>
      <c r="C1907" s="20" t="n">
        <f aca="false">ROUND(3.9/FX,2)</f>
        <v>0.54</v>
      </c>
      <c r="D1907" s="21" t="s">
        <v>6549</v>
      </c>
      <c r="E1907" s="21" t="s">
        <v>734</v>
      </c>
      <c r="F1907" s="21" t="s">
        <v>26980</v>
      </c>
      <c r="G1907" s="21" t="s">
        <v>3328</v>
      </c>
      <c r="H1907" s="21" t="s">
        <v>11407</v>
      </c>
      <c r="I1907" s="21" t="s">
        <v>26929</v>
      </c>
    </row>
    <row r="1908" customFormat="false" ht="15" hidden="false" customHeight="false" outlineLevel="0" collapsed="false">
      <c r="B1908" s="19" t="s">
        <v>27267</v>
      </c>
      <c r="C1908" s="20" t="n">
        <f aca="false">ROUND(3.9/FX,2)</f>
        <v>0.54</v>
      </c>
      <c r="D1908" s="21" t="s">
        <v>6549</v>
      </c>
      <c r="E1908" s="21" t="s">
        <v>734</v>
      </c>
      <c r="F1908" s="21" t="s">
        <v>26980</v>
      </c>
      <c r="G1908" s="21" t="s">
        <v>6246</v>
      </c>
      <c r="H1908" s="21" t="s">
        <v>11407</v>
      </c>
      <c r="I1908" s="21" t="s">
        <v>26929</v>
      </c>
    </row>
    <row r="1909" customFormat="false" ht="15" hidden="false" customHeight="false" outlineLevel="0" collapsed="false">
      <c r="B1909" s="19" t="s">
        <v>27268</v>
      </c>
      <c r="C1909" s="20" t="n">
        <f aca="false">ROUND(3.9/FX,2)</f>
        <v>0.54</v>
      </c>
      <c r="D1909" s="21" t="s">
        <v>6549</v>
      </c>
      <c r="E1909" s="21" t="s">
        <v>734</v>
      </c>
      <c r="F1909" s="21" t="s">
        <v>26980</v>
      </c>
      <c r="G1909" s="21" t="s">
        <v>7358</v>
      </c>
      <c r="H1909" s="21" t="s">
        <v>11407</v>
      </c>
      <c r="I1909" s="21" t="s">
        <v>26929</v>
      </c>
    </row>
    <row r="1910" customFormat="false" ht="15" hidden="false" customHeight="false" outlineLevel="0" collapsed="false">
      <c r="B1910" s="19" t="s">
        <v>27269</v>
      </c>
      <c r="C1910" s="20" t="n">
        <f aca="false">ROUND(3.9/FX,2)</f>
        <v>0.54</v>
      </c>
      <c r="D1910" s="21" t="s">
        <v>6549</v>
      </c>
      <c r="E1910" s="21" t="s">
        <v>734</v>
      </c>
      <c r="F1910" s="21" t="s">
        <v>26980</v>
      </c>
      <c r="G1910" s="21" t="s">
        <v>2911</v>
      </c>
      <c r="H1910" s="21" t="s">
        <v>11407</v>
      </c>
      <c r="I1910" s="21" t="s">
        <v>26929</v>
      </c>
    </row>
    <row r="1911" customFormat="false" ht="15" hidden="false" customHeight="false" outlineLevel="0" collapsed="false">
      <c r="B1911" s="19" t="s">
        <v>27270</v>
      </c>
      <c r="C1911" s="20" t="n">
        <f aca="false">ROUND(3.25/FX,2)</f>
        <v>0.45</v>
      </c>
      <c r="D1911" s="21" t="s">
        <v>6549</v>
      </c>
      <c r="E1911" s="21" t="s">
        <v>734</v>
      </c>
      <c r="F1911" s="21" t="s">
        <v>26980</v>
      </c>
      <c r="G1911" s="21" t="s">
        <v>716</v>
      </c>
      <c r="H1911" s="21" t="s">
        <v>11407</v>
      </c>
      <c r="I1911" s="21" t="s">
        <v>26929</v>
      </c>
    </row>
    <row r="1912" customFormat="false" ht="15" hidden="false" customHeight="false" outlineLevel="0" collapsed="false">
      <c r="B1912" s="19" t="s">
        <v>27271</v>
      </c>
      <c r="C1912" s="20" t="n">
        <f aca="false">ROUND(5.2/FX,2)</f>
        <v>0.72</v>
      </c>
      <c r="D1912" s="21" t="s">
        <v>6549</v>
      </c>
      <c r="E1912" s="21" t="s">
        <v>734</v>
      </c>
      <c r="F1912" s="21" t="s">
        <v>26980</v>
      </c>
      <c r="G1912" s="21" t="s">
        <v>2961</v>
      </c>
      <c r="H1912" s="21" t="s">
        <v>11407</v>
      </c>
      <c r="I1912" s="21" t="s">
        <v>26929</v>
      </c>
    </row>
    <row r="1913" customFormat="false" ht="15" hidden="false" customHeight="false" outlineLevel="0" collapsed="false">
      <c r="B1913" s="19" t="s">
        <v>27272</v>
      </c>
      <c r="C1913" s="20" t="n">
        <f aca="false">ROUND(5.2/FX,2)</f>
        <v>0.72</v>
      </c>
      <c r="D1913" s="21" t="s">
        <v>6549</v>
      </c>
      <c r="E1913" s="21" t="s">
        <v>734</v>
      </c>
      <c r="F1913" s="21" t="s">
        <v>26980</v>
      </c>
      <c r="G1913" s="21" t="s">
        <v>3011</v>
      </c>
      <c r="H1913" s="21" t="s">
        <v>11407</v>
      </c>
      <c r="I1913" s="21" t="s">
        <v>26929</v>
      </c>
    </row>
    <row r="1914" customFormat="false" ht="15" hidden="false" customHeight="false" outlineLevel="0" collapsed="false">
      <c r="B1914" s="19" t="s">
        <v>27273</v>
      </c>
      <c r="C1914" s="20" t="n">
        <f aca="false">ROUND(3.25/FX,2)</f>
        <v>0.45</v>
      </c>
      <c r="D1914" s="21" t="s">
        <v>6549</v>
      </c>
      <c r="E1914" s="21" t="s">
        <v>734</v>
      </c>
      <c r="F1914" s="21" t="s">
        <v>26980</v>
      </c>
      <c r="G1914" s="21" t="s">
        <v>847</v>
      </c>
      <c r="H1914" s="21" t="s">
        <v>11407</v>
      </c>
      <c r="I1914" s="21" t="s">
        <v>26929</v>
      </c>
    </row>
    <row r="1915" customFormat="false" ht="15" hidden="false" customHeight="false" outlineLevel="0" collapsed="false">
      <c r="B1915" s="19" t="s">
        <v>27274</v>
      </c>
      <c r="C1915" s="20" t="n">
        <f aca="false">ROUND(6.5/FX,2)</f>
        <v>0.9</v>
      </c>
      <c r="D1915" s="21" t="s">
        <v>6549</v>
      </c>
      <c r="E1915" s="21" t="s">
        <v>734</v>
      </c>
      <c r="F1915" s="21" t="s">
        <v>26980</v>
      </c>
      <c r="G1915" s="21" t="s">
        <v>3061</v>
      </c>
      <c r="H1915" s="21" t="s">
        <v>11407</v>
      </c>
      <c r="I1915" s="21" t="s">
        <v>26929</v>
      </c>
    </row>
    <row r="1916" customFormat="false" ht="15" hidden="false" customHeight="false" outlineLevel="0" collapsed="false">
      <c r="B1916" s="19" t="s">
        <v>27275</v>
      </c>
      <c r="C1916" s="20" t="n">
        <f aca="false">ROUND(6.5/FX,2)</f>
        <v>0.9</v>
      </c>
      <c r="D1916" s="21" t="s">
        <v>6549</v>
      </c>
      <c r="E1916" s="21" t="s">
        <v>734</v>
      </c>
      <c r="F1916" s="21" t="s">
        <v>26980</v>
      </c>
      <c r="G1916" s="21" t="s">
        <v>3111</v>
      </c>
      <c r="H1916" s="21" t="s">
        <v>11407</v>
      </c>
      <c r="I1916" s="21" t="s">
        <v>26929</v>
      </c>
    </row>
    <row r="1917" customFormat="false" ht="15" hidden="false" customHeight="false" outlineLevel="0" collapsed="false">
      <c r="B1917" s="19" t="s">
        <v>27276</v>
      </c>
      <c r="C1917" s="20" t="n">
        <f aca="false">ROUND(3.25/FX,2)</f>
        <v>0.45</v>
      </c>
      <c r="D1917" s="21" t="s">
        <v>6549</v>
      </c>
      <c r="E1917" s="21" t="s">
        <v>734</v>
      </c>
      <c r="F1917" s="21" t="s">
        <v>26980</v>
      </c>
      <c r="G1917" s="21" t="s">
        <v>707</v>
      </c>
      <c r="H1917" s="21" t="s">
        <v>11409</v>
      </c>
      <c r="I1917" s="21" t="s">
        <v>26929</v>
      </c>
    </row>
    <row r="1918" customFormat="false" ht="15" hidden="false" customHeight="false" outlineLevel="0" collapsed="false">
      <c r="B1918" s="19" t="s">
        <v>27277</v>
      </c>
      <c r="C1918" s="20" t="n">
        <f aca="false">ROUND(6.5/FX,2)</f>
        <v>0.9</v>
      </c>
      <c r="D1918" s="21" t="s">
        <v>6549</v>
      </c>
      <c r="E1918" s="21" t="s">
        <v>734</v>
      </c>
      <c r="F1918" s="21" t="s">
        <v>26980</v>
      </c>
      <c r="G1918" s="21" t="s">
        <v>2600</v>
      </c>
      <c r="H1918" s="21" t="s">
        <v>11409</v>
      </c>
      <c r="I1918" s="21" t="s">
        <v>26929</v>
      </c>
    </row>
    <row r="1919" customFormat="false" ht="15" hidden="false" customHeight="false" outlineLevel="0" collapsed="false">
      <c r="B1919" s="19" t="s">
        <v>27278</v>
      </c>
      <c r="C1919" s="20" t="n">
        <f aca="false">ROUND(3.25/FX,2)</f>
        <v>0.45</v>
      </c>
      <c r="D1919" s="21" t="s">
        <v>6549</v>
      </c>
      <c r="E1919" s="21" t="s">
        <v>734</v>
      </c>
      <c r="F1919" s="21" t="s">
        <v>26980</v>
      </c>
      <c r="G1919" s="21" t="s">
        <v>761</v>
      </c>
      <c r="H1919" s="21" t="s">
        <v>11409</v>
      </c>
      <c r="I1919" s="21" t="s">
        <v>26929</v>
      </c>
    </row>
    <row r="1920" customFormat="false" ht="15" hidden="false" customHeight="false" outlineLevel="0" collapsed="false">
      <c r="B1920" s="19" t="s">
        <v>27279</v>
      </c>
      <c r="C1920" s="20" t="n">
        <f aca="false">ROUND(3.25/FX,2)</f>
        <v>0.45</v>
      </c>
      <c r="D1920" s="21" t="s">
        <v>6549</v>
      </c>
      <c r="E1920" s="21" t="s">
        <v>734</v>
      </c>
      <c r="F1920" s="21" t="s">
        <v>26980</v>
      </c>
      <c r="G1920" s="21" t="s">
        <v>714</v>
      </c>
      <c r="H1920" s="21" t="s">
        <v>11409</v>
      </c>
      <c r="I1920" s="21" t="s">
        <v>26929</v>
      </c>
    </row>
    <row r="1921" customFormat="false" ht="15" hidden="false" customHeight="false" outlineLevel="0" collapsed="false">
      <c r="B1921" s="19" t="s">
        <v>27280</v>
      </c>
      <c r="C1921" s="20" t="n">
        <f aca="false">ROUND(3.25/FX,2)</f>
        <v>0.45</v>
      </c>
      <c r="D1921" s="21" t="s">
        <v>6549</v>
      </c>
      <c r="E1921" s="21" t="s">
        <v>734</v>
      </c>
      <c r="F1921" s="21" t="s">
        <v>26980</v>
      </c>
      <c r="G1921" s="21" t="s">
        <v>3247</v>
      </c>
      <c r="H1921" s="21" t="s">
        <v>11409</v>
      </c>
      <c r="I1921" s="21" t="s">
        <v>26929</v>
      </c>
    </row>
    <row r="1922" customFormat="false" ht="15" hidden="false" customHeight="false" outlineLevel="0" collapsed="false">
      <c r="B1922" s="19" t="s">
        <v>27281</v>
      </c>
      <c r="C1922" s="20" t="n">
        <f aca="false">ROUND(3.25/FX,2)</f>
        <v>0.45</v>
      </c>
      <c r="D1922" s="21" t="s">
        <v>6549</v>
      </c>
      <c r="E1922" s="21" t="s">
        <v>734</v>
      </c>
      <c r="F1922" s="21" t="s">
        <v>26980</v>
      </c>
      <c r="G1922" s="21" t="s">
        <v>3317</v>
      </c>
      <c r="H1922" s="21" t="s">
        <v>11409</v>
      </c>
      <c r="I1922" s="21" t="s">
        <v>26929</v>
      </c>
    </row>
    <row r="1923" customFormat="false" ht="15" hidden="false" customHeight="false" outlineLevel="0" collapsed="false">
      <c r="B1923" s="19" t="s">
        <v>27282</v>
      </c>
      <c r="C1923" s="20" t="n">
        <f aca="false">ROUND(3.9/FX,2)</f>
        <v>0.54</v>
      </c>
      <c r="D1923" s="21" t="s">
        <v>6549</v>
      </c>
      <c r="E1923" s="21" t="s">
        <v>734</v>
      </c>
      <c r="F1923" s="21" t="s">
        <v>26980</v>
      </c>
      <c r="G1923" s="21" t="s">
        <v>784</v>
      </c>
      <c r="H1923" s="21" t="s">
        <v>11409</v>
      </c>
      <c r="I1923" s="21" t="s">
        <v>26929</v>
      </c>
    </row>
    <row r="1924" customFormat="false" ht="15" hidden="false" customHeight="false" outlineLevel="0" collapsed="false">
      <c r="B1924" s="19" t="s">
        <v>27283</v>
      </c>
      <c r="C1924" s="20" t="n">
        <f aca="false">ROUND(3.9/FX,2)</f>
        <v>0.54</v>
      </c>
      <c r="D1924" s="21" t="s">
        <v>6549</v>
      </c>
      <c r="E1924" s="21" t="s">
        <v>734</v>
      </c>
      <c r="F1924" s="21" t="s">
        <v>26980</v>
      </c>
      <c r="G1924" s="21" t="s">
        <v>3328</v>
      </c>
      <c r="H1924" s="21" t="s">
        <v>11409</v>
      </c>
      <c r="I1924" s="21" t="s">
        <v>26929</v>
      </c>
    </row>
    <row r="1925" customFormat="false" ht="15" hidden="false" customHeight="false" outlineLevel="0" collapsed="false">
      <c r="B1925" s="19" t="s">
        <v>27284</v>
      </c>
      <c r="C1925" s="20" t="n">
        <f aca="false">ROUND(3.9/FX,2)</f>
        <v>0.54</v>
      </c>
      <c r="D1925" s="21" t="s">
        <v>6549</v>
      </c>
      <c r="E1925" s="21" t="s">
        <v>734</v>
      </c>
      <c r="F1925" s="21" t="s">
        <v>26980</v>
      </c>
      <c r="G1925" s="21" t="s">
        <v>6246</v>
      </c>
      <c r="H1925" s="21" t="s">
        <v>11409</v>
      </c>
      <c r="I1925" s="21" t="s">
        <v>26929</v>
      </c>
    </row>
    <row r="1926" customFormat="false" ht="15" hidden="false" customHeight="false" outlineLevel="0" collapsed="false">
      <c r="B1926" s="19" t="s">
        <v>27285</v>
      </c>
      <c r="C1926" s="20" t="n">
        <f aca="false">ROUND(3.9/FX,2)</f>
        <v>0.54</v>
      </c>
      <c r="D1926" s="21" t="s">
        <v>6549</v>
      </c>
      <c r="E1926" s="21" t="s">
        <v>734</v>
      </c>
      <c r="F1926" s="21" t="s">
        <v>26980</v>
      </c>
      <c r="G1926" s="21" t="s">
        <v>7358</v>
      </c>
      <c r="H1926" s="21" t="s">
        <v>11409</v>
      </c>
      <c r="I1926" s="21" t="s">
        <v>26929</v>
      </c>
    </row>
    <row r="1927" customFormat="false" ht="15" hidden="false" customHeight="false" outlineLevel="0" collapsed="false">
      <c r="B1927" s="19" t="s">
        <v>27286</v>
      </c>
      <c r="C1927" s="20" t="n">
        <f aca="false">ROUND(3.9/FX,2)</f>
        <v>0.54</v>
      </c>
      <c r="D1927" s="21" t="s">
        <v>6549</v>
      </c>
      <c r="E1927" s="21" t="s">
        <v>734</v>
      </c>
      <c r="F1927" s="21" t="s">
        <v>26980</v>
      </c>
      <c r="G1927" s="21" t="s">
        <v>2911</v>
      </c>
      <c r="H1927" s="21" t="s">
        <v>11409</v>
      </c>
      <c r="I1927" s="21" t="s">
        <v>26929</v>
      </c>
    </row>
    <row r="1928" customFormat="false" ht="15" hidden="false" customHeight="false" outlineLevel="0" collapsed="false">
      <c r="B1928" s="19" t="s">
        <v>27287</v>
      </c>
      <c r="C1928" s="20" t="n">
        <f aca="false">ROUND(3.25/FX,2)</f>
        <v>0.45</v>
      </c>
      <c r="D1928" s="21" t="s">
        <v>6549</v>
      </c>
      <c r="E1928" s="21" t="s">
        <v>734</v>
      </c>
      <c r="F1928" s="21" t="s">
        <v>26980</v>
      </c>
      <c r="G1928" s="21" t="s">
        <v>716</v>
      </c>
      <c r="H1928" s="21" t="s">
        <v>11409</v>
      </c>
      <c r="I1928" s="21" t="s">
        <v>26929</v>
      </c>
    </row>
    <row r="1929" customFormat="false" ht="15" hidden="false" customHeight="false" outlineLevel="0" collapsed="false">
      <c r="B1929" s="19" t="s">
        <v>27288</v>
      </c>
      <c r="C1929" s="20" t="n">
        <f aca="false">ROUND(5.2/FX,2)</f>
        <v>0.72</v>
      </c>
      <c r="D1929" s="21" t="s">
        <v>6549</v>
      </c>
      <c r="E1929" s="21" t="s">
        <v>734</v>
      </c>
      <c r="F1929" s="21" t="s">
        <v>26980</v>
      </c>
      <c r="G1929" s="21" t="s">
        <v>2961</v>
      </c>
      <c r="H1929" s="21" t="s">
        <v>11409</v>
      </c>
      <c r="I1929" s="21" t="s">
        <v>26929</v>
      </c>
    </row>
    <row r="1930" customFormat="false" ht="15" hidden="false" customHeight="false" outlineLevel="0" collapsed="false">
      <c r="B1930" s="19" t="s">
        <v>27289</v>
      </c>
      <c r="C1930" s="20" t="n">
        <f aca="false">ROUND(5.2/FX,2)</f>
        <v>0.72</v>
      </c>
      <c r="D1930" s="21" t="s">
        <v>6549</v>
      </c>
      <c r="E1930" s="21" t="s">
        <v>734</v>
      </c>
      <c r="F1930" s="21" t="s">
        <v>26980</v>
      </c>
      <c r="G1930" s="21" t="s">
        <v>3011</v>
      </c>
      <c r="H1930" s="21" t="s">
        <v>11409</v>
      </c>
      <c r="I1930" s="21" t="s">
        <v>26929</v>
      </c>
    </row>
    <row r="1931" customFormat="false" ht="15" hidden="false" customHeight="false" outlineLevel="0" collapsed="false">
      <c r="B1931" s="19" t="s">
        <v>27290</v>
      </c>
      <c r="C1931" s="20" t="n">
        <f aca="false">ROUND(3.25/FX,2)</f>
        <v>0.45</v>
      </c>
      <c r="D1931" s="21" t="s">
        <v>6549</v>
      </c>
      <c r="E1931" s="21" t="s">
        <v>734</v>
      </c>
      <c r="F1931" s="21" t="s">
        <v>26980</v>
      </c>
      <c r="G1931" s="21" t="s">
        <v>847</v>
      </c>
      <c r="H1931" s="21" t="s">
        <v>11409</v>
      </c>
      <c r="I1931" s="21" t="s">
        <v>26929</v>
      </c>
    </row>
    <row r="1932" customFormat="false" ht="15" hidden="false" customHeight="false" outlineLevel="0" collapsed="false">
      <c r="B1932" s="19" t="s">
        <v>27291</v>
      </c>
      <c r="C1932" s="20" t="n">
        <f aca="false">ROUND(6.5/FX,2)</f>
        <v>0.9</v>
      </c>
      <c r="D1932" s="21" t="s">
        <v>6549</v>
      </c>
      <c r="E1932" s="21" t="s">
        <v>734</v>
      </c>
      <c r="F1932" s="21" t="s">
        <v>26980</v>
      </c>
      <c r="G1932" s="21" t="s">
        <v>3061</v>
      </c>
      <c r="H1932" s="21" t="s">
        <v>11409</v>
      </c>
      <c r="I1932" s="21" t="s">
        <v>26929</v>
      </c>
    </row>
    <row r="1933" customFormat="false" ht="15" hidden="false" customHeight="false" outlineLevel="0" collapsed="false">
      <c r="B1933" s="19" t="s">
        <v>27292</v>
      </c>
      <c r="C1933" s="20" t="n">
        <f aca="false">ROUND(6.5/FX,2)</f>
        <v>0.9</v>
      </c>
      <c r="D1933" s="21" t="s">
        <v>6549</v>
      </c>
      <c r="E1933" s="21" t="s">
        <v>734</v>
      </c>
      <c r="F1933" s="21" t="s">
        <v>26980</v>
      </c>
      <c r="G1933" s="21" t="s">
        <v>3111</v>
      </c>
      <c r="H1933" s="21" t="s">
        <v>11409</v>
      </c>
      <c r="I1933" s="21" t="s">
        <v>26929</v>
      </c>
    </row>
    <row r="1934" customFormat="false" ht="15" hidden="false" customHeight="false" outlineLevel="0" collapsed="false">
      <c r="B1934" s="19" t="s">
        <v>27293</v>
      </c>
      <c r="C1934" s="20" t="n">
        <f aca="false">ROUND(3.25/FX,2)</f>
        <v>0.45</v>
      </c>
      <c r="D1934" s="21" t="s">
        <v>6549</v>
      </c>
      <c r="E1934" s="21" t="s">
        <v>734</v>
      </c>
      <c r="F1934" s="21" t="s">
        <v>26980</v>
      </c>
      <c r="G1934" s="21" t="s">
        <v>707</v>
      </c>
      <c r="H1934" s="21" t="s">
        <v>11411</v>
      </c>
      <c r="I1934" s="21" t="s">
        <v>26929</v>
      </c>
    </row>
    <row r="1935" customFormat="false" ht="15" hidden="false" customHeight="false" outlineLevel="0" collapsed="false">
      <c r="B1935" s="19" t="s">
        <v>27294</v>
      </c>
      <c r="C1935" s="20" t="n">
        <f aca="false">ROUND(6.5/FX,2)</f>
        <v>0.9</v>
      </c>
      <c r="D1935" s="21" t="s">
        <v>6549</v>
      </c>
      <c r="E1935" s="21" t="s">
        <v>734</v>
      </c>
      <c r="F1935" s="21" t="s">
        <v>26980</v>
      </c>
      <c r="G1935" s="21" t="s">
        <v>2600</v>
      </c>
      <c r="H1935" s="21" t="s">
        <v>11411</v>
      </c>
      <c r="I1935" s="21" t="s">
        <v>26929</v>
      </c>
    </row>
    <row r="1936" customFormat="false" ht="15" hidden="false" customHeight="false" outlineLevel="0" collapsed="false">
      <c r="B1936" s="19" t="s">
        <v>27295</v>
      </c>
      <c r="C1936" s="20" t="n">
        <f aca="false">ROUND(3.25/FX,2)</f>
        <v>0.45</v>
      </c>
      <c r="D1936" s="21" t="s">
        <v>6549</v>
      </c>
      <c r="E1936" s="21" t="s">
        <v>734</v>
      </c>
      <c r="F1936" s="21" t="s">
        <v>26980</v>
      </c>
      <c r="G1936" s="21" t="s">
        <v>761</v>
      </c>
      <c r="H1936" s="21" t="s">
        <v>11411</v>
      </c>
      <c r="I1936" s="21" t="s">
        <v>26929</v>
      </c>
    </row>
    <row r="1937" customFormat="false" ht="15" hidden="false" customHeight="false" outlineLevel="0" collapsed="false">
      <c r="B1937" s="19" t="s">
        <v>27296</v>
      </c>
      <c r="C1937" s="20" t="n">
        <f aca="false">ROUND(3.25/FX,2)</f>
        <v>0.45</v>
      </c>
      <c r="D1937" s="21" t="s">
        <v>6549</v>
      </c>
      <c r="E1937" s="21" t="s">
        <v>734</v>
      </c>
      <c r="F1937" s="21" t="s">
        <v>26980</v>
      </c>
      <c r="G1937" s="21" t="s">
        <v>714</v>
      </c>
      <c r="H1937" s="21" t="s">
        <v>11411</v>
      </c>
      <c r="I1937" s="21" t="s">
        <v>26929</v>
      </c>
    </row>
    <row r="1938" customFormat="false" ht="15" hidden="false" customHeight="false" outlineLevel="0" collapsed="false">
      <c r="B1938" s="19" t="s">
        <v>27297</v>
      </c>
      <c r="C1938" s="20" t="n">
        <f aca="false">ROUND(3.25/FX,2)</f>
        <v>0.45</v>
      </c>
      <c r="D1938" s="21" t="s">
        <v>6549</v>
      </c>
      <c r="E1938" s="21" t="s">
        <v>734</v>
      </c>
      <c r="F1938" s="21" t="s">
        <v>26980</v>
      </c>
      <c r="G1938" s="21" t="s">
        <v>4000</v>
      </c>
      <c r="H1938" s="21" t="s">
        <v>11411</v>
      </c>
      <c r="I1938" s="21" t="s">
        <v>26929</v>
      </c>
    </row>
    <row r="1939" customFormat="false" ht="15" hidden="false" customHeight="false" outlineLevel="0" collapsed="false">
      <c r="B1939" s="19" t="s">
        <v>27298</v>
      </c>
      <c r="C1939" s="20" t="n">
        <f aca="false">ROUND(3.25/FX,2)</f>
        <v>0.45</v>
      </c>
      <c r="D1939" s="21" t="s">
        <v>6549</v>
      </c>
      <c r="E1939" s="21" t="s">
        <v>734</v>
      </c>
      <c r="F1939" s="21" t="s">
        <v>26980</v>
      </c>
      <c r="G1939" s="21" t="s">
        <v>3247</v>
      </c>
      <c r="H1939" s="21" t="s">
        <v>11411</v>
      </c>
      <c r="I1939" s="21" t="s">
        <v>26929</v>
      </c>
    </row>
    <row r="1940" customFormat="false" ht="15" hidden="false" customHeight="false" outlineLevel="0" collapsed="false">
      <c r="B1940" s="19" t="s">
        <v>27299</v>
      </c>
      <c r="C1940" s="20" t="n">
        <f aca="false">ROUND(3.25/FX,2)</f>
        <v>0.45</v>
      </c>
      <c r="D1940" s="21" t="s">
        <v>6549</v>
      </c>
      <c r="E1940" s="21" t="s">
        <v>734</v>
      </c>
      <c r="F1940" s="21" t="s">
        <v>26980</v>
      </c>
      <c r="G1940" s="21" t="s">
        <v>3317</v>
      </c>
      <c r="H1940" s="21" t="s">
        <v>11411</v>
      </c>
      <c r="I1940" s="21" t="s">
        <v>26929</v>
      </c>
    </row>
    <row r="1941" customFormat="false" ht="15" hidden="false" customHeight="false" outlineLevel="0" collapsed="false">
      <c r="B1941" s="19" t="s">
        <v>27300</v>
      </c>
      <c r="C1941" s="20" t="n">
        <f aca="false">ROUND(3.9/FX,2)</f>
        <v>0.54</v>
      </c>
      <c r="D1941" s="21" t="s">
        <v>6549</v>
      </c>
      <c r="E1941" s="21" t="s">
        <v>734</v>
      </c>
      <c r="F1941" s="21" t="s">
        <v>26980</v>
      </c>
      <c r="G1941" s="21" t="s">
        <v>784</v>
      </c>
      <c r="H1941" s="21" t="s">
        <v>11411</v>
      </c>
      <c r="I1941" s="21" t="s">
        <v>26929</v>
      </c>
    </row>
    <row r="1942" customFormat="false" ht="15" hidden="false" customHeight="false" outlineLevel="0" collapsed="false">
      <c r="B1942" s="19" t="s">
        <v>27301</v>
      </c>
      <c r="C1942" s="20" t="n">
        <f aca="false">ROUND(3.9/FX,2)</f>
        <v>0.54</v>
      </c>
      <c r="D1942" s="21" t="s">
        <v>6549</v>
      </c>
      <c r="E1942" s="21" t="s">
        <v>734</v>
      </c>
      <c r="F1942" s="21" t="s">
        <v>26980</v>
      </c>
      <c r="G1942" s="21" t="s">
        <v>3328</v>
      </c>
      <c r="H1942" s="21" t="s">
        <v>11411</v>
      </c>
      <c r="I1942" s="21" t="s">
        <v>26929</v>
      </c>
    </row>
    <row r="1943" customFormat="false" ht="15" hidden="false" customHeight="false" outlineLevel="0" collapsed="false">
      <c r="B1943" s="19" t="s">
        <v>27302</v>
      </c>
      <c r="C1943" s="20" t="n">
        <f aca="false">ROUND(5.2/FX,2)</f>
        <v>0.72</v>
      </c>
      <c r="D1943" s="21" t="s">
        <v>6549</v>
      </c>
      <c r="E1943" s="21" t="s">
        <v>734</v>
      </c>
      <c r="F1943" s="21" t="s">
        <v>26980</v>
      </c>
      <c r="G1943" s="21" t="s">
        <v>6246</v>
      </c>
      <c r="H1943" s="21" t="s">
        <v>11411</v>
      </c>
      <c r="I1943" s="21" t="s">
        <v>26929</v>
      </c>
    </row>
    <row r="1944" customFormat="false" ht="15" hidden="false" customHeight="false" outlineLevel="0" collapsed="false">
      <c r="B1944" s="19" t="s">
        <v>27303</v>
      </c>
      <c r="C1944" s="20" t="n">
        <f aca="false">ROUND(5.2/FX,2)</f>
        <v>0.72</v>
      </c>
      <c r="D1944" s="21" t="s">
        <v>6549</v>
      </c>
      <c r="E1944" s="21" t="s">
        <v>734</v>
      </c>
      <c r="F1944" s="21" t="s">
        <v>26980</v>
      </c>
      <c r="G1944" s="21" t="s">
        <v>7358</v>
      </c>
      <c r="H1944" s="21" t="s">
        <v>11411</v>
      </c>
      <c r="I1944" s="21" t="s">
        <v>26929</v>
      </c>
    </row>
    <row r="1945" customFormat="false" ht="15" hidden="false" customHeight="false" outlineLevel="0" collapsed="false">
      <c r="B1945" s="19" t="s">
        <v>27304</v>
      </c>
      <c r="C1945" s="20" t="n">
        <f aca="false">ROUND(5.2/FX,2)</f>
        <v>0.72</v>
      </c>
      <c r="D1945" s="21" t="s">
        <v>6549</v>
      </c>
      <c r="E1945" s="21" t="s">
        <v>734</v>
      </c>
      <c r="F1945" s="21" t="s">
        <v>26980</v>
      </c>
      <c r="G1945" s="21" t="s">
        <v>2911</v>
      </c>
      <c r="H1945" s="21" t="s">
        <v>11411</v>
      </c>
      <c r="I1945" s="21" t="s">
        <v>26929</v>
      </c>
    </row>
    <row r="1946" customFormat="false" ht="15" hidden="false" customHeight="false" outlineLevel="0" collapsed="false">
      <c r="B1946" s="19" t="s">
        <v>27305</v>
      </c>
      <c r="C1946" s="20" t="n">
        <f aca="false">ROUND(3.25/FX,2)</f>
        <v>0.45</v>
      </c>
      <c r="D1946" s="21" t="s">
        <v>6549</v>
      </c>
      <c r="E1946" s="21" t="s">
        <v>734</v>
      </c>
      <c r="F1946" s="21" t="s">
        <v>26980</v>
      </c>
      <c r="G1946" s="21" t="s">
        <v>716</v>
      </c>
      <c r="H1946" s="21" t="s">
        <v>11411</v>
      </c>
      <c r="I1946" s="21" t="s">
        <v>26929</v>
      </c>
    </row>
    <row r="1947" customFormat="false" ht="15" hidden="false" customHeight="false" outlineLevel="0" collapsed="false">
      <c r="B1947" s="19" t="s">
        <v>27306</v>
      </c>
      <c r="C1947" s="20" t="n">
        <f aca="false">ROUND(5.2/FX,2)</f>
        <v>0.72</v>
      </c>
      <c r="D1947" s="21" t="s">
        <v>6549</v>
      </c>
      <c r="E1947" s="21" t="s">
        <v>734</v>
      </c>
      <c r="F1947" s="21" t="s">
        <v>26980</v>
      </c>
      <c r="G1947" s="21" t="s">
        <v>2961</v>
      </c>
      <c r="H1947" s="21" t="s">
        <v>11411</v>
      </c>
      <c r="I1947" s="21" t="s">
        <v>26929</v>
      </c>
    </row>
    <row r="1948" customFormat="false" ht="15" hidden="false" customHeight="false" outlineLevel="0" collapsed="false">
      <c r="B1948" s="19" t="s">
        <v>27307</v>
      </c>
      <c r="C1948" s="20" t="n">
        <f aca="false">ROUND(5.2/FX,2)</f>
        <v>0.72</v>
      </c>
      <c r="D1948" s="21" t="s">
        <v>6549</v>
      </c>
      <c r="E1948" s="21" t="s">
        <v>734</v>
      </c>
      <c r="F1948" s="21" t="s">
        <v>26980</v>
      </c>
      <c r="G1948" s="21" t="s">
        <v>3011</v>
      </c>
      <c r="H1948" s="21" t="s">
        <v>11411</v>
      </c>
      <c r="I1948" s="21" t="s">
        <v>26929</v>
      </c>
    </row>
    <row r="1949" customFormat="false" ht="15" hidden="false" customHeight="false" outlineLevel="0" collapsed="false">
      <c r="B1949" s="19" t="s">
        <v>27308</v>
      </c>
      <c r="C1949" s="20" t="n">
        <f aca="false">ROUND(3.25/FX,2)</f>
        <v>0.45</v>
      </c>
      <c r="D1949" s="21" t="s">
        <v>6549</v>
      </c>
      <c r="E1949" s="21" t="s">
        <v>734</v>
      </c>
      <c r="F1949" s="21" t="s">
        <v>26980</v>
      </c>
      <c r="G1949" s="21" t="s">
        <v>847</v>
      </c>
      <c r="H1949" s="21" t="s">
        <v>11411</v>
      </c>
      <c r="I1949" s="21" t="s">
        <v>26929</v>
      </c>
    </row>
    <row r="1950" customFormat="false" ht="15" hidden="false" customHeight="false" outlineLevel="0" collapsed="false">
      <c r="B1950" s="19" t="s">
        <v>27309</v>
      </c>
      <c r="C1950" s="20" t="n">
        <f aca="false">ROUND(6.5/FX,2)</f>
        <v>0.9</v>
      </c>
      <c r="D1950" s="21" t="s">
        <v>6549</v>
      </c>
      <c r="E1950" s="21" t="s">
        <v>734</v>
      </c>
      <c r="F1950" s="21" t="s">
        <v>26980</v>
      </c>
      <c r="G1950" s="21" t="s">
        <v>3061</v>
      </c>
      <c r="H1950" s="21" t="s">
        <v>11411</v>
      </c>
      <c r="I1950" s="21" t="s">
        <v>26929</v>
      </c>
    </row>
    <row r="1951" customFormat="false" ht="15" hidden="false" customHeight="false" outlineLevel="0" collapsed="false">
      <c r="B1951" s="19" t="s">
        <v>27310</v>
      </c>
      <c r="C1951" s="20" t="n">
        <f aca="false">ROUND(6.5/FX,2)</f>
        <v>0.9</v>
      </c>
      <c r="D1951" s="21" t="s">
        <v>6549</v>
      </c>
      <c r="E1951" s="21" t="s">
        <v>734</v>
      </c>
      <c r="F1951" s="21" t="s">
        <v>26980</v>
      </c>
      <c r="G1951" s="21" t="s">
        <v>3111</v>
      </c>
      <c r="H1951" s="21" t="s">
        <v>11411</v>
      </c>
      <c r="I1951" s="21" t="s">
        <v>26929</v>
      </c>
    </row>
    <row r="1952" customFormat="false" ht="15" hidden="false" customHeight="false" outlineLevel="0" collapsed="false">
      <c r="B1952" s="19" t="s">
        <v>27311</v>
      </c>
      <c r="C1952" s="20" t="n">
        <f aca="false">ROUND(3.9/FX,2)</f>
        <v>0.54</v>
      </c>
      <c r="D1952" s="21" t="s">
        <v>6549</v>
      </c>
      <c r="E1952" s="21" t="s">
        <v>734</v>
      </c>
      <c r="F1952" s="21" t="s">
        <v>26980</v>
      </c>
      <c r="G1952" s="21" t="s">
        <v>707</v>
      </c>
      <c r="H1952" s="21" t="s">
        <v>11413</v>
      </c>
      <c r="I1952" s="21" t="s">
        <v>26929</v>
      </c>
    </row>
    <row r="1953" customFormat="false" ht="15" hidden="false" customHeight="false" outlineLevel="0" collapsed="false">
      <c r="B1953" s="19" t="s">
        <v>27312</v>
      </c>
      <c r="C1953" s="20" t="n">
        <f aca="false">ROUND(3.9/FX,2)</f>
        <v>0.54</v>
      </c>
      <c r="D1953" s="21" t="s">
        <v>6549</v>
      </c>
      <c r="E1953" s="21" t="s">
        <v>734</v>
      </c>
      <c r="F1953" s="21" t="s">
        <v>26980</v>
      </c>
      <c r="G1953" s="21" t="s">
        <v>761</v>
      </c>
      <c r="H1953" s="21" t="s">
        <v>11413</v>
      </c>
      <c r="I1953" s="21" t="s">
        <v>26929</v>
      </c>
    </row>
    <row r="1954" customFormat="false" ht="15" hidden="false" customHeight="false" outlineLevel="0" collapsed="false">
      <c r="B1954" s="19" t="s">
        <v>27313</v>
      </c>
      <c r="C1954" s="20" t="n">
        <f aca="false">ROUND(3.9/FX,2)</f>
        <v>0.54</v>
      </c>
      <c r="D1954" s="21" t="s">
        <v>6549</v>
      </c>
      <c r="E1954" s="21" t="s">
        <v>734</v>
      </c>
      <c r="F1954" s="21" t="s">
        <v>26980</v>
      </c>
      <c r="G1954" s="21" t="s">
        <v>714</v>
      </c>
      <c r="H1954" s="21" t="s">
        <v>11413</v>
      </c>
      <c r="I1954" s="21" t="s">
        <v>26929</v>
      </c>
    </row>
    <row r="1955" customFormat="false" ht="15" hidden="false" customHeight="false" outlineLevel="0" collapsed="false">
      <c r="B1955" s="19" t="s">
        <v>27314</v>
      </c>
      <c r="C1955" s="20" t="n">
        <f aca="false">ROUND(3.9/FX,2)</f>
        <v>0.54</v>
      </c>
      <c r="D1955" s="21" t="s">
        <v>6549</v>
      </c>
      <c r="E1955" s="21" t="s">
        <v>734</v>
      </c>
      <c r="F1955" s="21" t="s">
        <v>26980</v>
      </c>
      <c r="G1955" s="21" t="s">
        <v>4000</v>
      </c>
      <c r="H1955" s="21" t="s">
        <v>11413</v>
      </c>
      <c r="I1955" s="21" t="s">
        <v>26929</v>
      </c>
    </row>
    <row r="1956" customFormat="false" ht="15" hidden="false" customHeight="false" outlineLevel="0" collapsed="false">
      <c r="B1956" s="19" t="s">
        <v>27315</v>
      </c>
      <c r="C1956" s="20" t="n">
        <f aca="false">ROUND(3.9/FX,2)</f>
        <v>0.54</v>
      </c>
      <c r="D1956" s="21" t="s">
        <v>6549</v>
      </c>
      <c r="E1956" s="21" t="s">
        <v>734</v>
      </c>
      <c r="F1956" s="21" t="s">
        <v>26980</v>
      </c>
      <c r="G1956" s="21" t="s">
        <v>3247</v>
      </c>
      <c r="H1956" s="21" t="s">
        <v>11413</v>
      </c>
      <c r="I1956" s="21" t="s">
        <v>26929</v>
      </c>
    </row>
    <row r="1957" customFormat="false" ht="15" hidden="false" customHeight="false" outlineLevel="0" collapsed="false">
      <c r="B1957" s="19" t="s">
        <v>27316</v>
      </c>
      <c r="C1957" s="20" t="n">
        <f aca="false">ROUND(3.9/FX,2)</f>
        <v>0.54</v>
      </c>
      <c r="D1957" s="21" t="s">
        <v>6549</v>
      </c>
      <c r="E1957" s="21" t="s">
        <v>734</v>
      </c>
      <c r="F1957" s="21" t="s">
        <v>26980</v>
      </c>
      <c r="G1957" s="21" t="s">
        <v>3317</v>
      </c>
      <c r="H1957" s="21" t="s">
        <v>11413</v>
      </c>
      <c r="I1957" s="21" t="s">
        <v>26929</v>
      </c>
    </row>
    <row r="1958" customFormat="false" ht="15" hidden="false" customHeight="false" outlineLevel="0" collapsed="false">
      <c r="B1958" s="19" t="s">
        <v>27317</v>
      </c>
      <c r="C1958" s="20" t="n">
        <f aca="false">ROUND(3.9/FX,2)</f>
        <v>0.54</v>
      </c>
      <c r="D1958" s="21" t="s">
        <v>6549</v>
      </c>
      <c r="E1958" s="21" t="s">
        <v>734</v>
      </c>
      <c r="F1958" s="21" t="s">
        <v>26980</v>
      </c>
      <c r="G1958" s="21" t="s">
        <v>784</v>
      </c>
      <c r="H1958" s="21" t="s">
        <v>11413</v>
      </c>
      <c r="I1958" s="21" t="s">
        <v>26929</v>
      </c>
    </row>
    <row r="1959" customFormat="false" ht="15" hidden="false" customHeight="false" outlineLevel="0" collapsed="false">
      <c r="B1959" s="19" t="s">
        <v>27318</v>
      </c>
      <c r="C1959" s="20" t="n">
        <f aca="false">ROUND(3.9/FX,2)</f>
        <v>0.54</v>
      </c>
      <c r="D1959" s="21" t="s">
        <v>6549</v>
      </c>
      <c r="E1959" s="21" t="s">
        <v>734</v>
      </c>
      <c r="F1959" s="21" t="s">
        <v>26980</v>
      </c>
      <c r="G1959" s="21" t="s">
        <v>3328</v>
      </c>
      <c r="H1959" s="21" t="s">
        <v>11413</v>
      </c>
      <c r="I1959" s="21" t="s">
        <v>26929</v>
      </c>
    </row>
    <row r="1960" customFormat="false" ht="15" hidden="false" customHeight="false" outlineLevel="0" collapsed="false">
      <c r="B1960" s="19" t="s">
        <v>27319</v>
      </c>
      <c r="C1960" s="20" t="n">
        <f aca="false">ROUND(5.2/FX,2)</f>
        <v>0.72</v>
      </c>
      <c r="D1960" s="21" t="s">
        <v>6549</v>
      </c>
      <c r="E1960" s="21" t="s">
        <v>734</v>
      </c>
      <c r="F1960" s="21" t="s">
        <v>26980</v>
      </c>
      <c r="G1960" s="21" t="s">
        <v>6246</v>
      </c>
      <c r="H1960" s="21" t="s">
        <v>11413</v>
      </c>
      <c r="I1960" s="21" t="s">
        <v>26929</v>
      </c>
    </row>
    <row r="1961" customFormat="false" ht="15" hidden="false" customHeight="false" outlineLevel="0" collapsed="false">
      <c r="B1961" s="19" t="s">
        <v>27320</v>
      </c>
      <c r="C1961" s="20" t="n">
        <f aca="false">ROUND(5.2/FX,2)</f>
        <v>0.72</v>
      </c>
      <c r="D1961" s="21" t="s">
        <v>6549</v>
      </c>
      <c r="E1961" s="21" t="s">
        <v>734</v>
      </c>
      <c r="F1961" s="21" t="s">
        <v>26980</v>
      </c>
      <c r="G1961" s="21" t="s">
        <v>7358</v>
      </c>
      <c r="H1961" s="21" t="s">
        <v>11413</v>
      </c>
      <c r="I1961" s="21" t="s">
        <v>26929</v>
      </c>
    </row>
    <row r="1962" customFormat="false" ht="15" hidden="false" customHeight="false" outlineLevel="0" collapsed="false">
      <c r="B1962" s="19" t="s">
        <v>27321</v>
      </c>
      <c r="C1962" s="20" t="n">
        <f aca="false">ROUND(6.5/FX,2)</f>
        <v>0.9</v>
      </c>
      <c r="D1962" s="21" t="s">
        <v>6549</v>
      </c>
      <c r="E1962" s="21" t="s">
        <v>734</v>
      </c>
      <c r="F1962" s="21" t="s">
        <v>26980</v>
      </c>
      <c r="G1962" s="21" t="s">
        <v>2911</v>
      </c>
      <c r="H1962" s="21" t="s">
        <v>11413</v>
      </c>
      <c r="I1962" s="21" t="s">
        <v>26929</v>
      </c>
    </row>
    <row r="1963" customFormat="false" ht="15" hidden="false" customHeight="false" outlineLevel="0" collapsed="false">
      <c r="B1963" s="19" t="s">
        <v>27322</v>
      </c>
      <c r="C1963" s="20" t="n">
        <f aca="false">ROUND(3.25/FX,2)</f>
        <v>0.45</v>
      </c>
      <c r="D1963" s="21" t="s">
        <v>6549</v>
      </c>
      <c r="E1963" s="21" t="s">
        <v>734</v>
      </c>
      <c r="F1963" s="21" t="s">
        <v>26980</v>
      </c>
      <c r="G1963" s="21" t="s">
        <v>716</v>
      </c>
      <c r="H1963" s="21" t="s">
        <v>11413</v>
      </c>
      <c r="I1963" s="21" t="s">
        <v>26929</v>
      </c>
    </row>
    <row r="1964" customFormat="false" ht="15" hidden="false" customHeight="false" outlineLevel="0" collapsed="false">
      <c r="B1964" s="19" t="s">
        <v>27323</v>
      </c>
      <c r="C1964" s="20" t="n">
        <f aca="false">ROUND(6.5/FX,2)</f>
        <v>0.9</v>
      </c>
      <c r="D1964" s="21" t="s">
        <v>6549</v>
      </c>
      <c r="E1964" s="21" t="s">
        <v>734</v>
      </c>
      <c r="F1964" s="21" t="s">
        <v>26980</v>
      </c>
      <c r="G1964" s="21" t="s">
        <v>2961</v>
      </c>
      <c r="H1964" s="21" t="s">
        <v>11413</v>
      </c>
      <c r="I1964" s="21" t="s">
        <v>26929</v>
      </c>
    </row>
    <row r="1965" customFormat="false" ht="15" hidden="false" customHeight="false" outlineLevel="0" collapsed="false">
      <c r="B1965" s="19" t="s">
        <v>27324</v>
      </c>
      <c r="C1965" s="20" t="n">
        <f aca="false">ROUND(3.9/FX,2)</f>
        <v>0.54</v>
      </c>
      <c r="D1965" s="21" t="s">
        <v>6549</v>
      </c>
      <c r="E1965" s="21" t="s">
        <v>734</v>
      </c>
      <c r="F1965" s="21" t="s">
        <v>26980</v>
      </c>
      <c r="G1965" s="21" t="s">
        <v>707</v>
      </c>
      <c r="H1965" s="21" t="s">
        <v>11415</v>
      </c>
      <c r="I1965" s="21" t="s">
        <v>26929</v>
      </c>
    </row>
    <row r="1966" customFormat="false" ht="15" hidden="false" customHeight="false" outlineLevel="0" collapsed="false">
      <c r="B1966" s="19" t="s">
        <v>27325</v>
      </c>
      <c r="C1966" s="20" t="n">
        <f aca="false">ROUND(3.9/FX,2)</f>
        <v>0.54</v>
      </c>
      <c r="D1966" s="21" t="s">
        <v>6549</v>
      </c>
      <c r="E1966" s="21" t="s">
        <v>734</v>
      </c>
      <c r="F1966" s="21" t="s">
        <v>26980</v>
      </c>
      <c r="G1966" s="21" t="s">
        <v>761</v>
      </c>
      <c r="H1966" s="21" t="s">
        <v>11415</v>
      </c>
      <c r="I1966" s="21" t="s">
        <v>26929</v>
      </c>
    </row>
    <row r="1967" customFormat="false" ht="15" hidden="false" customHeight="false" outlineLevel="0" collapsed="false">
      <c r="B1967" s="19" t="s">
        <v>27326</v>
      </c>
      <c r="C1967" s="20" t="n">
        <f aca="false">ROUND(3.9/FX,2)</f>
        <v>0.54</v>
      </c>
      <c r="D1967" s="21" t="s">
        <v>6549</v>
      </c>
      <c r="E1967" s="21" t="s">
        <v>734</v>
      </c>
      <c r="F1967" s="21" t="s">
        <v>26980</v>
      </c>
      <c r="G1967" s="21" t="s">
        <v>714</v>
      </c>
      <c r="H1967" s="21" t="s">
        <v>11415</v>
      </c>
      <c r="I1967" s="21" t="s">
        <v>26929</v>
      </c>
    </row>
    <row r="1968" customFormat="false" ht="15" hidden="false" customHeight="false" outlineLevel="0" collapsed="false">
      <c r="B1968" s="19" t="s">
        <v>27327</v>
      </c>
      <c r="C1968" s="20" t="n">
        <f aca="false">ROUND(3.9/FX,2)</f>
        <v>0.54</v>
      </c>
      <c r="D1968" s="21" t="s">
        <v>6549</v>
      </c>
      <c r="E1968" s="21" t="s">
        <v>734</v>
      </c>
      <c r="F1968" s="21" t="s">
        <v>26980</v>
      </c>
      <c r="G1968" s="21" t="s">
        <v>4000</v>
      </c>
      <c r="H1968" s="21" t="s">
        <v>11415</v>
      </c>
      <c r="I1968" s="21" t="s">
        <v>26929</v>
      </c>
    </row>
    <row r="1969" customFormat="false" ht="15" hidden="false" customHeight="false" outlineLevel="0" collapsed="false">
      <c r="B1969" s="19" t="s">
        <v>27328</v>
      </c>
      <c r="C1969" s="20" t="n">
        <f aca="false">ROUND(3.9/FX,2)</f>
        <v>0.54</v>
      </c>
      <c r="D1969" s="21" t="s">
        <v>6549</v>
      </c>
      <c r="E1969" s="21" t="s">
        <v>734</v>
      </c>
      <c r="F1969" s="21" t="s">
        <v>26980</v>
      </c>
      <c r="G1969" s="21" t="s">
        <v>3247</v>
      </c>
      <c r="H1969" s="21" t="s">
        <v>11415</v>
      </c>
      <c r="I1969" s="21" t="s">
        <v>26929</v>
      </c>
    </row>
    <row r="1970" customFormat="false" ht="15" hidden="false" customHeight="false" outlineLevel="0" collapsed="false">
      <c r="B1970" s="19" t="s">
        <v>27329</v>
      </c>
      <c r="C1970" s="20" t="n">
        <f aca="false">ROUND(3.9/FX,2)</f>
        <v>0.54</v>
      </c>
      <c r="D1970" s="21" t="s">
        <v>6549</v>
      </c>
      <c r="E1970" s="21" t="s">
        <v>734</v>
      </c>
      <c r="F1970" s="21" t="s">
        <v>26980</v>
      </c>
      <c r="G1970" s="21" t="s">
        <v>3317</v>
      </c>
      <c r="H1970" s="21" t="s">
        <v>11415</v>
      </c>
      <c r="I1970" s="21" t="s">
        <v>26929</v>
      </c>
    </row>
    <row r="1971" customFormat="false" ht="15" hidden="false" customHeight="false" outlineLevel="0" collapsed="false">
      <c r="B1971" s="19" t="s">
        <v>27330</v>
      </c>
      <c r="C1971" s="20" t="n">
        <f aca="false">ROUND(3.9/FX,2)</f>
        <v>0.54</v>
      </c>
      <c r="D1971" s="21" t="s">
        <v>6549</v>
      </c>
      <c r="E1971" s="21" t="s">
        <v>734</v>
      </c>
      <c r="F1971" s="21" t="s">
        <v>26980</v>
      </c>
      <c r="G1971" s="21" t="s">
        <v>784</v>
      </c>
      <c r="H1971" s="21" t="s">
        <v>11415</v>
      </c>
      <c r="I1971" s="21" t="s">
        <v>26929</v>
      </c>
    </row>
    <row r="1972" customFormat="false" ht="15" hidden="false" customHeight="false" outlineLevel="0" collapsed="false">
      <c r="B1972" s="19" t="s">
        <v>27331</v>
      </c>
      <c r="C1972" s="20" t="n">
        <f aca="false">ROUND(3.9/FX,2)</f>
        <v>0.54</v>
      </c>
      <c r="D1972" s="21" t="s">
        <v>6549</v>
      </c>
      <c r="E1972" s="21" t="s">
        <v>734</v>
      </c>
      <c r="F1972" s="21" t="s">
        <v>26980</v>
      </c>
      <c r="G1972" s="21" t="s">
        <v>3328</v>
      </c>
      <c r="H1972" s="21" t="s">
        <v>11415</v>
      </c>
      <c r="I1972" s="21" t="s">
        <v>26929</v>
      </c>
    </row>
    <row r="1973" customFormat="false" ht="15" hidden="false" customHeight="false" outlineLevel="0" collapsed="false">
      <c r="B1973" s="19" t="s">
        <v>27332</v>
      </c>
      <c r="C1973" s="20" t="n">
        <f aca="false">ROUND(5.2/FX,2)</f>
        <v>0.72</v>
      </c>
      <c r="D1973" s="21" t="s">
        <v>6549</v>
      </c>
      <c r="E1973" s="21" t="s">
        <v>734</v>
      </c>
      <c r="F1973" s="21" t="s">
        <v>26980</v>
      </c>
      <c r="G1973" s="21" t="s">
        <v>6246</v>
      </c>
      <c r="H1973" s="21" t="s">
        <v>11415</v>
      </c>
      <c r="I1973" s="21" t="s">
        <v>26929</v>
      </c>
    </row>
    <row r="1974" customFormat="false" ht="15" hidden="false" customHeight="false" outlineLevel="0" collapsed="false">
      <c r="B1974" s="19" t="s">
        <v>27333</v>
      </c>
      <c r="C1974" s="20" t="n">
        <f aca="false">ROUND(5.2/FX,2)</f>
        <v>0.72</v>
      </c>
      <c r="D1974" s="21" t="s">
        <v>6549</v>
      </c>
      <c r="E1974" s="21" t="s">
        <v>734</v>
      </c>
      <c r="F1974" s="21" t="s">
        <v>26980</v>
      </c>
      <c r="G1974" s="21" t="s">
        <v>7358</v>
      </c>
      <c r="H1974" s="21" t="s">
        <v>11415</v>
      </c>
      <c r="I1974" s="21" t="s">
        <v>26929</v>
      </c>
    </row>
    <row r="1975" customFormat="false" ht="15" hidden="false" customHeight="false" outlineLevel="0" collapsed="false">
      <c r="B1975" s="19" t="s">
        <v>27334</v>
      </c>
      <c r="C1975" s="20" t="n">
        <f aca="false">ROUND(5.2/FX,2)</f>
        <v>0.72</v>
      </c>
      <c r="D1975" s="21" t="s">
        <v>6549</v>
      </c>
      <c r="E1975" s="21" t="s">
        <v>734</v>
      </c>
      <c r="F1975" s="21" t="s">
        <v>26980</v>
      </c>
      <c r="G1975" s="21" t="s">
        <v>2911</v>
      </c>
      <c r="H1975" s="21" t="s">
        <v>11415</v>
      </c>
      <c r="I1975" s="21" t="s">
        <v>26929</v>
      </c>
    </row>
    <row r="1976" customFormat="false" ht="15" hidden="false" customHeight="false" outlineLevel="0" collapsed="false">
      <c r="B1976" s="19" t="s">
        <v>27335</v>
      </c>
      <c r="C1976" s="20" t="n">
        <f aca="false">ROUND(6.5/FX,2)</f>
        <v>0.9</v>
      </c>
      <c r="D1976" s="21" t="s">
        <v>6549</v>
      </c>
      <c r="E1976" s="21" t="s">
        <v>734</v>
      </c>
      <c r="F1976" s="21" t="s">
        <v>26980</v>
      </c>
      <c r="G1976" s="21" t="s">
        <v>7275</v>
      </c>
      <c r="H1976" s="21" t="s">
        <v>11415</v>
      </c>
      <c r="I1976" s="21" t="s">
        <v>26929</v>
      </c>
    </row>
    <row r="1977" customFormat="false" ht="15" hidden="false" customHeight="false" outlineLevel="0" collapsed="false">
      <c r="B1977" s="19" t="s">
        <v>27336</v>
      </c>
      <c r="C1977" s="20" t="n">
        <f aca="false">ROUND(6.5/FX,2)</f>
        <v>0.9</v>
      </c>
      <c r="D1977" s="21" t="s">
        <v>6549</v>
      </c>
      <c r="E1977" s="21" t="s">
        <v>734</v>
      </c>
      <c r="F1977" s="21" t="s">
        <v>26980</v>
      </c>
      <c r="G1977" s="21" t="s">
        <v>2961</v>
      </c>
      <c r="H1977" s="21" t="s">
        <v>11415</v>
      </c>
      <c r="I1977" s="21" t="s">
        <v>26929</v>
      </c>
    </row>
    <row r="1978" customFormat="false" ht="15" hidden="false" customHeight="false" outlineLevel="0" collapsed="false">
      <c r="B1978" s="19" t="s">
        <v>27337</v>
      </c>
      <c r="C1978" s="20" t="n">
        <f aca="false">ROUND(5.2/FX,2)</f>
        <v>0.72</v>
      </c>
      <c r="D1978" s="21" t="s">
        <v>6549</v>
      </c>
      <c r="E1978" s="21" t="s">
        <v>734</v>
      </c>
      <c r="F1978" s="21" t="s">
        <v>26980</v>
      </c>
      <c r="G1978" s="21" t="s">
        <v>707</v>
      </c>
      <c r="H1978" s="21" t="s">
        <v>26884</v>
      </c>
      <c r="I1978" s="21" t="s">
        <v>26929</v>
      </c>
    </row>
    <row r="1979" customFormat="false" ht="15" hidden="false" customHeight="false" outlineLevel="0" collapsed="false">
      <c r="B1979" s="19" t="s">
        <v>27338</v>
      </c>
      <c r="C1979" s="20" t="n">
        <f aca="false">ROUND(5.2/FX,2)</f>
        <v>0.72</v>
      </c>
      <c r="D1979" s="21" t="s">
        <v>6549</v>
      </c>
      <c r="E1979" s="21" t="s">
        <v>734</v>
      </c>
      <c r="F1979" s="21" t="s">
        <v>26980</v>
      </c>
      <c r="G1979" s="21" t="s">
        <v>761</v>
      </c>
      <c r="H1979" s="21" t="s">
        <v>26884</v>
      </c>
      <c r="I1979" s="21" t="s">
        <v>26929</v>
      </c>
    </row>
    <row r="1980" customFormat="false" ht="15" hidden="false" customHeight="false" outlineLevel="0" collapsed="false">
      <c r="B1980" s="19" t="s">
        <v>27339</v>
      </c>
      <c r="C1980" s="20" t="n">
        <f aca="false">ROUND(5.2/FX,2)</f>
        <v>0.72</v>
      </c>
      <c r="D1980" s="21" t="s">
        <v>6549</v>
      </c>
      <c r="E1980" s="21" t="s">
        <v>734</v>
      </c>
      <c r="F1980" s="21" t="s">
        <v>26980</v>
      </c>
      <c r="G1980" s="21" t="s">
        <v>714</v>
      </c>
      <c r="H1980" s="21" t="s">
        <v>26884</v>
      </c>
      <c r="I1980" s="21" t="s">
        <v>26929</v>
      </c>
    </row>
    <row r="1981" customFormat="false" ht="15" hidden="false" customHeight="false" outlineLevel="0" collapsed="false">
      <c r="B1981" s="19" t="s">
        <v>27340</v>
      </c>
      <c r="C1981" s="20" t="n">
        <f aca="false">ROUND(5.2/FX,2)</f>
        <v>0.72</v>
      </c>
      <c r="D1981" s="21" t="s">
        <v>6549</v>
      </c>
      <c r="E1981" s="21" t="s">
        <v>734</v>
      </c>
      <c r="F1981" s="21" t="s">
        <v>26980</v>
      </c>
      <c r="G1981" s="21" t="s">
        <v>4000</v>
      </c>
      <c r="H1981" s="21" t="s">
        <v>26884</v>
      </c>
      <c r="I1981" s="21" t="s">
        <v>26929</v>
      </c>
    </row>
    <row r="1982" customFormat="false" ht="15" hidden="false" customHeight="false" outlineLevel="0" collapsed="false">
      <c r="B1982" s="19" t="s">
        <v>27341</v>
      </c>
      <c r="C1982" s="20" t="n">
        <f aca="false">ROUND(5.2/FX,2)</f>
        <v>0.72</v>
      </c>
      <c r="D1982" s="21" t="s">
        <v>6549</v>
      </c>
      <c r="E1982" s="21" t="s">
        <v>734</v>
      </c>
      <c r="F1982" s="21" t="s">
        <v>26980</v>
      </c>
      <c r="G1982" s="21" t="s">
        <v>3247</v>
      </c>
      <c r="H1982" s="21" t="s">
        <v>26884</v>
      </c>
      <c r="I1982" s="21" t="s">
        <v>26929</v>
      </c>
    </row>
    <row r="1983" customFormat="false" ht="15" hidden="false" customHeight="false" outlineLevel="0" collapsed="false">
      <c r="B1983" s="19" t="s">
        <v>27342</v>
      </c>
      <c r="C1983" s="20" t="n">
        <f aca="false">ROUND(5.2/FX,2)</f>
        <v>0.72</v>
      </c>
      <c r="D1983" s="21" t="s">
        <v>6549</v>
      </c>
      <c r="E1983" s="21" t="s">
        <v>734</v>
      </c>
      <c r="F1983" s="21" t="s">
        <v>26980</v>
      </c>
      <c r="G1983" s="21" t="s">
        <v>3317</v>
      </c>
      <c r="H1983" s="21" t="s">
        <v>26884</v>
      </c>
      <c r="I1983" s="21" t="s">
        <v>26929</v>
      </c>
    </row>
    <row r="1984" customFormat="false" ht="15" hidden="false" customHeight="false" outlineLevel="0" collapsed="false">
      <c r="B1984" s="19" t="s">
        <v>27343</v>
      </c>
      <c r="C1984" s="20" t="n">
        <f aca="false">ROUND(5.2/FX,2)</f>
        <v>0.72</v>
      </c>
      <c r="D1984" s="21" t="s">
        <v>6549</v>
      </c>
      <c r="E1984" s="21" t="s">
        <v>734</v>
      </c>
      <c r="F1984" s="21" t="s">
        <v>26980</v>
      </c>
      <c r="G1984" s="21" t="s">
        <v>784</v>
      </c>
      <c r="H1984" s="21" t="s">
        <v>26884</v>
      </c>
      <c r="I1984" s="21" t="s">
        <v>26929</v>
      </c>
    </row>
    <row r="1985" customFormat="false" ht="15" hidden="false" customHeight="false" outlineLevel="0" collapsed="false">
      <c r="B1985" s="19" t="s">
        <v>27344</v>
      </c>
      <c r="C1985" s="20" t="n">
        <f aca="false">ROUND(5.2/FX,2)</f>
        <v>0.72</v>
      </c>
      <c r="D1985" s="21" t="s">
        <v>6549</v>
      </c>
      <c r="E1985" s="21" t="s">
        <v>734</v>
      </c>
      <c r="F1985" s="21" t="s">
        <v>26980</v>
      </c>
      <c r="G1985" s="21" t="s">
        <v>3328</v>
      </c>
      <c r="H1985" s="21" t="s">
        <v>26884</v>
      </c>
      <c r="I1985" s="21" t="s">
        <v>26929</v>
      </c>
    </row>
    <row r="1986" customFormat="false" ht="15" hidden="false" customHeight="false" outlineLevel="0" collapsed="false">
      <c r="B1986" s="19" t="s">
        <v>27345</v>
      </c>
      <c r="C1986" s="20" t="n">
        <f aca="false">ROUND(5.2/FX,2)</f>
        <v>0.72</v>
      </c>
      <c r="D1986" s="21" t="s">
        <v>6549</v>
      </c>
      <c r="E1986" s="21" t="s">
        <v>734</v>
      </c>
      <c r="F1986" s="21" t="s">
        <v>26980</v>
      </c>
      <c r="G1986" s="21" t="s">
        <v>6246</v>
      </c>
      <c r="H1986" s="21" t="s">
        <v>26884</v>
      </c>
      <c r="I1986" s="21" t="s">
        <v>26929</v>
      </c>
    </row>
    <row r="1987" customFormat="false" ht="15" hidden="false" customHeight="false" outlineLevel="0" collapsed="false">
      <c r="B1987" s="19" t="s">
        <v>27346</v>
      </c>
      <c r="C1987" s="20" t="n">
        <f aca="false">ROUND(5.2/FX,2)</f>
        <v>0.72</v>
      </c>
      <c r="D1987" s="21" t="s">
        <v>6549</v>
      </c>
      <c r="E1987" s="21" t="s">
        <v>734</v>
      </c>
      <c r="F1987" s="21" t="s">
        <v>26980</v>
      </c>
      <c r="G1987" s="21" t="s">
        <v>716</v>
      </c>
      <c r="H1987" s="21" t="s">
        <v>26884</v>
      </c>
      <c r="I1987" s="21" t="s">
        <v>26929</v>
      </c>
    </row>
    <row r="1988" customFormat="false" ht="15" hidden="false" customHeight="false" outlineLevel="0" collapsed="false">
      <c r="B1988" s="19" t="s">
        <v>27347</v>
      </c>
      <c r="C1988" s="20" t="n">
        <f aca="false">ROUND(5.2/FX,2)</f>
        <v>0.72</v>
      </c>
      <c r="D1988" s="21" t="s">
        <v>6549</v>
      </c>
      <c r="E1988" s="21" t="s">
        <v>734</v>
      </c>
      <c r="F1988" s="21" t="s">
        <v>26980</v>
      </c>
      <c r="G1988" s="21" t="s">
        <v>847</v>
      </c>
      <c r="H1988" s="21" t="s">
        <v>26884</v>
      </c>
      <c r="I1988" s="21" t="s">
        <v>26929</v>
      </c>
    </row>
    <row r="1991" customFormat="false" ht="61.5" hidden="false" customHeight="true" outlineLevel="0" collapsed="false">
      <c r="A1991" s="9"/>
      <c r="B1991" s="10" t="s">
        <v>27348</v>
      </c>
      <c r="C1991" s="10"/>
      <c r="D1991" s="10"/>
      <c r="E1991" s="10"/>
      <c r="F1991" s="10"/>
      <c r="G1991" s="10"/>
      <c r="H1991" s="10"/>
    </row>
    <row r="1992" customFormat="false" ht="15" hidden="false" customHeight="false" outlineLevel="0" collapsed="false">
      <c r="A1992" s="12" t="s">
        <v>700</v>
      </c>
      <c r="B1992" s="13" t="s">
        <v>701</v>
      </c>
      <c r="C1992" s="13" t="s">
        <v>702</v>
      </c>
      <c r="D1992" s="13" t="s">
        <v>704</v>
      </c>
      <c r="E1992" s="13" t="s">
        <v>705</v>
      </c>
      <c r="F1992" s="13" t="s">
        <v>11716</v>
      </c>
      <c r="G1992" s="13" t="s">
        <v>13701</v>
      </c>
      <c r="H1992" s="13" t="s">
        <v>27349</v>
      </c>
    </row>
    <row r="1993" customFormat="false" ht="30" hidden="false" customHeight="true" outlineLevel="0" collapsed="false">
      <c r="A1993" s="14" t="s">
        <v>706</v>
      </c>
      <c r="B1993" s="15" t="str">
        <f aca="false">IF(COUNTIFS($D$1996:$D$2056,IF(D1993="","*",D1993),$E$1996:$E$2056,IF(E1993="","*",E1993),$F$1996:$F$2056,IF(F1993="","*",F1993),$G$1996:$G$2056,IF(G1993="","*",G1993),$H$1996:$H$2056,IF(H1993="","*",H1993))=1,INDEX($B:$B,SUMPRODUCT(((D1993="")+($D$1996:$D$2056=D1993)&gt;0)*((E1993="")+($E$1996:$E$2056=E1993)&gt;0)*((F1993="")+($F$1996:$F$2056=F1993)&gt;0)*((G1993="")+($G$1996:$G$2056=G1993)&gt;0)*((H1993="")+($H$1996:$H$2056=H1993)&gt;0)*ROW($B$1996:$B$2056))),IF(COUNTIFS($D$1996:$D$2056,IF(D1993="","*",D1993),$E$1996:$E$2056,IF(E1993="","*",E1993),$F$1996:$F$2056,IF(F1993="","*",F1993),$G$1996:$G$2056,IF(G1993="","*",G1993),$H$1996:$H$2056,IF(H1993="","*",H1993))=0,"Not available",COUNTIFS($D$1996:$D$2056,IF(D1993="","*",D1993),$E$1996:$E$2056,IF(E1993="","*",E1993),$F$1996:$F$2056,IF(F1993="","*",F1993),$G$1996:$G$2056,IF(G1993="","*",G1993),$H$1996:$H$2056,IF(H1993="","*",H1993))&amp;" match, keep choosing"))</f>
        <v>SET-G129-D913-M3x3-P100</v>
      </c>
      <c r="C1993" s="16" t="n">
        <f aca="false">IF(COUNTIFS($D$1996:$D$2056,IF(D1993="","*",D1993),$E$1996:$E$2056,IF(E1993="","*",E1993),$F$1996:$F$2056,IF(F1993="","*",F1993),$G$1996:$G$2056,IF(G1993="","*",G1993),$H$1996:$H$2056,IF(H1993="","*",H1993))=1,INDEX($C:$C,SUMPRODUCT(((D1993="")+($D$1996:$D$2056=D1993)&gt;0)*((E1993="")+($E$1996:$E$2056=E1993)&gt;0)*((F1993="")+($F$1996:$F$2056=F1993)&gt;0)*((G1993="")+($G$1996:$G$2056=G1993)&gt;0)*((H1993="")+($H$1996:$H$2056=H1993)&gt;0)*ROW($B$1996:$B$2056))),"")</f>
        <v>0.17</v>
      </c>
      <c r="D1993" s="17" t="s">
        <v>27350</v>
      </c>
      <c r="E1993" s="17" t="s">
        <v>23567</v>
      </c>
      <c r="F1993" s="17" t="s">
        <v>839</v>
      </c>
      <c r="G1993" s="17" t="s">
        <v>11407</v>
      </c>
      <c r="H1993" s="17" t="s">
        <v>27351</v>
      </c>
    </row>
    <row r="1995" customFormat="false" ht="15" hidden="false" customHeight="false" outlineLevel="0" collapsed="false">
      <c r="B1995" s="18" t="s">
        <v>701</v>
      </c>
      <c r="C1995" s="18" t="s">
        <v>702</v>
      </c>
      <c r="D1995" s="18" t="s">
        <v>704</v>
      </c>
      <c r="E1995" s="18" t="s">
        <v>705</v>
      </c>
      <c r="F1995" s="18" t="s">
        <v>11716</v>
      </c>
      <c r="G1995" s="18" t="s">
        <v>13701</v>
      </c>
      <c r="H1995" s="18" t="s">
        <v>27349</v>
      </c>
    </row>
    <row r="1996" customFormat="false" ht="28.35" hidden="false" customHeight="false" outlineLevel="0" collapsed="false">
      <c r="B1996" s="19" t="s">
        <v>27352</v>
      </c>
      <c r="C1996" s="20" t="n">
        <f aca="false">ROUND(1.25/FX,2)</f>
        <v>0.17</v>
      </c>
      <c r="D1996" s="21" t="s">
        <v>27350</v>
      </c>
      <c r="E1996" s="21" t="s">
        <v>23567</v>
      </c>
      <c r="F1996" s="21" t="s">
        <v>839</v>
      </c>
      <c r="G1996" s="21" t="s">
        <v>11407</v>
      </c>
      <c r="H1996" s="21" t="s">
        <v>27351</v>
      </c>
    </row>
    <row r="1997" customFormat="false" ht="28.35" hidden="false" customHeight="false" outlineLevel="0" collapsed="false">
      <c r="B1997" s="19" t="s">
        <v>27353</v>
      </c>
      <c r="C1997" s="20" t="n">
        <f aca="false">ROUND(1.06/FX,2)</f>
        <v>0.15</v>
      </c>
      <c r="D1997" s="21" t="s">
        <v>27350</v>
      </c>
      <c r="E1997" s="21" t="s">
        <v>23567</v>
      </c>
      <c r="F1997" s="21" t="s">
        <v>841</v>
      </c>
      <c r="G1997" s="21" t="s">
        <v>11409</v>
      </c>
      <c r="H1997" s="21" t="s">
        <v>27351</v>
      </c>
    </row>
    <row r="1998" customFormat="false" ht="28.35" hidden="false" customHeight="false" outlineLevel="0" collapsed="false">
      <c r="B1998" s="19" t="s">
        <v>27354</v>
      </c>
      <c r="C1998" s="20" t="n">
        <f aca="false">ROUND(1.01/FX,2)</f>
        <v>0.14</v>
      </c>
      <c r="D1998" s="21" t="s">
        <v>27350</v>
      </c>
      <c r="E1998" s="21" t="s">
        <v>14034</v>
      </c>
      <c r="F1998" s="21" t="s">
        <v>6383</v>
      </c>
      <c r="G1998" s="21" t="s">
        <v>25460</v>
      </c>
      <c r="H1998" s="21" t="s">
        <v>27355</v>
      </c>
    </row>
    <row r="1999" customFormat="false" ht="28.35" hidden="false" customHeight="false" outlineLevel="0" collapsed="false">
      <c r="B1999" s="19" t="s">
        <v>27356</v>
      </c>
      <c r="C1999" s="20" t="n">
        <f aca="false">ROUND(1.05/FX,2)</f>
        <v>0.15</v>
      </c>
      <c r="D1999" s="21" t="s">
        <v>27350</v>
      </c>
      <c r="E1999" s="21" t="s">
        <v>24287</v>
      </c>
      <c r="F1999" s="21" t="s">
        <v>837</v>
      </c>
      <c r="G1999" s="21" t="s">
        <v>25497</v>
      </c>
      <c r="H1999" s="21" t="s">
        <v>27355</v>
      </c>
    </row>
    <row r="2000" customFormat="false" ht="28.35" hidden="false" customHeight="false" outlineLevel="0" collapsed="false">
      <c r="B2000" s="19" t="s">
        <v>27357</v>
      </c>
      <c r="C2000" s="20" t="n">
        <f aca="false">ROUND(1.25/FX,2)</f>
        <v>0.17</v>
      </c>
      <c r="D2000" s="21" t="s">
        <v>27350</v>
      </c>
      <c r="E2000" s="21" t="s">
        <v>23567</v>
      </c>
      <c r="F2000" s="21" t="s">
        <v>839</v>
      </c>
      <c r="G2000" s="21" t="s">
        <v>11407</v>
      </c>
      <c r="H2000" s="21" t="s">
        <v>27355</v>
      </c>
    </row>
    <row r="2001" customFormat="false" ht="28.35" hidden="false" customHeight="false" outlineLevel="0" collapsed="false">
      <c r="B2001" s="19" t="s">
        <v>27358</v>
      </c>
      <c r="C2001" s="20" t="n">
        <f aca="false">ROUND(1/FX,2)</f>
        <v>0.14</v>
      </c>
      <c r="D2001" s="21" t="s">
        <v>27350</v>
      </c>
      <c r="E2001" s="21" t="s">
        <v>27359</v>
      </c>
      <c r="F2001" s="21" t="s">
        <v>841</v>
      </c>
      <c r="G2001" s="21" t="s">
        <v>11407</v>
      </c>
      <c r="H2001" s="21" t="s">
        <v>27355</v>
      </c>
    </row>
    <row r="2002" customFormat="false" ht="28.35" hidden="false" customHeight="false" outlineLevel="0" collapsed="false">
      <c r="B2002" s="19" t="s">
        <v>27360</v>
      </c>
      <c r="C2002" s="20" t="n">
        <f aca="false">ROUND(1/FX,2)</f>
        <v>0.14</v>
      </c>
      <c r="D2002" s="21" t="s">
        <v>27350</v>
      </c>
      <c r="E2002" s="21" t="s">
        <v>27359</v>
      </c>
      <c r="F2002" s="21" t="s">
        <v>789</v>
      </c>
      <c r="G2002" s="21" t="s">
        <v>11407</v>
      </c>
      <c r="H2002" s="21" t="s">
        <v>27355</v>
      </c>
    </row>
    <row r="2003" customFormat="false" ht="28.35" hidden="false" customHeight="false" outlineLevel="0" collapsed="false">
      <c r="B2003" s="19" t="s">
        <v>27361</v>
      </c>
      <c r="C2003" s="20" t="n">
        <f aca="false">ROUND(1.04/FX,2)</f>
        <v>0.14</v>
      </c>
      <c r="D2003" s="21" t="s">
        <v>27350</v>
      </c>
      <c r="E2003" s="21" t="s">
        <v>14419</v>
      </c>
      <c r="F2003" s="21" t="s">
        <v>839</v>
      </c>
      <c r="G2003" s="21" t="s">
        <v>11409</v>
      </c>
      <c r="H2003" s="21" t="s">
        <v>27355</v>
      </c>
    </row>
    <row r="2004" customFormat="false" ht="28.35" hidden="false" customHeight="false" outlineLevel="0" collapsed="false">
      <c r="B2004" s="19" t="s">
        <v>27362</v>
      </c>
      <c r="C2004" s="20" t="n">
        <f aca="false">ROUND(1.06/FX,2)</f>
        <v>0.15</v>
      </c>
      <c r="D2004" s="21" t="s">
        <v>27350</v>
      </c>
      <c r="E2004" s="21" t="s">
        <v>23567</v>
      </c>
      <c r="F2004" s="21" t="s">
        <v>841</v>
      </c>
      <c r="G2004" s="21" t="s">
        <v>11409</v>
      </c>
      <c r="H2004" s="21" t="s">
        <v>27355</v>
      </c>
    </row>
    <row r="2005" customFormat="false" ht="28.35" hidden="false" customHeight="false" outlineLevel="0" collapsed="false">
      <c r="B2005" s="19" t="s">
        <v>27363</v>
      </c>
      <c r="C2005" s="20" t="n">
        <f aca="false">ROUND(1.01/FX,2)</f>
        <v>0.14</v>
      </c>
      <c r="D2005" s="21" t="s">
        <v>27350</v>
      </c>
      <c r="E2005" s="21" t="s">
        <v>27364</v>
      </c>
      <c r="F2005" s="21" t="s">
        <v>789</v>
      </c>
      <c r="G2005" s="21" t="s">
        <v>11409</v>
      </c>
      <c r="H2005" s="21" t="s">
        <v>27355</v>
      </c>
    </row>
    <row r="2006" customFormat="false" ht="28.35" hidden="false" customHeight="false" outlineLevel="0" collapsed="false">
      <c r="B2006" s="19" t="s">
        <v>27365</v>
      </c>
      <c r="C2006" s="20" t="n">
        <f aca="false">ROUND(0.78/FX,2)</f>
        <v>0.11</v>
      </c>
      <c r="D2006" s="21" t="s">
        <v>27350</v>
      </c>
      <c r="E2006" s="21" t="s">
        <v>21725</v>
      </c>
      <c r="F2006" s="21" t="s">
        <v>716</v>
      </c>
      <c r="G2006" s="21" t="s">
        <v>11409</v>
      </c>
      <c r="H2006" s="21" t="s">
        <v>27355</v>
      </c>
    </row>
    <row r="2007" customFormat="false" ht="28.35" hidden="false" customHeight="false" outlineLevel="0" collapsed="false">
      <c r="B2007" s="19" t="s">
        <v>27366</v>
      </c>
      <c r="C2007" s="20" t="n">
        <f aca="false">ROUND(1.76/FX,2)</f>
        <v>0.24</v>
      </c>
      <c r="D2007" s="21" t="s">
        <v>27350</v>
      </c>
      <c r="E2007" s="21" t="s">
        <v>23567</v>
      </c>
      <c r="F2007" s="21" t="s">
        <v>847</v>
      </c>
      <c r="G2007" s="21" t="s">
        <v>11409</v>
      </c>
      <c r="H2007" s="21" t="s">
        <v>27355</v>
      </c>
    </row>
    <row r="2008" customFormat="false" ht="28.35" hidden="false" customHeight="false" outlineLevel="0" collapsed="false">
      <c r="B2008" s="19" t="s">
        <v>27367</v>
      </c>
      <c r="C2008" s="20" t="n">
        <f aca="false">ROUND(1/FX,2)</f>
        <v>0.14</v>
      </c>
      <c r="D2008" s="21" t="s">
        <v>27350</v>
      </c>
      <c r="E2008" s="21" t="s">
        <v>27368</v>
      </c>
      <c r="F2008" s="21" t="s">
        <v>841</v>
      </c>
      <c r="G2008" s="21" t="s">
        <v>11411</v>
      </c>
      <c r="H2008" s="21" t="s">
        <v>27355</v>
      </c>
    </row>
    <row r="2009" customFormat="false" ht="28.35" hidden="false" customHeight="false" outlineLevel="0" collapsed="false">
      <c r="B2009" s="19" t="s">
        <v>27369</v>
      </c>
      <c r="C2009" s="20" t="n">
        <f aca="false">ROUND(1/FX,2)</f>
        <v>0.14</v>
      </c>
      <c r="D2009" s="21" t="s">
        <v>27350</v>
      </c>
      <c r="E2009" s="21" t="s">
        <v>27359</v>
      </c>
      <c r="F2009" s="21" t="s">
        <v>789</v>
      </c>
      <c r="G2009" s="21" t="s">
        <v>11411</v>
      </c>
      <c r="H2009" s="21" t="s">
        <v>27355</v>
      </c>
    </row>
    <row r="2010" customFormat="false" ht="28.35" hidden="false" customHeight="false" outlineLevel="0" collapsed="false">
      <c r="B2010" s="19" t="s">
        <v>27370</v>
      </c>
      <c r="C2010" s="20" t="n">
        <f aca="false">ROUND(0.14/FX,2)</f>
        <v>0.02</v>
      </c>
      <c r="D2010" s="21" t="s">
        <v>27350</v>
      </c>
      <c r="E2010" s="21" t="s">
        <v>13997</v>
      </c>
      <c r="F2010" s="21" t="s">
        <v>716</v>
      </c>
      <c r="G2010" s="21" t="s">
        <v>11411</v>
      </c>
      <c r="H2010" s="21" t="s">
        <v>27355</v>
      </c>
    </row>
    <row r="2011" customFormat="false" ht="28.35" hidden="false" customHeight="false" outlineLevel="0" collapsed="false">
      <c r="B2011" s="19" t="s">
        <v>27371</v>
      </c>
      <c r="C2011" s="20" t="n">
        <f aca="false">ROUND(0.13/FX,2)</f>
        <v>0.02</v>
      </c>
      <c r="D2011" s="21" t="s">
        <v>27350</v>
      </c>
      <c r="E2011" s="21" t="s">
        <v>13743</v>
      </c>
      <c r="F2011" s="21" t="s">
        <v>707</v>
      </c>
      <c r="G2011" s="21" t="s">
        <v>11413</v>
      </c>
      <c r="H2011" s="21" t="s">
        <v>27355</v>
      </c>
    </row>
    <row r="2012" customFormat="false" ht="28.35" hidden="false" customHeight="false" outlineLevel="0" collapsed="false">
      <c r="B2012" s="19" t="s">
        <v>27372</v>
      </c>
      <c r="C2012" s="20" t="n">
        <f aca="false">ROUND(1.02/FX,2)</f>
        <v>0.14</v>
      </c>
      <c r="D2012" s="21" t="s">
        <v>27350</v>
      </c>
      <c r="E2012" s="21" t="s">
        <v>27373</v>
      </c>
      <c r="F2012" s="21" t="s">
        <v>789</v>
      </c>
      <c r="G2012" s="21" t="s">
        <v>11413</v>
      </c>
      <c r="H2012" s="21" t="s">
        <v>27355</v>
      </c>
    </row>
    <row r="2013" customFormat="false" ht="28.35" hidden="false" customHeight="false" outlineLevel="0" collapsed="false">
      <c r="B2013" s="19" t="s">
        <v>27374</v>
      </c>
      <c r="C2013" s="20" t="n">
        <f aca="false">ROUND(2.47/FX,2)</f>
        <v>0.34</v>
      </c>
      <c r="D2013" s="21" t="s">
        <v>27350</v>
      </c>
      <c r="E2013" s="21" t="s">
        <v>23567</v>
      </c>
      <c r="F2013" s="21" t="s">
        <v>716</v>
      </c>
      <c r="G2013" s="21" t="s">
        <v>11413</v>
      </c>
      <c r="H2013" s="21" t="s">
        <v>27355</v>
      </c>
    </row>
    <row r="2014" customFormat="false" ht="28.35" hidden="false" customHeight="false" outlineLevel="0" collapsed="false">
      <c r="B2014" s="19" t="s">
        <v>27375</v>
      </c>
      <c r="C2014" s="20" t="n">
        <f aca="false">ROUND(1.04/FX,2)</f>
        <v>0.14</v>
      </c>
      <c r="D2014" s="21" t="s">
        <v>27350</v>
      </c>
      <c r="E2014" s="21" t="s">
        <v>21725</v>
      </c>
      <c r="F2014" s="21" t="s">
        <v>847</v>
      </c>
      <c r="G2014" s="21" t="s">
        <v>11413</v>
      </c>
      <c r="H2014" s="21" t="s">
        <v>27355</v>
      </c>
    </row>
    <row r="2015" customFormat="false" ht="28.35" hidden="false" customHeight="false" outlineLevel="0" collapsed="false">
      <c r="B2015" s="19" t="s">
        <v>27376</v>
      </c>
      <c r="C2015" s="20" t="n">
        <f aca="false">ROUND(1.03/FX,2)</f>
        <v>0.14</v>
      </c>
      <c r="D2015" s="21" t="s">
        <v>27350</v>
      </c>
      <c r="E2015" s="21" t="s">
        <v>24231</v>
      </c>
      <c r="F2015" s="21" t="s">
        <v>707</v>
      </c>
      <c r="G2015" s="21" t="s">
        <v>11415</v>
      </c>
      <c r="H2015" s="21" t="s">
        <v>27355</v>
      </c>
    </row>
    <row r="2016" customFormat="false" ht="28.35" hidden="false" customHeight="false" outlineLevel="0" collapsed="false">
      <c r="B2016" s="19" t="s">
        <v>27377</v>
      </c>
      <c r="C2016" s="20" t="n">
        <f aca="false">ROUND(1.04/FX,2)</f>
        <v>0.14</v>
      </c>
      <c r="D2016" s="21" t="s">
        <v>27350</v>
      </c>
      <c r="E2016" s="21" t="s">
        <v>25531</v>
      </c>
      <c r="F2016" s="21" t="s">
        <v>847</v>
      </c>
      <c r="G2016" s="21" t="s">
        <v>11415</v>
      </c>
      <c r="H2016" s="21" t="s">
        <v>27355</v>
      </c>
    </row>
    <row r="2017" customFormat="false" ht="15" hidden="false" customHeight="false" outlineLevel="0" collapsed="false">
      <c r="B2017" s="19" t="s">
        <v>27378</v>
      </c>
      <c r="C2017" s="20" t="n">
        <f aca="false">ROUND(0.39/FX,2)</f>
        <v>0.05</v>
      </c>
      <c r="D2017" s="21" t="s">
        <v>24108</v>
      </c>
      <c r="E2017" s="21" t="s">
        <v>13997</v>
      </c>
      <c r="F2017" s="21" t="s">
        <v>841</v>
      </c>
      <c r="G2017" s="21" t="s">
        <v>11409</v>
      </c>
      <c r="H2017" s="21" t="s">
        <v>27379</v>
      </c>
    </row>
    <row r="2018" customFormat="false" ht="15" hidden="false" customHeight="false" outlineLevel="0" collapsed="false">
      <c r="B2018" s="19" t="s">
        <v>27380</v>
      </c>
      <c r="C2018" s="20" t="n">
        <f aca="false">ROUND(1.15/FX,2)</f>
        <v>0.16</v>
      </c>
      <c r="D2018" s="21" t="s">
        <v>8669</v>
      </c>
      <c r="E2018" s="21" t="s">
        <v>23567</v>
      </c>
      <c r="F2018" s="21" t="s">
        <v>841</v>
      </c>
      <c r="G2018" s="21" t="s">
        <v>11407</v>
      </c>
      <c r="H2018" s="21" t="s">
        <v>27351</v>
      </c>
    </row>
    <row r="2019" customFormat="false" ht="15" hidden="false" customHeight="false" outlineLevel="0" collapsed="false">
      <c r="B2019" s="19" t="s">
        <v>27381</v>
      </c>
      <c r="C2019" s="20" t="n">
        <f aca="false">ROUND(1/FX,2)</f>
        <v>0.14</v>
      </c>
      <c r="D2019" s="21" t="s">
        <v>8669</v>
      </c>
      <c r="E2019" s="21" t="s">
        <v>27382</v>
      </c>
      <c r="F2019" s="21" t="s">
        <v>841</v>
      </c>
      <c r="G2019" s="21" t="s">
        <v>11409</v>
      </c>
      <c r="H2019" s="21" t="s">
        <v>27351</v>
      </c>
    </row>
    <row r="2020" customFormat="false" ht="15" hidden="false" customHeight="false" outlineLevel="0" collapsed="false">
      <c r="B2020" s="19" t="s">
        <v>27383</v>
      </c>
      <c r="C2020" s="20" t="n">
        <f aca="false">ROUND(1.01/FX,2)</f>
        <v>0.14</v>
      </c>
      <c r="D2020" s="21" t="s">
        <v>8669</v>
      </c>
      <c r="E2020" s="21" t="s">
        <v>27384</v>
      </c>
      <c r="F2020" s="21" t="s">
        <v>716</v>
      </c>
      <c r="G2020" s="21" t="s">
        <v>11411</v>
      </c>
      <c r="H2020" s="21" t="s">
        <v>27351</v>
      </c>
    </row>
    <row r="2021" customFormat="false" ht="15" hidden="false" customHeight="false" outlineLevel="0" collapsed="false">
      <c r="B2021" s="19" t="s">
        <v>27385</v>
      </c>
      <c r="C2021" s="20" t="n">
        <f aca="false">ROUND(0.43/FX,2)</f>
        <v>0.06</v>
      </c>
      <c r="D2021" s="21" t="s">
        <v>8669</v>
      </c>
      <c r="E2021" s="21" t="s">
        <v>13743</v>
      </c>
      <c r="F2021" s="21" t="s">
        <v>839</v>
      </c>
      <c r="G2021" s="21" t="s">
        <v>25497</v>
      </c>
      <c r="H2021" s="21" t="s">
        <v>27386</v>
      </c>
    </row>
    <row r="2022" customFormat="false" ht="15" hidden="false" customHeight="false" outlineLevel="0" collapsed="false">
      <c r="B2022" s="19" t="s">
        <v>27387</v>
      </c>
      <c r="C2022" s="20" t="n">
        <f aca="false">ROUND(0.3/FX,2)</f>
        <v>0.04</v>
      </c>
      <c r="D2022" s="21" t="s">
        <v>8669</v>
      </c>
      <c r="E2022" s="21" t="s">
        <v>13997</v>
      </c>
      <c r="F2022" s="21" t="s">
        <v>845</v>
      </c>
      <c r="G2022" s="21" t="s">
        <v>11413</v>
      </c>
      <c r="H2022" s="21" t="s">
        <v>27386</v>
      </c>
    </row>
    <row r="2023" customFormat="false" ht="15" hidden="false" customHeight="false" outlineLevel="0" collapsed="false">
      <c r="B2023" s="19" t="s">
        <v>27388</v>
      </c>
      <c r="C2023" s="20" t="n">
        <f aca="false">ROUND(1.01/FX,2)</f>
        <v>0.14</v>
      </c>
      <c r="D2023" s="21" t="s">
        <v>8669</v>
      </c>
      <c r="E2023" s="21" t="s">
        <v>27389</v>
      </c>
      <c r="F2023" s="21" t="s">
        <v>707</v>
      </c>
      <c r="G2023" s="21" t="s">
        <v>11407</v>
      </c>
      <c r="H2023" s="21" t="s">
        <v>27355</v>
      </c>
    </row>
    <row r="2024" customFormat="false" ht="15" hidden="false" customHeight="false" outlineLevel="0" collapsed="false">
      <c r="B2024" s="19" t="s">
        <v>27390</v>
      </c>
      <c r="C2024" s="20" t="n">
        <f aca="false">ROUND(0.78/FX,2)</f>
        <v>0.11</v>
      </c>
      <c r="D2024" s="21" t="s">
        <v>8669</v>
      </c>
      <c r="E2024" s="21" t="s">
        <v>21725</v>
      </c>
      <c r="F2024" s="21" t="s">
        <v>839</v>
      </c>
      <c r="G2024" s="21" t="s">
        <v>11407</v>
      </c>
      <c r="H2024" s="21" t="s">
        <v>27355</v>
      </c>
    </row>
    <row r="2025" customFormat="false" ht="15" hidden="false" customHeight="false" outlineLevel="0" collapsed="false">
      <c r="B2025" s="19" t="s">
        <v>27391</v>
      </c>
      <c r="C2025" s="20" t="n">
        <f aca="false">ROUND(0.78/FX,2)</f>
        <v>0.11</v>
      </c>
      <c r="D2025" s="21" t="s">
        <v>8669</v>
      </c>
      <c r="E2025" s="21" t="s">
        <v>21725</v>
      </c>
      <c r="F2025" s="21" t="s">
        <v>841</v>
      </c>
      <c r="G2025" s="21" t="s">
        <v>11407</v>
      </c>
      <c r="H2025" s="21" t="s">
        <v>27355</v>
      </c>
    </row>
    <row r="2026" customFormat="false" ht="15" hidden="false" customHeight="false" outlineLevel="0" collapsed="false">
      <c r="B2026" s="19" t="s">
        <v>27392</v>
      </c>
      <c r="C2026" s="20" t="n">
        <f aca="false">ROUND(1/FX,2)</f>
        <v>0.14</v>
      </c>
      <c r="D2026" s="21" t="s">
        <v>8669</v>
      </c>
      <c r="E2026" s="21" t="s">
        <v>26277</v>
      </c>
      <c r="F2026" s="21" t="s">
        <v>789</v>
      </c>
      <c r="G2026" s="21" t="s">
        <v>11407</v>
      </c>
      <c r="H2026" s="21" t="s">
        <v>27355</v>
      </c>
    </row>
    <row r="2027" customFormat="false" ht="15" hidden="false" customHeight="false" outlineLevel="0" collapsed="false">
      <c r="B2027" s="19" t="s">
        <v>27393</v>
      </c>
      <c r="C2027" s="20" t="n">
        <f aca="false">ROUND(1.01/FX,2)</f>
        <v>0.14</v>
      </c>
      <c r="D2027" s="21" t="s">
        <v>8669</v>
      </c>
      <c r="E2027" s="21" t="s">
        <v>27394</v>
      </c>
      <c r="F2027" s="21" t="s">
        <v>716</v>
      </c>
      <c r="G2027" s="21" t="s">
        <v>11407</v>
      </c>
      <c r="H2027" s="21" t="s">
        <v>27355</v>
      </c>
    </row>
    <row r="2028" customFormat="false" ht="15" hidden="false" customHeight="false" outlineLevel="0" collapsed="false">
      <c r="B2028" s="19" t="s">
        <v>27395</v>
      </c>
      <c r="C2028" s="20" t="n">
        <f aca="false">ROUND(1.02/FX,2)</f>
        <v>0.14</v>
      </c>
      <c r="D2028" s="21" t="s">
        <v>8669</v>
      </c>
      <c r="E2028" s="21" t="s">
        <v>27396</v>
      </c>
      <c r="F2028" s="21" t="s">
        <v>847</v>
      </c>
      <c r="G2028" s="21" t="s">
        <v>11407</v>
      </c>
      <c r="H2028" s="21" t="s">
        <v>27355</v>
      </c>
    </row>
    <row r="2029" customFormat="false" ht="15" hidden="false" customHeight="false" outlineLevel="0" collapsed="false">
      <c r="B2029" s="19" t="s">
        <v>27397</v>
      </c>
      <c r="C2029" s="20" t="n">
        <f aca="false">ROUND(1.02/FX,2)</f>
        <v>0.14</v>
      </c>
      <c r="D2029" s="21" t="s">
        <v>8669</v>
      </c>
      <c r="E2029" s="21" t="s">
        <v>25516</v>
      </c>
      <c r="F2029" s="21" t="s">
        <v>707</v>
      </c>
      <c r="G2029" s="21" t="s">
        <v>11409</v>
      </c>
      <c r="H2029" s="21" t="s">
        <v>27355</v>
      </c>
    </row>
    <row r="2030" customFormat="false" ht="15" hidden="false" customHeight="false" outlineLevel="0" collapsed="false">
      <c r="B2030" s="19" t="s">
        <v>27398</v>
      </c>
      <c r="C2030" s="20" t="n">
        <f aca="false">ROUND(1.04/FX,2)</f>
        <v>0.14</v>
      </c>
      <c r="D2030" s="21" t="s">
        <v>8669</v>
      </c>
      <c r="E2030" s="21" t="s">
        <v>25531</v>
      </c>
      <c r="F2030" s="21" t="s">
        <v>761</v>
      </c>
      <c r="G2030" s="21" t="s">
        <v>11409</v>
      </c>
      <c r="H2030" s="21" t="s">
        <v>27355</v>
      </c>
    </row>
    <row r="2031" customFormat="false" ht="15" hidden="false" customHeight="false" outlineLevel="0" collapsed="false">
      <c r="B2031" s="19" t="s">
        <v>27399</v>
      </c>
      <c r="C2031" s="20" t="n">
        <f aca="false">ROUND(1.01/FX,2)</f>
        <v>0.14</v>
      </c>
      <c r="D2031" s="21" t="s">
        <v>8669</v>
      </c>
      <c r="E2031" s="21" t="s">
        <v>25753</v>
      </c>
      <c r="F2031" s="21" t="s">
        <v>839</v>
      </c>
      <c r="G2031" s="21" t="s">
        <v>11409</v>
      </c>
      <c r="H2031" s="21" t="s">
        <v>27355</v>
      </c>
    </row>
    <row r="2032" customFormat="false" ht="15" hidden="false" customHeight="false" outlineLevel="0" collapsed="false">
      <c r="B2032" s="19" t="s">
        <v>27400</v>
      </c>
      <c r="C2032" s="20" t="n">
        <f aca="false">ROUND(1.29/FX,2)</f>
        <v>0.18</v>
      </c>
      <c r="D2032" s="21" t="s">
        <v>8669</v>
      </c>
      <c r="E2032" s="21" t="s">
        <v>23567</v>
      </c>
      <c r="F2032" s="21" t="s">
        <v>841</v>
      </c>
      <c r="G2032" s="21" t="s">
        <v>11409</v>
      </c>
      <c r="H2032" s="21" t="s">
        <v>27355</v>
      </c>
    </row>
    <row r="2033" customFormat="false" ht="15" hidden="false" customHeight="false" outlineLevel="0" collapsed="false">
      <c r="B2033" s="19" t="s">
        <v>27401</v>
      </c>
      <c r="C2033" s="20" t="n">
        <f aca="false">ROUND(1.37/FX,2)</f>
        <v>0.19</v>
      </c>
      <c r="D2033" s="21" t="s">
        <v>8669</v>
      </c>
      <c r="E2033" s="21" t="s">
        <v>23567</v>
      </c>
      <c r="F2033" s="21" t="s">
        <v>789</v>
      </c>
      <c r="G2033" s="21" t="s">
        <v>11409</v>
      </c>
      <c r="H2033" s="21" t="s">
        <v>27355</v>
      </c>
    </row>
    <row r="2034" customFormat="false" ht="15" hidden="false" customHeight="false" outlineLevel="0" collapsed="false">
      <c r="B2034" s="19" t="s">
        <v>27402</v>
      </c>
      <c r="C2034" s="20" t="n">
        <f aca="false">ROUND(1.17/FX,2)</f>
        <v>0.16</v>
      </c>
      <c r="D2034" s="21" t="s">
        <v>8669</v>
      </c>
      <c r="E2034" s="21" t="s">
        <v>21725</v>
      </c>
      <c r="F2034" s="21" t="s">
        <v>716</v>
      </c>
      <c r="G2034" s="21" t="s">
        <v>11409</v>
      </c>
      <c r="H2034" s="21" t="s">
        <v>27355</v>
      </c>
    </row>
    <row r="2035" customFormat="false" ht="15" hidden="false" customHeight="false" outlineLevel="0" collapsed="false">
      <c r="B2035" s="19" t="s">
        <v>27403</v>
      </c>
      <c r="C2035" s="20" t="n">
        <f aca="false">ROUND(2.99/FX,2)</f>
        <v>0.42</v>
      </c>
      <c r="D2035" s="21" t="s">
        <v>8669</v>
      </c>
      <c r="E2035" s="21" t="s">
        <v>23567</v>
      </c>
      <c r="F2035" s="21" t="s">
        <v>847</v>
      </c>
      <c r="G2035" s="21" t="s">
        <v>11409</v>
      </c>
      <c r="H2035" s="21" t="s">
        <v>27355</v>
      </c>
    </row>
    <row r="2036" customFormat="false" ht="15" hidden="false" customHeight="false" outlineLevel="0" collapsed="false">
      <c r="B2036" s="19" t="s">
        <v>27404</v>
      </c>
      <c r="C2036" s="20" t="n">
        <f aca="false">ROUND(1.04/FX,2)</f>
        <v>0.14</v>
      </c>
      <c r="D2036" s="21" t="s">
        <v>8669</v>
      </c>
      <c r="E2036" s="21" t="s">
        <v>25531</v>
      </c>
      <c r="F2036" s="21" t="s">
        <v>707</v>
      </c>
      <c r="G2036" s="21" t="s">
        <v>11411</v>
      </c>
      <c r="H2036" s="21" t="s">
        <v>27355</v>
      </c>
    </row>
    <row r="2037" customFormat="false" ht="15" hidden="false" customHeight="false" outlineLevel="0" collapsed="false">
      <c r="B2037" s="19" t="s">
        <v>27405</v>
      </c>
      <c r="C2037" s="20" t="n">
        <f aca="false">ROUND(1.01/FX,2)</f>
        <v>0.14</v>
      </c>
      <c r="D2037" s="21" t="s">
        <v>8669</v>
      </c>
      <c r="E2037" s="21" t="s">
        <v>25703</v>
      </c>
      <c r="F2037" s="21" t="s">
        <v>761</v>
      </c>
      <c r="G2037" s="21" t="s">
        <v>11411</v>
      </c>
      <c r="H2037" s="21" t="s">
        <v>27355</v>
      </c>
    </row>
    <row r="2038" customFormat="false" ht="15" hidden="false" customHeight="false" outlineLevel="0" collapsed="false">
      <c r="B2038" s="19" t="s">
        <v>27406</v>
      </c>
      <c r="C2038" s="20" t="n">
        <f aca="false">ROUND(1.04/FX,2)</f>
        <v>0.14</v>
      </c>
      <c r="D2038" s="21" t="s">
        <v>8669</v>
      </c>
      <c r="E2038" s="21" t="s">
        <v>25703</v>
      </c>
      <c r="F2038" s="21" t="s">
        <v>4721</v>
      </c>
      <c r="G2038" s="21" t="s">
        <v>11411</v>
      </c>
      <c r="H2038" s="21" t="s">
        <v>27355</v>
      </c>
    </row>
    <row r="2039" customFormat="false" ht="15" hidden="false" customHeight="false" outlineLevel="0" collapsed="false">
      <c r="B2039" s="19" t="s">
        <v>27407</v>
      </c>
      <c r="C2039" s="20" t="n">
        <f aca="false">ROUND(1.03/FX,2)</f>
        <v>0.14</v>
      </c>
      <c r="D2039" s="21" t="s">
        <v>8669</v>
      </c>
      <c r="E2039" s="21" t="s">
        <v>25703</v>
      </c>
      <c r="F2039" s="21" t="s">
        <v>3833</v>
      </c>
      <c r="G2039" s="21" t="s">
        <v>11411</v>
      </c>
      <c r="H2039" s="21" t="s">
        <v>27355</v>
      </c>
    </row>
    <row r="2040" customFormat="false" ht="15" hidden="false" customHeight="false" outlineLevel="0" collapsed="false">
      <c r="B2040" s="19" t="s">
        <v>27408</v>
      </c>
      <c r="C2040" s="20" t="n">
        <f aca="false">ROUND(1.05/FX,2)</f>
        <v>0.15</v>
      </c>
      <c r="D2040" s="21" t="s">
        <v>8669</v>
      </c>
      <c r="E2040" s="21" t="s">
        <v>13997</v>
      </c>
      <c r="F2040" s="21" t="s">
        <v>3247</v>
      </c>
      <c r="G2040" s="21" t="s">
        <v>11411</v>
      </c>
      <c r="H2040" s="21" t="s">
        <v>27355</v>
      </c>
    </row>
    <row r="2041" customFormat="false" ht="15" hidden="false" customHeight="false" outlineLevel="0" collapsed="false">
      <c r="B2041" s="19" t="s">
        <v>27409</v>
      </c>
      <c r="C2041" s="20" t="n">
        <f aca="false">ROUND(1.01/FX,2)</f>
        <v>0.14</v>
      </c>
      <c r="D2041" s="21" t="s">
        <v>8669</v>
      </c>
      <c r="E2041" s="21" t="s">
        <v>25703</v>
      </c>
      <c r="F2041" s="21" t="s">
        <v>839</v>
      </c>
      <c r="G2041" s="21" t="s">
        <v>11411</v>
      </c>
      <c r="H2041" s="21" t="s">
        <v>27355</v>
      </c>
    </row>
    <row r="2042" customFormat="false" ht="15" hidden="false" customHeight="false" outlineLevel="0" collapsed="false">
      <c r="B2042" s="19" t="s">
        <v>27410</v>
      </c>
      <c r="C2042" s="20" t="n">
        <f aca="false">ROUND(1.12/FX,2)</f>
        <v>0.16</v>
      </c>
      <c r="D2042" s="21" t="s">
        <v>8669</v>
      </c>
      <c r="E2042" s="21" t="s">
        <v>14007</v>
      </c>
      <c r="F2042" s="21" t="s">
        <v>784</v>
      </c>
      <c r="G2042" s="21" t="s">
        <v>11411</v>
      </c>
      <c r="H2042" s="21" t="s">
        <v>27355</v>
      </c>
    </row>
    <row r="2043" customFormat="false" ht="15" hidden="false" customHeight="false" outlineLevel="0" collapsed="false">
      <c r="B2043" s="19" t="s">
        <v>27411</v>
      </c>
      <c r="C2043" s="20" t="n">
        <f aca="false">ROUND(2.47/FX,2)</f>
        <v>0.34</v>
      </c>
      <c r="D2043" s="21" t="s">
        <v>8669</v>
      </c>
      <c r="E2043" s="21" t="s">
        <v>23567</v>
      </c>
      <c r="F2043" s="21" t="s">
        <v>841</v>
      </c>
      <c r="G2043" s="21" t="s">
        <v>11411</v>
      </c>
      <c r="H2043" s="21" t="s">
        <v>27355</v>
      </c>
    </row>
    <row r="2044" customFormat="false" ht="15" hidden="false" customHeight="false" outlineLevel="0" collapsed="false">
      <c r="B2044" s="19" t="s">
        <v>27412</v>
      </c>
      <c r="C2044" s="20" t="n">
        <f aca="false">ROUND(1.64/FX,2)</f>
        <v>0.23</v>
      </c>
      <c r="D2044" s="21" t="s">
        <v>8669</v>
      </c>
      <c r="E2044" s="21" t="s">
        <v>23567</v>
      </c>
      <c r="F2044" s="21" t="s">
        <v>789</v>
      </c>
      <c r="G2044" s="21" t="s">
        <v>11411</v>
      </c>
      <c r="H2044" s="21" t="s">
        <v>27355</v>
      </c>
    </row>
    <row r="2045" customFormat="false" ht="15" hidden="false" customHeight="false" outlineLevel="0" collapsed="false">
      <c r="B2045" s="19" t="s">
        <v>27413</v>
      </c>
      <c r="C2045" s="20" t="n">
        <f aca="false">ROUND(0.94/FX,2)</f>
        <v>0.13</v>
      </c>
      <c r="D2045" s="21" t="s">
        <v>8669</v>
      </c>
      <c r="E2045" s="21" t="s">
        <v>21725</v>
      </c>
      <c r="F2045" s="21" t="s">
        <v>716</v>
      </c>
      <c r="G2045" s="21" t="s">
        <v>11411</v>
      </c>
      <c r="H2045" s="21" t="s">
        <v>27355</v>
      </c>
    </row>
    <row r="2046" customFormat="false" ht="15" hidden="false" customHeight="false" outlineLevel="0" collapsed="false">
      <c r="B2046" s="19" t="s">
        <v>27414</v>
      </c>
      <c r="C2046" s="20" t="n">
        <f aca="false">ROUND(1.01/FX,2)</f>
        <v>0.14</v>
      </c>
      <c r="D2046" s="21" t="s">
        <v>8669</v>
      </c>
      <c r="E2046" s="21" t="s">
        <v>14034</v>
      </c>
      <c r="F2046" s="21" t="s">
        <v>847</v>
      </c>
      <c r="G2046" s="21" t="s">
        <v>11411</v>
      </c>
      <c r="H2046" s="21" t="s">
        <v>27355</v>
      </c>
    </row>
    <row r="2047" customFormat="false" ht="15" hidden="false" customHeight="false" outlineLevel="0" collapsed="false">
      <c r="B2047" s="19" t="s">
        <v>27415</v>
      </c>
      <c r="C2047" s="20" t="n">
        <f aca="false">ROUND(1.03/FX,2)</f>
        <v>0.14</v>
      </c>
      <c r="D2047" s="21" t="s">
        <v>8669</v>
      </c>
      <c r="E2047" s="21" t="s">
        <v>26256</v>
      </c>
      <c r="F2047" s="21" t="s">
        <v>707</v>
      </c>
      <c r="G2047" s="21" t="s">
        <v>11413</v>
      </c>
      <c r="H2047" s="21" t="s">
        <v>27355</v>
      </c>
    </row>
    <row r="2048" customFormat="false" ht="15" hidden="false" customHeight="false" outlineLevel="0" collapsed="false">
      <c r="B2048" s="19" t="s">
        <v>27416</v>
      </c>
      <c r="C2048" s="20" t="n">
        <f aca="false">ROUND(1.04/FX,2)</f>
        <v>0.14</v>
      </c>
      <c r="D2048" s="21" t="s">
        <v>8669</v>
      </c>
      <c r="E2048" s="21" t="s">
        <v>25459</v>
      </c>
      <c r="F2048" s="21" t="s">
        <v>761</v>
      </c>
      <c r="G2048" s="21" t="s">
        <v>11413</v>
      </c>
      <c r="H2048" s="21" t="s">
        <v>27355</v>
      </c>
    </row>
    <row r="2049" customFormat="false" ht="15" hidden="false" customHeight="false" outlineLevel="0" collapsed="false">
      <c r="B2049" s="19" t="s">
        <v>27417</v>
      </c>
      <c r="C2049" s="20" t="n">
        <f aca="false">ROUND(1.07/FX,2)</f>
        <v>0.15</v>
      </c>
      <c r="D2049" s="21" t="s">
        <v>8669</v>
      </c>
      <c r="E2049" s="21" t="s">
        <v>25459</v>
      </c>
      <c r="F2049" s="21" t="s">
        <v>3833</v>
      </c>
      <c r="G2049" s="21" t="s">
        <v>11413</v>
      </c>
      <c r="H2049" s="21" t="s">
        <v>27355</v>
      </c>
    </row>
    <row r="2050" customFormat="false" ht="15" hidden="false" customHeight="false" outlineLevel="0" collapsed="false">
      <c r="B2050" s="19" t="s">
        <v>27418</v>
      </c>
      <c r="C2050" s="20" t="n">
        <f aca="false">ROUND(1.21/FX,2)</f>
        <v>0.17</v>
      </c>
      <c r="D2050" s="21" t="s">
        <v>8669</v>
      </c>
      <c r="E2050" s="21" t="s">
        <v>21725</v>
      </c>
      <c r="F2050" s="21" t="s">
        <v>716</v>
      </c>
      <c r="G2050" s="21" t="s">
        <v>11413</v>
      </c>
      <c r="H2050" s="21" t="s">
        <v>27355</v>
      </c>
    </row>
    <row r="2051" customFormat="false" ht="15" hidden="false" customHeight="false" outlineLevel="0" collapsed="false">
      <c r="B2051" s="19" t="s">
        <v>27419</v>
      </c>
      <c r="C2051" s="20" t="n">
        <f aca="false">ROUND(2.34/FX,2)</f>
        <v>0.33</v>
      </c>
      <c r="D2051" s="21" t="s">
        <v>8669</v>
      </c>
      <c r="E2051" s="21" t="s">
        <v>21725</v>
      </c>
      <c r="F2051" s="21" t="s">
        <v>847</v>
      </c>
      <c r="G2051" s="21" t="s">
        <v>11413</v>
      </c>
      <c r="H2051" s="21" t="s">
        <v>27355</v>
      </c>
    </row>
    <row r="2052" customFormat="false" ht="15" hidden="false" customHeight="false" outlineLevel="0" collapsed="false">
      <c r="B2052" s="19" t="s">
        <v>27420</v>
      </c>
      <c r="C2052" s="20" t="n">
        <f aca="false">ROUND(1.05/FX,2)</f>
        <v>0.15</v>
      </c>
      <c r="D2052" s="21" t="s">
        <v>8669</v>
      </c>
      <c r="E2052" s="21" t="s">
        <v>13988</v>
      </c>
      <c r="F2052" s="21" t="s">
        <v>707</v>
      </c>
      <c r="G2052" s="21" t="s">
        <v>11415</v>
      </c>
      <c r="H2052" s="21" t="s">
        <v>27355</v>
      </c>
    </row>
    <row r="2053" customFormat="false" ht="15" hidden="false" customHeight="false" outlineLevel="0" collapsed="false">
      <c r="B2053" s="19" t="s">
        <v>27421</v>
      </c>
      <c r="C2053" s="20" t="n">
        <f aca="false">ROUND(1.05/FX,2)</f>
        <v>0.15</v>
      </c>
      <c r="D2053" s="21" t="s">
        <v>8669</v>
      </c>
      <c r="E2053" s="21" t="s">
        <v>14016</v>
      </c>
      <c r="F2053" s="21" t="s">
        <v>761</v>
      </c>
      <c r="G2053" s="21" t="s">
        <v>11415</v>
      </c>
      <c r="H2053" s="21" t="s">
        <v>27355</v>
      </c>
    </row>
    <row r="2054" customFormat="false" ht="15" hidden="false" customHeight="false" outlineLevel="0" collapsed="false">
      <c r="B2054" s="19" t="s">
        <v>27422</v>
      </c>
      <c r="C2054" s="20" t="n">
        <f aca="false">ROUND(1.05/FX,2)</f>
        <v>0.15</v>
      </c>
      <c r="D2054" s="21" t="s">
        <v>8669</v>
      </c>
      <c r="E2054" s="21" t="s">
        <v>21722</v>
      </c>
      <c r="F2054" s="21" t="s">
        <v>789</v>
      </c>
      <c r="G2054" s="21" t="s">
        <v>11415</v>
      </c>
      <c r="H2054" s="21" t="s">
        <v>27355</v>
      </c>
    </row>
    <row r="2055" customFormat="false" ht="15" hidden="false" customHeight="false" outlineLevel="0" collapsed="false">
      <c r="B2055" s="19" t="s">
        <v>27423</v>
      </c>
      <c r="C2055" s="20" t="n">
        <f aca="false">ROUND(1.05/FX,2)</f>
        <v>0.15</v>
      </c>
      <c r="D2055" s="21" t="s">
        <v>8669</v>
      </c>
      <c r="E2055" s="21" t="s">
        <v>21722</v>
      </c>
      <c r="F2055" s="21" t="s">
        <v>716</v>
      </c>
      <c r="G2055" s="21" t="s">
        <v>11415</v>
      </c>
      <c r="H2055" s="21" t="s">
        <v>27355</v>
      </c>
    </row>
    <row r="2056" customFormat="false" ht="15" hidden="false" customHeight="false" outlineLevel="0" collapsed="false">
      <c r="B2056" s="19" t="s">
        <v>27424</v>
      </c>
      <c r="C2056" s="20" t="n">
        <f aca="false">ROUND(1.05/FX,2)</f>
        <v>0.15</v>
      </c>
      <c r="D2056" s="21" t="s">
        <v>8669</v>
      </c>
      <c r="E2056" s="21" t="s">
        <v>13974</v>
      </c>
      <c r="F2056" s="21" t="s">
        <v>847</v>
      </c>
      <c r="G2056" s="21" t="s">
        <v>11415</v>
      </c>
      <c r="H2056" s="21" t="s">
        <v>27355</v>
      </c>
    </row>
    <row r="2059" customFormat="false" ht="61.5" hidden="false" customHeight="true" outlineLevel="0" collapsed="false">
      <c r="A2059" s="9"/>
      <c r="B2059" s="10" t="s">
        <v>27425</v>
      </c>
      <c r="C2059" s="10"/>
      <c r="D2059" s="10"/>
      <c r="E2059" s="10"/>
      <c r="F2059" s="10"/>
    </row>
    <row r="2060" customFormat="false" ht="15" hidden="false" customHeight="false" outlineLevel="0" collapsed="false">
      <c r="A2060" s="12" t="s">
        <v>700</v>
      </c>
      <c r="B2060" s="13" t="s">
        <v>701</v>
      </c>
      <c r="C2060" s="13" t="s">
        <v>702</v>
      </c>
      <c r="D2060" s="13" t="s">
        <v>722</v>
      </c>
      <c r="E2060" s="13" t="s">
        <v>11716</v>
      </c>
      <c r="F2060" s="13" t="s">
        <v>13701</v>
      </c>
    </row>
    <row r="2061" customFormat="false" ht="30" hidden="false" customHeight="true" outlineLevel="0" collapsed="false">
      <c r="A2061" s="14" t="s">
        <v>706</v>
      </c>
      <c r="B2061" s="15" t="str">
        <f aca="false">IF(COUNTIFS($D$2064:$D$2299,IF(D2061="","*",D2061),$E$2064:$E$2299,IF(E2061="","*",E2061),$F$2064:$F$2299,IF(F2061="","*",F2061))=1,INDEX($B:$B,SUMPRODUCT(((D2061="")+($D$2064:$D$2299=D2061)&gt;0)*((E2061="")+($E$2064:$E$2299=E2061)&gt;0)*((F2061="")+($F$2064:$F$2299=F2061)&gt;0)*ROW($B$2064:$B$2299))),IF(COUNTIFS($D$2064:$D$2299,IF(D2061="","*",D2061),$E$2064:$E$2299,IF(E2061="","*",E2061),$F$2064:$F$2299,IF(F2061="","*",F2061))=0,"Not available",COUNTIFS($D$2064:$D$2299,IF(D2061="","*",D2061),$E$2064:$E$2299,IF(E2061="","*",E2061),$F$2064:$F$2299,IF(F2061="","*",F2061))&amp;" match, keep choosing"))</f>
        <v>ALH-BK-M10x10</v>
      </c>
      <c r="C2061" s="16" t="n">
        <f aca="false">IF(COUNTIFS($D$2064:$D$2299,IF(D2061="","*",D2061),$E$2064:$E$2299,IF(E2061="","*",E2061),$F$2064:$F$2299,IF(F2061="","*",F2061))=1,INDEX($C:$C,SUMPRODUCT(((D2061="")+($D$2064:$D$2299=D2061)&gt;0)*((E2061="")+($E$2064:$E$2299=E2061)&gt;0)*((F2061="")+($F$2064:$F$2299=F2061)&gt;0)*ROW($B$2064:$B$2299))),"")</f>
        <v>1.63</v>
      </c>
      <c r="D2061" s="17" t="s">
        <v>724</v>
      </c>
      <c r="E2061" s="17" t="s">
        <v>707</v>
      </c>
      <c r="F2061" s="17" t="s">
        <v>22841</v>
      </c>
    </row>
    <row r="2063" customFormat="false" ht="15" hidden="false" customHeight="false" outlineLevel="0" collapsed="false">
      <c r="B2063" s="18" t="s">
        <v>701</v>
      </c>
      <c r="C2063" s="18" t="s">
        <v>702</v>
      </c>
      <c r="D2063" s="18" t="s">
        <v>722</v>
      </c>
      <c r="E2063" s="18" t="s">
        <v>11716</v>
      </c>
      <c r="F2063" s="18" t="s">
        <v>13701</v>
      </c>
    </row>
    <row r="2064" customFormat="false" ht="15" hidden="false" customHeight="false" outlineLevel="0" collapsed="false">
      <c r="B2064" s="19" t="s">
        <v>27426</v>
      </c>
      <c r="C2064" s="20" t="n">
        <f aca="false">ROUND(11.7/FX,2)</f>
        <v>1.63</v>
      </c>
      <c r="D2064" s="21" t="s">
        <v>724</v>
      </c>
      <c r="E2064" s="21" t="s">
        <v>707</v>
      </c>
      <c r="F2064" s="21" t="s">
        <v>22841</v>
      </c>
    </row>
    <row r="2065" customFormat="false" ht="15" hidden="false" customHeight="false" outlineLevel="0" collapsed="false">
      <c r="B2065" s="19" t="s">
        <v>27427</v>
      </c>
      <c r="C2065" s="20" t="n">
        <f aca="false">ROUND(11.7/FX,2)</f>
        <v>1.63</v>
      </c>
      <c r="D2065" s="21" t="s">
        <v>724</v>
      </c>
      <c r="E2065" s="21" t="s">
        <v>761</v>
      </c>
      <c r="F2065" s="21" t="s">
        <v>22841</v>
      </c>
    </row>
    <row r="2066" customFormat="false" ht="15" hidden="false" customHeight="false" outlineLevel="0" collapsed="false">
      <c r="B2066" s="19" t="s">
        <v>27428</v>
      </c>
      <c r="C2066" s="20" t="n">
        <f aca="false">ROUND(12.35/FX,2)</f>
        <v>1.72</v>
      </c>
      <c r="D2066" s="21" t="s">
        <v>724</v>
      </c>
      <c r="E2066" s="21" t="s">
        <v>714</v>
      </c>
      <c r="F2066" s="21" t="s">
        <v>22841</v>
      </c>
    </row>
    <row r="2067" customFormat="false" ht="15" hidden="false" customHeight="false" outlineLevel="0" collapsed="false">
      <c r="B2067" s="19" t="s">
        <v>27429</v>
      </c>
      <c r="C2067" s="20" t="n">
        <f aca="false">ROUND(12.35/FX,2)</f>
        <v>1.72</v>
      </c>
      <c r="D2067" s="21" t="s">
        <v>724</v>
      </c>
      <c r="E2067" s="21" t="s">
        <v>4000</v>
      </c>
      <c r="F2067" s="21" t="s">
        <v>22841</v>
      </c>
    </row>
    <row r="2068" customFormat="false" ht="15" hidden="false" customHeight="false" outlineLevel="0" collapsed="false">
      <c r="B2068" s="19" t="s">
        <v>27430</v>
      </c>
      <c r="C2068" s="20" t="n">
        <f aca="false">ROUND(13/FX,2)</f>
        <v>1.81</v>
      </c>
      <c r="D2068" s="21" t="s">
        <v>724</v>
      </c>
      <c r="E2068" s="21" t="s">
        <v>3247</v>
      </c>
      <c r="F2068" s="21" t="s">
        <v>22841</v>
      </c>
    </row>
    <row r="2069" customFormat="false" ht="15" hidden="false" customHeight="false" outlineLevel="0" collapsed="false">
      <c r="B2069" s="19" t="s">
        <v>27431</v>
      </c>
      <c r="C2069" s="20" t="n">
        <f aca="false">ROUND(13.65/FX,2)</f>
        <v>1.9</v>
      </c>
      <c r="D2069" s="21" t="s">
        <v>724</v>
      </c>
      <c r="E2069" s="21" t="s">
        <v>3317</v>
      </c>
      <c r="F2069" s="21" t="s">
        <v>22841</v>
      </c>
    </row>
    <row r="2070" customFormat="false" ht="15" hidden="false" customHeight="false" outlineLevel="0" collapsed="false">
      <c r="B2070" s="19" t="s">
        <v>27432</v>
      </c>
      <c r="C2070" s="20" t="n">
        <f aca="false">ROUND(14.3/FX,2)</f>
        <v>1.99</v>
      </c>
      <c r="D2070" s="21" t="s">
        <v>724</v>
      </c>
      <c r="E2070" s="21" t="s">
        <v>784</v>
      </c>
      <c r="F2070" s="21" t="s">
        <v>22841</v>
      </c>
    </row>
    <row r="2071" customFormat="false" ht="15" hidden="false" customHeight="false" outlineLevel="0" collapsed="false">
      <c r="B2071" s="19" t="s">
        <v>27433</v>
      </c>
      <c r="C2071" s="20" t="n">
        <f aca="false">ROUND(14.95/FX,2)</f>
        <v>2.08</v>
      </c>
      <c r="D2071" s="21" t="s">
        <v>724</v>
      </c>
      <c r="E2071" s="21" t="s">
        <v>3328</v>
      </c>
      <c r="F2071" s="21" t="s">
        <v>22841</v>
      </c>
    </row>
    <row r="2072" customFormat="false" ht="15" hidden="false" customHeight="false" outlineLevel="0" collapsed="false">
      <c r="B2072" s="19" t="s">
        <v>27434</v>
      </c>
      <c r="C2072" s="20" t="n">
        <f aca="false">ROUND(15.6/FX,2)</f>
        <v>2.17</v>
      </c>
      <c r="D2072" s="21" t="s">
        <v>724</v>
      </c>
      <c r="E2072" s="21" t="s">
        <v>6246</v>
      </c>
      <c r="F2072" s="21" t="s">
        <v>22841</v>
      </c>
    </row>
    <row r="2073" customFormat="false" ht="15" hidden="false" customHeight="false" outlineLevel="0" collapsed="false">
      <c r="B2073" s="19" t="s">
        <v>27435</v>
      </c>
      <c r="C2073" s="20" t="n">
        <f aca="false">ROUND(16.9/FX,2)</f>
        <v>2.35</v>
      </c>
      <c r="D2073" s="21" t="s">
        <v>724</v>
      </c>
      <c r="E2073" s="21" t="s">
        <v>7358</v>
      </c>
      <c r="F2073" s="21" t="s">
        <v>22841</v>
      </c>
    </row>
    <row r="2074" customFormat="false" ht="15" hidden="false" customHeight="false" outlineLevel="0" collapsed="false">
      <c r="B2074" s="19" t="s">
        <v>27436</v>
      </c>
      <c r="C2074" s="20" t="n">
        <f aca="false">ROUND(18.2/FX,2)</f>
        <v>2.53</v>
      </c>
      <c r="D2074" s="21" t="s">
        <v>724</v>
      </c>
      <c r="E2074" s="21" t="s">
        <v>2911</v>
      </c>
      <c r="F2074" s="21" t="s">
        <v>22841</v>
      </c>
    </row>
    <row r="2075" customFormat="false" ht="15" hidden="false" customHeight="false" outlineLevel="0" collapsed="false">
      <c r="B2075" s="19" t="s">
        <v>27437</v>
      </c>
      <c r="C2075" s="20" t="n">
        <f aca="false">ROUND(19.5/FX,2)</f>
        <v>2.71</v>
      </c>
      <c r="D2075" s="21" t="s">
        <v>724</v>
      </c>
      <c r="E2075" s="21" t="s">
        <v>7275</v>
      </c>
      <c r="F2075" s="21" t="s">
        <v>22841</v>
      </c>
    </row>
    <row r="2076" customFormat="false" ht="15" hidden="false" customHeight="false" outlineLevel="0" collapsed="false">
      <c r="B2076" s="19" t="s">
        <v>27438</v>
      </c>
      <c r="C2076" s="20" t="n">
        <f aca="false">ROUND(20.8/FX,2)</f>
        <v>2.89</v>
      </c>
      <c r="D2076" s="21" t="s">
        <v>724</v>
      </c>
      <c r="E2076" s="21" t="s">
        <v>2961</v>
      </c>
      <c r="F2076" s="21" t="s">
        <v>22841</v>
      </c>
    </row>
    <row r="2077" customFormat="false" ht="15" hidden="false" customHeight="false" outlineLevel="0" collapsed="false">
      <c r="B2077" s="19" t="s">
        <v>27439</v>
      </c>
      <c r="C2077" s="20" t="n">
        <f aca="false">ROUND(10.4/FX,2)</f>
        <v>1.44</v>
      </c>
      <c r="D2077" s="21" t="s">
        <v>724</v>
      </c>
      <c r="E2077" s="21" t="s">
        <v>707</v>
      </c>
      <c r="F2077" s="21" t="s">
        <v>11411</v>
      </c>
    </row>
    <row r="2078" customFormat="false" ht="15" hidden="false" customHeight="false" outlineLevel="0" collapsed="false">
      <c r="B2078" s="19" t="s">
        <v>27440</v>
      </c>
      <c r="C2078" s="20" t="n">
        <f aca="false">ROUND(18.2/FX,2)</f>
        <v>2.53</v>
      </c>
      <c r="D2078" s="21" t="s">
        <v>724</v>
      </c>
      <c r="E2078" s="21" t="s">
        <v>2600</v>
      </c>
      <c r="F2078" s="21" t="s">
        <v>11411</v>
      </c>
    </row>
    <row r="2079" customFormat="false" ht="15" hidden="false" customHeight="false" outlineLevel="0" collapsed="false">
      <c r="B2079" s="19" t="s">
        <v>27441</v>
      </c>
      <c r="C2079" s="20" t="n">
        <f aca="false">ROUND(10.4/FX,2)</f>
        <v>1.44</v>
      </c>
      <c r="D2079" s="21" t="s">
        <v>724</v>
      </c>
      <c r="E2079" s="21" t="s">
        <v>761</v>
      </c>
      <c r="F2079" s="21" t="s">
        <v>11411</v>
      </c>
    </row>
    <row r="2080" customFormat="false" ht="15" hidden="false" customHeight="false" outlineLevel="0" collapsed="false">
      <c r="B2080" s="19" t="s">
        <v>27442</v>
      </c>
      <c r="C2080" s="20" t="n">
        <f aca="false">ROUND(11.05/FX,2)</f>
        <v>1.53</v>
      </c>
      <c r="D2080" s="21" t="s">
        <v>724</v>
      </c>
      <c r="E2080" s="21" t="s">
        <v>714</v>
      </c>
      <c r="F2080" s="21" t="s">
        <v>11411</v>
      </c>
    </row>
    <row r="2081" customFormat="false" ht="15" hidden="false" customHeight="false" outlineLevel="0" collapsed="false">
      <c r="B2081" s="19" t="s">
        <v>27443</v>
      </c>
      <c r="C2081" s="20" t="n">
        <f aca="false">ROUND(11.05/FX,2)</f>
        <v>1.53</v>
      </c>
      <c r="D2081" s="21" t="s">
        <v>724</v>
      </c>
      <c r="E2081" s="21" t="s">
        <v>4000</v>
      </c>
      <c r="F2081" s="21" t="s">
        <v>11411</v>
      </c>
    </row>
    <row r="2082" customFormat="false" ht="15" hidden="false" customHeight="false" outlineLevel="0" collapsed="false">
      <c r="B2082" s="19" t="s">
        <v>27444</v>
      </c>
      <c r="C2082" s="20" t="n">
        <f aca="false">ROUND(11.7/FX,2)</f>
        <v>1.63</v>
      </c>
      <c r="D2082" s="21" t="s">
        <v>724</v>
      </c>
      <c r="E2082" s="21" t="s">
        <v>3247</v>
      </c>
      <c r="F2082" s="21" t="s">
        <v>11411</v>
      </c>
    </row>
    <row r="2083" customFormat="false" ht="15" hidden="false" customHeight="false" outlineLevel="0" collapsed="false">
      <c r="B2083" s="19" t="s">
        <v>27445</v>
      </c>
      <c r="C2083" s="20" t="n">
        <f aca="false">ROUND(11.7/FX,2)</f>
        <v>1.63</v>
      </c>
      <c r="D2083" s="21" t="s">
        <v>724</v>
      </c>
      <c r="E2083" s="21" t="s">
        <v>3317</v>
      </c>
      <c r="F2083" s="21" t="s">
        <v>11411</v>
      </c>
    </row>
    <row r="2084" customFormat="false" ht="15" hidden="false" customHeight="false" outlineLevel="0" collapsed="false">
      <c r="B2084" s="19" t="s">
        <v>27446</v>
      </c>
      <c r="C2084" s="20" t="n">
        <f aca="false">ROUND(12.35/FX,2)</f>
        <v>1.72</v>
      </c>
      <c r="D2084" s="21" t="s">
        <v>724</v>
      </c>
      <c r="E2084" s="21" t="s">
        <v>784</v>
      </c>
      <c r="F2084" s="21" t="s">
        <v>11411</v>
      </c>
    </row>
    <row r="2085" customFormat="false" ht="15" hidden="false" customHeight="false" outlineLevel="0" collapsed="false">
      <c r="B2085" s="19" t="s">
        <v>27447</v>
      </c>
      <c r="C2085" s="20" t="n">
        <f aca="false">ROUND(12.35/FX,2)</f>
        <v>1.72</v>
      </c>
      <c r="D2085" s="21" t="s">
        <v>724</v>
      </c>
      <c r="E2085" s="21" t="s">
        <v>3328</v>
      </c>
      <c r="F2085" s="21" t="s">
        <v>11411</v>
      </c>
    </row>
    <row r="2086" customFormat="false" ht="15" hidden="false" customHeight="false" outlineLevel="0" collapsed="false">
      <c r="B2086" s="19" t="s">
        <v>27448</v>
      </c>
      <c r="C2086" s="20" t="n">
        <f aca="false">ROUND(13/FX,2)</f>
        <v>1.81</v>
      </c>
      <c r="D2086" s="21" t="s">
        <v>724</v>
      </c>
      <c r="E2086" s="21" t="s">
        <v>6246</v>
      </c>
      <c r="F2086" s="21" t="s">
        <v>11411</v>
      </c>
    </row>
    <row r="2087" customFormat="false" ht="15" hidden="false" customHeight="false" outlineLevel="0" collapsed="false">
      <c r="B2087" s="19" t="s">
        <v>27449</v>
      </c>
      <c r="C2087" s="20" t="n">
        <f aca="false">ROUND(13/FX,2)</f>
        <v>1.81</v>
      </c>
      <c r="D2087" s="21" t="s">
        <v>724</v>
      </c>
      <c r="E2087" s="21" t="s">
        <v>7358</v>
      </c>
      <c r="F2087" s="21" t="s">
        <v>11411</v>
      </c>
    </row>
    <row r="2088" customFormat="false" ht="15" hidden="false" customHeight="false" outlineLevel="0" collapsed="false">
      <c r="B2088" s="19" t="s">
        <v>27450</v>
      </c>
      <c r="C2088" s="20" t="n">
        <f aca="false">ROUND(13.65/FX,2)</f>
        <v>1.9</v>
      </c>
      <c r="D2088" s="21" t="s">
        <v>724</v>
      </c>
      <c r="E2088" s="21" t="s">
        <v>2911</v>
      </c>
      <c r="F2088" s="21" t="s">
        <v>11411</v>
      </c>
    </row>
    <row r="2089" customFormat="false" ht="15" hidden="false" customHeight="false" outlineLevel="0" collapsed="false">
      <c r="B2089" s="19" t="s">
        <v>27451</v>
      </c>
      <c r="C2089" s="20" t="n">
        <f aca="false">ROUND(14.3/FX,2)</f>
        <v>1.99</v>
      </c>
      <c r="D2089" s="21" t="s">
        <v>724</v>
      </c>
      <c r="E2089" s="21" t="s">
        <v>2961</v>
      </c>
      <c r="F2089" s="21" t="s">
        <v>11411</v>
      </c>
    </row>
    <row r="2090" customFormat="false" ht="15" hidden="false" customHeight="false" outlineLevel="0" collapsed="false">
      <c r="B2090" s="19" t="s">
        <v>27452</v>
      </c>
      <c r="C2090" s="20" t="n">
        <f aca="false">ROUND(15.6/FX,2)</f>
        <v>2.17</v>
      </c>
      <c r="D2090" s="21" t="s">
        <v>724</v>
      </c>
      <c r="E2090" s="21" t="s">
        <v>3011</v>
      </c>
      <c r="F2090" s="21" t="s">
        <v>11411</v>
      </c>
    </row>
    <row r="2091" customFormat="false" ht="15" hidden="false" customHeight="false" outlineLevel="0" collapsed="false">
      <c r="B2091" s="19" t="s">
        <v>27453</v>
      </c>
      <c r="C2091" s="20" t="n">
        <f aca="false">ROUND(16.9/FX,2)</f>
        <v>2.35</v>
      </c>
      <c r="D2091" s="21" t="s">
        <v>724</v>
      </c>
      <c r="E2091" s="21" t="s">
        <v>3061</v>
      </c>
      <c r="F2091" s="21" t="s">
        <v>11411</v>
      </c>
    </row>
    <row r="2092" customFormat="false" ht="15" hidden="false" customHeight="false" outlineLevel="0" collapsed="false">
      <c r="B2092" s="19" t="s">
        <v>27454</v>
      </c>
      <c r="C2092" s="20" t="n">
        <f aca="false">ROUND(16.9/FX,2)</f>
        <v>2.35</v>
      </c>
      <c r="D2092" s="21" t="s">
        <v>724</v>
      </c>
      <c r="E2092" s="21" t="s">
        <v>3111</v>
      </c>
      <c r="F2092" s="21" t="s">
        <v>11411</v>
      </c>
    </row>
    <row r="2093" customFormat="false" ht="15" hidden="false" customHeight="false" outlineLevel="0" collapsed="false">
      <c r="B2093" s="19" t="s">
        <v>27455</v>
      </c>
      <c r="C2093" s="20" t="n">
        <f aca="false">ROUND(10.4/FX,2)</f>
        <v>1.44</v>
      </c>
      <c r="D2093" s="21" t="s">
        <v>724</v>
      </c>
      <c r="E2093" s="21" t="s">
        <v>707</v>
      </c>
      <c r="F2093" s="21" t="s">
        <v>11413</v>
      </c>
    </row>
    <row r="2094" customFormat="false" ht="15" hidden="false" customHeight="false" outlineLevel="0" collapsed="false">
      <c r="B2094" s="19" t="s">
        <v>27456</v>
      </c>
      <c r="C2094" s="20" t="n">
        <f aca="false">ROUND(9.75/FX,2)</f>
        <v>1.35</v>
      </c>
      <c r="D2094" s="21" t="s">
        <v>724</v>
      </c>
      <c r="E2094" s="21" t="s">
        <v>761</v>
      </c>
      <c r="F2094" s="21" t="s">
        <v>11413</v>
      </c>
    </row>
    <row r="2095" customFormat="false" ht="15" hidden="false" customHeight="false" outlineLevel="0" collapsed="false">
      <c r="B2095" s="19" t="s">
        <v>27457</v>
      </c>
      <c r="C2095" s="20" t="n">
        <f aca="false">ROUND(11.05/FX,2)</f>
        <v>1.53</v>
      </c>
      <c r="D2095" s="21" t="s">
        <v>724</v>
      </c>
      <c r="E2095" s="21" t="s">
        <v>714</v>
      </c>
      <c r="F2095" s="21" t="s">
        <v>11413</v>
      </c>
    </row>
    <row r="2096" customFormat="false" ht="15" hidden="false" customHeight="false" outlineLevel="0" collapsed="false">
      <c r="B2096" s="19" t="s">
        <v>27458</v>
      </c>
      <c r="C2096" s="20" t="n">
        <f aca="false">ROUND(9.88/FX,2)</f>
        <v>1.37</v>
      </c>
      <c r="D2096" s="21" t="s">
        <v>724</v>
      </c>
      <c r="E2096" s="21" t="s">
        <v>3833</v>
      </c>
      <c r="F2096" s="21" t="s">
        <v>11413</v>
      </c>
    </row>
    <row r="2097" customFormat="false" ht="15" hidden="false" customHeight="false" outlineLevel="0" collapsed="false">
      <c r="B2097" s="19" t="s">
        <v>27459</v>
      </c>
      <c r="C2097" s="20" t="n">
        <f aca="false">ROUND(11.05/FX,2)</f>
        <v>1.53</v>
      </c>
      <c r="D2097" s="21" t="s">
        <v>724</v>
      </c>
      <c r="E2097" s="21" t="s">
        <v>4000</v>
      </c>
      <c r="F2097" s="21" t="s">
        <v>11413</v>
      </c>
    </row>
    <row r="2098" customFormat="false" ht="15" hidden="false" customHeight="false" outlineLevel="0" collapsed="false">
      <c r="B2098" s="19" t="s">
        <v>27460</v>
      </c>
      <c r="C2098" s="20" t="n">
        <f aca="false">ROUND(10.01/FX,2)</f>
        <v>1.39</v>
      </c>
      <c r="D2098" s="21" t="s">
        <v>724</v>
      </c>
      <c r="E2098" s="21" t="s">
        <v>3247</v>
      </c>
      <c r="F2098" s="21" t="s">
        <v>11413</v>
      </c>
    </row>
    <row r="2099" customFormat="false" ht="15" hidden="false" customHeight="false" outlineLevel="0" collapsed="false">
      <c r="B2099" s="19" t="s">
        <v>27461</v>
      </c>
      <c r="C2099" s="20" t="n">
        <f aca="false">ROUND(11.7/FX,2)</f>
        <v>1.63</v>
      </c>
      <c r="D2099" s="21" t="s">
        <v>724</v>
      </c>
      <c r="E2099" s="21" t="s">
        <v>3317</v>
      </c>
      <c r="F2099" s="21" t="s">
        <v>11413</v>
      </c>
    </row>
    <row r="2100" customFormat="false" ht="15" hidden="false" customHeight="false" outlineLevel="0" collapsed="false">
      <c r="B2100" s="19" t="s">
        <v>27462</v>
      </c>
      <c r="C2100" s="20" t="n">
        <f aca="false">ROUND(12.35/FX,2)</f>
        <v>1.72</v>
      </c>
      <c r="D2100" s="21" t="s">
        <v>724</v>
      </c>
      <c r="E2100" s="21" t="s">
        <v>784</v>
      </c>
      <c r="F2100" s="21" t="s">
        <v>11413</v>
      </c>
    </row>
    <row r="2101" customFormat="false" ht="15" hidden="false" customHeight="false" outlineLevel="0" collapsed="false">
      <c r="B2101" s="19" t="s">
        <v>27463</v>
      </c>
      <c r="C2101" s="20" t="n">
        <f aca="false">ROUND(12.35/FX,2)</f>
        <v>1.72</v>
      </c>
      <c r="D2101" s="21" t="s">
        <v>724</v>
      </c>
      <c r="E2101" s="21" t="s">
        <v>3328</v>
      </c>
      <c r="F2101" s="21" t="s">
        <v>11413</v>
      </c>
    </row>
    <row r="2102" customFormat="false" ht="15" hidden="false" customHeight="false" outlineLevel="0" collapsed="false">
      <c r="B2102" s="19" t="s">
        <v>27464</v>
      </c>
      <c r="C2102" s="20" t="n">
        <f aca="false">ROUND(13/FX,2)</f>
        <v>1.81</v>
      </c>
      <c r="D2102" s="21" t="s">
        <v>724</v>
      </c>
      <c r="E2102" s="21" t="s">
        <v>6246</v>
      </c>
      <c r="F2102" s="21" t="s">
        <v>11413</v>
      </c>
    </row>
    <row r="2103" customFormat="false" ht="15" hidden="false" customHeight="false" outlineLevel="0" collapsed="false">
      <c r="B2103" s="19" t="s">
        <v>27465</v>
      </c>
      <c r="C2103" s="20" t="n">
        <f aca="false">ROUND(13/FX,2)</f>
        <v>1.81</v>
      </c>
      <c r="D2103" s="21" t="s">
        <v>724</v>
      </c>
      <c r="E2103" s="21" t="s">
        <v>7358</v>
      </c>
      <c r="F2103" s="21" t="s">
        <v>11413</v>
      </c>
    </row>
    <row r="2104" customFormat="false" ht="15" hidden="false" customHeight="false" outlineLevel="0" collapsed="false">
      <c r="B2104" s="19" t="s">
        <v>27466</v>
      </c>
      <c r="C2104" s="20" t="n">
        <f aca="false">ROUND(13.65/FX,2)</f>
        <v>1.9</v>
      </c>
      <c r="D2104" s="21" t="s">
        <v>724</v>
      </c>
      <c r="E2104" s="21" t="s">
        <v>2911</v>
      </c>
      <c r="F2104" s="21" t="s">
        <v>11413</v>
      </c>
    </row>
    <row r="2105" customFormat="false" ht="15" hidden="false" customHeight="false" outlineLevel="0" collapsed="false">
      <c r="B2105" s="19" t="s">
        <v>27467</v>
      </c>
      <c r="C2105" s="20" t="n">
        <f aca="false">ROUND(14.3/FX,2)</f>
        <v>1.99</v>
      </c>
      <c r="D2105" s="21" t="s">
        <v>724</v>
      </c>
      <c r="E2105" s="21" t="s">
        <v>7275</v>
      </c>
      <c r="F2105" s="21" t="s">
        <v>11413</v>
      </c>
    </row>
    <row r="2106" customFormat="false" ht="15" hidden="false" customHeight="false" outlineLevel="0" collapsed="false">
      <c r="B2106" s="19" t="s">
        <v>27468</v>
      </c>
      <c r="C2106" s="20" t="n">
        <f aca="false">ROUND(15.6/FX,2)</f>
        <v>2.17</v>
      </c>
      <c r="D2106" s="21" t="s">
        <v>724</v>
      </c>
      <c r="E2106" s="21" t="s">
        <v>2961</v>
      </c>
      <c r="F2106" s="21" t="s">
        <v>11413</v>
      </c>
    </row>
    <row r="2107" customFormat="false" ht="15" hidden="false" customHeight="false" outlineLevel="0" collapsed="false">
      <c r="B2107" s="19" t="s">
        <v>27469</v>
      </c>
      <c r="C2107" s="20" t="n">
        <f aca="false">ROUND(11.05/FX,2)</f>
        <v>1.53</v>
      </c>
      <c r="D2107" s="21" t="s">
        <v>724</v>
      </c>
      <c r="E2107" s="21" t="s">
        <v>707</v>
      </c>
      <c r="F2107" s="21" t="s">
        <v>11415</v>
      </c>
    </row>
    <row r="2108" customFormat="false" ht="15" hidden="false" customHeight="false" outlineLevel="0" collapsed="false">
      <c r="B2108" s="19" t="s">
        <v>27470</v>
      </c>
      <c r="C2108" s="20" t="n">
        <f aca="false">ROUND(10.27/FX,2)</f>
        <v>1.43</v>
      </c>
      <c r="D2108" s="21" t="s">
        <v>724</v>
      </c>
      <c r="E2108" s="21" t="s">
        <v>761</v>
      </c>
      <c r="F2108" s="21" t="s">
        <v>11415</v>
      </c>
    </row>
    <row r="2109" customFormat="false" ht="15" hidden="false" customHeight="false" outlineLevel="0" collapsed="false">
      <c r="B2109" s="19" t="s">
        <v>27471</v>
      </c>
      <c r="C2109" s="20" t="n">
        <f aca="false">ROUND(11.7/FX,2)</f>
        <v>1.63</v>
      </c>
      <c r="D2109" s="21" t="s">
        <v>724</v>
      </c>
      <c r="E2109" s="21" t="s">
        <v>714</v>
      </c>
      <c r="F2109" s="21" t="s">
        <v>11415</v>
      </c>
    </row>
    <row r="2110" customFormat="false" ht="15" hidden="false" customHeight="false" outlineLevel="0" collapsed="false">
      <c r="B2110" s="19" t="s">
        <v>27472</v>
      </c>
      <c r="C2110" s="20" t="n">
        <f aca="false">ROUND(10.4/FX,2)</f>
        <v>1.44</v>
      </c>
      <c r="D2110" s="21" t="s">
        <v>724</v>
      </c>
      <c r="E2110" s="21" t="s">
        <v>3833</v>
      </c>
      <c r="F2110" s="21" t="s">
        <v>11415</v>
      </c>
    </row>
    <row r="2111" customFormat="false" ht="15" hidden="false" customHeight="false" outlineLevel="0" collapsed="false">
      <c r="B2111" s="19" t="s">
        <v>27473</v>
      </c>
      <c r="C2111" s="20" t="n">
        <f aca="false">ROUND(11.7/FX,2)</f>
        <v>1.63</v>
      </c>
      <c r="D2111" s="21" t="s">
        <v>724</v>
      </c>
      <c r="E2111" s="21" t="s">
        <v>4000</v>
      </c>
      <c r="F2111" s="21" t="s">
        <v>11415</v>
      </c>
    </row>
    <row r="2112" customFormat="false" ht="15" hidden="false" customHeight="false" outlineLevel="0" collapsed="false">
      <c r="B2112" s="19" t="s">
        <v>27474</v>
      </c>
      <c r="C2112" s="20" t="n">
        <f aca="false">ROUND(12.35/FX,2)</f>
        <v>1.72</v>
      </c>
      <c r="D2112" s="21" t="s">
        <v>724</v>
      </c>
      <c r="E2112" s="21" t="s">
        <v>3247</v>
      </c>
      <c r="F2112" s="21" t="s">
        <v>11415</v>
      </c>
    </row>
    <row r="2113" customFormat="false" ht="15" hidden="false" customHeight="false" outlineLevel="0" collapsed="false">
      <c r="B2113" s="19" t="s">
        <v>27475</v>
      </c>
      <c r="C2113" s="20" t="n">
        <f aca="false">ROUND(10.66/FX,2)</f>
        <v>1.48</v>
      </c>
      <c r="D2113" s="21" t="s">
        <v>724</v>
      </c>
      <c r="E2113" s="21" t="s">
        <v>5097</v>
      </c>
      <c r="F2113" s="21" t="s">
        <v>11415</v>
      </c>
    </row>
    <row r="2114" customFormat="false" ht="15" hidden="false" customHeight="false" outlineLevel="0" collapsed="false">
      <c r="B2114" s="19" t="s">
        <v>27476</v>
      </c>
      <c r="C2114" s="20" t="n">
        <f aca="false">ROUND(12.35/FX,2)</f>
        <v>1.72</v>
      </c>
      <c r="D2114" s="21" t="s">
        <v>724</v>
      </c>
      <c r="E2114" s="21" t="s">
        <v>3317</v>
      </c>
      <c r="F2114" s="21" t="s">
        <v>11415</v>
      </c>
    </row>
    <row r="2115" customFormat="false" ht="15" hidden="false" customHeight="false" outlineLevel="0" collapsed="false">
      <c r="B2115" s="19" t="s">
        <v>27477</v>
      </c>
      <c r="C2115" s="20" t="n">
        <f aca="false">ROUND(13/FX,2)</f>
        <v>1.81</v>
      </c>
      <c r="D2115" s="21" t="s">
        <v>724</v>
      </c>
      <c r="E2115" s="21" t="s">
        <v>784</v>
      </c>
      <c r="F2115" s="21" t="s">
        <v>11415</v>
      </c>
    </row>
    <row r="2116" customFormat="false" ht="15" hidden="false" customHeight="false" outlineLevel="0" collapsed="false">
      <c r="B2116" s="19" t="s">
        <v>27478</v>
      </c>
      <c r="C2116" s="20" t="n">
        <f aca="false">ROUND(13.65/FX,2)</f>
        <v>1.9</v>
      </c>
      <c r="D2116" s="21" t="s">
        <v>724</v>
      </c>
      <c r="E2116" s="21" t="s">
        <v>3328</v>
      </c>
      <c r="F2116" s="21" t="s">
        <v>11415</v>
      </c>
    </row>
    <row r="2117" customFormat="false" ht="15" hidden="false" customHeight="false" outlineLevel="0" collapsed="false">
      <c r="B2117" s="19" t="s">
        <v>27479</v>
      </c>
      <c r="C2117" s="20" t="n">
        <f aca="false">ROUND(14.3/FX,2)</f>
        <v>1.99</v>
      </c>
      <c r="D2117" s="21" t="s">
        <v>724</v>
      </c>
      <c r="E2117" s="21" t="s">
        <v>6246</v>
      </c>
      <c r="F2117" s="21" t="s">
        <v>11415</v>
      </c>
    </row>
    <row r="2118" customFormat="false" ht="15" hidden="false" customHeight="false" outlineLevel="0" collapsed="false">
      <c r="B2118" s="19" t="s">
        <v>27480</v>
      </c>
      <c r="C2118" s="20" t="n">
        <f aca="false">ROUND(15.6/FX,2)</f>
        <v>2.17</v>
      </c>
      <c r="D2118" s="21" t="s">
        <v>724</v>
      </c>
      <c r="E2118" s="21" t="s">
        <v>7358</v>
      </c>
      <c r="F2118" s="21" t="s">
        <v>11415</v>
      </c>
    </row>
    <row r="2119" customFormat="false" ht="15" hidden="false" customHeight="false" outlineLevel="0" collapsed="false">
      <c r="B2119" s="19" t="s">
        <v>27481</v>
      </c>
      <c r="C2119" s="20" t="n">
        <f aca="false">ROUND(16.9/FX,2)</f>
        <v>2.35</v>
      </c>
      <c r="D2119" s="21" t="s">
        <v>724</v>
      </c>
      <c r="E2119" s="21" t="s">
        <v>2911</v>
      </c>
      <c r="F2119" s="21" t="s">
        <v>11415</v>
      </c>
    </row>
    <row r="2120" customFormat="false" ht="15" hidden="false" customHeight="false" outlineLevel="0" collapsed="false">
      <c r="B2120" s="19" t="s">
        <v>27482</v>
      </c>
      <c r="C2120" s="20" t="n">
        <f aca="false">ROUND(18.2/FX,2)</f>
        <v>2.53</v>
      </c>
      <c r="D2120" s="21" t="s">
        <v>724</v>
      </c>
      <c r="E2120" s="21" t="s">
        <v>7275</v>
      </c>
      <c r="F2120" s="21" t="s">
        <v>11415</v>
      </c>
    </row>
    <row r="2121" customFormat="false" ht="15" hidden="false" customHeight="false" outlineLevel="0" collapsed="false">
      <c r="B2121" s="19" t="s">
        <v>27483</v>
      </c>
      <c r="C2121" s="20" t="n">
        <f aca="false">ROUND(19.5/FX,2)</f>
        <v>2.71</v>
      </c>
      <c r="D2121" s="21" t="s">
        <v>724</v>
      </c>
      <c r="E2121" s="21" t="s">
        <v>2961</v>
      </c>
      <c r="F2121" s="21" t="s">
        <v>11415</v>
      </c>
    </row>
    <row r="2122" customFormat="false" ht="15" hidden="false" customHeight="false" outlineLevel="0" collapsed="false">
      <c r="B2122" s="19" t="s">
        <v>27484</v>
      </c>
      <c r="C2122" s="20" t="n">
        <f aca="false">ROUND(9.62/FX,2)</f>
        <v>1.34</v>
      </c>
      <c r="D2122" s="21" t="s">
        <v>724</v>
      </c>
      <c r="E2122" s="21" t="s">
        <v>761</v>
      </c>
      <c r="F2122" s="21" t="s">
        <v>26884</v>
      </c>
    </row>
    <row r="2123" customFormat="false" ht="15" hidden="false" customHeight="false" outlineLevel="0" collapsed="false">
      <c r="B2123" s="19" t="s">
        <v>27485</v>
      </c>
      <c r="C2123" s="20" t="n">
        <f aca="false">ROUND(9.75/FX,2)</f>
        <v>1.35</v>
      </c>
      <c r="D2123" s="21" t="s">
        <v>724</v>
      </c>
      <c r="E2123" s="21" t="s">
        <v>3833</v>
      </c>
      <c r="F2123" s="21" t="s">
        <v>26884</v>
      </c>
    </row>
    <row r="2124" customFormat="false" ht="15" hidden="false" customHeight="false" outlineLevel="0" collapsed="false">
      <c r="B2124" s="19" t="s">
        <v>27486</v>
      </c>
      <c r="C2124" s="20" t="n">
        <f aca="false">ROUND(11.7/FX,2)</f>
        <v>1.63</v>
      </c>
      <c r="D2124" s="21" t="s">
        <v>7884</v>
      </c>
      <c r="E2124" s="21" t="s">
        <v>707</v>
      </c>
      <c r="F2124" s="21" t="s">
        <v>22841</v>
      </c>
    </row>
    <row r="2125" customFormat="false" ht="15" hidden="false" customHeight="false" outlineLevel="0" collapsed="false">
      <c r="B2125" s="19" t="s">
        <v>27487</v>
      </c>
      <c r="C2125" s="20" t="n">
        <f aca="false">ROUND(11.7/FX,2)</f>
        <v>1.63</v>
      </c>
      <c r="D2125" s="21" t="s">
        <v>7884</v>
      </c>
      <c r="E2125" s="21" t="s">
        <v>761</v>
      </c>
      <c r="F2125" s="21" t="s">
        <v>22841</v>
      </c>
    </row>
    <row r="2126" customFormat="false" ht="15" hidden="false" customHeight="false" outlineLevel="0" collapsed="false">
      <c r="B2126" s="19" t="s">
        <v>27488</v>
      </c>
      <c r="C2126" s="20" t="n">
        <f aca="false">ROUND(12.35/FX,2)</f>
        <v>1.72</v>
      </c>
      <c r="D2126" s="21" t="s">
        <v>7884</v>
      </c>
      <c r="E2126" s="21" t="s">
        <v>714</v>
      </c>
      <c r="F2126" s="21" t="s">
        <v>22841</v>
      </c>
    </row>
    <row r="2127" customFormat="false" ht="15" hidden="false" customHeight="false" outlineLevel="0" collapsed="false">
      <c r="B2127" s="19" t="s">
        <v>27489</v>
      </c>
      <c r="C2127" s="20" t="n">
        <f aca="false">ROUND(12.35/FX,2)</f>
        <v>1.72</v>
      </c>
      <c r="D2127" s="21" t="s">
        <v>7884</v>
      </c>
      <c r="E2127" s="21" t="s">
        <v>4000</v>
      </c>
      <c r="F2127" s="21" t="s">
        <v>22841</v>
      </c>
    </row>
    <row r="2128" customFormat="false" ht="15" hidden="false" customHeight="false" outlineLevel="0" collapsed="false">
      <c r="B2128" s="19" t="s">
        <v>27490</v>
      </c>
      <c r="C2128" s="20" t="n">
        <f aca="false">ROUND(13/FX,2)</f>
        <v>1.81</v>
      </c>
      <c r="D2128" s="21" t="s">
        <v>7884</v>
      </c>
      <c r="E2128" s="21" t="s">
        <v>3247</v>
      </c>
      <c r="F2128" s="21" t="s">
        <v>22841</v>
      </c>
    </row>
    <row r="2129" customFormat="false" ht="15" hidden="false" customHeight="false" outlineLevel="0" collapsed="false">
      <c r="B2129" s="19" t="s">
        <v>27491</v>
      </c>
      <c r="C2129" s="20" t="n">
        <f aca="false">ROUND(13.65/FX,2)</f>
        <v>1.9</v>
      </c>
      <c r="D2129" s="21" t="s">
        <v>7884</v>
      </c>
      <c r="E2129" s="21" t="s">
        <v>3317</v>
      </c>
      <c r="F2129" s="21" t="s">
        <v>22841</v>
      </c>
    </row>
    <row r="2130" customFormat="false" ht="15" hidden="false" customHeight="false" outlineLevel="0" collapsed="false">
      <c r="B2130" s="19" t="s">
        <v>27492</v>
      </c>
      <c r="C2130" s="20" t="n">
        <f aca="false">ROUND(14.3/FX,2)</f>
        <v>1.99</v>
      </c>
      <c r="D2130" s="21" t="s">
        <v>7884</v>
      </c>
      <c r="E2130" s="21" t="s">
        <v>784</v>
      </c>
      <c r="F2130" s="21" t="s">
        <v>22841</v>
      </c>
    </row>
    <row r="2131" customFormat="false" ht="15" hidden="false" customHeight="false" outlineLevel="0" collapsed="false">
      <c r="B2131" s="19" t="s">
        <v>27493</v>
      </c>
      <c r="C2131" s="20" t="n">
        <f aca="false">ROUND(14.95/FX,2)</f>
        <v>2.08</v>
      </c>
      <c r="D2131" s="21" t="s">
        <v>7884</v>
      </c>
      <c r="E2131" s="21" t="s">
        <v>3328</v>
      </c>
      <c r="F2131" s="21" t="s">
        <v>22841</v>
      </c>
    </row>
    <row r="2132" customFormat="false" ht="15" hidden="false" customHeight="false" outlineLevel="0" collapsed="false">
      <c r="B2132" s="19" t="s">
        <v>27494</v>
      </c>
      <c r="C2132" s="20" t="n">
        <f aca="false">ROUND(15.6/FX,2)</f>
        <v>2.17</v>
      </c>
      <c r="D2132" s="21" t="s">
        <v>7884</v>
      </c>
      <c r="E2132" s="21" t="s">
        <v>6246</v>
      </c>
      <c r="F2132" s="21" t="s">
        <v>22841</v>
      </c>
    </row>
    <row r="2133" customFormat="false" ht="15" hidden="false" customHeight="false" outlineLevel="0" collapsed="false">
      <c r="B2133" s="19" t="s">
        <v>27495</v>
      </c>
      <c r="C2133" s="20" t="n">
        <f aca="false">ROUND(16.9/FX,2)</f>
        <v>2.35</v>
      </c>
      <c r="D2133" s="21" t="s">
        <v>7884</v>
      </c>
      <c r="E2133" s="21" t="s">
        <v>7358</v>
      </c>
      <c r="F2133" s="21" t="s">
        <v>22841</v>
      </c>
    </row>
    <row r="2134" customFormat="false" ht="15" hidden="false" customHeight="false" outlineLevel="0" collapsed="false">
      <c r="B2134" s="19" t="s">
        <v>27496</v>
      </c>
      <c r="C2134" s="20" t="n">
        <f aca="false">ROUND(18.2/FX,2)</f>
        <v>2.53</v>
      </c>
      <c r="D2134" s="21" t="s">
        <v>7884</v>
      </c>
      <c r="E2134" s="21" t="s">
        <v>2911</v>
      </c>
      <c r="F2134" s="21" t="s">
        <v>22841</v>
      </c>
    </row>
    <row r="2135" customFormat="false" ht="15" hidden="false" customHeight="false" outlineLevel="0" collapsed="false">
      <c r="B2135" s="19" t="s">
        <v>27497</v>
      </c>
      <c r="C2135" s="20" t="n">
        <f aca="false">ROUND(19.5/FX,2)</f>
        <v>2.71</v>
      </c>
      <c r="D2135" s="21" t="s">
        <v>7884</v>
      </c>
      <c r="E2135" s="21" t="s">
        <v>7275</v>
      </c>
      <c r="F2135" s="21" t="s">
        <v>22841</v>
      </c>
    </row>
    <row r="2136" customFormat="false" ht="15" hidden="false" customHeight="false" outlineLevel="0" collapsed="false">
      <c r="B2136" s="19" t="s">
        <v>27498</v>
      </c>
      <c r="C2136" s="20" t="n">
        <f aca="false">ROUND(20.8/FX,2)</f>
        <v>2.89</v>
      </c>
      <c r="D2136" s="21" t="s">
        <v>7884</v>
      </c>
      <c r="E2136" s="21" t="s">
        <v>2961</v>
      </c>
      <c r="F2136" s="21" t="s">
        <v>22841</v>
      </c>
    </row>
    <row r="2137" customFormat="false" ht="15" hidden="false" customHeight="false" outlineLevel="0" collapsed="false">
      <c r="B2137" s="19" t="s">
        <v>27499</v>
      </c>
      <c r="C2137" s="20" t="n">
        <f aca="false">ROUND(10.4/FX,2)</f>
        <v>1.44</v>
      </c>
      <c r="D2137" s="21" t="s">
        <v>7884</v>
      </c>
      <c r="E2137" s="21" t="s">
        <v>707</v>
      </c>
      <c r="F2137" s="21" t="s">
        <v>11411</v>
      </c>
    </row>
    <row r="2138" customFormat="false" ht="15" hidden="false" customHeight="false" outlineLevel="0" collapsed="false">
      <c r="B2138" s="19" t="s">
        <v>27500</v>
      </c>
      <c r="C2138" s="20" t="n">
        <f aca="false">ROUND(18.2/FX,2)</f>
        <v>2.53</v>
      </c>
      <c r="D2138" s="21" t="s">
        <v>7884</v>
      </c>
      <c r="E2138" s="21" t="s">
        <v>2600</v>
      </c>
      <c r="F2138" s="21" t="s">
        <v>11411</v>
      </c>
    </row>
    <row r="2139" customFormat="false" ht="15" hidden="false" customHeight="false" outlineLevel="0" collapsed="false">
      <c r="B2139" s="19" t="s">
        <v>27501</v>
      </c>
      <c r="C2139" s="20" t="n">
        <f aca="false">ROUND(10.4/FX,2)</f>
        <v>1.44</v>
      </c>
      <c r="D2139" s="21" t="s">
        <v>7884</v>
      </c>
      <c r="E2139" s="21" t="s">
        <v>761</v>
      </c>
      <c r="F2139" s="21" t="s">
        <v>11411</v>
      </c>
    </row>
    <row r="2140" customFormat="false" ht="15" hidden="false" customHeight="false" outlineLevel="0" collapsed="false">
      <c r="B2140" s="19" t="s">
        <v>27502</v>
      </c>
      <c r="C2140" s="20" t="n">
        <f aca="false">ROUND(11.05/FX,2)</f>
        <v>1.53</v>
      </c>
      <c r="D2140" s="21" t="s">
        <v>7884</v>
      </c>
      <c r="E2140" s="21" t="s">
        <v>714</v>
      </c>
      <c r="F2140" s="21" t="s">
        <v>11411</v>
      </c>
    </row>
    <row r="2141" customFormat="false" ht="15" hidden="false" customHeight="false" outlineLevel="0" collapsed="false">
      <c r="B2141" s="19" t="s">
        <v>27503</v>
      </c>
      <c r="C2141" s="20" t="n">
        <f aca="false">ROUND(11.05/FX,2)</f>
        <v>1.53</v>
      </c>
      <c r="D2141" s="21" t="s">
        <v>7884</v>
      </c>
      <c r="E2141" s="21" t="s">
        <v>4000</v>
      </c>
      <c r="F2141" s="21" t="s">
        <v>11411</v>
      </c>
    </row>
    <row r="2142" customFormat="false" ht="15" hidden="false" customHeight="false" outlineLevel="0" collapsed="false">
      <c r="B2142" s="19" t="s">
        <v>27504</v>
      </c>
      <c r="C2142" s="20" t="n">
        <f aca="false">ROUND(11.7/FX,2)</f>
        <v>1.63</v>
      </c>
      <c r="D2142" s="21" t="s">
        <v>7884</v>
      </c>
      <c r="E2142" s="21" t="s">
        <v>3247</v>
      </c>
      <c r="F2142" s="21" t="s">
        <v>11411</v>
      </c>
    </row>
    <row r="2143" customFormat="false" ht="15" hidden="false" customHeight="false" outlineLevel="0" collapsed="false">
      <c r="B2143" s="19" t="s">
        <v>27505</v>
      </c>
      <c r="C2143" s="20" t="n">
        <f aca="false">ROUND(11.7/FX,2)</f>
        <v>1.63</v>
      </c>
      <c r="D2143" s="21" t="s">
        <v>7884</v>
      </c>
      <c r="E2143" s="21" t="s">
        <v>3317</v>
      </c>
      <c r="F2143" s="21" t="s">
        <v>11411</v>
      </c>
    </row>
    <row r="2144" customFormat="false" ht="15" hidden="false" customHeight="false" outlineLevel="0" collapsed="false">
      <c r="B2144" s="19" t="s">
        <v>27506</v>
      </c>
      <c r="C2144" s="20" t="n">
        <f aca="false">ROUND(12.35/FX,2)</f>
        <v>1.72</v>
      </c>
      <c r="D2144" s="21" t="s">
        <v>7884</v>
      </c>
      <c r="E2144" s="21" t="s">
        <v>784</v>
      </c>
      <c r="F2144" s="21" t="s">
        <v>11411</v>
      </c>
    </row>
    <row r="2145" customFormat="false" ht="15" hidden="false" customHeight="false" outlineLevel="0" collapsed="false">
      <c r="B2145" s="19" t="s">
        <v>27507</v>
      </c>
      <c r="C2145" s="20" t="n">
        <f aca="false">ROUND(12.35/FX,2)</f>
        <v>1.72</v>
      </c>
      <c r="D2145" s="21" t="s">
        <v>7884</v>
      </c>
      <c r="E2145" s="21" t="s">
        <v>3328</v>
      </c>
      <c r="F2145" s="21" t="s">
        <v>11411</v>
      </c>
    </row>
    <row r="2146" customFormat="false" ht="15" hidden="false" customHeight="false" outlineLevel="0" collapsed="false">
      <c r="B2146" s="19" t="s">
        <v>27508</v>
      </c>
      <c r="C2146" s="20" t="n">
        <f aca="false">ROUND(13/FX,2)</f>
        <v>1.81</v>
      </c>
      <c r="D2146" s="21" t="s">
        <v>7884</v>
      </c>
      <c r="E2146" s="21" t="s">
        <v>6246</v>
      </c>
      <c r="F2146" s="21" t="s">
        <v>11411</v>
      </c>
    </row>
    <row r="2147" customFormat="false" ht="15" hidden="false" customHeight="false" outlineLevel="0" collapsed="false">
      <c r="B2147" s="19" t="s">
        <v>27509</v>
      </c>
      <c r="C2147" s="20" t="n">
        <f aca="false">ROUND(13/FX,2)</f>
        <v>1.81</v>
      </c>
      <c r="D2147" s="21" t="s">
        <v>7884</v>
      </c>
      <c r="E2147" s="21" t="s">
        <v>7358</v>
      </c>
      <c r="F2147" s="21" t="s">
        <v>11411</v>
      </c>
    </row>
    <row r="2148" customFormat="false" ht="15" hidden="false" customHeight="false" outlineLevel="0" collapsed="false">
      <c r="B2148" s="19" t="s">
        <v>27510</v>
      </c>
      <c r="C2148" s="20" t="n">
        <f aca="false">ROUND(13.65/FX,2)</f>
        <v>1.9</v>
      </c>
      <c r="D2148" s="21" t="s">
        <v>7884</v>
      </c>
      <c r="E2148" s="21" t="s">
        <v>2911</v>
      </c>
      <c r="F2148" s="21" t="s">
        <v>11411</v>
      </c>
    </row>
    <row r="2149" customFormat="false" ht="15" hidden="false" customHeight="false" outlineLevel="0" collapsed="false">
      <c r="B2149" s="19" t="s">
        <v>27511</v>
      </c>
      <c r="C2149" s="20" t="n">
        <f aca="false">ROUND(14.3/FX,2)</f>
        <v>1.99</v>
      </c>
      <c r="D2149" s="21" t="s">
        <v>7884</v>
      </c>
      <c r="E2149" s="21" t="s">
        <v>2961</v>
      </c>
      <c r="F2149" s="21" t="s">
        <v>11411</v>
      </c>
    </row>
    <row r="2150" customFormat="false" ht="15" hidden="false" customHeight="false" outlineLevel="0" collapsed="false">
      <c r="B2150" s="19" t="s">
        <v>27512</v>
      </c>
      <c r="C2150" s="20" t="n">
        <f aca="false">ROUND(15.6/FX,2)</f>
        <v>2.17</v>
      </c>
      <c r="D2150" s="21" t="s">
        <v>7884</v>
      </c>
      <c r="E2150" s="21" t="s">
        <v>3011</v>
      </c>
      <c r="F2150" s="21" t="s">
        <v>11411</v>
      </c>
    </row>
    <row r="2151" customFormat="false" ht="15" hidden="false" customHeight="false" outlineLevel="0" collapsed="false">
      <c r="B2151" s="19" t="s">
        <v>27513</v>
      </c>
      <c r="C2151" s="20" t="n">
        <f aca="false">ROUND(16.9/FX,2)</f>
        <v>2.35</v>
      </c>
      <c r="D2151" s="21" t="s">
        <v>7884</v>
      </c>
      <c r="E2151" s="21" t="s">
        <v>3061</v>
      </c>
      <c r="F2151" s="21" t="s">
        <v>11411</v>
      </c>
    </row>
    <row r="2152" customFormat="false" ht="15" hidden="false" customHeight="false" outlineLevel="0" collapsed="false">
      <c r="B2152" s="19" t="s">
        <v>27514</v>
      </c>
      <c r="C2152" s="20" t="n">
        <f aca="false">ROUND(16.9/FX,2)</f>
        <v>2.35</v>
      </c>
      <c r="D2152" s="21" t="s">
        <v>7884</v>
      </c>
      <c r="E2152" s="21" t="s">
        <v>3111</v>
      </c>
      <c r="F2152" s="21" t="s">
        <v>11411</v>
      </c>
    </row>
    <row r="2153" customFormat="false" ht="15" hidden="false" customHeight="false" outlineLevel="0" collapsed="false">
      <c r="B2153" s="19" t="s">
        <v>27515</v>
      </c>
      <c r="C2153" s="20" t="n">
        <f aca="false">ROUND(10.4/FX,2)</f>
        <v>1.44</v>
      </c>
      <c r="D2153" s="21" t="s">
        <v>7884</v>
      </c>
      <c r="E2153" s="21" t="s">
        <v>707</v>
      </c>
      <c r="F2153" s="21" t="s">
        <v>11413</v>
      </c>
    </row>
    <row r="2154" customFormat="false" ht="15" hidden="false" customHeight="false" outlineLevel="0" collapsed="false">
      <c r="B2154" s="19" t="s">
        <v>27516</v>
      </c>
      <c r="C2154" s="20" t="n">
        <f aca="false">ROUND(9.75/FX,2)</f>
        <v>1.35</v>
      </c>
      <c r="D2154" s="21" t="s">
        <v>7884</v>
      </c>
      <c r="E2154" s="21" t="s">
        <v>761</v>
      </c>
      <c r="F2154" s="21" t="s">
        <v>11413</v>
      </c>
    </row>
    <row r="2155" customFormat="false" ht="15" hidden="false" customHeight="false" outlineLevel="0" collapsed="false">
      <c r="B2155" s="19" t="s">
        <v>27517</v>
      </c>
      <c r="C2155" s="20" t="n">
        <f aca="false">ROUND(11.05/FX,2)</f>
        <v>1.53</v>
      </c>
      <c r="D2155" s="21" t="s">
        <v>7884</v>
      </c>
      <c r="E2155" s="21" t="s">
        <v>714</v>
      </c>
      <c r="F2155" s="21" t="s">
        <v>11413</v>
      </c>
    </row>
    <row r="2156" customFormat="false" ht="15" hidden="false" customHeight="false" outlineLevel="0" collapsed="false">
      <c r="B2156" s="19" t="s">
        <v>27518</v>
      </c>
      <c r="C2156" s="20" t="n">
        <f aca="false">ROUND(9.88/FX,2)</f>
        <v>1.37</v>
      </c>
      <c r="D2156" s="21" t="s">
        <v>7884</v>
      </c>
      <c r="E2156" s="21" t="s">
        <v>3833</v>
      </c>
      <c r="F2156" s="21" t="s">
        <v>11413</v>
      </c>
    </row>
    <row r="2157" customFormat="false" ht="15" hidden="false" customHeight="false" outlineLevel="0" collapsed="false">
      <c r="B2157" s="19" t="s">
        <v>27519</v>
      </c>
      <c r="C2157" s="20" t="n">
        <f aca="false">ROUND(11.05/FX,2)</f>
        <v>1.53</v>
      </c>
      <c r="D2157" s="21" t="s">
        <v>7884</v>
      </c>
      <c r="E2157" s="21" t="s">
        <v>4000</v>
      </c>
      <c r="F2157" s="21" t="s">
        <v>11413</v>
      </c>
    </row>
    <row r="2158" customFormat="false" ht="15" hidden="false" customHeight="false" outlineLevel="0" collapsed="false">
      <c r="B2158" s="19" t="s">
        <v>27520</v>
      </c>
      <c r="C2158" s="20" t="n">
        <f aca="false">ROUND(10.01/FX,2)</f>
        <v>1.39</v>
      </c>
      <c r="D2158" s="21" t="s">
        <v>7884</v>
      </c>
      <c r="E2158" s="21" t="s">
        <v>3247</v>
      </c>
      <c r="F2158" s="21" t="s">
        <v>11413</v>
      </c>
    </row>
    <row r="2159" customFormat="false" ht="15" hidden="false" customHeight="false" outlineLevel="0" collapsed="false">
      <c r="B2159" s="19" t="s">
        <v>27521</v>
      </c>
      <c r="C2159" s="20" t="n">
        <f aca="false">ROUND(11.7/FX,2)</f>
        <v>1.63</v>
      </c>
      <c r="D2159" s="21" t="s">
        <v>7884</v>
      </c>
      <c r="E2159" s="21" t="s">
        <v>3317</v>
      </c>
      <c r="F2159" s="21" t="s">
        <v>11413</v>
      </c>
    </row>
    <row r="2160" customFormat="false" ht="15" hidden="false" customHeight="false" outlineLevel="0" collapsed="false">
      <c r="B2160" s="19" t="s">
        <v>27522</v>
      </c>
      <c r="C2160" s="20" t="n">
        <f aca="false">ROUND(12.35/FX,2)</f>
        <v>1.72</v>
      </c>
      <c r="D2160" s="21" t="s">
        <v>7884</v>
      </c>
      <c r="E2160" s="21" t="s">
        <v>784</v>
      </c>
      <c r="F2160" s="21" t="s">
        <v>11413</v>
      </c>
    </row>
    <row r="2161" customFormat="false" ht="15" hidden="false" customHeight="false" outlineLevel="0" collapsed="false">
      <c r="B2161" s="19" t="s">
        <v>27523</v>
      </c>
      <c r="C2161" s="20" t="n">
        <f aca="false">ROUND(12.35/FX,2)</f>
        <v>1.72</v>
      </c>
      <c r="D2161" s="21" t="s">
        <v>7884</v>
      </c>
      <c r="E2161" s="21" t="s">
        <v>3328</v>
      </c>
      <c r="F2161" s="21" t="s">
        <v>11413</v>
      </c>
    </row>
    <row r="2162" customFormat="false" ht="15" hidden="false" customHeight="false" outlineLevel="0" collapsed="false">
      <c r="B2162" s="19" t="s">
        <v>27524</v>
      </c>
      <c r="C2162" s="20" t="n">
        <f aca="false">ROUND(13/FX,2)</f>
        <v>1.81</v>
      </c>
      <c r="D2162" s="21" t="s">
        <v>7884</v>
      </c>
      <c r="E2162" s="21" t="s">
        <v>6246</v>
      </c>
      <c r="F2162" s="21" t="s">
        <v>11413</v>
      </c>
    </row>
    <row r="2163" customFormat="false" ht="15" hidden="false" customHeight="false" outlineLevel="0" collapsed="false">
      <c r="B2163" s="19" t="s">
        <v>27525</v>
      </c>
      <c r="C2163" s="20" t="n">
        <f aca="false">ROUND(13/FX,2)</f>
        <v>1.81</v>
      </c>
      <c r="D2163" s="21" t="s">
        <v>7884</v>
      </c>
      <c r="E2163" s="21" t="s">
        <v>7358</v>
      </c>
      <c r="F2163" s="21" t="s">
        <v>11413</v>
      </c>
    </row>
    <row r="2164" customFormat="false" ht="15" hidden="false" customHeight="false" outlineLevel="0" collapsed="false">
      <c r="B2164" s="19" t="s">
        <v>27526</v>
      </c>
      <c r="C2164" s="20" t="n">
        <f aca="false">ROUND(13.65/FX,2)</f>
        <v>1.9</v>
      </c>
      <c r="D2164" s="21" t="s">
        <v>7884</v>
      </c>
      <c r="E2164" s="21" t="s">
        <v>2911</v>
      </c>
      <c r="F2164" s="21" t="s">
        <v>11413</v>
      </c>
    </row>
    <row r="2165" customFormat="false" ht="15" hidden="false" customHeight="false" outlineLevel="0" collapsed="false">
      <c r="B2165" s="19" t="s">
        <v>27527</v>
      </c>
      <c r="C2165" s="20" t="n">
        <f aca="false">ROUND(14.3/FX,2)</f>
        <v>1.99</v>
      </c>
      <c r="D2165" s="21" t="s">
        <v>7884</v>
      </c>
      <c r="E2165" s="21" t="s">
        <v>7275</v>
      </c>
      <c r="F2165" s="21" t="s">
        <v>11413</v>
      </c>
    </row>
    <row r="2166" customFormat="false" ht="15" hidden="false" customHeight="false" outlineLevel="0" collapsed="false">
      <c r="B2166" s="19" t="s">
        <v>27528</v>
      </c>
      <c r="C2166" s="20" t="n">
        <f aca="false">ROUND(15.6/FX,2)</f>
        <v>2.17</v>
      </c>
      <c r="D2166" s="21" t="s">
        <v>7884</v>
      </c>
      <c r="E2166" s="21" t="s">
        <v>2961</v>
      </c>
      <c r="F2166" s="21" t="s">
        <v>11413</v>
      </c>
    </row>
    <row r="2167" customFormat="false" ht="15" hidden="false" customHeight="false" outlineLevel="0" collapsed="false">
      <c r="B2167" s="19" t="s">
        <v>27529</v>
      </c>
      <c r="C2167" s="20" t="n">
        <f aca="false">ROUND(11.05/FX,2)</f>
        <v>1.53</v>
      </c>
      <c r="D2167" s="21" t="s">
        <v>7884</v>
      </c>
      <c r="E2167" s="21" t="s">
        <v>707</v>
      </c>
      <c r="F2167" s="21" t="s">
        <v>11415</v>
      </c>
    </row>
    <row r="2168" customFormat="false" ht="15" hidden="false" customHeight="false" outlineLevel="0" collapsed="false">
      <c r="B2168" s="19" t="s">
        <v>27530</v>
      </c>
      <c r="C2168" s="20" t="n">
        <f aca="false">ROUND(10.27/FX,2)</f>
        <v>1.43</v>
      </c>
      <c r="D2168" s="21" t="s">
        <v>7884</v>
      </c>
      <c r="E2168" s="21" t="s">
        <v>761</v>
      </c>
      <c r="F2168" s="21" t="s">
        <v>11415</v>
      </c>
    </row>
    <row r="2169" customFormat="false" ht="15" hidden="false" customHeight="false" outlineLevel="0" collapsed="false">
      <c r="B2169" s="19" t="s">
        <v>27531</v>
      </c>
      <c r="C2169" s="20" t="n">
        <f aca="false">ROUND(11.7/FX,2)</f>
        <v>1.63</v>
      </c>
      <c r="D2169" s="21" t="s">
        <v>7884</v>
      </c>
      <c r="E2169" s="21" t="s">
        <v>714</v>
      </c>
      <c r="F2169" s="21" t="s">
        <v>11415</v>
      </c>
    </row>
    <row r="2170" customFormat="false" ht="15" hidden="false" customHeight="false" outlineLevel="0" collapsed="false">
      <c r="B2170" s="19" t="s">
        <v>27532</v>
      </c>
      <c r="C2170" s="20" t="n">
        <f aca="false">ROUND(10.4/FX,2)</f>
        <v>1.44</v>
      </c>
      <c r="D2170" s="21" t="s">
        <v>7884</v>
      </c>
      <c r="E2170" s="21" t="s">
        <v>3833</v>
      </c>
      <c r="F2170" s="21" t="s">
        <v>11415</v>
      </c>
    </row>
    <row r="2171" customFormat="false" ht="15" hidden="false" customHeight="false" outlineLevel="0" collapsed="false">
      <c r="B2171" s="19" t="s">
        <v>27533</v>
      </c>
      <c r="C2171" s="20" t="n">
        <f aca="false">ROUND(11.7/FX,2)</f>
        <v>1.63</v>
      </c>
      <c r="D2171" s="21" t="s">
        <v>7884</v>
      </c>
      <c r="E2171" s="21" t="s">
        <v>4000</v>
      </c>
      <c r="F2171" s="21" t="s">
        <v>11415</v>
      </c>
    </row>
    <row r="2172" customFormat="false" ht="15" hidden="false" customHeight="false" outlineLevel="0" collapsed="false">
      <c r="B2172" s="19" t="s">
        <v>27534</v>
      </c>
      <c r="C2172" s="20" t="n">
        <f aca="false">ROUND(12.35/FX,2)</f>
        <v>1.72</v>
      </c>
      <c r="D2172" s="21" t="s">
        <v>7884</v>
      </c>
      <c r="E2172" s="21" t="s">
        <v>3247</v>
      </c>
      <c r="F2172" s="21" t="s">
        <v>11415</v>
      </c>
    </row>
    <row r="2173" customFormat="false" ht="15" hidden="false" customHeight="false" outlineLevel="0" collapsed="false">
      <c r="B2173" s="19" t="s">
        <v>27535</v>
      </c>
      <c r="C2173" s="20" t="n">
        <f aca="false">ROUND(10.66/FX,2)</f>
        <v>1.48</v>
      </c>
      <c r="D2173" s="21" t="s">
        <v>7884</v>
      </c>
      <c r="E2173" s="21" t="s">
        <v>5097</v>
      </c>
      <c r="F2173" s="21" t="s">
        <v>11415</v>
      </c>
    </row>
    <row r="2174" customFormat="false" ht="15" hidden="false" customHeight="false" outlineLevel="0" collapsed="false">
      <c r="B2174" s="19" t="s">
        <v>27536</v>
      </c>
      <c r="C2174" s="20" t="n">
        <f aca="false">ROUND(12.35/FX,2)</f>
        <v>1.72</v>
      </c>
      <c r="D2174" s="21" t="s">
        <v>7884</v>
      </c>
      <c r="E2174" s="21" t="s">
        <v>3317</v>
      </c>
      <c r="F2174" s="21" t="s">
        <v>11415</v>
      </c>
    </row>
    <row r="2175" customFormat="false" ht="15" hidden="false" customHeight="false" outlineLevel="0" collapsed="false">
      <c r="B2175" s="19" t="s">
        <v>27537</v>
      </c>
      <c r="C2175" s="20" t="n">
        <f aca="false">ROUND(13/FX,2)</f>
        <v>1.81</v>
      </c>
      <c r="D2175" s="21" t="s">
        <v>7884</v>
      </c>
      <c r="E2175" s="21" t="s">
        <v>784</v>
      </c>
      <c r="F2175" s="21" t="s">
        <v>11415</v>
      </c>
    </row>
    <row r="2176" customFormat="false" ht="15" hidden="false" customHeight="false" outlineLevel="0" collapsed="false">
      <c r="B2176" s="19" t="s">
        <v>27538</v>
      </c>
      <c r="C2176" s="20" t="n">
        <f aca="false">ROUND(13.65/FX,2)</f>
        <v>1.9</v>
      </c>
      <c r="D2176" s="21" t="s">
        <v>7884</v>
      </c>
      <c r="E2176" s="21" t="s">
        <v>3328</v>
      </c>
      <c r="F2176" s="21" t="s">
        <v>11415</v>
      </c>
    </row>
    <row r="2177" customFormat="false" ht="15" hidden="false" customHeight="false" outlineLevel="0" collapsed="false">
      <c r="B2177" s="19" t="s">
        <v>27539</v>
      </c>
      <c r="C2177" s="20" t="n">
        <f aca="false">ROUND(14.3/FX,2)</f>
        <v>1.99</v>
      </c>
      <c r="D2177" s="21" t="s">
        <v>7884</v>
      </c>
      <c r="E2177" s="21" t="s">
        <v>6246</v>
      </c>
      <c r="F2177" s="21" t="s">
        <v>11415</v>
      </c>
    </row>
    <row r="2178" customFormat="false" ht="15" hidden="false" customHeight="false" outlineLevel="0" collapsed="false">
      <c r="B2178" s="19" t="s">
        <v>27540</v>
      </c>
      <c r="C2178" s="20" t="n">
        <f aca="false">ROUND(15.6/FX,2)</f>
        <v>2.17</v>
      </c>
      <c r="D2178" s="21" t="s">
        <v>7884</v>
      </c>
      <c r="E2178" s="21" t="s">
        <v>7358</v>
      </c>
      <c r="F2178" s="21" t="s">
        <v>11415</v>
      </c>
    </row>
    <row r="2179" customFormat="false" ht="15" hidden="false" customHeight="false" outlineLevel="0" collapsed="false">
      <c r="B2179" s="19" t="s">
        <v>27541</v>
      </c>
      <c r="C2179" s="20" t="n">
        <f aca="false">ROUND(16.9/FX,2)</f>
        <v>2.35</v>
      </c>
      <c r="D2179" s="21" t="s">
        <v>7884</v>
      </c>
      <c r="E2179" s="21" t="s">
        <v>2911</v>
      </c>
      <c r="F2179" s="21" t="s">
        <v>11415</v>
      </c>
    </row>
    <row r="2180" customFormat="false" ht="15" hidden="false" customHeight="false" outlineLevel="0" collapsed="false">
      <c r="B2180" s="19" t="s">
        <v>27542</v>
      </c>
      <c r="C2180" s="20" t="n">
        <f aca="false">ROUND(18.2/FX,2)</f>
        <v>2.53</v>
      </c>
      <c r="D2180" s="21" t="s">
        <v>7884</v>
      </c>
      <c r="E2180" s="21" t="s">
        <v>7275</v>
      </c>
      <c r="F2180" s="21" t="s">
        <v>11415</v>
      </c>
    </row>
    <row r="2181" customFormat="false" ht="15" hidden="false" customHeight="false" outlineLevel="0" collapsed="false">
      <c r="B2181" s="19" t="s">
        <v>27543</v>
      </c>
      <c r="C2181" s="20" t="n">
        <f aca="false">ROUND(19.5/FX,2)</f>
        <v>2.71</v>
      </c>
      <c r="D2181" s="21" t="s">
        <v>7884</v>
      </c>
      <c r="E2181" s="21" t="s">
        <v>2961</v>
      </c>
      <c r="F2181" s="21" t="s">
        <v>11415</v>
      </c>
    </row>
    <row r="2182" customFormat="false" ht="15" hidden="false" customHeight="false" outlineLevel="0" collapsed="false">
      <c r="B2182" s="19" t="s">
        <v>27544</v>
      </c>
      <c r="C2182" s="20" t="n">
        <f aca="false">ROUND(9.62/FX,2)</f>
        <v>1.34</v>
      </c>
      <c r="D2182" s="21" t="s">
        <v>7884</v>
      </c>
      <c r="E2182" s="21" t="s">
        <v>761</v>
      </c>
      <c r="F2182" s="21" t="s">
        <v>26884</v>
      </c>
    </row>
    <row r="2183" customFormat="false" ht="15" hidden="false" customHeight="false" outlineLevel="0" collapsed="false">
      <c r="B2183" s="19" t="s">
        <v>27545</v>
      </c>
      <c r="C2183" s="20" t="n">
        <f aca="false">ROUND(9.75/FX,2)</f>
        <v>1.35</v>
      </c>
      <c r="D2183" s="21" t="s">
        <v>7884</v>
      </c>
      <c r="E2183" s="21" t="s">
        <v>3833</v>
      </c>
      <c r="F2183" s="21" t="s">
        <v>26884</v>
      </c>
    </row>
    <row r="2184" customFormat="false" ht="15" hidden="false" customHeight="false" outlineLevel="0" collapsed="false">
      <c r="B2184" s="19" t="s">
        <v>27546</v>
      </c>
      <c r="C2184" s="20" t="n">
        <f aca="false">ROUND(11.7/FX,2)</f>
        <v>1.63</v>
      </c>
      <c r="D2184" s="21" t="s">
        <v>6362</v>
      </c>
      <c r="E2184" s="21" t="s">
        <v>707</v>
      </c>
      <c r="F2184" s="21" t="s">
        <v>22841</v>
      </c>
    </row>
    <row r="2185" customFormat="false" ht="15" hidden="false" customHeight="false" outlineLevel="0" collapsed="false">
      <c r="B2185" s="19" t="s">
        <v>27547</v>
      </c>
      <c r="C2185" s="20" t="n">
        <f aca="false">ROUND(11.7/FX,2)</f>
        <v>1.63</v>
      </c>
      <c r="D2185" s="21" t="s">
        <v>6362</v>
      </c>
      <c r="E2185" s="21" t="s">
        <v>761</v>
      </c>
      <c r="F2185" s="21" t="s">
        <v>22841</v>
      </c>
    </row>
    <row r="2186" customFormat="false" ht="15" hidden="false" customHeight="false" outlineLevel="0" collapsed="false">
      <c r="B2186" s="19" t="s">
        <v>27548</v>
      </c>
      <c r="C2186" s="20" t="n">
        <f aca="false">ROUND(12.35/FX,2)</f>
        <v>1.72</v>
      </c>
      <c r="D2186" s="21" t="s">
        <v>6362</v>
      </c>
      <c r="E2186" s="21" t="s">
        <v>714</v>
      </c>
      <c r="F2186" s="21" t="s">
        <v>22841</v>
      </c>
    </row>
    <row r="2187" customFormat="false" ht="15" hidden="false" customHeight="false" outlineLevel="0" collapsed="false">
      <c r="B2187" s="19" t="s">
        <v>27549</v>
      </c>
      <c r="C2187" s="20" t="n">
        <f aca="false">ROUND(12.35/FX,2)</f>
        <v>1.72</v>
      </c>
      <c r="D2187" s="21" t="s">
        <v>6362</v>
      </c>
      <c r="E2187" s="21" t="s">
        <v>4000</v>
      </c>
      <c r="F2187" s="21" t="s">
        <v>22841</v>
      </c>
    </row>
    <row r="2188" customFormat="false" ht="15" hidden="false" customHeight="false" outlineLevel="0" collapsed="false">
      <c r="B2188" s="19" t="s">
        <v>27550</v>
      </c>
      <c r="C2188" s="20" t="n">
        <f aca="false">ROUND(13/FX,2)</f>
        <v>1.81</v>
      </c>
      <c r="D2188" s="21" t="s">
        <v>6362</v>
      </c>
      <c r="E2188" s="21" t="s">
        <v>3247</v>
      </c>
      <c r="F2188" s="21" t="s">
        <v>22841</v>
      </c>
    </row>
    <row r="2189" customFormat="false" ht="15" hidden="false" customHeight="false" outlineLevel="0" collapsed="false">
      <c r="B2189" s="19" t="s">
        <v>27551</v>
      </c>
      <c r="C2189" s="20" t="n">
        <f aca="false">ROUND(13.65/FX,2)</f>
        <v>1.9</v>
      </c>
      <c r="D2189" s="21" t="s">
        <v>6362</v>
      </c>
      <c r="E2189" s="21" t="s">
        <v>3317</v>
      </c>
      <c r="F2189" s="21" t="s">
        <v>22841</v>
      </c>
    </row>
    <row r="2190" customFormat="false" ht="15" hidden="false" customHeight="false" outlineLevel="0" collapsed="false">
      <c r="B2190" s="19" t="s">
        <v>27552</v>
      </c>
      <c r="C2190" s="20" t="n">
        <f aca="false">ROUND(14.3/FX,2)</f>
        <v>1.99</v>
      </c>
      <c r="D2190" s="21" t="s">
        <v>6362</v>
      </c>
      <c r="E2190" s="21" t="s">
        <v>784</v>
      </c>
      <c r="F2190" s="21" t="s">
        <v>22841</v>
      </c>
    </row>
    <row r="2191" customFormat="false" ht="15" hidden="false" customHeight="false" outlineLevel="0" collapsed="false">
      <c r="B2191" s="19" t="s">
        <v>27553</v>
      </c>
      <c r="C2191" s="20" t="n">
        <f aca="false">ROUND(14.95/FX,2)</f>
        <v>2.08</v>
      </c>
      <c r="D2191" s="21" t="s">
        <v>6362</v>
      </c>
      <c r="E2191" s="21" t="s">
        <v>3328</v>
      </c>
      <c r="F2191" s="21" t="s">
        <v>22841</v>
      </c>
    </row>
    <row r="2192" customFormat="false" ht="15" hidden="false" customHeight="false" outlineLevel="0" collapsed="false">
      <c r="B2192" s="19" t="s">
        <v>27554</v>
      </c>
      <c r="C2192" s="20" t="n">
        <f aca="false">ROUND(15.6/FX,2)</f>
        <v>2.17</v>
      </c>
      <c r="D2192" s="21" t="s">
        <v>6362</v>
      </c>
      <c r="E2192" s="21" t="s">
        <v>6246</v>
      </c>
      <c r="F2192" s="21" t="s">
        <v>22841</v>
      </c>
    </row>
    <row r="2193" customFormat="false" ht="15" hidden="false" customHeight="false" outlineLevel="0" collapsed="false">
      <c r="B2193" s="19" t="s">
        <v>27555</v>
      </c>
      <c r="C2193" s="20" t="n">
        <f aca="false">ROUND(16.9/FX,2)</f>
        <v>2.35</v>
      </c>
      <c r="D2193" s="21" t="s">
        <v>6362</v>
      </c>
      <c r="E2193" s="21" t="s">
        <v>7358</v>
      </c>
      <c r="F2193" s="21" t="s">
        <v>22841</v>
      </c>
    </row>
    <row r="2194" customFormat="false" ht="15" hidden="false" customHeight="false" outlineLevel="0" collapsed="false">
      <c r="B2194" s="19" t="s">
        <v>27556</v>
      </c>
      <c r="C2194" s="20" t="n">
        <f aca="false">ROUND(18.2/FX,2)</f>
        <v>2.53</v>
      </c>
      <c r="D2194" s="21" t="s">
        <v>6362</v>
      </c>
      <c r="E2194" s="21" t="s">
        <v>2911</v>
      </c>
      <c r="F2194" s="21" t="s">
        <v>22841</v>
      </c>
    </row>
    <row r="2195" customFormat="false" ht="15" hidden="false" customHeight="false" outlineLevel="0" collapsed="false">
      <c r="B2195" s="19" t="s">
        <v>27557</v>
      </c>
      <c r="C2195" s="20" t="n">
        <f aca="false">ROUND(19.5/FX,2)</f>
        <v>2.71</v>
      </c>
      <c r="D2195" s="21" t="s">
        <v>6362</v>
      </c>
      <c r="E2195" s="21" t="s">
        <v>7275</v>
      </c>
      <c r="F2195" s="21" t="s">
        <v>22841</v>
      </c>
    </row>
    <row r="2196" customFormat="false" ht="15" hidden="false" customHeight="false" outlineLevel="0" collapsed="false">
      <c r="B2196" s="19" t="s">
        <v>27558</v>
      </c>
      <c r="C2196" s="20" t="n">
        <f aca="false">ROUND(20.8/FX,2)</f>
        <v>2.89</v>
      </c>
      <c r="D2196" s="21" t="s">
        <v>6362</v>
      </c>
      <c r="E2196" s="21" t="s">
        <v>2961</v>
      </c>
      <c r="F2196" s="21" t="s">
        <v>22841</v>
      </c>
    </row>
    <row r="2197" customFormat="false" ht="15" hidden="false" customHeight="false" outlineLevel="0" collapsed="false">
      <c r="B2197" s="19" t="s">
        <v>27559</v>
      </c>
      <c r="C2197" s="20" t="n">
        <f aca="false">ROUND(10.4/FX,2)</f>
        <v>1.44</v>
      </c>
      <c r="D2197" s="21" t="s">
        <v>6362</v>
      </c>
      <c r="E2197" s="21" t="s">
        <v>707</v>
      </c>
      <c r="F2197" s="21" t="s">
        <v>11411</v>
      </c>
    </row>
    <row r="2198" customFormat="false" ht="15" hidden="false" customHeight="false" outlineLevel="0" collapsed="false">
      <c r="B2198" s="19" t="s">
        <v>27560</v>
      </c>
      <c r="C2198" s="20" t="n">
        <f aca="false">ROUND(18.2/FX,2)</f>
        <v>2.53</v>
      </c>
      <c r="D2198" s="21" t="s">
        <v>6362</v>
      </c>
      <c r="E2198" s="21" t="s">
        <v>2600</v>
      </c>
      <c r="F2198" s="21" t="s">
        <v>11411</v>
      </c>
    </row>
    <row r="2199" customFormat="false" ht="15" hidden="false" customHeight="false" outlineLevel="0" collapsed="false">
      <c r="B2199" s="19" t="s">
        <v>27561</v>
      </c>
      <c r="C2199" s="20" t="n">
        <f aca="false">ROUND(10.4/FX,2)</f>
        <v>1.44</v>
      </c>
      <c r="D2199" s="21" t="s">
        <v>6362</v>
      </c>
      <c r="E2199" s="21" t="s">
        <v>761</v>
      </c>
      <c r="F2199" s="21" t="s">
        <v>11411</v>
      </c>
    </row>
    <row r="2200" customFormat="false" ht="15" hidden="false" customHeight="false" outlineLevel="0" collapsed="false">
      <c r="B2200" s="19" t="s">
        <v>27562</v>
      </c>
      <c r="C2200" s="20" t="n">
        <f aca="false">ROUND(11.05/FX,2)</f>
        <v>1.53</v>
      </c>
      <c r="D2200" s="21" t="s">
        <v>6362</v>
      </c>
      <c r="E2200" s="21" t="s">
        <v>714</v>
      </c>
      <c r="F2200" s="21" t="s">
        <v>11411</v>
      </c>
    </row>
    <row r="2201" customFormat="false" ht="15" hidden="false" customHeight="false" outlineLevel="0" collapsed="false">
      <c r="B2201" s="19" t="s">
        <v>27563</v>
      </c>
      <c r="C2201" s="20" t="n">
        <f aca="false">ROUND(11.05/FX,2)</f>
        <v>1.53</v>
      </c>
      <c r="D2201" s="21" t="s">
        <v>6362</v>
      </c>
      <c r="E2201" s="21" t="s">
        <v>4000</v>
      </c>
      <c r="F2201" s="21" t="s">
        <v>11411</v>
      </c>
    </row>
    <row r="2202" customFormat="false" ht="15" hidden="false" customHeight="false" outlineLevel="0" collapsed="false">
      <c r="B2202" s="19" t="s">
        <v>27564</v>
      </c>
      <c r="C2202" s="20" t="n">
        <f aca="false">ROUND(11.7/FX,2)</f>
        <v>1.63</v>
      </c>
      <c r="D2202" s="21" t="s">
        <v>6362</v>
      </c>
      <c r="E2202" s="21" t="s">
        <v>3247</v>
      </c>
      <c r="F2202" s="21" t="s">
        <v>11411</v>
      </c>
    </row>
    <row r="2203" customFormat="false" ht="15" hidden="false" customHeight="false" outlineLevel="0" collapsed="false">
      <c r="B2203" s="19" t="s">
        <v>27565</v>
      </c>
      <c r="C2203" s="20" t="n">
        <f aca="false">ROUND(11.7/FX,2)</f>
        <v>1.63</v>
      </c>
      <c r="D2203" s="21" t="s">
        <v>6362</v>
      </c>
      <c r="E2203" s="21" t="s">
        <v>3317</v>
      </c>
      <c r="F2203" s="21" t="s">
        <v>11411</v>
      </c>
    </row>
    <row r="2204" customFormat="false" ht="15" hidden="false" customHeight="false" outlineLevel="0" collapsed="false">
      <c r="B2204" s="19" t="s">
        <v>27566</v>
      </c>
      <c r="C2204" s="20" t="n">
        <f aca="false">ROUND(12.35/FX,2)</f>
        <v>1.72</v>
      </c>
      <c r="D2204" s="21" t="s">
        <v>6362</v>
      </c>
      <c r="E2204" s="21" t="s">
        <v>784</v>
      </c>
      <c r="F2204" s="21" t="s">
        <v>11411</v>
      </c>
    </row>
    <row r="2205" customFormat="false" ht="15" hidden="false" customHeight="false" outlineLevel="0" collapsed="false">
      <c r="B2205" s="19" t="s">
        <v>27567</v>
      </c>
      <c r="C2205" s="20" t="n">
        <f aca="false">ROUND(12.35/FX,2)</f>
        <v>1.72</v>
      </c>
      <c r="D2205" s="21" t="s">
        <v>6362</v>
      </c>
      <c r="E2205" s="21" t="s">
        <v>3328</v>
      </c>
      <c r="F2205" s="21" t="s">
        <v>11411</v>
      </c>
    </row>
    <row r="2206" customFormat="false" ht="15" hidden="false" customHeight="false" outlineLevel="0" collapsed="false">
      <c r="B2206" s="19" t="s">
        <v>27568</v>
      </c>
      <c r="C2206" s="20" t="n">
        <f aca="false">ROUND(13/FX,2)</f>
        <v>1.81</v>
      </c>
      <c r="D2206" s="21" t="s">
        <v>6362</v>
      </c>
      <c r="E2206" s="21" t="s">
        <v>6246</v>
      </c>
      <c r="F2206" s="21" t="s">
        <v>11411</v>
      </c>
    </row>
    <row r="2207" customFormat="false" ht="15" hidden="false" customHeight="false" outlineLevel="0" collapsed="false">
      <c r="B2207" s="19" t="s">
        <v>27569</v>
      </c>
      <c r="C2207" s="20" t="n">
        <f aca="false">ROUND(13/FX,2)</f>
        <v>1.81</v>
      </c>
      <c r="D2207" s="21" t="s">
        <v>6362</v>
      </c>
      <c r="E2207" s="21" t="s">
        <v>7358</v>
      </c>
      <c r="F2207" s="21" t="s">
        <v>11411</v>
      </c>
    </row>
    <row r="2208" customFormat="false" ht="15" hidden="false" customHeight="false" outlineLevel="0" collapsed="false">
      <c r="B2208" s="19" t="s">
        <v>27570</v>
      </c>
      <c r="C2208" s="20" t="n">
        <f aca="false">ROUND(13.65/FX,2)</f>
        <v>1.9</v>
      </c>
      <c r="D2208" s="21" t="s">
        <v>6362</v>
      </c>
      <c r="E2208" s="21" t="s">
        <v>2911</v>
      </c>
      <c r="F2208" s="21" t="s">
        <v>11411</v>
      </c>
    </row>
    <row r="2209" customFormat="false" ht="15" hidden="false" customHeight="false" outlineLevel="0" collapsed="false">
      <c r="B2209" s="19" t="s">
        <v>27571</v>
      </c>
      <c r="C2209" s="20" t="n">
        <f aca="false">ROUND(14.3/FX,2)</f>
        <v>1.99</v>
      </c>
      <c r="D2209" s="21" t="s">
        <v>6362</v>
      </c>
      <c r="E2209" s="21" t="s">
        <v>2961</v>
      </c>
      <c r="F2209" s="21" t="s">
        <v>11411</v>
      </c>
    </row>
    <row r="2210" customFormat="false" ht="15" hidden="false" customHeight="false" outlineLevel="0" collapsed="false">
      <c r="B2210" s="19" t="s">
        <v>27572</v>
      </c>
      <c r="C2210" s="20" t="n">
        <f aca="false">ROUND(15.6/FX,2)</f>
        <v>2.17</v>
      </c>
      <c r="D2210" s="21" t="s">
        <v>6362</v>
      </c>
      <c r="E2210" s="21" t="s">
        <v>3011</v>
      </c>
      <c r="F2210" s="21" t="s">
        <v>11411</v>
      </c>
    </row>
    <row r="2211" customFormat="false" ht="15" hidden="false" customHeight="false" outlineLevel="0" collapsed="false">
      <c r="B2211" s="19" t="s">
        <v>27573</v>
      </c>
      <c r="C2211" s="20" t="n">
        <f aca="false">ROUND(16.9/FX,2)</f>
        <v>2.35</v>
      </c>
      <c r="D2211" s="21" t="s">
        <v>6362</v>
      </c>
      <c r="E2211" s="21" t="s">
        <v>3061</v>
      </c>
      <c r="F2211" s="21" t="s">
        <v>11411</v>
      </c>
    </row>
    <row r="2212" customFormat="false" ht="15" hidden="false" customHeight="false" outlineLevel="0" collapsed="false">
      <c r="B2212" s="19" t="s">
        <v>27574</v>
      </c>
      <c r="C2212" s="20" t="n">
        <f aca="false">ROUND(16.9/FX,2)</f>
        <v>2.35</v>
      </c>
      <c r="D2212" s="21" t="s">
        <v>6362</v>
      </c>
      <c r="E2212" s="21" t="s">
        <v>3111</v>
      </c>
      <c r="F2212" s="21" t="s">
        <v>11411</v>
      </c>
    </row>
    <row r="2213" customFormat="false" ht="15" hidden="false" customHeight="false" outlineLevel="0" collapsed="false">
      <c r="B2213" s="19" t="s">
        <v>27575</v>
      </c>
      <c r="C2213" s="20" t="n">
        <f aca="false">ROUND(10.4/FX,2)</f>
        <v>1.44</v>
      </c>
      <c r="D2213" s="21" t="s">
        <v>6362</v>
      </c>
      <c r="E2213" s="21" t="s">
        <v>707</v>
      </c>
      <c r="F2213" s="21" t="s">
        <v>11413</v>
      </c>
    </row>
    <row r="2214" customFormat="false" ht="15" hidden="false" customHeight="false" outlineLevel="0" collapsed="false">
      <c r="B2214" s="19" t="s">
        <v>27576</v>
      </c>
      <c r="C2214" s="20" t="n">
        <f aca="false">ROUND(9.75/FX,2)</f>
        <v>1.35</v>
      </c>
      <c r="D2214" s="21" t="s">
        <v>6362</v>
      </c>
      <c r="E2214" s="21" t="s">
        <v>761</v>
      </c>
      <c r="F2214" s="21" t="s">
        <v>11413</v>
      </c>
    </row>
    <row r="2215" customFormat="false" ht="15" hidden="false" customHeight="false" outlineLevel="0" collapsed="false">
      <c r="B2215" s="19" t="s">
        <v>27577</v>
      </c>
      <c r="C2215" s="20" t="n">
        <f aca="false">ROUND(11.05/FX,2)</f>
        <v>1.53</v>
      </c>
      <c r="D2215" s="21" t="s">
        <v>6362</v>
      </c>
      <c r="E2215" s="21" t="s">
        <v>714</v>
      </c>
      <c r="F2215" s="21" t="s">
        <v>11413</v>
      </c>
    </row>
    <row r="2216" customFormat="false" ht="15" hidden="false" customHeight="false" outlineLevel="0" collapsed="false">
      <c r="B2216" s="19" t="s">
        <v>27578</v>
      </c>
      <c r="C2216" s="20" t="n">
        <f aca="false">ROUND(9.88/FX,2)</f>
        <v>1.37</v>
      </c>
      <c r="D2216" s="21" t="s">
        <v>6362</v>
      </c>
      <c r="E2216" s="21" t="s">
        <v>3833</v>
      </c>
      <c r="F2216" s="21" t="s">
        <v>11413</v>
      </c>
    </row>
    <row r="2217" customFormat="false" ht="15" hidden="false" customHeight="false" outlineLevel="0" collapsed="false">
      <c r="B2217" s="19" t="s">
        <v>27579</v>
      </c>
      <c r="C2217" s="20" t="n">
        <f aca="false">ROUND(11.05/FX,2)</f>
        <v>1.53</v>
      </c>
      <c r="D2217" s="21" t="s">
        <v>6362</v>
      </c>
      <c r="E2217" s="21" t="s">
        <v>4000</v>
      </c>
      <c r="F2217" s="21" t="s">
        <v>11413</v>
      </c>
    </row>
    <row r="2218" customFormat="false" ht="15" hidden="false" customHeight="false" outlineLevel="0" collapsed="false">
      <c r="B2218" s="19" t="s">
        <v>27580</v>
      </c>
      <c r="C2218" s="20" t="n">
        <f aca="false">ROUND(10.01/FX,2)</f>
        <v>1.39</v>
      </c>
      <c r="D2218" s="21" t="s">
        <v>6362</v>
      </c>
      <c r="E2218" s="21" t="s">
        <v>3247</v>
      </c>
      <c r="F2218" s="21" t="s">
        <v>11413</v>
      </c>
    </row>
    <row r="2219" customFormat="false" ht="15" hidden="false" customHeight="false" outlineLevel="0" collapsed="false">
      <c r="B2219" s="19" t="s">
        <v>27581</v>
      </c>
      <c r="C2219" s="20" t="n">
        <f aca="false">ROUND(11.7/FX,2)</f>
        <v>1.63</v>
      </c>
      <c r="D2219" s="21" t="s">
        <v>6362</v>
      </c>
      <c r="E2219" s="21" t="s">
        <v>3317</v>
      </c>
      <c r="F2219" s="21" t="s">
        <v>11413</v>
      </c>
    </row>
    <row r="2220" customFormat="false" ht="15" hidden="false" customHeight="false" outlineLevel="0" collapsed="false">
      <c r="B2220" s="19" t="s">
        <v>27582</v>
      </c>
      <c r="C2220" s="20" t="n">
        <f aca="false">ROUND(12.35/FX,2)</f>
        <v>1.72</v>
      </c>
      <c r="D2220" s="21" t="s">
        <v>6362</v>
      </c>
      <c r="E2220" s="21" t="s">
        <v>784</v>
      </c>
      <c r="F2220" s="21" t="s">
        <v>11413</v>
      </c>
    </row>
    <row r="2221" customFormat="false" ht="15" hidden="false" customHeight="false" outlineLevel="0" collapsed="false">
      <c r="B2221" s="19" t="s">
        <v>27583</v>
      </c>
      <c r="C2221" s="20" t="n">
        <f aca="false">ROUND(12.35/FX,2)</f>
        <v>1.72</v>
      </c>
      <c r="D2221" s="21" t="s">
        <v>6362</v>
      </c>
      <c r="E2221" s="21" t="s">
        <v>3328</v>
      </c>
      <c r="F2221" s="21" t="s">
        <v>11413</v>
      </c>
    </row>
    <row r="2222" customFormat="false" ht="15" hidden="false" customHeight="false" outlineLevel="0" collapsed="false">
      <c r="B2222" s="19" t="s">
        <v>27584</v>
      </c>
      <c r="C2222" s="20" t="n">
        <f aca="false">ROUND(13/FX,2)</f>
        <v>1.81</v>
      </c>
      <c r="D2222" s="21" t="s">
        <v>6362</v>
      </c>
      <c r="E2222" s="21" t="s">
        <v>6246</v>
      </c>
      <c r="F2222" s="21" t="s">
        <v>11413</v>
      </c>
    </row>
    <row r="2223" customFormat="false" ht="15" hidden="false" customHeight="false" outlineLevel="0" collapsed="false">
      <c r="B2223" s="19" t="s">
        <v>27585</v>
      </c>
      <c r="C2223" s="20" t="n">
        <f aca="false">ROUND(13/FX,2)</f>
        <v>1.81</v>
      </c>
      <c r="D2223" s="21" t="s">
        <v>6362</v>
      </c>
      <c r="E2223" s="21" t="s">
        <v>7358</v>
      </c>
      <c r="F2223" s="21" t="s">
        <v>11413</v>
      </c>
    </row>
    <row r="2224" customFormat="false" ht="15" hidden="false" customHeight="false" outlineLevel="0" collapsed="false">
      <c r="B2224" s="19" t="s">
        <v>27586</v>
      </c>
      <c r="C2224" s="20" t="n">
        <f aca="false">ROUND(13.65/FX,2)</f>
        <v>1.9</v>
      </c>
      <c r="D2224" s="21" t="s">
        <v>6362</v>
      </c>
      <c r="E2224" s="21" t="s">
        <v>2911</v>
      </c>
      <c r="F2224" s="21" t="s">
        <v>11413</v>
      </c>
    </row>
    <row r="2225" customFormat="false" ht="15" hidden="false" customHeight="false" outlineLevel="0" collapsed="false">
      <c r="B2225" s="19" t="s">
        <v>27587</v>
      </c>
      <c r="C2225" s="20" t="n">
        <f aca="false">ROUND(14.3/FX,2)</f>
        <v>1.99</v>
      </c>
      <c r="D2225" s="21" t="s">
        <v>6362</v>
      </c>
      <c r="E2225" s="21" t="s">
        <v>7275</v>
      </c>
      <c r="F2225" s="21" t="s">
        <v>11413</v>
      </c>
    </row>
    <row r="2226" customFormat="false" ht="15" hidden="false" customHeight="false" outlineLevel="0" collapsed="false">
      <c r="B2226" s="19" t="s">
        <v>27588</v>
      </c>
      <c r="C2226" s="20" t="n">
        <f aca="false">ROUND(15.6/FX,2)</f>
        <v>2.17</v>
      </c>
      <c r="D2226" s="21" t="s">
        <v>6362</v>
      </c>
      <c r="E2226" s="21" t="s">
        <v>2961</v>
      </c>
      <c r="F2226" s="21" t="s">
        <v>11413</v>
      </c>
    </row>
    <row r="2227" customFormat="false" ht="15" hidden="false" customHeight="false" outlineLevel="0" collapsed="false">
      <c r="B2227" s="19" t="s">
        <v>27589</v>
      </c>
      <c r="C2227" s="20" t="n">
        <f aca="false">ROUND(11.05/FX,2)</f>
        <v>1.53</v>
      </c>
      <c r="D2227" s="21" t="s">
        <v>6362</v>
      </c>
      <c r="E2227" s="21" t="s">
        <v>707</v>
      </c>
      <c r="F2227" s="21" t="s">
        <v>11415</v>
      </c>
    </row>
    <row r="2228" customFormat="false" ht="15" hidden="false" customHeight="false" outlineLevel="0" collapsed="false">
      <c r="B2228" s="19" t="s">
        <v>27590</v>
      </c>
      <c r="C2228" s="20" t="n">
        <f aca="false">ROUND(10.27/FX,2)</f>
        <v>1.43</v>
      </c>
      <c r="D2228" s="21" t="s">
        <v>6362</v>
      </c>
      <c r="E2228" s="21" t="s">
        <v>761</v>
      </c>
      <c r="F2228" s="21" t="s">
        <v>11415</v>
      </c>
    </row>
    <row r="2229" customFormat="false" ht="15" hidden="false" customHeight="false" outlineLevel="0" collapsed="false">
      <c r="B2229" s="19" t="s">
        <v>27591</v>
      </c>
      <c r="C2229" s="20" t="n">
        <f aca="false">ROUND(11.7/FX,2)</f>
        <v>1.63</v>
      </c>
      <c r="D2229" s="21" t="s">
        <v>6362</v>
      </c>
      <c r="E2229" s="21" t="s">
        <v>714</v>
      </c>
      <c r="F2229" s="21" t="s">
        <v>11415</v>
      </c>
    </row>
    <row r="2230" customFormat="false" ht="15" hidden="false" customHeight="false" outlineLevel="0" collapsed="false">
      <c r="B2230" s="19" t="s">
        <v>27592</v>
      </c>
      <c r="C2230" s="20" t="n">
        <f aca="false">ROUND(10.4/FX,2)</f>
        <v>1.44</v>
      </c>
      <c r="D2230" s="21" t="s">
        <v>6362</v>
      </c>
      <c r="E2230" s="21" t="s">
        <v>3833</v>
      </c>
      <c r="F2230" s="21" t="s">
        <v>11415</v>
      </c>
    </row>
    <row r="2231" customFormat="false" ht="15" hidden="false" customHeight="false" outlineLevel="0" collapsed="false">
      <c r="B2231" s="19" t="s">
        <v>27593</v>
      </c>
      <c r="C2231" s="20" t="n">
        <f aca="false">ROUND(11.7/FX,2)</f>
        <v>1.63</v>
      </c>
      <c r="D2231" s="21" t="s">
        <v>6362</v>
      </c>
      <c r="E2231" s="21" t="s">
        <v>4000</v>
      </c>
      <c r="F2231" s="21" t="s">
        <v>11415</v>
      </c>
    </row>
    <row r="2232" customFormat="false" ht="15" hidden="false" customHeight="false" outlineLevel="0" collapsed="false">
      <c r="B2232" s="19" t="s">
        <v>27594</v>
      </c>
      <c r="C2232" s="20" t="n">
        <f aca="false">ROUND(12.35/FX,2)</f>
        <v>1.72</v>
      </c>
      <c r="D2232" s="21" t="s">
        <v>6362</v>
      </c>
      <c r="E2232" s="21" t="s">
        <v>3247</v>
      </c>
      <c r="F2232" s="21" t="s">
        <v>11415</v>
      </c>
    </row>
    <row r="2233" customFormat="false" ht="15" hidden="false" customHeight="false" outlineLevel="0" collapsed="false">
      <c r="B2233" s="19" t="s">
        <v>27595</v>
      </c>
      <c r="C2233" s="20" t="n">
        <f aca="false">ROUND(10.66/FX,2)</f>
        <v>1.48</v>
      </c>
      <c r="D2233" s="21" t="s">
        <v>6362</v>
      </c>
      <c r="E2233" s="21" t="s">
        <v>5097</v>
      </c>
      <c r="F2233" s="21" t="s">
        <v>11415</v>
      </c>
    </row>
    <row r="2234" customFormat="false" ht="15" hidden="false" customHeight="false" outlineLevel="0" collapsed="false">
      <c r="B2234" s="19" t="s">
        <v>27596</v>
      </c>
      <c r="C2234" s="20" t="n">
        <f aca="false">ROUND(12.35/FX,2)</f>
        <v>1.72</v>
      </c>
      <c r="D2234" s="21" t="s">
        <v>6362</v>
      </c>
      <c r="E2234" s="21" t="s">
        <v>3317</v>
      </c>
      <c r="F2234" s="21" t="s">
        <v>11415</v>
      </c>
    </row>
    <row r="2235" customFormat="false" ht="15" hidden="false" customHeight="false" outlineLevel="0" collapsed="false">
      <c r="B2235" s="19" t="s">
        <v>27597</v>
      </c>
      <c r="C2235" s="20" t="n">
        <f aca="false">ROUND(13/FX,2)</f>
        <v>1.81</v>
      </c>
      <c r="D2235" s="21" t="s">
        <v>6362</v>
      </c>
      <c r="E2235" s="21" t="s">
        <v>784</v>
      </c>
      <c r="F2235" s="21" t="s">
        <v>11415</v>
      </c>
    </row>
    <row r="2236" customFormat="false" ht="15" hidden="false" customHeight="false" outlineLevel="0" collapsed="false">
      <c r="B2236" s="19" t="s">
        <v>27598</v>
      </c>
      <c r="C2236" s="20" t="n">
        <f aca="false">ROUND(13.65/FX,2)</f>
        <v>1.9</v>
      </c>
      <c r="D2236" s="21" t="s">
        <v>6362</v>
      </c>
      <c r="E2236" s="21" t="s">
        <v>3328</v>
      </c>
      <c r="F2236" s="21" t="s">
        <v>11415</v>
      </c>
    </row>
    <row r="2237" customFormat="false" ht="15" hidden="false" customHeight="false" outlineLevel="0" collapsed="false">
      <c r="B2237" s="19" t="s">
        <v>27599</v>
      </c>
      <c r="C2237" s="20" t="n">
        <f aca="false">ROUND(14.3/FX,2)</f>
        <v>1.99</v>
      </c>
      <c r="D2237" s="21" t="s">
        <v>6362</v>
      </c>
      <c r="E2237" s="21" t="s">
        <v>6246</v>
      </c>
      <c r="F2237" s="21" t="s">
        <v>11415</v>
      </c>
    </row>
    <row r="2238" customFormat="false" ht="15" hidden="false" customHeight="false" outlineLevel="0" collapsed="false">
      <c r="B2238" s="19" t="s">
        <v>27600</v>
      </c>
      <c r="C2238" s="20" t="n">
        <f aca="false">ROUND(15.6/FX,2)</f>
        <v>2.17</v>
      </c>
      <c r="D2238" s="21" t="s">
        <v>6362</v>
      </c>
      <c r="E2238" s="21" t="s">
        <v>7358</v>
      </c>
      <c r="F2238" s="21" t="s">
        <v>11415</v>
      </c>
    </row>
    <row r="2239" customFormat="false" ht="15" hidden="false" customHeight="false" outlineLevel="0" collapsed="false">
      <c r="B2239" s="19" t="s">
        <v>27601</v>
      </c>
      <c r="C2239" s="20" t="n">
        <f aca="false">ROUND(16.9/FX,2)</f>
        <v>2.35</v>
      </c>
      <c r="D2239" s="21" t="s">
        <v>6362</v>
      </c>
      <c r="E2239" s="21" t="s">
        <v>2911</v>
      </c>
      <c r="F2239" s="21" t="s">
        <v>11415</v>
      </c>
    </row>
    <row r="2240" customFormat="false" ht="15" hidden="false" customHeight="false" outlineLevel="0" collapsed="false">
      <c r="B2240" s="19" t="s">
        <v>27602</v>
      </c>
      <c r="C2240" s="20" t="n">
        <f aca="false">ROUND(18.2/FX,2)</f>
        <v>2.53</v>
      </c>
      <c r="D2240" s="21" t="s">
        <v>6362</v>
      </c>
      <c r="E2240" s="21" t="s">
        <v>7275</v>
      </c>
      <c r="F2240" s="21" t="s">
        <v>11415</v>
      </c>
    </row>
    <row r="2241" customFormat="false" ht="15" hidden="false" customHeight="false" outlineLevel="0" collapsed="false">
      <c r="B2241" s="19" t="s">
        <v>27603</v>
      </c>
      <c r="C2241" s="20" t="n">
        <f aca="false">ROUND(19.5/FX,2)</f>
        <v>2.71</v>
      </c>
      <c r="D2241" s="21" t="s">
        <v>6362</v>
      </c>
      <c r="E2241" s="21" t="s">
        <v>2961</v>
      </c>
      <c r="F2241" s="21" t="s">
        <v>11415</v>
      </c>
    </row>
    <row r="2242" customFormat="false" ht="15" hidden="false" customHeight="false" outlineLevel="0" collapsed="false">
      <c r="B2242" s="19" t="s">
        <v>27604</v>
      </c>
      <c r="C2242" s="20" t="n">
        <f aca="false">ROUND(9.62/FX,2)</f>
        <v>1.34</v>
      </c>
      <c r="D2242" s="21" t="s">
        <v>6362</v>
      </c>
      <c r="E2242" s="21" t="s">
        <v>761</v>
      </c>
      <c r="F2242" s="21" t="s">
        <v>26884</v>
      </c>
    </row>
    <row r="2243" customFormat="false" ht="15" hidden="false" customHeight="false" outlineLevel="0" collapsed="false">
      <c r="B2243" s="19" t="s">
        <v>27605</v>
      </c>
      <c r="C2243" s="20" t="n">
        <f aca="false">ROUND(9.75/FX,2)</f>
        <v>1.35</v>
      </c>
      <c r="D2243" s="21" t="s">
        <v>6362</v>
      </c>
      <c r="E2243" s="21" t="s">
        <v>3833</v>
      </c>
      <c r="F2243" s="21" t="s">
        <v>26884</v>
      </c>
    </row>
    <row r="2244" customFormat="false" ht="15" hidden="false" customHeight="false" outlineLevel="0" collapsed="false">
      <c r="B2244" s="19" t="s">
        <v>27606</v>
      </c>
      <c r="C2244" s="20" t="n">
        <f aca="false">ROUND(11.7/FX,2)</f>
        <v>1.63</v>
      </c>
      <c r="D2244" s="21" t="s">
        <v>6549</v>
      </c>
      <c r="E2244" s="21" t="s">
        <v>707</v>
      </c>
      <c r="F2244" s="21" t="s">
        <v>22841</v>
      </c>
    </row>
    <row r="2245" customFormat="false" ht="15" hidden="false" customHeight="false" outlineLevel="0" collapsed="false">
      <c r="B2245" s="19" t="s">
        <v>27607</v>
      </c>
      <c r="C2245" s="20" t="n">
        <f aca="false">ROUND(11.7/FX,2)</f>
        <v>1.63</v>
      </c>
      <c r="D2245" s="21" t="s">
        <v>6549</v>
      </c>
      <c r="E2245" s="21" t="s">
        <v>761</v>
      </c>
      <c r="F2245" s="21" t="s">
        <v>22841</v>
      </c>
    </row>
    <row r="2246" customFormat="false" ht="15" hidden="false" customHeight="false" outlineLevel="0" collapsed="false">
      <c r="B2246" s="19" t="s">
        <v>27608</v>
      </c>
      <c r="C2246" s="20" t="n">
        <f aca="false">ROUND(12.35/FX,2)</f>
        <v>1.72</v>
      </c>
      <c r="D2246" s="21" t="s">
        <v>6549</v>
      </c>
      <c r="E2246" s="21" t="s">
        <v>714</v>
      </c>
      <c r="F2246" s="21" t="s">
        <v>22841</v>
      </c>
    </row>
    <row r="2247" customFormat="false" ht="15" hidden="false" customHeight="false" outlineLevel="0" collapsed="false">
      <c r="B2247" s="19" t="s">
        <v>27609</v>
      </c>
      <c r="C2247" s="20" t="n">
        <f aca="false">ROUND(12.35/FX,2)</f>
        <v>1.72</v>
      </c>
      <c r="D2247" s="21" t="s">
        <v>6549</v>
      </c>
      <c r="E2247" s="21" t="s">
        <v>4000</v>
      </c>
      <c r="F2247" s="21" t="s">
        <v>22841</v>
      </c>
    </row>
    <row r="2248" customFormat="false" ht="15" hidden="false" customHeight="false" outlineLevel="0" collapsed="false">
      <c r="B2248" s="19" t="s">
        <v>27610</v>
      </c>
      <c r="C2248" s="20" t="n">
        <f aca="false">ROUND(13/FX,2)</f>
        <v>1.81</v>
      </c>
      <c r="D2248" s="21" t="s">
        <v>6549</v>
      </c>
      <c r="E2248" s="21" t="s">
        <v>3247</v>
      </c>
      <c r="F2248" s="21" t="s">
        <v>22841</v>
      </c>
    </row>
    <row r="2249" customFormat="false" ht="15" hidden="false" customHeight="false" outlineLevel="0" collapsed="false">
      <c r="B2249" s="19" t="s">
        <v>27611</v>
      </c>
      <c r="C2249" s="20" t="n">
        <f aca="false">ROUND(13.65/FX,2)</f>
        <v>1.9</v>
      </c>
      <c r="D2249" s="21" t="s">
        <v>6549</v>
      </c>
      <c r="E2249" s="21" t="s">
        <v>3317</v>
      </c>
      <c r="F2249" s="21" t="s">
        <v>22841</v>
      </c>
    </row>
    <row r="2250" customFormat="false" ht="15" hidden="false" customHeight="false" outlineLevel="0" collapsed="false">
      <c r="B2250" s="19" t="s">
        <v>27612</v>
      </c>
      <c r="C2250" s="20" t="n">
        <f aca="false">ROUND(14.3/FX,2)</f>
        <v>1.99</v>
      </c>
      <c r="D2250" s="21" t="s">
        <v>6549</v>
      </c>
      <c r="E2250" s="21" t="s">
        <v>784</v>
      </c>
      <c r="F2250" s="21" t="s">
        <v>22841</v>
      </c>
    </row>
    <row r="2251" customFormat="false" ht="15" hidden="false" customHeight="false" outlineLevel="0" collapsed="false">
      <c r="B2251" s="19" t="s">
        <v>27613</v>
      </c>
      <c r="C2251" s="20" t="n">
        <f aca="false">ROUND(14.95/FX,2)</f>
        <v>2.08</v>
      </c>
      <c r="D2251" s="21" t="s">
        <v>6549</v>
      </c>
      <c r="E2251" s="21" t="s">
        <v>3328</v>
      </c>
      <c r="F2251" s="21" t="s">
        <v>22841</v>
      </c>
    </row>
    <row r="2252" customFormat="false" ht="15" hidden="false" customHeight="false" outlineLevel="0" collapsed="false">
      <c r="B2252" s="19" t="s">
        <v>27614</v>
      </c>
      <c r="C2252" s="20" t="n">
        <f aca="false">ROUND(15.6/FX,2)</f>
        <v>2.17</v>
      </c>
      <c r="D2252" s="21" t="s">
        <v>6549</v>
      </c>
      <c r="E2252" s="21" t="s">
        <v>6246</v>
      </c>
      <c r="F2252" s="21" t="s">
        <v>22841</v>
      </c>
    </row>
    <row r="2253" customFormat="false" ht="15" hidden="false" customHeight="false" outlineLevel="0" collapsed="false">
      <c r="B2253" s="19" t="s">
        <v>27615</v>
      </c>
      <c r="C2253" s="20" t="n">
        <f aca="false">ROUND(16.9/FX,2)</f>
        <v>2.35</v>
      </c>
      <c r="D2253" s="21" t="s">
        <v>6549</v>
      </c>
      <c r="E2253" s="21" t="s">
        <v>7358</v>
      </c>
      <c r="F2253" s="21" t="s">
        <v>22841</v>
      </c>
    </row>
    <row r="2254" customFormat="false" ht="15" hidden="false" customHeight="false" outlineLevel="0" collapsed="false">
      <c r="B2254" s="19" t="s">
        <v>27616</v>
      </c>
      <c r="C2254" s="20" t="n">
        <f aca="false">ROUND(18.2/FX,2)</f>
        <v>2.53</v>
      </c>
      <c r="D2254" s="21" t="s">
        <v>6549</v>
      </c>
      <c r="E2254" s="21" t="s">
        <v>2911</v>
      </c>
      <c r="F2254" s="21" t="s">
        <v>22841</v>
      </c>
    </row>
    <row r="2255" customFormat="false" ht="15" hidden="false" customHeight="false" outlineLevel="0" collapsed="false">
      <c r="B2255" s="19" t="s">
        <v>27617</v>
      </c>
      <c r="C2255" s="20" t="n">
        <f aca="false">ROUND(19.5/FX,2)</f>
        <v>2.71</v>
      </c>
      <c r="D2255" s="21" t="s">
        <v>6549</v>
      </c>
      <c r="E2255" s="21" t="s">
        <v>7275</v>
      </c>
      <c r="F2255" s="21" t="s">
        <v>22841</v>
      </c>
    </row>
    <row r="2256" customFormat="false" ht="15" hidden="false" customHeight="false" outlineLevel="0" collapsed="false">
      <c r="B2256" s="19" t="s">
        <v>27618</v>
      </c>
      <c r="C2256" s="20" t="n">
        <f aca="false">ROUND(20.8/FX,2)</f>
        <v>2.89</v>
      </c>
      <c r="D2256" s="21" t="s">
        <v>6549</v>
      </c>
      <c r="E2256" s="21" t="s">
        <v>2961</v>
      </c>
      <c r="F2256" s="21" t="s">
        <v>22841</v>
      </c>
    </row>
    <row r="2257" customFormat="false" ht="15" hidden="false" customHeight="false" outlineLevel="0" collapsed="false">
      <c r="B2257" s="19" t="s">
        <v>27619</v>
      </c>
      <c r="C2257" s="20" t="n">
        <f aca="false">ROUND(10.4/FX,2)</f>
        <v>1.44</v>
      </c>
      <c r="D2257" s="21" t="s">
        <v>6549</v>
      </c>
      <c r="E2257" s="21" t="s">
        <v>707</v>
      </c>
      <c r="F2257" s="21" t="s">
        <v>11411</v>
      </c>
    </row>
    <row r="2258" customFormat="false" ht="15" hidden="false" customHeight="false" outlineLevel="0" collapsed="false">
      <c r="B2258" s="19" t="s">
        <v>27620</v>
      </c>
      <c r="C2258" s="20" t="n">
        <f aca="false">ROUND(18.2/FX,2)</f>
        <v>2.53</v>
      </c>
      <c r="D2258" s="21" t="s">
        <v>6549</v>
      </c>
      <c r="E2258" s="21" t="s">
        <v>2600</v>
      </c>
      <c r="F2258" s="21" t="s">
        <v>11411</v>
      </c>
    </row>
    <row r="2259" customFormat="false" ht="15" hidden="false" customHeight="false" outlineLevel="0" collapsed="false">
      <c r="B2259" s="19" t="s">
        <v>27621</v>
      </c>
      <c r="C2259" s="20" t="n">
        <f aca="false">ROUND(10.4/FX,2)</f>
        <v>1.44</v>
      </c>
      <c r="D2259" s="21" t="s">
        <v>6549</v>
      </c>
      <c r="E2259" s="21" t="s">
        <v>761</v>
      </c>
      <c r="F2259" s="21" t="s">
        <v>11411</v>
      </c>
    </row>
    <row r="2260" customFormat="false" ht="15" hidden="false" customHeight="false" outlineLevel="0" collapsed="false">
      <c r="B2260" s="19" t="s">
        <v>27622</v>
      </c>
      <c r="C2260" s="20" t="n">
        <f aca="false">ROUND(11.05/FX,2)</f>
        <v>1.53</v>
      </c>
      <c r="D2260" s="21" t="s">
        <v>6549</v>
      </c>
      <c r="E2260" s="21" t="s">
        <v>714</v>
      </c>
      <c r="F2260" s="21" t="s">
        <v>11411</v>
      </c>
    </row>
    <row r="2261" customFormat="false" ht="15" hidden="false" customHeight="false" outlineLevel="0" collapsed="false">
      <c r="B2261" s="19" t="s">
        <v>27623</v>
      </c>
      <c r="C2261" s="20" t="n">
        <f aca="false">ROUND(11.05/FX,2)</f>
        <v>1.53</v>
      </c>
      <c r="D2261" s="21" t="s">
        <v>6549</v>
      </c>
      <c r="E2261" s="21" t="s">
        <v>4000</v>
      </c>
      <c r="F2261" s="21" t="s">
        <v>11411</v>
      </c>
    </row>
    <row r="2262" customFormat="false" ht="15" hidden="false" customHeight="false" outlineLevel="0" collapsed="false">
      <c r="B2262" s="19" t="s">
        <v>27624</v>
      </c>
      <c r="C2262" s="20" t="n">
        <f aca="false">ROUND(11.7/FX,2)</f>
        <v>1.63</v>
      </c>
      <c r="D2262" s="21" t="s">
        <v>6549</v>
      </c>
      <c r="E2262" s="21" t="s">
        <v>3247</v>
      </c>
      <c r="F2262" s="21" t="s">
        <v>11411</v>
      </c>
    </row>
    <row r="2263" customFormat="false" ht="15" hidden="false" customHeight="false" outlineLevel="0" collapsed="false">
      <c r="B2263" s="19" t="s">
        <v>27625</v>
      </c>
      <c r="C2263" s="20" t="n">
        <f aca="false">ROUND(11.7/FX,2)</f>
        <v>1.63</v>
      </c>
      <c r="D2263" s="21" t="s">
        <v>6549</v>
      </c>
      <c r="E2263" s="21" t="s">
        <v>3317</v>
      </c>
      <c r="F2263" s="21" t="s">
        <v>11411</v>
      </c>
    </row>
    <row r="2264" customFormat="false" ht="15" hidden="false" customHeight="false" outlineLevel="0" collapsed="false">
      <c r="B2264" s="19" t="s">
        <v>27626</v>
      </c>
      <c r="C2264" s="20" t="n">
        <f aca="false">ROUND(12.35/FX,2)</f>
        <v>1.72</v>
      </c>
      <c r="D2264" s="21" t="s">
        <v>6549</v>
      </c>
      <c r="E2264" s="21" t="s">
        <v>784</v>
      </c>
      <c r="F2264" s="21" t="s">
        <v>11411</v>
      </c>
    </row>
    <row r="2265" customFormat="false" ht="15" hidden="false" customHeight="false" outlineLevel="0" collapsed="false">
      <c r="B2265" s="19" t="s">
        <v>27627</v>
      </c>
      <c r="C2265" s="20" t="n">
        <f aca="false">ROUND(12.35/FX,2)</f>
        <v>1.72</v>
      </c>
      <c r="D2265" s="21" t="s">
        <v>6549</v>
      </c>
      <c r="E2265" s="21" t="s">
        <v>3328</v>
      </c>
      <c r="F2265" s="21" t="s">
        <v>11411</v>
      </c>
    </row>
    <row r="2266" customFormat="false" ht="15" hidden="false" customHeight="false" outlineLevel="0" collapsed="false">
      <c r="B2266" s="19" t="s">
        <v>27628</v>
      </c>
      <c r="C2266" s="20" t="n">
        <f aca="false">ROUND(13/FX,2)</f>
        <v>1.81</v>
      </c>
      <c r="D2266" s="21" t="s">
        <v>6549</v>
      </c>
      <c r="E2266" s="21" t="s">
        <v>6246</v>
      </c>
      <c r="F2266" s="21" t="s">
        <v>11411</v>
      </c>
    </row>
    <row r="2267" customFormat="false" ht="15" hidden="false" customHeight="false" outlineLevel="0" collapsed="false">
      <c r="B2267" s="19" t="s">
        <v>27629</v>
      </c>
      <c r="C2267" s="20" t="n">
        <f aca="false">ROUND(13/FX,2)</f>
        <v>1.81</v>
      </c>
      <c r="D2267" s="21" t="s">
        <v>6549</v>
      </c>
      <c r="E2267" s="21" t="s">
        <v>7358</v>
      </c>
      <c r="F2267" s="21" t="s">
        <v>11411</v>
      </c>
    </row>
    <row r="2268" customFormat="false" ht="15" hidden="false" customHeight="false" outlineLevel="0" collapsed="false">
      <c r="B2268" s="19" t="s">
        <v>27630</v>
      </c>
      <c r="C2268" s="20" t="n">
        <f aca="false">ROUND(13.65/FX,2)</f>
        <v>1.9</v>
      </c>
      <c r="D2268" s="21" t="s">
        <v>6549</v>
      </c>
      <c r="E2268" s="21" t="s">
        <v>2911</v>
      </c>
      <c r="F2268" s="21" t="s">
        <v>11411</v>
      </c>
    </row>
    <row r="2269" customFormat="false" ht="15" hidden="false" customHeight="false" outlineLevel="0" collapsed="false">
      <c r="B2269" s="19" t="s">
        <v>27631</v>
      </c>
      <c r="C2269" s="20" t="n">
        <f aca="false">ROUND(14.3/FX,2)</f>
        <v>1.99</v>
      </c>
      <c r="D2269" s="21" t="s">
        <v>6549</v>
      </c>
      <c r="E2269" s="21" t="s">
        <v>2961</v>
      </c>
      <c r="F2269" s="21" t="s">
        <v>11411</v>
      </c>
    </row>
    <row r="2270" customFormat="false" ht="15" hidden="false" customHeight="false" outlineLevel="0" collapsed="false">
      <c r="B2270" s="19" t="s">
        <v>27632</v>
      </c>
      <c r="C2270" s="20" t="n">
        <f aca="false">ROUND(15.6/FX,2)</f>
        <v>2.17</v>
      </c>
      <c r="D2270" s="21" t="s">
        <v>6549</v>
      </c>
      <c r="E2270" s="21" t="s">
        <v>3011</v>
      </c>
      <c r="F2270" s="21" t="s">
        <v>11411</v>
      </c>
    </row>
    <row r="2271" customFormat="false" ht="15" hidden="false" customHeight="false" outlineLevel="0" collapsed="false">
      <c r="B2271" s="19" t="s">
        <v>27633</v>
      </c>
      <c r="C2271" s="20" t="n">
        <f aca="false">ROUND(16.9/FX,2)</f>
        <v>2.35</v>
      </c>
      <c r="D2271" s="21" t="s">
        <v>6549</v>
      </c>
      <c r="E2271" s="21" t="s">
        <v>3061</v>
      </c>
      <c r="F2271" s="21" t="s">
        <v>11411</v>
      </c>
    </row>
    <row r="2272" customFormat="false" ht="15" hidden="false" customHeight="false" outlineLevel="0" collapsed="false">
      <c r="B2272" s="19" t="s">
        <v>27634</v>
      </c>
      <c r="C2272" s="20" t="n">
        <f aca="false">ROUND(16.9/FX,2)</f>
        <v>2.35</v>
      </c>
      <c r="D2272" s="21" t="s">
        <v>6549</v>
      </c>
      <c r="E2272" s="21" t="s">
        <v>3111</v>
      </c>
      <c r="F2272" s="21" t="s">
        <v>11411</v>
      </c>
    </row>
    <row r="2273" customFormat="false" ht="15" hidden="false" customHeight="false" outlineLevel="0" collapsed="false">
      <c r="B2273" s="19" t="s">
        <v>27635</v>
      </c>
      <c r="C2273" s="20" t="n">
        <f aca="false">ROUND(10.4/FX,2)</f>
        <v>1.44</v>
      </c>
      <c r="D2273" s="21" t="s">
        <v>6549</v>
      </c>
      <c r="E2273" s="21" t="s">
        <v>707</v>
      </c>
      <c r="F2273" s="21" t="s">
        <v>11413</v>
      </c>
    </row>
    <row r="2274" customFormat="false" ht="15" hidden="false" customHeight="false" outlineLevel="0" collapsed="false">
      <c r="B2274" s="19" t="s">
        <v>27636</v>
      </c>
      <c r="C2274" s="20" t="n">
        <f aca="false">ROUND(10.4/FX,2)</f>
        <v>1.44</v>
      </c>
      <c r="D2274" s="21" t="s">
        <v>6549</v>
      </c>
      <c r="E2274" s="21" t="s">
        <v>761</v>
      </c>
      <c r="F2274" s="21" t="s">
        <v>11413</v>
      </c>
    </row>
    <row r="2275" customFormat="false" ht="15" hidden="false" customHeight="false" outlineLevel="0" collapsed="false">
      <c r="B2275" s="19" t="s">
        <v>27637</v>
      </c>
      <c r="C2275" s="20" t="n">
        <f aca="false">ROUND(11.05/FX,2)</f>
        <v>1.53</v>
      </c>
      <c r="D2275" s="21" t="s">
        <v>6549</v>
      </c>
      <c r="E2275" s="21" t="s">
        <v>714</v>
      </c>
      <c r="F2275" s="21" t="s">
        <v>11413</v>
      </c>
    </row>
    <row r="2276" customFormat="false" ht="15" hidden="false" customHeight="false" outlineLevel="0" collapsed="false">
      <c r="B2276" s="19" t="s">
        <v>27638</v>
      </c>
      <c r="C2276" s="20" t="n">
        <f aca="false">ROUND(11.05/FX,2)</f>
        <v>1.53</v>
      </c>
      <c r="D2276" s="21" t="s">
        <v>6549</v>
      </c>
      <c r="E2276" s="21" t="s">
        <v>4000</v>
      </c>
      <c r="F2276" s="21" t="s">
        <v>11413</v>
      </c>
    </row>
    <row r="2277" customFormat="false" ht="15" hidden="false" customHeight="false" outlineLevel="0" collapsed="false">
      <c r="B2277" s="19" t="s">
        <v>27639</v>
      </c>
      <c r="C2277" s="20" t="n">
        <f aca="false">ROUND(11.7/FX,2)</f>
        <v>1.63</v>
      </c>
      <c r="D2277" s="21" t="s">
        <v>6549</v>
      </c>
      <c r="E2277" s="21" t="s">
        <v>3247</v>
      </c>
      <c r="F2277" s="21" t="s">
        <v>11413</v>
      </c>
    </row>
    <row r="2278" customFormat="false" ht="15" hidden="false" customHeight="false" outlineLevel="0" collapsed="false">
      <c r="B2278" s="19" t="s">
        <v>27640</v>
      </c>
      <c r="C2278" s="20" t="n">
        <f aca="false">ROUND(11.7/FX,2)</f>
        <v>1.63</v>
      </c>
      <c r="D2278" s="21" t="s">
        <v>6549</v>
      </c>
      <c r="E2278" s="21" t="s">
        <v>3317</v>
      </c>
      <c r="F2278" s="21" t="s">
        <v>11413</v>
      </c>
    </row>
    <row r="2279" customFormat="false" ht="15" hidden="false" customHeight="false" outlineLevel="0" collapsed="false">
      <c r="B2279" s="19" t="s">
        <v>27641</v>
      </c>
      <c r="C2279" s="20" t="n">
        <f aca="false">ROUND(12.35/FX,2)</f>
        <v>1.72</v>
      </c>
      <c r="D2279" s="21" t="s">
        <v>6549</v>
      </c>
      <c r="E2279" s="21" t="s">
        <v>784</v>
      </c>
      <c r="F2279" s="21" t="s">
        <v>11413</v>
      </c>
    </row>
    <row r="2280" customFormat="false" ht="15" hidden="false" customHeight="false" outlineLevel="0" collapsed="false">
      <c r="B2280" s="19" t="s">
        <v>27642</v>
      </c>
      <c r="C2280" s="20" t="n">
        <f aca="false">ROUND(12.35/FX,2)</f>
        <v>1.72</v>
      </c>
      <c r="D2280" s="21" t="s">
        <v>6549</v>
      </c>
      <c r="E2280" s="21" t="s">
        <v>3328</v>
      </c>
      <c r="F2280" s="21" t="s">
        <v>11413</v>
      </c>
    </row>
    <row r="2281" customFormat="false" ht="15" hidden="false" customHeight="false" outlineLevel="0" collapsed="false">
      <c r="B2281" s="19" t="s">
        <v>27643</v>
      </c>
      <c r="C2281" s="20" t="n">
        <f aca="false">ROUND(13/FX,2)</f>
        <v>1.81</v>
      </c>
      <c r="D2281" s="21" t="s">
        <v>6549</v>
      </c>
      <c r="E2281" s="21" t="s">
        <v>6246</v>
      </c>
      <c r="F2281" s="21" t="s">
        <v>11413</v>
      </c>
    </row>
    <row r="2282" customFormat="false" ht="15" hidden="false" customHeight="false" outlineLevel="0" collapsed="false">
      <c r="B2282" s="19" t="s">
        <v>27644</v>
      </c>
      <c r="C2282" s="20" t="n">
        <f aca="false">ROUND(13/FX,2)</f>
        <v>1.81</v>
      </c>
      <c r="D2282" s="21" t="s">
        <v>6549</v>
      </c>
      <c r="E2282" s="21" t="s">
        <v>7358</v>
      </c>
      <c r="F2282" s="21" t="s">
        <v>11413</v>
      </c>
    </row>
    <row r="2283" customFormat="false" ht="15" hidden="false" customHeight="false" outlineLevel="0" collapsed="false">
      <c r="B2283" s="19" t="s">
        <v>27645</v>
      </c>
      <c r="C2283" s="20" t="n">
        <f aca="false">ROUND(13.65/FX,2)</f>
        <v>1.9</v>
      </c>
      <c r="D2283" s="21" t="s">
        <v>6549</v>
      </c>
      <c r="E2283" s="21" t="s">
        <v>2911</v>
      </c>
      <c r="F2283" s="21" t="s">
        <v>11413</v>
      </c>
    </row>
    <row r="2284" customFormat="false" ht="15" hidden="false" customHeight="false" outlineLevel="0" collapsed="false">
      <c r="B2284" s="19" t="s">
        <v>27646</v>
      </c>
      <c r="C2284" s="20" t="n">
        <f aca="false">ROUND(14.3/FX,2)</f>
        <v>1.99</v>
      </c>
      <c r="D2284" s="21" t="s">
        <v>6549</v>
      </c>
      <c r="E2284" s="21" t="s">
        <v>7275</v>
      </c>
      <c r="F2284" s="21" t="s">
        <v>11413</v>
      </c>
    </row>
    <row r="2285" customFormat="false" ht="15" hidden="false" customHeight="false" outlineLevel="0" collapsed="false">
      <c r="B2285" s="19" t="s">
        <v>27647</v>
      </c>
      <c r="C2285" s="20" t="n">
        <f aca="false">ROUND(15.6/FX,2)</f>
        <v>2.17</v>
      </c>
      <c r="D2285" s="21" t="s">
        <v>6549</v>
      </c>
      <c r="E2285" s="21" t="s">
        <v>2961</v>
      </c>
      <c r="F2285" s="21" t="s">
        <v>11413</v>
      </c>
    </row>
    <row r="2286" customFormat="false" ht="15" hidden="false" customHeight="false" outlineLevel="0" collapsed="false">
      <c r="B2286" s="19" t="s">
        <v>27648</v>
      </c>
      <c r="C2286" s="20" t="n">
        <f aca="false">ROUND(11.05/FX,2)</f>
        <v>1.53</v>
      </c>
      <c r="D2286" s="21" t="s">
        <v>6549</v>
      </c>
      <c r="E2286" s="21" t="s">
        <v>707</v>
      </c>
      <c r="F2286" s="21" t="s">
        <v>11415</v>
      </c>
    </row>
    <row r="2287" customFormat="false" ht="15" hidden="false" customHeight="false" outlineLevel="0" collapsed="false">
      <c r="B2287" s="19" t="s">
        <v>27649</v>
      </c>
      <c r="C2287" s="20" t="n">
        <f aca="false">ROUND(11.05/FX,2)</f>
        <v>1.53</v>
      </c>
      <c r="D2287" s="21" t="s">
        <v>6549</v>
      </c>
      <c r="E2287" s="21" t="s">
        <v>761</v>
      </c>
      <c r="F2287" s="21" t="s">
        <v>11415</v>
      </c>
    </row>
    <row r="2288" customFormat="false" ht="15" hidden="false" customHeight="false" outlineLevel="0" collapsed="false">
      <c r="B2288" s="19" t="s">
        <v>27650</v>
      </c>
      <c r="C2288" s="20" t="n">
        <f aca="false">ROUND(11.7/FX,2)</f>
        <v>1.63</v>
      </c>
      <c r="D2288" s="21" t="s">
        <v>6549</v>
      </c>
      <c r="E2288" s="21" t="s">
        <v>714</v>
      </c>
      <c r="F2288" s="21" t="s">
        <v>11415</v>
      </c>
    </row>
    <row r="2289" customFormat="false" ht="15" hidden="false" customHeight="false" outlineLevel="0" collapsed="false">
      <c r="B2289" s="19" t="s">
        <v>27651</v>
      </c>
      <c r="C2289" s="20" t="n">
        <f aca="false">ROUND(11.7/FX,2)</f>
        <v>1.63</v>
      </c>
      <c r="D2289" s="21" t="s">
        <v>6549</v>
      </c>
      <c r="E2289" s="21" t="s">
        <v>4000</v>
      </c>
      <c r="F2289" s="21" t="s">
        <v>11415</v>
      </c>
    </row>
    <row r="2290" customFormat="false" ht="15" hidden="false" customHeight="false" outlineLevel="0" collapsed="false">
      <c r="B2290" s="19" t="s">
        <v>27652</v>
      </c>
      <c r="C2290" s="20" t="n">
        <f aca="false">ROUND(12.35/FX,2)</f>
        <v>1.72</v>
      </c>
      <c r="D2290" s="21" t="s">
        <v>6549</v>
      </c>
      <c r="E2290" s="21" t="s">
        <v>3247</v>
      </c>
      <c r="F2290" s="21" t="s">
        <v>11415</v>
      </c>
    </row>
    <row r="2291" customFormat="false" ht="15" hidden="false" customHeight="false" outlineLevel="0" collapsed="false">
      <c r="B2291" s="19" t="s">
        <v>27653</v>
      </c>
      <c r="C2291" s="20" t="n">
        <f aca="false">ROUND(10.66/FX,2)</f>
        <v>1.48</v>
      </c>
      <c r="D2291" s="21" t="s">
        <v>6549</v>
      </c>
      <c r="E2291" s="21" t="s">
        <v>5097</v>
      </c>
      <c r="F2291" s="21" t="s">
        <v>11415</v>
      </c>
    </row>
    <row r="2292" customFormat="false" ht="15" hidden="false" customHeight="false" outlineLevel="0" collapsed="false">
      <c r="B2292" s="19" t="s">
        <v>27654</v>
      </c>
      <c r="C2292" s="20" t="n">
        <f aca="false">ROUND(12.35/FX,2)</f>
        <v>1.72</v>
      </c>
      <c r="D2292" s="21" t="s">
        <v>6549</v>
      </c>
      <c r="E2292" s="21" t="s">
        <v>3317</v>
      </c>
      <c r="F2292" s="21" t="s">
        <v>11415</v>
      </c>
    </row>
    <row r="2293" customFormat="false" ht="15" hidden="false" customHeight="false" outlineLevel="0" collapsed="false">
      <c r="B2293" s="19" t="s">
        <v>27655</v>
      </c>
      <c r="C2293" s="20" t="n">
        <f aca="false">ROUND(13/FX,2)</f>
        <v>1.81</v>
      </c>
      <c r="D2293" s="21" t="s">
        <v>6549</v>
      </c>
      <c r="E2293" s="21" t="s">
        <v>784</v>
      </c>
      <c r="F2293" s="21" t="s">
        <v>11415</v>
      </c>
    </row>
    <row r="2294" customFormat="false" ht="15" hidden="false" customHeight="false" outlineLevel="0" collapsed="false">
      <c r="B2294" s="19" t="s">
        <v>27656</v>
      </c>
      <c r="C2294" s="20" t="n">
        <f aca="false">ROUND(13.65/FX,2)</f>
        <v>1.9</v>
      </c>
      <c r="D2294" s="21" t="s">
        <v>6549</v>
      </c>
      <c r="E2294" s="21" t="s">
        <v>3328</v>
      </c>
      <c r="F2294" s="21" t="s">
        <v>11415</v>
      </c>
    </row>
    <row r="2295" customFormat="false" ht="15" hidden="false" customHeight="false" outlineLevel="0" collapsed="false">
      <c r="B2295" s="19" t="s">
        <v>27657</v>
      </c>
      <c r="C2295" s="20" t="n">
        <f aca="false">ROUND(14.3/FX,2)</f>
        <v>1.99</v>
      </c>
      <c r="D2295" s="21" t="s">
        <v>6549</v>
      </c>
      <c r="E2295" s="21" t="s">
        <v>6246</v>
      </c>
      <c r="F2295" s="21" t="s">
        <v>11415</v>
      </c>
    </row>
    <row r="2296" customFormat="false" ht="15" hidden="false" customHeight="false" outlineLevel="0" collapsed="false">
      <c r="B2296" s="19" t="s">
        <v>27658</v>
      </c>
      <c r="C2296" s="20" t="n">
        <f aca="false">ROUND(15.6/FX,2)</f>
        <v>2.17</v>
      </c>
      <c r="D2296" s="21" t="s">
        <v>6549</v>
      </c>
      <c r="E2296" s="21" t="s">
        <v>7358</v>
      </c>
      <c r="F2296" s="21" t="s">
        <v>11415</v>
      </c>
    </row>
    <row r="2297" customFormat="false" ht="15" hidden="false" customHeight="false" outlineLevel="0" collapsed="false">
      <c r="B2297" s="19" t="s">
        <v>27659</v>
      </c>
      <c r="C2297" s="20" t="n">
        <f aca="false">ROUND(16.9/FX,2)</f>
        <v>2.35</v>
      </c>
      <c r="D2297" s="21" t="s">
        <v>6549</v>
      </c>
      <c r="E2297" s="21" t="s">
        <v>2911</v>
      </c>
      <c r="F2297" s="21" t="s">
        <v>11415</v>
      </c>
    </row>
    <row r="2298" customFormat="false" ht="15" hidden="false" customHeight="false" outlineLevel="0" collapsed="false">
      <c r="B2298" s="19" t="s">
        <v>27660</v>
      </c>
      <c r="C2298" s="20" t="n">
        <f aca="false">ROUND(18.2/FX,2)</f>
        <v>2.53</v>
      </c>
      <c r="D2298" s="21" t="s">
        <v>6549</v>
      </c>
      <c r="E2298" s="21" t="s">
        <v>7275</v>
      </c>
      <c r="F2298" s="21" t="s">
        <v>11415</v>
      </c>
    </row>
    <row r="2299" customFormat="false" ht="15" hidden="false" customHeight="false" outlineLevel="0" collapsed="false">
      <c r="B2299" s="19" t="s">
        <v>27661</v>
      </c>
      <c r="C2299" s="20" t="n">
        <f aca="false">ROUND(19.5/FX,2)</f>
        <v>2.71</v>
      </c>
      <c r="D2299" s="21" t="s">
        <v>6549</v>
      </c>
      <c r="E2299" s="21" t="s">
        <v>2961</v>
      </c>
      <c r="F2299" s="21" t="s">
        <v>11415</v>
      </c>
    </row>
    <row r="2302" customFormat="false" ht="61.5" hidden="false" customHeight="true" outlineLevel="0" collapsed="false">
      <c r="A2302" s="9"/>
      <c r="B2302" s="10" t="s">
        <v>27662</v>
      </c>
      <c r="C2302" s="10"/>
      <c r="D2302" s="10"/>
      <c r="E2302" s="10"/>
      <c r="F2302" s="10"/>
      <c r="G2302" s="10"/>
      <c r="H2302" s="10"/>
    </row>
    <row r="2303" customFormat="false" ht="15" hidden="false" customHeight="false" outlineLevel="0" collapsed="false">
      <c r="A2303" s="12" t="s">
        <v>700</v>
      </c>
      <c r="B2303" s="13" t="s">
        <v>701</v>
      </c>
      <c r="C2303" s="13" t="s">
        <v>702</v>
      </c>
      <c r="D2303" s="13" t="s">
        <v>705</v>
      </c>
      <c r="E2303" s="13" t="s">
        <v>723</v>
      </c>
      <c r="F2303" s="13" t="s">
        <v>11716</v>
      </c>
      <c r="G2303" s="13" t="s">
        <v>13701</v>
      </c>
      <c r="H2303" s="13" t="s">
        <v>15458</v>
      </c>
    </row>
    <row r="2304" customFormat="false" ht="30" hidden="false" customHeight="true" outlineLevel="0" collapsed="false">
      <c r="A2304" s="14" t="s">
        <v>706</v>
      </c>
      <c r="B2304" s="15" t="str">
        <f aca="false">IF(COUNTIFS($D$2307:$D$2434,IF(D2304="","*",D2304),$E$2307:$E$2434,IF(E2304="","*",E2304),$F$2307:$F$2434,IF(F2304="","*",F2304),$G$2307:$G$2434,IF(G2304="","*",G2304),$H$2307:$H$2434,IF(H2304="","*",H2304))=1,INDEX($B:$B,SUMPRODUCT(((D2304="")+($D$2307:$D$2434=D2304)&gt;0)*((E2304="")+($E$2307:$E$2434=E2304)&gt;0)*((F2304="")+($F$2307:$F$2434=F2304)&gt;0)*((G2304="")+($G$2307:$G$2434=G2304)&gt;0)*((H2304="")+($H$2307:$H$2434=H2304)&gt;0)*ROW($B$2307:$B$2434))),IF(COUNTIFS($D$2307:$D$2434,IF(D2304="","*",D2304),$E$2307:$E$2434,IF(E2304="","*",E2304),$F$2307:$F$2434,IF(F2304="","*",F2304),$G$2307:$G$2434,IF(G2304="","*",G2304),$H$2307:$H$2434,IF(H2304="","*",H2304))=0,"Not available",COUNTIFS($D$2307:$D$2434,IF(D2304="","*",D2304),$E$2307:$E$2434,IF(E2304="","*",E2304),$F$2307:$F$2434,IF(F2304="","*",F2304),$G$2307:$G$2434,IF(G2304="","*",G2304),$H$2307:$H$2434,IF(H2304="","*",H2304))&amp;" match, keep choosing"))</f>
        <v>X818-M2.5x10-P39</v>
      </c>
      <c r="C2304" s="16" t="n">
        <f aca="false">IF(COUNTIFS($D$2307:$D$2434,IF(D2304="","*",D2304),$E$2307:$E$2434,IF(E2304="","*",E2304),$F$2307:$F$2434,IF(F2304="","*",F2304),$G$2307:$G$2434,IF(G2304="","*",G2304),$H$2307:$H$2434,IF(H2304="","*",H2304))=1,INDEX($C:$C,SUMPRODUCT(((D2304="")+($D$2307:$D$2434=D2304)&gt;0)*((E2304="")+($E$2307:$E$2434=E2304)&gt;0)*((F2304="")+($F$2307:$F$2434=F2304)&gt;0)*((G2304="")+($G$2307:$G$2434=G2304)&gt;0)*((H2304="")+($H$2307:$H$2434=H2304)&gt;0)*ROW($B$2307:$B$2434))),"")</f>
        <v>0.14</v>
      </c>
      <c r="D2304" s="17" t="s">
        <v>25375</v>
      </c>
      <c r="E2304" s="17" t="s">
        <v>734</v>
      </c>
      <c r="F2304" s="17" t="s">
        <v>707</v>
      </c>
      <c r="G2304" s="17" t="s">
        <v>25460</v>
      </c>
      <c r="H2304" s="17" t="s">
        <v>27663</v>
      </c>
    </row>
    <row r="2306" customFormat="false" ht="15" hidden="false" customHeight="false" outlineLevel="0" collapsed="false">
      <c r="B2306" s="18" t="s">
        <v>701</v>
      </c>
      <c r="C2306" s="18" t="s">
        <v>702</v>
      </c>
      <c r="D2306" s="18" t="s">
        <v>705</v>
      </c>
      <c r="E2306" s="18" t="s">
        <v>723</v>
      </c>
      <c r="F2306" s="18" t="s">
        <v>11716</v>
      </c>
      <c r="G2306" s="18" t="s">
        <v>13701</v>
      </c>
      <c r="H2306" s="18" t="s">
        <v>15458</v>
      </c>
    </row>
    <row r="2307" customFormat="false" ht="15" hidden="false" customHeight="false" outlineLevel="0" collapsed="false">
      <c r="B2307" s="19" t="s">
        <v>27664</v>
      </c>
      <c r="C2307" s="20" t="n">
        <f aca="false">ROUND(1/FX,2)</f>
        <v>0.14</v>
      </c>
      <c r="D2307" s="21" t="s">
        <v>25375</v>
      </c>
      <c r="E2307" s="21" t="s">
        <v>734</v>
      </c>
      <c r="F2307" s="21" t="s">
        <v>707</v>
      </c>
      <c r="G2307" s="21" t="s">
        <v>25460</v>
      </c>
      <c r="H2307" s="21" t="s">
        <v>27663</v>
      </c>
    </row>
    <row r="2308" customFormat="false" ht="15" hidden="false" customHeight="false" outlineLevel="0" collapsed="false">
      <c r="B2308" s="19" t="s">
        <v>27665</v>
      </c>
      <c r="C2308" s="20" t="n">
        <f aca="false">ROUND(1.01/FX,2)</f>
        <v>0.14</v>
      </c>
      <c r="D2308" s="21" t="s">
        <v>25514</v>
      </c>
      <c r="E2308" s="21" t="s">
        <v>734</v>
      </c>
      <c r="F2308" s="21" t="s">
        <v>761</v>
      </c>
      <c r="G2308" s="21" t="s">
        <v>25460</v>
      </c>
      <c r="H2308" s="21" t="s">
        <v>27663</v>
      </c>
    </row>
    <row r="2309" customFormat="false" ht="15" hidden="false" customHeight="false" outlineLevel="0" collapsed="false">
      <c r="B2309" s="19" t="s">
        <v>27666</v>
      </c>
      <c r="C2309" s="20" t="n">
        <f aca="false">ROUND(1.02/FX,2)</f>
        <v>0.14</v>
      </c>
      <c r="D2309" s="21" t="s">
        <v>25464</v>
      </c>
      <c r="E2309" s="21" t="s">
        <v>734</v>
      </c>
      <c r="F2309" s="21" t="s">
        <v>4721</v>
      </c>
      <c r="G2309" s="21" t="s">
        <v>25460</v>
      </c>
      <c r="H2309" s="21" t="s">
        <v>27663</v>
      </c>
    </row>
    <row r="2310" customFormat="false" ht="15" hidden="false" customHeight="false" outlineLevel="0" collapsed="false">
      <c r="B2310" s="19" t="s">
        <v>27667</v>
      </c>
      <c r="C2310" s="20" t="n">
        <f aca="false">ROUND(1.01/FX,2)</f>
        <v>0.14</v>
      </c>
      <c r="D2310" s="21" t="s">
        <v>25467</v>
      </c>
      <c r="E2310" s="21" t="s">
        <v>734</v>
      </c>
      <c r="F2310" s="21" t="s">
        <v>3833</v>
      </c>
      <c r="G2310" s="21" t="s">
        <v>25460</v>
      </c>
      <c r="H2310" s="21" t="s">
        <v>27663</v>
      </c>
    </row>
    <row r="2311" customFormat="false" ht="15" hidden="false" customHeight="false" outlineLevel="0" collapsed="false">
      <c r="B2311" s="19" t="s">
        <v>27668</v>
      </c>
      <c r="C2311" s="20" t="n">
        <f aca="false">ROUND(1.02/FX,2)</f>
        <v>0.14</v>
      </c>
      <c r="D2311" s="21" t="s">
        <v>25469</v>
      </c>
      <c r="E2311" s="21" t="s">
        <v>734</v>
      </c>
      <c r="F2311" s="21" t="s">
        <v>4000</v>
      </c>
      <c r="G2311" s="21" t="s">
        <v>25460</v>
      </c>
      <c r="H2311" s="21" t="s">
        <v>27663</v>
      </c>
    </row>
    <row r="2312" customFormat="false" ht="15" hidden="false" customHeight="false" outlineLevel="0" collapsed="false">
      <c r="B2312" s="19" t="s">
        <v>27669</v>
      </c>
      <c r="C2312" s="20" t="n">
        <f aca="false">ROUND(1.03/FX,2)</f>
        <v>0.14</v>
      </c>
      <c r="D2312" s="21" t="s">
        <v>26256</v>
      </c>
      <c r="E2312" s="21" t="s">
        <v>734</v>
      </c>
      <c r="F2312" s="21" t="s">
        <v>3247</v>
      </c>
      <c r="G2312" s="21" t="s">
        <v>25460</v>
      </c>
      <c r="H2312" s="21" t="s">
        <v>27663</v>
      </c>
    </row>
    <row r="2313" customFormat="false" ht="15" hidden="false" customHeight="false" outlineLevel="0" collapsed="false">
      <c r="B2313" s="19" t="s">
        <v>27670</v>
      </c>
      <c r="C2313" s="20" t="n">
        <f aca="false">ROUND(1.04/FX,2)</f>
        <v>0.14</v>
      </c>
      <c r="D2313" s="21" t="s">
        <v>24231</v>
      </c>
      <c r="E2313" s="21" t="s">
        <v>734</v>
      </c>
      <c r="F2313" s="21" t="s">
        <v>5097</v>
      </c>
      <c r="G2313" s="21" t="s">
        <v>25460</v>
      </c>
      <c r="H2313" s="21" t="s">
        <v>27663</v>
      </c>
    </row>
    <row r="2314" customFormat="false" ht="15" hidden="false" customHeight="false" outlineLevel="0" collapsed="false">
      <c r="B2314" s="19" t="s">
        <v>27671</v>
      </c>
      <c r="C2314" s="20" t="n">
        <f aca="false">ROUND(1.04/FX,2)</f>
        <v>0.14</v>
      </c>
      <c r="D2314" s="21" t="s">
        <v>24231</v>
      </c>
      <c r="E2314" s="21" t="s">
        <v>734</v>
      </c>
      <c r="F2314" s="21" t="s">
        <v>3317</v>
      </c>
      <c r="G2314" s="21" t="s">
        <v>25460</v>
      </c>
      <c r="H2314" s="21" t="s">
        <v>27663</v>
      </c>
    </row>
    <row r="2315" customFormat="false" ht="15" hidden="false" customHeight="false" outlineLevel="0" collapsed="false">
      <c r="B2315" s="19" t="s">
        <v>27672</v>
      </c>
      <c r="C2315" s="20" t="n">
        <f aca="false">ROUND(1/FX,2)</f>
        <v>0.14</v>
      </c>
      <c r="D2315" s="21" t="s">
        <v>25375</v>
      </c>
      <c r="E2315" s="21" t="s">
        <v>734</v>
      </c>
      <c r="F2315" s="21" t="s">
        <v>839</v>
      </c>
      <c r="G2315" s="21" t="s">
        <v>25460</v>
      </c>
      <c r="H2315" s="21" t="s">
        <v>27663</v>
      </c>
    </row>
    <row r="2316" customFormat="false" ht="15" hidden="false" customHeight="false" outlineLevel="0" collapsed="false">
      <c r="B2316" s="19" t="s">
        <v>27673</v>
      </c>
      <c r="C2316" s="20" t="n">
        <f aca="false">ROUND(1.02/FX,2)</f>
        <v>0.14</v>
      </c>
      <c r="D2316" s="21" t="s">
        <v>25371</v>
      </c>
      <c r="E2316" s="21" t="s">
        <v>734</v>
      </c>
      <c r="F2316" s="21" t="s">
        <v>841</v>
      </c>
      <c r="G2316" s="21" t="s">
        <v>25460</v>
      </c>
      <c r="H2316" s="21" t="s">
        <v>27663</v>
      </c>
    </row>
    <row r="2317" customFormat="false" ht="15" hidden="false" customHeight="false" outlineLevel="0" collapsed="false">
      <c r="B2317" s="19" t="s">
        <v>27674</v>
      </c>
      <c r="C2317" s="20" t="n">
        <f aca="false">ROUND(1.02/FX,2)</f>
        <v>0.14</v>
      </c>
      <c r="D2317" s="21" t="s">
        <v>25377</v>
      </c>
      <c r="E2317" s="21" t="s">
        <v>734</v>
      </c>
      <c r="F2317" s="21" t="s">
        <v>789</v>
      </c>
      <c r="G2317" s="21" t="s">
        <v>25460</v>
      </c>
      <c r="H2317" s="21" t="s">
        <v>27663</v>
      </c>
    </row>
    <row r="2318" customFormat="false" ht="15" hidden="false" customHeight="false" outlineLevel="0" collapsed="false">
      <c r="B2318" s="19" t="s">
        <v>27675</v>
      </c>
      <c r="C2318" s="20" t="n">
        <f aca="false">ROUND(1/FX,2)</f>
        <v>0.14</v>
      </c>
      <c r="D2318" s="21" t="s">
        <v>26262</v>
      </c>
      <c r="E2318" s="21" t="s">
        <v>734</v>
      </c>
      <c r="F2318" s="21" t="s">
        <v>716</v>
      </c>
      <c r="G2318" s="21" t="s">
        <v>25460</v>
      </c>
      <c r="H2318" s="21" t="s">
        <v>27663</v>
      </c>
    </row>
    <row r="2319" customFormat="false" ht="15" hidden="false" customHeight="false" outlineLevel="0" collapsed="false">
      <c r="B2319" s="19" t="s">
        <v>27676</v>
      </c>
      <c r="C2319" s="20" t="n">
        <f aca="false">ROUND(1.01/FX,2)</f>
        <v>0.14</v>
      </c>
      <c r="D2319" s="21" t="s">
        <v>25371</v>
      </c>
      <c r="E2319" s="21" t="s">
        <v>734</v>
      </c>
      <c r="F2319" s="21" t="s">
        <v>847</v>
      </c>
      <c r="G2319" s="21" t="s">
        <v>25460</v>
      </c>
      <c r="H2319" s="21" t="s">
        <v>27663</v>
      </c>
    </row>
    <row r="2320" customFormat="false" ht="15" hidden="false" customHeight="false" outlineLevel="0" collapsed="false">
      <c r="B2320" s="19" t="s">
        <v>27677</v>
      </c>
      <c r="C2320" s="20" t="n">
        <f aca="false">ROUND(1.01/FX,2)</f>
        <v>0.14</v>
      </c>
      <c r="D2320" s="21" t="s">
        <v>25474</v>
      </c>
      <c r="E2320" s="21" t="s">
        <v>734</v>
      </c>
      <c r="F2320" s="21" t="s">
        <v>707</v>
      </c>
      <c r="G2320" s="21" t="s">
        <v>25497</v>
      </c>
      <c r="H2320" s="21" t="s">
        <v>27663</v>
      </c>
    </row>
    <row r="2321" customFormat="false" ht="15" hidden="false" customHeight="false" outlineLevel="0" collapsed="false">
      <c r="B2321" s="19" t="s">
        <v>27678</v>
      </c>
      <c r="C2321" s="20" t="n">
        <f aca="false">ROUND(1/FX,2)</f>
        <v>0.14</v>
      </c>
      <c r="D2321" s="21" t="s">
        <v>27679</v>
      </c>
      <c r="E2321" s="21" t="s">
        <v>734</v>
      </c>
      <c r="F2321" s="21" t="s">
        <v>761</v>
      </c>
      <c r="G2321" s="21" t="s">
        <v>25497</v>
      </c>
      <c r="H2321" s="21" t="s">
        <v>27663</v>
      </c>
    </row>
    <row r="2322" customFormat="false" ht="15" hidden="false" customHeight="false" outlineLevel="0" collapsed="false">
      <c r="B2322" s="19" t="s">
        <v>27680</v>
      </c>
      <c r="C2322" s="20" t="n">
        <f aca="false">ROUND(1/FX,2)</f>
        <v>0.14</v>
      </c>
      <c r="D2322" s="21" t="s">
        <v>27681</v>
      </c>
      <c r="E2322" s="21" t="s">
        <v>734</v>
      </c>
      <c r="F2322" s="21" t="s">
        <v>4721</v>
      </c>
      <c r="G2322" s="21" t="s">
        <v>25497</v>
      </c>
      <c r="H2322" s="21" t="s">
        <v>27663</v>
      </c>
    </row>
    <row r="2323" customFormat="false" ht="15" hidden="false" customHeight="false" outlineLevel="0" collapsed="false">
      <c r="B2323" s="19" t="s">
        <v>27682</v>
      </c>
      <c r="C2323" s="20" t="n">
        <f aca="false">ROUND(1.02/FX,2)</f>
        <v>0.14</v>
      </c>
      <c r="D2323" s="21" t="s">
        <v>25514</v>
      </c>
      <c r="E2323" s="21" t="s">
        <v>734</v>
      </c>
      <c r="F2323" s="21" t="s">
        <v>3833</v>
      </c>
      <c r="G2323" s="21" t="s">
        <v>25497</v>
      </c>
      <c r="H2323" s="21" t="s">
        <v>27663</v>
      </c>
    </row>
    <row r="2324" customFormat="false" ht="15" hidden="false" customHeight="false" outlineLevel="0" collapsed="false">
      <c r="B2324" s="19" t="s">
        <v>27683</v>
      </c>
      <c r="C2324" s="20" t="n">
        <f aca="false">ROUND(1.02/FX,2)</f>
        <v>0.14</v>
      </c>
      <c r="D2324" s="21" t="s">
        <v>25516</v>
      </c>
      <c r="E2324" s="21" t="s">
        <v>734</v>
      </c>
      <c r="F2324" s="21" t="s">
        <v>4000</v>
      </c>
      <c r="G2324" s="21" t="s">
        <v>25497</v>
      </c>
      <c r="H2324" s="21" t="s">
        <v>27663</v>
      </c>
    </row>
    <row r="2325" customFormat="false" ht="15" hidden="false" customHeight="false" outlineLevel="0" collapsed="false">
      <c r="B2325" s="19" t="s">
        <v>27684</v>
      </c>
      <c r="C2325" s="20" t="n">
        <f aca="false">ROUND(1/FX,2)</f>
        <v>0.14</v>
      </c>
      <c r="D2325" s="21" t="s">
        <v>27685</v>
      </c>
      <c r="E2325" s="21" t="s">
        <v>734</v>
      </c>
      <c r="F2325" s="21" t="s">
        <v>3247</v>
      </c>
      <c r="G2325" s="21" t="s">
        <v>25497</v>
      </c>
      <c r="H2325" s="21" t="s">
        <v>27663</v>
      </c>
    </row>
    <row r="2326" customFormat="false" ht="15" hidden="false" customHeight="false" outlineLevel="0" collapsed="false">
      <c r="B2326" s="19" t="s">
        <v>27686</v>
      </c>
      <c r="C2326" s="20" t="n">
        <f aca="false">ROUND(1.03/FX,2)</f>
        <v>0.14</v>
      </c>
      <c r="D2326" s="21" t="s">
        <v>26256</v>
      </c>
      <c r="E2326" s="21" t="s">
        <v>734</v>
      </c>
      <c r="F2326" s="21" t="s">
        <v>5097</v>
      </c>
      <c r="G2326" s="21" t="s">
        <v>25497</v>
      </c>
      <c r="H2326" s="21" t="s">
        <v>27663</v>
      </c>
    </row>
    <row r="2327" customFormat="false" ht="15" hidden="false" customHeight="false" outlineLevel="0" collapsed="false">
      <c r="B2327" s="19" t="s">
        <v>27687</v>
      </c>
      <c r="C2327" s="20" t="n">
        <f aca="false">ROUND(1.02/FX,2)</f>
        <v>0.14</v>
      </c>
      <c r="D2327" s="21" t="s">
        <v>27685</v>
      </c>
      <c r="E2327" s="21" t="s">
        <v>734</v>
      </c>
      <c r="F2327" s="21" t="s">
        <v>3317</v>
      </c>
      <c r="G2327" s="21" t="s">
        <v>25497</v>
      </c>
      <c r="H2327" s="21" t="s">
        <v>27663</v>
      </c>
    </row>
    <row r="2328" customFormat="false" ht="15" hidden="false" customHeight="false" outlineLevel="0" collapsed="false">
      <c r="B2328" s="19" t="s">
        <v>27688</v>
      </c>
      <c r="C2328" s="20" t="n">
        <f aca="false">ROUND(1/FX,2)</f>
        <v>0.14</v>
      </c>
      <c r="D2328" s="21" t="s">
        <v>27689</v>
      </c>
      <c r="E2328" s="21" t="s">
        <v>734</v>
      </c>
      <c r="F2328" s="21" t="s">
        <v>839</v>
      </c>
      <c r="G2328" s="21" t="s">
        <v>25497</v>
      </c>
      <c r="H2328" s="21" t="s">
        <v>27663</v>
      </c>
    </row>
    <row r="2329" customFormat="false" ht="15" hidden="false" customHeight="false" outlineLevel="0" collapsed="false">
      <c r="B2329" s="19" t="s">
        <v>27690</v>
      </c>
      <c r="C2329" s="20" t="n">
        <f aca="false">ROUND(1.01/FX,2)</f>
        <v>0.14</v>
      </c>
      <c r="D2329" s="21" t="s">
        <v>27691</v>
      </c>
      <c r="E2329" s="21" t="s">
        <v>734</v>
      </c>
      <c r="F2329" s="21" t="s">
        <v>841</v>
      </c>
      <c r="G2329" s="21" t="s">
        <v>25497</v>
      </c>
      <c r="H2329" s="21" t="s">
        <v>27663</v>
      </c>
    </row>
    <row r="2330" customFormat="false" ht="15" hidden="false" customHeight="false" outlineLevel="0" collapsed="false">
      <c r="B2330" s="19" t="s">
        <v>27692</v>
      </c>
      <c r="C2330" s="20" t="n">
        <f aca="false">ROUND(1.01/FX,2)</f>
        <v>0.14</v>
      </c>
      <c r="D2330" s="21" t="s">
        <v>27394</v>
      </c>
      <c r="E2330" s="21" t="s">
        <v>734</v>
      </c>
      <c r="F2330" s="21" t="s">
        <v>789</v>
      </c>
      <c r="G2330" s="21" t="s">
        <v>25497</v>
      </c>
      <c r="H2330" s="21" t="s">
        <v>27663</v>
      </c>
    </row>
    <row r="2331" customFormat="false" ht="15" hidden="false" customHeight="false" outlineLevel="0" collapsed="false">
      <c r="B2331" s="19" t="s">
        <v>27693</v>
      </c>
      <c r="C2331" s="20" t="n">
        <f aca="false">ROUND(1/FX,2)</f>
        <v>0.14</v>
      </c>
      <c r="D2331" s="21" t="s">
        <v>27689</v>
      </c>
      <c r="E2331" s="21" t="s">
        <v>734</v>
      </c>
      <c r="F2331" s="21" t="s">
        <v>716</v>
      </c>
      <c r="G2331" s="21" t="s">
        <v>25497</v>
      </c>
      <c r="H2331" s="21" t="s">
        <v>27663</v>
      </c>
    </row>
    <row r="2332" customFormat="false" ht="15" hidden="false" customHeight="false" outlineLevel="0" collapsed="false">
      <c r="B2332" s="19" t="s">
        <v>27694</v>
      </c>
      <c r="C2332" s="20" t="n">
        <f aca="false">ROUND(1.01/FX,2)</f>
        <v>0.14</v>
      </c>
      <c r="D2332" s="21" t="s">
        <v>27695</v>
      </c>
      <c r="E2332" s="21" t="s">
        <v>734</v>
      </c>
      <c r="F2332" s="21" t="s">
        <v>847</v>
      </c>
      <c r="G2332" s="21" t="s">
        <v>25497</v>
      </c>
      <c r="H2332" s="21" t="s">
        <v>27663</v>
      </c>
    </row>
    <row r="2333" customFormat="false" ht="15" hidden="false" customHeight="false" outlineLevel="0" collapsed="false">
      <c r="B2333" s="19" t="s">
        <v>27696</v>
      </c>
      <c r="C2333" s="20" t="n">
        <f aca="false">ROUND(2.97/FX,2)</f>
        <v>0.41</v>
      </c>
      <c r="D2333" s="21" t="s">
        <v>23567</v>
      </c>
      <c r="E2333" s="21" t="s">
        <v>734</v>
      </c>
      <c r="F2333" s="21" t="s">
        <v>707</v>
      </c>
      <c r="G2333" s="21" t="s">
        <v>11407</v>
      </c>
      <c r="H2333" s="21" t="s">
        <v>27663</v>
      </c>
    </row>
    <row r="2334" customFormat="false" ht="15" hidden="false" customHeight="false" outlineLevel="0" collapsed="false">
      <c r="B2334" s="19" t="s">
        <v>27697</v>
      </c>
      <c r="C2334" s="20" t="n">
        <f aca="false">ROUND(1.02/FX,2)</f>
        <v>0.14</v>
      </c>
      <c r="D2334" s="21" t="s">
        <v>25464</v>
      </c>
      <c r="E2334" s="21" t="s">
        <v>734</v>
      </c>
      <c r="F2334" s="21" t="s">
        <v>761</v>
      </c>
      <c r="G2334" s="21" t="s">
        <v>11407</v>
      </c>
      <c r="H2334" s="21" t="s">
        <v>27663</v>
      </c>
    </row>
    <row r="2335" customFormat="false" ht="15" hidden="false" customHeight="false" outlineLevel="0" collapsed="false">
      <c r="B2335" s="19" t="s">
        <v>27698</v>
      </c>
      <c r="C2335" s="20" t="n">
        <f aca="false">ROUND(1.02/FX,2)</f>
        <v>0.14</v>
      </c>
      <c r="D2335" s="21" t="s">
        <v>14034</v>
      </c>
      <c r="E2335" s="21" t="s">
        <v>734</v>
      </c>
      <c r="F2335" s="21" t="s">
        <v>4721</v>
      </c>
      <c r="G2335" s="21" t="s">
        <v>11407</v>
      </c>
      <c r="H2335" s="21" t="s">
        <v>27663</v>
      </c>
    </row>
    <row r="2336" customFormat="false" ht="15" hidden="false" customHeight="false" outlineLevel="0" collapsed="false">
      <c r="B2336" s="19" t="s">
        <v>27699</v>
      </c>
      <c r="C2336" s="20" t="n">
        <f aca="false">ROUND(1.02/FX,2)</f>
        <v>0.14</v>
      </c>
      <c r="D2336" s="21" t="s">
        <v>27685</v>
      </c>
      <c r="E2336" s="21" t="s">
        <v>734</v>
      </c>
      <c r="F2336" s="21" t="s">
        <v>3833</v>
      </c>
      <c r="G2336" s="21" t="s">
        <v>11407</v>
      </c>
      <c r="H2336" s="21" t="s">
        <v>27663</v>
      </c>
    </row>
    <row r="2337" customFormat="false" ht="15" hidden="false" customHeight="false" outlineLevel="0" collapsed="false">
      <c r="B2337" s="19" t="s">
        <v>27700</v>
      </c>
      <c r="C2337" s="20" t="n">
        <f aca="false">ROUND(1/FX,2)</f>
        <v>0.14</v>
      </c>
      <c r="D2337" s="21" t="s">
        <v>24231</v>
      </c>
      <c r="E2337" s="21" t="s">
        <v>734</v>
      </c>
      <c r="F2337" s="21" t="s">
        <v>4000</v>
      </c>
      <c r="G2337" s="21" t="s">
        <v>11407</v>
      </c>
      <c r="H2337" s="21" t="s">
        <v>27663</v>
      </c>
    </row>
    <row r="2338" customFormat="false" ht="15" hidden="false" customHeight="false" outlineLevel="0" collapsed="false">
      <c r="B2338" s="19" t="s">
        <v>27701</v>
      </c>
      <c r="C2338" s="20" t="n">
        <f aca="false">ROUND(1.02/FX,2)</f>
        <v>0.14</v>
      </c>
      <c r="D2338" s="21" t="s">
        <v>26256</v>
      </c>
      <c r="E2338" s="21" t="s">
        <v>734</v>
      </c>
      <c r="F2338" s="21" t="s">
        <v>3247</v>
      </c>
      <c r="G2338" s="21" t="s">
        <v>11407</v>
      </c>
      <c r="H2338" s="21" t="s">
        <v>27663</v>
      </c>
    </row>
    <row r="2339" customFormat="false" ht="15" hidden="false" customHeight="false" outlineLevel="0" collapsed="false">
      <c r="B2339" s="19" t="s">
        <v>27702</v>
      </c>
      <c r="C2339" s="20" t="n">
        <f aca="false">ROUND(1/FX,2)</f>
        <v>0.14</v>
      </c>
      <c r="D2339" s="21" t="s">
        <v>24287</v>
      </c>
      <c r="E2339" s="21" t="s">
        <v>734</v>
      </c>
      <c r="F2339" s="21" t="s">
        <v>5097</v>
      </c>
      <c r="G2339" s="21" t="s">
        <v>11407</v>
      </c>
      <c r="H2339" s="21" t="s">
        <v>27663</v>
      </c>
    </row>
    <row r="2340" customFormat="false" ht="15" hidden="false" customHeight="false" outlineLevel="0" collapsed="false">
      <c r="B2340" s="19" t="s">
        <v>27703</v>
      </c>
      <c r="C2340" s="20" t="n">
        <f aca="false">ROUND(1.02/FX,2)</f>
        <v>0.14</v>
      </c>
      <c r="D2340" s="21" t="s">
        <v>25459</v>
      </c>
      <c r="E2340" s="21" t="s">
        <v>734</v>
      </c>
      <c r="F2340" s="21" t="s">
        <v>3317</v>
      </c>
      <c r="G2340" s="21" t="s">
        <v>11407</v>
      </c>
      <c r="H2340" s="21" t="s">
        <v>27663</v>
      </c>
    </row>
    <row r="2341" customFormat="false" ht="15" hidden="false" customHeight="false" outlineLevel="0" collapsed="false">
      <c r="B2341" s="19" t="s">
        <v>27704</v>
      </c>
      <c r="C2341" s="20" t="n">
        <f aca="false">ROUND(1.05/FX,2)</f>
        <v>0.15</v>
      </c>
      <c r="D2341" s="21" t="s">
        <v>25462</v>
      </c>
      <c r="E2341" s="21" t="s">
        <v>734</v>
      </c>
      <c r="F2341" s="21" t="s">
        <v>784</v>
      </c>
      <c r="G2341" s="21" t="s">
        <v>11407</v>
      </c>
      <c r="H2341" s="21" t="s">
        <v>27663</v>
      </c>
    </row>
    <row r="2342" customFormat="false" ht="15" hidden="false" customHeight="false" outlineLevel="0" collapsed="false">
      <c r="B2342" s="19" t="s">
        <v>27705</v>
      </c>
      <c r="C2342" s="20" t="n">
        <f aca="false">ROUND(1.01/FX,2)</f>
        <v>0.14</v>
      </c>
      <c r="D2342" s="21" t="s">
        <v>21722</v>
      </c>
      <c r="E2342" s="21" t="s">
        <v>734</v>
      </c>
      <c r="F2342" s="21" t="s">
        <v>3328</v>
      </c>
      <c r="G2342" s="21" t="s">
        <v>11407</v>
      </c>
      <c r="H2342" s="21" t="s">
        <v>27663</v>
      </c>
    </row>
    <row r="2343" customFormat="false" ht="15" hidden="false" customHeight="false" outlineLevel="0" collapsed="false">
      <c r="B2343" s="19" t="s">
        <v>27706</v>
      </c>
      <c r="C2343" s="20" t="n">
        <f aca="false">ROUND(1.01/FX,2)</f>
        <v>0.14</v>
      </c>
      <c r="D2343" s="21" t="s">
        <v>25548</v>
      </c>
      <c r="E2343" s="21" t="s">
        <v>734</v>
      </c>
      <c r="F2343" s="21" t="s">
        <v>841</v>
      </c>
      <c r="G2343" s="21" t="s">
        <v>11407</v>
      </c>
      <c r="H2343" s="21" t="s">
        <v>27663</v>
      </c>
    </row>
    <row r="2344" customFormat="false" ht="15" hidden="false" customHeight="false" outlineLevel="0" collapsed="false">
      <c r="B2344" s="19" t="s">
        <v>27707</v>
      </c>
      <c r="C2344" s="20" t="n">
        <f aca="false">ROUND(1.04/FX,2)</f>
        <v>0.14</v>
      </c>
      <c r="D2344" s="21" t="s">
        <v>13988</v>
      </c>
      <c r="E2344" s="21" t="s">
        <v>734</v>
      </c>
      <c r="F2344" s="21" t="s">
        <v>6246</v>
      </c>
      <c r="G2344" s="21" t="s">
        <v>11407</v>
      </c>
      <c r="H2344" s="21" t="s">
        <v>27663</v>
      </c>
    </row>
    <row r="2345" customFormat="false" ht="15" hidden="false" customHeight="false" outlineLevel="0" collapsed="false">
      <c r="B2345" s="19" t="s">
        <v>27708</v>
      </c>
      <c r="C2345" s="20" t="n">
        <f aca="false">ROUND(1.1/FX,2)</f>
        <v>0.15</v>
      </c>
      <c r="D2345" s="21" t="s">
        <v>13997</v>
      </c>
      <c r="E2345" s="21" t="s">
        <v>734</v>
      </c>
      <c r="F2345" s="21" t="s">
        <v>7358</v>
      </c>
      <c r="G2345" s="21" t="s">
        <v>11407</v>
      </c>
      <c r="H2345" s="21" t="s">
        <v>27663</v>
      </c>
    </row>
    <row r="2346" customFormat="false" ht="15" hidden="false" customHeight="false" outlineLevel="0" collapsed="false">
      <c r="B2346" s="19" t="s">
        <v>27709</v>
      </c>
      <c r="C2346" s="20" t="n">
        <f aca="false">ROUND(1.03/FX,2)</f>
        <v>0.14</v>
      </c>
      <c r="D2346" s="21" t="s">
        <v>25512</v>
      </c>
      <c r="E2346" s="21" t="s">
        <v>734</v>
      </c>
      <c r="F2346" s="21" t="s">
        <v>789</v>
      </c>
      <c r="G2346" s="21" t="s">
        <v>11407</v>
      </c>
      <c r="H2346" s="21" t="s">
        <v>27663</v>
      </c>
    </row>
    <row r="2347" customFormat="false" ht="15" hidden="false" customHeight="false" outlineLevel="0" collapsed="false">
      <c r="B2347" s="19" t="s">
        <v>27710</v>
      </c>
      <c r="C2347" s="20" t="n">
        <f aca="false">ROUND(1.12/FX,2)</f>
        <v>0.16</v>
      </c>
      <c r="D2347" s="21" t="s">
        <v>14016</v>
      </c>
      <c r="E2347" s="21" t="s">
        <v>734</v>
      </c>
      <c r="F2347" s="21" t="s">
        <v>2911</v>
      </c>
      <c r="G2347" s="21" t="s">
        <v>11407</v>
      </c>
      <c r="H2347" s="21" t="s">
        <v>27663</v>
      </c>
    </row>
    <row r="2348" customFormat="false" ht="15" hidden="false" customHeight="false" outlineLevel="0" collapsed="false">
      <c r="B2348" s="19" t="s">
        <v>27711</v>
      </c>
      <c r="C2348" s="20" t="n">
        <f aca="false">ROUND(1.01/FX,2)</f>
        <v>0.14</v>
      </c>
      <c r="D2348" s="21" t="s">
        <v>13994</v>
      </c>
      <c r="E2348" s="21" t="s">
        <v>734</v>
      </c>
      <c r="F2348" s="21" t="s">
        <v>7275</v>
      </c>
      <c r="G2348" s="21" t="s">
        <v>11407</v>
      </c>
      <c r="H2348" s="21" t="s">
        <v>27663</v>
      </c>
    </row>
    <row r="2349" customFormat="false" ht="15" hidden="false" customHeight="false" outlineLevel="0" collapsed="false">
      <c r="B2349" s="19" t="s">
        <v>27712</v>
      </c>
      <c r="C2349" s="20" t="n">
        <f aca="false">ROUND(1.01/FX,2)</f>
        <v>0.14</v>
      </c>
      <c r="D2349" s="21" t="s">
        <v>27681</v>
      </c>
      <c r="E2349" s="21" t="s">
        <v>734</v>
      </c>
      <c r="F2349" s="21" t="s">
        <v>716</v>
      </c>
      <c r="G2349" s="21" t="s">
        <v>11407</v>
      </c>
      <c r="H2349" s="21" t="s">
        <v>27663</v>
      </c>
    </row>
    <row r="2350" customFormat="false" ht="15" hidden="false" customHeight="false" outlineLevel="0" collapsed="false">
      <c r="B2350" s="19" t="s">
        <v>27713</v>
      </c>
      <c r="C2350" s="20" t="n">
        <f aca="false">ROUND(2.75/FX,2)</f>
        <v>0.38</v>
      </c>
      <c r="D2350" s="21" t="s">
        <v>23567</v>
      </c>
      <c r="E2350" s="21" t="s">
        <v>734</v>
      </c>
      <c r="F2350" s="21" t="s">
        <v>847</v>
      </c>
      <c r="G2350" s="21" t="s">
        <v>11407</v>
      </c>
      <c r="H2350" s="21" t="s">
        <v>27663</v>
      </c>
    </row>
    <row r="2351" customFormat="false" ht="15" hidden="false" customHeight="false" outlineLevel="0" collapsed="false">
      <c r="B2351" s="19" t="s">
        <v>27714</v>
      </c>
      <c r="C2351" s="20" t="n">
        <f aca="false">ROUND(1.04/FX,2)</f>
        <v>0.14</v>
      </c>
      <c r="D2351" s="21" t="s">
        <v>25469</v>
      </c>
      <c r="E2351" s="21" t="s">
        <v>27715</v>
      </c>
      <c r="F2351" s="21" t="s">
        <v>707</v>
      </c>
      <c r="G2351" s="21" t="s">
        <v>11409</v>
      </c>
      <c r="H2351" s="21" t="s">
        <v>27663</v>
      </c>
    </row>
    <row r="2352" customFormat="false" ht="15" hidden="false" customHeight="false" outlineLevel="0" collapsed="false">
      <c r="B2352" s="19" t="s">
        <v>27716</v>
      </c>
      <c r="C2352" s="20" t="n">
        <f aca="false">ROUND(1.04/FX,2)</f>
        <v>0.14</v>
      </c>
      <c r="D2352" s="21" t="s">
        <v>13974</v>
      </c>
      <c r="E2352" s="21" t="s">
        <v>27717</v>
      </c>
      <c r="F2352" s="21" t="s">
        <v>707</v>
      </c>
      <c r="G2352" s="21" t="s">
        <v>11409</v>
      </c>
      <c r="H2352" s="21" t="s">
        <v>27663</v>
      </c>
    </row>
    <row r="2353" customFormat="false" ht="15" hidden="false" customHeight="false" outlineLevel="0" collapsed="false">
      <c r="B2353" s="19" t="s">
        <v>27718</v>
      </c>
      <c r="C2353" s="20" t="n">
        <f aca="false">ROUND(1.03/FX,2)</f>
        <v>0.14</v>
      </c>
      <c r="D2353" s="21" t="s">
        <v>24231</v>
      </c>
      <c r="E2353" s="21" t="s">
        <v>27715</v>
      </c>
      <c r="F2353" s="21" t="s">
        <v>761</v>
      </c>
      <c r="G2353" s="21" t="s">
        <v>11409</v>
      </c>
      <c r="H2353" s="21" t="s">
        <v>27663</v>
      </c>
    </row>
    <row r="2354" customFormat="false" ht="15" hidden="false" customHeight="false" outlineLevel="0" collapsed="false">
      <c r="B2354" s="19" t="s">
        <v>27719</v>
      </c>
      <c r="C2354" s="20" t="n">
        <f aca="false">ROUND(1.01/FX,2)</f>
        <v>0.14</v>
      </c>
      <c r="D2354" s="21" t="s">
        <v>24287</v>
      </c>
      <c r="E2354" s="21" t="s">
        <v>27717</v>
      </c>
      <c r="F2354" s="21" t="s">
        <v>761</v>
      </c>
      <c r="G2354" s="21" t="s">
        <v>11409</v>
      </c>
      <c r="H2354" s="21" t="s">
        <v>27663</v>
      </c>
    </row>
    <row r="2355" customFormat="false" ht="15" hidden="false" customHeight="false" outlineLevel="0" collapsed="false">
      <c r="B2355" s="19" t="s">
        <v>27720</v>
      </c>
      <c r="C2355" s="20" t="n">
        <f aca="false">ROUND(1.01/FX,2)</f>
        <v>0.14</v>
      </c>
      <c r="D2355" s="21" t="s">
        <v>24231</v>
      </c>
      <c r="E2355" s="21" t="s">
        <v>27715</v>
      </c>
      <c r="F2355" s="21" t="s">
        <v>4721</v>
      </c>
      <c r="G2355" s="21" t="s">
        <v>11409</v>
      </c>
      <c r="H2355" s="21" t="s">
        <v>27663</v>
      </c>
    </row>
    <row r="2356" customFormat="false" ht="15" hidden="false" customHeight="false" outlineLevel="0" collapsed="false">
      <c r="B2356" s="19" t="s">
        <v>27721</v>
      </c>
      <c r="C2356" s="20" t="n">
        <f aca="false">ROUND(1.03/FX,2)</f>
        <v>0.14</v>
      </c>
      <c r="D2356" s="21" t="s">
        <v>25471</v>
      </c>
      <c r="E2356" s="21" t="s">
        <v>27717</v>
      </c>
      <c r="F2356" s="21" t="s">
        <v>4721</v>
      </c>
      <c r="G2356" s="21" t="s">
        <v>11409</v>
      </c>
      <c r="H2356" s="21" t="s">
        <v>27663</v>
      </c>
    </row>
    <row r="2357" customFormat="false" ht="15" hidden="false" customHeight="false" outlineLevel="0" collapsed="false">
      <c r="B2357" s="19" t="s">
        <v>27722</v>
      </c>
      <c r="C2357" s="20" t="n">
        <f aca="false">ROUND(1.02/FX,2)</f>
        <v>0.14</v>
      </c>
      <c r="D2357" s="21" t="s">
        <v>13974</v>
      </c>
      <c r="E2357" s="21" t="s">
        <v>27715</v>
      </c>
      <c r="F2357" s="21" t="s">
        <v>3833</v>
      </c>
      <c r="G2357" s="21" t="s">
        <v>11409</v>
      </c>
      <c r="H2357" s="21" t="s">
        <v>27663</v>
      </c>
    </row>
    <row r="2358" customFormat="false" ht="15" hidden="false" customHeight="false" outlineLevel="0" collapsed="false">
      <c r="B2358" s="19" t="s">
        <v>27723</v>
      </c>
      <c r="C2358" s="20" t="n">
        <f aca="false">ROUND(1.03/FX,2)</f>
        <v>0.14</v>
      </c>
      <c r="D2358" s="21" t="s">
        <v>13981</v>
      </c>
      <c r="E2358" s="21" t="s">
        <v>27717</v>
      </c>
      <c r="F2358" s="21" t="s">
        <v>3833</v>
      </c>
      <c r="G2358" s="21" t="s">
        <v>11409</v>
      </c>
      <c r="H2358" s="21" t="s">
        <v>27663</v>
      </c>
    </row>
    <row r="2359" customFormat="false" ht="15" hidden="false" customHeight="false" outlineLevel="0" collapsed="false">
      <c r="B2359" s="19" t="s">
        <v>27724</v>
      </c>
      <c r="C2359" s="20" t="n">
        <f aca="false">ROUND(1.05/FX,2)</f>
        <v>0.15</v>
      </c>
      <c r="D2359" s="21" t="s">
        <v>13978</v>
      </c>
      <c r="E2359" s="21" t="s">
        <v>27717</v>
      </c>
      <c r="F2359" s="21" t="s">
        <v>4000</v>
      </c>
      <c r="G2359" s="21" t="s">
        <v>11409</v>
      </c>
      <c r="H2359" s="21" t="s">
        <v>27663</v>
      </c>
    </row>
    <row r="2360" customFormat="false" ht="15" hidden="false" customHeight="false" outlineLevel="0" collapsed="false">
      <c r="B2360" s="19" t="s">
        <v>27725</v>
      </c>
      <c r="C2360" s="20" t="n">
        <f aca="false">ROUND(1.02/FX,2)</f>
        <v>0.14</v>
      </c>
      <c r="D2360" s="21" t="s">
        <v>25471</v>
      </c>
      <c r="E2360" s="21" t="s">
        <v>27715</v>
      </c>
      <c r="F2360" s="21" t="s">
        <v>3247</v>
      </c>
      <c r="G2360" s="21" t="s">
        <v>11409</v>
      </c>
      <c r="H2360" s="21" t="s">
        <v>27663</v>
      </c>
    </row>
    <row r="2361" customFormat="false" ht="15" hidden="false" customHeight="false" outlineLevel="0" collapsed="false">
      <c r="B2361" s="19" t="s">
        <v>27726</v>
      </c>
      <c r="C2361" s="20" t="n">
        <f aca="false">ROUND(1.01/FX,2)</f>
        <v>0.14</v>
      </c>
      <c r="D2361" s="21" t="s">
        <v>13978</v>
      </c>
      <c r="E2361" s="21" t="s">
        <v>27717</v>
      </c>
      <c r="F2361" s="21" t="s">
        <v>3247</v>
      </c>
      <c r="G2361" s="21" t="s">
        <v>11409</v>
      </c>
      <c r="H2361" s="21" t="s">
        <v>27663</v>
      </c>
    </row>
    <row r="2362" customFormat="false" ht="15" hidden="false" customHeight="false" outlineLevel="0" collapsed="false">
      <c r="B2362" s="19" t="s">
        <v>27727</v>
      </c>
      <c r="C2362" s="20" t="n">
        <f aca="false">ROUND(1.09/FX,2)</f>
        <v>0.15</v>
      </c>
      <c r="D2362" s="21" t="s">
        <v>21722</v>
      </c>
      <c r="E2362" s="21" t="s">
        <v>27717</v>
      </c>
      <c r="F2362" s="21" t="s">
        <v>5097</v>
      </c>
      <c r="G2362" s="21" t="s">
        <v>11409</v>
      </c>
      <c r="H2362" s="21" t="s">
        <v>27663</v>
      </c>
    </row>
    <row r="2363" customFormat="false" ht="15" hidden="false" customHeight="false" outlineLevel="0" collapsed="false">
      <c r="B2363" s="19" t="s">
        <v>27728</v>
      </c>
      <c r="C2363" s="20" t="n">
        <f aca="false">ROUND(1/FX,2)</f>
        <v>0.14</v>
      </c>
      <c r="D2363" s="21" t="s">
        <v>25462</v>
      </c>
      <c r="E2363" s="21" t="s">
        <v>27715</v>
      </c>
      <c r="F2363" s="21" t="s">
        <v>3317</v>
      </c>
      <c r="G2363" s="21" t="s">
        <v>11409</v>
      </c>
      <c r="H2363" s="21" t="s">
        <v>27663</v>
      </c>
    </row>
    <row r="2364" customFormat="false" ht="15" hidden="false" customHeight="false" outlineLevel="0" collapsed="false">
      <c r="B2364" s="19" t="s">
        <v>27729</v>
      </c>
      <c r="C2364" s="20" t="n">
        <f aca="false">ROUND(1.05/FX,2)</f>
        <v>0.15</v>
      </c>
      <c r="D2364" s="21" t="s">
        <v>13988</v>
      </c>
      <c r="E2364" s="21" t="s">
        <v>27717</v>
      </c>
      <c r="F2364" s="21" t="s">
        <v>3317</v>
      </c>
      <c r="G2364" s="21" t="s">
        <v>11409</v>
      </c>
      <c r="H2364" s="21" t="s">
        <v>27663</v>
      </c>
    </row>
    <row r="2365" customFormat="false" ht="15" hidden="false" customHeight="false" outlineLevel="0" collapsed="false">
      <c r="B2365" s="19" t="s">
        <v>27730</v>
      </c>
      <c r="C2365" s="20" t="n">
        <f aca="false">ROUND(1.02/FX,2)</f>
        <v>0.14</v>
      </c>
      <c r="D2365" s="21" t="s">
        <v>14016</v>
      </c>
      <c r="E2365" s="21" t="s">
        <v>27717</v>
      </c>
      <c r="F2365" s="21" t="s">
        <v>6768</v>
      </c>
      <c r="G2365" s="21" t="s">
        <v>11409</v>
      </c>
      <c r="H2365" s="21" t="s">
        <v>27663</v>
      </c>
    </row>
    <row r="2366" customFormat="false" ht="15" hidden="false" customHeight="false" outlineLevel="0" collapsed="false">
      <c r="B2366" s="19" t="s">
        <v>27731</v>
      </c>
      <c r="C2366" s="20" t="n">
        <f aca="false">ROUND(1.06/FX,2)</f>
        <v>0.15</v>
      </c>
      <c r="D2366" s="21" t="s">
        <v>13978</v>
      </c>
      <c r="E2366" s="21" t="s">
        <v>27715</v>
      </c>
      <c r="F2366" s="21" t="s">
        <v>784</v>
      </c>
      <c r="G2366" s="21" t="s">
        <v>11409</v>
      </c>
      <c r="H2366" s="21" t="s">
        <v>27663</v>
      </c>
    </row>
    <row r="2367" customFormat="false" ht="15" hidden="false" customHeight="false" outlineLevel="0" collapsed="false">
      <c r="B2367" s="19" t="s">
        <v>27732</v>
      </c>
      <c r="C2367" s="20" t="n">
        <f aca="false">ROUND(1.08/FX,2)</f>
        <v>0.15</v>
      </c>
      <c r="D2367" s="21" t="s">
        <v>13988</v>
      </c>
      <c r="E2367" s="21" t="s">
        <v>27717</v>
      </c>
      <c r="F2367" s="21" t="s">
        <v>784</v>
      </c>
      <c r="G2367" s="21" t="s">
        <v>11409</v>
      </c>
      <c r="H2367" s="21" t="s">
        <v>27663</v>
      </c>
    </row>
    <row r="2368" customFormat="false" ht="15" hidden="false" customHeight="false" outlineLevel="0" collapsed="false">
      <c r="B2368" s="19" t="s">
        <v>27733</v>
      </c>
      <c r="C2368" s="20" t="n">
        <f aca="false">ROUND(1.06/FX,2)</f>
        <v>0.15</v>
      </c>
      <c r="D2368" s="21" t="s">
        <v>14056</v>
      </c>
      <c r="E2368" s="21" t="s">
        <v>27717</v>
      </c>
      <c r="F2368" s="21" t="s">
        <v>3328</v>
      </c>
      <c r="G2368" s="21" t="s">
        <v>11409</v>
      </c>
      <c r="H2368" s="21" t="s">
        <v>27663</v>
      </c>
    </row>
    <row r="2369" customFormat="false" ht="15" hidden="false" customHeight="false" outlineLevel="0" collapsed="false">
      <c r="B2369" s="19" t="s">
        <v>27734</v>
      </c>
      <c r="C2369" s="20" t="n">
        <f aca="false">ROUND(1.03/FX,2)</f>
        <v>0.14</v>
      </c>
      <c r="D2369" s="21" t="s">
        <v>13994</v>
      </c>
      <c r="E2369" s="21" t="s">
        <v>27717</v>
      </c>
      <c r="F2369" s="21" t="s">
        <v>6246</v>
      </c>
      <c r="G2369" s="21" t="s">
        <v>11409</v>
      </c>
      <c r="H2369" s="21" t="s">
        <v>27663</v>
      </c>
    </row>
    <row r="2370" customFormat="false" ht="15" hidden="false" customHeight="false" outlineLevel="0" collapsed="false">
      <c r="B2370" s="19" t="s">
        <v>27735</v>
      </c>
      <c r="C2370" s="20" t="n">
        <f aca="false">ROUND(1.12/FX,2)</f>
        <v>0.16</v>
      </c>
      <c r="D2370" s="21" t="s">
        <v>13994</v>
      </c>
      <c r="E2370" s="21" t="s">
        <v>27717</v>
      </c>
      <c r="F2370" s="21" t="s">
        <v>7358</v>
      </c>
      <c r="G2370" s="21" t="s">
        <v>11409</v>
      </c>
      <c r="H2370" s="21" t="s">
        <v>27663</v>
      </c>
    </row>
    <row r="2371" customFormat="false" ht="15" hidden="false" customHeight="false" outlineLevel="0" collapsed="false">
      <c r="B2371" s="19" t="s">
        <v>27736</v>
      </c>
      <c r="C2371" s="20" t="n">
        <f aca="false">ROUND(1.04/FX,2)</f>
        <v>0.14</v>
      </c>
      <c r="D2371" s="21" t="s">
        <v>26064</v>
      </c>
      <c r="E2371" s="21" t="s">
        <v>27717</v>
      </c>
      <c r="F2371" s="21" t="s">
        <v>789</v>
      </c>
      <c r="G2371" s="21" t="s">
        <v>11409</v>
      </c>
      <c r="H2371" s="21" t="s">
        <v>27663</v>
      </c>
    </row>
    <row r="2372" customFormat="false" ht="15" hidden="false" customHeight="false" outlineLevel="0" collapsed="false">
      <c r="B2372" s="19" t="s">
        <v>27737</v>
      </c>
      <c r="C2372" s="20" t="n">
        <f aca="false">ROUND(1.08/FX,2)</f>
        <v>0.15</v>
      </c>
      <c r="D2372" s="21" t="s">
        <v>14007</v>
      </c>
      <c r="E2372" s="21" t="s">
        <v>27717</v>
      </c>
      <c r="F2372" s="21" t="s">
        <v>2911</v>
      </c>
      <c r="G2372" s="21" t="s">
        <v>11409</v>
      </c>
      <c r="H2372" s="21" t="s">
        <v>27663</v>
      </c>
    </row>
    <row r="2373" customFormat="false" ht="15" hidden="false" customHeight="false" outlineLevel="0" collapsed="false">
      <c r="B2373" s="19" t="s">
        <v>27738</v>
      </c>
      <c r="C2373" s="20" t="n">
        <f aca="false">ROUND(1/FX,2)</f>
        <v>0.14</v>
      </c>
      <c r="D2373" s="21" t="s">
        <v>13743</v>
      </c>
      <c r="E2373" s="21" t="s">
        <v>27717</v>
      </c>
      <c r="F2373" s="21" t="s">
        <v>7275</v>
      </c>
      <c r="G2373" s="21" t="s">
        <v>11409</v>
      </c>
      <c r="H2373" s="21" t="s">
        <v>27663</v>
      </c>
    </row>
    <row r="2374" customFormat="false" ht="15" hidden="false" customHeight="false" outlineLevel="0" collapsed="false">
      <c r="B2374" s="19" t="s">
        <v>27739</v>
      </c>
      <c r="C2374" s="20" t="n">
        <f aca="false">ROUND(1.01/FX,2)</f>
        <v>0.14</v>
      </c>
      <c r="D2374" s="21" t="s">
        <v>25512</v>
      </c>
      <c r="E2374" s="21" t="s">
        <v>27715</v>
      </c>
      <c r="F2374" s="21" t="s">
        <v>716</v>
      </c>
      <c r="G2374" s="21" t="s">
        <v>11409</v>
      </c>
      <c r="H2374" s="21" t="s">
        <v>27663</v>
      </c>
    </row>
    <row r="2375" customFormat="false" ht="15" hidden="false" customHeight="false" outlineLevel="0" collapsed="false">
      <c r="B2375" s="19" t="s">
        <v>27740</v>
      </c>
      <c r="C2375" s="20" t="n">
        <f aca="false">ROUND(1.04/FX,2)</f>
        <v>0.14</v>
      </c>
      <c r="D2375" s="21" t="s">
        <v>25536</v>
      </c>
      <c r="E2375" s="21" t="s">
        <v>27717</v>
      </c>
      <c r="F2375" s="21" t="s">
        <v>716</v>
      </c>
      <c r="G2375" s="21" t="s">
        <v>11409</v>
      </c>
      <c r="H2375" s="21" t="s">
        <v>27663</v>
      </c>
    </row>
    <row r="2376" customFormat="false" ht="15" hidden="false" customHeight="false" outlineLevel="0" collapsed="false">
      <c r="B2376" s="19" t="s">
        <v>27741</v>
      </c>
      <c r="C2376" s="20" t="n">
        <f aca="false">ROUND(1.13/FX,2)</f>
        <v>0.16</v>
      </c>
      <c r="D2376" s="21" t="s">
        <v>13743</v>
      </c>
      <c r="E2376" s="21" t="s">
        <v>27717</v>
      </c>
      <c r="F2376" s="21" t="s">
        <v>2961</v>
      </c>
      <c r="G2376" s="21" t="s">
        <v>11409</v>
      </c>
      <c r="H2376" s="21" t="s">
        <v>27663</v>
      </c>
    </row>
    <row r="2377" customFormat="false" ht="15" hidden="false" customHeight="false" outlineLevel="0" collapsed="false">
      <c r="B2377" s="19" t="s">
        <v>27742</v>
      </c>
      <c r="C2377" s="20" t="n">
        <f aca="false">ROUND(1.19/FX,2)</f>
        <v>0.17</v>
      </c>
      <c r="D2377" s="21" t="s">
        <v>13743</v>
      </c>
      <c r="E2377" s="21" t="s">
        <v>27717</v>
      </c>
      <c r="F2377" s="21" t="s">
        <v>13817</v>
      </c>
      <c r="G2377" s="21" t="s">
        <v>11409</v>
      </c>
      <c r="H2377" s="21" t="s">
        <v>27663</v>
      </c>
    </row>
    <row r="2378" customFormat="false" ht="15" hidden="false" customHeight="false" outlineLevel="0" collapsed="false">
      <c r="B2378" s="19" t="s">
        <v>27743</v>
      </c>
      <c r="C2378" s="20" t="n">
        <f aca="false">ROUND(1.03/FX,2)</f>
        <v>0.14</v>
      </c>
      <c r="D2378" s="21" t="s">
        <v>14013</v>
      </c>
      <c r="E2378" s="21" t="s">
        <v>27717</v>
      </c>
      <c r="F2378" s="21" t="s">
        <v>3011</v>
      </c>
      <c r="G2378" s="21" t="s">
        <v>11409</v>
      </c>
      <c r="H2378" s="21" t="s">
        <v>27663</v>
      </c>
    </row>
    <row r="2379" customFormat="false" ht="15" hidden="false" customHeight="false" outlineLevel="0" collapsed="false">
      <c r="B2379" s="19" t="s">
        <v>27744</v>
      </c>
      <c r="C2379" s="20" t="n">
        <f aca="false">ROUND(1.08/FX,2)</f>
        <v>0.15</v>
      </c>
      <c r="D2379" s="21" t="s">
        <v>14013</v>
      </c>
      <c r="E2379" s="21" t="s">
        <v>27717</v>
      </c>
      <c r="F2379" s="21" t="s">
        <v>7396</v>
      </c>
      <c r="G2379" s="21" t="s">
        <v>11409</v>
      </c>
      <c r="H2379" s="21" t="s">
        <v>27663</v>
      </c>
    </row>
    <row r="2380" customFormat="false" ht="15" hidden="false" customHeight="false" outlineLevel="0" collapsed="false">
      <c r="B2380" s="19" t="s">
        <v>27745</v>
      </c>
      <c r="C2380" s="20" t="n">
        <f aca="false">ROUND(1.02/FX,2)</f>
        <v>0.14</v>
      </c>
      <c r="D2380" s="21" t="s">
        <v>25464</v>
      </c>
      <c r="E2380" s="21" t="s">
        <v>27715</v>
      </c>
      <c r="F2380" s="21" t="s">
        <v>847</v>
      </c>
      <c r="G2380" s="21" t="s">
        <v>11409</v>
      </c>
      <c r="H2380" s="21" t="s">
        <v>27663</v>
      </c>
    </row>
    <row r="2381" customFormat="false" ht="15" hidden="false" customHeight="false" outlineLevel="0" collapsed="false">
      <c r="B2381" s="19" t="s">
        <v>27746</v>
      </c>
      <c r="C2381" s="20" t="n">
        <f aca="false">ROUND(1.04/FX,2)</f>
        <v>0.14</v>
      </c>
      <c r="D2381" s="21" t="s">
        <v>25703</v>
      </c>
      <c r="E2381" s="21" t="s">
        <v>27717</v>
      </c>
      <c r="F2381" s="21" t="s">
        <v>847</v>
      </c>
      <c r="G2381" s="21" t="s">
        <v>11409</v>
      </c>
      <c r="H2381" s="21" t="s">
        <v>27663</v>
      </c>
    </row>
    <row r="2382" customFormat="false" ht="15" hidden="false" customHeight="false" outlineLevel="0" collapsed="false">
      <c r="B2382" s="19" t="s">
        <v>27747</v>
      </c>
      <c r="C2382" s="20" t="n">
        <f aca="false">ROUND(1.15/FX,2)</f>
        <v>0.16</v>
      </c>
      <c r="D2382" s="21" t="s">
        <v>14013</v>
      </c>
      <c r="E2382" s="21" t="s">
        <v>27717</v>
      </c>
      <c r="F2382" s="21" t="s">
        <v>3061</v>
      </c>
      <c r="G2382" s="21" t="s">
        <v>11409</v>
      </c>
      <c r="H2382" s="21" t="s">
        <v>27663</v>
      </c>
    </row>
    <row r="2383" customFormat="false" ht="15" hidden="false" customHeight="false" outlineLevel="0" collapsed="false">
      <c r="B2383" s="19" t="s">
        <v>27748</v>
      </c>
      <c r="C2383" s="20" t="n">
        <f aca="false">ROUND(1.02/FX,2)</f>
        <v>0.14</v>
      </c>
      <c r="D2383" s="21" t="s">
        <v>25471</v>
      </c>
      <c r="E2383" s="21" t="s">
        <v>27749</v>
      </c>
      <c r="F2383" s="21" t="s">
        <v>707</v>
      </c>
      <c r="G2383" s="21" t="s">
        <v>11411</v>
      </c>
      <c r="H2383" s="21" t="s">
        <v>27663</v>
      </c>
    </row>
    <row r="2384" customFormat="false" ht="15" hidden="false" customHeight="false" outlineLevel="0" collapsed="false">
      <c r="B2384" s="19" t="s">
        <v>27750</v>
      </c>
      <c r="C2384" s="20" t="n">
        <f aca="false">ROUND(1.01/FX,2)</f>
        <v>0.14</v>
      </c>
      <c r="D2384" s="21" t="s">
        <v>21722</v>
      </c>
      <c r="E2384" s="21" t="s">
        <v>27751</v>
      </c>
      <c r="F2384" s="21" t="s">
        <v>707</v>
      </c>
      <c r="G2384" s="21" t="s">
        <v>11411</v>
      </c>
      <c r="H2384" s="21" t="s">
        <v>27663</v>
      </c>
    </row>
    <row r="2385" customFormat="false" ht="15" hidden="false" customHeight="false" outlineLevel="0" collapsed="false">
      <c r="B2385" s="19" t="s">
        <v>27752</v>
      </c>
      <c r="C2385" s="20" t="n">
        <f aca="false">ROUND(1.03/FX,2)</f>
        <v>0.14</v>
      </c>
      <c r="D2385" s="21" t="s">
        <v>13981</v>
      </c>
      <c r="E2385" s="21" t="s">
        <v>27749</v>
      </c>
      <c r="F2385" s="21" t="s">
        <v>761</v>
      </c>
      <c r="G2385" s="21" t="s">
        <v>11411</v>
      </c>
      <c r="H2385" s="21" t="s">
        <v>27663</v>
      </c>
    </row>
    <row r="2386" customFormat="false" ht="15" hidden="false" customHeight="false" outlineLevel="0" collapsed="false">
      <c r="B2386" s="19" t="s">
        <v>27753</v>
      </c>
      <c r="C2386" s="20" t="n">
        <f aca="false">ROUND(1.03/FX,2)</f>
        <v>0.14</v>
      </c>
      <c r="D2386" s="21" t="s">
        <v>13988</v>
      </c>
      <c r="E2386" s="21" t="s">
        <v>27751</v>
      </c>
      <c r="F2386" s="21" t="s">
        <v>761</v>
      </c>
      <c r="G2386" s="21" t="s">
        <v>11411</v>
      </c>
      <c r="H2386" s="21" t="s">
        <v>27663</v>
      </c>
    </row>
    <row r="2387" customFormat="false" ht="15" hidden="false" customHeight="false" outlineLevel="0" collapsed="false">
      <c r="B2387" s="19" t="s">
        <v>27754</v>
      </c>
      <c r="C2387" s="20" t="n">
        <f aca="false">ROUND(1.03/FX,2)</f>
        <v>0.14</v>
      </c>
      <c r="D2387" s="21" t="s">
        <v>25462</v>
      </c>
      <c r="E2387" s="21" t="s">
        <v>27749</v>
      </c>
      <c r="F2387" s="21" t="s">
        <v>4721</v>
      </c>
      <c r="G2387" s="21" t="s">
        <v>11411</v>
      </c>
      <c r="H2387" s="21" t="s">
        <v>27663</v>
      </c>
    </row>
    <row r="2388" customFormat="false" ht="15" hidden="false" customHeight="false" outlineLevel="0" collapsed="false">
      <c r="B2388" s="19" t="s">
        <v>27755</v>
      </c>
      <c r="C2388" s="20" t="n">
        <f aca="false">ROUND(1.08/FX,2)</f>
        <v>0.15</v>
      </c>
      <c r="D2388" s="21" t="s">
        <v>13988</v>
      </c>
      <c r="E2388" s="21" t="s">
        <v>27751</v>
      </c>
      <c r="F2388" s="21" t="s">
        <v>4721</v>
      </c>
      <c r="G2388" s="21" t="s">
        <v>11411</v>
      </c>
      <c r="H2388" s="21" t="s">
        <v>27663</v>
      </c>
    </row>
    <row r="2389" customFormat="false" ht="15" hidden="false" customHeight="false" outlineLevel="0" collapsed="false">
      <c r="B2389" s="19" t="s">
        <v>27756</v>
      </c>
      <c r="C2389" s="20" t="n">
        <f aca="false">ROUND(1.03/FX,2)</f>
        <v>0.14</v>
      </c>
      <c r="D2389" s="21" t="s">
        <v>13978</v>
      </c>
      <c r="E2389" s="21" t="s">
        <v>27749</v>
      </c>
      <c r="F2389" s="21" t="s">
        <v>3833</v>
      </c>
      <c r="G2389" s="21" t="s">
        <v>11411</v>
      </c>
      <c r="H2389" s="21" t="s">
        <v>27663</v>
      </c>
    </row>
    <row r="2390" customFormat="false" ht="15" hidden="false" customHeight="false" outlineLevel="0" collapsed="false">
      <c r="B2390" s="19" t="s">
        <v>27757</v>
      </c>
      <c r="C2390" s="20" t="n">
        <f aca="false">ROUND(1.02/FX,2)</f>
        <v>0.14</v>
      </c>
      <c r="D2390" s="21" t="s">
        <v>13997</v>
      </c>
      <c r="E2390" s="21" t="s">
        <v>27751</v>
      </c>
      <c r="F2390" s="21" t="s">
        <v>3833</v>
      </c>
      <c r="G2390" s="21" t="s">
        <v>11411</v>
      </c>
      <c r="H2390" s="21" t="s">
        <v>27663</v>
      </c>
    </row>
    <row r="2391" customFormat="false" ht="15" hidden="false" customHeight="false" outlineLevel="0" collapsed="false">
      <c r="B2391" s="19" t="s">
        <v>27758</v>
      </c>
      <c r="C2391" s="20" t="n">
        <f aca="false">ROUND(1.01/FX,2)</f>
        <v>0.14</v>
      </c>
      <c r="D2391" s="21" t="s">
        <v>14016</v>
      </c>
      <c r="E2391" s="21" t="s">
        <v>27751</v>
      </c>
      <c r="F2391" s="21" t="s">
        <v>4000</v>
      </c>
      <c r="G2391" s="21" t="s">
        <v>11411</v>
      </c>
      <c r="H2391" s="21" t="s">
        <v>27663</v>
      </c>
    </row>
    <row r="2392" customFormat="false" ht="15" hidden="false" customHeight="false" outlineLevel="0" collapsed="false">
      <c r="B2392" s="19" t="s">
        <v>27759</v>
      </c>
      <c r="C2392" s="20" t="n">
        <f aca="false">ROUND(1.01/FX,2)</f>
        <v>0.14</v>
      </c>
      <c r="D2392" s="21" t="s">
        <v>13988</v>
      </c>
      <c r="E2392" s="21" t="s">
        <v>27749</v>
      </c>
      <c r="F2392" s="21" t="s">
        <v>3247</v>
      </c>
      <c r="G2392" s="21" t="s">
        <v>11411</v>
      </c>
      <c r="H2392" s="21" t="s">
        <v>27663</v>
      </c>
    </row>
    <row r="2393" customFormat="false" ht="15" hidden="false" customHeight="false" outlineLevel="0" collapsed="false">
      <c r="B2393" s="19" t="s">
        <v>27760</v>
      </c>
      <c r="C2393" s="20" t="n">
        <f aca="false">ROUND(1.01/FX,2)</f>
        <v>0.14</v>
      </c>
      <c r="D2393" s="21" t="s">
        <v>14016</v>
      </c>
      <c r="E2393" s="21" t="s">
        <v>27751</v>
      </c>
      <c r="F2393" s="21" t="s">
        <v>3247</v>
      </c>
      <c r="G2393" s="21" t="s">
        <v>11411</v>
      </c>
      <c r="H2393" s="21" t="s">
        <v>27663</v>
      </c>
    </row>
    <row r="2394" customFormat="false" ht="15" hidden="false" customHeight="false" outlineLevel="0" collapsed="false">
      <c r="B2394" s="19" t="s">
        <v>27761</v>
      </c>
      <c r="C2394" s="20" t="n">
        <f aca="false">ROUND(1.06/FX,2)</f>
        <v>0.15</v>
      </c>
      <c r="D2394" s="21" t="s">
        <v>13994</v>
      </c>
      <c r="E2394" s="21" t="s">
        <v>27751</v>
      </c>
      <c r="F2394" s="21" t="s">
        <v>5097</v>
      </c>
      <c r="G2394" s="21" t="s">
        <v>11411</v>
      </c>
      <c r="H2394" s="21" t="s">
        <v>27663</v>
      </c>
    </row>
    <row r="2395" customFormat="false" ht="15" hidden="false" customHeight="false" outlineLevel="0" collapsed="false">
      <c r="B2395" s="19" t="s">
        <v>27762</v>
      </c>
      <c r="C2395" s="20" t="n">
        <f aca="false">ROUND(1.06/FX,2)</f>
        <v>0.15</v>
      </c>
      <c r="D2395" s="21" t="s">
        <v>14016</v>
      </c>
      <c r="E2395" s="21" t="s">
        <v>27749</v>
      </c>
      <c r="F2395" s="21" t="s">
        <v>3317</v>
      </c>
      <c r="G2395" s="21" t="s">
        <v>11411</v>
      </c>
      <c r="H2395" s="21" t="s">
        <v>27663</v>
      </c>
    </row>
    <row r="2396" customFormat="false" ht="15" hidden="false" customHeight="false" outlineLevel="0" collapsed="false">
      <c r="B2396" s="19" t="s">
        <v>27763</v>
      </c>
      <c r="C2396" s="20" t="n">
        <f aca="false">ROUND(1.06/FX,2)</f>
        <v>0.15</v>
      </c>
      <c r="D2396" s="21" t="s">
        <v>14056</v>
      </c>
      <c r="E2396" s="21" t="s">
        <v>27751</v>
      </c>
      <c r="F2396" s="21" t="s">
        <v>3317</v>
      </c>
      <c r="G2396" s="21" t="s">
        <v>11411</v>
      </c>
      <c r="H2396" s="21" t="s">
        <v>27663</v>
      </c>
    </row>
    <row r="2397" customFormat="false" ht="15" hidden="false" customHeight="false" outlineLevel="0" collapsed="false">
      <c r="B2397" s="19" t="s">
        <v>27764</v>
      </c>
      <c r="C2397" s="20" t="n">
        <f aca="false">ROUND(1.15/FX,2)</f>
        <v>0.16</v>
      </c>
      <c r="D2397" s="21" t="s">
        <v>13994</v>
      </c>
      <c r="E2397" s="21" t="s">
        <v>27751</v>
      </c>
      <c r="F2397" s="21" t="s">
        <v>6768</v>
      </c>
      <c r="G2397" s="21" t="s">
        <v>11411</v>
      </c>
      <c r="H2397" s="21" t="s">
        <v>27663</v>
      </c>
    </row>
    <row r="2398" customFormat="false" ht="15" hidden="false" customHeight="false" outlineLevel="0" collapsed="false">
      <c r="B2398" s="19" t="s">
        <v>27765</v>
      </c>
      <c r="C2398" s="20" t="n">
        <f aca="false">ROUND(1.01/FX,2)</f>
        <v>0.14</v>
      </c>
      <c r="D2398" s="21" t="s">
        <v>14056</v>
      </c>
      <c r="E2398" s="21" t="s">
        <v>27749</v>
      </c>
      <c r="F2398" s="21" t="s">
        <v>784</v>
      </c>
      <c r="G2398" s="21" t="s">
        <v>11411</v>
      </c>
      <c r="H2398" s="21" t="s">
        <v>27663</v>
      </c>
    </row>
    <row r="2399" customFormat="false" ht="15" hidden="false" customHeight="false" outlineLevel="0" collapsed="false">
      <c r="B2399" s="19" t="s">
        <v>27766</v>
      </c>
      <c r="C2399" s="20" t="n">
        <f aca="false">ROUND(1.07/FX,2)</f>
        <v>0.15</v>
      </c>
      <c r="D2399" s="21" t="s">
        <v>13994</v>
      </c>
      <c r="E2399" s="21" t="s">
        <v>27751</v>
      </c>
      <c r="F2399" s="21" t="s">
        <v>784</v>
      </c>
      <c r="G2399" s="21" t="s">
        <v>11411</v>
      </c>
      <c r="H2399" s="21" t="s">
        <v>27663</v>
      </c>
    </row>
    <row r="2400" customFormat="false" ht="15" hidden="false" customHeight="false" outlineLevel="0" collapsed="false">
      <c r="B2400" s="19" t="s">
        <v>27767</v>
      </c>
      <c r="C2400" s="20" t="n">
        <f aca="false">ROUND(1.17/FX,2)</f>
        <v>0.16</v>
      </c>
      <c r="D2400" s="21" t="s">
        <v>14007</v>
      </c>
      <c r="E2400" s="21" t="s">
        <v>27751</v>
      </c>
      <c r="F2400" s="21" t="s">
        <v>6244</v>
      </c>
      <c r="G2400" s="21" t="s">
        <v>11411</v>
      </c>
      <c r="H2400" s="21" t="s">
        <v>27663</v>
      </c>
    </row>
    <row r="2401" customFormat="false" ht="15" hidden="false" customHeight="false" outlineLevel="0" collapsed="false">
      <c r="B2401" s="19" t="s">
        <v>27768</v>
      </c>
      <c r="C2401" s="20" t="n">
        <f aca="false">ROUND(1.01/FX,2)</f>
        <v>0.14</v>
      </c>
      <c r="D2401" s="21" t="s">
        <v>14007</v>
      </c>
      <c r="E2401" s="21" t="s">
        <v>27751</v>
      </c>
      <c r="F2401" s="21" t="s">
        <v>3328</v>
      </c>
      <c r="G2401" s="21" t="s">
        <v>11411</v>
      </c>
      <c r="H2401" s="21" t="s">
        <v>27663</v>
      </c>
    </row>
    <row r="2402" customFormat="false" ht="15" hidden="false" customHeight="false" outlineLevel="0" collapsed="false">
      <c r="B2402" s="19" t="s">
        <v>27769</v>
      </c>
      <c r="C2402" s="20" t="n">
        <f aca="false">ROUND(1.12/FX,2)</f>
        <v>0.16</v>
      </c>
      <c r="D2402" s="21" t="s">
        <v>14007</v>
      </c>
      <c r="E2402" s="21" t="s">
        <v>27751</v>
      </c>
      <c r="F2402" s="21" t="s">
        <v>6246</v>
      </c>
      <c r="G2402" s="21" t="s">
        <v>11411</v>
      </c>
      <c r="H2402" s="21" t="s">
        <v>27663</v>
      </c>
    </row>
    <row r="2403" customFormat="false" ht="15" hidden="false" customHeight="false" outlineLevel="0" collapsed="false">
      <c r="B2403" s="19" t="s">
        <v>27770</v>
      </c>
      <c r="C2403" s="20" t="n">
        <f aca="false">ROUND(1.03/FX,2)</f>
        <v>0.14</v>
      </c>
      <c r="D2403" s="21" t="s">
        <v>14013</v>
      </c>
      <c r="E2403" s="21" t="s">
        <v>27751</v>
      </c>
      <c r="F2403" s="21" t="s">
        <v>7358</v>
      </c>
      <c r="G2403" s="21" t="s">
        <v>11411</v>
      </c>
      <c r="H2403" s="21" t="s">
        <v>27663</v>
      </c>
    </row>
    <row r="2404" customFormat="false" ht="15" hidden="false" customHeight="false" outlineLevel="0" collapsed="false">
      <c r="B2404" s="19" t="s">
        <v>27771</v>
      </c>
      <c r="C2404" s="20" t="n">
        <f aca="false">ROUND(1.11/FX,2)</f>
        <v>0.15</v>
      </c>
      <c r="D2404" s="21" t="s">
        <v>14013</v>
      </c>
      <c r="E2404" s="21" t="s">
        <v>27751</v>
      </c>
      <c r="F2404" s="21" t="s">
        <v>2911</v>
      </c>
      <c r="G2404" s="21" t="s">
        <v>11411</v>
      </c>
      <c r="H2404" s="21" t="s">
        <v>27663</v>
      </c>
    </row>
    <row r="2405" customFormat="false" ht="15" hidden="false" customHeight="false" outlineLevel="0" collapsed="false">
      <c r="B2405" s="19" t="s">
        <v>27772</v>
      </c>
      <c r="C2405" s="20" t="n">
        <f aca="false">ROUND(1.25/FX,2)</f>
        <v>0.17</v>
      </c>
      <c r="D2405" s="21" t="s">
        <v>14013</v>
      </c>
      <c r="E2405" s="21" t="s">
        <v>27751</v>
      </c>
      <c r="F2405" s="21" t="s">
        <v>7275</v>
      </c>
      <c r="G2405" s="21" t="s">
        <v>11411</v>
      </c>
      <c r="H2405" s="21" t="s">
        <v>27663</v>
      </c>
    </row>
    <row r="2406" customFormat="false" ht="15" hidden="false" customHeight="false" outlineLevel="0" collapsed="false">
      <c r="B2406" s="19" t="s">
        <v>27773</v>
      </c>
      <c r="C2406" s="20" t="n">
        <f aca="false">ROUND(1.05/FX,2)</f>
        <v>0.15</v>
      </c>
      <c r="D2406" s="21" t="s">
        <v>21722</v>
      </c>
      <c r="E2406" s="21" t="s">
        <v>27751</v>
      </c>
      <c r="F2406" s="21" t="s">
        <v>716</v>
      </c>
      <c r="G2406" s="21" t="s">
        <v>11411</v>
      </c>
      <c r="H2406" s="21" t="s">
        <v>27663</v>
      </c>
    </row>
    <row r="2407" customFormat="false" ht="15" hidden="false" customHeight="false" outlineLevel="0" collapsed="false">
      <c r="B2407" s="19" t="s">
        <v>27774</v>
      </c>
      <c r="C2407" s="20" t="n">
        <f aca="false">ROUND(1.02/FX,2)</f>
        <v>0.14</v>
      </c>
      <c r="D2407" s="21" t="s">
        <v>13751</v>
      </c>
      <c r="E2407" s="21" t="s">
        <v>27751</v>
      </c>
      <c r="F2407" s="21" t="s">
        <v>2961</v>
      </c>
      <c r="G2407" s="21" t="s">
        <v>11411</v>
      </c>
      <c r="H2407" s="21" t="s">
        <v>27663</v>
      </c>
    </row>
    <row r="2408" customFormat="false" ht="15" hidden="false" customHeight="false" outlineLevel="0" collapsed="false">
      <c r="B2408" s="19" t="s">
        <v>27775</v>
      </c>
      <c r="C2408" s="20" t="n">
        <f aca="false">ROUND(1.09/FX,2)</f>
        <v>0.15</v>
      </c>
      <c r="D2408" s="21" t="s">
        <v>13751</v>
      </c>
      <c r="E2408" s="21" t="s">
        <v>27751</v>
      </c>
      <c r="F2408" s="21" t="s">
        <v>13817</v>
      </c>
      <c r="G2408" s="21" t="s">
        <v>11411</v>
      </c>
      <c r="H2408" s="21" t="s">
        <v>27663</v>
      </c>
    </row>
    <row r="2409" customFormat="false" ht="15" hidden="false" customHeight="false" outlineLevel="0" collapsed="false">
      <c r="B2409" s="19" t="s">
        <v>27776</v>
      </c>
      <c r="C2409" s="20" t="n">
        <f aca="false">ROUND(1.25/FX,2)</f>
        <v>0.17</v>
      </c>
      <c r="D2409" s="21" t="s">
        <v>13751</v>
      </c>
      <c r="E2409" s="21" t="s">
        <v>27751</v>
      </c>
      <c r="F2409" s="21" t="s">
        <v>3011</v>
      </c>
      <c r="G2409" s="21" t="s">
        <v>11411</v>
      </c>
      <c r="H2409" s="21" t="s">
        <v>27663</v>
      </c>
    </row>
    <row r="2410" customFormat="false" ht="15" hidden="false" customHeight="false" outlineLevel="0" collapsed="false">
      <c r="B2410" s="19" t="s">
        <v>27777</v>
      </c>
      <c r="C2410" s="20" t="n">
        <f aca="false">ROUND(1.29/FX,2)</f>
        <v>0.18</v>
      </c>
      <c r="D2410" s="21" t="s">
        <v>13751</v>
      </c>
      <c r="E2410" s="21" t="s">
        <v>27751</v>
      </c>
      <c r="F2410" s="21" t="s">
        <v>7396</v>
      </c>
      <c r="G2410" s="21" t="s">
        <v>11411</v>
      </c>
      <c r="H2410" s="21" t="s">
        <v>27663</v>
      </c>
    </row>
    <row r="2411" customFormat="false" ht="15" hidden="false" customHeight="false" outlineLevel="0" collapsed="false">
      <c r="B2411" s="19" t="s">
        <v>27778</v>
      </c>
      <c r="C2411" s="20" t="n">
        <f aca="false">ROUND(1.04/FX,2)</f>
        <v>0.14</v>
      </c>
      <c r="D2411" s="21" t="s">
        <v>13974</v>
      </c>
      <c r="E2411" s="21" t="s">
        <v>27749</v>
      </c>
      <c r="F2411" s="21" t="s">
        <v>847</v>
      </c>
      <c r="G2411" s="21" t="s">
        <v>11411</v>
      </c>
      <c r="H2411" s="21" t="s">
        <v>27663</v>
      </c>
    </row>
    <row r="2412" customFormat="false" ht="15" hidden="false" customHeight="false" outlineLevel="0" collapsed="false">
      <c r="B2412" s="19" t="s">
        <v>27779</v>
      </c>
      <c r="C2412" s="20" t="n">
        <f aca="false">ROUND(1.01/FX,2)</f>
        <v>0.14</v>
      </c>
      <c r="D2412" s="21" t="s">
        <v>13978</v>
      </c>
      <c r="E2412" s="21" t="s">
        <v>27751</v>
      </c>
      <c r="F2412" s="21" t="s">
        <v>847</v>
      </c>
      <c r="G2412" s="21" t="s">
        <v>11411</v>
      </c>
      <c r="H2412" s="21" t="s">
        <v>27663</v>
      </c>
    </row>
    <row r="2413" customFormat="false" ht="15" hidden="false" customHeight="false" outlineLevel="0" collapsed="false">
      <c r="B2413" s="19" t="s">
        <v>27780</v>
      </c>
      <c r="C2413" s="20" t="n">
        <f aca="false">ROUND(1.41/FX,2)</f>
        <v>0.2</v>
      </c>
      <c r="D2413" s="21" t="s">
        <v>13751</v>
      </c>
      <c r="E2413" s="21" t="s">
        <v>27751</v>
      </c>
      <c r="F2413" s="21" t="s">
        <v>3061</v>
      </c>
      <c r="G2413" s="21" t="s">
        <v>11411</v>
      </c>
      <c r="H2413" s="21" t="s">
        <v>27663</v>
      </c>
    </row>
    <row r="2414" customFormat="false" ht="15" hidden="false" customHeight="false" outlineLevel="0" collapsed="false">
      <c r="B2414" s="19" t="s">
        <v>27781</v>
      </c>
      <c r="C2414" s="20" t="n">
        <f aca="false">ROUND(1.43/FX,2)</f>
        <v>0.2</v>
      </c>
      <c r="D2414" s="21" t="s">
        <v>13751</v>
      </c>
      <c r="E2414" s="21" t="s">
        <v>27751</v>
      </c>
      <c r="F2414" s="21" t="s">
        <v>11870</v>
      </c>
      <c r="G2414" s="21" t="s">
        <v>11411</v>
      </c>
      <c r="H2414" s="21" t="s">
        <v>27663</v>
      </c>
    </row>
    <row r="2415" customFormat="false" ht="15" hidden="false" customHeight="false" outlineLevel="0" collapsed="false">
      <c r="B2415" s="19" t="s">
        <v>27782</v>
      </c>
      <c r="C2415" s="20" t="n">
        <f aca="false">ROUND(1/FX,2)</f>
        <v>0.14</v>
      </c>
      <c r="D2415" s="21" t="s">
        <v>13739</v>
      </c>
      <c r="E2415" s="21" t="s">
        <v>27751</v>
      </c>
      <c r="F2415" s="21" t="s">
        <v>3111</v>
      </c>
      <c r="G2415" s="21" t="s">
        <v>11411</v>
      </c>
      <c r="H2415" s="21" t="s">
        <v>27663</v>
      </c>
    </row>
    <row r="2416" customFormat="false" ht="15" hidden="false" customHeight="false" outlineLevel="0" collapsed="false">
      <c r="B2416" s="19" t="s">
        <v>27783</v>
      </c>
      <c r="C2416" s="20" t="n">
        <f aca="false">ROUND(1.05/FX,2)</f>
        <v>0.15</v>
      </c>
      <c r="D2416" s="21" t="s">
        <v>13739</v>
      </c>
      <c r="E2416" s="21" t="s">
        <v>27751</v>
      </c>
      <c r="F2416" s="21" t="s">
        <v>12306</v>
      </c>
      <c r="G2416" s="21" t="s">
        <v>11411</v>
      </c>
      <c r="H2416" s="21" t="s">
        <v>27663</v>
      </c>
    </row>
    <row r="2417" customFormat="false" ht="28.35" hidden="false" customHeight="false" outlineLevel="0" collapsed="false">
      <c r="B2417" s="19" t="s">
        <v>27784</v>
      </c>
      <c r="C2417" s="20" t="n">
        <f aca="false">ROUND(1.06/FX,2)</f>
        <v>0.15</v>
      </c>
      <c r="D2417" s="21" t="s">
        <v>25462</v>
      </c>
      <c r="E2417" s="21" t="s">
        <v>734</v>
      </c>
      <c r="F2417" s="21" t="s">
        <v>707</v>
      </c>
      <c r="G2417" s="21" t="s">
        <v>11409</v>
      </c>
      <c r="H2417" s="21" t="s">
        <v>27785</v>
      </c>
    </row>
    <row r="2418" customFormat="false" ht="28.35" hidden="false" customHeight="false" outlineLevel="0" collapsed="false">
      <c r="B2418" s="19" t="s">
        <v>27786</v>
      </c>
      <c r="C2418" s="20" t="n">
        <f aca="false">ROUND(1.02/FX,2)</f>
        <v>0.14</v>
      </c>
      <c r="D2418" s="21" t="s">
        <v>21722</v>
      </c>
      <c r="E2418" s="21" t="s">
        <v>734</v>
      </c>
      <c r="F2418" s="21" t="s">
        <v>761</v>
      </c>
      <c r="G2418" s="21" t="s">
        <v>11409</v>
      </c>
      <c r="H2418" s="21" t="s">
        <v>27785</v>
      </c>
    </row>
    <row r="2419" customFormat="false" ht="28.35" hidden="false" customHeight="false" outlineLevel="0" collapsed="false">
      <c r="B2419" s="19" t="s">
        <v>27787</v>
      </c>
      <c r="C2419" s="20" t="n">
        <f aca="false">ROUND(1/FX,2)</f>
        <v>0.14</v>
      </c>
      <c r="D2419" s="21" t="s">
        <v>13988</v>
      </c>
      <c r="E2419" s="21" t="s">
        <v>734</v>
      </c>
      <c r="F2419" s="21" t="s">
        <v>4721</v>
      </c>
      <c r="G2419" s="21" t="s">
        <v>11409</v>
      </c>
      <c r="H2419" s="21" t="s">
        <v>27785</v>
      </c>
    </row>
    <row r="2420" customFormat="false" ht="28.35" hidden="false" customHeight="false" outlineLevel="0" collapsed="false">
      <c r="B2420" s="19" t="s">
        <v>27788</v>
      </c>
      <c r="C2420" s="20" t="n">
        <f aca="false">ROUND(1.06/FX,2)</f>
        <v>0.15</v>
      </c>
      <c r="D2420" s="21" t="s">
        <v>13988</v>
      </c>
      <c r="E2420" s="21" t="s">
        <v>734</v>
      </c>
      <c r="F2420" s="21" t="s">
        <v>3833</v>
      </c>
      <c r="G2420" s="21" t="s">
        <v>11409</v>
      </c>
      <c r="H2420" s="21" t="s">
        <v>27785</v>
      </c>
    </row>
    <row r="2421" customFormat="false" ht="28.35" hidden="false" customHeight="false" outlineLevel="0" collapsed="false">
      <c r="B2421" s="19" t="s">
        <v>27789</v>
      </c>
      <c r="C2421" s="20" t="n">
        <f aca="false">ROUND(1/FX,2)</f>
        <v>0.14</v>
      </c>
      <c r="D2421" s="21" t="s">
        <v>14016</v>
      </c>
      <c r="E2421" s="21" t="s">
        <v>734</v>
      </c>
      <c r="F2421" s="21" t="s">
        <v>3247</v>
      </c>
      <c r="G2421" s="21" t="s">
        <v>11409</v>
      </c>
      <c r="H2421" s="21" t="s">
        <v>27785</v>
      </c>
    </row>
    <row r="2422" customFormat="false" ht="28.35" hidden="false" customHeight="false" outlineLevel="0" collapsed="false">
      <c r="B2422" s="19" t="s">
        <v>27790</v>
      </c>
      <c r="C2422" s="20" t="n">
        <f aca="false">ROUND(1.05/FX,2)</f>
        <v>0.15</v>
      </c>
      <c r="D2422" s="21" t="s">
        <v>14056</v>
      </c>
      <c r="E2422" s="21" t="s">
        <v>734</v>
      </c>
      <c r="F2422" s="21" t="s">
        <v>3317</v>
      </c>
      <c r="G2422" s="21" t="s">
        <v>11409</v>
      </c>
      <c r="H2422" s="21" t="s">
        <v>27785</v>
      </c>
    </row>
    <row r="2423" customFormat="false" ht="28.35" hidden="false" customHeight="false" outlineLevel="0" collapsed="false">
      <c r="B2423" s="19" t="s">
        <v>27791</v>
      </c>
      <c r="C2423" s="20" t="n">
        <f aca="false">ROUND(1/FX,2)</f>
        <v>0.14</v>
      </c>
      <c r="D2423" s="21" t="s">
        <v>13994</v>
      </c>
      <c r="E2423" s="21" t="s">
        <v>734</v>
      </c>
      <c r="F2423" s="21" t="s">
        <v>784</v>
      </c>
      <c r="G2423" s="21" t="s">
        <v>11409</v>
      </c>
      <c r="H2423" s="21" t="s">
        <v>27785</v>
      </c>
    </row>
    <row r="2424" customFormat="false" ht="28.35" hidden="false" customHeight="false" outlineLevel="0" collapsed="false">
      <c r="B2424" s="19" t="s">
        <v>27792</v>
      </c>
      <c r="C2424" s="20" t="n">
        <f aca="false">ROUND(1.04/FX,2)</f>
        <v>0.14</v>
      </c>
      <c r="D2424" s="21" t="s">
        <v>25459</v>
      </c>
      <c r="E2424" s="21" t="s">
        <v>734</v>
      </c>
      <c r="F2424" s="21" t="s">
        <v>789</v>
      </c>
      <c r="G2424" s="21" t="s">
        <v>11409</v>
      </c>
      <c r="H2424" s="21" t="s">
        <v>27785</v>
      </c>
    </row>
    <row r="2425" customFormat="false" ht="28.35" hidden="false" customHeight="false" outlineLevel="0" collapsed="false">
      <c r="B2425" s="19" t="s">
        <v>27793</v>
      </c>
      <c r="C2425" s="20" t="n">
        <f aca="false">ROUND(1/FX,2)</f>
        <v>0.14</v>
      </c>
      <c r="D2425" s="21" t="s">
        <v>25459</v>
      </c>
      <c r="E2425" s="21" t="s">
        <v>734</v>
      </c>
      <c r="F2425" s="21" t="s">
        <v>716</v>
      </c>
      <c r="G2425" s="21" t="s">
        <v>11409</v>
      </c>
      <c r="H2425" s="21" t="s">
        <v>27785</v>
      </c>
    </row>
    <row r="2426" customFormat="false" ht="28.35" hidden="false" customHeight="false" outlineLevel="0" collapsed="false">
      <c r="B2426" s="19" t="s">
        <v>27794</v>
      </c>
      <c r="C2426" s="20" t="n">
        <f aca="false">ROUND(1.01/FX,2)</f>
        <v>0.14</v>
      </c>
      <c r="D2426" s="21" t="s">
        <v>25462</v>
      </c>
      <c r="E2426" s="21" t="s">
        <v>734</v>
      </c>
      <c r="F2426" s="21" t="s">
        <v>847</v>
      </c>
      <c r="G2426" s="21" t="s">
        <v>11409</v>
      </c>
      <c r="H2426" s="21" t="s">
        <v>27785</v>
      </c>
    </row>
    <row r="2427" customFormat="false" ht="28.35" hidden="false" customHeight="false" outlineLevel="0" collapsed="false">
      <c r="B2427" s="19" t="s">
        <v>27795</v>
      </c>
      <c r="C2427" s="20" t="n">
        <f aca="false">ROUND(1.12/FX,2)</f>
        <v>0.16</v>
      </c>
      <c r="D2427" s="21" t="s">
        <v>14016</v>
      </c>
      <c r="E2427" s="21" t="s">
        <v>734</v>
      </c>
      <c r="F2427" s="21" t="s">
        <v>707</v>
      </c>
      <c r="G2427" s="21" t="s">
        <v>11411</v>
      </c>
      <c r="H2427" s="21" t="s">
        <v>27785</v>
      </c>
    </row>
    <row r="2428" customFormat="false" ht="28.35" hidden="false" customHeight="false" outlineLevel="0" collapsed="false">
      <c r="B2428" s="19" t="s">
        <v>27796</v>
      </c>
      <c r="C2428" s="20" t="n">
        <f aca="false">ROUND(1.06/FX,2)</f>
        <v>0.15</v>
      </c>
      <c r="D2428" s="21" t="s">
        <v>14056</v>
      </c>
      <c r="E2428" s="21" t="s">
        <v>734</v>
      </c>
      <c r="F2428" s="21" t="s">
        <v>761</v>
      </c>
      <c r="G2428" s="21" t="s">
        <v>11411</v>
      </c>
      <c r="H2428" s="21" t="s">
        <v>27785</v>
      </c>
    </row>
    <row r="2429" customFormat="false" ht="28.35" hidden="false" customHeight="false" outlineLevel="0" collapsed="false">
      <c r="B2429" s="19" t="s">
        <v>27797</v>
      </c>
      <c r="C2429" s="20" t="n">
        <f aca="false">ROUND(1.11/FX,2)</f>
        <v>0.15</v>
      </c>
      <c r="D2429" s="21" t="s">
        <v>13994</v>
      </c>
      <c r="E2429" s="21" t="s">
        <v>734</v>
      </c>
      <c r="F2429" s="21" t="s">
        <v>3833</v>
      </c>
      <c r="G2429" s="21" t="s">
        <v>11411</v>
      </c>
      <c r="H2429" s="21" t="s">
        <v>27785</v>
      </c>
    </row>
    <row r="2430" customFormat="false" ht="28.35" hidden="false" customHeight="false" outlineLevel="0" collapsed="false">
      <c r="B2430" s="19" t="s">
        <v>27798</v>
      </c>
      <c r="C2430" s="20" t="n">
        <f aca="false">ROUND(1.09/FX,2)</f>
        <v>0.15</v>
      </c>
      <c r="D2430" s="21" t="s">
        <v>14007</v>
      </c>
      <c r="E2430" s="21" t="s">
        <v>734</v>
      </c>
      <c r="F2430" s="21" t="s">
        <v>3247</v>
      </c>
      <c r="G2430" s="21" t="s">
        <v>11411</v>
      </c>
      <c r="H2430" s="21" t="s">
        <v>27785</v>
      </c>
    </row>
    <row r="2431" customFormat="false" ht="28.35" hidden="false" customHeight="false" outlineLevel="0" collapsed="false">
      <c r="B2431" s="19" t="s">
        <v>27799</v>
      </c>
      <c r="C2431" s="20" t="n">
        <f aca="false">ROUND(1.04/FX,2)</f>
        <v>0.14</v>
      </c>
      <c r="D2431" s="21" t="s">
        <v>13743</v>
      </c>
      <c r="E2431" s="21" t="s">
        <v>734</v>
      </c>
      <c r="F2431" s="21" t="s">
        <v>3317</v>
      </c>
      <c r="G2431" s="21" t="s">
        <v>11411</v>
      </c>
      <c r="H2431" s="21" t="s">
        <v>27785</v>
      </c>
    </row>
    <row r="2432" customFormat="false" ht="28.35" hidden="false" customHeight="false" outlineLevel="0" collapsed="false">
      <c r="B2432" s="19" t="s">
        <v>27800</v>
      </c>
      <c r="C2432" s="20" t="n">
        <f aca="false">ROUND(1.19/FX,2)</f>
        <v>0.17</v>
      </c>
      <c r="D2432" s="21" t="s">
        <v>13743</v>
      </c>
      <c r="E2432" s="21" t="s">
        <v>734</v>
      </c>
      <c r="F2432" s="21" t="s">
        <v>784</v>
      </c>
      <c r="G2432" s="21" t="s">
        <v>11411</v>
      </c>
      <c r="H2432" s="21" t="s">
        <v>27785</v>
      </c>
    </row>
    <row r="2433" customFormat="false" ht="28.35" hidden="false" customHeight="false" outlineLevel="0" collapsed="false">
      <c r="B2433" s="19" t="s">
        <v>27801</v>
      </c>
      <c r="C2433" s="20" t="n">
        <f aca="false">ROUND(1.1/FX,2)</f>
        <v>0.15</v>
      </c>
      <c r="D2433" s="21" t="s">
        <v>13997</v>
      </c>
      <c r="E2433" s="21" t="s">
        <v>734</v>
      </c>
      <c r="F2433" s="21" t="s">
        <v>716</v>
      </c>
      <c r="G2433" s="21" t="s">
        <v>11411</v>
      </c>
      <c r="H2433" s="21" t="s">
        <v>27785</v>
      </c>
    </row>
    <row r="2434" customFormat="false" ht="28.35" hidden="false" customHeight="false" outlineLevel="0" collapsed="false">
      <c r="B2434" s="19" t="s">
        <v>27802</v>
      </c>
      <c r="C2434" s="20" t="n">
        <f aca="false">ROUND(1.03/FX,2)</f>
        <v>0.14</v>
      </c>
      <c r="D2434" s="21" t="s">
        <v>14016</v>
      </c>
      <c r="E2434" s="21" t="s">
        <v>734</v>
      </c>
      <c r="F2434" s="21" t="s">
        <v>847</v>
      </c>
      <c r="G2434" s="21" t="s">
        <v>11411</v>
      </c>
      <c r="H2434" s="21" t="s">
        <v>27785</v>
      </c>
    </row>
    <row r="2437" customFormat="false" ht="61.5" hidden="false" customHeight="true" outlineLevel="0" collapsed="false">
      <c r="A2437" s="9"/>
      <c r="B2437" s="10" t="s">
        <v>27803</v>
      </c>
      <c r="C2437" s="10"/>
      <c r="D2437" s="10"/>
      <c r="E2437" s="10"/>
      <c r="F2437" s="10"/>
    </row>
    <row r="2438" customFormat="false" ht="15" hidden="false" customHeight="false" outlineLevel="0" collapsed="false">
      <c r="A2438" s="12" t="s">
        <v>700</v>
      </c>
      <c r="B2438" s="13" t="s">
        <v>701</v>
      </c>
      <c r="C2438" s="13" t="s">
        <v>702</v>
      </c>
      <c r="D2438" s="13" t="s">
        <v>705</v>
      </c>
      <c r="E2438" s="13" t="s">
        <v>723</v>
      </c>
      <c r="F2438" s="13" t="s">
        <v>13701</v>
      </c>
    </row>
    <row r="2439" customFormat="false" ht="30" hidden="false" customHeight="true" outlineLevel="0" collapsed="false">
      <c r="A2439" s="14" t="s">
        <v>706</v>
      </c>
      <c r="B2439" s="15" t="str">
        <f aca="false">IF(COUNTIFS($D$2442:$D$2447,IF(D2439="","*",D2439),$E$2442:$E$2447,IF(E2439="","*",E2439),$F$2442:$F$2447,IF(F2439="","*",F2439))=1,INDEX($B:$B,SUMPRODUCT(((D2439="")+($D$2442:$D$2447=D2439)&gt;0)*((E2439="")+($E$2442:$E$2447=E2439)&gt;0)*((F2439="")+($F$2442:$F$2447=F2439)&gt;0)*ROW($B$2442:$B$2447))),IF(COUNTIFS($D$2442:$D$2447,IF(D2439="","*",D2439),$E$2442:$E$2447,IF(E2439="","*",E2439),$F$2442:$F$2447,IF(F2439="","*",F2439))=0,"Not available",COUNTIFS($D$2442:$D$2447,IF(D2439="","*",D2439),$E$2442:$E$2447,IF(E2439="","*",E2439),$F$2442:$F$2447,IF(F2439="","*",F2439))&amp;" match, keep choosing"))</f>
        <v>BN-010-M3x10-QY-P5</v>
      </c>
      <c r="C2439" s="16" t="n">
        <f aca="false">IF(COUNTIFS($D$2442:$D$2447,IF(D2439="","*",D2439),$E$2442:$E$2447,IF(E2439="","*",E2439),$F$2442:$F$2447,IF(F2439="","*",F2439))=1,INDEX($C:$C,SUMPRODUCT(((D2439="")+($D$2442:$D$2447=D2439)&gt;0)*((E2439="")+($E$2442:$E$2447=E2439)&gt;0)*((F2439="")+($F$2442:$F$2447=F2439)&gt;0)*ROW($B$2442:$B$2447))),"")</f>
        <v>0.02</v>
      </c>
      <c r="D2439" s="17" t="s">
        <v>13743</v>
      </c>
      <c r="E2439" s="17" t="s">
        <v>25627</v>
      </c>
      <c r="F2439" s="17" t="s">
        <v>27804</v>
      </c>
    </row>
    <row r="2441" customFormat="false" ht="15" hidden="false" customHeight="false" outlineLevel="0" collapsed="false">
      <c r="B2441" s="18" t="s">
        <v>701</v>
      </c>
      <c r="C2441" s="18" t="s">
        <v>702</v>
      </c>
      <c r="D2441" s="18" t="s">
        <v>705</v>
      </c>
      <c r="E2441" s="18" t="s">
        <v>723</v>
      </c>
      <c r="F2441" s="18" t="s">
        <v>13701</v>
      </c>
    </row>
    <row r="2442" customFormat="false" ht="15" hidden="false" customHeight="false" outlineLevel="0" collapsed="false">
      <c r="B2442" s="19" t="s">
        <v>27805</v>
      </c>
      <c r="C2442" s="20" t="n">
        <f aca="false">ROUND(0.11/FX,2)</f>
        <v>0.02</v>
      </c>
      <c r="D2442" s="21" t="s">
        <v>13743</v>
      </c>
      <c r="E2442" s="21" t="s">
        <v>25627</v>
      </c>
      <c r="F2442" s="21" t="s">
        <v>27804</v>
      </c>
    </row>
    <row r="2443" customFormat="false" ht="15" hidden="false" customHeight="false" outlineLevel="0" collapsed="false">
      <c r="B2443" s="19" t="s">
        <v>27806</v>
      </c>
      <c r="C2443" s="20" t="n">
        <f aca="false">ROUND(0.83/FX,2)</f>
        <v>0.12</v>
      </c>
      <c r="D2443" s="21" t="s">
        <v>13997</v>
      </c>
      <c r="E2443" s="21" t="s">
        <v>25627</v>
      </c>
      <c r="F2443" s="21" t="s">
        <v>27807</v>
      </c>
    </row>
    <row r="2444" customFormat="false" ht="15" hidden="false" customHeight="false" outlineLevel="0" collapsed="false">
      <c r="B2444" s="19" t="s">
        <v>27808</v>
      </c>
      <c r="C2444" s="20" t="n">
        <f aca="false">ROUND(0.18/FX,2)</f>
        <v>0.03</v>
      </c>
      <c r="D2444" s="21" t="s">
        <v>13997</v>
      </c>
      <c r="E2444" s="21" t="s">
        <v>25627</v>
      </c>
      <c r="F2444" s="21" t="s">
        <v>27809</v>
      </c>
    </row>
    <row r="2445" customFormat="false" ht="15" hidden="false" customHeight="false" outlineLevel="0" collapsed="false">
      <c r="B2445" s="19" t="s">
        <v>27810</v>
      </c>
      <c r="C2445" s="20" t="n">
        <f aca="false">ROUND(0.65/FX,2)</f>
        <v>0.09</v>
      </c>
      <c r="D2445" s="21" t="s">
        <v>13997</v>
      </c>
      <c r="E2445" s="21" t="s">
        <v>734</v>
      </c>
      <c r="F2445" s="21" t="s">
        <v>27811</v>
      </c>
    </row>
    <row r="2446" customFormat="false" ht="15" hidden="false" customHeight="false" outlineLevel="0" collapsed="false">
      <c r="B2446" s="19" t="s">
        <v>27812</v>
      </c>
      <c r="C2446" s="20" t="n">
        <f aca="false">ROUND(0.52/FX,2)</f>
        <v>0.07</v>
      </c>
      <c r="D2446" s="21" t="s">
        <v>13743</v>
      </c>
      <c r="E2446" s="21" t="s">
        <v>25627</v>
      </c>
      <c r="F2446" s="21" t="s">
        <v>27813</v>
      </c>
    </row>
    <row r="2447" customFormat="false" ht="15" hidden="false" customHeight="false" outlineLevel="0" collapsed="false">
      <c r="B2447" s="19" t="s">
        <v>27814</v>
      </c>
      <c r="C2447" s="20" t="n">
        <f aca="false">ROUND(1.05/FX,2)</f>
        <v>0.15</v>
      </c>
      <c r="D2447" s="21" t="s">
        <v>25462</v>
      </c>
      <c r="E2447" s="21" t="s">
        <v>25627</v>
      </c>
      <c r="F2447" s="21" t="s">
        <v>23566</v>
      </c>
    </row>
    <row r="2450" customFormat="false" ht="61.5" hidden="false" customHeight="true" outlineLevel="0" collapsed="false">
      <c r="A2450" s="9"/>
      <c r="B2450" s="10" t="s">
        <v>27815</v>
      </c>
      <c r="C2450" s="10"/>
      <c r="D2450" s="10"/>
    </row>
    <row r="2451" customFormat="false" ht="15" hidden="false" customHeight="false" outlineLevel="0" collapsed="false">
      <c r="B2451" s="18" t="s">
        <v>701</v>
      </c>
      <c r="C2451" s="18" t="s">
        <v>702</v>
      </c>
      <c r="D2451" s="18" t="s">
        <v>5610</v>
      </c>
    </row>
    <row r="2452" customFormat="false" ht="15" hidden="false" customHeight="false" outlineLevel="0" collapsed="false">
      <c r="B2452" s="19" t="s">
        <v>27816</v>
      </c>
      <c r="C2452" s="20" t="n">
        <f aca="false">ROUND(0.98/FX,2)</f>
        <v>0.14</v>
      </c>
      <c r="D2452" s="22" t="s">
        <v>5612</v>
      </c>
    </row>
    <row r="2455" customFormat="false" ht="61.5" hidden="false" customHeight="true" outlineLevel="0" collapsed="false">
      <c r="A2455" s="9"/>
      <c r="B2455" s="10" t="s">
        <v>27817</v>
      </c>
      <c r="C2455" s="10"/>
      <c r="D2455" s="10"/>
      <c r="E2455" s="10"/>
    </row>
    <row r="2456" customFormat="false" ht="15" hidden="false" customHeight="false" outlineLevel="0" collapsed="false">
      <c r="A2456" s="12" t="s">
        <v>700</v>
      </c>
      <c r="B2456" s="13" t="s">
        <v>701</v>
      </c>
      <c r="C2456" s="13" t="s">
        <v>702</v>
      </c>
      <c r="D2456" s="13" t="s">
        <v>705</v>
      </c>
      <c r="E2456" s="13" t="s">
        <v>13701</v>
      </c>
    </row>
    <row r="2457" customFormat="false" ht="30" hidden="false" customHeight="true" outlineLevel="0" collapsed="false">
      <c r="A2457" s="14" t="s">
        <v>706</v>
      </c>
      <c r="B2457" s="15" t="str">
        <f aca="false">IF(COUNTIFS($D$2460:$D$2466,IF(D2457="","*",D2457),$E$2460:$E$2466,IF(E2457="","*",E2457))=1,INDEX($B:$B,SUMPRODUCT(((D2457="")+($D$2460:$D$2466=D2457)&gt;0)*((E2457="")+($E$2460:$E$2466=E2457)&gt;0)*ROW($B$2460:$B$2466))),IF(COUNTIFS($D$2460:$D$2466,IF(D2457="","*",D2457),$E$2460:$E$2466,IF(E2457="","*",E2457))=0,"Not available",COUNTIFS($D$2460:$D$2466,IF(D2457="","*",D2457),$E$2460:$E$2466,IF(E2457="","*",E2457))&amp;" match, keep choosing"))</f>
        <v>BN-012-M6x10-P2</v>
      </c>
      <c r="C2457" s="16" t="n">
        <f aca="false">IF(COUNTIFS($D$2460:$D$2466,IF(D2457="","*",D2457),$E$2460:$E$2466,IF(E2457="","*",E2457))=1,INDEX($C:$C,SUMPRODUCT(((D2457="")+($D$2460:$D$2466=D2457)&gt;0)*((E2457="")+($E$2460:$E$2466=E2457)&gt;0)*ROW($B$2460:$B$2466))),"")</f>
        <v>0.02</v>
      </c>
      <c r="D2457" s="17" t="s">
        <v>13739</v>
      </c>
      <c r="E2457" s="17" t="s">
        <v>27818</v>
      </c>
    </row>
    <row r="2459" customFormat="false" ht="15" hidden="false" customHeight="false" outlineLevel="0" collapsed="false">
      <c r="B2459" s="18" t="s">
        <v>701</v>
      </c>
      <c r="C2459" s="18" t="s">
        <v>702</v>
      </c>
      <c r="D2459" s="18" t="s">
        <v>705</v>
      </c>
      <c r="E2459" s="18" t="s">
        <v>13701</v>
      </c>
    </row>
    <row r="2460" customFormat="false" ht="15" hidden="false" customHeight="false" outlineLevel="0" collapsed="false">
      <c r="B2460" s="19" t="s">
        <v>27819</v>
      </c>
      <c r="C2460" s="20" t="n">
        <f aca="false">ROUND(0.17/FX,2)</f>
        <v>0.02</v>
      </c>
      <c r="D2460" s="21" t="s">
        <v>13739</v>
      </c>
      <c r="E2460" s="21" t="s">
        <v>27818</v>
      </c>
    </row>
    <row r="2461" customFormat="false" ht="15" hidden="false" customHeight="false" outlineLevel="0" collapsed="false">
      <c r="B2461" s="19" t="s">
        <v>27820</v>
      </c>
      <c r="C2461" s="20" t="n">
        <f aca="false">ROUND(0.17/FX,2)</f>
        <v>0.02</v>
      </c>
      <c r="D2461" s="21" t="s">
        <v>13739</v>
      </c>
      <c r="E2461" s="21" t="s">
        <v>23577</v>
      </c>
    </row>
    <row r="2462" customFormat="false" ht="15" hidden="false" customHeight="false" outlineLevel="0" collapsed="false">
      <c r="B2462" s="19" t="s">
        <v>27821</v>
      </c>
      <c r="C2462" s="20" t="n">
        <f aca="false">ROUND(0.91/FX,2)</f>
        <v>0.13</v>
      </c>
      <c r="D2462" s="21" t="s">
        <v>13997</v>
      </c>
      <c r="E2462" s="21" t="s">
        <v>23553</v>
      </c>
    </row>
    <row r="2463" customFormat="false" ht="15" hidden="false" customHeight="false" outlineLevel="0" collapsed="false">
      <c r="B2463" s="19" t="s">
        <v>27822</v>
      </c>
      <c r="C2463" s="20" t="n">
        <f aca="false">ROUND(0.52/FX,2)</f>
        <v>0.07</v>
      </c>
      <c r="D2463" s="21" t="s">
        <v>13743</v>
      </c>
      <c r="E2463" s="21" t="s">
        <v>23580</v>
      </c>
    </row>
    <row r="2464" customFormat="false" ht="15" hidden="false" customHeight="false" outlineLevel="0" collapsed="false">
      <c r="B2464" s="19" t="s">
        <v>27823</v>
      </c>
      <c r="C2464" s="20" t="n">
        <f aca="false">ROUND(0.22/FX,2)</f>
        <v>0.03</v>
      </c>
      <c r="D2464" s="21" t="s">
        <v>13739</v>
      </c>
      <c r="E2464" s="21" t="s">
        <v>23582</v>
      </c>
    </row>
    <row r="2465" customFormat="false" ht="15" hidden="false" customHeight="false" outlineLevel="0" collapsed="false">
      <c r="B2465" s="19" t="s">
        <v>27824</v>
      </c>
      <c r="C2465" s="20" t="n">
        <f aca="false">ROUND(1.24/FX,2)</f>
        <v>0.17</v>
      </c>
      <c r="D2465" s="21" t="s">
        <v>13997</v>
      </c>
      <c r="E2465" s="21" t="s">
        <v>23584</v>
      </c>
    </row>
    <row r="2466" customFormat="false" ht="15" hidden="false" customHeight="false" outlineLevel="0" collapsed="false">
      <c r="B2466" s="19" t="s">
        <v>27825</v>
      </c>
      <c r="C2466" s="20" t="n">
        <f aca="false">ROUND(1.24/FX,2)</f>
        <v>0.17</v>
      </c>
      <c r="D2466" s="21" t="s">
        <v>13997</v>
      </c>
      <c r="E2466" s="21" t="s">
        <v>23586</v>
      </c>
    </row>
    <row r="2469" customFormat="false" ht="61.5" hidden="false" customHeight="true" outlineLevel="0" collapsed="false">
      <c r="A2469" s="9"/>
      <c r="B2469" s="10" t="s">
        <v>27826</v>
      </c>
      <c r="C2469" s="10"/>
      <c r="D2469" s="10"/>
      <c r="E2469" s="10"/>
      <c r="F2469" s="10"/>
    </row>
    <row r="2470" customFormat="false" ht="15" hidden="false" customHeight="false" outlineLevel="0" collapsed="false">
      <c r="A2470" s="12" t="s">
        <v>700</v>
      </c>
      <c r="B2470" s="13" t="s">
        <v>701</v>
      </c>
      <c r="C2470" s="13" t="s">
        <v>702</v>
      </c>
      <c r="D2470" s="13" t="s">
        <v>705</v>
      </c>
      <c r="E2470" s="13" t="s">
        <v>723</v>
      </c>
      <c r="F2470" s="13" t="s">
        <v>6523</v>
      </c>
    </row>
    <row r="2471" customFormat="false" ht="30" hidden="false" customHeight="true" outlineLevel="0" collapsed="false">
      <c r="A2471" s="14" t="s">
        <v>706</v>
      </c>
      <c r="B2471" s="15" t="str">
        <f aca="false">IF(COUNTIFS($D$2474:$D$2498,IF(D2471="","*",D2471),$E$2474:$E$2498,IF(E2471="","*",E2471),$F$2474:$F$2498,IF(F2471="","*",F2471))=1,INDEX($B:$B,SUMPRODUCT(((D2471="")+($D$2474:$D$2498=D2471)&gt;0)*((E2471="")+($E$2474:$E$2498=E2471)&gt;0)*((F2471="")+($F$2474:$F$2498=F2471)&gt;0)*ROW($B$2474:$B$2498))),IF(COUNTIFS($D$2474:$D$2498,IF(D2471="","*",D2471),$E$2474:$E$2498,IF(E2471="","*",E2471),$F$2474:$F$2498,IF(F2471="","*",F2471))=0,"Not available",COUNTIFS($D$2474:$D$2498,IF(D2471="","*",D2471),$E$2474:$E$2498,IF(E2471="","*",E2471),$F$2474:$F$2498,IF(F2471="","*",F2471))&amp;" match, keep choosing"))</f>
        <v>BN-022-2.5x5x0.5-BS-P5</v>
      </c>
      <c r="C2471" s="16" t="n">
        <f aca="false">IF(COUNTIFS($D$2474:$D$2498,IF(D2471="","*",D2471),$E$2474:$E$2498,IF(E2471="","*",E2471),$F$2474:$F$2498,IF(F2471="","*",F2471))=1,INDEX($C:$C,SUMPRODUCT(((D2471="")+($D$2474:$D$2498=D2471)&gt;0)*((E2471="")+($E$2474:$E$2498=E2471)&gt;0)*((F2471="")+($F$2474:$F$2498=F2471)&gt;0)*ROW($B$2474:$B$2498))),"")</f>
        <v>0.02</v>
      </c>
      <c r="D2471" s="17" t="s">
        <v>13743</v>
      </c>
      <c r="E2471" s="17" t="s">
        <v>8668</v>
      </c>
      <c r="F2471" s="17" t="s">
        <v>27827</v>
      </c>
    </row>
    <row r="2473" customFormat="false" ht="15" hidden="false" customHeight="false" outlineLevel="0" collapsed="false">
      <c r="B2473" s="18" t="s">
        <v>701</v>
      </c>
      <c r="C2473" s="18" t="s">
        <v>702</v>
      </c>
      <c r="D2473" s="18" t="s">
        <v>705</v>
      </c>
      <c r="E2473" s="18" t="s">
        <v>723</v>
      </c>
      <c r="F2473" s="18" t="s">
        <v>6523</v>
      </c>
    </row>
    <row r="2474" customFormat="false" ht="15" hidden="false" customHeight="false" outlineLevel="0" collapsed="false">
      <c r="B2474" s="19" t="s">
        <v>27828</v>
      </c>
      <c r="C2474" s="20" t="n">
        <f aca="false">ROUND(0.13/FX,2)</f>
        <v>0.02</v>
      </c>
      <c r="D2474" s="21" t="s">
        <v>13743</v>
      </c>
      <c r="E2474" s="21" t="s">
        <v>8668</v>
      </c>
      <c r="F2474" s="21" t="s">
        <v>27827</v>
      </c>
    </row>
    <row r="2475" customFormat="false" ht="15" hidden="false" customHeight="false" outlineLevel="0" collapsed="false">
      <c r="B2475" s="19" t="s">
        <v>27829</v>
      </c>
      <c r="C2475" s="20" t="n">
        <f aca="false">ROUND(0.13/FX,2)</f>
        <v>0.02</v>
      </c>
      <c r="D2475" s="21" t="s">
        <v>13743</v>
      </c>
      <c r="E2475" s="21" t="s">
        <v>8668</v>
      </c>
      <c r="F2475" s="21" t="s">
        <v>27830</v>
      </c>
    </row>
    <row r="2476" customFormat="false" ht="15" hidden="false" customHeight="false" outlineLevel="0" collapsed="false">
      <c r="B2476" s="19" t="s">
        <v>27831</v>
      </c>
      <c r="C2476" s="20" t="n">
        <f aca="false">ROUND(0.13/FX,2)</f>
        <v>0.02</v>
      </c>
      <c r="D2476" s="21" t="s">
        <v>13743</v>
      </c>
      <c r="E2476" s="21" t="s">
        <v>8668</v>
      </c>
      <c r="F2476" s="21" t="s">
        <v>27832</v>
      </c>
    </row>
    <row r="2477" customFormat="false" ht="15" hidden="false" customHeight="false" outlineLevel="0" collapsed="false">
      <c r="B2477" s="19" t="s">
        <v>27833</v>
      </c>
      <c r="C2477" s="20" t="n">
        <f aca="false">ROUND(1.01/FX,2)</f>
        <v>0.14</v>
      </c>
      <c r="D2477" s="21" t="s">
        <v>14034</v>
      </c>
      <c r="E2477" s="21" t="s">
        <v>8668</v>
      </c>
      <c r="F2477" s="21" t="s">
        <v>27834</v>
      </c>
    </row>
    <row r="2478" customFormat="false" ht="15" hidden="false" customHeight="false" outlineLevel="0" collapsed="false">
      <c r="B2478" s="19" t="s">
        <v>27835</v>
      </c>
      <c r="C2478" s="20" t="n">
        <f aca="false">ROUND(1.01/FX,2)</f>
        <v>0.14</v>
      </c>
      <c r="D2478" s="21" t="s">
        <v>27836</v>
      </c>
      <c r="E2478" s="21" t="s">
        <v>8668</v>
      </c>
      <c r="F2478" s="21" t="s">
        <v>27837</v>
      </c>
    </row>
    <row r="2479" customFormat="false" ht="15" hidden="false" customHeight="false" outlineLevel="0" collapsed="false">
      <c r="B2479" s="19" t="s">
        <v>27838</v>
      </c>
      <c r="C2479" s="20" t="n">
        <f aca="false">ROUND(1/FX,2)</f>
        <v>0.14</v>
      </c>
      <c r="D2479" s="21" t="s">
        <v>27689</v>
      </c>
      <c r="E2479" s="21" t="s">
        <v>27839</v>
      </c>
      <c r="F2479" s="21" t="s">
        <v>27837</v>
      </c>
    </row>
    <row r="2480" customFormat="false" ht="15" hidden="false" customHeight="false" outlineLevel="0" collapsed="false">
      <c r="B2480" s="19" t="s">
        <v>27840</v>
      </c>
      <c r="C2480" s="20" t="n">
        <f aca="false">ROUND(1.01/FX,2)</f>
        <v>0.14</v>
      </c>
      <c r="D2480" s="21" t="s">
        <v>27841</v>
      </c>
      <c r="E2480" s="21" t="s">
        <v>8668</v>
      </c>
      <c r="F2480" s="21" t="s">
        <v>27842</v>
      </c>
    </row>
    <row r="2481" customFormat="false" ht="15" hidden="false" customHeight="false" outlineLevel="0" collapsed="false">
      <c r="B2481" s="19" t="s">
        <v>27843</v>
      </c>
      <c r="C2481" s="20" t="n">
        <f aca="false">ROUND(1/FX,2)</f>
        <v>0.14</v>
      </c>
      <c r="D2481" s="21" t="s">
        <v>27689</v>
      </c>
      <c r="E2481" s="21" t="s">
        <v>27839</v>
      </c>
      <c r="F2481" s="21" t="s">
        <v>27842</v>
      </c>
    </row>
    <row r="2482" customFormat="false" ht="15" hidden="false" customHeight="false" outlineLevel="0" collapsed="false">
      <c r="B2482" s="19" t="s">
        <v>27844</v>
      </c>
      <c r="C2482" s="20" t="n">
        <f aca="false">ROUND(1/FX,2)</f>
        <v>0.14</v>
      </c>
      <c r="D2482" s="21" t="s">
        <v>27689</v>
      </c>
      <c r="E2482" s="21" t="s">
        <v>27839</v>
      </c>
      <c r="F2482" s="21" t="s">
        <v>27845</v>
      </c>
    </row>
    <row r="2483" customFormat="false" ht="15" hidden="false" customHeight="false" outlineLevel="0" collapsed="false">
      <c r="B2483" s="19" t="s">
        <v>27846</v>
      </c>
      <c r="C2483" s="20" t="n">
        <f aca="false">ROUND(1/FX,2)</f>
        <v>0.14</v>
      </c>
      <c r="D2483" s="21" t="s">
        <v>27359</v>
      </c>
      <c r="E2483" s="21" t="s">
        <v>8668</v>
      </c>
      <c r="F2483" s="21" t="s">
        <v>27847</v>
      </c>
    </row>
    <row r="2484" customFormat="false" ht="15" hidden="false" customHeight="false" outlineLevel="0" collapsed="false">
      <c r="B2484" s="19" t="s">
        <v>27848</v>
      </c>
      <c r="C2484" s="20" t="n">
        <f aca="false">ROUND(1.01/FX,2)</f>
        <v>0.14</v>
      </c>
      <c r="D2484" s="21" t="s">
        <v>25375</v>
      </c>
      <c r="E2484" s="21" t="s">
        <v>27839</v>
      </c>
      <c r="F2484" s="21" t="s">
        <v>27847</v>
      </c>
    </row>
    <row r="2485" customFormat="false" ht="15" hidden="false" customHeight="false" outlineLevel="0" collapsed="false">
      <c r="B2485" s="19" t="s">
        <v>27849</v>
      </c>
      <c r="C2485" s="20" t="n">
        <f aca="false">ROUND(1.01/FX,2)</f>
        <v>0.14</v>
      </c>
      <c r="D2485" s="21" t="s">
        <v>25371</v>
      </c>
      <c r="E2485" s="21" t="s">
        <v>8668</v>
      </c>
      <c r="F2485" s="21" t="s">
        <v>27850</v>
      </c>
    </row>
    <row r="2486" customFormat="false" ht="15" hidden="false" customHeight="false" outlineLevel="0" collapsed="false">
      <c r="B2486" s="19" t="s">
        <v>27851</v>
      </c>
      <c r="C2486" s="20" t="n">
        <f aca="false">ROUND(1.05/FX,2)</f>
        <v>0.15</v>
      </c>
      <c r="D2486" s="21" t="s">
        <v>14016</v>
      </c>
      <c r="E2486" s="21" t="s">
        <v>8668</v>
      </c>
      <c r="F2486" s="21" t="s">
        <v>27852</v>
      </c>
    </row>
    <row r="2487" customFormat="false" ht="15" hidden="false" customHeight="false" outlineLevel="0" collapsed="false">
      <c r="B2487" s="19" t="s">
        <v>27853</v>
      </c>
      <c r="C2487" s="20" t="n">
        <f aca="false">ROUND(1.04/FX,2)</f>
        <v>0.14</v>
      </c>
      <c r="D2487" s="21" t="s">
        <v>13997</v>
      </c>
      <c r="E2487" s="21" t="s">
        <v>8668</v>
      </c>
      <c r="F2487" s="21" t="s">
        <v>27854</v>
      </c>
    </row>
    <row r="2488" customFormat="false" ht="15" hidden="false" customHeight="false" outlineLevel="0" collapsed="false">
      <c r="B2488" s="19" t="s">
        <v>27855</v>
      </c>
      <c r="C2488" s="20" t="n">
        <f aca="false">ROUND(1/FX,2)</f>
        <v>0.14</v>
      </c>
      <c r="D2488" s="21" t="s">
        <v>25514</v>
      </c>
      <c r="E2488" s="21" t="s">
        <v>8668</v>
      </c>
      <c r="F2488" s="21" t="s">
        <v>27856</v>
      </c>
    </row>
    <row r="2489" customFormat="false" ht="15" hidden="false" customHeight="false" outlineLevel="0" collapsed="false">
      <c r="B2489" s="19" t="s">
        <v>27857</v>
      </c>
      <c r="C2489" s="20" t="n">
        <f aca="false">ROUND(1.01/FX,2)</f>
        <v>0.14</v>
      </c>
      <c r="D2489" s="21" t="s">
        <v>14034</v>
      </c>
      <c r="E2489" s="21" t="s">
        <v>27839</v>
      </c>
      <c r="F2489" s="21" t="s">
        <v>27858</v>
      </c>
    </row>
    <row r="2490" customFormat="false" ht="15" hidden="false" customHeight="false" outlineLevel="0" collapsed="false">
      <c r="B2490" s="19" t="s">
        <v>27859</v>
      </c>
      <c r="C2490" s="20" t="n">
        <f aca="false">ROUND(1/FX,2)</f>
        <v>0.14</v>
      </c>
      <c r="D2490" s="21" t="s">
        <v>25514</v>
      </c>
      <c r="E2490" s="21" t="s">
        <v>8668</v>
      </c>
      <c r="F2490" s="21" t="s">
        <v>27860</v>
      </c>
    </row>
    <row r="2491" customFormat="false" ht="15" hidden="false" customHeight="false" outlineLevel="0" collapsed="false">
      <c r="B2491" s="19" t="s">
        <v>27861</v>
      </c>
      <c r="C2491" s="20" t="n">
        <f aca="false">ROUND(1.02/FX,2)</f>
        <v>0.14</v>
      </c>
      <c r="D2491" s="21" t="s">
        <v>13981</v>
      </c>
      <c r="E2491" s="21" t="s">
        <v>8668</v>
      </c>
      <c r="F2491" s="21" t="s">
        <v>27862</v>
      </c>
    </row>
    <row r="2492" customFormat="false" ht="15" hidden="false" customHeight="false" outlineLevel="0" collapsed="false">
      <c r="B2492" s="19" t="s">
        <v>27863</v>
      </c>
      <c r="C2492" s="20" t="n">
        <f aca="false">ROUND(1.02/FX,2)</f>
        <v>0.14</v>
      </c>
      <c r="D2492" s="21" t="s">
        <v>25462</v>
      </c>
      <c r="E2492" s="21" t="s">
        <v>8668</v>
      </c>
      <c r="F2492" s="21" t="s">
        <v>27864</v>
      </c>
    </row>
    <row r="2493" customFormat="false" ht="15" hidden="false" customHeight="false" outlineLevel="0" collapsed="false">
      <c r="B2493" s="19" t="s">
        <v>27865</v>
      </c>
      <c r="C2493" s="20" t="n">
        <f aca="false">ROUND(1.01/FX,2)</f>
        <v>0.14</v>
      </c>
      <c r="D2493" s="21" t="s">
        <v>13978</v>
      </c>
      <c r="E2493" s="21" t="s">
        <v>8668</v>
      </c>
      <c r="F2493" s="21" t="s">
        <v>27866</v>
      </c>
    </row>
    <row r="2494" customFormat="false" ht="15" hidden="false" customHeight="false" outlineLevel="0" collapsed="false">
      <c r="B2494" s="19" t="s">
        <v>27867</v>
      </c>
      <c r="C2494" s="20" t="n">
        <f aca="false">ROUND(1/FX,2)</f>
        <v>0.14</v>
      </c>
      <c r="D2494" s="21" t="s">
        <v>13994</v>
      </c>
      <c r="E2494" s="21" t="s">
        <v>8668</v>
      </c>
      <c r="F2494" s="21" t="s">
        <v>27868</v>
      </c>
    </row>
    <row r="2495" customFormat="false" ht="15" hidden="false" customHeight="false" outlineLevel="0" collapsed="false">
      <c r="B2495" s="19" t="s">
        <v>27869</v>
      </c>
      <c r="C2495" s="20" t="n">
        <f aca="false">ROUND(1.17/FX,2)</f>
        <v>0.16</v>
      </c>
      <c r="D2495" s="21" t="s">
        <v>14007</v>
      </c>
      <c r="E2495" s="21" t="s">
        <v>8668</v>
      </c>
      <c r="F2495" s="21" t="s">
        <v>27870</v>
      </c>
    </row>
    <row r="2496" customFormat="false" ht="15" hidden="false" customHeight="false" outlineLevel="0" collapsed="false">
      <c r="B2496" s="19" t="s">
        <v>27871</v>
      </c>
      <c r="C2496" s="20" t="n">
        <f aca="false">ROUND(1.01/FX,2)</f>
        <v>0.14</v>
      </c>
      <c r="D2496" s="21" t="s">
        <v>13978</v>
      </c>
      <c r="E2496" s="21" t="s">
        <v>8668</v>
      </c>
      <c r="F2496" s="21" t="s">
        <v>27872</v>
      </c>
    </row>
    <row r="2497" customFormat="false" ht="15" hidden="false" customHeight="false" outlineLevel="0" collapsed="false">
      <c r="B2497" s="19" t="s">
        <v>27873</v>
      </c>
      <c r="C2497" s="20" t="n">
        <f aca="false">ROUND(1.04/FX,2)</f>
        <v>0.14</v>
      </c>
      <c r="D2497" s="21" t="s">
        <v>14056</v>
      </c>
      <c r="E2497" s="21" t="s">
        <v>8668</v>
      </c>
      <c r="F2497" s="21" t="s">
        <v>27874</v>
      </c>
    </row>
    <row r="2498" customFormat="false" ht="15" hidden="false" customHeight="false" outlineLevel="0" collapsed="false">
      <c r="B2498" s="19" t="s">
        <v>27875</v>
      </c>
      <c r="C2498" s="20" t="n">
        <f aca="false">ROUND(1.17/FX,2)</f>
        <v>0.16</v>
      </c>
      <c r="D2498" s="21" t="s">
        <v>13994</v>
      </c>
      <c r="E2498" s="21" t="s">
        <v>8668</v>
      </c>
      <c r="F2498" s="21" t="s">
        <v>27876</v>
      </c>
    </row>
    <row r="2501" customFormat="false" ht="61.5" hidden="false" customHeight="true" outlineLevel="0" collapsed="false">
      <c r="A2501" s="9"/>
      <c r="B2501" s="10" t="s">
        <v>27877</v>
      </c>
      <c r="C2501" s="10"/>
      <c r="D2501" s="10"/>
      <c r="E2501" s="10"/>
    </row>
    <row r="2502" customFormat="false" ht="15" hidden="false" customHeight="false" outlineLevel="0" collapsed="false">
      <c r="A2502" s="12" t="s">
        <v>700</v>
      </c>
      <c r="B2502" s="13" t="s">
        <v>701</v>
      </c>
      <c r="C2502" s="13" t="s">
        <v>702</v>
      </c>
      <c r="D2502" s="13" t="s">
        <v>705</v>
      </c>
      <c r="E2502" s="13" t="s">
        <v>13701</v>
      </c>
    </row>
    <row r="2503" customFormat="false" ht="30" hidden="false" customHeight="true" outlineLevel="0" collapsed="false">
      <c r="A2503" s="14" t="s">
        <v>706</v>
      </c>
      <c r="B2503" s="15" t="str">
        <f aca="false">IF(COUNTIFS($D$2506:$D$2511,IF(D2503="","*",D2503),$E$2506:$E$2511,IF(E2503="","*",E2503))=1,INDEX($B:$B,SUMPRODUCT(((D2503="")+($D$2506:$D$2511=D2503)&gt;0)*((E2503="")+($E$2506:$E$2511=E2503)&gt;0)*ROW($B$2506:$B$2511))),IF(COUNTIFS($D$2506:$D$2511,IF(D2503="","*",D2503),$E$2506:$E$2511,IF(E2503="","*",E2503))=0,"Not available",COUNTIFS($D$2506:$D$2511,IF(D2503="","*",D2503),$E$2506:$E$2511,IF(E2503="","*",E2503))&amp;" match, keep choosing"))</f>
        <v>BN-011-M10-P50</v>
      </c>
      <c r="C2503" s="16" t="n">
        <f aca="false">IF(COUNTIFS($D$2506:$D$2511,IF(D2503="","*",D2503),$E$2506:$E$2511,IF(E2503="","*",E2503))=1,INDEX($C:$C,SUMPRODUCT(((D2503="")+($D$2506:$D$2511=D2503)&gt;0)*((E2503="")+($E$2506:$E$2511=E2503)&gt;0)*ROW($B$2506:$B$2511))),"")</f>
        <v>0.42</v>
      </c>
      <c r="D2503" s="17" t="s">
        <v>21725</v>
      </c>
      <c r="E2503" s="17" t="s">
        <v>22841</v>
      </c>
    </row>
    <row r="2505" customFormat="false" ht="15" hidden="false" customHeight="false" outlineLevel="0" collapsed="false">
      <c r="B2505" s="18" t="s">
        <v>701</v>
      </c>
      <c r="C2505" s="18" t="s">
        <v>702</v>
      </c>
      <c r="D2505" s="18" t="s">
        <v>705</v>
      </c>
      <c r="E2505" s="18" t="s">
        <v>13701</v>
      </c>
    </row>
    <row r="2506" customFormat="false" ht="15" hidden="false" customHeight="false" outlineLevel="0" collapsed="false">
      <c r="B2506" s="19" t="s">
        <v>27878</v>
      </c>
      <c r="C2506" s="20" t="n">
        <f aca="false">ROUND(2.99/FX,2)</f>
        <v>0.42</v>
      </c>
      <c r="D2506" s="21" t="s">
        <v>21725</v>
      </c>
      <c r="E2506" s="21" t="s">
        <v>22841</v>
      </c>
    </row>
    <row r="2507" customFormat="false" ht="15" hidden="false" customHeight="false" outlineLevel="0" collapsed="false">
      <c r="B2507" s="19" t="s">
        <v>27879</v>
      </c>
      <c r="C2507" s="20" t="n">
        <f aca="false">ROUND(0.91/FX,2)</f>
        <v>0.13</v>
      </c>
      <c r="D2507" s="21" t="s">
        <v>23567</v>
      </c>
      <c r="E2507" s="21" t="s">
        <v>11407</v>
      </c>
    </row>
    <row r="2508" customFormat="false" ht="15" hidden="false" customHeight="false" outlineLevel="0" collapsed="false">
      <c r="B2508" s="19" t="s">
        <v>27880</v>
      </c>
      <c r="C2508" s="20" t="n">
        <f aca="false">ROUND(1.43/FX,2)</f>
        <v>0.2</v>
      </c>
      <c r="D2508" s="21" t="s">
        <v>23567</v>
      </c>
      <c r="E2508" s="21" t="s">
        <v>11409</v>
      </c>
    </row>
    <row r="2509" customFormat="false" ht="15" hidden="false" customHeight="false" outlineLevel="0" collapsed="false">
      <c r="B2509" s="19" t="s">
        <v>27881</v>
      </c>
      <c r="C2509" s="20" t="n">
        <f aca="false">ROUND(0.52/FX,2)</f>
        <v>0.07</v>
      </c>
      <c r="D2509" s="21" t="s">
        <v>21725</v>
      </c>
      <c r="E2509" s="21" t="s">
        <v>11411</v>
      </c>
    </row>
    <row r="2510" customFormat="false" ht="15" hidden="false" customHeight="false" outlineLevel="0" collapsed="false">
      <c r="B2510" s="19" t="s">
        <v>27882</v>
      </c>
      <c r="C2510" s="20" t="n">
        <f aca="false">ROUND(1.33/FX,2)</f>
        <v>0.18</v>
      </c>
      <c r="D2510" s="21" t="s">
        <v>23567</v>
      </c>
      <c r="E2510" s="21" t="s">
        <v>11413</v>
      </c>
    </row>
    <row r="2511" customFormat="false" ht="15" hidden="false" customHeight="false" outlineLevel="0" collapsed="false">
      <c r="B2511" s="19" t="s">
        <v>27883</v>
      </c>
      <c r="C2511" s="20" t="n">
        <f aca="false">ROUND(0.33/FX,2)</f>
        <v>0.05</v>
      </c>
      <c r="D2511" s="21" t="s">
        <v>13997</v>
      </c>
      <c r="E2511" s="21" t="s">
        <v>11415</v>
      </c>
    </row>
    <row r="2514" customFormat="false" ht="61.5" hidden="false" customHeight="true" outlineLevel="0" collapsed="false">
      <c r="A2514" s="9"/>
      <c r="B2514" s="10" t="s">
        <v>27884</v>
      </c>
      <c r="C2514" s="10"/>
      <c r="D2514" s="10"/>
      <c r="E2514" s="10"/>
      <c r="F2514" s="10"/>
    </row>
    <row r="2515" customFormat="false" ht="15" hidden="false" customHeight="false" outlineLevel="0" collapsed="false">
      <c r="A2515" s="12" t="s">
        <v>700</v>
      </c>
      <c r="B2515" s="13" t="s">
        <v>701</v>
      </c>
      <c r="C2515" s="13" t="s">
        <v>702</v>
      </c>
      <c r="D2515" s="13" t="s">
        <v>5610</v>
      </c>
      <c r="E2515" s="13" t="s">
        <v>705</v>
      </c>
      <c r="F2515" s="13" t="s">
        <v>723</v>
      </c>
    </row>
    <row r="2516" customFormat="false" ht="30" hidden="false" customHeight="true" outlineLevel="0" collapsed="false">
      <c r="A2516" s="14" t="s">
        <v>706</v>
      </c>
      <c r="B2516" s="15" t="str">
        <f aca="false">IF(COUNTIFS($D$2519:$D$2544,IF(D2516="","*",D2516),$E$2519:$E$2544,IF(E2516="","*",E2516),$F$2519:$F$2544,IF(F2516="","*",F2516))=1,INDEX($B:$B,SUMPRODUCT(((D2516="")+($D$2519:$D$2544=D2516)&gt;0)*((E2516="")+($E$2519:$E$2544=E2516)&gt;0)*((F2516="")+($F$2519:$F$2544=F2516)&gt;0)*ROW($B$2519:$B$2544))),IF(COUNTIFS($D$2519:$D$2544,IF(D2516="","*",D2516),$E$2519:$E$2544,IF(E2516="","*",E2516),$F$2519:$F$2544,IF(F2516="","*",F2516))=0,"Not available",COUNTIFS($D$2519:$D$2544,IF(D2516="","*",D2516),$E$2519:$E$2544,IF(E2516="","*",E2516),$F$2519:$F$2544,IF(F2516="","*",F2516))&amp;" match, keep choosing"))</f>
        <v>BN-013-YSBO-1.5-P100</v>
      </c>
      <c r="C2516" s="16" t="n">
        <f aca="false">IF(COUNTIFS($D$2519:$D$2544,IF(D2516="","*",D2516),$E$2519:$E$2544,IF(E2516="","*",E2516),$F$2519:$F$2544,IF(F2516="","*",F2516))=1,INDEX($C:$C,SUMPRODUCT(((D2516="")+($D$2519:$D$2544=D2516)&gt;0)*((E2516="")+($E$2519:$E$2544=E2516)&gt;0)*((F2516="")+($F$2519:$F$2544=F2516)&gt;0)*ROW($B$2519:$B$2544))),"")</f>
        <v>0.48</v>
      </c>
      <c r="D2516" s="17" t="s">
        <v>27885</v>
      </c>
      <c r="E2516" s="17" t="s">
        <v>23567</v>
      </c>
      <c r="F2516" s="17" t="s">
        <v>19313</v>
      </c>
    </row>
    <row r="2518" customFormat="false" ht="15" hidden="false" customHeight="false" outlineLevel="0" collapsed="false">
      <c r="B2518" s="18" t="s">
        <v>701</v>
      </c>
      <c r="C2518" s="18" t="s">
        <v>702</v>
      </c>
      <c r="D2518" s="18" t="s">
        <v>5610</v>
      </c>
      <c r="E2518" s="18" t="s">
        <v>705</v>
      </c>
      <c r="F2518" s="18" t="s">
        <v>723</v>
      </c>
    </row>
    <row r="2519" customFormat="false" ht="15" hidden="false" customHeight="false" outlineLevel="0" collapsed="false">
      <c r="B2519" s="19" t="s">
        <v>27886</v>
      </c>
      <c r="C2519" s="20" t="n">
        <f aca="false">ROUND(3.44/FX,2)</f>
        <v>0.48</v>
      </c>
      <c r="D2519" s="21" t="s">
        <v>27885</v>
      </c>
      <c r="E2519" s="21" t="s">
        <v>23567</v>
      </c>
      <c r="F2519" s="21" t="s">
        <v>19313</v>
      </c>
    </row>
    <row r="2520" customFormat="false" ht="15" hidden="false" customHeight="false" outlineLevel="0" collapsed="false">
      <c r="B2520" s="19" t="s">
        <v>27887</v>
      </c>
      <c r="C2520" s="20" t="n">
        <f aca="false">ROUND(1.95/FX,2)</f>
        <v>0.27</v>
      </c>
      <c r="D2520" s="21" t="s">
        <v>11488</v>
      </c>
      <c r="E2520" s="21" t="s">
        <v>13732</v>
      </c>
      <c r="F2520" s="21" t="s">
        <v>19313</v>
      </c>
    </row>
    <row r="2521" customFormat="false" ht="15" hidden="false" customHeight="false" outlineLevel="0" collapsed="false">
      <c r="B2521" s="19" t="s">
        <v>27888</v>
      </c>
      <c r="C2521" s="20" t="n">
        <f aca="false">ROUND(1.94/FX,2)</f>
        <v>0.27</v>
      </c>
      <c r="D2521" s="21" t="s">
        <v>20879</v>
      </c>
      <c r="E2521" s="21" t="s">
        <v>21725</v>
      </c>
      <c r="F2521" s="21" t="s">
        <v>19313</v>
      </c>
    </row>
    <row r="2522" customFormat="false" ht="15" hidden="false" customHeight="false" outlineLevel="0" collapsed="false">
      <c r="B2522" s="19" t="s">
        <v>27889</v>
      </c>
      <c r="C2522" s="20" t="n">
        <f aca="false">ROUND(0.52/FX,2)</f>
        <v>0.07</v>
      </c>
      <c r="D2522" s="21" t="s">
        <v>20882</v>
      </c>
      <c r="E2522" s="21" t="s">
        <v>13997</v>
      </c>
      <c r="F2522" s="21" t="s">
        <v>19313</v>
      </c>
    </row>
    <row r="2523" customFormat="false" ht="15" hidden="false" customHeight="false" outlineLevel="0" collapsed="false">
      <c r="B2523" s="19" t="s">
        <v>27890</v>
      </c>
      <c r="C2523" s="20" t="n">
        <f aca="false">ROUND(3.37/FX,2)</f>
        <v>0.47</v>
      </c>
      <c r="D2523" s="21" t="s">
        <v>20884</v>
      </c>
      <c r="E2523" s="21" t="s">
        <v>21725</v>
      </c>
      <c r="F2523" s="21" t="s">
        <v>19313</v>
      </c>
    </row>
    <row r="2524" customFormat="false" ht="15" hidden="false" customHeight="false" outlineLevel="0" collapsed="false">
      <c r="B2524" s="19" t="s">
        <v>27891</v>
      </c>
      <c r="C2524" s="20" t="n">
        <f aca="false">ROUND(1.11/FX,2)</f>
        <v>0.15</v>
      </c>
      <c r="D2524" s="21" t="s">
        <v>11481</v>
      </c>
      <c r="E2524" s="21" t="s">
        <v>14056</v>
      </c>
      <c r="F2524" s="21" t="s">
        <v>19313</v>
      </c>
    </row>
    <row r="2525" customFormat="false" ht="15" hidden="false" customHeight="false" outlineLevel="0" collapsed="false">
      <c r="B2525" s="19" t="s">
        <v>27892</v>
      </c>
      <c r="C2525" s="20" t="n">
        <f aca="false">ROUND(1.04/FX,2)</f>
        <v>0.14</v>
      </c>
      <c r="D2525" s="21" t="s">
        <v>11483</v>
      </c>
      <c r="E2525" s="21" t="s">
        <v>14013</v>
      </c>
      <c r="F2525" s="21" t="s">
        <v>19313</v>
      </c>
    </row>
    <row r="2526" customFormat="false" ht="15" hidden="false" customHeight="false" outlineLevel="0" collapsed="false">
      <c r="B2526" s="19" t="s">
        <v>27893</v>
      </c>
      <c r="C2526" s="20" t="n">
        <f aca="false">ROUND(1.29/FX,2)</f>
        <v>0.18</v>
      </c>
      <c r="D2526" s="21" t="s">
        <v>19991</v>
      </c>
      <c r="E2526" s="21" t="s">
        <v>13751</v>
      </c>
      <c r="F2526" s="21" t="s">
        <v>19313</v>
      </c>
    </row>
    <row r="2527" customFormat="false" ht="15" hidden="false" customHeight="false" outlineLevel="0" collapsed="false">
      <c r="B2527" s="19" t="s">
        <v>27894</v>
      </c>
      <c r="C2527" s="20" t="n">
        <f aca="false">ROUND(1.82/FX,2)</f>
        <v>0.25</v>
      </c>
      <c r="D2527" s="21" t="s">
        <v>11434</v>
      </c>
      <c r="E2527" s="21" t="s">
        <v>13739</v>
      </c>
      <c r="F2527" s="21" t="s">
        <v>19313</v>
      </c>
    </row>
    <row r="2528" customFormat="false" ht="15" hidden="false" customHeight="false" outlineLevel="0" collapsed="false">
      <c r="B2528" s="19" t="s">
        <v>27895</v>
      </c>
      <c r="C2528" s="20" t="n">
        <f aca="false">ROUND(1.01/FX,2)</f>
        <v>0.14</v>
      </c>
      <c r="D2528" s="21" t="s">
        <v>20879</v>
      </c>
      <c r="E2528" s="21" t="s">
        <v>14034</v>
      </c>
      <c r="F2528" s="21" t="s">
        <v>22570</v>
      </c>
    </row>
    <row r="2529" customFormat="false" ht="15" hidden="false" customHeight="false" outlineLevel="0" collapsed="false">
      <c r="B2529" s="19" t="s">
        <v>27896</v>
      </c>
      <c r="C2529" s="20" t="n">
        <f aca="false">ROUND(1.04/FX,2)</f>
        <v>0.14</v>
      </c>
      <c r="D2529" s="21" t="s">
        <v>20882</v>
      </c>
      <c r="E2529" s="21" t="s">
        <v>13974</v>
      </c>
      <c r="F2529" s="21" t="s">
        <v>22570</v>
      </c>
    </row>
    <row r="2530" customFormat="false" ht="15" hidden="false" customHeight="false" outlineLevel="0" collapsed="false">
      <c r="B2530" s="19" t="s">
        <v>27897</v>
      </c>
      <c r="C2530" s="20" t="n">
        <f aca="false">ROUND(1.01/FX,2)</f>
        <v>0.14</v>
      </c>
      <c r="D2530" s="21" t="s">
        <v>20884</v>
      </c>
      <c r="E2530" s="21" t="s">
        <v>25459</v>
      </c>
      <c r="F2530" s="21" t="s">
        <v>22570</v>
      </c>
    </row>
    <row r="2531" customFormat="false" ht="15" hidden="false" customHeight="false" outlineLevel="0" collapsed="false">
      <c r="B2531" s="19" t="s">
        <v>27898</v>
      </c>
      <c r="C2531" s="20" t="n">
        <f aca="false">ROUND(1.11/FX,2)</f>
        <v>0.15</v>
      </c>
      <c r="D2531" s="21" t="s">
        <v>11481</v>
      </c>
      <c r="E2531" s="21" t="s">
        <v>14056</v>
      </c>
      <c r="F2531" s="21" t="s">
        <v>22570</v>
      </c>
    </row>
    <row r="2532" customFormat="false" ht="15" hidden="false" customHeight="false" outlineLevel="0" collapsed="false">
      <c r="B2532" s="19" t="s">
        <v>27899</v>
      </c>
      <c r="C2532" s="20" t="n">
        <f aca="false">ROUND(1.04/FX,2)</f>
        <v>0.14</v>
      </c>
      <c r="D2532" s="21" t="s">
        <v>11483</v>
      </c>
      <c r="E2532" s="21" t="s">
        <v>14013</v>
      </c>
      <c r="F2532" s="21" t="s">
        <v>22570</v>
      </c>
    </row>
    <row r="2533" customFormat="false" ht="15" hidden="false" customHeight="false" outlineLevel="0" collapsed="false">
      <c r="B2533" s="19" t="s">
        <v>27900</v>
      </c>
      <c r="C2533" s="20" t="n">
        <f aca="false">ROUND(1.29/FX,2)</f>
        <v>0.18</v>
      </c>
      <c r="D2533" s="21" t="s">
        <v>19991</v>
      </c>
      <c r="E2533" s="21" t="s">
        <v>13751</v>
      </c>
      <c r="F2533" s="21" t="s">
        <v>22570</v>
      </c>
    </row>
    <row r="2534" customFormat="false" ht="15" hidden="false" customHeight="false" outlineLevel="0" collapsed="false">
      <c r="B2534" s="19" t="s">
        <v>27901</v>
      </c>
      <c r="C2534" s="20" t="n">
        <f aca="false">ROUND(1.82/FX,2)</f>
        <v>0.25</v>
      </c>
      <c r="D2534" s="21" t="s">
        <v>11434</v>
      </c>
      <c r="E2534" s="21" t="s">
        <v>13739</v>
      </c>
      <c r="F2534" s="21" t="s">
        <v>22570</v>
      </c>
    </row>
    <row r="2535" customFormat="false" ht="15" hidden="false" customHeight="false" outlineLevel="0" collapsed="false">
      <c r="B2535" s="19" t="s">
        <v>27902</v>
      </c>
      <c r="C2535" s="20" t="n">
        <f aca="false">ROUND(3.36/FX,2)</f>
        <v>0.47</v>
      </c>
      <c r="D2535" s="21" t="s">
        <v>27885</v>
      </c>
      <c r="E2535" s="21" t="s">
        <v>23567</v>
      </c>
      <c r="F2535" s="21" t="s">
        <v>27903</v>
      </c>
    </row>
    <row r="2536" customFormat="false" ht="15" hidden="false" customHeight="false" outlineLevel="0" collapsed="false">
      <c r="B2536" s="19" t="s">
        <v>27904</v>
      </c>
      <c r="C2536" s="20" t="n">
        <f aca="false">ROUND(2.08/FX,2)</f>
        <v>0.29</v>
      </c>
      <c r="D2536" s="21" t="s">
        <v>11488</v>
      </c>
      <c r="E2536" s="21" t="s">
        <v>13732</v>
      </c>
      <c r="F2536" s="21" t="s">
        <v>27903</v>
      </c>
    </row>
    <row r="2537" customFormat="false" ht="15" hidden="false" customHeight="false" outlineLevel="0" collapsed="false">
      <c r="B2537" s="19" t="s">
        <v>27905</v>
      </c>
      <c r="C2537" s="20" t="n">
        <f aca="false">ROUND(3.25/FX,2)</f>
        <v>0.45</v>
      </c>
      <c r="D2537" s="21" t="s">
        <v>11490</v>
      </c>
      <c r="E2537" s="21" t="s">
        <v>13732</v>
      </c>
      <c r="F2537" s="21" t="s">
        <v>27903</v>
      </c>
    </row>
    <row r="2538" customFormat="false" ht="15" hidden="false" customHeight="false" outlineLevel="0" collapsed="false">
      <c r="B2538" s="19" t="s">
        <v>27906</v>
      </c>
      <c r="C2538" s="20" t="n">
        <f aca="false">ROUND(0.38/FX,2)</f>
        <v>0.05</v>
      </c>
      <c r="D2538" s="21" t="s">
        <v>20879</v>
      </c>
      <c r="E2538" s="21" t="s">
        <v>13997</v>
      </c>
      <c r="F2538" s="21" t="s">
        <v>27903</v>
      </c>
    </row>
    <row r="2539" customFormat="false" ht="15" hidden="false" customHeight="false" outlineLevel="0" collapsed="false">
      <c r="B2539" s="19" t="s">
        <v>27907</v>
      </c>
      <c r="C2539" s="20" t="n">
        <f aca="false">ROUND(0.43/FX,2)</f>
        <v>0.06</v>
      </c>
      <c r="D2539" s="21" t="s">
        <v>20882</v>
      </c>
      <c r="E2539" s="21" t="s">
        <v>13997</v>
      </c>
      <c r="F2539" s="21" t="s">
        <v>27903</v>
      </c>
    </row>
    <row r="2540" customFormat="false" ht="15" hidden="false" customHeight="false" outlineLevel="0" collapsed="false">
      <c r="B2540" s="19" t="s">
        <v>27908</v>
      </c>
      <c r="C2540" s="20" t="n">
        <f aca="false">ROUND(1.06/FX,2)</f>
        <v>0.15</v>
      </c>
      <c r="D2540" s="21" t="s">
        <v>20884</v>
      </c>
      <c r="E2540" s="21" t="s">
        <v>25462</v>
      </c>
      <c r="F2540" s="21" t="s">
        <v>27903</v>
      </c>
    </row>
    <row r="2541" customFormat="false" ht="15" hidden="false" customHeight="false" outlineLevel="0" collapsed="false">
      <c r="B2541" s="19" t="s">
        <v>27909</v>
      </c>
      <c r="C2541" s="20" t="n">
        <f aca="false">ROUND(1.12/FX,2)</f>
        <v>0.16</v>
      </c>
      <c r="D2541" s="21" t="s">
        <v>11481</v>
      </c>
      <c r="E2541" s="21" t="s">
        <v>13994</v>
      </c>
      <c r="F2541" s="21" t="s">
        <v>27903</v>
      </c>
    </row>
    <row r="2542" customFormat="false" ht="15" hidden="false" customHeight="false" outlineLevel="0" collapsed="false">
      <c r="B2542" s="19" t="s">
        <v>27910</v>
      </c>
      <c r="C2542" s="20" t="n">
        <f aca="false">ROUND(1.17/FX,2)</f>
        <v>0.16</v>
      </c>
      <c r="D2542" s="21" t="s">
        <v>11483</v>
      </c>
      <c r="E2542" s="21" t="s">
        <v>14013</v>
      </c>
      <c r="F2542" s="21" t="s">
        <v>27903</v>
      </c>
    </row>
    <row r="2543" customFormat="false" ht="15" hidden="false" customHeight="false" outlineLevel="0" collapsed="false">
      <c r="B2543" s="19" t="s">
        <v>27911</v>
      </c>
      <c r="C2543" s="20" t="n">
        <f aca="false">ROUND(1.86/FX,2)</f>
        <v>0.26</v>
      </c>
      <c r="D2543" s="21" t="s">
        <v>19991</v>
      </c>
      <c r="E2543" s="21" t="s">
        <v>13743</v>
      </c>
      <c r="F2543" s="21" t="s">
        <v>27903</v>
      </c>
    </row>
    <row r="2544" customFormat="false" ht="15" hidden="false" customHeight="false" outlineLevel="0" collapsed="false">
      <c r="B2544" s="19" t="s">
        <v>27912</v>
      </c>
      <c r="C2544" s="20" t="n">
        <f aca="false">ROUND(1.99/FX,2)</f>
        <v>0.28</v>
      </c>
      <c r="D2544" s="21" t="s">
        <v>11434</v>
      </c>
      <c r="E2544" s="21" t="s">
        <v>13739</v>
      </c>
      <c r="F2544" s="21" t="s">
        <v>27903</v>
      </c>
    </row>
    <row r="2547" customFormat="false" ht="61.5" hidden="false" customHeight="true" outlineLevel="0" collapsed="false">
      <c r="A2547" s="9"/>
      <c r="B2547" s="10" t="s">
        <v>27913</v>
      </c>
      <c r="C2547" s="10"/>
      <c r="D2547" s="10"/>
      <c r="E2547" s="10"/>
      <c r="F2547" s="10"/>
      <c r="G2547" s="10"/>
      <c r="H2547" s="10"/>
    </row>
    <row r="2548" customFormat="false" ht="15" hidden="false" customHeight="false" outlineLevel="0" collapsed="false">
      <c r="A2548" s="12" t="s">
        <v>700</v>
      </c>
      <c r="B2548" s="13" t="s">
        <v>701</v>
      </c>
      <c r="C2548" s="13" t="s">
        <v>702</v>
      </c>
      <c r="D2548" s="13" t="s">
        <v>704</v>
      </c>
      <c r="E2548" s="13" t="s">
        <v>705</v>
      </c>
      <c r="F2548" s="13" t="s">
        <v>11716</v>
      </c>
      <c r="G2548" s="13" t="s">
        <v>13701</v>
      </c>
      <c r="H2548" s="13" t="s">
        <v>26371</v>
      </c>
    </row>
    <row r="2549" customFormat="false" ht="30" hidden="false" customHeight="true" outlineLevel="0" collapsed="false">
      <c r="A2549" s="14" t="s">
        <v>706</v>
      </c>
      <c r="B2549" s="15" t="str">
        <f aca="false">IF(COUNTIFS($D$2552:$D$2744,IF(D2549="","*",D2549),$E$2552:$E$2744,IF(E2549="","*",E2549),$F$2552:$F$2744,IF(F2549="","*",F2549),$G$2552:$G$2744,IF(G2549="","*",G2549),$H$2552:$H$2744,IF(H2549="","*",H2549))=1,INDEX($B:$B,SUMPRODUCT(((D2549="")+($D$2552:$D$2744=D2549)&gt;0)*((E2549="")+($E$2552:$E$2744=E2549)&gt;0)*((F2549="")+($F$2552:$F$2744=F2549)&gt;0)*((G2549="")+($G$2552:$G$2744=G2549)&gt;0)*((H2549="")+($H$2552:$H$2744=H2549)&gt;0)*ROW($B$2552:$B$2744))),IF(COUNTIFS($D$2552:$D$2744,IF(D2549="","*",D2549),$E$2552:$E$2744,IF(E2549="","*",E2549),$F$2552:$F$2744,IF(F2549="","*",F2549),$G$2552:$G$2744,IF(G2549="","*",G2549),$H$2552:$H$2744,IF(H2549="","*",H2549))=0,"Not available",COUNTIFS($D$2552:$D$2744,IF(D2549="","*",D2549),$E$2552:$E$2744,IF(E2549="","*",E2549),$F$2552:$F$2744,IF(F2549="","*",F2549),$G$2552:$G$2744,IF(G2549="","*",G2549),$H$2552:$H$2744,IF(H2549="","*",H2549))&amp;" match, keep choosing"))</f>
        <v>STAR-SS-K25-M4x10-P5</v>
      </c>
      <c r="C2549" s="16" t="n">
        <f aca="false">IF(COUNTIFS($D$2552:$D$2744,IF(D2549="","*",D2549),$E$2552:$E$2744,IF(E2549="","*",E2549),$F$2552:$F$2744,IF(F2549="","*",F2549),$G$2552:$G$2744,IF(G2549="","*",G2549),$H$2552:$H$2744,IF(H2549="","*",H2549))=1,INDEX($C:$C,SUMPRODUCT(((D2549="")+($D$2552:$D$2744=D2549)&gt;0)*((E2549="")+($E$2552:$E$2744=E2549)&gt;0)*((F2549="")+($F$2552:$F$2744=F2549)&gt;0)*((G2549="")+($G$2552:$G$2744=G2549)&gt;0)*((H2549="")+($H$2552:$H$2744=H2549)&gt;0)*ROW($B$2552:$B$2744))),"")</f>
        <v>0.25</v>
      </c>
      <c r="D2549" s="17" t="s">
        <v>8669</v>
      </c>
      <c r="E2549" s="17" t="s">
        <v>13743</v>
      </c>
      <c r="F2549" s="17" t="s">
        <v>707</v>
      </c>
      <c r="G2549" s="17" t="s">
        <v>11409</v>
      </c>
      <c r="H2549" s="17" t="s">
        <v>27914</v>
      </c>
    </row>
    <row r="2551" customFormat="false" ht="15" hidden="false" customHeight="false" outlineLevel="0" collapsed="false">
      <c r="B2551" s="18" t="s">
        <v>701</v>
      </c>
      <c r="C2551" s="18" t="s">
        <v>702</v>
      </c>
      <c r="D2551" s="18" t="s">
        <v>704</v>
      </c>
      <c r="E2551" s="18" t="s">
        <v>705</v>
      </c>
      <c r="F2551" s="18" t="s">
        <v>11716</v>
      </c>
      <c r="G2551" s="18" t="s">
        <v>13701</v>
      </c>
      <c r="H2551" s="18" t="s">
        <v>26371</v>
      </c>
    </row>
    <row r="2552" customFormat="false" ht="15" hidden="false" customHeight="false" outlineLevel="0" collapsed="false">
      <c r="B2552" s="19" t="s">
        <v>27915</v>
      </c>
      <c r="C2552" s="20" t="n">
        <f aca="false">ROUND(1.82/FX,2)</f>
        <v>0.25</v>
      </c>
      <c r="D2552" s="21" t="s">
        <v>8669</v>
      </c>
      <c r="E2552" s="21" t="s">
        <v>13743</v>
      </c>
      <c r="F2552" s="21" t="s">
        <v>707</v>
      </c>
      <c r="G2552" s="21" t="s">
        <v>11409</v>
      </c>
      <c r="H2552" s="21" t="s">
        <v>27914</v>
      </c>
    </row>
    <row r="2553" customFormat="false" ht="15" hidden="false" customHeight="false" outlineLevel="0" collapsed="false">
      <c r="B2553" s="19" t="s">
        <v>27916</v>
      </c>
      <c r="C2553" s="20" t="n">
        <f aca="false">ROUND(0.38/FX,2)</f>
        <v>0.05</v>
      </c>
      <c r="D2553" s="21" t="s">
        <v>8669</v>
      </c>
      <c r="E2553" s="21" t="s">
        <v>13732</v>
      </c>
      <c r="F2553" s="21" t="s">
        <v>761</v>
      </c>
      <c r="G2553" s="21" t="s">
        <v>11409</v>
      </c>
      <c r="H2553" s="21" t="s">
        <v>27914</v>
      </c>
    </row>
    <row r="2554" customFormat="false" ht="15" hidden="false" customHeight="false" outlineLevel="0" collapsed="false">
      <c r="B2554" s="19" t="s">
        <v>27917</v>
      </c>
      <c r="C2554" s="20" t="n">
        <f aca="false">ROUND(0.38/FX,2)</f>
        <v>0.05</v>
      </c>
      <c r="D2554" s="21" t="s">
        <v>8669</v>
      </c>
      <c r="E2554" s="21" t="s">
        <v>13732</v>
      </c>
      <c r="F2554" s="21" t="s">
        <v>3833</v>
      </c>
      <c r="G2554" s="21" t="s">
        <v>11409</v>
      </c>
      <c r="H2554" s="21" t="s">
        <v>27914</v>
      </c>
    </row>
    <row r="2555" customFormat="false" ht="15" hidden="false" customHeight="false" outlineLevel="0" collapsed="false">
      <c r="B2555" s="19" t="s">
        <v>27918</v>
      </c>
      <c r="C2555" s="20" t="n">
        <f aca="false">ROUND(1.21/FX,2)</f>
        <v>0.17</v>
      </c>
      <c r="D2555" s="21" t="s">
        <v>8669</v>
      </c>
      <c r="E2555" s="21" t="s">
        <v>13751</v>
      </c>
      <c r="F2555" s="21" t="s">
        <v>3247</v>
      </c>
      <c r="G2555" s="21" t="s">
        <v>11409</v>
      </c>
      <c r="H2555" s="21" t="s">
        <v>27914</v>
      </c>
    </row>
    <row r="2556" customFormat="false" ht="15" hidden="false" customHeight="false" outlineLevel="0" collapsed="false">
      <c r="B2556" s="19" t="s">
        <v>27919</v>
      </c>
      <c r="C2556" s="20" t="n">
        <f aca="false">ROUND(1.37/FX,2)</f>
        <v>0.19</v>
      </c>
      <c r="D2556" s="21" t="s">
        <v>8669</v>
      </c>
      <c r="E2556" s="21" t="s">
        <v>13751</v>
      </c>
      <c r="F2556" s="21" t="s">
        <v>3317</v>
      </c>
      <c r="G2556" s="21" t="s">
        <v>11409</v>
      </c>
      <c r="H2556" s="21" t="s">
        <v>27914</v>
      </c>
    </row>
    <row r="2557" customFormat="false" ht="15" hidden="false" customHeight="false" outlineLevel="0" collapsed="false">
      <c r="B2557" s="19" t="s">
        <v>27920</v>
      </c>
      <c r="C2557" s="20" t="n">
        <f aca="false">ROUND(1.41/FX,2)</f>
        <v>0.2</v>
      </c>
      <c r="D2557" s="21" t="s">
        <v>8669</v>
      </c>
      <c r="E2557" s="21" t="s">
        <v>13751</v>
      </c>
      <c r="F2557" s="21" t="s">
        <v>784</v>
      </c>
      <c r="G2557" s="21" t="s">
        <v>11409</v>
      </c>
      <c r="H2557" s="21" t="s">
        <v>27914</v>
      </c>
    </row>
    <row r="2558" customFormat="false" ht="15" hidden="false" customHeight="false" outlineLevel="0" collapsed="false">
      <c r="B2558" s="19" t="s">
        <v>27921</v>
      </c>
      <c r="C2558" s="20" t="n">
        <f aca="false">ROUND(1.04/FX,2)</f>
        <v>0.14</v>
      </c>
      <c r="D2558" s="21" t="s">
        <v>8669</v>
      </c>
      <c r="E2558" s="21" t="s">
        <v>13739</v>
      </c>
      <c r="F2558" s="21" t="s">
        <v>3328</v>
      </c>
      <c r="G2558" s="21" t="s">
        <v>11409</v>
      </c>
      <c r="H2558" s="21" t="s">
        <v>27914</v>
      </c>
    </row>
    <row r="2559" customFormat="false" ht="15" hidden="false" customHeight="false" outlineLevel="0" collapsed="false">
      <c r="B2559" s="19" t="s">
        <v>27922</v>
      </c>
      <c r="C2559" s="20" t="n">
        <f aca="false">ROUND(1.25/FX,2)</f>
        <v>0.17</v>
      </c>
      <c r="D2559" s="21" t="s">
        <v>8669</v>
      </c>
      <c r="E2559" s="21" t="s">
        <v>13739</v>
      </c>
      <c r="F2559" s="21" t="s">
        <v>6246</v>
      </c>
      <c r="G2559" s="21" t="s">
        <v>11409</v>
      </c>
      <c r="H2559" s="21" t="s">
        <v>27914</v>
      </c>
    </row>
    <row r="2560" customFormat="false" ht="15" hidden="false" customHeight="false" outlineLevel="0" collapsed="false">
      <c r="B2560" s="19" t="s">
        <v>27923</v>
      </c>
      <c r="C2560" s="20" t="n">
        <f aca="false">ROUND(0.36/FX,2)</f>
        <v>0.05</v>
      </c>
      <c r="D2560" s="21" t="s">
        <v>8669</v>
      </c>
      <c r="E2560" s="21" t="s">
        <v>13732</v>
      </c>
      <c r="F2560" s="21" t="s">
        <v>847</v>
      </c>
      <c r="G2560" s="21" t="s">
        <v>11409</v>
      </c>
      <c r="H2560" s="21" t="s">
        <v>27914</v>
      </c>
    </row>
    <row r="2561" customFormat="false" ht="15" hidden="false" customHeight="false" outlineLevel="0" collapsed="false">
      <c r="B2561" s="19" t="s">
        <v>27924</v>
      </c>
      <c r="C2561" s="20" t="n">
        <f aca="false">ROUND(1.25/FX,2)</f>
        <v>0.17</v>
      </c>
      <c r="D2561" s="21" t="s">
        <v>8669</v>
      </c>
      <c r="E2561" s="21" t="s">
        <v>13732</v>
      </c>
      <c r="F2561" s="21" t="s">
        <v>707</v>
      </c>
      <c r="G2561" s="21" t="s">
        <v>11411</v>
      </c>
      <c r="H2561" s="21" t="s">
        <v>27914</v>
      </c>
    </row>
    <row r="2562" customFormat="false" ht="15" hidden="false" customHeight="false" outlineLevel="0" collapsed="false">
      <c r="B2562" s="19" t="s">
        <v>27925</v>
      </c>
      <c r="C2562" s="20" t="n">
        <f aca="false">ROUND(0.46/FX,2)</f>
        <v>0.06</v>
      </c>
      <c r="D2562" s="21" t="s">
        <v>8669</v>
      </c>
      <c r="E2562" s="21" t="s">
        <v>13732</v>
      </c>
      <c r="F2562" s="21" t="s">
        <v>761</v>
      </c>
      <c r="G2562" s="21" t="s">
        <v>11411</v>
      </c>
      <c r="H2562" s="21" t="s">
        <v>27914</v>
      </c>
    </row>
    <row r="2563" customFormat="false" ht="15" hidden="false" customHeight="false" outlineLevel="0" collapsed="false">
      <c r="B2563" s="19" t="s">
        <v>27926</v>
      </c>
      <c r="C2563" s="20" t="n">
        <f aca="false">ROUND(0.39/FX,2)</f>
        <v>0.05</v>
      </c>
      <c r="D2563" s="21" t="s">
        <v>8669</v>
      </c>
      <c r="E2563" s="21" t="s">
        <v>13732</v>
      </c>
      <c r="F2563" s="21" t="s">
        <v>3833</v>
      </c>
      <c r="G2563" s="21" t="s">
        <v>11411</v>
      </c>
      <c r="H2563" s="21" t="s">
        <v>27914</v>
      </c>
    </row>
    <row r="2564" customFormat="false" ht="15" hidden="false" customHeight="false" outlineLevel="0" collapsed="false">
      <c r="B2564" s="19" t="s">
        <v>27927</v>
      </c>
      <c r="C2564" s="20" t="n">
        <f aca="false">ROUND(0.48/FX,2)</f>
        <v>0.07</v>
      </c>
      <c r="D2564" s="21" t="s">
        <v>8669</v>
      </c>
      <c r="E2564" s="21" t="s">
        <v>13732</v>
      </c>
      <c r="F2564" s="21" t="s">
        <v>3247</v>
      </c>
      <c r="G2564" s="21" t="s">
        <v>11411</v>
      </c>
      <c r="H2564" s="21" t="s">
        <v>27914</v>
      </c>
    </row>
    <row r="2565" customFormat="false" ht="15" hidden="false" customHeight="false" outlineLevel="0" collapsed="false">
      <c r="B2565" s="19" t="s">
        <v>27928</v>
      </c>
      <c r="C2565" s="20" t="n">
        <f aca="false">ROUND(1.04/FX,2)</f>
        <v>0.14</v>
      </c>
      <c r="D2565" s="21" t="s">
        <v>8669</v>
      </c>
      <c r="E2565" s="21" t="s">
        <v>13739</v>
      </c>
      <c r="F2565" s="21" t="s">
        <v>3317</v>
      </c>
      <c r="G2565" s="21" t="s">
        <v>11411</v>
      </c>
      <c r="H2565" s="21" t="s">
        <v>27914</v>
      </c>
    </row>
    <row r="2566" customFormat="false" ht="15" hidden="false" customHeight="false" outlineLevel="0" collapsed="false">
      <c r="B2566" s="19" t="s">
        <v>27929</v>
      </c>
      <c r="C2566" s="20" t="n">
        <f aca="false">ROUND(1.09/FX,2)</f>
        <v>0.15</v>
      </c>
      <c r="D2566" s="21" t="s">
        <v>8669</v>
      </c>
      <c r="E2566" s="21" t="s">
        <v>13739</v>
      </c>
      <c r="F2566" s="21" t="s">
        <v>784</v>
      </c>
      <c r="G2566" s="21" t="s">
        <v>11411</v>
      </c>
      <c r="H2566" s="21" t="s">
        <v>27914</v>
      </c>
    </row>
    <row r="2567" customFormat="false" ht="15" hidden="false" customHeight="false" outlineLevel="0" collapsed="false">
      <c r="B2567" s="19" t="s">
        <v>27930</v>
      </c>
      <c r="C2567" s="20" t="n">
        <f aca="false">ROUND(1.25/FX,2)</f>
        <v>0.17</v>
      </c>
      <c r="D2567" s="21" t="s">
        <v>8669</v>
      </c>
      <c r="E2567" s="21" t="s">
        <v>13739</v>
      </c>
      <c r="F2567" s="21" t="s">
        <v>3328</v>
      </c>
      <c r="G2567" s="21" t="s">
        <v>11411</v>
      </c>
      <c r="H2567" s="21" t="s">
        <v>27914</v>
      </c>
    </row>
    <row r="2568" customFormat="false" ht="15" hidden="false" customHeight="false" outlineLevel="0" collapsed="false">
      <c r="B2568" s="19" t="s">
        <v>27931</v>
      </c>
      <c r="C2568" s="20" t="n">
        <f aca="false">ROUND(1.38/FX,2)</f>
        <v>0.19</v>
      </c>
      <c r="D2568" s="21" t="s">
        <v>8669</v>
      </c>
      <c r="E2568" s="21" t="s">
        <v>13739</v>
      </c>
      <c r="F2568" s="21" t="s">
        <v>6246</v>
      </c>
      <c r="G2568" s="21" t="s">
        <v>11411</v>
      </c>
      <c r="H2568" s="21" t="s">
        <v>27914</v>
      </c>
    </row>
    <row r="2569" customFormat="false" ht="15" hidden="false" customHeight="false" outlineLevel="0" collapsed="false">
      <c r="B2569" s="19" t="s">
        <v>27932</v>
      </c>
      <c r="C2569" s="20" t="n">
        <f aca="false">ROUND(1.51/FX,2)</f>
        <v>0.21</v>
      </c>
      <c r="D2569" s="21" t="s">
        <v>8669</v>
      </c>
      <c r="E2569" s="21" t="s">
        <v>13739</v>
      </c>
      <c r="F2569" s="21" t="s">
        <v>7358</v>
      </c>
      <c r="G2569" s="21" t="s">
        <v>11411</v>
      </c>
      <c r="H2569" s="21" t="s">
        <v>27914</v>
      </c>
    </row>
    <row r="2570" customFormat="false" ht="15" hidden="false" customHeight="false" outlineLevel="0" collapsed="false">
      <c r="B2570" s="19" t="s">
        <v>27933</v>
      </c>
      <c r="C2570" s="20" t="n">
        <f aca="false">ROUND(1.66/FX,2)</f>
        <v>0.23</v>
      </c>
      <c r="D2570" s="21" t="s">
        <v>8669</v>
      </c>
      <c r="E2570" s="21" t="s">
        <v>13739</v>
      </c>
      <c r="F2570" s="21" t="s">
        <v>2911</v>
      </c>
      <c r="G2570" s="21" t="s">
        <v>11411</v>
      </c>
      <c r="H2570" s="21" t="s">
        <v>27914</v>
      </c>
    </row>
    <row r="2571" customFormat="false" ht="15" hidden="false" customHeight="false" outlineLevel="0" collapsed="false">
      <c r="B2571" s="19" t="s">
        <v>27934</v>
      </c>
      <c r="C2571" s="20" t="n">
        <f aca="false">ROUND(1.21/FX,2)</f>
        <v>0.17</v>
      </c>
      <c r="D2571" s="21" t="s">
        <v>8669</v>
      </c>
      <c r="E2571" s="21" t="s">
        <v>13751</v>
      </c>
      <c r="F2571" s="21" t="s">
        <v>847</v>
      </c>
      <c r="G2571" s="21" t="s">
        <v>11411</v>
      </c>
      <c r="H2571" s="21" t="s">
        <v>27914</v>
      </c>
    </row>
    <row r="2572" customFormat="false" ht="15" hidden="false" customHeight="false" outlineLevel="0" collapsed="false">
      <c r="B2572" s="19" t="s">
        <v>27935</v>
      </c>
      <c r="C2572" s="20" t="n">
        <f aca="false">ROUND(1/FX,2)</f>
        <v>0.14</v>
      </c>
      <c r="D2572" s="21" t="s">
        <v>8669</v>
      </c>
      <c r="E2572" s="21" t="s">
        <v>13739</v>
      </c>
      <c r="F2572" s="21" t="s">
        <v>707</v>
      </c>
      <c r="G2572" s="21" t="s">
        <v>11413</v>
      </c>
      <c r="H2572" s="21" t="s">
        <v>27914</v>
      </c>
    </row>
    <row r="2573" customFormat="false" ht="15" hidden="false" customHeight="false" outlineLevel="0" collapsed="false">
      <c r="B2573" s="19" t="s">
        <v>27936</v>
      </c>
      <c r="C2573" s="20" t="n">
        <f aca="false">ROUND(0.5/FX,2)</f>
        <v>0.07</v>
      </c>
      <c r="D2573" s="21" t="s">
        <v>8669</v>
      </c>
      <c r="E2573" s="21" t="s">
        <v>13732</v>
      </c>
      <c r="F2573" s="21" t="s">
        <v>761</v>
      </c>
      <c r="G2573" s="21" t="s">
        <v>11413</v>
      </c>
      <c r="H2573" s="21" t="s">
        <v>27914</v>
      </c>
    </row>
    <row r="2574" customFormat="false" ht="15" hidden="false" customHeight="false" outlineLevel="0" collapsed="false">
      <c r="B2574" s="19" t="s">
        <v>27937</v>
      </c>
      <c r="C2574" s="20" t="n">
        <f aca="false">ROUND(1.68/FX,2)</f>
        <v>0.23</v>
      </c>
      <c r="D2574" s="21" t="s">
        <v>8669</v>
      </c>
      <c r="E2574" s="21" t="s">
        <v>13743</v>
      </c>
      <c r="F2574" s="21" t="s">
        <v>3833</v>
      </c>
      <c r="G2574" s="21" t="s">
        <v>11413</v>
      </c>
      <c r="H2574" s="21" t="s">
        <v>27914</v>
      </c>
    </row>
    <row r="2575" customFormat="false" ht="15" hidden="false" customHeight="false" outlineLevel="0" collapsed="false">
      <c r="B2575" s="19" t="s">
        <v>27938</v>
      </c>
      <c r="C2575" s="20" t="n">
        <f aca="false">ROUND(1.04/FX,2)</f>
        <v>0.14</v>
      </c>
      <c r="D2575" s="21" t="s">
        <v>8669</v>
      </c>
      <c r="E2575" s="21" t="s">
        <v>13739</v>
      </c>
      <c r="F2575" s="21" t="s">
        <v>3247</v>
      </c>
      <c r="G2575" s="21" t="s">
        <v>11413</v>
      </c>
      <c r="H2575" s="21" t="s">
        <v>27914</v>
      </c>
    </row>
    <row r="2576" customFormat="false" ht="15" hidden="false" customHeight="false" outlineLevel="0" collapsed="false">
      <c r="B2576" s="19" t="s">
        <v>27939</v>
      </c>
      <c r="C2576" s="20" t="n">
        <f aca="false">ROUND(1.2/FX,2)</f>
        <v>0.17</v>
      </c>
      <c r="D2576" s="21" t="s">
        <v>8669</v>
      </c>
      <c r="E2576" s="21" t="s">
        <v>13739</v>
      </c>
      <c r="F2576" s="21" t="s">
        <v>3317</v>
      </c>
      <c r="G2576" s="21" t="s">
        <v>11413</v>
      </c>
      <c r="H2576" s="21" t="s">
        <v>27914</v>
      </c>
    </row>
    <row r="2577" customFormat="false" ht="15" hidden="false" customHeight="false" outlineLevel="0" collapsed="false">
      <c r="B2577" s="19" t="s">
        <v>27940</v>
      </c>
      <c r="C2577" s="20" t="n">
        <f aca="false">ROUND(1.3/FX,2)</f>
        <v>0.18</v>
      </c>
      <c r="D2577" s="21" t="s">
        <v>8669</v>
      </c>
      <c r="E2577" s="21" t="s">
        <v>13739</v>
      </c>
      <c r="F2577" s="21" t="s">
        <v>784</v>
      </c>
      <c r="G2577" s="21" t="s">
        <v>11413</v>
      </c>
      <c r="H2577" s="21" t="s">
        <v>27914</v>
      </c>
    </row>
    <row r="2578" customFormat="false" ht="15" hidden="false" customHeight="false" outlineLevel="0" collapsed="false">
      <c r="B2578" s="19" t="s">
        <v>27941</v>
      </c>
      <c r="C2578" s="20" t="n">
        <f aca="false">ROUND(1.38/FX,2)</f>
        <v>0.19</v>
      </c>
      <c r="D2578" s="21" t="s">
        <v>8669</v>
      </c>
      <c r="E2578" s="21" t="s">
        <v>13739</v>
      </c>
      <c r="F2578" s="21" t="s">
        <v>3328</v>
      </c>
      <c r="G2578" s="21" t="s">
        <v>11413</v>
      </c>
      <c r="H2578" s="21" t="s">
        <v>27914</v>
      </c>
    </row>
    <row r="2579" customFormat="false" ht="15" hidden="false" customHeight="false" outlineLevel="0" collapsed="false">
      <c r="B2579" s="19" t="s">
        <v>27942</v>
      </c>
      <c r="C2579" s="20" t="n">
        <f aca="false">ROUND(1.51/FX,2)</f>
        <v>0.21</v>
      </c>
      <c r="D2579" s="21" t="s">
        <v>8669</v>
      </c>
      <c r="E2579" s="21" t="s">
        <v>13739</v>
      </c>
      <c r="F2579" s="21" t="s">
        <v>6246</v>
      </c>
      <c r="G2579" s="21" t="s">
        <v>11413</v>
      </c>
      <c r="H2579" s="21" t="s">
        <v>27914</v>
      </c>
    </row>
    <row r="2580" customFormat="false" ht="15" hidden="false" customHeight="false" outlineLevel="0" collapsed="false">
      <c r="B2580" s="19" t="s">
        <v>27943</v>
      </c>
      <c r="C2580" s="20" t="n">
        <f aca="false">ROUND(1.59/FX,2)</f>
        <v>0.22</v>
      </c>
      <c r="D2580" s="21" t="s">
        <v>8669</v>
      </c>
      <c r="E2580" s="21" t="s">
        <v>13739</v>
      </c>
      <c r="F2580" s="21" t="s">
        <v>7358</v>
      </c>
      <c r="G2580" s="21" t="s">
        <v>11413</v>
      </c>
      <c r="H2580" s="21" t="s">
        <v>27914</v>
      </c>
    </row>
    <row r="2581" customFormat="false" ht="15" hidden="false" customHeight="false" outlineLevel="0" collapsed="false">
      <c r="B2581" s="19" t="s">
        <v>27944</v>
      </c>
      <c r="C2581" s="20" t="n">
        <f aca="false">ROUND(1.72/FX,2)</f>
        <v>0.24</v>
      </c>
      <c r="D2581" s="21" t="s">
        <v>8669</v>
      </c>
      <c r="E2581" s="21" t="s">
        <v>13739</v>
      </c>
      <c r="F2581" s="21" t="s">
        <v>2911</v>
      </c>
      <c r="G2581" s="21" t="s">
        <v>11413</v>
      </c>
      <c r="H2581" s="21" t="s">
        <v>27914</v>
      </c>
    </row>
    <row r="2582" customFormat="false" ht="15" hidden="false" customHeight="false" outlineLevel="0" collapsed="false">
      <c r="B2582" s="19" t="s">
        <v>27945</v>
      </c>
      <c r="C2582" s="20" t="n">
        <f aca="false">ROUND(1.82/FX,2)</f>
        <v>0.25</v>
      </c>
      <c r="D2582" s="21" t="s">
        <v>8669</v>
      </c>
      <c r="E2582" s="21" t="s">
        <v>13739</v>
      </c>
      <c r="F2582" s="21" t="s">
        <v>7275</v>
      </c>
      <c r="G2582" s="21" t="s">
        <v>11413</v>
      </c>
      <c r="H2582" s="21" t="s">
        <v>27914</v>
      </c>
    </row>
    <row r="2583" customFormat="false" ht="15" hidden="false" customHeight="false" outlineLevel="0" collapsed="false">
      <c r="B2583" s="19" t="s">
        <v>27946</v>
      </c>
      <c r="C2583" s="20" t="n">
        <f aca="false">ROUND(1.04/FX,2)</f>
        <v>0.14</v>
      </c>
      <c r="D2583" s="21" t="s">
        <v>8669</v>
      </c>
      <c r="E2583" s="21" t="s">
        <v>13732</v>
      </c>
      <c r="F2583" s="21" t="s">
        <v>2961</v>
      </c>
      <c r="G2583" s="21" t="s">
        <v>11413</v>
      </c>
      <c r="H2583" s="21" t="s">
        <v>27914</v>
      </c>
    </row>
    <row r="2584" customFormat="false" ht="15" hidden="false" customHeight="false" outlineLevel="0" collapsed="false">
      <c r="B2584" s="19" t="s">
        <v>27947</v>
      </c>
      <c r="C2584" s="20" t="n">
        <f aca="false">ROUND(1.44/FX,2)</f>
        <v>0.2</v>
      </c>
      <c r="D2584" s="21" t="s">
        <v>8669</v>
      </c>
      <c r="E2584" s="21" t="s">
        <v>13751</v>
      </c>
      <c r="F2584" s="21" t="s">
        <v>847</v>
      </c>
      <c r="G2584" s="21" t="s">
        <v>11413</v>
      </c>
      <c r="H2584" s="21" t="s">
        <v>27914</v>
      </c>
    </row>
    <row r="2585" customFormat="false" ht="15" hidden="false" customHeight="false" outlineLevel="0" collapsed="false">
      <c r="B2585" s="19" t="s">
        <v>27948</v>
      </c>
      <c r="C2585" s="20" t="n">
        <f aca="false">ROUND(1.48/FX,2)</f>
        <v>0.21</v>
      </c>
      <c r="D2585" s="21" t="s">
        <v>8669</v>
      </c>
      <c r="E2585" s="21" t="s">
        <v>13751</v>
      </c>
      <c r="F2585" s="21" t="s">
        <v>707</v>
      </c>
      <c r="G2585" s="21" t="s">
        <v>11411</v>
      </c>
      <c r="H2585" s="21" t="s">
        <v>27949</v>
      </c>
    </row>
    <row r="2586" customFormat="false" ht="15" hidden="false" customHeight="false" outlineLevel="0" collapsed="false">
      <c r="B2586" s="19" t="s">
        <v>27950</v>
      </c>
      <c r="C2586" s="20" t="n">
        <f aca="false">ROUND(1.04/FX,2)</f>
        <v>0.14</v>
      </c>
      <c r="D2586" s="21" t="s">
        <v>8669</v>
      </c>
      <c r="E2586" s="21" t="s">
        <v>13739</v>
      </c>
      <c r="F2586" s="21" t="s">
        <v>761</v>
      </c>
      <c r="G2586" s="21" t="s">
        <v>11411</v>
      </c>
      <c r="H2586" s="21" t="s">
        <v>27949</v>
      </c>
    </row>
    <row r="2587" customFormat="false" ht="15" hidden="false" customHeight="false" outlineLevel="0" collapsed="false">
      <c r="B2587" s="19" t="s">
        <v>27951</v>
      </c>
      <c r="C2587" s="20" t="n">
        <f aca="false">ROUND(1.04/FX,2)</f>
        <v>0.14</v>
      </c>
      <c r="D2587" s="21" t="s">
        <v>8669</v>
      </c>
      <c r="E2587" s="21" t="s">
        <v>13739</v>
      </c>
      <c r="F2587" s="21" t="s">
        <v>3833</v>
      </c>
      <c r="G2587" s="21" t="s">
        <v>11411</v>
      </c>
      <c r="H2587" s="21" t="s">
        <v>27949</v>
      </c>
    </row>
    <row r="2588" customFormat="false" ht="15" hidden="false" customHeight="false" outlineLevel="0" collapsed="false">
      <c r="B2588" s="19" t="s">
        <v>27952</v>
      </c>
      <c r="C2588" s="20" t="n">
        <f aca="false">ROUND(1.12/FX,2)</f>
        <v>0.16</v>
      </c>
      <c r="D2588" s="21" t="s">
        <v>8669</v>
      </c>
      <c r="E2588" s="21" t="s">
        <v>13739</v>
      </c>
      <c r="F2588" s="21" t="s">
        <v>3247</v>
      </c>
      <c r="G2588" s="21" t="s">
        <v>11411</v>
      </c>
      <c r="H2588" s="21" t="s">
        <v>27949</v>
      </c>
    </row>
    <row r="2589" customFormat="false" ht="15" hidden="false" customHeight="false" outlineLevel="0" collapsed="false">
      <c r="B2589" s="19" t="s">
        <v>27953</v>
      </c>
      <c r="C2589" s="20" t="n">
        <f aca="false">ROUND(1.25/FX,2)</f>
        <v>0.17</v>
      </c>
      <c r="D2589" s="21" t="s">
        <v>8669</v>
      </c>
      <c r="E2589" s="21" t="s">
        <v>13739</v>
      </c>
      <c r="F2589" s="21" t="s">
        <v>3317</v>
      </c>
      <c r="G2589" s="21" t="s">
        <v>11411</v>
      </c>
      <c r="H2589" s="21" t="s">
        <v>27949</v>
      </c>
    </row>
    <row r="2590" customFormat="false" ht="15" hidden="false" customHeight="false" outlineLevel="0" collapsed="false">
      <c r="B2590" s="19" t="s">
        <v>27954</v>
      </c>
      <c r="C2590" s="20" t="n">
        <f aca="false">ROUND(1.38/FX,2)</f>
        <v>0.19</v>
      </c>
      <c r="D2590" s="21" t="s">
        <v>8669</v>
      </c>
      <c r="E2590" s="21" t="s">
        <v>13739</v>
      </c>
      <c r="F2590" s="21" t="s">
        <v>784</v>
      </c>
      <c r="G2590" s="21" t="s">
        <v>11411</v>
      </c>
      <c r="H2590" s="21" t="s">
        <v>27949</v>
      </c>
    </row>
    <row r="2591" customFormat="false" ht="15" hidden="false" customHeight="false" outlineLevel="0" collapsed="false">
      <c r="B2591" s="19" t="s">
        <v>27955</v>
      </c>
      <c r="C2591" s="20" t="n">
        <f aca="false">ROUND(1.51/FX,2)</f>
        <v>0.21</v>
      </c>
      <c r="D2591" s="21" t="s">
        <v>8669</v>
      </c>
      <c r="E2591" s="21" t="s">
        <v>13739</v>
      </c>
      <c r="F2591" s="21" t="s">
        <v>3328</v>
      </c>
      <c r="G2591" s="21" t="s">
        <v>11411</v>
      </c>
      <c r="H2591" s="21" t="s">
        <v>27949</v>
      </c>
    </row>
    <row r="2592" customFormat="false" ht="15" hidden="false" customHeight="false" outlineLevel="0" collapsed="false">
      <c r="B2592" s="19" t="s">
        <v>27956</v>
      </c>
      <c r="C2592" s="20" t="n">
        <f aca="false">ROUND(1.56/FX,2)</f>
        <v>0.22</v>
      </c>
      <c r="D2592" s="21" t="s">
        <v>8669</v>
      </c>
      <c r="E2592" s="21" t="s">
        <v>13739</v>
      </c>
      <c r="F2592" s="21" t="s">
        <v>6246</v>
      </c>
      <c r="G2592" s="21" t="s">
        <v>11411</v>
      </c>
      <c r="H2592" s="21" t="s">
        <v>27949</v>
      </c>
    </row>
    <row r="2593" customFormat="false" ht="15" hidden="false" customHeight="false" outlineLevel="0" collapsed="false">
      <c r="B2593" s="19" t="s">
        <v>27957</v>
      </c>
      <c r="C2593" s="20" t="n">
        <f aca="false">ROUND(1.66/FX,2)</f>
        <v>0.23</v>
      </c>
      <c r="D2593" s="21" t="s">
        <v>8669</v>
      </c>
      <c r="E2593" s="21" t="s">
        <v>13739</v>
      </c>
      <c r="F2593" s="21" t="s">
        <v>7358</v>
      </c>
      <c r="G2593" s="21" t="s">
        <v>11411</v>
      </c>
      <c r="H2593" s="21" t="s">
        <v>27949</v>
      </c>
    </row>
    <row r="2594" customFormat="false" ht="15" hidden="false" customHeight="false" outlineLevel="0" collapsed="false">
      <c r="B2594" s="19" t="s">
        <v>27958</v>
      </c>
      <c r="C2594" s="20" t="n">
        <f aca="false">ROUND(1.72/FX,2)</f>
        <v>0.24</v>
      </c>
      <c r="D2594" s="21" t="s">
        <v>8669</v>
      </c>
      <c r="E2594" s="21" t="s">
        <v>13739</v>
      </c>
      <c r="F2594" s="21" t="s">
        <v>2911</v>
      </c>
      <c r="G2594" s="21" t="s">
        <v>11411</v>
      </c>
      <c r="H2594" s="21" t="s">
        <v>27949</v>
      </c>
    </row>
    <row r="2595" customFormat="false" ht="15" hidden="false" customHeight="false" outlineLevel="0" collapsed="false">
      <c r="B2595" s="19" t="s">
        <v>27959</v>
      </c>
      <c r="C2595" s="20" t="n">
        <f aca="false">ROUND(1.48/FX,2)</f>
        <v>0.21</v>
      </c>
      <c r="D2595" s="21" t="s">
        <v>8669</v>
      </c>
      <c r="E2595" s="21" t="s">
        <v>13751</v>
      </c>
      <c r="F2595" s="21" t="s">
        <v>847</v>
      </c>
      <c r="G2595" s="21" t="s">
        <v>11411</v>
      </c>
      <c r="H2595" s="21" t="s">
        <v>27949</v>
      </c>
    </row>
    <row r="2596" customFormat="false" ht="15" hidden="false" customHeight="false" outlineLevel="0" collapsed="false">
      <c r="B2596" s="19" t="s">
        <v>27960</v>
      </c>
      <c r="C2596" s="20" t="n">
        <f aca="false">ROUND(1.04/FX,2)</f>
        <v>0.14</v>
      </c>
      <c r="D2596" s="21" t="s">
        <v>8669</v>
      </c>
      <c r="E2596" s="21" t="s">
        <v>13739</v>
      </c>
      <c r="F2596" s="21" t="s">
        <v>707</v>
      </c>
      <c r="G2596" s="21" t="s">
        <v>11413</v>
      </c>
      <c r="H2596" s="21" t="s">
        <v>27949</v>
      </c>
    </row>
    <row r="2597" customFormat="false" ht="15" hidden="false" customHeight="false" outlineLevel="0" collapsed="false">
      <c r="B2597" s="19" t="s">
        <v>27961</v>
      </c>
      <c r="C2597" s="20" t="n">
        <f aca="false">ROUND(1.07/FX,2)</f>
        <v>0.15</v>
      </c>
      <c r="D2597" s="21" t="s">
        <v>8669</v>
      </c>
      <c r="E2597" s="21" t="s">
        <v>13739</v>
      </c>
      <c r="F2597" s="21" t="s">
        <v>761</v>
      </c>
      <c r="G2597" s="21" t="s">
        <v>11413</v>
      </c>
      <c r="H2597" s="21" t="s">
        <v>27949</v>
      </c>
    </row>
    <row r="2598" customFormat="false" ht="15" hidden="false" customHeight="false" outlineLevel="0" collapsed="false">
      <c r="B2598" s="19" t="s">
        <v>27962</v>
      </c>
      <c r="C2598" s="20" t="n">
        <f aca="false">ROUND(1.09/FX,2)</f>
        <v>0.15</v>
      </c>
      <c r="D2598" s="21" t="s">
        <v>8669</v>
      </c>
      <c r="E2598" s="21" t="s">
        <v>13739</v>
      </c>
      <c r="F2598" s="21" t="s">
        <v>3833</v>
      </c>
      <c r="G2598" s="21" t="s">
        <v>11413</v>
      </c>
      <c r="H2598" s="21" t="s">
        <v>27949</v>
      </c>
    </row>
    <row r="2599" customFormat="false" ht="15" hidden="false" customHeight="false" outlineLevel="0" collapsed="false">
      <c r="B2599" s="19" t="s">
        <v>27963</v>
      </c>
      <c r="C2599" s="20" t="n">
        <f aca="false">ROUND(1.2/FX,2)</f>
        <v>0.17</v>
      </c>
      <c r="D2599" s="21" t="s">
        <v>8669</v>
      </c>
      <c r="E2599" s="21" t="s">
        <v>13739</v>
      </c>
      <c r="F2599" s="21" t="s">
        <v>3247</v>
      </c>
      <c r="G2599" s="21" t="s">
        <v>11413</v>
      </c>
      <c r="H2599" s="21" t="s">
        <v>27949</v>
      </c>
    </row>
    <row r="2600" customFormat="false" ht="15" hidden="false" customHeight="false" outlineLevel="0" collapsed="false">
      <c r="B2600" s="19" t="s">
        <v>27964</v>
      </c>
      <c r="C2600" s="20" t="n">
        <f aca="false">ROUND(1.3/FX,2)</f>
        <v>0.18</v>
      </c>
      <c r="D2600" s="21" t="s">
        <v>8669</v>
      </c>
      <c r="E2600" s="21" t="s">
        <v>13739</v>
      </c>
      <c r="F2600" s="21" t="s">
        <v>3317</v>
      </c>
      <c r="G2600" s="21" t="s">
        <v>11413</v>
      </c>
      <c r="H2600" s="21" t="s">
        <v>27949</v>
      </c>
    </row>
    <row r="2601" customFormat="false" ht="15" hidden="false" customHeight="false" outlineLevel="0" collapsed="false">
      <c r="B2601" s="19" t="s">
        <v>27965</v>
      </c>
      <c r="C2601" s="20" t="n">
        <f aca="false">ROUND(1.43/FX,2)</f>
        <v>0.2</v>
      </c>
      <c r="D2601" s="21" t="s">
        <v>8669</v>
      </c>
      <c r="E2601" s="21" t="s">
        <v>13739</v>
      </c>
      <c r="F2601" s="21" t="s">
        <v>784</v>
      </c>
      <c r="G2601" s="21" t="s">
        <v>11413</v>
      </c>
      <c r="H2601" s="21" t="s">
        <v>27949</v>
      </c>
    </row>
    <row r="2602" customFormat="false" ht="15" hidden="false" customHeight="false" outlineLevel="0" collapsed="false">
      <c r="B2602" s="19" t="s">
        <v>27966</v>
      </c>
      <c r="C2602" s="20" t="n">
        <f aca="false">ROUND(1.56/FX,2)</f>
        <v>0.22</v>
      </c>
      <c r="D2602" s="21" t="s">
        <v>8669</v>
      </c>
      <c r="E2602" s="21" t="s">
        <v>13739</v>
      </c>
      <c r="F2602" s="21" t="s">
        <v>3328</v>
      </c>
      <c r="G2602" s="21" t="s">
        <v>11413</v>
      </c>
      <c r="H2602" s="21" t="s">
        <v>27949</v>
      </c>
    </row>
    <row r="2603" customFormat="false" ht="15" hidden="false" customHeight="false" outlineLevel="0" collapsed="false">
      <c r="B2603" s="19" t="s">
        <v>27967</v>
      </c>
      <c r="C2603" s="20" t="n">
        <f aca="false">ROUND(1.67/FX,2)</f>
        <v>0.23</v>
      </c>
      <c r="D2603" s="21" t="s">
        <v>8669</v>
      </c>
      <c r="E2603" s="21" t="s">
        <v>13739</v>
      </c>
      <c r="F2603" s="21" t="s">
        <v>6246</v>
      </c>
      <c r="G2603" s="21" t="s">
        <v>11413</v>
      </c>
      <c r="H2603" s="21" t="s">
        <v>27949</v>
      </c>
    </row>
    <row r="2604" customFormat="false" ht="15" hidden="false" customHeight="false" outlineLevel="0" collapsed="false">
      <c r="B2604" s="19" t="s">
        <v>27968</v>
      </c>
      <c r="C2604" s="20" t="n">
        <f aca="false">ROUND(1.77/FX,2)</f>
        <v>0.25</v>
      </c>
      <c r="D2604" s="21" t="s">
        <v>8669</v>
      </c>
      <c r="E2604" s="21" t="s">
        <v>13739</v>
      </c>
      <c r="F2604" s="21" t="s">
        <v>7358</v>
      </c>
      <c r="G2604" s="21" t="s">
        <v>11413</v>
      </c>
      <c r="H2604" s="21" t="s">
        <v>27949</v>
      </c>
    </row>
    <row r="2605" customFormat="false" ht="15" hidden="false" customHeight="false" outlineLevel="0" collapsed="false">
      <c r="B2605" s="19" t="s">
        <v>27969</v>
      </c>
      <c r="C2605" s="20" t="n">
        <f aca="false">ROUND(1.81/FX,2)</f>
        <v>0.25</v>
      </c>
      <c r="D2605" s="21" t="s">
        <v>8669</v>
      </c>
      <c r="E2605" s="21" t="s">
        <v>13739</v>
      </c>
      <c r="F2605" s="21" t="s">
        <v>2911</v>
      </c>
      <c r="G2605" s="21" t="s">
        <v>11413</v>
      </c>
      <c r="H2605" s="21" t="s">
        <v>27949</v>
      </c>
    </row>
    <row r="2606" customFormat="false" ht="15" hidden="false" customHeight="false" outlineLevel="0" collapsed="false">
      <c r="B2606" s="19" t="s">
        <v>27970</v>
      </c>
      <c r="C2606" s="20" t="n">
        <f aca="false">ROUND(1.04/FX,2)</f>
        <v>0.14</v>
      </c>
      <c r="D2606" s="21" t="s">
        <v>8669</v>
      </c>
      <c r="E2606" s="21" t="s">
        <v>13732</v>
      </c>
      <c r="F2606" s="21" t="s">
        <v>7275</v>
      </c>
      <c r="G2606" s="21" t="s">
        <v>11413</v>
      </c>
      <c r="H2606" s="21" t="s">
        <v>27949</v>
      </c>
    </row>
    <row r="2607" customFormat="false" ht="15" hidden="false" customHeight="false" outlineLevel="0" collapsed="false">
      <c r="B2607" s="19" t="s">
        <v>27971</v>
      </c>
      <c r="C2607" s="20" t="n">
        <f aca="false">ROUND(1.12/FX,2)</f>
        <v>0.16</v>
      </c>
      <c r="D2607" s="21" t="s">
        <v>8669</v>
      </c>
      <c r="E2607" s="21" t="s">
        <v>13732</v>
      </c>
      <c r="F2607" s="21" t="s">
        <v>2961</v>
      </c>
      <c r="G2607" s="21" t="s">
        <v>11413</v>
      </c>
      <c r="H2607" s="21" t="s">
        <v>27949</v>
      </c>
    </row>
    <row r="2608" customFormat="false" ht="15" hidden="false" customHeight="false" outlineLevel="0" collapsed="false">
      <c r="B2608" s="19" t="s">
        <v>27972</v>
      </c>
      <c r="C2608" s="20" t="n">
        <f aca="false">ROUND(1.17/FX,2)</f>
        <v>0.16</v>
      </c>
      <c r="D2608" s="21" t="s">
        <v>8669</v>
      </c>
      <c r="E2608" s="21" t="s">
        <v>13732</v>
      </c>
      <c r="F2608" s="21" t="s">
        <v>3011</v>
      </c>
      <c r="G2608" s="21" t="s">
        <v>11413</v>
      </c>
      <c r="H2608" s="21" t="s">
        <v>27949</v>
      </c>
    </row>
    <row r="2609" customFormat="false" ht="15" hidden="false" customHeight="false" outlineLevel="0" collapsed="false">
      <c r="B2609" s="19" t="s">
        <v>27973</v>
      </c>
      <c r="C2609" s="20" t="n">
        <f aca="false">ROUND(1.01/FX,2)</f>
        <v>0.14</v>
      </c>
      <c r="D2609" s="21" t="s">
        <v>8669</v>
      </c>
      <c r="E2609" s="21" t="s">
        <v>13739</v>
      </c>
      <c r="F2609" s="21" t="s">
        <v>847</v>
      </c>
      <c r="G2609" s="21" t="s">
        <v>11413</v>
      </c>
      <c r="H2609" s="21" t="s">
        <v>27949</v>
      </c>
    </row>
    <row r="2610" customFormat="false" ht="15" hidden="false" customHeight="false" outlineLevel="0" collapsed="false">
      <c r="B2610" s="19" t="s">
        <v>27974</v>
      </c>
      <c r="C2610" s="20" t="n">
        <f aca="false">ROUND(1.35/FX,2)</f>
        <v>0.19</v>
      </c>
      <c r="D2610" s="21" t="s">
        <v>8669</v>
      </c>
      <c r="E2610" s="21" t="s">
        <v>13739</v>
      </c>
      <c r="F2610" s="21" t="s">
        <v>707</v>
      </c>
      <c r="G2610" s="21" t="s">
        <v>11415</v>
      </c>
      <c r="H2610" s="21" t="s">
        <v>27949</v>
      </c>
    </row>
    <row r="2611" customFormat="false" ht="15" hidden="false" customHeight="false" outlineLevel="0" collapsed="false">
      <c r="B2611" s="19" t="s">
        <v>27975</v>
      </c>
      <c r="C2611" s="20" t="n">
        <f aca="false">ROUND(1.43/FX,2)</f>
        <v>0.2</v>
      </c>
      <c r="D2611" s="21" t="s">
        <v>8669</v>
      </c>
      <c r="E2611" s="21" t="s">
        <v>13739</v>
      </c>
      <c r="F2611" s="21" t="s">
        <v>761</v>
      </c>
      <c r="G2611" s="21" t="s">
        <v>11415</v>
      </c>
      <c r="H2611" s="21" t="s">
        <v>27949</v>
      </c>
    </row>
    <row r="2612" customFormat="false" ht="15" hidden="false" customHeight="false" outlineLevel="0" collapsed="false">
      <c r="B2612" s="19" t="s">
        <v>27976</v>
      </c>
      <c r="C2612" s="20" t="n">
        <f aca="false">ROUND(1.46/FX,2)</f>
        <v>0.2</v>
      </c>
      <c r="D2612" s="21" t="s">
        <v>8669</v>
      </c>
      <c r="E2612" s="21" t="s">
        <v>13739</v>
      </c>
      <c r="F2612" s="21" t="s">
        <v>3833</v>
      </c>
      <c r="G2612" s="21" t="s">
        <v>11415</v>
      </c>
      <c r="H2612" s="21" t="s">
        <v>27949</v>
      </c>
    </row>
    <row r="2613" customFormat="false" ht="15" hidden="false" customHeight="false" outlineLevel="0" collapsed="false">
      <c r="B2613" s="19" t="s">
        <v>27977</v>
      </c>
      <c r="C2613" s="20" t="n">
        <f aca="false">ROUND(1.54/FX,2)</f>
        <v>0.21</v>
      </c>
      <c r="D2613" s="21" t="s">
        <v>8669</v>
      </c>
      <c r="E2613" s="21" t="s">
        <v>13739</v>
      </c>
      <c r="F2613" s="21" t="s">
        <v>3247</v>
      </c>
      <c r="G2613" s="21" t="s">
        <v>11415</v>
      </c>
      <c r="H2613" s="21" t="s">
        <v>27949</v>
      </c>
    </row>
    <row r="2614" customFormat="false" ht="15" hidden="false" customHeight="false" outlineLevel="0" collapsed="false">
      <c r="B2614" s="19" t="s">
        <v>27978</v>
      </c>
      <c r="C2614" s="20" t="n">
        <f aca="false">ROUND(1.59/FX,2)</f>
        <v>0.22</v>
      </c>
      <c r="D2614" s="21" t="s">
        <v>8669</v>
      </c>
      <c r="E2614" s="21" t="s">
        <v>13739</v>
      </c>
      <c r="F2614" s="21" t="s">
        <v>3317</v>
      </c>
      <c r="G2614" s="21" t="s">
        <v>11415</v>
      </c>
      <c r="H2614" s="21" t="s">
        <v>27949</v>
      </c>
    </row>
    <row r="2615" customFormat="false" ht="15" hidden="false" customHeight="false" outlineLevel="0" collapsed="false">
      <c r="B2615" s="19" t="s">
        <v>27979</v>
      </c>
      <c r="C2615" s="20" t="n">
        <f aca="false">ROUND(1.69/FX,2)</f>
        <v>0.23</v>
      </c>
      <c r="D2615" s="21" t="s">
        <v>8669</v>
      </c>
      <c r="E2615" s="21" t="s">
        <v>13739</v>
      </c>
      <c r="F2615" s="21" t="s">
        <v>784</v>
      </c>
      <c r="G2615" s="21" t="s">
        <v>11415</v>
      </c>
      <c r="H2615" s="21" t="s">
        <v>27949</v>
      </c>
    </row>
    <row r="2616" customFormat="false" ht="15" hidden="false" customHeight="false" outlineLevel="0" collapsed="false">
      <c r="B2616" s="19" t="s">
        <v>27980</v>
      </c>
      <c r="C2616" s="20" t="n">
        <f aca="false">ROUND(1.77/FX,2)</f>
        <v>0.25</v>
      </c>
      <c r="D2616" s="21" t="s">
        <v>8669</v>
      </c>
      <c r="E2616" s="21" t="s">
        <v>13739</v>
      </c>
      <c r="F2616" s="21" t="s">
        <v>3328</v>
      </c>
      <c r="G2616" s="21" t="s">
        <v>11415</v>
      </c>
      <c r="H2616" s="21" t="s">
        <v>27949</v>
      </c>
    </row>
    <row r="2617" customFormat="false" ht="15" hidden="false" customHeight="false" outlineLevel="0" collapsed="false">
      <c r="B2617" s="19" t="s">
        <v>27981</v>
      </c>
      <c r="C2617" s="20" t="n">
        <f aca="false">ROUND(1.82/FX,2)</f>
        <v>0.25</v>
      </c>
      <c r="D2617" s="21" t="s">
        <v>8669</v>
      </c>
      <c r="E2617" s="21" t="s">
        <v>13739</v>
      </c>
      <c r="F2617" s="21" t="s">
        <v>6246</v>
      </c>
      <c r="G2617" s="21" t="s">
        <v>11415</v>
      </c>
      <c r="H2617" s="21" t="s">
        <v>27949</v>
      </c>
    </row>
    <row r="2618" customFormat="false" ht="15" hidden="false" customHeight="false" outlineLevel="0" collapsed="false">
      <c r="B2618" s="19" t="s">
        <v>27982</v>
      </c>
      <c r="C2618" s="20" t="n">
        <f aca="false">ROUND(1.87/FX,2)</f>
        <v>0.26</v>
      </c>
      <c r="D2618" s="21" t="s">
        <v>8669</v>
      </c>
      <c r="E2618" s="21" t="s">
        <v>13739</v>
      </c>
      <c r="F2618" s="21" t="s">
        <v>7358</v>
      </c>
      <c r="G2618" s="21" t="s">
        <v>11415</v>
      </c>
      <c r="H2618" s="21" t="s">
        <v>27949</v>
      </c>
    </row>
    <row r="2619" customFormat="false" ht="15" hidden="false" customHeight="false" outlineLevel="0" collapsed="false">
      <c r="B2619" s="19" t="s">
        <v>27983</v>
      </c>
      <c r="C2619" s="20" t="n">
        <f aca="false">ROUND(1.9/FX,2)</f>
        <v>0.26</v>
      </c>
      <c r="D2619" s="21" t="s">
        <v>8669</v>
      </c>
      <c r="E2619" s="21" t="s">
        <v>13739</v>
      </c>
      <c r="F2619" s="21" t="s">
        <v>2911</v>
      </c>
      <c r="G2619" s="21" t="s">
        <v>11415</v>
      </c>
      <c r="H2619" s="21" t="s">
        <v>27949</v>
      </c>
    </row>
    <row r="2620" customFormat="false" ht="15" hidden="false" customHeight="false" outlineLevel="0" collapsed="false">
      <c r="B2620" s="19" t="s">
        <v>27984</v>
      </c>
      <c r="C2620" s="20" t="n">
        <f aca="false">ROUND(1.04/FX,2)</f>
        <v>0.14</v>
      </c>
      <c r="D2620" s="21" t="s">
        <v>8669</v>
      </c>
      <c r="E2620" s="21" t="s">
        <v>13732</v>
      </c>
      <c r="F2620" s="21" t="s">
        <v>7275</v>
      </c>
      <c r="G2620" s="21" t="s">
        <v>11415</v>
      </c>
      <c r="H2620" s="21" t="s">
        <v>27949</v>
      </c>
    </row>
    <row r="2621" customFormat="false" ht="15" hidden="false" customHeight="false" outlineLevel="0" collapsed="false">
      <c r="B2621" s="19" t="s">
        <v>27985</v>
      </c>
      <c r="C2621" s="20" t="n">
        <f aca="false">ROUND(1.12/FX,2)</f>
        <v>0.16</v>
      </c>
      <c r="D2621" s="21" t="s">
        <v>8669</v>
      </c>
      <c r="E2621" s="21" t="s">
        <v>13732</v>
      </c>
      <c r="F2621" s="21" t="s">
        <v>2961</v>
      </c>
      <c r="G2621" s="21" t="s">
        <v>11415</v>
      </c>
      <c r="H2621" s="21" t="s">
        <v>27949</v>
      </c>
    </row>
    <row r="2622" customFormat="false" ht="15" hidden="false" customHeight="false" outlineLevel="0" collapsed="false">
      <c r="B2622" s="19" t="s">
        <v>27986</v>
      </c>
      <c r="C2622" s="20" t="n">
        <f aca="false">ROUND(1.17/FX,2)</f>
        <v>0.16</v>
      </c>
      <c r="D2622" s="21" t="s">
        <v>8669</v>
      </c>
      <c r="E2622" s="21" t="s">
        <v>13732</v>
      </c>
      <c r="F2622" s="21" t="s">
        <v>3011</v>
      </c>
      <c r="G2622" s="21" t="s">
        <v>11415</v>
      </c>
      <c r="H2622" s="21" t="s">
        <v>27949</v>
      </c>
    </row>
    <row r="2623" customFormat="false" ht="15" hidden="false" customHeight="false" outlineLevel="0" collapsed="false">
      <c r="B2623" s="19" t="s">
        <v>27987</v>
      </c>
      <c r="C2623" s="20" t="n">
        <f aca="false">ROUND(1.15/FX,2)</f>
        <v>0.16</v>
      </c>
      <c r="D2623" s="21" t="s">
        <v>8669</v>
      </c>
      <c r="E2623" s="21" t="s">
        <v>13732</v>
      </c>
      <c r="F2623" s="21" t="s">
        <v>761</v>
      </c>
      <c r="G2623" s="21" t="s">
        <v>22841</v>
      </c>
      <c r="H2623" s="21" t="s">
        <v>27988</v>
      </c>
    </row>
    <row r="2624" customFormat="false" ht="15" hidden="false" customHeight="false" outlineLevel="0" collapsed="false">
      <c r="B2624" s="19" t="s">
        <v>27989</v>
      </c>
      <c r="C2624" s="20" t="n">
        <f aca="false">ROUND(1.17/FX,2)</f>
        <v>0.16</v>
      </c>
      <c r="D2624" s="21" t="s">
        <v>8669</v>
      </c>
      <c r="E2624" s="21" t="s">
        <v>13732</v>
      </c>
      <c r="F2624" s="21" t="s">
        <v>3833</v>
      </c>
      <c r="G2624" s="21" t="s">
        <v>22841</v>
      </c>
      <c r="H2624" s="21" t="s">
        <v>27988</v>
      </c>
    </row>
    <row r="2625" customFormat="false" ht="15" hidden="false" customHeight="false" outlineLevel="0" collapsed="false">
      <c r="B2625" s="19" t="s">
        <v>27990</v>
      </c>
      <c r="C2625" s="20" t="n">
        <f aca="false">ROUND(1.21/FX,2)</f>
        <v>0.17</v>
      </c>
      <c r="D2625" s="21" t="s">
        <v>8669</v>
      </c>
      <c r="E2625" s="21" t="s">
        <v>13732</v>
      </c>
      <c r="F2625" s="21" t="s">
        <v>3247</v>
      </c>
      <c r="G2625" s="21" t="s">
        <v>22841</v>
      </c>
      <c r="H2625" s="21" t="s">
        <v>27988</v>
      </c>
    </row>
    <row r="2626" customFormat="false" ht="15" hidden="false" customHeight="false" outlineLevel="0" collapsed="false">
      <c r="B2626" s="19" t="s">
        <v>27991</v>
      </c>
      <c r="C2626" s="20" t="n">
        <f aca="false">ROUND(1.24/FX,2)</f>
        <v>0.17</v>
      </c>
      <c r="D2626" s="21" t="s">
        <v>8669</v>
      </c>
      <c r="E2626" s="21" t="s">
        <v>13732</v>
      </c>
      <c r="F2626" s="21" t="s">
        <v>3317</v>
      </c>
      <c r="G2626" s="21" t="s">
        <v>22841</v>
      </c>
      <c r="H2626" s="21" t="s">
        <v>27988</v>
      </c>
    </row>
    <row r="2627" customFormat="false" ht="15" hidden="false" customHeight="false" outlineLevel="0" collapsed="false">
      <c r="B2627" s="19" t="s">
        <v>27992</v>
      </c>
      <c r="C2627" s="20" t="n">
        <f aca="false">ROUND(1.27/FX,2)</f>
        <v>0.18</v>
      </c>
      <c r="D2627" s="21" t="s">
        <v>8669</v>
      </c>
      <c r="E2627" s="21" t="s">
        <v>13732</v>
      </c>
      <c r="F2627" s="21" t="s">
        <v>784</v>
      </c>
      <c r="G2627" s="21" t="s">
        <v>22841</v>
      </c>
      <c r="H2627" s="21" t="s">
        <v>27988</v>
      </c>
    </row>
    <row r="2628" customFormat="false" ht="15" hidden="false" customHeight="false" outlineLevel="0" collapsed="false">
      <c r="B2628" s="19" t="s">
        <v>27993</v>
      </c>
      <c r="C2628" s="20" t="n">
        <f aca="false">ROUND(1.3/FX,2)</f>
        <v>0.18</v>
      </c>
      <c r="D2628" s="21" t="s">
        <v>8669</v>
      </c>
      <c r="E2628" s="21" t="s">
        <v>13732</v>
      </c>
      <c r="F2628" s="21" t="s">
        <v>3328</v>
      </c>
      <c r="G2628" s="21" t="s">
        <v>22841</v>
      </c>
      <c r="H2628" s="21" t="s">
        <v>27988</v>
      </c>
    </row>
    <row r="2629" customFormat="false" ht="15" hidden="false" customHeight="false" outlineLevel="0" collapsed="false">
      <c r="B2629" s="19" t="s">
        <v>27994</v>
      </c>
      <c r="C2629" s="20" t="n">
        <f aca="false">ROUND(1.46/FX,2)</f>
        <v>0.2</v>
      </c>
      <c r="D2629" s="21" t="s">
        <v>8669</v>
      </c>
      <c r="E2629" s="21" t="s">
        <v>13732</v>
      </c>
      <c r="F2629" s="21" t="s">
        <v>6246</v>
      </c>
      <c r="G2629" s="21" t="s">
        <v>22841</v>
      </c>
      <c r="H2629" s="21" t="s">
        <v>27988</v>
      </c>
    </row>
    <row r="2630" customFormat="false" ht="15" hidden="false" customHeight="false" outlineLevel="0" collapsed="false">
      <c r="B2630" s="19" t="s">
        <v>27995</v>
      </c>
      <c r="C2630" s="20" t="n">
        <f aca="false">ROUND(1.5/FX,2)</f>
        <v>0.21</v>
      </c>
      <c r="D2630" s="21" t="s">
        <v>8669</v>
      </c>
      <c r="E2630" s="21" t="s">
        <v>13732</v>
      </c>
      <c r="F2630" s="21" t="s">
        <v>7358</v>
      </c>
      <c r="G2630" s="21" t="s">
        <v>22841</v>
      </c>
      <c r="H2630" s="21" t="s">
        <v>27988</v>
      </c>
    </row>
    <row r="2631" customFormat="false" ht="15" hidden="false" customHeight="false" outlineLevel="0" collapsed="false">
      <c r="B2631" s="19" t="s">
        <v>27996</v>
      </c>
      <c r="C2631" s="20" t="n">
        <f aca="false">ROUND(1.56/FX,2)</f>
        <v>0.22</v>
      </c>
      <c r="D2631" s="21" t="s">
        <v>8669</v>
      </c>
      <c r="E2631" s="21" t="s">
        <v>13732</v>
      </c>
      <c r="F2631" s="21" t="s">
        <v>2911</v>
      </c>
      <c r="G2631" s="21" t="s">
        <v>22841</v>
      </c>
      <c r="H2631" s="21" t="s">
        <v>27988</v>
      </c>
    </row>
    <row r="2632" customFormat="false" ht="15" hidden="false" customHeight="false" outlineLevel="0" collapsed="false">
      <c r="B2632" s="19" t="s">
        <v>27997</v>
      </c>
      <c r="C2632" s="20" t="n">
        <f aca="false">ROUND(1.69/FX,2)</f>
        <v>0.23</v>
      </c>
      <c r="D2632" s="21" t="s">
        <v>8669</v>
      </c>
      <c r="E2632" s="21" t="s">
        <v>13732</v>
      </c>
      <c r="F2632" s="21" t="s">
        <v>7275</v>
      </c>
      <c r="G2632" s="21" t="s">
        <v>22841</v>
      </c>
      <c r="H2632" s="21" t="s">
        <v>27988</v>
      </c>
    </row>
    <row r="2633" customFormat="false" ht="15" hidden="false" customHeight="false" outlineLevel="0" collapsed="false">
      <c r="B2633" s="19" t="s">
        <v>27998</v>
      </c>
      <c r="C2633" s="20" t="n">
        <f aca="false">ROUND(1.95/FX,2)</f>
        <v>0.27</v>
      </c>
      <c r="D2633" s="21" t="s">
        <v>8669</v>
      </c>
      <c r="E2633" s="21" t="s">
        <v>13732</v>
      </c>
      <c r="F2633" s="21" t="s">
        <v>2961</v>
      </c>
      <c r="G2633" s="21" t="s">
        <v>22841</v>
      </c>
      <c r="H2633" s="21" t="s">
        <v>27988</v>
      </c>
    </row>
    <row r="2634" customFormat="false" ht="15" hidden="false" customHeight="false" outlineLevel="0" collapsed="false">
      <c r="B2634" s="19" t="s">
        <v>27999</v>
      </c>
      <c r="C2634" s="20" t="n">
        <f aca="false">ROUND(2.08/FX,2)</f>
        <v>0.29</v>
      </c>
      <c r="D2634" s="21" t="s">
        <v>8669</v>
      </c>
      <c r="E2634" s="21" t="s">
        <v>13732</v>
      </c>
      <c r="F2634" s="21" t="s">
        <v>3011</v>
      </c>
      <c r="G2634" s="21" t="s">
        <v>22841</v>
      </c>
      <c r="H2634" s="21" t="s">
        <v>27988</v>
      </c>
    </row>
    <row r="2635" customFormat="false" ht="15" hidden="false" customHeight="false" outlineLevel="0" collapsed="false">
      <c r="B2635" s="19" t="s">
        <v>28000</v>
      </c>
      <c r="C2635" s="20" t="n">
        <f aca="false">ROUND(2.21/FX,2)</f>
        <v>0.31</v>
      </c>
      <c r="D2635" s="21" t="s">
        <v>8669</v>
      </c>
      <c r="E2635" s="21" t="s">
        <v>13732</v>
      </c>
      <c r="F2635" s="21" t="s">
        <v>3061</v>
      </c>
      <c r="G2635" s="21" t="s">
        <v>22841</v>
      </c>
      <c r="H2635" s="21" t="s">
        <v>27988</v>
      </c>
    </row>
    <row r="2636" customFormat="false" ht="15" hidden="false" customHeight="false" outlineLevel="0" collapsed="false">
      <c r="B2636" s="19" t="s">
        <v>28001</v>
      </c>
      <c r="C2636" s="20" t="n">
        <f aca="false">ROUND(1.33/FX,2)</f>
        <v>0.18</v>
      </c>
      <c r="D2636" s="21" t="s">
        <v>8669</v>
      </c>
      <c r="E2636" s="21" t="s">
        <v>13739</v>
      </c>
      <c r="F2636" s="21" t="s">
        <v>761</v>
      </c>
      <c r="G2636" s="21" t="s">
        <v>11413</v>
      </c>
      <c r="H2636" s="21" t="s">
        <v>27988</v>
      </c>
    </row>
    <row r="2637" customFormat="false" ht="15" hidden="false" customHeight="false" outlineLevel="0" collapsed="false">
      <c r="B2637" s="19" t="s">
        <v>28002</v>
      </c>
      <c r="C2637" s="20" t="n">
        <f aca="false">ROUND(1.35/FX,2)</f>
        <v>0.19</v>
      </c>
      <c r="D2637" s="21" t="s">
        <v>8669</v>
      </c>
      <c r="E2637" s="21" t="s">
        <v>13739</v>
      </c>
      <c r="F2637" s="21" t="s">
        <v>3833</v>
      </c>
      <c r="G2637" s="21" t="s">
        <v>11413</v>
      </c>
      <c r="H2637" s="21" t="s">
        <v>27988</v>
      </c>
    </row>
    <row r="2638" customFormat="false" ht="15" hidden="false" customHeight="false" outlineLevel="0" collapsed="false">
      <c r="B2638" s="19" t="s">
        <v>28003</v>
      </c>
      <c r="C2638" s="20" t="n">
        <f aca="false">ROUND(1.38/FX,2)</f>
        <v>0.19</v>
      </c>
      <c r="D2638" s="21" t="s">
        <v>8669</v>
      </c>
      <c r="E2638" s="21" t="s">
        <v>13739</v>
      </c>
      <c r="F2638" s="21" t="s">
        <v>3247</v>
      </c>
      <c r="G2638" s="21" t="s">
        <v>11413</v>
      </c>
      <c r="H2638" s="21" t="s">
        <v>27988</v>
      </c>
    </row>
    <row r="2639" customFormat="false" ht="15" hidden="false" customHeight="false" outlineLevel="0" collapsed="false">
      <c r="B2639" s="19" t="s">
        <v>28004</v>
      </c>
      <c r="C2639" s="20" t="n">
        <f aca="false">ROUND(1.43/FX,2)</f>
        <v>0.2</v>
      </c>
      <c r="D2639" s="21" t="s">
        <v>8669</v>
      </c>
      <c r="E2639" s="21" t="s">
        <v>13739</v>
      </c>
      <c r="F2639" s="21" t="s">
        <v>3317</v>
      </c>
      <c r="G2639" s="21" t="s">
        <v>11413</v>
      </c>
      <c r="H2639" s="21" t="s">
        <v>27988</v>
      </c>
    </row>
    <row r="2640" customFormat="false" ht="15" hidden="false" customHeight="false" outlineLevel="0" collapsed="false">
      <c r="B2640" s="19" t="s">
        <v>28005</v>
      </c>
      <c r="C2640" s="20" t="n">
        <f aca="false">ROUND(1.56/FX,2)</f>
        <v>0.22</v>
      </c>
      <c r="D2640" s="21" t="s">
        <v>8669</v>
      </c>
      <c r="E2640" s="21" t="s">
        <v>13739</v>
      </c>
      <c r="F2640" s="21" t="s">
        <v>784</v>
      </c>
      <c r="G2640" s="21" t="s">
        <v>11413</v>
      </c>
      <c r="H2640" s="21" t="s">
        <v>27988</v>
      </c>
    </row>
    <row r="2641" customFormat="false" ht="15" hidden="false" customHeight="false" outlineLevel="0" collapsed="false">
      <c r="B2641" s="19" t="s">
        <v>28006</v>
      </c>
      <c r="C2641" s="20" t="n">
        <f aca="false">ROUND(1.66/FX,2)</f>
        <v>0.23</v>
      </c>
      <c r="D2641" s="21" t="s">
        <v>8669</v>
      </c>
      <c r="E2641" s="21" t="s">
        <v>13739</v>
      </c>
      <c r="F2641" s="21" t="s">
        <v>3328</v>
      </c>
      <c r="G2641" s="21" t="s">
        <v>11413</v>
      </c>
      <c r="H2641" s="21" t="s">
        <v>27988</v>
      </c>
    </row>
    <row r="2642" customFormat="false" ht="15" hidden="false" customHeight="false" outlineLevel="0" collapsed="false">
      <c r="B2642" s="19" t="s">
        <v>28007</v>
      </c>
      <c r="C2642" s="20" t="n">
        <f aca="false">ROUND(1.82/FX,2)</f>
        <v>0.25</v>
      </c>
      <c r="D2642" s="21" t="s">
        <v>8669</v>
      </c>
      <c r="E2642" s="21" t="s">
        <v>13739</v>
      </c>
      <c r="F2642" s="21" t="s">
        <v>6246</v>
      </c>
      <c r="G2642" s="21" t="s">
        <v>11413</v>
      </c>
      <c r="H2642" s="21" t="s">
        <v>27988</v>
      </c>
    </row>
    <row r="2643" customFormat="false" ht="15" hidden="false" customHeight="false" outlineLevel="0" collapsed="false">
      <c r="B2643" s="19" t="s">
        <v>28008</v>
      </c>
      <c r="C2643" s="20" t="n">
        <f aca="false">ROUND(1.9/FX,2)</f>
        <v>0.26</v>
      </c>
      <c r="D2643" s="21" t="s">
        <v>8669</v>
      </c>
      <c r="E2643" s="21" t="s">
        <v>13739</v>
      </c>
      <c r="F2643" s="21" t="s">
        <v>7358</v>
      </c>
      <c r="G2643" s="21" t="s">
        <v>11413</v>
      </c>
      <c r="H2643" s="21" t="s">
        <v>27988</v>
      </c>
    </row>
    <row r="2644" customFormat="false" ht="15" hidden="false" customHeight="false" outlineLevel="0" collapsed="false">
      <c r="B2644" s="19" t="s">
        <v>28009</v>
      </c>
      <c r="C2644" s="20" t="n">
        <f aca="false">ROUND(1.01/FX,2)</f>
        <v>0.14</v>
      </c>
      <c r="D2644" s="21" t="s">
        <v>8669</v>
      </c>
      <c r="E2644" s="21" t="s">
        <v>13732</v>
      </c>
      <c r="F2644" s="21" t="s">
        <v>2911</v>
      </c>
      <c r="G2644" s="21" t="s">
        <v>11413</v>
      </c>
      <c r="H2644" s="21" t="s">
        <v>27988</v>
      </c>
    </row>
    <row r="2645" customFormat="false" ht="15" hidden="false" customHeight="false" outlineLevel="0" collapsed="false">
      <c r="B2645" s="19" t="s">
        <v>28010</v>
      </c>
      <c r="C2645" s="20" t="n">
        <f aca="false">ROUND(1.24/FX,2)</f>
        <v>0.17</v>
      </c>
      <c r="D2645" s="21" t="s">
        <v>8669</v>
      </c>
      <c r="E2645" s="21" t="s">
        <v>13732</v>
      </c>
      <c r="F2645" s="21" t="s">
        <v>2961</v>
      </c>
      <c r="G2645" s="21" t="s">
        <v>11413</v>
      </c>
      <c r="H2645" s="21" t="s">
        <v>27988</v>
      </c>
    </row>
    <row r="2646" customFormat="false" ht="15" hidden="false" customHeight="false" outlineLevel="0" collapsed="false">
      <c r="B2646" s="19" t="s">
        <v>28011</v>
      </c>
      <c r="C2646" s="20" t="n">
        <f aca="false">ROUND(1.37/FX,2)</f>
        <v>0.19</v>
      </c>
      <c r="D2646" s="21" t="s">
        <v>8669</v>
      </c>
      <c r="E2646" s="21" t="s">
        <v>13732</v>
      </c>
      <c r="F2646" s="21" t="s">
        <v>3011</v>
      </c>
      <c r="G2646" s="21" t="s">
        <v>11413</v>
      </c>
      <c r="H2646" s="21" t="s">
        <v>27988</v>
      </c>
    </row>
    <row r="2647" customFormat="false" ht="15" hidden="false" customHeight="false" outlineLevel="0" collapsed="false">
      <c r="B2647" s="19" t="s">
        <v>28012</v>
      </c>
      <c r="C2647" s="20" t="n">
        <f aca="false">ROUND(1.69/FX,2)</f>
        <v>0.23</v>
      </c>
      <c r="D2647" s="21" t="s">
        <v>8669</v>
      </c>
      <c r="E2647" s="21" t="s">
        <v>13739</v>
      </c>
      <c r="F2647" s="21" t="s">
        <v>707</v>
      </c>
      <c r="G2647" s="21" t="s">
        <v>11415</v>
      </c>
      <c r="H2647" s="21" t="s">
        <v>27988</v>
      </c>
    </row>
    <row r="2648" customFormat="false" ht="15" hidden="false" customHeight="false" outlineLevel="0" collapsed="false">
      <c r="B2648" s="19" t="s">
        <v>28013</v>
      </c>
      <c r="C2648" s="20" t="n">
        <f aca="false">ROUND(1.72/FX,2)</f>
        <v>0.24</v>
      </c>
      <c r="D2648" s="21" t="s">
        <v>8669</v>
      </c>
      <c r="E2648" s="21" t="s">
        <v>13739</v>
      </c>
      <c r="F2648" s="21" t="s">
        <v>761</v>
      </c>
      <c r="G2648" s="21" t="s">
        <v>11415</v>
      </c>
      <c r="H2648" s="21" t="s">
        <v>27988</v>
      </c>
    </row>
    <row r="2649" customFormat="false" ht="15" hidden="false" customHeight="false" outlineLevel="0" collapsed="false">
      <c r="B2649" s="19" t="s">
        <v>28014</v>
      </c>
      <c r="C2649" s="20" t="n">
        <f aca="false">ROUND(1.77/FX,2)</f>
        <v>0.25</v>
      </c>
      <c r="D2649" s="21" t="s">
        <v>8669</v>
      </c>
      <c r="E2649" s="21" t="s">
        <v>13739</v>
      </c>
      <c r="F2649" s="21" t="s">
        <v>3833</v>
      </c>
      <c r="G2649" s="21" t="s">
        <v>11415</v>
      </c>
      <c r="H2649" s="21" t="s">
        <v>27988</v>
      </c>
    </row>
    <row r="2650" customFormat="false" ht="15" hidden="false" customHeight="false" outlineLevel="0" collapsed="false">
      <c r="B2650" s="19" t="s">
        <v>28015</v>
      </c>
      <c r="C2650" s="20" t="n">
        <f aca="false">ROUND(1.82/FX,2)</f>
        <v>0.25</v>
      </c>
      <c r="D2650" s="21" t="s">
        <v>8669</v>
      </c>
      <c r="E2650" s="21" t="s">
        <v>13739</v>
      </c>
      <c r="F2650" s="21" t="s">
        <v>3247</v>
      </c>
      <c r="G2650" s="21" t="s">
        <v>11415</v>
      </c>
      <c r="H2650" s="21" t="s">
        <v>27988</v>
      </c>
    </row>
    <row r="2651" customFormat="false" ht="15" hidden="false" customHeight="false" outlineLevel="0" collapsed="false">
      <c r="B2651" s="19" t="s">
        <v>28016</v>
      </c>
      <c r="C2651" s="20" t="n">
        <f aca="false">ROUND(1.87/FX,2)</f>
        <v>0.26</v>
      </c>
      <c r="D2651" s="21" t="s">
        <v>8669</v>
      </c>
      <c r="E2651" s="21" t="s">
        <v>13739</v>
      </c>
      <c r="F2651" s="21" t="s">
        <v>3317</v>
      </c>
      <c r="G2651" s="21" t="s">
        <v>11415</v>
      </c>
      <c r="H2651" s="21" t="s">
        <v>27988</v>
      </c>
    </row>
    <row r="2652" customFormat="false" ht="15" hidden="false" customHeight="false" outlineLevel="0" collapsed="false">
      <c r="B2652" s="19" t="s">
        <v>28017</v>
      </c>
      <c r="C2652" s="20" t="n">
        <f aca="false">ROUND(1.95/FX,2)</f>
        <v>0.27</v>
      </c>
      <c r="D2652" s="21" t="s">
        <v>8669</v>
      </c>
      <c r="E2652" s="21" t="s">
        <v>13739</v>
      </c>
      <c r="F2652" s="21" t="s">
        <v>784</v>
      </c>
      <c r="G2652" s="21" t="s">
        <v>11415</v>
      </c>
      <c r="H2652" s="21" t="s">
        <v>27988</v>
      </c>
    </row>
    <row r="2653" customFormat="false" ht="15" hidden="false" customHeight="false" outlineLevel="0" collapsed="false">
      <c r="B2653" s="19" t="s">
        <v>28018</v>
      </c>
      <c r="C2653" s="20" t="n">
        <f aca="false">ROUND(1.04/FX,2)</f>
        <v>0.14</v>
      </c>
      <c r="D2653" s="21" t="s">
        <v>8669</v>
      </c>
      <c r="E2653" s="21" t="s">
        <v>13732</v>
      </c>
      <c r="F2653" s="21" t="s">
        <v>3328</v>
      </c>
      <c r="G2653" s="21" t="s">
        <v>11415</v>
      </c>
      <c r="H2653" s="21" t="s">
        <v>27988</v>
      </c>
    </row>
    <row r="2654" customFormat="false" ht="15" hidden="false" customHeight="false" outlineLevel="0" collapsed="false">
      <c r="B2654" s="19" t="s">
        <v>28019</v>
      </c>
      <c r="C2654" s="20" t="n">
        <f aca="false">ROUND(1.11/FX,2)</f>
        <v>0.15</v>
      </c>
      <c r="D2654" s="21" t="s">
        <v>8669</v>
      </c>
      <c r="E2654" s="21" t="s">
        <v>13732</v>
      </c>
      <c r="F2654" s="21" t="s">
        <v>6246</v>
      </c>
      <c r="G2654" s="21" t="s">
        <v>11415</v>
      </c>
      <c r="H2654" s="21" t="s">
        <v>27988</v>
      </c>
    </row>
    <row r="2655" customFormat="false" ht="15" hidden="false" customHeight="false" outlineLevel="0" collapsed="false">
      <c r="B2655" s="19" t="s">
        <v>28020</v>
      </c>
      <c r="C2655" s="20" t="n">
        <f aca="false">ROUND(1.15/FX,2)</f>
        <v>0.16</v>
      </c>
      <c r="D2655" s="21" t="s">
        <v>8669</v>
      </c>
      <c r="E2655" s="21" t="s">
        <v>13732</v>
      </c>
      <c r="F2655" s="21" t="s">
        <v>7358</v>
      </c>
      <c r="G2655" s="21" t="s">
        <v>11415</v>
      </c>
      <c r="H2655" s="21" t="s">
        <v>27988</v>
      </c>
    </row>
    <row r="2656" customFormat="false" ht="15" hidden="false" customHeight="false" outlineLevel="0" collapsed="false">
      <c r="B2656" s="19" t="s">
        <v>28021</v>
      </c>
      <c r="C2656" s="20" t="n">
        <f aca="false">ROUND(1.24/FX,2)</f>
        <v>0.17</v>
      </c>
      <c r="D2656" s="21" t="s">
        <v>8669</v>
      </c>
      <c r="E2656" s="21" t="s">
        <v>13732</v>
      </c>
      <c r="F2656" s="21" t="s">
        <v>2911</v>
      </c>
      <c r="G2656" s="21" t="s">
        <v>11415</v>
      </c>
      <c r="H2656" s="21" t="s">
        <v>27988</v>
      </c>
    </row>
    <row r="2657" customFormat="false" ht="15" hidden="false" customHeight="false" outlineLevel="0" collapsed="false">
      <c r="B2657" s="19" t="s">
        <v>28022</v>
      </c>
      <c r="C2657" s="20" t="n">
        <f aca="false">ROUND(1.27/FX,2)</f>
        <v>0.18</v>
      </c>
      <c r="D2657" s="21" t="s">
        <v>8669</v>
      </c>
      <c r="E2657" s="21" t="s">
        <v>13732</v>
      </c>
      <c r="F2657" s="21" t="s">
        <v>7275</v>
      </c>
      <c r="G2657" s="21" t="s">
        <v>11415</v>
      </c>
      <c r="H2657" s="21" t="s">
        <v>27988</v>
      </c>
    </row>
    <row r="2658" customFormat="false" ht="15" hidden="false" customHeight="false" outlineLevel="0" collapsed="false">
      <c r="B2658" s="19" t="s">
        <v>28023</v>
      </c>
      <c r="C2658" s="20" t="n">
        <f aca="false">ROUND(1.3/FX,2)</f>
        <v>0.18</v>
      </c>
      <c r="D2658" s="21" t="s">
        <v>8669</v>
      </c>
      <c r="E2658" s="21" t="s">
        <v>13732</v>
      </c>
      <c r="F2658" s="21" t="s">
        <v>2961</v>
      </c>
      <c r="G2658" s="21" t="s">
        <v>11415</v>
      </c>
      <c r="H2658" s="21" t="s">
        <v>27988</v>
      </c>
    </row>
    <row r="2659" customFormat="false" ht="15" hidden="false" customHeight="false" outlineLevel="0" collapsed="false">
      <c r="B2659" s="19" t="s">
        <v>28024</v>
      </c>
      <c r="C2659" s="20" t="n">
        <f aca="false">ROUND(1.54/FX,2)</f>
        <v>0.21</v>
      </c>
      <c r="D2659" s="21" t="s">
        <v>8669</v>
      </c>
      <c r="E2659" s="21" t="s">
        <v>13732</v>
      </c>
      <c r="F2659" s="21" t="s">
        <v>3011</v>
      </c>
      <c r="G2659" s="21" t="s">
        <v>11415</v>
      </c>
      <c r="H2659" s="21" t="s">
        <v>27988</v>
      </c>
    </row>
    <row r="2660" customFormat="false" ht="15" hidden="false" customHeight="false" outlineLevel="0" collapsed="false">
      <c r="B2660" s="19" t="s">
        <v>28025</v>
      </c>
      <c r="C2660" s="20" t="n">
        <f aca="false">ROUND(1.67/FX,2)</f>
        <v>0.23</v>
      </c>
      <c r="D2660" s="21" t="s">
        <v>8669</v>
      </c>
      <c r="E2660" s="21" t="s">
        <v>13732</v>
      </c>
      <c r="F2660" s="21" t="s">
        <v>3061</v>
      </c>
      <c r="G2660" s="21" t="s">
        <v>11415</v>
      </c>
      <c r="H2660" s="21" t="s">
        <v>27988</v>
      </c>
    </row>
    <row r="2661" customFormat="false" ht="15" hidden="false" customHeight="false" outlineLevel="0" collapsed="false">
      <c r="B2661" s="19" t="s">
        <v>28026</v>
      </c>
      <c r="C2661" s="20" t="n">
        <f aca="false">ROUND(2.08/FX,2)</f>
        <v>0.29</v>
      </c>
      <c r="D2661" s="21" t="s">
        <v>8669</v>
      </c>
      <c r="E2661" s="21" t="s">
        <v>13732</v>
      </c>
      <c r="F2661" s="21" t="s">
        <v>3247</v>
      </c>
      <c r="G2661" s="21" t="s">
        <v>22841</v>
      </c>
      <c r="H2661" s="21" t="s">
        <v>28027</v>
      </c>
    </row>
    <row r="2662" customFormat="false" ht="15" hidden="false" customHeight="false" outlineLevel="0" collapsed="false">
      <c r="B2662" s="19" t="s">
        <v>28028</v>
      </c>
      <c r="C2662" s="20" t="n">
        <f aca="false">ROUND(2.21/FX,2)</f>
        <v>0.31</v>
      </c>
      <c r="D2662" s="21" t="s">
        <v>8669</v>
      </c>
      <c r="E2662" s="21" t="s">
        <v>13732</v>
      </c>
      <c r="F2662" s="21" t="s">
        <v>3317</v>
      </c>
      <c r="G2662" s="21" t="s">
        <v>22841</v>
      </c>
      <c r="H2662" s="21" t="s">
        <v>28027</v>
      </c>
    </row>
    <row r="2663" customFormat="false" ht="15" hidden="false" customHeight="false" outlineLevel="0" collapsed="false">
      <c r="B2663" s="19" t="s">
        <v>28029</v>
      </c>
      <c r="C2663" s="20" t="n">
        <f aca="false">ROUND(2.28/FX,2)</f>
        <v>0.32</v>
      </c>
      <c r="D2663" s="21" t="s">
        <v>8669</v>
      </c>
      <c r="E2663" s="21" t="s">
        <v>13732</v>
      </c>
      <c r="F2663" s="21" t="s">
        <v>784</v>
      </c>
      <c r="G2663" s="21" t="s">
        <v>22841</v>
      </c>
      <c r="H2663" s="21" t="s">
        <v>28027</v>
      </c>
    </row>
    <row r="2664" customFormat="false" ht="15" hidden="false" customHeight="false" outlineLevel="0" collapsed="false">
      <c r="B2664" s="19" t="s">
        <v>28030</v>
      </c>
      <c r="C2664" s="20" t="n">
        <f aca="false">ROUND(2.31/FX,2)</f>
        <v>0.32</v>
      </c>
      <c r="D2664" s="21" t="s">
        <v>8669</v>
      </c>
      <c r="E2664" s="21" t="s">
        <v>13732</v>
      </c>
      <c r="F2664" s="21" t="s">
        <v>3328</v>
      </c>
      <c r="G2664" s="21" t="s">
        <v>22841</v>
      </c>
      <c r="H2664" s="21" t="s">
        <v>28027</v>
      </c>
    </row>
    <row r="2665" customFormat="false" ht="15" hidden="false" customHeight="false" outlineLevel="0" collapsed="false">
      <c r="B2665" s="19" t="s">
        <v>28031</v>
      </c>
      <c r="C2665" s="20" t="n">
        <f aca="false">ROUND(2.47/FX,2)</f>
        <v>0.34</v>
      </c>
      <c r="D2665" s="21" t="s">
        <v>8669</v>
      </c>
      <c r="E2665" s="21" t="s">
        <v>13732</v>
      </c>
      <c r="F2665" s="21" t="s">
        <v>6246</v>
      </c>
      <c r="G2665" s="21" t="s">
        <v>22841</v>
      </c>
      <c r="H2665" s="21" t="s">
        <v>28027</v>
      </c>
    </row>
    <row r="2666" customFormat="false" ht="15" hidden="false" customHeight="false" outlineLevel="0" collapsed="false">
      <c r="B2666" s="19" t="s">
        <v>28032</v>
      </c>
      <c r="C2666" s="20" t="n">
        <f aca="false">ROUND(2.6/FX,2)</f>
        <v>0.36</v>
      </c>
      <c r="D2666" s="21" t="s">
        <v>8669</v>
      </c>
      <c r="E2666" s="21" t="s">
        <v>13732</v>
      </c>
      <c r="F2666" s="21" t="s">
        <v>7358</v>
      </c>
      <c r="G2666" s="21" t="s">
        <v>22841</v>
      </c>
      <c r="H2666" s="21" t="s">
        <v>28027</v>
      </c>
    </row>
    <row r="2667" customFormat="false" ht="15" hidden="false" customHeight="false" outlineLevel="0" collapsed="false">
      <c r="B2667" s="19" t="s">
        <v>28033</v>
      </c>
      <c r="C2667" s="20" t="n">
        <f aca="false">ROUND(2.73/FX,2)</f>
        <v>0.38</v>
      </c>
      <c r="D2667" s="21" t="s">
        <v>8669</v>
      </c>
      <c r="E2667" s="21" t="s">
        <v>13732</v>
      </c>
      <c r="F2667" s="21" t="s">
        <v>2911</v>
      </c>
      <c r="G2667" s="21" t="s">
        <v>22841</v>
      </c>
      <c r="H2667" s="21" t="s">
        <v>28027</v>
      </c>
    </row>
    <row r="2668" customFormat="false" ht="15" hidden="false" customHeight="false" outlineLevel="0" collapsed="false">
      <c r="B2668" s="19" t="s">
        <v>28034</v>
      </c>
      <c r="C2668" s="20" t="n">
        <f aca="false">ROUND(2.99/FX,2)</f>
        <v>0.42</v>
      </c>
      <c r="D2668" s="21" t="s">
        <v>8669</v>
      </c>
      <c r="E2668" s="21" t="s">
        <v>13732</v>
      </c>
      <c r="F2668" s="21" t="s">
        <v>2961</v>
      </c>
      <c r="G2668" s="21" t="s">
        <v>22841</v>
      </c>
      <c r="H2668" s="21" t="s">
        <v>28027</v>
      </c>
    </row>
    <row r="2669" customFormat="false" ht="15" hidden="false" customHeight="false" outlineLevel="0" collapsed="false">
      <c r="B2669" s="19" t="s">
        <v>28035</v>
      </c>
      <c r="C2669" s="20" t="n">
        <f aca="false">ROUND(3.38/FX,2)</f>
        <v>0.47</v>
      </c>
      <c r="D2669" s="21" t="s">
        <v>8669</v>
      </c>
      <c r="E2669" s="21" t="s">
        <v>13732</v>
      </c>
      <c r="F2669" s="21" t="s">
        <v>3011</v>
      </c>
      <c r="G2669" s="21" t="s">
        <v>22841</v>
      </c>
      <c r="H2669" s="21" t="s">
        <v>28027</v>
      </c>
    </row>
    <row r="2670" customFormat="false" ht="15" hidden="false" customHeight="false" outlineLevel="0" collapsed="false">
      <c r="B2670" s="19" t="s">
        <v>28036</v>
      </c>
      <c r="C2670" s="20" t="n">
        <f aca="false">ROUND(3.64/FX,2)</f>
        <v>0.51</v>
      </c>
      <c r="D2670" s="21" t="s">
        <v>8669</v>
      </c>
      <c r="E2670" s="21" t="s">
        <v>13732</v>
      </c>
      <c r="F2670" s="21" t="s">
        <v>3061</v>
      </c>
      <c r="G2670" s="21" t="s">
        <v>22841</v>
      </c>
      <c r="H2670" s="21" t="s">
        <v>28027</v>
      </c>
    </row>
    <row r="2671" customFormat="false" ht="15" hidden="false" customHeight="false" outlineLevel="0" collapsed="false">
      <c r="B2671" s="19" t="s">
        <v>28037</v>
      </c>
      <c r="C2671" s="20" t="n">
        <f aca="false">ROUND(2.6/FX,2)</f>
        <v>0.36</v>
      </c>
      <c r="D2671" s="21" t="s">
        <v>8669</v>
      </c>
      <c r="E2671" s="21" t="s">
        <v>13732</v>
      </c>
      <c r="F2671" s="21" t="s">
        <v>3317</v>
      </c>
      <c r="G2671" s="21" t="s">
        <v>22844</v>
      </c>
      <c r="H2671" s="21" t="s">
        <v>28027</v>
      </c>
    </row>
    <row r="2672" customFormat="false" ht="15" hidden="false" customHeight="false" outlineLevel="0" collapsed="false">
      <c r="B2672" s="19" t="s">
        <v>28038</v>
      </c>
      <c r="C2672" s="20" t="n">
        <f aca="false">ROUND(2.6/FX,2)</f>
        <v>0.36</v>
      </c>
      <c r="D2672" s="21" t="s">
        <v>8669</v>
      </c>
      <c r="E2672" s="21" t="s">
        <v>13732</v>
      </c>
      <c r="F2672" s="21" t="s">
        <v>784</v>
      </c>
      <c r="G2672" s="21" t="s">
        <v>22844</v>
      </c>
      <c r="H2672" s="21" t="s">
        <v>28027</v>
      </c>
    </row>
    <row r="2673" customFormat="false" ht="15" hidden="false" customHeight="false" outlineLevel="0" collapsed="false">
      <c r="B2673" s="19" t="s">
        <v>28039</v>
      </c>
      <c r="C2673" s="20" t="n">
        <f aca="false">ROUND(2.73/FX,2)</f>
        <v>0.38</v>
      </c>
      <c r="D2673" s="21" t="s">
        <v>8669</v>
      </c>
      <c r="E2673" s="21" t="s">
        <v>13732</v>
      </c>
      <c r="F2673" s="21" t="s">
        <v>3328</v>
      </c>
      <c r="G2673" s="21" t="s">
        <v>22844</v>
      </c>
      <c r="H2673" s="21" t="s">
        <v>28027</v>
      </c>
    </row>
    <row r="2674" customFormat="false" ht="15" hidden="false" customHeight="false" outlineLevel="0" collapsed="false">
      <c r="B2674" s="19" t="s">
        <v>28040</v>
      </c>
      <c r="C2674" s="20" t="n">
        <f aca="false">ROUND(2.8/FX,2)</f>
        <v>0.39</v>
      </c>
      <c r="D2674" s="21" t="s">
        <v>8669</v>
      </c>
      <c r="E2674" s="21" t="s">
        <v>13732</v>
      </c>
      <c r="F2674" s="21" t="s">
        <v>6246</v>
      </c>
      <c r="G2674" s="21" t="s">
        <v>22844</v>
      </c>
      <c r="H2674" s="21" t="s">
        <v>28027</v>
      </c>
    </row>
    <row r="2675" customFormat="false" ht="15" hidden="false" customHeight="false" outlineLevel="0" collapsed="false">
      <c r="B2675" s="19" t="s">
        <v>28041</v>
      </c>
      <c r="C2675" s="20" t="n">
        <f aca="false">ROUND(2.99/FX,2)</f>
        <v>0.42</v>
      </c>
      <c r="D2675" s="21" t="s">
        <v>8669</v>
      </c>
      <c r="E2675" s="21" t="s">
        <v>13732</v>
      </c>
      <c r="F2675" s="21" t="s">
        <v>7358</v>
      </c>
      <c r="G2675" s="21" t="s">
        <v>22844</v>
      </c>
      <c r="H2675" s="21" t="s">
        <v>28027</v>
      </c>
    </row>
    <row r="2676" customFormat="false" ht="15" hidden="false" customHeight="false" outlineLevel="0" collapsed="false">
      <c r="B2676" s="19" t="s">
        <v>28042</v>
      </c>
      <c r="C2676" s="20" t="n">
        <f aca="false">ROUND(3.25/FX,2)</f>
        <v>0.45</v>
      </c>
      <c r="D2676" s="21" t="s">
        <v>8669</v>
      </c>
      <c r="E2676" s="21" t="s">
        <v>13732</v>
      </c>
      <c r="F2676" s="21" t="s">
        <v>2911</v>
      </c>
      <c r="G2676" s="21" t="s">
        <v>22844</v>
      </c>
      <c r="H2676" s="21" t="s">
        <v>28027</v>
      </c>
    </row>
    <row r="2677" customFormat="false" ht="15" hidden="false" customHeight="false" outlineLevel="0" collapsed="false">
      <c r="B2677" s="19" t="s">
        <v>28043</v>
      </c>
      <c r="C2677" s="20" t="n">
        <f aca="false">ROUND(3.51/FX,2)</f>
        <v>0.49</v>
      </c>
      <c r="D2677" s="21" t="s">
        <v>8669</v>
      </c>
      <c r="E2677" s="21" t="s">
        <v>13732</v>
      </c>
      <c r="F2677" s="21" t="s">
        <v>2961</v>
      </c>
      <c r="G2677" s="21" t="s">
        <v>22844</v>
      </c>
      <c r="H2677" s="21" t="s">
        <v>28027</v>
      </c>
    </row>
    <row r="2678" customFormat="false" ht="15" hidden="false" customHeight="false" outlineLevel="0" collapsed="false">
      <c r="B2678" s="19" t="s">
        <v>28044</v>
      </c>
      <c r="C2678" s="20" t="n">
        <f aca="false">ROUND(4.29/FX,2)</f>
        <v>0.6</v>
      </c>
      <c r="D2678" s="21" t="s">
        <v>8669</v>
      </c>
      <c r="E2678" s="21" t="s">
        <v>13732</v>
      </c>
      <c r="F2678" s="21" t="s">
        <v>3011</v>
      </c>
      <c r="G2678" s="21" t="s">
        <v>22844</v>
      </c>
      <c r="H2678" s="21" t="s">
        <v>28027</v>
      </c>
    </row>
    <row r="2679" customFormat="false" ht="15" hidden="false" customHeight="false" outlineLevel="0" collapsed="false">
      <c r="B2679" s="19" t="s">
        <v>28045</v>
      </c>
      <c r="C2679" s="20" t="n">
        <f aca="false">ROUND(4.94/FX,2)</f>
        <v>0.69</v>
      </c>
      <c r="D2679" s="21" t="s">
        <v>8669</v>
      </c>
      <c r="E2679" s="21" t="s">
        <v>13732</v>
      </c>
      <c r="F2679" s="21" t="s">
        <v>3061</v>
      </c>
      <c r="G2679" s="21" t="s">
        <v>22844</v>
      </c>
      <c r="H2679" s="21" t="s">
        <v>28027</v>
      </c>
    </row>
    <row r="2680" customFormat="false" ht="15" hidden="false" customHeight="false" outlineLevel="0" collapsed="false">
      <c r="B2680" s="19" t="s">
        <v>28046</v>
      </c>
      <c r="C2680" s="20" t="n">
        <f aca="false">ROUND(1.82/FX,2)</f>
        <v>0.25</v>
      </c>
      <c r="D2680" s="21" t="s">
        <v>8669</v>
      </c>
      <c r="E2680" s="21" t="s">
        <v>13732</v>
      </c>
      <c r="F2680" s="21" t="s">
        <v>3833</v>
      </c>
      <c r="G2680" s="21" t="s">
        <v>11415</v>
      </c>
      <c r="H2680" s="21" t="s">
        <v>28027</v>
      </c>
    </row>
    <row r="2681" customFormat="false" ht="15" hidden="false" customHeight="false" outlineLevel="0" collapsed="false">
      <c r="B2681" s="19" t="s">
        <v>28047</v>
      </c>
      <c r="C2681" s="20" t="n">
        <f aca="false">ROUND(1.86/FX,2)</f>
        <v>0.26</v>
      </c>
      <c r="D2681" s="21" t="s">
        <v>8669</v>
      </c>
      <c r="E2681" s="21" t="s">
        <v>13732</v>
      </c>
      <c r="F2681" s="21" t="s">
        <v>3247</v>
      </c>
      <c r="G2681" s="21" t="s">
        <v>11415</v>
      </c>
      <c r="H2681" s="21" t="s">
        <v>28027</v>
      </c>
    </row>
    <row r="2682" customFormat="false" ht="15" hidden="false" customHeight="false" outlineLevel="0" collapsed="false">
      <c r="B2682" s="19" t="s">
        <v>28048</v>
      </c>
      <c r="C2682" s="20" t="n">
        <f aca="false">ROUND(1.91/FX,2)</f>
        <v>0.27</v>
      </c>
      <c r="D2682" s="21" t="s">
        <v>8669</v>
      </c>
      <c r="E2682" s="21" t="s">
        <v>13732</v>
      </c>
      <c r="F2682" s="21" t="s">
        <v>3317</v>
      </c>
      <c r="G2682" s="21" t="s">
        <v>11415</v>
      </c>
      <c r="H2682" s="21" t="s">
        <v>28027</v>
      </c>
    </row>
    <row r="2683" customFormat="false" ht="15" hidden="false" customHeight="false" outlineLevel="0" collapsed="false">
      <c r="B2683" s="19" t="s">
        <v>28049</v>
      </c>
      <c r="C2683" s="20" t="n">
        <f aca="false">ROUND(1.95/FX,2)</f>
        <v>0.27</v>
      </c>
      <c r="D2683" s="21" t="s">
        <v>8669</v>
      </c>
      <c r="E2683" s="21" t="s">
        <v>13732</v>
      </c>
      <c r="F2683" s="21" t="s">
        <v>784</v>
      </c>
      <c r="G2683" s="21" t="s">
        <v>11415</v>
      </c>
      <c r="H2683" s="21" t="s">
        <v>28027</v>
      </c>
    </row>
    <row r="2684" customFormat="false" ht="15" hidden="false" customHeight="false" outlineLevel="0" collapsed="false">
      <c r="B2684" s="19" t="s">
        <v>28050</v>
      </c>
      <c r="C2684" s="20" t="n">
        <f aca="false">ROUND(1.98/FX,2)</f>
        <v>0.28</v>
      </c>
      <c r="D2684" s="21" t="s">
        <v>8669</v>
      </c>
      <c r="E2684" s="21" t="s">
        <v>13732</v>
      </c>
      <c r="F2684" s="21" t="s">
        <v>3328</v>
      </c>
      <c r="G2684" s="21" t="s">
        <v>11415</v>
      </c>
      <c r="H2684" s="21" t="s">
        <v>28027</v>
      </c>
    </row>
    <row r="2685" customFormat="false" ht="15" hidden="false" customHeight="false" outlineLevel="0" collapsed="false">
      <c r="B2685" s="19" t="s">
        <v>28051</v>
      </c>
      <c r="C2685" s="20" t="n">
        <f aca="false">ROUND(2.02/FX,2)</f>
        <v>0.28</v>
      </c>
      <c r="D2685" s="21" t="s">
        <v>8669</v>
      </c>
      <c r="E2685" s="21" t="s">
        <v>13732</v>
      </c>
      <c r="F2685" s="21" t="s">
        <v>6246</v>
      </c>
      <c r="G2685" s="21" t="s">
        <v>11415</v>
      </c>
      <c r="H2685" s="21" t="s">
        <v>28027</v>
      </c>
    </row>
    <row r="2686" customFormat="false" ht="15" hidden="false" customHeight="false" outlineLevel="0" collapsed="false">
      <c r="B2686" s="19" t="s">
        <v>28052</v>
      </c>
      <c r="C2686" s="20" t="n">
        <f aca="false">ROUND(2.08/FX,2)</f>
        <v>0.29</v>
      </c>
      <c r="D2686" s="21" t="s">
        <v>8669</v>
      </c>
      <c r="E2686" s="21" t="s">
        <v>13732</v>
      </c>
      <c r="F2686" s="21" t="s">
        <v>7358</v>
      </c>
      <c r="G2686" s="21" t="s">
        <v>11415</v>
      </c>
      <c r="H2686" s="21" t="s">
        <v>28027</v>
      </c>
    </row>
    <row r="2687" customFormat="false" ht="15" hidden="false" customHeight="false" outlineLevel="0" collapsed="false">
      <c r="B2687" s="19" t="s">
        <v>28053</v>
      </c>
      <c r="C2687" s="20" t="n">
        <f aca="false">ROUND(2.15/FX,2)</f>
        <v>0.3</v>
      </c>
      <c r="D2687" s="21" t="s">
        <v>8669</v>
      </c>
      <c r="E2687" s="21" t="s">
        <v>13732</v>
      </c>
      <c r="F2687" s="21" t="s">
        <v>2911</v>
      </c>
      <c r="G2687" s="21" t="s">
        <v>11415</v>
      </c>
      <c r="H2687" s="21" t="s">
        <v>28027</v>
      </c>
    </row>
    <row r="2688" customFormat="false" ht="15" hidden="false" customHeight="false" outlineLevel="0" collapsed="false">
      <c r="B2688" s="19" t="s">
        <v>28054</v>
      </c>
      <c r="C2688" s="20" t="n">
        <f aca="false">ROUND(2.24/FX,2)</f>
        <v>0.31</v>
      </c>
      <c r="D2688" s="21" t="s">
        <v>8669</v>
      </c>
      <c r="E2688" s="21" t="s">
        <v>13732</v>
      </c>
      <c r="F2688" s="21" t="s">
        <v>2961</v>
      </c>
      <c r="G2688" s="21" t="s">
        <v>11415</v>
      </c>
      <c r="H2688" s="21" t="s">
        <v>28027</v>
      </c>
    </row>
    <row r="2689" customFormat="false" ht="15" hidden="false" customHeight="false" outlineLevel="0" collapsed="false">
      <c r="B2689" s="19" t="s">
        <v>28055</v>
      </c>
      <c r="C2689" s="20" t="n">
        <f aca="false">ROUND(2.47/FX,2)</f>
        <v>0.34</v>
      </c>
      <c r="D2689" s="21" t="s">
        <v>8669</v>
      </c>
      <c r="E2689" s="21" t="s">
        <v>13732</v>
      </c>
      <c r="F2689" s="21" t="s">
        <v>3011</v>
      </c>
      <c r="G2689" s="21" t="s">
        <v>11415</v>
      </c>
      <c r="H2689" s="21" t="s">
        <v>28027</v>
      </c>
    </row>
    <row r="2690" customFormat="false" ht="15" hidden="false" customHeight="false" outlineLevel="0" collapsed="false">
      <c r="B2690" s="19" t="s">
        <v>28056</v>
      </c>
      <c r="C2690" s="20" t="n">
        <f aca="false">ROUND(3.25/FX,2)</f>
        <v>0.45</v>
      </c>
      <c r="D2690" s="21" t="s">
        <v>8669</v>
      </c>
      <c r="E2690" s="21" t="s">
        <v>13732</v>
      </c>
      <c r="F2690" s="21" t="s">
        <v>3061</v>
      </c>
      <c r="G2690" s="21" t="s">
        <v>11415</v>
      </c>
      <c r="H2690" s="21" t="s">
        <v>28027</v>
      </c>
    </row>
    <row r="2691" customFormat="false" ht="15" hidden="false" customHeight="false" outlineLevel="0" collapsed="false">
      <c r="B2691" s="19" t="s">
        <v>28057</v>
      </c>
      <c r="C2691" s="20" t="n">
        <f aca="false">ROUND(1.04/FX,2)</f>
        <v>0.14</v>
      </c>
      <c r="D2691" s="21" t="s">
        <v>23661</v>
      </c>
      <c r="E2691" s="21" t="s">
        <v>13743</v>
      </c>
      <c r="F2691" s="21" t="s">
        <v>707</v>
      </c>
      <c r="G2691" s="21" t="s">
        <v>11409</v>
      </c>
      <c r="H2691" s="21" t="s">
        <v>27914</v>
      </c>
    </row>
    <row r="2692" customFormat="false" ht="15" hidden="false" customHeight="false" outlineLevel="0" collapsed="false">
      <c r="B2692" s="19" t="s">
        <v>28058</v>
      </c>
      <c r="C2692" s="20" t="n">
        <f aca="false">ROUND(1.17/FX,2)</f>
        <v>0.16</v>
      </c>
      <c r="D2692" s="21" t="s">
        <v>23661</v>
      </c>
      <c r="E2692" s="21" t="s">
        <v>13743</v>
      </c>
      <c r="F2692" s="21" t="s">
        <v>761</v>
      </c>
      <c r="G2692" s="21" t="s">
        <v>11409</v>
      </c>
      <c r="H2692" s="21" t="s">
        <v>27914</v>
      </c>
    </row>
    <row r="2693" customFormat="false" ht="15" hidden="false" customHeight="false" outlineLevel="0" collapsed="false">
      <c r="B2693" s="19" t="s">
        <v>28059</v>
      </c>
      <c r="C2693" s="20" t="n">
        <f aca="false">ROUND(1.04/FX,2)</f>
        <v>0.14</v>
      </c>
      <c r="D2693" s="21" t="s">
        <v>23661</v>
      </c>
      <c r="E2693" s="21" t="s">
        <v>13743</v>
      </c>
      <c r="F2693" s="21" t="s">
        <v>3833</v>
      </c>
      <c r="G2693" s="21" t="s">
        <v>11409</v>
      </c>
      <c r="H2693" s="21" t="s">
        <v>27914</v>
      </c>
    </row>
    <row r="2694" customFormat="false" ht="15" hidden="false" customHeight="false" outlineLevel="0" collapsed="false">
      <c r="B2694" s="19" t="s">
        <v>28060</v>
      </c>
      <c r="C2694" s="20" t="n">
        <f aca="false">ROUND(1.24/FX,2)</f>
        <v>0.17</v>
      </c>
      <c r="D2694" s="21" t="s">
        <v>23661</v>
      </c>
      <c r="E2694" s="21" t="s">
        <v>13743</v>
      </c>
      <c r="F2694" s="21" t="s">
        <v>3247</v>
      </c>
      <c r="G2694" s="21" t="s">
        <v>11409</v>
      </c>
      <c r="H2694" s="21" t="s">
        <v>27914</v>
      </c>
    </row>
    <row r="2695" customFormat="false" ht="15" hidden="false" customHeight="false" outlineLevel="0" collapsed="false">
      <c r="B2695" s="19" t="s">
        <v>28061</v>
      </c>
      <c r="C2695" s="20" t="n">
        <f aca="false">ROUND(1.24/FX,2)</f>
        <v>0.17</v>
      </c>
      <c r="D2695" s="21" t="s">
        <v>23661</v>
      </c>
      <c r="E2695" s="21" t="s">
        <v>13743</v>
      </c>
      <c r="F2695" s="21" t="s">
        <v>3317</v>
      </c>
      <c r="G2695" s="21" t="s">
        <v>11409</v>
      </c>
      <c r="H2695" s="21" t="s">
        <v>27914</v>
      </c>
    </row>
    <row r="2696" customFormat="false" ht="15" hidden="false" customHeight="false" outlineLevel="0" collapsed="false">
      <c r="B2696" s="19" t="s">
        <v>28062</v>
      </c>
      <c r="C2696" s="20" t="n">
        <f aca="false">ROUND(1.09/FX,2)</f>
        <v>0.15</v>
      </c>
      <c r="D2696" s="21" t="s">
        <v>23661</v>
      </c>
      <c r="E2696" s="21" t="s">
        <v>14013</v>
      </c>
      <c r="F2696" s="21" t="s">
        <v>784</v>
      </c>
      <c r="G2696" s="21" t="s">
        <v>11409</v>
      </c>
      <c r="H2696" s="21" t="s">
        <v>27914</v>
      </c>
    </row>
    <row r="2697" customFormat="false" ht="15" hidden="false" customHeight="false" outlineLevel="0" collapsed="false">
      <c r="B2697" s="19" t="s">
        <v>28063</v>
      </c>
      <c r="C2697" s="20" t="n">
        <f aca="false">ROUND(1.2/FX,2)</f>
        <v>0.17</v>
      </c>
      <c r="D2697" s="21" t="s">
        <v>23661</v>
      </c>
      <c r="E2697" s="21" t="s">
        <v>14013</v>
      </c>
      <c r="F2697" s="21" t="s">
        <v>3328</v>
      </c>
      <c r="G2697" s="21" t="s">
        <v>11409</v>
      </c>
      <c r="H2697" s="21" t="s">
        <v>27914</v>
      </c>
    </row>
    <row r="2698" customFormat="false" ht="15" hidden="false" customHeight="false" outlineLevel="0" collapsed="false">
      <c r="B2698" s="19" t="s">
        <v>28064</v>
      </c>
      <c r="C2698" s="20" t="n">
        <f aca="false">ROUND(1.05/FX,2)</f>
        <v>0.15</v>
      </c>
      <c r="D2698" s="21" t="s">
        <v>23661</v>
      </c>
      <c r="E2698" s="21" t="s">
        <v>13751</v>
      </c>
      <c r="F2698" s="21" t="s">
        <v>6246</v>
      </c>
      <c r="G2698" s="21" t="s">
        <v>11409</v>
      </c>
      <c r="H2698" s="21" t="s">
        <v>27914</v>
      </c>
    </row>
    <row r="2699" customFormat="false" ht="15" hidden="false" customHeight="false" outlineLevel="0" collapsed="false">
      <c r="B2699" s="19" t="s">
        <v>28065</v>
      </c>
      <c r="C2699" s="20" t="n">
        <f aca="false">ROUND(1.11/FX,2)</f>
        <v>0.15</v>
      </c>
      <c r="D2699" s="21" t="s">
        <v>23661</v>
      </c>
      <c r="E2699" s="21" t="s">
        <v>13743</v>
      </c>
      <c r="F2699" s="21" t="s">
        <v>847</v>
      </c>
      <c r="G2699" s="21" t="s">
        <v>11409</v>
      </c>
      <c r="H2699" s="21" t="s">
        <v>27914</v>
      </c>
    </row>
    <row r="2700" customFormat="false" ht="15" hidden="false" customHeight="false" outlineLevel="0" collapsed="false">
      <c r="B2700" s="19" t="s">
        <v>28066</v>
      </c>
      <c r="C2700" s="20" t="n">
        <f aca="false">ROUND(1.04/FX,2)</f>
        <v>0.14</v>
      </c>
      <c r="D2700" s="21" t="s">
        <v>23661</v>
      </c>
      <c r="E2700" s="21" t="s">
        <v>14013</v>
      </c>
      <c r="F2700" s="21" t="s">
        <v>707</v>
      </c>
      <c r="G2700" s="21" t="s">
        <v>11411</v>
      </c>
      <c r="H2700" s="21" t="s">
        <v>27914</v>
      </c>
    </row>
    <row r="2701" customFormat="false" ht="15" hidden="false" customHeight="false" outlineLevel="0" collapsed="false">
      <c r="B2701" s="19" t="s">
        <v>28067</v>
      </c>
      <c r="C2701" s="20" t="n">
        <f aca="false">ROUND(1.09/FX,2)</f>
        <v>0.15</v>
      </c>
      <c r="D2701" s="21" t="s">
        <v>23661</v>
      </c>
      <c r="E2701" s="21" t="s">
        <v>14013</v>
      </c>
      <c r="F2701" s="21" t="s">
        <v>761</v>
      </c>
      <c r="G2701" s="21" t="s">
        <v>11411</v>
      </c>
      <c r="H2701" s="21" t="s">
        <v>27914</v>
      </c>
    </row>
    <row r="2702" customFormat="false" ht="15" hidden="false" customHeight="false" outlineLevel="0" collapsed="false">
      <c r="B2702" s="19" t="s">
        <v>28068</v>
      </c>
      <c r="C2702" s="20" t="n">
        <f aca="false">ROUND(1.15/FX,2)</f>
        <v>0.16</v>
      </c>
      <c r="D2702" s="21" t="s">
        <v>23661</v>
      </c>
      <c r="E2702" s="21" t="s">
        <v>14013</v>
      </c>
      <c r="F2702" s="21" t="s">
        <v>3833</v>
      </c>
      <c r="G2702" s="21" t="s">
        <v>11411</v>
      </c>
      <c r="H2702" s="21" t="s">
        <v>27914</v>
      </c>
    </row>
    <row r="2703" customFormat="false" ht="15" hidden="false" customHeight="false" outlineLevel="0" collapsed="false">
      <c r="B2703" s="19" t="s">
        <v>28069</v>
      </c>
      <c r="C2703" s="20" t="n">
        <f aca="false">ROUND(1.15/FX,2)</f>
        <v>0.16</v>
      </c>
      <c r="D2703" s="21" t="s">
        <v>23661</v>
      </c>
      <c r="E2703" s="21" t="s">
        <v>14013</v>
      </c>
      <c r="F2703" s="21" t="s">
        <v>3247</v>
      </c>
      <c r="G2703" s="21" t="s">
        <v>11411</v>
      </c>
      <c r="H2703" s="21" t="s">
        <v>27914</v>
      </c>
    </row>
    <row r="2704" customFormat="false" ht="15" hidden="false" customHeight="false" outlineLevel="0" collapsed="false">
      <c r="B2704" s="19" t="s">
        <v>28070</v>
      </c>
      <c r="C2704" s="20" t="n">
        <f aca="false">ROUND(1.2/FX,2)</f>
        <v>0.17</v>
      </c>
      <c r="D2704" s="21" t="s">
        <v>23661</v>
      </c>
      <c r="E2704" s="21" t="s">
        <v>14013</v>
      </c>
      <c r="F2704" s="21" t="s">
        <v>3317</v>
      </c>
      <c r="G2704" s="21" t="s">
        <v>11411</v>
      </c>
      <c r="H2704" s="21" t="s">
        <v>27914</v>
      </c>
    </row>
    <row r="2705" customFormat="false" ht="15" hidden="false" customHeight="false" outlineLevel="0" collapsed="false">
      <c r="B2705" s="19" t="s">
        <v>28071</v>
      </c>
      <c r="C2705" s="20" t="n">
        <f aca="false">ROUND(1.3/FX,2)</f>
        <v>0.18</v>
      </c>
      <c r="D2705" s="21" t="s">
        <v>23661</v>
      </c>
      <c r="E2705" s="21" t="s">
        <v>14013</v>
      </c>
      <c r="F2705" s="21" t="s">
        <v>784</v>
      </c>
      <c r="G2705" s="21" t="s">
        <v>11411</v>
      </c>
      <c r="H2705" s="21" t="s">
        <v>27914</v>
      </c>
    </row>
    <row r="2706" customFormat="false" ht="15" hidden="false" customHeight="false" outlineLevel="0" collapsed="false">
      <c r="B2706" s="19" t="s">
        <v>28072</v>
      </c>
      <c r="C2706" s="20" t="n">
        <f aca="false">ROUND(1.02/FX,2)</f>
        <v>0.14</v>
      </c>
      <c r="D2706" s="21" t="s">
        <v>23661</v>
      </c>
      <c r="E2706" s="21" t="s">
        <v>14013</v>
      </c>
      <c r="F2706" s="21" t="s">
        <v>3328</v>
      </c>
      <c r="G2706" s="21" t="s">
        <v>11411</v>
      </c>
      <c r="H2706" s="21" t="s">
        <v>27914</v>
      </c>
    </row>
    <row r="2707" customFormat="false" ht="15" hidden="false" customHeight="false" outlineLevel="0" collapsed="false">
      <c r="B2707" s="19" t="s">
        <v>28073</v>
      </c>
      <c r="C2707" s="20" t="n">
        <f aca="false">ROUND(1.05/FX,2)</f>
        <v>0.15</v>
      </c>
      <c r="D2707" s="21" t="s">
        <v>23661</v>
      </c>
      <c r="E2707" s="21" t="s">
        <v>13751</v>
      </c>
      <c r="F2707" s="21" t="s">
        <v>6246</v>
      </c>
      <c r="G2707" s="21" t="s">
        <v>11411</v>
      </c>
      <c r="H2707" s="21" t="s">
        <v>27914</v>
      </c>
    </row>
    <row r="2708" customFormat="false" ht="15" hidden="false" customHeight="false" outlineLevel="0" collapsed="false">
      <c r="B2708" s="19" t="s">
        <v>28074</v>
      </c>
      <c r="C2708" s="20" t="n">
        <f aca="false">ROUND(1.17/FX,2)</f>
        <v>0.16</v>
      </c>
      <c r="D2708" s="21" t="s">
        <v>23661</v>
      </c>
      <c r="E2708" s="21" t="s">
        <v>13751</v>
      </c>
      <c r="F2708" s="21" t="s">
        <v>7358</v>
      </c>
      <c r="G2708" s="21" t="s">
        <v>11411</v>
      </c>
      <c r="H2708" s="21" t="s">
        <v>27914</v>
      </c>
    </row>
    <row r="2709" customFormat="false" ht="15" hidden="false" customHeight="false" outlineLevel="0" collapsed="false">
      <c r="B2709" s="19" t="s">
        <v>28075</v>
      </c>
      <c r="C2709" s="20" t="n">
        <f aca="false">ROUND(1.25/FX,2)</f>
        <v>0.17</v>
      </c>
      <c r="D2709" s="21" t="s">
        <v>23661</v>
      </c>
      <c r="E2709" s="21" t="s">
        <v>13751</v>
      </c>
      <c r="F2709" s="21" t="s">
        <v>2911</v>
      </c>
      <c r="G2709" s="21" t="s">
        <v>11411</v>
      </c>
      <c r="H2709" s="21" t="s">
        <v>27914</v>
      </c>
    </row>
    <row r="2710" customFormat="false" ht="15" hidden="false" customHeight="false" outlineLevel="0" collapsed="false">
      <c r="B2710" s="19" t="s">
        <v>28076</v>
      </c>
      <c r="C2710" s="20" t="n">
        <f aca="false">ROUND(1.04/FX,2)</f>
        <v>0.14</v>
      </c>
      <c r="D2710" s="21" t="s">
        <v>23661</v>
      </c>
      <c r="E2710" s="21" t="s">
        <v>14013</v>
      </c>
      <c r="F2710" s="21" t="s">
        <v>847</v>
      </c>
      <c r="G2710" s="21" t="s">
        <v>11411</v>
      </c>
      <c r="H2710" s="21" t="s">
        <v>27914</v>
      </c>
    </row>
    <row r="2711" customFormat="false" ht="15" hidden="false" customHeight="false" outlineLevel="0" collapsed="false">
      <c r="B2711" s="19" t="s">
        <v>28077</v>
      </c>
      <c r="C2711" s="20" t="n">
        <f aca="false">ROUND(1.09/FX,2)</f>
        <v>0.15</v>
      </c>
      <c r="D2711" s="21" t="s">
        <v>23661</v>
      </c>
      <c r="E2711" s="21" t="s">
        <v>14013</v>
      </c>
      <c r="F2711" s="21" t="s">
        <v>707</v>
      </c>
      <c r="G2711" s="21" t="s">
        <v>11413</v>
      </c>
      <c r="H2711" s="21" t="s">
        <v>27914</v>
      </c>
    </row>
    <row r="2712" customFormat="false" ht="15" hidden="false" customHeight="false" outlineLevel="0" collapsed="false">
      <c r="B2712" s="19" t="s">
        <v>28078</v>
      </c>
      <c r="C2712" s="20" t="n">
        <f aca="false">ROUND(1.09/FX,2)</f>
        <v>0.15</v>
      </c>
      <c r="D2712" s="21" t="s">
        <v>23661</v>
      </c>
      <c r="E2712" s="21" t="s">
        <v>14013</v>
      </c>
      <c r="F2712" s="21" t="s">
        <v>761</v>
      </c>
      <c r="G2712" s="21" t="s">
        <v>11413</v>
      </c>
      <c r="H2712" s="21" t="s">
        <v>27914</v>
      </c>
    </row>
    <row r="2713" customFormat="false" ht="15" hidden="false" customHeight="false" outlineLevel="0" collapsed="false">
      <c r="B2713" s="19" t="s">
        <v>28079</v>
      </c>
      <c r="C2713" s="20" t="n">
        <f aca="false">ROUND(1.15/FX,2)</f>
        <v>0.16</v>
      </c>
      <c r="D2713" s="21" t="s">
        <v>23661</v>
      </c>
      <c r="E2713" s="21" t="s">
        <v>14013</v>
      </c>
      <c r="F2713" s="21" t="s">
        <v>3833</v>
      </c>
      <c r="G2713" s="21" t="s">
        <v>11413</v>
      </c>
      <c r="H2713" s="21" t="s">
        <v>27914</v>
      </c>
    </row>
    <row r="2714" customFormat="false" ht="15" hidden="false" customHeight="false" outlineLevel="0" collapsed="false">
      <c r="B2714" s="19" t="s">
        <v>28080</v>
      </c>
      <c r="C2714" s="20" t="n">
        <f aca="false">ROUND(1.3/FX,2)</f>
        <v>0.18</v>
      </c>
      <c r="D2714" s="21" t="s">
        <v>23661</v>
      </c>
      <c r="E2714" s="21" t="s">
        <v>14013</v>
      </c>
      <c r="F2714" s="21" t="s">
        <v>4000</v>
      </c>
      <c r="G2714" s="21" t="s">
        <v>11413</v>
      </c>
      <c r="H2714" s="21" t="s">
        <v>27914</v>
      </c>
    </row>
    <row r="2715" customFormat="false" ht="15" hidden="false" customHeight="false" outlineLevel="0" collapsed="false">
      <c r="B2715" s="19" t="s">
        <v>28081</v>
      </c>
      <c r="C2715" s="20" t="n">
        <f aca="false">ROUND(1.2/FX,2)</f>
        <v>0.17</v>
      </c>
      <c r="D2715" s="21" t="s">
        <v>23661</v>
      </c>
      <c r="E2715" s="21" t="s">
        <v>14013</v>
      </c>
      <c r="F2715" s="21" t="s">
        <v>3247</v>
      </c>
      <c r="G2715" s="21" t="s">
        <v>11413</v>
      </c>
      <c r="H2715" s="21" t="s">
        <v>27914</v>
      </c>
    </row>
    <row r="2716" customFormat="false" ht="15" hidden="false" customHeight="false" outlineLevel="0" collapsed="false">
      <c r="B2716" s="19" t="s">
        <v>28082</v>
      </c>
      <c r="C2716" s="20" t="n">
        <f aca="false">ROUND(1.2/FX,2)</f>
        <v>0.17</v>
      </c>
      <c r="D2716" s="21" t="s">
        <v>23661</v>
      </c>
      <c r="E2716" s="21" t="s">
        <v>14013</v>
      </c>
      <c r="F2716" s="21" t="s">
        <v>3317</v>
      </c>
      <c r="G2716" s="21" t="s">
        <v>11413</v>
      </c>
      <c r="H2716" s="21" t="s">
        <v>27914</v>
      </c>
    </row>
    <row r="2717" customFormat="false" ht="15" hidden="false" customHeight="false" outlineLevel="0" collapsed="false">
      <c r="B2717" s="19" t="s">
        <v>28083</v>
      </c>
      <c r="C2717" s="20" t="n">
        <f aca="false">ROUND(1.25/FX,2)</f>
        <v>0.17</v>
      </c>
      <c r="D2717" s="21" t="s">
        <v>23661</v>
      </c>
      <c r="E2717" s="21" t="s">
        <v>14013</v>
      </c>
      <c r="F2717" s="21" t="s">
        <v>784</v>
      </c>
      <c r="G2717" s="21" t="s">
        <v>11413</v>
      </c>
      <c r="H2717" s="21" t="s">
        <v>27914</v>
      </c>
    </row>
    <row r="2718" customFormat="false" ht="15" hidden="false" customHeight="false" outlineLevel="0" collapsed="false">
      <c r="B2718" s="19" t="s">
        <v>28084</v>
      </c>
      <c r="C2718" s="20" t="n">
        <f aca="false">ROUND(1.01/FX,2)</f>
        <v>0.14</v>
      </c>
      <c r="D2718" s="21" t="s">
        <v>23661</v>
      </c>
      <c r="E2718" s="21" t="s">
        <v>13751</v>
      </c>
      <c r="F2718" s="21" t="s">
        <v>3328</v>
      </c>
      <c r="G2718" s="21" t="s">
        <v>11413</v>
      </c>
      <c r="H2718" s="21" t="s">
        <v>27914</v>
      </c>
    </row>
    <row r="2719" customFormat="false" ht="15" hidden="false" customHeight="false" outlineLevel="0" collapsed="false">
      <c r="B2719" s="19" t="s">
        <v>28085</v>
      </c>
      <c r="C2719" s="20" t="n">
        <f aca="false">ROUND(1.09/FX,2)</f>
        <v>0.15</v>
      </c>
      <c r="D2719" s="21" t="s">
        <v>23661</v>
      </c>
      <c r="E2719" s="21" t="s">
        <v>13751</v>
      </c>
      <c r="F2719" s="21" t="s">
        <v>6246</v>
      </c>
      <c r="G2719" s="21" t="s">
        <v>11413</v>
      </c>
      <c r="H2719" s="21" t="s">
        <v>27914</v>
      </c>
    </row>
    <row r="2720" customFormat="false" ht="15" hidden="false" customHeight="false" outlineLevel="0" collapsed="false">
      <c r="B2720" s="19" t="s">
        <v>28086</v>
      </c>
      <c r="C2720" s="20" t="n">
        <f aca="false">ROUND(1.21/FX,2)</f>
        <v>0.17</v>
      </c>
      <c r="D2720" s="21" t="s">
        <v>23661</v>
      </c>
      <c r="E2720" s="21" t="s">
        <v>13751</v>
      </c>
      <c r="F2720" s="21" t="s">
        <v>7358</v>
      </c>
      <c r="G2720" s="21" t="s">
        <v>11413</v>
      </c>
      <c r="H2720" s="21" t="s">
        <v>27914</v>
      </c>
    </row>
    <row r="2721" customFormat="false" ht="15" hidden="false" customHeight="false" outlineLevel="0" collapsed="false">
      <c r="B2721" s="19" t="s">
        <v>28087</v>
      </c>
      <c r="C2721" s="20" t="n">
        <f aca="false">ROUND(1.33/FX,2)</f>
        <v>0.18</v>
      </c>
      <c r="D2721" s="21" t="s">
        <v>23661</v>
      </c>
      <c r="E2721" s="21" t="s">
        <v>13751</v>
      </c>
      <c r="F2721" s="21" t="s">
        <v>2911</v>
      </c>
      <c r="G2721" s="21" t="s">
        <v>11413</v>
      </c>
      <c r="H2721" s="21" t="s">
        <v>27914</v>
      </c>
    </row>
    <row r="2722" customFormat="false" ht="15" hidden="false" customHeight="false" outlineLevel="0" collapsed="false">
      <c r="B2722" s="19" t="s">
        <v>28088</v>
      </c>
      <c r="C2722" s="20" t="n">
        <f aca="false">ROUND(1.48/FX,2)</f>
        <v>0.21</v>
      </c>
      <c r="D2722" s="21" t="s">
        <v>23661</v>
      </c>
      <c r="E2722" s="21" t="s">
        <v>13751</v>
      </c>
      <c r="F2722" s="21" t="s">
        <v>7275</v>
      </c>
      <c r="G2722" s="21" t="s">
        <v>11413</v>
      </c>
      <c r="H2722" s="21" t="s">
        <v>27914</v>
      </c>
    </row>
    <row r="2723" customFormat="false" ht="15" hidden="false" customHeight="false" outlineLevel="0" collapsed="false">
      <c r="B2723" s="19" t="s">
        <v>28089</v>
      </c>
      <c r="C2723" s="20" t="n">
        <f aca="false">ROUND(1.07/FX,2)</f>
        <v>0.15</v>
      </c>
      <c r="D2723" s="21" t="s">
        <v>23661</v>
      </c>
      <c r="E2723" s="21" t="s">
        <v>13739</v>
      </c>
      <c r="F2723" s="21" t="s">
        <v>2961</v>
      </c>
      <c r="G2723" s="21" t="s">
        <v>11413</v>
      </c>
      <c r="H2723" s="21" t="s">
        <v>27914</v>
      </c>
    </row>
    <row r="2724" customFormat="false" ht="15" hidden="false" customHeight="false" outlineLevel="0" collapsed="false">
      <c r="B2724" s="19" t="s">
        <v>28090</v>
      </c>
      <c r="C2724" s="20" t="n">
        <f aca="false">ROUND(1.09/FX,2)</f>
        <v>0.15</v>
      </c>
      <c r="D2724" s="21" t="s">
        <v>23661</v>
      </c>
      <c r="E2724" s="21" t="s">
        <v>14013</v>
      </c>
      <c r="F2724" s="21" t="s">
        <v>847</v>
      </c>
      <c r="G2724" s="21" t="s">
        <v>11413</v>
      </c>
      <c r="H2724" s="21" t="s">
        <v>27914</v>
      </c>
    </row>
    <row r="2725" customFormat="false" ht="15" hidden="false" customHeight="false" outlineLevel="0" collapsed="false">
      <c r="B2725" s="19" t="s">
        <v>28091</v>
      </c>
      <c r="C2725" s="20" t="n">
        <f aca="false">ROUND(1.05/FX,2)</f>
        <v>0.15</v>
      </c>
      <c r="D2725" s="21" t="s">
        <v>23661</v>
      </c>
      <c r="E2725" s="21" t="s">
        <v>13751</v>
      </c>
      <c r="F2725" s="21" t="s">
        <v>707</v>
      </c>
      <c r="G2725" s="21" t="s">
        <v>11411</v>
      </c>
      <c r="H2725" s="21" t="s">
        <v>27949</v>
      </c>
    </row>
    <row r="2726" customFormat="false" ht="15" hidden="false" customHeight="false" outlineLevel="0" collapsed="false">
      <c r="B2726" s="19" t="s">
        <v>28092</v>
      </c>
      <c r="C2726" s="20" t="n">
        <f aca="false">ROUND(1.05/FX,2)</f>
        <v>0.15</v>
      </c>
      <c r="D2726" s="21" t="s">
        <v>23661</v>
      </c>
      <c r="E2726" s="21" t="s">
        <v>13751</v>
      </c>
      <c r="F2726" s="21" t="s">
        <v>761</v>
      </c>
      <c r="G2726" s="21" t="s">
        <v>11411</v>
      </c>
      <c r="H2726" s="21" t="s">
        <v>27949</v>
      </c>
    </row>
    <row r="2727" customFormat="false" ht="15" hidden="false" customHeight="false" outlineLevel="0" collapsed="false">
      <c r="B2727" s="19" t="s">
        <v>28093</v>
      </c>
      <c r="C2727" s="20" t="n">
        <f aca="false">ROUND(1.05/FX,2)</f>
        <v>0.15</v>
      </c>
      <c r="D2727" s="21" t="s">
        <v>23661</v>
      </c>
      <c r="E2727" s="21" t="s">
        <v>13751</v>
      </c>
      <c r="F2727" s="21" t="s">
        <v>3833</v>
      </c>
      <c r="G2727" s="21" t="s">
        <v>11411</v>
      </c>
      <c r="H2727" s="21" t="s">
        <v>27949</v>
      </c>
    </row>
    <row r="2728" customFormat="false" ht="15" hidden="false" customHeight="false" outlineLevel="0" collapsed="false">
      <c r="B2728" s="19" t="s">
        <v>28094</v>
      </c>
      <c r="C2728" s="20" t="n">
        <f aca="false">ROUND(1.21/FX,2)</f>
        <v>0.17</v>
      </c>
      <c r="D2728" s="21" t="s">
        <v>23661</v>
      </c>
      <c r="E2728" s="21" t="s">
        <v>13751</v>
      </c>
      <c r="F2728" s="21" t="s">
        <v>3247</v>
      </c>
      <c r="G2728" s="21" t="s">
        <v>11411</v>
      </c>
      <c r="H2728" s="21" t="s">
        <v>27949</v>
      </c>
    </row>
    <row r="2729" customFormat="false" ht="15" hidden="false" customHeight="false" outlineLevel="0" collapsed="false">
      <c r="B2729" s="19" t="s">
        <v>28095</v>
      </c>
      <c r="C2729" s="20" t="n">
        <f aca="false">ROUND(1.25/FX,2)</f>
        <v>0.17</v>
      </c>
      <c r="D2729" s="21" t="s">
        <v>23661</v>
      </c>
      <c r="E2729" s="21" t="s">
        <v>13751</v>
      </c>
      <c r="F2729" s="21" t="s">
        <v>3317</v>
      </c>
      <c r="G2729" s="21" t="s">
        <v>11411</v>
      </c>
      <c r="H2729" s="21" t="s">
        <v>27949</v>
      </c>
    </row>
    <row r="2730" customFormat="false" ht="15" hidden="false" customHeight="false" outlineLevel="0" collapsed="false">
      <c r="B2730" s="19" t="s">
        <v>28096</v>
      </c>
      <c r="C2730" s="20" t="n">
        <f aca="false">ROUND(1.29/FX,2)</f>
        <v>0.18</v>
      </c>
      <c r="D2730" s="21" t="s">
        <v>23661</v>
      </c>
      <c r="E2730" s="21" t="s">
        <v>13751</v>
      </c>
      <c r="F2730" s="21" t="s">
        <v>784</v>
      </c>
      <c r="G2730" s="21" t="s">
        <v>11411</v>
      </c>
      <c r="H2730" s="21" t="s">
        <v>27949</v>
      </c>
    </row>
    <row r="2731" customFormat="false" ht="15" hidden="false" customHeight="false" outlineLevel="0" collapsed="false">
      <c r="B2731" s="19" t="s">
        <v>28097</v>
      </c>
      <c r="C2731" s="20" t="n">
        <f aca="false">ROUND(1.37/FX,2)</f>
        <v>0.19</v>
      </c>
      <c r="D2731" s="21" t="s">
        <v>23661</v>
      </c>
      <c r="E2731" s="21" t="s">
        <v>13751</v>
      </c>
      <c r="F2731" s="21" t="s">
        <v>3328</v>
      </c>
      <c r="G2731" s="21" t="s">
        <v>11411</v>
      </c>
      <c r="H2731" s="21" t="s">
        <v>27949</v>
      </c>
    </row>
    <row r="2732" customFormat="false" ht="15" hidden="false" customHeight="false" outlineLevel="0" collapsed="false">
      <c r="B2732" s="19" t="s">
        <v>28098</v>
      </c>
      <c r="C2732" s="20" t="n">
        <f aca="false">ROUND(1.45/FX,2)</f>
        <v>0.2</v>
      </c>
      <c r="D2732" s="21" t="s">
        <v>23661</v>
      </c>
      <c r="E2732" s="21" t="s">
        <v>13751</v>
      </c>
      <c r="F2732" s="21" t="s">
        <v>6246</v>
      </c>
      <c r="G2732" s="21" t="s">
        <v>11411</v>
      </c>
      <c r="H2732" s="21" t="s">
        <v>27949</v>
      </c>
    </row>
    <row r="2733" customFormat="false" ht="15" hidden="false" customHeight="false" outlineLevel="0" collapsed="false">
      <c r="B2733" s="19" t="s">
        <v>28099</v>
      </c>
      <c r="C2733" s="20" t="n">
        <f aca="false">ROUND(1.02/FX,2)</f>
        <v>0.14</v>
      </c>
      <c r="D2733" s="21" t="s">
        <v>23661</v>
      </c>
      <c r="E2733" s="21" t="s">
        <v>13739</v>
      </c>
      <c r="F2733" s="21" t="s">
        <v>7358</v>
      </c>
      <c r="G2733" s="21" t="s">
        <v>11411</v>
      </c>
      <c r="H2733" s="21" t="s">
        <v>27949</v>
      </c>
    </row>
    <row r="2734" customFormat="false" ht="15" hidden="false" customHeight="false" outlineLevel="0" collapsed="false">
      <c r="B2734" s="19" t="s">
        <v>28100</v>
      </c>
      <c r="C2734" s="20" t="n">
        <f aca="false">ROUND(1.09/FX,2)</f>
        <v>0.15</v>
      </c>
      <c r="D2734" s="21" t="s">
        <v>23661</v>
      </c>
      <c r="E2734" s="21" t="s">
        <v>13739</v>
      </c>
      <c r="F2734" s="21" t="s">
        <v>2911</v>
      </c>
      <c r="G2734" s="21" t="s">
        <v>11411</v>
      </c>
      <c r="H2734" s="21" t="s">
        <v>27949</v>
      </c>
    </row>
    <row r="2735" customFormat="false" ht="15" hidden="false" customHeight="false" outlineLevel="0" collapsed="false">
      <c r="B2735" s="19" t="s">
        <v>28101</v>
      </c>
      <c r="C2735" s="20" t="n">
        <f aca="false">ROUND(1.05/FX,2)</f>
        <v>0.15</v>
      </c>
      <c r="D2735" s="21" t="s">
        <v>23661</v>
      </c>
      <c r="E2735" s="21" t="s">
        <v>13751</v>
      </c>
      <c r="F2735" s="21" t="s">
        <v>847</v>
      </c>
      <c r="G2735" s="21" t="s">
        <v>11411</v>
      </c>
      <c r="H2735" s="21" t="s">
        <v>27949</v>
      </c>
    </row>
    <row r="2736" customFormat="false" ht="15" hidden="false" customHeight="false" outlineLevel="0" collapsed="false">
      <c r="B2736" s="19" t="s">
        <v>28102</v>
      </c>
      <c r="C2736" s="20" t="n">
        <f aca="false">ROUND(1.09/FX,2)</f>
        <v>0.15</v>
      </c>
      <c r="D2736" s="21" t="s">
        <v>23661</v>
      </c>
      <c r="E2736" s="21" t="s">
        <v>13751</v>
      </c>
      <c r="F2736" s="21" t="s">
        <v>707</v>
      </c>
      <c r="G2736" s="21" t="s">
        <v>11413</v>
      </c>
      <c r="H2736" s="21" t="s">
        <v>27949</v>
      </c>
    </row>
    <row r="2737" customFormat="false" ht="15" hidden="false" customHeight="false" outlineLevel="0" collapsed="false">
      <c r="B2737" s="19" t="s">
        <v>28103</v>
      </c>
      <c r="C2737" s="20" t="n">
        <f aca="false">ROUND(1.09/FX,2)</f>
        <v>0.15</v>
      </c>
      <c r="D2737" s="21" t="s">
        <v>23661</v>
      </c>
      <c r="E2737" s="21" t="s">
        <v>13751</v>
      </c>
      <c r="F2737" s="21" t="s">
        <v>761</v>
      </c>
      <c r="G2737" s="21" t="s">
        <v>11413</v>
      </c>
      <c r="H2737" s="21" t="s">
        <v>27949</v>
      </c>
    </row>
    <row r="2738" customFormat="false" ht="15" hidden="false" customHeight="false" outlineLevel="0" collapsed="false">
      <c r="B2738" s="19" t="s">
        <v>28104</v>
      </c>
      <c r="C2738" s="20" t="n">
        <f aca="false">ROUND(1.09/FX,2)</f>
        <v>0.15</v>
      </c>
      <c r="D2738" s="21" t="s">
        <v>23661</v>
      </c>
      <c r="E2738" s="21" t="s">
        <v>13751</v>
      </c>
      <c r="F2738" s="21" t="s">
        <v>3833</v>
      </c>
      <c r="G2738" s="21" t="s">
        <v>11413</v>
      </c>
      <c r="H2738" s="21" t="s">
        <v>27949</v>
      </c>
    </row>
    <row r="2739" customFormat="false" ht="15" hidden="false" customHeight="false" outlineLevel="0" collapsed="false">
      <c r="B2739" s="19" t="s">
        <v>28105</v>
      </c>
      <c r="C2739" s="20" t="n">
        <f aca="false">ROUND(1.09/FX,2)</f>
        <v>0.15</v>
      </c>
      <c r="D2739" s="21" t="s">
        <v>23661</v>
      </c>
      <c r="E2739" s="21" t="s">
        <v>13751</v>
      </c>
      <c r="F2739" s="21" t="s">
        <v>3247</v>
      </c>
      <c r="G2739" s="21" t="s">
        <v>11413</v>
      </c>
      <c r="H2739" s="21" t="s">
        <v>27949</v>
      </c>
    </row>
    <row r="2740" customFormat="false" ht="15" hidden="false" customHeight="false" outlineLevel="0" collapsed="false">
      <c r="B2740" s="19" t="s">
        <v>28106</v>
      </c>
      <c r="C2740" s="20" t="n">
        <f aca="false">ROUND(1.13/FX,2)</f>
        <v>0.16</v>
      </c>
      <c r="D2740" s="21" t="s">
        <v>23661</v>
      </c>
      <c r="E2740" s="21" t="s">
        <v>13751</v>
      </c>
      <c r="F2740" s="21" t="s">
        <v>3317</v>
      </c>
      <c r="G2740" s="21" t="s">
        <v>11413</v>
      </c>
      <c r="H2740" s="21" t="s">
        <v>27949</v>
      </c>
    </row>
    <row r="2741" customFormat="false" ht="15" hidden="false" customHeight="false" outlineLevel="0" collapsed="false">
      <c r="B2741" s="19" t="s">
        <v>28107</v>
      </c>
      <c r="C2741" s="20" t="n">
        <f aca="false">ROUND(1.17/FX,2)</f>
        <v>0.16</v>
      </c>
      <c r="D2741" s="21" t="s">
        <v>23661</v>
      </c>
      <c r="E2741" s="21" t="s">
        <v>13751</v>
      </c>
      <c r="F2741" s="21" t="s">
        <v>784</v>
      </c>
      <c r="G2741" s="21" t="s">
        <v>11413</v>
      </c>
      <c r="H2741" s="21" t="s">
        <v>27949</v>
      </c>
    </row>
    <row r="2742" customFormat="false" ht="15" hidden="false" customHeight="false" outlineLevel="0" collapsed="false">
      <c r="B2742" s="19" t="s">
        <v>28108</v>
      </c>
      <c r="C2742" s="20" t="n">
        <f aca="false">ROUND(1.25/FX,2)</f>
        <v>0.17</v>
      </c>
      <c r="D2742" s="21" t="s">
        <v>23661</v>
      </c>
      <c r="E2742" s="21" t="s">
        <v>13751</v>
      </c>
      <c r="F2742" s="21" t="s">
        <v>3328</v>
      </c>
      <c r="G2742" s="21" t="s">
        <v>11413</v>
      </c>
      <c r="H2742" s="21" t="s">
        <v>27949</v>
      </c>
    </row>
    <row r="2743" customFormat="false" ht="15" hidden="false" customHeight="false" outlineLevel="0" collapsed="false">
      <c r="B2743" s="19" t="s">
        <v>28109</v>
      </c>
      <c r="C2743" s="20" t="n">
        <f aca="false">ROUND(1.33/FX,2)</f>
        <v>0.18</v>
      </c>
      <c r="D2743" s="21" t="s">
        <v>23661</v>
      </c>
      <c r="E2743" s="21" t="s">
        <v>13751</v>
      </c>
      <c r="F2743" s="21" t="s">
        <v>6246</v>
      </c>
      <c r="G2743" s="21" t="s">
        <v>11413</v>
      </c>
      <c r="H2743" s="21" t="s">
        <v>27949</v>
      </c>
    </row>
    <row r="2744" customFormat="false" ht="15" hidden="false" customHeight="false" outlineLevel="0" collapsed="false">
      <c r="B2744" s="19" t="s">
        <v>28110</v>
      </c>
      <c r="C2744" s="20" t="n">
        <f aca="false">ROUND(1.09/FX,2)</f>
        <v>0.15</v>
      </c>
      <c r="D2744" s="21" t="s">
        <v>23661</v>
      </c>
      <c r="E2744" s="21" t="s">
        <v>13751</v>
      </c>
      <c r="F2744" s="21" t="s">
        <v>847</v>
      </c>
      <c r="G2744" s="21" t="s">
        <v>11413</v>
      </c>
      <c r="H2744" s="21" t="s">
        <v>27949</v>
      </c>
    </row>
    <row r="2747" customFormat="false" ht="61.5" hidden="false" customHeight="true" outlineLevel="0" collapsed="false">
      <c r="A2747" s="9"/>
      <c r="B2747" s="10" t="s">
        <v>28111</v>
      </c>
      <c r="C2747" s="10"/>
      <c r="D2747" s="10"/>
    </row>
    <row r="2748" customFormat="false" ht="15" hidden="false" customHeight="false" outlineLevel="0" collapsed="false">
      <c r="B2748" s="18" t="s">
        <v>701</v>
      </c>
      <c r="C2748" s="18" t="s">
        <v>702</v>
      </c>
      <c r="D2748" s="18" t="s">
        <v>5610</v>
      </c>
    </row>
    <row r="2749" customFormat="false" ht="15" hidden="false" customHeight="false" outlineLevel="0" collapsed="false">
      <c r="B2749" s="19" t="s">
        <v>28112</v>
      </c>
      <c r="C2749" s="20" t="n">
        <f aca="false">ROUND(0.56/FX,2)</f>
        <v>0.08</v>
      </c>
      <c r="D2749" s="22" t="s">
        <v>5612</v>
      </c>
    </row>
    <row r="2752" customFormat="false" ht="61.5" hidden="false" customHeight="true" outlineLevel="0" collapsed="false">
      <c r="A2752" s="9"/>
      <c r="B2752" s="10" t="s">
        <v>28113</v>
      </c>
      <c r="C2752" s="10"/>
      <c r="D2752" s="10"/>
      <c r="E2752" s="10"/>
      <c r="F2752" s="10"/>
    </row>
    <row r="2753" customFormat="false" ht="15" hidden="false" customHeight="false" outlineLevel="0" collapsed="false">
      <c r="A2753" s="12" t="s">
        <v>700</v>
      </c>
      <c r="B2753" s="13" t="s">
        <v>701</v>
      </c>
      <c r="C2753" s="13" t="s">
        <v>702</v>
      </c>
      <c r="D2753" s="13" t="s">
        <v>705</v>
      </c>
      <c r="E2753" s="13" t="s">
        <v>723</v>
      </c>
      <c r="F2753" s="13" t="s">
        <v>6328</v>
      </c>
    </row>
    <row r="2754" customFormat="false" ht="30" hidden="false" customHeight="true" outlineLevel="0" collapsed="false">
      <c r="A2754" s="14" t="s">
        <v>706</v>
      </c>
      <c r="B2754" s="15" t="str">
        <f aca="false">IF(COUNTIFS($D$2757:$D$2760,IF(D2754="","*",D2754),$E$2757:$E$2760,IF(E2754="","*",E2754),$F$2757:$F$2760,IF(F2754="","*",F2754))=1,INDEX($B:$B,SUMPRODUCT(((D2754="")+($D$2757:$D$2760=D2754)&gt;0)*((E2754="")+($E$2757:$E$2760=E2754)&gt;0)*((F2754="")+($F$2757:$F$2760=F2754)&gt;0)*ROW($B$2757:$B$2760))),IF(COUNTIFS($D$2757:$D$2760,IF(D2754="","*",D2754),$E$2757:$E$2760,IF(E2754="","*",E2754),$F$2757:$F$2760,IF(F2754="","*",F2754))=0,"Not available",COUNTIFS($D$2757:$D$2760,IF(D2754="","*",D2754),$E$2757:$E$2760,IF(E2754="","*",E2754),$F$2757:$F$2760,IF(F2754="","*",F2754))&amp;" match, keep choosing"))</f>
        <v>BN-002-LH-x90</v>
      </c>
      <c r="C2754" s="16" t="n">
        <f aca="false">IF(COUNTIFS($D$2757:$D$2760,IF(D2754="","*",D2754),$E$2757:$E$2760,IF(E2754="","*",E2754),$F$2757:$F$2760,IF(F2754="","*",F2754))=1,INDEX($C:$C,SUMPRODUCT(((D2754="")+($D$2757:$D$2760=D2754)&gt;0)*((E2754="")+($E$2757:$E$2760=E2754)&gt;0)*((F2754="")+($F$2757:$F$2760=F2754)&gt;0)*ROW($B$2757:$B$2760))),"")</f>
        <v>0.17</v>
      </c>
      <c r="D2754" s="17" t="s">
        <v>13732</v>
      </c>
      <c r="E2754" s="17" t="s">
        <v>28114</v>
      </c>
      <c r="F2754" s="17" t="s">
        <v>11810</v>
      </c>
    </row>
    <row r="2756" customFormat="false" ht="15" hidden="false" customHeight="false" outlineLevel="0" collapsed="false">
      <c r="B2756" s="18" t="s">
        <v>701</v>
      </c>
      <c r="C2756" s="18" t="s">
        <v>702</v>
      </c>
      <c r="D2756" s="18" t="s">
        <v>705</v>
      </c>
      <c r="E2756" s="18" t="s">
        <v>723</v>
      </c>
      <c r="F2756" s="18" t="s">
        <v>6328</v>
      </c>
    </row>
    <row r="2757" customFormat="false" ht="15" hidden="false" customHeight="false" outlineLevel="0" collapsed="false">
      <c r="B2757" s="19" t="s">
        <v>28115</v>
      </c>
      <c r="C2757" s="20" t="n">
        <f aca="false">ROUND(1.24/FX,2)</f>
        <v>0.17</v>
      </c>
      <c r="D2757" s="21" t="s">
        <v>13732</v>
      </c>
      <c r="E2757" s="21" t="s">
        <v>28114</v>
      </c>
      <c r="F2757" s="21" t="s">
        <v>11810</v>
      </c>
    </row>
    <row r="2758" customFormat="false" ht="15" hidden="false" customHeight="false" outlineLevel="0" collapsed="false">
      <c r="B2758" s="19" t="s">
        <v>28116</v>
      </c>
      <c r="C2758" s="20" t="n">
        <f aca="false">ROUND(1.59/FX,2)</f>
        <v>0.22</v>
      </c>
      <c r="D2758" s="21" t="s">
        <v>13739</v>
      </c>
      <c r="E2758" s="21" t="s">
        <v>28117</v>
      </c>
      <c r="F2758" s="21" t="s">
        <v>11720</v>
      </c>
    </row>
    <row r="2759" customFormat="false" ht="15" hidden="false" customHeight="false" outlineLevel="0" collapsed="false">
      <c r="B2759" s="19" t="s">
        <v>28118</v>
      </c>
      <c r="C2759" s="20" t="n">
        <f aca="false">ROUND(1.7/FX,2)</f>
        <v>0.24</v>
      </c>
      <c r="D2759" s="21" t="s">
        <v>13739</v>
      </c>
      <c r="E2759" s="21" t="s">
        <v>28114</v>
      </c>
      <c r="F2759" s="21" t="s">
        <v>11720</v>
      </c>
    </row>
    <row r="2760" customFormat="false" ht="15" hidden="false" customHeight="false" outlineLevel="0" collapsed="false">
      <c r="B2760" s="19" t="s">
        <v>28119</v>
      </c>
      <c r="C2760" s="20" t="n">
        <f aca="false">ROUND(1.07/FX,2)</f>
        <v>0.15</v>
      </c>
      <c r="D2760" s="21" t="s">
        <v>13732</v>
      </c>
      <c r="E2760" s="21" t="s">
        <v>28120</v>
      </c>
      <c r="F2760" s="21" t="s">
        <v>11720</v>
      </c>
    </row>
    <row r="2763" customFormat="false" ht="61.5" hidden="false" customHeight="true" outlineLevel="0" collapsed="false">
      <c r="A2763" s="9"/>
      <c r="B2763" s="10" t="s">
        <v>28121</v>
      </c>
      <c r="C2763" s="10"/>
      <c r="D2763" s="10"/>
    </row>
    <row r="2764" customFormat="false" ht="15" hidden="false" customHeight="false" outlineLevel="0" collapsed="false">
      <c r="B2764" s="18" t="s">
        <v>701</v>
      </c>
      <c r="C2764" s="18" t="s">
        <v>702</v>
      </c>
      <c r="D2764" s="18" t="s">
        <v>5610</v>
      </c>
    </row>
    <row r="2765" customFormat="false" ht="15" hidden="false" customHeight="false" outlineLevel="0" collapsed="false">
      <c r="B2765" s="19" t="s">
        <v>28122</v>
      </c>
      <c r="C2765" s="20" t="n">
        <f aca="false">ROUND(5.07/FX,2)</f>
        <v>0.7</v>
      </c>
      <c r="D2765" s="22" t="s">
        <v>5612</v>
      </c>
    </row>
    <row r="2768" customFormat="false" ht="61.5" hidden="false" customHeight="true" outlineLevel="0" collapsed="false">
      <c r="A2768" s="9"/>
      <c r="B2768" s="10" t="s">
        <v>28123</v>
      </c>
      <c r="C2768" s="10"/>
      <c r="D2768" s="10"/>
    </row>
    <row r="2769" customFormat="false" ht="15" hidden="false" customHeight="false" outlineLevel="0" collapsed="false">
      <c r="B2769" s="18" t="s">
        <v>701</v>
      </c>
      <c r="C2769" s="18" t="s">
        <v>702</v>
      </c>
      <c r="D2769" s="18" t="s">
        <v>5610</v>
      </c>
    </row>
    <row r="2770" customFormat="false" ht="15" hidden="false" customHeight="false" outlineLevel="0" collapsed="false">
      <c r="B2770" s="19" t="s">
        <v>28124</v>
      </c>
      <c r="C2770" s="20" t="n">
        <f aca="false">ROUND(0.18/FX,2)</f>
        <v>0.03</v>
      </c>
      <c r="D2770" s="22" t="s">
        <v>5612</v>
      </c>
    </row>
    <row r="2773" customFormat="false" ht="61.5" hidden="false" customHeight="true" outlineLevel="0" collapsed="false">
      <c r="A2773" s="9"/>
      <c r="B2773" s="10" t="s">
        <v>28125</v>
      </c>
      <c r="C2773" s="10"/>
      <c r="D2773" s="10"/>
      <c r="E2773" s="10"/>
    </row>
    <row r="2774" customFormat="false" ht="15" hidden="false" customHeight="false" outlineLevel="0" collapsed="false">
      <c r="A2774" s="12" t="s">
        <v>700</v>
      </c>
      <c r="B2774" s="13" t="s">
        <v>701</v>
      </c>
      <c r="C2774" s="13" t="s">
        <v>702</v>
      </c>
      <c r="D2774" s="13" t="s">
        <v>705</v>
      </c>
      <c r="E2774" s="13" t="s">
        <v>13701</v>
      </c>
    </row>
    <row r="2775" customFormat="false" ht="30" hidden="false" customHeight="true" outlineLevel="0" collapsed="false">
      <c r="A2775" s="14" t="s">
        <v>706</v>
      </c>
      <c r="B2775" s="15" t="str">
        <f aca="false">IF(COUNTIFS($D$2778:$D$2786,IF(D2775="","*",D2775),$E$2778:$E$2786,IF(E2775="","*",E2775))=1,INDEX($B:$B,SUMPRODUCT(((D2775="")+($D$2778:$D$2786=D2775)&gt;0)*((E2775="")+($E$2778:$E$2786=E2775)&gt;0)*ROW($B$2778:$B$2786))),IF(COUNTIFS($D$2778:$D$2786,IF(D2775="","*",D2775),$E$2778:$E$2786,IF(E2775="","*",E2775))=0,"Not available",COUNTIFS($D$2778:$D$2786,IF(D2775="","*",D2775),$E$2778:$E$2786,IF(E2775="","*",E2775))&amp;" match, keep choosing"))</f>
        <v>BN-005-M1.6-P10</v>
      </c>
      <c r="C2775" s="16" t="n">
        <f aca="false">IF(COUNTIFS($D$2778:$D$2786,IF(D2775="","*",D2775),$E$2778:$E$2786,IF(E2775="","*",E2775))=1,INDEX($C:$C,SUMPRODUCT(((D2775="")+($D$2778:$D$2786=D2775)&gt;0)*((E2775="")+($E$2778:$E$2786=E2775)&gt;0)*ROW($B$2778:$B$2786))),"")</f>
        <v>0.25</v>
      </c>
      <c r="D2775" s="17" t="s">
        <v>13997</v>
      </c>
      <c r="E2775" s="17" t="s">
        <v>25372</v>
      </c>
    </row>
    <row r="2777" customFormat="false" ht="15" hidden="false" customHeight="false" outlineLevel="0" collapsed="false">
      <c r="B2777" s="18" t="s">
        <v>701</v>
      </c>
      <c r="C2777" s="18" t="s">
        <v>702</v>
      </c>
      <c r="D2777" s="18" t="s">
        <v>705</v>
      </c>
      <c r="E2777" s="18" t="s">
        <v>13701</v>
      </c>
    </row>
    <row r="2778" customFormat="false" ht="15" hidden="false" customHeight="false" outlineLevel="0" collapsed="false">
      <c r="B2778" s="19" t="s">
        <v>28126</v>
      </c>
      <c r="C2778" s="20" t="n">
        <f aca="false">ROUND(1.8/FX,2)</f>
        <v>0.25</v>
      </c>
      <c r="D2778" s="21" t="s">
        <v>13997</v>
      </c>
      <c r="E2778" s="21" t="s">
        <v>25372</v>
      </c>
    </row>
    <row r="2779" customFormat="false" ht="15" hidden="false" customHeight="false" outlineLevel="0" collapsed="false">
      <c r="B2779" s="19" t="s">
        <v>28127</v>
      </c>
      <c r="C2779" s="20" t="n">
        <f aca="false">ROUND(3.64/FX,2)</f>
        <v>0.51</v>
      </c>
      <c r="D2779" s="21" t="s">
        <v>13997</v>
      </c>
      <c r="E2779" s="21" t="s">
        <v>22841</v>
      </c>
    </row>
    <row r="2780" customFormat="false" ht="15" hidden="false" customHeight="false" outlineLevel="0" collapsed="false">
      <c r="B2780" s="19" t="s">
        <v>28128</v>
      </c>
      <c r="C2780" s="20" t="n">
        <f aca="false">ROUND(0.65/FX,2)</f>
        <v>0.09</v>
      </c>
      <c r="D2780" s="21" t="s">
        <v>13997</v>
      </c>
      <c r="E2780" s="21" t="s">
        <v>25497</v>
      </c>
    </row>
    <row r="2781" customFormat="false" ht="15" hidden="false" customHeight="false" outlineLevel="0" collapsed="false">
      <c r="B2781" s="19" t="s">
        <v>28129</v>
      </c>
      <c r="C2781" s="20" t="n">
        <f aca="false">ROUND(0.52/FX,2)</f>
        <v>0.07</v>
      </c>
      <c r="D2781" s="21" t="s">
        <v>13997</v>
      </c>
      <c r="E2781" s="21" t="s">
        <v>25460</v>
      </c>
    </row>
    <row r="2782" customFormat="false" ht="15" hidden="false" customHeight="false" outlineLevel="0" collapsed="false">
      <c r="B2782" s="19" t="s">
        <v>28130</v>
      </c>
      <c r="C2782" s="20" t="n">
        <f aca="false">ROUND(1.04/FX,2)</f>
        <v>0.14</v>
      </c>
      <c r="D2782" s="21" t="s">
        <v>21725</v>
      </c>
      <c r="E2782" s="21" t="s">
        <v>11407</v>
      </c>
    </row>
    <row r="2783" customFormat="false" ht="15" hidden="false" customHeight="false" outlineLevel="0" collapsed="false">
      <c r="B2783" s="19" t="s">
        <v>28131</v>
      </c>
      <c r="C2783" s="20" t="n">
        <f aca="false">ROUND(0.12/FX,2)</f>
        <v>0.02</v>
      </c>
      <c r="D2783" s="21" t="s">
        <v>13743</v>
      </c>
      <c r="E2783" s="21" t="s">
        <v>11409</v>
      </c>
    </row>
    <row r="2784" customFormat="false" ht="15" hidden="false" customHeight="false" outlineLevel="0" collapsed="false">
      <c r="B2784" s="19" t="s">
        <v>28132</v>
      </c>
      <c r="C2784" s="20" t="n">
        <f aca="false">ROUND(0.52/FX,2)</f>
        <v>0.07</v>
      </c>
      <c r="D2784" s="21" t="s">
        <v>13997</v>
      </c>
      <c r="E2784" s="21" t="s">
        <v>11411</v>
      </c>
    </row>
    <row r="2785" customFormat="false" ht="15" hidden="false" customHeight="false" outlineLevel="0" collapsed="false">
      <c r="B2785" s="19" t="s">
        <v>28133</v>
      </c>
      <c r="C2785" s="20" t="n">
        <f aca="false">ROUND(1.17/FX,2)</f>
        <v>0.16</v>
      </c>
      <c r="D2785" s="21" t="s">
        <v>13974</v>
      </c>
      <c r="E2785" s="21" t="s">
        <v>11413</v>
      </c>
    </row>
    <row r="2786" customFormat="false" ht="15" hidden="false" customHeight="false" outlineLevel="0" collapsed="false">
      <c r="B2786" s="19" t="s">
        <v>28134</v>
      </c>
      <c r="C2786" s="20" t="n">
        <f aca="false">ROUND(1.43/FX,2)</f>
        <v>0.2</v>
      </c>
      <c r="D2786" s="21" t="s">
        <v>13997</v>
      </c>
      <c r="E2786" s="21" t="s">
        <v>11415</v>
      </c>
    </row>
    <row r="2789" customFormat="false" ht="61.5" hidden="false" customHeight="true" outlineLevel="0" collapsed="false">
      <c r="A2789" s="9"/>
      <c r="B2789" s="10" t="s">
        <v>28135</v>
      </c>
      <c r="C2789" s="10"/>
      <c r="D2789" s="10"/>
    </row>
    <row r="2790" customFormat="false" ht="15" hidden="false" customHeight="false" outlineLevel="0" collapsed="false">
      <c r="B2790" s="18" t="s">
        <v>701</v>
      </c>
      <c r="C2790" s="18" t="s">
        <v>702</v>
      </c>
      <c r="D2790" s="18" t="s">
        <v>5610</v>
      </c>
    </row>
    <row r="2791" customFormat="false" ht="15" hidden="false" customHeight="false" outlineLevel="0" collapsed="false">
      <c r="B2791" s="19" t="s">
        <v>28136</v>
      </c>
      <c r="C2791" s="20" t="n">
        <f aca="false">ROUND(0.66/FX,2)</f>
        <v>0.09</v>
      </c>
      <c r="D2791" s="22" t="s">
        <v>5612</v>
      </c>
    </row>
    <row r="2794" customFormat="false" ht="61.5" hidden="false" customHeight="true" outlineLevel="0" collapsed="false">
      <c r="A2794" s="9"/>
      <c r="B2794" s="10" t="s">
        <v>28137</v>
      </c>
      <c r="C2794" s="10"/>
      <c r="D2794" s="10"/>
      <c r="E2794" s="10"/>
      <c r="F2794" s="10"/>
      <c r="G2794" s="10"/>
    </row>
    <row r="2795" customFormat="false" ht="15" hidden="false" customHeight="false" outlineLevel="0" collapsed="false">
      <c r="A2795" s="12" t="s">
        <v>700</v>
      </c>
      <c r="B2795" s="13" t="s">
        <v>701</v>
      </c>
      <c r="C2795" s="13" t="s">
        <v>702</v>
      </c>
      <c r="D2795" s="13" t="s">
        <v>722</v>
      </c>
      <c r="E2795" s="13" t="s">
        <v>705</v>
      </c>
      <c r="F2795" s="13" t="s">
        <v>723</v>
      </c>
      <c r="G2795" s="13" t="s">
        <v>13701</v>
      </c>
    </row>
    <row r="2796" customFormat="false" ht="30" hidden="false" customHeight="true" outlineLevel="0" collapsed="false">
      <c r="A2796" s="14" t="s">
        <v>706</v>
      </c>
      <c r="B2796" s="15" t="str">
        <f aca="false">IF(COUNTIFS($D$2799:$D$2815,IF(D2796="","*",D2796),$E$2799:$E$2815,IF(E2796="","*",E2796),$F$2799:$F$2815,IF(F2796="","*",F2796),$G$2799:$G$2815,IF(G2796="","*",G2796))=1,INDEX($B:$B,SUMPRODUCT(((D2796="")+($D$2799:$D$2815=D2796)&gt;0)*((E2796="")+($E$2799:$E$2815=E2796)&gt;0)*((F2796="")+($F$2799:$F$2815=F2796)&gt;0)*((G2796="")+($G$2799:$G$2815=G2796)&gt;0)*ROW($B$2799:$B$2815))),IF(COUNTIFS($D$2799:$D$2815,IF(D2796="","*",D2796),$E$2799:$E$2815,IF(E2796="","*",E2796),$F$2799:$F$2815,IF(F2796="","*",F2796),$G$2799:$G$2815,IF(G2796="","*",G2796))=0,"Not available",COUNTIFS($D$2799:$D$2815,IF(D2796="","*",D2796),$E$2799:$E$2815,IF(E2796="","*",E2796),$F$2799:$F$2815,IF(F2796="","*",F2796),$G$2799:$G$2815,IF(G2796="","*",G2796))&amp;" match, keep choosing"))</f>
        <v>BN-004-BK-M5-P10</v>
      </c>
      <c r="C2796" s="16" t="n">
        <f aca="false">IF(COUNTIFS($D$2799:$D$2815,IF(D2796="","*",D2796),$E$2799:$E$2815,IF(E2796="","*",E2796),$F$2799:$F$2815,IF(F2796="","*",F2796),$G$2799:$G$2815,IF(G2796="","*",G2796))=1,INDEX($C:$C,SUMPRODUCT(((D2796="")+($D$2799:$D$2815=D2796)&gt;0)*((E2796="")+($E$2799:$E$2815=E2796)&gt;0)*((F2796="")+($F$2799:$F$2815=F2796)&gt;0)*((G2796="")+($G$2799:$G$2815=G2796)&gt;0)*ROW($B$2799:$B$2815))),"")</f>
        <v>0.1</v>
      </c>
      <c r="D2796" s="17" t="s">
        <v>724</v>
      </c>
      <c r="E2796" s="17" t="s">
        <v>13997</v>
      </c>
      <c r="F2796" s="17" t="s">
        <v>28138</v>
      </c>
      <c r="G2796" s="17" t="s">
        <v>6336</v>
      </c>
    </row>
    <row r="2798" customFormat="false" ht="15" hidden="false" customHeight="false" outlineLevel="0" collapsed="false">
      <c r="B2798" s="18" t="s">
        <v>701</v>
      </c>
      <c r="C2798" s="18" t="s">
        <v>702</v>
      </c>
      <c r="D2798" s="18" t="s">
        <v>722</v>
      </c>
      <c r="E2798" s="18" t="s">
        <v>705</v>
      </c>
      <c r="F2798" s="18" t="s">
        <v>723</v>
      </c>
      <c r="G2798" s="18" t="s">
        <v>13701</v>
      </c>
    </row>
    <row r="2799" customFormat="false" ht="15" hidden="false" customHeight="false" outlineLevel="0" collapsed="false">
      <c r="B2799" s="19" t="s">
        <v>28139</v>
      </c>
      <c r="C2799" s="20" t="n">
        <f aca="false">ROUND(0.74/FX,2)</f>
        <v>0.1</v>
      </c>
      <c r="D2799" s="21" t="s">
        <v>724</v>
      </c>
      <c r="E2799" s="21" t="s">
        <v>13997</v>
      </c>
      <c r="F2799" s="21" t="s">
        <v>28138</v>
      </c>
      <c r="G2799" s="21" t="s">
        <v>6336</v>
      </c>
    </row>
    <row r="2800" customFormat="false" ht="15" hidden="false" customHeight="false" outlineLevel="0" collapsed="false">
      <c r="B2800" s="19" t="s">
        <v>28140</v>
      </c>
      <c r="C2800" s="20" t="n">
        <f aca="false">ROUND(1.07/FX,2)</f>
        <v>0.15</v>
      </c>
      <c r="D2800" s="21" t="s">
        <v>6336</v>
      </c>
      <c r="E2800" s="21" t="s">
        <v>13974</v>
      </c>
      <c r="F2800" s="21" t="s">
        <v>28141</v>
      </c>
      <c r="G2800" s="21" t="s">
        <v>6336</v>
      </c>
    </row>
    <row r="2801" customFormat="false" ht="15" hidden="false" customHeight="false" outlineLevel="0" collapsed="false">
      <c r="B2801" s="19" t="s">
        <v>28142</v>
      </c>
      <c r="C2801" s="20" t="n">
        <f aca="false">ROUND(1.22/FX,2)</f>
        <v>0.17</v>
      </c>
      <c r="D2801" s="21" t="s">
        <v>6336</v>
      </c>
      <c r="E2801" s="21" t="s">
        <v>13751</v>
      </c>
      <c r="F2801" s="21" t="s">
        <v>28143</v>
      </c>
      <c r="G2801" s="21" t="s">
        <v>16204</v>
      </c>
    </row>
    <row r="2802" customFormat="false" ht="15" hidden="false" customHeight="false" outlineLevel="0" collapsed="false">
      <c r="B2802" s="19" t="s">
        <v>28144</v>
      </c>
      <c r="C2802" s="20" t="n">
        <f aca="false">ROUND(1.22/FX,2)</f>
        <v>0.17</v>
      </c>
      <c r="D2802" s="21" t="s">
        <v>6336</v>
      </c>
      <c r="E2802" s="21" t="s">
        <v>13751</v>
      </c>
      <c r="F2802" s="21" t="s">
        <v>28143</v>
      </c>
      <c r="G2802" s="21" t="s">
        <v>14776</v>
      </c>
    </row>
    <row r="2803" customFormat="false" ht="15" hidden="false" customHeight="false" outlineLevel="0" collapsed="false">
      <c r="B2803" s="19" t="s">
        <v>28145</v>
      </c>
      <c r="C2803" s="20" t="n">
        <f aca="false">ROUND(1.13/FX,2)</f>
        <v>0.16</v>
      </c>
      <c r="D2803" s="21" t="s">
        <v>6336</v>
      </c>
      <c r="E2803" s="21" t="s">
        <v>13751</v>
      </c>
      <c r="F2803" s="21" t="s">
        <v>11720</v>
      </c>
      <c r="G2803" s="21" t="s">
        <v>14780</v>
      </c>
    </row>
    <row r="2804" customFormat="false" ht="15" hidden="false" customHeight="false" outlineLevel="0" collapsed="false">
      <c r="B2804" s="19" t="s">
        <v>28146</v>
      </c>
      <c r="C2804" s="20" t="n">
        <f aca="false">ROUND(7.1/FX,2)</f>
        <v>0.99</v>
      </c>
      <c r="D2804" s="21" t="s">
        <v>6336</v>
      </c>
      <c r="E2804" s="21" t="s">
        <v>13997</v>
      </c>
      <c r="F2804" s="21" t="s">
        <v>28147</v>
      </c>
      <c r="G2804" s="21" t="s">
        <v>6336</v>
      </c>
    </row>
    <row r="2805" customFormat="false" ht="15" hidden="false" customHeight="false" outlineLevel="0" collapsed="false">
      <c r="B2805" s="19" t="s">
        <v>28148</v>
      </c>
      <c r="C2805" s="20" t="n">
        <f aca="false">ROUND(1.57/FX,2)</f>
        <v>0.22</v>
      </c>
      <c r="D2805" s="21" t="s">
        <v>6336</v>
      </c>
      <c r="E2805" s="21" t="s">
        <v>13732</v>
      </c>
      <c r="F2805" s="21" t="s">
        <v>28149</v>
      </c>
      <c r="G2805" s="21" t="s">
        <v>6336</v>
      </c>
    </row>
    <row r="2806" customFormat="false" ht="15" hidden="false" customHeight="false" outlineLevel="0" collapsed="false">
      <c r="B2806" s="19" t="s">
        <v>28150</v>
      </c>
      <c r="C2806" s="20" t="n">
        <f aca="false">ROUND(1.57/FX,2)</f>
        <v>0.22</v>
      </c>
      <c r="D2806" s="21" t="s">
        <v>6336</v>
      </c>
      <c r="E2806" s="21" t="s">
        <v>13732</v>
      </c>
      <c r="F2806" s="21" t="s">
        <v>28151</v>
      </c>
      <c r="G2806" s="21" t="s">
        <v>6336</v>
      </c>
    </row>
    <row r="2807" customFormat="false" ht="15" hidden="false" customHeight="false" outlineLevel="0" collapsed="false">
      <c r="B2807" s="19" t="s">
        <v>28152</v>
      </c>
      <c r="C2807" s="20" t="n">
        <f aca="false">ROUND(4.39/FX,2)</f>
        <v>0.61</v>
      </c>
      <c r="D2807" s="21" t="s">
        <v>6336</v>
      </c>
      <c r="E2807" s="21" t="s">
        <v>13732</v>
      </c>
      <c r="F2807" s="21" t="s">
        <v>28153</v>
      </c>
      <c r="G2807" s="21" t="s">
        <v>6336</v>
      </c>
    </row>
    <row r="2808" customFormat="false" ht="15" hidden="false" customHeight="false" outlineLevel="0" collapsed="false">
      <c r="B2808" s="19" t="s">
        <v>28154</v>
      </c>
      <c r="C2808" s="20" t="n">
        <f aca="false">ROUND(2.5/FX,2)</f>
        <v>0.35</v>
      </c>
      <c r="D2808" s="21" t="s">
        <v>6336</v>
      </c>
      <c r="E2808" s="21" t="s">
        <v>13997</v>
      </c>
      <c r="F2808" s="21" t="s">
        <v>28155</v>
      </c>
      <c r="G2808" s="21" t="s">
        <v>6336</v>
      </c>
    </row>
    <row r="2809" customFormat="false" ht="15" hidden="false" customHeight="false" outlineLevel="0" collapsed="false">
      <c r="B2809" s="19" t="s">
        <v>28156</v>
      </c>
      <c r="C2809" s="20" t="n">
        <f aca="false">ROUND(2.09/FX,2)</f>
        <v>0.29</v>
      </c>
      <c r="D2809" s="21" t="s">
        <v>6336</v>
      </c>
      <c r="E2809" s="21" t="s">
        <v>13997</v>
      </c>
      <c r="F2809" s="21" t="s">
        <v>28157</v>
      </c>
      <c r="G2809" s="21" t="s">
        <v>6336</v>
      </c>
    </row>
    <row r="2810" customFormat="false" ht="15" hidden="false" customHeight="false" outlineLevel="0" collapsed="false">
      <c r="B2810" s="19" t="s">
        <v>28158</v>
      </c>
      <c r="C2810" s="20" t="n">
        <f aca="false">ROUND(5.07/FX,2)</f>
        <v>0.7</v>
      </c>
      <c r="D2810" s="21" t="s">
        <v>6336</v>
      </c>
      <c r="E2810" s="21" t="s">
        <v>13732</v>
      </c>
      <c r="F2810" s="21" t="s">
        <v>28159</v>
      </c>
      <c r="G2810" s="21" t="s">
        <v>6336</v>
      </c>
    </row>
    <row r="2811" customFormat="false" ht="15" hidden="false" customHeight="false" outlineLevel="0" collapsed="false">
      <c r="B2811" s="19" t="s">
        <v>28160</v>
      </c>
      <c r="C2811" s="20" t="n">
        <f aca="false">ROUND(4.29/FX,2)</f>
        <v>0.6</v>
      </c>
      <c r="D2811" s="21" t="s">
        <v>6336</v>
      </c>
      <c r="E2811" s="21" t="s">
        <v>23567</v>
      </c>
      <c r="F2811" s="21" t="s">
        <v>28161</v>
      </c>
      <c r="G2811" s="21" t="s">
        <v>6336</v>
      </c>
    </row>
    <row r="2812" customFormat="false" ht="15" hidden="false" customHeight="false" outlineLevel="0" collapsed="false">
      <c r="B2812" s="19" t="s">
        <v>28162</v>
      </c>
      <c r="C2812" s="20" t="n">
        <f aca="false">ROUND(0.56/FX,2)</f>
        <v>0.08</v>
      </c>
      <c r="D2812" s="21" t="s">
        <v>6336</v>
      </c>
      <c r="E2812" s="21" t="s">
        <v>13997</v>
      </c>
      <c r="F2812" s="21" t="s">
        <v>28163</v>
      </c>
      <c r="G2812" s="21" t="s">
        <v>6336</v>
      </c>
    </row>
    <row r="2813" customFormat="false" ht="15" hidden="false" customHeight="false" outlineLevel="0" collapsed="false">
      <c r="B2813" s="19" t="s">
        <v>28164</v>
      </c>
      <c r="C2813" s="20" t="n">
        <f aca="false">ROUND(0.4/FX,2)</f>
        <v>0.06</v>
      </c>
      <c r="D2813" s="21" t="s">
        <v>6336</v>
      </c>
      <c r="E2813" s="21" t="s">
        <v>13997</v>
      </c>
      <c r="F2813" s="21" t="s">
        <v>28138</v>
      </c>
      <c r="G2813" s="21" t="s">
        <v>6336</v>
      </c>
    </row>
    <row r="2814" customFormat="false" ht="15" hidden="false" customHeight="false" outlineLevel="0" collapsed="false">
      <c r="B2814" s="19" t="s">
        <v>28165</v>
      </c>
      <c r="C2814" s="20" t="n">
        <f aca="false">ROUND(1.03/FX,2)</f>
        <v>0.14</v>
      </c>
      <c r="D2814" s="21" t="s">
        <v>6336</v>
      </c>
      <c r="E2814" s="21" t="s">
        <v>13997</v>
      </c>
      <c r="F2814" s="21" t="s">
        <v>28166</v>
      </c>
      <c r="G2814" s="21" t="s">
        <v>6336</v>
      </c>
    </row>
    <row r="2815" customFormat="false" ht="15" hidden="false" customHeight="false" outlineLevel="0" collapsed="false">
      <c r="B2815" s="19" t="s">
        <v>28167</v>
      </c>
      <c r="C2815" s="20" t="n">
        <f aca="false">ROUND(2.12/FX,2)</f>
        <v>0.29</v>
      </c>
      <c r="D2815" s="21" t="s">
        <v>6336</v>
      </c>
      <c r="E2815" s="21" t="s">
        <v>13997</v>
      </c>
      <c r="F2815" s="21" t="s">
        <v>28168</v>
      </c>
      <c r="G2815" s="21" t="s">
        <v>6336</v>
      </c>
    </row>
    <row r="2818" customFormat="false" ht="61.5" hidden="false" customHeight="true" outlineLevel="0" collapsed="false">
      <c r="A2818" s="9"/>
      <c r="B2818" s="10" t="s">
        <v>28169</v>
      </c>
      <c r="C2818" s="10"/>
      <c r="D2818" s="10"/>
    </row>
    <row r="2819" customFormat="false" ht="15" hidden="false" customHeight="false" outlineLevel="0" collapsed="false">
      <c r="A2819" s="12" t="s">
        <v>700</v>
      </c>
      <c r="B2819" s="13" t="s">
        <v>701</v>
      </c>
      <c r="C2819" s="13" t="s">
        <v>702</v>
      </c>
      <c r="D2819" s="13" t="s">
        <v>6523</v>
      </c>
    </row>
    <row r="2820" customFormat="false" ht="30" hidden="false" customHeight="true" outlineLevel="0" collapsed="false">
      <c r="A2820" s="14" t="s">
        <v>706</v>
      </c>
      <c r="B2820" s="15" t="str">
        <f aca="false">IF(COUNTIFS($D$2823:$D$2849,IF(D2820="","*",D2820))=1,INDEX($B:$B,SUMPRODUCT(((D2820="")+($D$2823:$D$2849=D2820)&gt;0)*ROW($B$2823:$B$2849))),IF(COUNTIFS($D$2823:$D$2849,IF(D2820="","*",D2820))=0,"Not available",COUNTIFS($D$2823:$D$2849,IF(D2820="","*",D2820))&amp;" match, keep choosing"))</f>
        <v>BN-007-F-M10x1-B16-H5-P5</v>
      </c>
      <c r="C2820" s="16" t="n">
        <f aca="false">IF(COUNTIFS($D$2823:$D$2849,IF(D2820="","*",D2820))=1,INDEX($C:$C,SUMPRODUCT(((D2820="")+($D$2823:$D$2849=D2820)&gt;0)*ROW($B$2823:$B$2849))),"")</f>
        <v>0.15</v>
      </c>
      <c r="D2820" s="17" t="s">
        <v>28170</v>
      </c>
    </row>
    <row r="2822" customFormat="false" ht="15" hidden="false" customHeight="false" outlineLevel="0" collapsed="false">
      <c r="B2822" s="18" t="s">
        <v>701</v>
      </c>
      <c r="C2822" s="18" t="s">
        <v>702</v>
      </c>
      <c r="D2822" s="18" t="s">
        <v>6523</v>
      </c>
    </row>
    <row r="2823" customFormat="false" ht="28.35" hidden="false" customHeight="false" outlineLevel="0" collapsed="false">
      <c r="B2823" s="19" t="s">
        <v>28171</v>
      </c>
      <c r="C2823" s="20" t="n">
        <f aca="false">ROUND(1.1/FX,2)</f>
        <v>0.15</v>
      </c>
      <c r="D2823" s="21" t="s">
        <v>28170</v>
      </c>
    </row>
    <row r="2824" customFormat="false" ht="28.35" hidden="false" customHeight="false" outlineLevel="0" collapsed="false">
      <c r="B2824" s="19" t="s">
        <v>28172</v>
      </c>
      <c r="C2824" s="20" t="n">
        <f aca="false">ROUND(1.19/FX,2)</f>
        <v>0.17</v>
      </c>
      <c r="D2824" s="21" t="s">
        <v>28173</v>
      </c>
    </row>
    <row r="2825" customFormat="false" ht="28.35" hidden="false" customHeight="false" outlineLevel="0" collapsed="false">
      <c r="B2825" s="19" t="s">
        <v>28174</v>
      </c>
      <c r="C2825" s="20" t="n">
        <f aca="false">ROUND(1.21/FX,2)</f>
        <v>0.17</v>
      </c>
      <c r="D2825" s="21" t="s">
        <v>28175</v>
      </c>
    </row>
    <row r="2826" customFormat="false" ht="28.35" hidden="false" customHeight="false" outlineLevel="0" collapsed="false">
      <c r="B2826" s="19" t="s">
        <v>28176</v>
      </c>
      <c r="C2826" s="20" t="n">
        <f aca="false">ROUND(1.32/FX,2)</f>
        <v>0.18</v>
      </c>
      <c r="D2826" s="21" t="s">
        <v>28177</v>
      </c>
    </row>
    <row r="2827" customFormat="false" ht="41.75" hidden="false" customHeight="false" outlineLevel="0" collapsed="false">
      <c r="B2827" s="19" t="s">
        <v>28178</v>
      </c>
      <c r="C2827" s="20" t="n">
        <f aca="false">ROUND(1.11/FX,2)</f>
        <v>0.15</v>
      </c>
      <c r="D2827" s="21" t="s">
        <v>28179</v>
      </c>
    </row>
    <row r="2828" customFormat="false" ht="41.75" hidden="false" customHeight="false" outlineLevel="0" collapsed="false">
      <c r="B2828" s="19" t="s">
        <v>28180</v>
      </c>
      <c r="C2828" s="20" t="n">
        <f aca="false">ROUND(1.19/FX,2)</f>
        <v>0.17</v>
      </c>
      <c r="D2828" s="21" t="s">
        <v>28181</v>
      </c>
    </row>
    <row r="2829" customFormat="false" ht="41.75" hidden="false" customHeight="false" outlineLevel="0" collapsed="false">
      <c r="B2829" s="19" t="s">
        <v>28182</v>
      </c>
      <c r="C2829" s="20" t="n">
        <f aca="false">ROUND(1.18/FX,2)</f>
        <v>0.16</v>
      </c>
      <c r="D2829" s="21" t="s">
        <v>28183</v>
      </c>
    </row>
    <row r="2830" customFormat="false" ht="41.75" hidden="false" customHeight="false" outlineLevel="0" collapsed="false">
      <c r="B2830" s="19" t="s">
        <v>28184</v>
      </c>
      <c r="C2830" s="20" t="n">
        <f aca="false">ROUND(1.32/FX,2)</f>
        <v>0.18</v>
      </c>
      <c r="D2830" s="21" t="s">
        <v>28185</v>
      </c>
    </row>
    <row r="2831" customFormat="false" ht="41.75" hidden="false" customHeight="false" outlineLevel="0" collapsed="false">
      <c r="B2831" s="19" t="s">
        <v>28186</v>
      </c>
      <c r="C2831" s="20" t="n">
        <f aca="false">ROUND(1.01/FX,2)</f>
        <v>0.14</v>
      </c>
      <c r="D2831" s="21" t="s">
        <v>28187</v>
      </c>
    </row>
    <row r="2832" customFormat="false" ht="41.75" hidden="false" customHeight="false" outlineLevel="0" collapsed="false">
      <c r="B2832" s="19" t="s">
        <v>28188</v>
      </c>
      <c r="C2832" s="20" t="n">
        <f aca="false">ROUND(1.05/FX,2)</f>
        <v>0.15</v>
      </c>
      <c r="D2832" s="21" t="s">
        <v>28189</v>
      </c>
    </row>
    <row r="2833" customFormat="false" ht="28.35" hidden="false" customHeight="false" outlineLevel="0" collapsed="false">
      <c r="B2833" s="19" t="s">
        <v>28190</v>
      </c>
      <c r="C2833" s="20" t="n">
        <f aca="false">ROUND(1.05/FX,2)</f>
        <v>0.15</v>
      </c>
      <c r="D2833" s="21" t="s">
        <v>28191</v>
      </c>
    </row>
    <row r="2834" customFormat="false" ht="28.35" hidden="false" customHeight="false" outlineLevel="0" collapsed="false">
      <c r="B2834" s="19" t="s">
        <v>28192</v>
      </c>
      <c r="C2834" s="20" t="n">
        <f aca="false">ROUND(1.04/FX,2)</f>
        <v>0.14</v>
      </c>
      <c r="D2834" s="21" t="s">
        <v>28193</v>
      </c>
    </row>
    <row r="2835" customFormat="false" ht="28.35" hidden="false" customHeight="false" outlineLevel="0" collapsed="false">
      <c r="B2835" s="19" t="s">
        <v>28194</v>
      </c>
      <c r="C2835" s="20" t="n">
        <f aca="false">ROUND(1.03/FX,2)</f>
        <v>0.14</v>
      </c>
      <c r="D2835" s="21" t="s">
        <v>28195</v>
      </c>
    </row>
    <row r="2836" customFormat="false" ht="28.35" hidden="false" customHeight="false" outlineLevel="0" collapsed="false">
      <c r="B2836" s="19" t="s">
        <v>28196</v>
      </c>
      <c r="C2836" s="20" t="n">
        <f aca="false">ROUND(1.14/FX,2)</f>
        <v>0.16</v>
      </c>
      <c r="D2836" s="21" t="s">
        <v>28197</v>
      </c>
    </row>
    <row r="2837" customFormat="false" ht="28.35" hidden="false" customHeight="false" outlineLevel="0" collapsed="false">
      <c r="B2837" s="19" t="s">
        <v>28198</v>
      </c>
      <c r="C2837" s="20" t="n">
        <f aca="false">ROUND(1.07/FX,2)</f>
        <v>0.15</v>
      </c>
      <c r="D2837" s="21" t="s">
        <v>28199</v>
      </c>
    </row>
    <row r="2838" customFormat="false" ht="28.35" hidden="false" customHeight="false" outlineLevel="0" collapsed="false">
      <c r="B2838" s="19" t="s">
        <v>28200</v>
      </c>
      <c r="C2838" s="20" t="n">
        <f aca="false">ROUND(1.11/FX,2)</f>
        <v>0.15</v>
      </c>
      <c r="D2838" s="21" t="s">
        <v>28201</v>
      </c>
    </row>
    <row r="2839" customFormat="false" ht="28.35" hidden="false" customHeight="false" outlineLevel="0" collapsed="false">
      <c r="B2839" s="19" t="s">
        <v>28202</v>
      </c>
      <c r="C2839" s="20" t="n">
        <f aca="false">ROUND(1.27/FX,2)</f>
        <v>0.18</v>
      </c>
      <c r="D2839" s="21" t="s">
        <v>28203</v>
      </c>
    </row>
    <row r="2840" customFormat="false" ht="28.35" hidden="false" customHeight="false" outlineLevel="0" collapsed="false">
      <c r="B2840" s="19" t="s">
        <v>28204</v>
      </c>
      <c r="C2840" s="20" t="n">
        <f aca="false">ROUND(1.46/FX,2)</f>
        <v>0.2</v>
      </c>
      <c r="D2840" s="21" t="s">
        <v>28205</v>
      </c>
    </row>
    <row r="2841" customFormat="false" ht="28.35" hidden="false" customHeight="false" outlineLevel="0" collapsed="false">
      <c r="B2841" s="19" t="s">
        <v>28206</v>
      </c>
      <c r="C2841" s="20" t="n">
        <f aca="false">ROUND(1.4/FX,2)</f>
        <v>0.19</v>
      </c>
      <c r="D2841" s="21" t="s">
        <v>28207</v>
      </c>
    </row>
    <row r="2842" customFormat="false" ht="28.35" hidden="false" customHeight="false" outlineLevel="0" collapsed="false">
      <c r="B2842" s="19" t="s">
        <v>28208</v>
      </c>
      <c r="C2842" s="20" t="n">
        <f aca="false">ROUND(1.79/FX,2)</f>
        <v>0.25</v>
      </c>
      <c r="D2842" s="21" t="s">
        <v>28209</v>
      </c>
    </row>
    <row r="2843" customFormat="false" ht="28.35" hidden="false" customHeight="false" outlineLevel="0" collapsed="false">
      <c r="B2843" s="19" t="s">
        <v>28210</v>
      </c>
      <c r="C2843" s="20" t="n">
        <f aca="false">ROUND(1.16/FX,2)</f>
        <v>0.16</v>
      </c>
      <c r="D2843" s="21" t="s">
        <v>28211</v>
      </c>
    </row>
    <row r="2844" customFormat="false" ht="28.35" hidden="false" customHeight="false" outlineLevel="0" collapsed="false">
      <c r="B2844" s="19" t="s">
        <v>28212</v>
      </c>
      <c r="C2844" s="20" t="n">
        <f aca="false">ROUND(1.61/FX,2)</f>
        <v>0.22</v>
      </c>
      <c r="D2844" s="21" t="s">
        <v>28213</v>
      </c>
    </row>
    <row r="2845" customFormat="false" ht="28.35" hidden="false" customHeight="false" outlineLevel="0" collapsed="false">
      <c r="B2845" s="19" t="s">
        <v>28214</v>
      </c>
      <c r="C2845" s="20" t="n">
        <f aca="false">ROUND(2.25/FX,2)</f>
        <v>0.31</v>
      </c>
      <c r="D2845" s="21" t="s">
        <v>28215</v>
      </c>
    </row>
    <row r="2846" customFormat="false" ht="28.35" hidden="false" customHeight="false" outlineLevel="0" collapsed="false">
      <c r="B2846" s="19" t="s">
        <v>28216</v>
      </c>
      <c r="C2846" s="20" t="n">
        <f aca="false">ROUND(1.02/FX,2)</f>
        <v>0.14</v>
      </c>
      <c r="D2846" s="21" t="s">
        <v>28217</v>
      </c>
    </row>
    <row r="2847" customFormat="false" ht="28.35" hidden="false" customHeight="false" outlineLevel="0" collapsed="false">
      <c r="B2847" s="19" t="s">
        <v>28218</v>
      </c>
      <c r="C2847" s="20" t="n">
        <f aca="false">ROUND(1.03/FX,2)</f>
        <v>0.14</v>
      </c>
      <c r="D2847" s="21" t="s">
        <v>28219</v>
      </c>
    </row>
    <row r="2848" customFormat="false" ht="28.35" hidden="false" customHeight="false" outlineLevel="0" collapsed="false">
      <c r="B2848" s="19" t="s">
        <v>28220</v>
      </c>
      <c r="C2848" s="20" t="n">
        <f aca="false">ROUND(1.02/FX,2)</f>
        <v>0.14</v>
      </c>
      <c r="D2848" s="21" t="s">
        <v>28221</v>
      </c>
    </row>
    <row r="2849" customFormat="false" ht="28.35" hidden="false" customHeight="false" outlineLevel="0" collapsed="false">
      <c r="B2849" s="19" t="s">
        <v>28222</v>
      </c>
      <c r="C2849" s="20" t="n">
        <f aca="false">ROUND(1.07/FX,2)</f>
        <v>0.15</v>
      </c>
      <c r="D2849" s="21" t="s">
        <v>28223</v>
      </c>
    </row>
    <row r="2852" customFormat="false" ht="61.5" hidden="false" customHeight="true" outlineLevel="0" collapsed="false">
      <c r="A2852" s="9"/>
      <c r="B2852" s="10" t="s">
        <v>28224</v>
      </c>
      <c r="C2852" s="10"/>
      <c r="D2852" s="10"/>
      <c r="E2852" s="10"/>
    </row>
    <row r="2853" customFormat="false" ht="15" hidden="false" customHeight="false" outlineLevel="0" collapsed="false">
      <c r="A2853" s="12" t="s">
        <v>700</v>
      </c>
      <c r="B2853" s="13" t="s">
        <v>701</v>
      </c>
      <c r="C2853" s="13" t="s">
        <v>702</v>
      </c>
      <c r="D2853" s="13" t="s">
        <v>705</v>
      </c>
      <c r="E2853" s="13" t="s">
        <v>13701</v>
      </c>
    </row>
    <row r="2854" customFormat="false" ht="30" hidden="false" customHeight="true" outlineLevel="0" collapsed="false">
      <c r="A2854" s="14" t="s">
        <v>706</v>
      </c>
      <c r="B2854" s="15" t="str">
        <f aca="false">IF(COUNTIFS($D$2857:$D$2863,IF(D2854="","*",D2854),$E$2857:$E$2863,IF(E2854="","*",E2854))=1,INDEX($B:$B,SUMPRODUCT(((D2854="")+($D$2857:$D$2863=D2854)&gt;0)*((E2854="")+($E$2857:$E$2863=E2854)&gt;0)*ROW($B$2857:$B$2863))),IF(COUNTIFS($D$2857:$D$2863,IF(D2854="","*",D2854),$E$2857:$E$2863,IF(E2854="","*",E2854))=0,"Not available",COUNTIFS($D$2857:$D$2863,IF(D2854="","*",D2854),$E$2857:$E$2863,IF(E2854="","*",E2854))&amp;" match, keep choosing"))</f>
        <v>BN-018-M10-P2</v>
      </c>
      <c r="C2854" s="16" t="n">
        <f aca="false">IF(COUNTIFS($D$2857:$D$2863,IF(D2854="","*",D2854),$E$2857:$E$2863,IF(E2854="","*",E2854))=1,INDEX($C:$C,SUMPRODUCT(((D2854="")+($D$2857:$D$2863=D2854)&gt;0)*((E2854="")+($E$2857:$E$2863=E2854)&gt;0)*ROW($B$2857:$B$2863))),"")</f>
        <v>0.19</v>
      </c>
      <c r="D2854" s="17" t="s">
        <v>13739</v>
      </c>
      <c r="E2854" s="17" t="s">
        <v>22841</v>
      </c>
    </row>
    <row r="2856" customFormat="false" ht="15" hidden="false" customHeight="false" outlineLevel="0" collapsed="false">
      <c r="B2856" s="18" t="s">
        <v>701</v>
      </c>
      <c r="C2856" s="18" t="s">
        <v>702</v>
      </c>
      <c r="D2856" s="18" t="s">
        <v>705</v>
      </c>
      <c r="E2856" s="18" t="s">
        <v>13701</v>
      </c>
    </row>
    <row r="2857" customFormat="false" ht="15" hidden="false" customHeight="false" outlineLevel="0" collapsed="false">
      <c r="B2857" s="19" t="s">
        <v>28225</v>
      </c>
      <c r="C2857" s="20" t="n">
        <f aca="false">ROUND(1.35/FX,2)</f>
        <v>0.19</v>
      </c>
      <c r="D2857" s="21" t="s">
        <v>13739</v>
      </c>
      <c r="E2857" s="21" t="s">
        <v>22841</v>
      </c>
    </row>
    <row r="2858" customFormat="false" ht="15" hidden="false" customHeight="false" outlineLevel="0" collapsed="false">
      <c r="B2858" s="19" t="s">
        <v>28226</v>
      </c>
      <c r="C2858" s="20" t="n">
        <f aca="false">ROUND(1.22/FX,2)</f>
        <v>0.17</v>
      </c>
      <c r="D2858" s="21" t="s">
        <v>13732</v>
      </c>
      <c r="E2858" s="21" t="s">
        <v>22844</v>
      </c>
    </row>
    <row r="2859" customFormat="false" ht="15" hidden="false" customHeight="false" outlineLevel="0" collapsed="false">
      <c r="B2859" s="19" t="s">
        <v>28227</v>
      </c>
      <c r="C2859" s="20" t="n">
        <f aca="false">ROUND(1/FX,2)</f>
        <v>0.14</v>
      </c>
      <c r="D2859" s="21" t="s">
        <v>13743</v>
      </c>
      <c r="E2859" s="21" t="s">
        <v>11407</v>
      </c>
    </row>
    <row r="2860" customFormat="false" ht="15" hidden="false" customHeight="false" outlineLevel="0" collapsed="false">
      <c r="B2860" s="19" t="s">
        <v>28228</v>
      </c>
      <c r="C2860" s="20" t="n">
        <f aca="false">ROUND(1.12/FX,2)</f>
        <v>0.16</v>
      </c>
      <c r="D2860" s="21" t="s">
        <v>13994</v>
      </c>
      <c r="E2860" s="21" t="s">
        <v>11409</v>
      </c>
    </row>
    <row r="2861" customFormat="false" ht="15" hidden="false" customHeight="false" outlineLevel="0" collapsed="false">
      <c r="B2861" s="19" t="s">
        <v>28229</v>
      </c>
      <c r="C2861" s="20" t="n">
        <f aca="false">ROUND(1.07/FX,2)</f>
        <v>0.15</v>
      </c>
      <c r="D2861" s="21" t="s">
        <v>14007</v>
      </c>
      <c r="E2861" s="21" t="s">
        <v>11411</v>
      </c>
    </row>
    <row r="2862" customFormat="false" ht="15" hidden="false" customHeight="false" outlineLevel="0" collapsed="false">
      <c r="B2862" s="19" t="s">
        <v>28230</v>
      </c>
      <c r="C2862" s="20" t="n">
        <f aca="false">ROUND(1.09/FX,2)</f>
        <v>0.15</v>
      </c>
      <c r="D2862" s="21" t="s">
        <v>14013</v>
      </c>
      <c r="E2862" s="21" t="s">
        <v>11413</v>
      </c>
    </row>
    <row r="2863" customFormat="false" ht="15" hidden="false" customHeight="false" outlineLevel="0" collapsed="false">
      <c r="B2863" s="19" t="s">
        <v>28231</v>
      </c>
      <c r="C2863" s="20" t="n">
        <f aca="false">ROUND(1.13/FX,2)</f>
        <v>0.16</v>
      </c>
      <c r="D2863" s="21" t="s">
        <v>13751</v>
      </c>
      <c r="E2863" s="21" t="s">
        <v>11415</v>
      </c>
    </row>
    <row r="2866" customFormat="false" ht="61.5" hidden="false" customHeight="true" outlineLevel="0" collapsed="false">
      <c r="A2866" s="9"/>
      <c r="B2866" s="10" t="s">
        <v>28232</v>
      </c>
      <c r="C2866" s="10"/>
      <c r="D2866" s="10"/>
      <c r="E2866" s="10"/>
      <c r="F2866" s="10"/>
      <c r="G2866" s="10"/>
    </row>
    <row r="2867" customFormat="false" ht="15" hidden="false" customHeight="false" outlineLevel="0" collapsed="false">
      <c r="A2867" s="12" t="s">
        <v>700</v>
      </c>
      <c r="B2867" s="13" t="s">
        <v>701</v>
      </c>
      <c r="C2867" s="13" t="s">
        <v>702</v>
      </c>
      <c r="D2867" s="13" t="s">
        <v>704</v>
      </c>
      <c r="E2867" s="13" t="s">
        <v>705</v>
      </c>
      <c r="F2867" s="13" t="s">
        <v>723</v>
      </c>
      <c r="G2867" s="13" t="s">
        <v>13701</v>
      </c>
    </row>
    <row r="2868" customFormat="false" ht="30" hidden="false" customHeight="true" outlineLevel="0" collapsed="false">
      <c r="A2868" s="14" t="s">
        <v>706</v>
      </c>
      <c r="B2868" s="15" t="str">
        <f aca="false">IF(COUNTIFS($D$2871:$D$2917,IF(D2868="","*",D2868),$E$2871:$E$2917,IF(E2868="","*",E2868),$F$2871:$F$2917,IF(F2868="","*",F2868),$G$2871:$G$2917,IF(G2868="","*",G2868))=1,INDEX($B:$B,SUMPRODUCT(((D2868="")+($D$2871:$D$2917=D2868)&gt;0)*((E2868="")+($E$2871:$E$2917=E2868)&gt;0)*((F2868="")+($F$2871:$F$2917=F2868)&gt;0)*((G2868="")+($G$2871:$G$2917=G2868)&gt;0)*ROW($B$2871:$B$2917))),IF(COUNTIFS($D$2871:$D$2917,IF(D2868="","*",D2868),$E$2871:$E$2917,IF(E2868="","*",E2868),$F$2871:$F$2917,IF(F2868="","*",F2868),$G$2871:$G$2917,IF(G2868="","*",G2868))=0,"Not available",COUNTIFS($D$2871:$D$2917,IF(D2868="","*",D2868),$E$2871:$E$2917,IF(E2868="","*",E2868),$F$2871:$F$2917,IF(F2868="","*",F2868),$G$2871:$G$2917,IF(G2868="","*",G2868))&amp;" match, keep choosing"))</f>
        <v>BN-003-303SSM3-P2</v>
      </c>
      <c r="C2868" s="16" t="n">
        <f aca="false">IF(COUNTIFS($D$2871:$D$2917,IF(D2868="","*",D2868),$E$2871:$E$2917,IF(E2868="","*",E2868),$F$2871:$F$2917,IF(F2868="","*",F2868),$G$2871:$G$2917,IF(G2868="","*",G2868))=1,INDEX($C:$C,SUMPRODUCT(((D2868="")+($D$2871:$D$2917=D2868)&gt;0)*((E2868="")+($E$2871:$E$2917=E2868)&gt;0)*((F2868="")+($F$2871:$F$2917=F2868)&gt;0)*((G2868="")+($G$2871:$G$2917=G2868)&gt;0)*ROW($B$2871:$B$2917))),"")</f>
        <v>0.17</v>
      </c>
      <c r="D2868" s="17" t="s">
        <v>6336</v>
      </c>
      <c r="E2868" s="17" t="s">
        <v>13739</v>
      </c>
      <c r="F2868" s="17" t="s">
        <v>28233</v>
      </c>
      <c r="G2868" s="17" t="s">
        <v>6336</v>
      </c>
    </row>
    <row r="2870" customFormat="false" ht="15" hidden="false" customHeight="false" outlineLevel="0" collapsed="false">
      <c r="B2870" s="18" t="s">
        <v>701</v>
      </c>
      <c r="C2870" s="18" t="s">
        <v>702</v>
      </c>
      <c r="D2870" s="18" t="s">
        <v>704</v>
      </c>
      <c r="E2870" s="18" t="s">
        <v>705</v>
      </c>
      <c r="F2870" s="18" t="s">
        <v>723</v>
      </c>
      <c r="G2870" s="18" t="s">
        <v>13701</v>
      </c>
    </row>
    <row r="2871" customFormat="false" ht="15" hidden="false" customHeight="false" outlineLevel="0" collapsed="false">
      <c r="B2871" s="19" t="s">
        <v>28234</v>
      </c>
      <c r="C2871" s="20" t="n">
        <f aca="false">ROUND(1.24/FX,2)</f>
        <v>0.17</v>
      </c>
      <c r="D2871" s="21" t="s">
        <v>6336</v>
      </c>
      <c r="E2871" s="21" t="s">
        <v>13739</v>
      </c>
      <c r="F2871" s="21" t="s">
        <v>28233</v>
      </c>
      <c r="G2871" s="21" t="s">
        <v>6336</v>
      </c>
    </row>
    <row r="2872" customFormat="false" ht="15" hidden="false" customHeight="false" outlineLevel="0" collapsed="false">
      <c r="B2872" s="19" t="s">
        <v>28235</v>
      </c>
      <c r="C2872" s="20" t="n">
        <f aca="false">ROUND(5.3/FX,2)</f>
        <v>0.74</v>
      </c>
      <c r="D2872" s="21" t="s">
        <v>6336</v>
      </c>
      <c r="E2872" s="21" t="s">
        <v>13732</v>
      </c>
      <c r="F2872" s="21" t="s">
        <v>28236</v>
      </c>
      <c r="G2872" s="21" t="s">
        <v>6336</v>
      </c>
    </row>
    <row r="2873" customFormat="false" ht="15" hidden="false" customHeight="false" outlineLevel="0" collapsed="false">
      <c r="B2873" s="19" t="s">
        <v>28237</v>
      </c>
      <c r="C2873" s="20" t="n">
        <f aca="false">ROUND(5.46/FX,2)</f>
        <v>0.76</v>
      </c>
      <c r="D2873" s="21" t="s">
        <v>6336</v>
      </c>
      <c r="E2873" s="21" t="s">
        <v>13732</v>
      </c>
      <c r="F2873" s="21" t="s">
        <v>28238</v>
      </c>
      <c r="G2873" s="21" t="s">
        <v>6336</v>
      </c>
    </row>
    <row r="2874" customFormat="false" ht="15" hidden="false" customHeight="false" outlineLevel="0" collapsed="false">
      <c r="B2874" s="19" t="s">
        <v>28239</v>
      </c>
      <c r="C2874" s="20" t="n">
        <f aca="false">ROUND(10.4/FX,2)</f>
        <v>1.44</v>
      </c>
      <c r="D2874" s="21" t="s">
        <v>6336</v>
      </c>
      <c r="E2874" s="21" t="s">
        <v>13732</v>
      </c>
      <c r="F2874" s="21" t="s">
        <v>28240</v>
      </c>
      <c r="G2874" s="21" t="s">
        <v>6336</v>
      </c>
    </row>
    <row r="2875" customFormat="false" ht="15" hidden="false" customHeight="false" outlineLevel="0" collapsed="false">
      <c r="B2875" s="19" t="s">
        <v>28241</v>
      </c>
      <c r="C2875" s="20" t="n">
        <f aca="false">ROUND(1.04/FX,2)</f>
        <v>0.14</v>
      </c>
      <c r="D2875" s="21" t="s">
        <v>6336</v>
      </c>
      <c r="E2875" s="21" t="s">
        <v>13732</v>
      </c>
      <c r="F2875" s="21" t="s">
        <v>28242</v>
      </c>
      <c r="G2875" s="21" t="s">
        <v>6336</v>
      </c>
    </row>
    <row r="2876" customFormat="false" ht="15" hidden="false" customHeight="false" outlineLevel="0" collapsed="false">
      <c r="B2876" s="19" t="s">
        <v>28243</v>
      </c>
      <c r="C2876" s="20" t="n">
        <f aca="false">ROUND(1/FX,2)</f>
        <v>0.14</v>
      </c>
      <c r="D2876" s="21" t="s">
        <v>6336</v>
      </c>
      <c r="E2876" s="21" t="s">
        <v>13739</v>
      </c>
      <c r="F2876" s="21" t="s">
        <v>28244</v>
      </c>
      <c r="G2876" s="21" t="s">
        <v>6336</v>
      </c>
    </row>
    <row r="2877" customFormat="false" ht="15" hidden="false" customHeight="false" outlineLevel="0" collapsed="false">
      <c r="B2877" s="19" t="s">
        <v>28245</v>
      </c>
      <c r="C2877" s="20" t="n">
        <f aca="false">ROUND(1.96/FX,2)</f>
        <v>0.27</v>
      </c>
      <c r="D2877" s="21" t="s">
        <v>6336</v>
      </c>
      <c r="E2877" s="21" t="s">
        <v>13739</v>
      </c>
      <c r="F2877" s="21" t="s">
        <v>28246</v>
      </c>
      <c r="G2877" s="21" t="s">
        <v>6336</v>
      </c>
    </row>
    <row r="2878" customFormat="false" ht="15" hidden="false" customHeight="false" outlineLevel="0" collapsed="false">
      <c r="B2878" s="19" t="s">
        <v>28247</v>
      </c>
      <c r="C2878" s="20" t="n">
        <f aca="false">ROUND(1.56/FX,2)</f>
        <v>0.22</v>
      </c>
      <c r="D2878" s="21" t="s">
        <v>6336</v>
      </c>
      <c r="E2878" s="21" t="s">
        <v>13732</v>
      </c>
      <c r="F2878" s="21" t="s">
        <v>28248</v>
      </c>
      <c r="G2878" s="21" t="s">
        <v>6336</v>
      </c>
    </row>
    <row r="2879" customFormat="false" ht="15" hidden="false" customHeight="false" outlineLevel="0" collapsed="false">
      <c r="B2879" s="19" t="s">
        <v>28249</v>
      </c>
      <c r="C2879" s="20" t="n">
        <f aca="false">ROUND(2.02/FX,2)</f>
        <v>0.28</v>
      </c>
      <c r="D2879" s="21" t="s">
        <v>6336</v>
      </c>
      <c r="E2879" s="21" t="s">
        <v>13732</v>
      </c>
      <c r="F2879" s="21" t="s">
        <v>28250</v>
      </c>
      <c r="G2879" s="21" t="s">
        <v>6336</v>
      </c>
    </row>
    <row r="2880" customFormat="false" ht="15" hidden="false" customHeight="false" outlineLevel="0" collapsed="false">
      <c r="B2880" s="19" t="s">
        <v>28251</v>
      </c>
      <c r="C2880" s="20" t="n">
        <f aca="false">ROUND(3.17/FX,2)</f>
        <v>0.44</v>
      </c>
      <c r="D2880" s="21" t="s">
        <v>6336</v>
      </c>
      <c r="E2880" s="21" t="s">
        <v>13732</v>
      </c>
      <c r="F2880" s="21" t="s">
        <v>28252</v>
      </c>
      <c r="G2880" s="21" t="s">
        <v>6336</v>
      </c>
    </row>
    <row r="2881" customFormat="false" ht="15" hidden="false" customHeight="false" outlineLevel="0" collapsed="false">
      <c r="B2881" s="19" t="s">
        <v>28253</v>
      </c>
      <c r="C2881" s="20" t="n">
        <f aca="false">ROUND(1.95/FX,2)</f>
        <v>0.27</v>
      </c>
      <c r="D2881" s="21" t="s">
        <v>6336</v>
      </c>
      <c r="E2881" s="21" t="s">
        <v>13739</v>
      </c>
      <c r="F2881" s="21" t="s">
        <v>28254</v>
      </c>
      <c r="G2881" s="21" t="s">
        <v>6336</v>
      </c>
    </row>
    <row r="2882" customFormat="false" ht="15" hidden="false" customHeight="false" outlineLevel="0" collapsed="false">
      <c r="B2882" s="19" t="s">
        <v>28255</v>
      </c>
      <c r="C2882" s="20" t="n">
        <f aca="false">ROUND(1.11/FX,2)</f>
        <v>0.15</v>
      </c>
      <c r="D2882" s="21" t="s">
        <v>6336</v>
      </c>
      <c r="E2882" s="21" t="s">
        <v>13743</v>
      </c>
      <c r="F2882" s="21" t="s">
        <v>28256</v>
      </c>
      <c r="G2882" s="21" t="s">
        <v>6336</v>
      </c>
    </row>
    <row r="2883" customFormat="false" ht="15" hidden="false" customHeight="false" outlineLevel="0" collapsed="false">
      <c r="B2883" s="19" t="s">
        <v>28257</v>
      </c>
      <c r="C2883" s="20" t="n">
        <f aca="false">ROUND(1.04/FX,2)</f>
        <v>0.14</v>
      </c>
      <c r="D2883" s="21" t="s">
        <v>6336</v>
      </c>
      <c r="E2883" s="21" t="s">
        <v>14013</v>
      </c>
      <c r="F2883" s="21" t="s">
        <v>28258</v>
      </c>
      <c r="G2883" s="21" t="s">
        <v>6336</v>
      </c>
    </row>
    <row r="2884" customFormat="false" ht="15" hidden="false" customHeight="false" outlineLevel="0" collapsed="false">
      <c r="B2884" s="19" t="s">
        <v>28259</v>
      </c>
      <c r="C2884" s="20" t="n">
        <f aca="false">ROUND(1.04/FX,2)</f>
        <v>0.14</v>
      </c>
      <c r="D2884" s="21" t="s">
        <v>6336</v>
      </c>
      <c r="E2884" s="21" t="s">
        <v>13739</v>
      </c>
      <c r="F2884" s="21" t="s">
        <v>28260</v>
      </c>
      <c r="G2884" s="21" t="s">
        <v>6336</v>
      </c>
    </row>
    <row r="2885" customFormat="false" ht="15" hidden="false" customHeight="false" outlineLevel="0" collapsed="false">
      <c r="B2885" s="19" t="s">
        <v>28261</v>
      </c>
      <c r="C2885" s="20" t="n">
        <f aca="false">ROUND(1.43/FX,2)</f>
        <v>0.2</v>
      </c>
      <c r="D2885" s="21" t="s">
        <v>6336</v>
      </c>
      <c r="E2885" s="21" t="s">
        <v>13739</v>
      </c>
      <c r="F2885" s="21" t="s">
        <v>28262</v>
      </c>
      <c r="G2885" s="21" t="s">
        <v>6336</v>
      </c>
    </row>
    <row r="2886" customFormat="false" ht="28.35" hidden="false" customHeight="false" outlineLevel="0" collapsed="false">
      <c r="B2886" s="19" t="s">
        <v>28263</v>
      </c>
      <c r="C2886" s="20" t="n">
        <f aca="false">ROUND(1.74/FX,2)</f>
        <v>0.24</v>
      </c>
      <c r="D2886" s="21" t="s">
        <v>6336</v>
      </c>
      <c r="E2886" s="21" t="s">
        <v>13739</v>
      </c>
      <c r="F2886" s="21" t="s">
        <v>28264</v>
      </c>
      <c r="G2886" s="21" t="s">
        <v>6336</v>
      </c>
    </row>
    <row r="2887" customFormat="false" ht="15" hidden="false" customHeight="false" outlineLevel="0" collapsed="false">
      <c r="B2887" s="19" t="s">
        <v>28265</v>
      </c>
      <c r="C2887" s="20" t="n">
        <f aca="false">ROUND(1.01/FX,2)</f>
        <v>0.14</v>
      </c>
      <c r="D2887" s="21" t="s">
        <v>6336</v>
      </c>
      <c r="E2887" s="21" t="s">
        <v>14007</v>
      </c>
      <c r="F2887" s="21" t="s">
        <v>28266</v>
      </c>
      <c r="G2887" s="21" t="s">
        <v>6336</v>
      </c>
    </row>
    <row r="2888" customFormat="false" ht="15" hidden="false" customHeight="false" outlineLevel="0" collapsed="false">
      <c r="B2888" s="19" t="s">
        <v>28267</v>
      </c>
      <c r="C2888" s="20" t="n">
        <f aca="false">ROUND(1.01/FX,2)</f>
        <v>0.14</v>
      </c>
      <c r="D2888" s="21" t="s">
        <v>6336</v>
      </c>
      <c r="E2888" s="21" t="s">
        <v>14007</v>
      </c>
      <c r="F2888" s="21" t="s">
        <v>28268</v>
      </c>
      <c r="G2888" s="21" t="s">
        <v>6336</v>
      </c>
    </row>
    <row r="2889" customFormat="false" ht="15" hidden="false" customHeight="false" outlineLevel="0" collapsed="false">
      <c r="B2889" s="19" t="s">
        <v>28269</v>
      </c>
      <c r="C2889" s="20" t="n">
        <f aca="false">ROUND(1.17/FX,2)</f>
        <v>0.16</v>
      </c>
      <c r="D2889" s="21" t="s">
        <v>6336</v>
      </c>
      <c r="E2889" s="21" t="s">
        <v>13743</v>
      </c>
      <c r="F2889" s="21" t="s">
        <v>28270</v>
      </c>
      <c r="G2889" s="21" t="s">
        <v>6336</v>
      </c>
    </row>
    <row r="2890" customFormat="false" ht="15" hidden="false" customHeight="false" outlineLevel="0" collapsed="false">
      <c r="B2890" s="19" t="s">
        <v>28271</v>
      </c>
      <c r="C2890" s="20" t="n">
        <f aca="false">ROUND(1.3/FX,2)</f>
        <v>0.18</v>
      </c>
      <c r="D2890" s="21" t="s">
        <v>6336</v>
      </c>
      <c r="E2890" s="21" t="s">
        <v>14013</v>
      </c>
      <c r="F2890" s="21" t="s">
        <v>28272</v>
      </c>
      <c r="G2890" s="21" t="s">
        <v>6336</v>
      </c>
    </row>
    <row r="2891" customFormat="false" ht="15" hidden="false" customHeight="false" outlineLevel="0" collapsed="false">
      <c r="B2891" s="19" t="s">
        <v>28273</v>
      </c>
      <c r="C2891" s="20" t="n">
        <f aca="false">ROUND(1.27/FX,2)</f>
        <v>0.18</v>
      </c>
      <c r="D2891" s="21" t="s">
        <v>6336</v>
      </c>
      <c r="E2891" s="21" t="s">
        <v>13739</v>
      </c>
      <c r="F2891" s="21" t="s">
        <v>28274</v>
      </c>
      <c r="G2891" s="21" t="s">
        <v>6336</v>
      </c>
    </row>
    <row r="2892" customFormat="false" ht="28.35" hidden="false" customHeight="false" outlineLevel="0" collapsed="false">
      <c r="B2892" s="19" t="s">
        <v>28275</v>
      </c>
      <c r="C2892" s="20" t="n">
        <f aca="false">ROUND(6.55/FX,2)</f>
        <v>0.91</v>
      </c>
      <c r="D2892" s="21" t="s">
        <v>6336</v>
      </c>
      <c r="E2892" s="21" t="s">
        <v>13732</v>
      </c>
      <c r="F2892" s="21" t="s">
        <v>28276</v>
      </c>
      <c r="G2892" s="21" t="s">
        <v>6336</v>
      </c>
    </row>
    <row r="2893" customFormat="false" ht="28.35" hidden="false" customHeight="false" outlineLevel="0" collapsed="false">
      <c r="B2893" s="19" t="s">
        <v>28277</v>
      </c>
      <c r="C2893" s="20" t="n">
        <f aca="false">ROUND(8.58/FX,2)</f>
        <v>1.19</v>
      </c>
      <c r="D2893" s="21" t="s">
        <v>6336</v>
      </c>
      <c r="E2893" s="21" t="s">
        <v>13732</v>
      </c>
      <c r="F2893" s="21" t="s">
        <v>28278</v>
      </c>
      <c r="G2893" s="21" t="s">
        <v>6336</v>
      </c>
    </row>
    <row r="2894" customFormat="false" ht="28.35" hidden="false" customHeight="false" outlineLevel="0" collapsed="false">
      <c r="B2894" s="19" t="s">
        <v>28279</v>
      </c>
      <c r="C2894" s="20" t="n">
        <f aca="false">ROUND(13/FX,2)</f>
        <v>1.81</v>
      </c>
      <c r="D2894" s="21" t="s">
        <v>6336</v>
      </c>
      <c r="E2894" s="21" t="s">
        <v>13732</v>
      </c>
      <c r="F2894" s="21" t="s">
        <v>28280</v>
      </c>
      <c r="G2894" s="21" t="s">
        <v>6336</v>
      </c>
    </row>
    <row r="2895" customFormat="false" ht="28.35" hidden="false" customHeight="false" outlineLevel="0" collapsed="false">
      <c r="B2895" s="19" t="s">
        <v>28281</v>
      </c>
      <c r="C2895" s="20" t="n">
        <f aca="false">ROUND(1.25/FX,2)</f>
        <v>0.17</v>
      </c>
      <c r="D2895" s="21" t="s">
        <v>6336</v>
      </c>
      <c r="E2895" s="21" t="s">
        <v>13732</v>
      </c>
      <c r="F2895" s="21" t="s">
        <v>28282</v>
      </c>
      <c r="G2895" s="21" t="s">
        <v>6336</v>
      </c>
    </row>
    <row r="2896" customFormat="false" ht="28.35" hidden="false" customHeight="false" outlineLevel="0" collapsed="false">
      <c r="B2896" s="19" t="s">
        <v>28283</v>
      </c>
      <c r="C2896" s="20" t="n">
        <f aca="false">ROUND(1.4/FX,2)</f>
        <v>0.19</v>
      </c>
      <c r="D2896" s="21" t="s">
        <v>6336</v>
      </c>
      <c r="E2896" s="21" t="s">
        <v>13732</v>
      </c>
      <c r="F2896" s="21" t="s">
        <v>28284</v>
      </c>
      <c r="G2896" s="21" t="s">
        <v>6336</v>
      </c>
    </row>
    <row r="2897" customFormat="false" ht="28.35" hidden="false" customHeight="false" outlineLevel="0" collapsed="false">
      <c r="B2897" s="19" t="s">
        <v>28285</v>
      </c>
      <c r="C2897" s="20" t="n">
        <f aca="false">ROUND(2.34/FX,2)</f>
        <v>0.33</v>
      </c>
      <c r="D2897" s="21" t="s">
        <v>6336</v>
      </c>
      <c r="E2897" s="21" t="s">
        <v>13732</v>
      </c>
      <c r="F2897" s="21" t="s">
        <v>28286</v>
      </c>
      <c r="G2897" s="21" t="s">
        <v>6336</v>
      </c>
    </row>
    <row r="2898" customFormat="false" ht="28.35" hidden="false" customHeight="false" outlineLevel="0" collapsed="false">
      <c r="B2898" s="19" t="s">
        <v>28287</v>
      </c>
      <c r="C2898" s="20" t="n">
        <f aca="false">ROUND(3.12/FX,2)</f>
        <v>0.43</v>
      </c>
      <c r="D2898" s="21" t="s">
        <v>6336</v>
      </c>
      <c r="E2898" s="21" t="s">
        <v>13732</v>
      </c>
      <c r="F2898" s="21" t="s">
        <v>28288</v>
      </c>
      <c r="G2898" s="21" t="s">
        <v>6336</v>
      </c>
    </row>
    <row r="2899" customFormat="false" ht="28.35" hidden="false" customHeight="false" outlineLevel="0" collapsed="false">
      <c r="B2899" s="19" t="s">
        <v>28289</v>
      </c>
      <c r="C2899" s="20" t="n">
        <f aca="false">ROUND(4.99/FX,2)</f>
        <v>0.69</v>
      </c>
      <c r="D2899" s="21" t="s">
        <v>6336</v>
      </c>
      <c r="E2899" s="21" t="s">
        <v>13732</v>
      </c>
      <c r="F2899" s="21" t="s">
        <v>28290</v>
      </c>
      <c r="G2899" s="21" t="s">
        <v>6336</v>
      </c>
    </row>
    <row r="2900" customFormat="false" ht="15" hidden="false" customHeight="false" outlineLevel="0" collapsed="false">
      <c r="B2900" s="19" t="s">
        <v>28291</v>
      </c>
      <c r="C2900" s="20" t="n">
        <f aca="false">ROUND(7.8/FX,2)</f>
        <v>1.08</v>
      </c>
      <c r="D2900" s="21" t="s">
        <v>8669</v>
      </c>
      <c r="E2900" s="21" t="s">
        <v>13732</v>
      </c>
      <c r="F2900" s="21" t="s">
        <v>28292</v>
      </c>
      <c r="G2900" s="21" t="s">
        <v>16204</v>
      </c>
    </row>
    <row r="2901" customFormat="false" ht="15" hidden="false" customHeight="false" outlineLevel="0" collapsed="false">
      <c r="B2901" s="19" t="s">
        <v>28293</v>
      </c>
      <c r="C2901" s="20" t="n">
        <f aca="false">ROUND(7.8/FX,2)</f>
        <v>1.08</v>
      </c>
      <c r="D2901" s="21" t="s">
        <v>8669</v>
      </c>
      <c r="E2901" s="21" t="s">
        <v>13732</v>
      </c>
      <c r="F2901" s="21" t="s">
        <v>28292</v>
      </c>
      <c r="G2901" s="21" t="s">
        <v>14776</v>
      </c>
    </row>
    <row r="2902" customFormat="false" ht="15" hidden="false" customHeight="false" outlineLevel="0" collapsed="false">
      <c r="B2902" s="19" t="s">
        <v>28294</v>
      </c>
      <c r="C2902" s="20" t="n">
        <f aca="false">ROUND(0.78/FX,2)</f>
        <v>0.11</v>
      </c>
      <c r="D2902" s="21" t="s">
        <v>10100</v>
      </c>
      <c r="E2902" s="21" t="s">
        <v>13732</v>
      </c>
      <c r="F2902" s="21" t="s">
        <v>28295</v>
      </c>
      <c r="G2902" s="21" t="s">
        <v>14780</v>
      </c>
    </row>
    <row r="2903" customFormat="false" ht="15" hidden="false" customHeight="false" outlineLevel="0" collapsed="false">
      <c r="B2903" s="19" t="s">
        <v>28296</v>
      </c>
      <c r="C2903" s="20" t="n">
        <f aca="false">ROUND(6.5/FX,2)</f>
        <v>0.9</v>
      </c>
      <c r="D2903" s="21" t="s">
        <v>8669</v>
      </c>
      <c r="E2903" s="21" t="s">
        <v>13732</v>
      </c>
      <c r="F2903" s="21" t="s">
        <v>28292</v>
      </c>
      <c r="G2903" s="21" t="s">
        <v>16216</v>
      </c>
    </row>
    <row r="2904" customFormat="false" ht="15" hidden="false" customHeight="false" outlineLevel="0" collapsed="false">
      <c r="B2904" s="19" t="s">
        <v>28297</v>
      </c>
      <c r="C2904" s="20" t="n">
        <f aca="false">ROUND(6.5/FX,2)</f>
        <v>0.9</v>
      </c>
      <c r="D2904" s="21" t="s">
        <v>8669</v>
      </c>
      <c r="E2904" s="21" t="s">
        <v>13732</v>
      </c>
      <c r="F2904" s="21" t="s">
        <v>28292</v>
      </c>
      <c r="G2904" s="21" t="s">
        <v>14783</v>
      </c>
    </row>
    <row r="2905" customFormat="false" ht="15" hidden="false" customHeight="false" outlineLevel="0" collapsed="false">
      <c r="B2905" s="19" t="s">
        <v>28298</v>
      </c>
      <c r="C2905" s="20" t="n">
        <f aca="false">ROUND(13/FX,2)</f>
        <v>1.81</v>
      </c>
      <c r="D2905" s="21" t="s">
        <v>8669</v>
      </c>
      <c r="E2905" s="21" t="s">
        <v>13732</v>
      </c>
      <c r="F2905" s="21" t="s">
        <v>28292</v>
      </c>
      <c r="G2905" s="21" t="s">
        <v>14785</v>
      </c>
    </row>
    <row r="2906" customFormat="false" ht="15" hidden="false" customHeight="false" outlineLevel="0" collapsed="false">
      <c r="B2906" s="19" t="s">
        <v>28299</v>
      </c>
      <c r="C2906" s="20" t="n">
        <f aca="false">ROUND(26/FX,2)</f>
        <v>3.61</v>
      </c>
      <c r="D2906" s="21" t="s">
        <v>8669</v>
      </c>
      <c r="E2906" s="21" t="s">
        <v>13732</v>
      </c>
      <c r="F2906" s="21" t="s">
        <v>28292</v>
      </c>
      <c r="G2906" s="21" t="s">
        <v>14795</v>
      </c>
    </row>
    <row r="2907" customFormat="false" ht="15" hidden="false" customHeight="false" outlineLevel="0" collapsed="false">
      <c r="B2907" s="19" t="s">
        <v>28300</v>
      </c>
      <c r="C2907" s="20" t="n">
        <f aca="false">ROUND(0.78/FX,2)</f>
        <v>0.11</v>
      </c>
      <c r="D2907" s="21" t="s">
        <v>10100</v>
      </c>
      <c r="E2907" s="21" t="s">
        <v>13743</v>
      </c>
      <c r="F2907" s="21" t="s">
        <v>28301</v>
      </c>
      <c r="G2907" s="21" t="s">
        <v>14973</v>
      </c>
    </row>
    <row r="2908" customFormat="false" ht="15" hidden="false" customHeight="false" outlineLevel="0" collapsed="false">
      <c r="B2908" s="19" t="s">
        <v>28302</v>
      </c>
      <c r="C2908" s="20" t="n">
        <f aca="false">ROUND(0.52/FX,2)</f>
        <v>0.07</v>
      </c>
      <c r="D2908" s="21" t="s">
        <v>10100</v>
      </c>
      <c r="E2908" s="21" t="s">
        <v>13743</v>
      </c>
      <c r="F2908" s="21" t="s">
        <v>28295</v>
      </c>
      <c r="G2908" s="21" t="s">
        <v>14973</v>
      </c>
    </row>
    <row r="2909" customFormat="false" ht="15" hidden="false" customHeight="false" outlineLevel="0" collapsed="false">
      <c r="B2909" s="19" t="s">
        <v>28303</v>
      </c>
      <c r="C2909" s="20" t="n">
        <f aca="false">ROUND(0.91/FX,2)</f>
        <v>0.13</v>
      </c>
      <c r="D2909" s="21" t="s">
        <v>10100</v>
      </c>
      <c r="E2909" s="21" t="s">
        <v>13743</v>
      </c>
      <c r="F2909" s="21" t="s">
        <v>28295</v>
      </c>
      <c r="G2909" s="21" t="s">
        <v>14979</v>
      </c>
    </row>
    <row r="2910" customFormat="false" ht="15" hidden="false" customHeight="false" outlineLevel="0" collapsed="false">
      <c r="B2910" s="19" t="s">
        <v>28304</v>
      </c>
      <c r="C2910" s="20" t="n">
        <f aca="false">ROUND(2.6/FX,2)</f>
        <v>0.36</v>
      </c>
      <c r="D2910" s="21" t="s">
        <v>8669</v>
      </c>
      <c r="E2910" s="21" t="s">
        <v>13732</v>
      </c>
      <c r="F2910" s="21" t="s">
        <v>28292</v>
      </c>
      <c r="G2910" s="21" t="s">
        <v>16429</v>
      </c>
    </row>
    <row r="2911" customFormat="false" ht="15" hidden="false" customHeight="false" outlineLevel="0" collapsed="false">
      <c r="B2911" s="19" t="s">
        <v>28305</v>
      </c>
      <c r="C2911" s="20" t="n">
        <f aca="false">ROUND(1.69/FX,2)</f>
        <v>0.23</v>
      </c>
      <c r="D2911" s="21" t="s">
        <v>10100</v>
      </c>
      <c r="E2911" s="21" t="s">
        <v>13997</v>
      </c>
      <c r="F2911" s="21" t="s">
        <v>28295</v>
      </c>
      <c r="G2911" s="21" t="s">
        <v>14826</v>
      </c>
    </row>
    <row r="2912" customFormat="false" ht="15" hidden="false" customHeight="false" outlineLevel="0" collapsed="false">
      <c r="B2912" s="19" t="s">
        <v>28306</v>
      </c>
      <c r="C2912" s="20" t="n">
        <f aca="false">ROUND(3.38/FX,2)</f>
        <v>0.47</v>
      </c>
      <c r="D2912" s="21" t="s">
        <v>8669</v>
      </c>
      <c r="E2912" s="21" t="s">
        <v>13732</v>
      </c>
      <c r="F2912" s="21" t="s">
        <v>28292</v>
      </c>
      <c r="G2912" s="21" t="s">
        <v>16368</v>
      </c>
    </row>
    <row r="2913" customFormat="false" ht="15" hidden="false" customHeight="false" outlineLevel="0" collapsed="false">
      <c r="B2913" s="19" t="s">
        <v>28307</v>
      </c>
      <c r="C2913" s="20" t="n">
        <f aca="false">ROUND(3.38/FX,2)</f>
        <v>0.47</v>
      </c>
      <c r="D2913" s="21" t="s">
        <v>8669</v>
      </c>
      <c r="E2913" s="21" t="s">
        <v>13732</v>
      </c>
      <c r="F2913" s="21" t="s">
        <v>28292</v>
      </c>
      <c r="G2913" s="21" t="s">
        <v>16370</v>
      </c>
    </row>
    <row r="2914" customFormat="false" ht="15" hidden="false" customHeight="false" outlineLevel="0" collapsed="false">
      <c r="B2914" s="19" t="s">
        <v>28308</v>
      </c>
      <c r="C2914" s="20" t="n">
        <f aca="false">ROUND(1.43/FX,2)</f>
        <v>0.2</v>
      </c>
      <c r="D2914" s="21" t="s">
        <v>10100</v>
      </c>
      <c r="E2914" s="21" t="s">
        <v>13743</v>
      </c>
      <c r="F2914" s="21" t="s">
        <v>28295</v>
      </c>
      <c r="G2914" s="21" t="s">
        <v>14829</v>
      </c>
    </row>
    <row r="2915" customFormat="false" ht="15" hidden="false" customHeight="false" outlineLevel="0" collapsed="false">
      <c r="B2915" s="19" t="s">
        <v>28309</v>
      </c>
      <c r="C2915" s="20" t="n">
        <f aca="false">ROUND(5.2/FX,2)</f>
        <v>0.72</v>
      </c>
      <c r="D2915" s="21" t="s">
        <v>8669</v>
      </c>
      <c r="E2915" s="21" t="s">
        <v>13732</v>
      </c>
      <c r="F2915" s="21" t="s">
        <v>28292</v>
      </c>
      <c r="G2915" s="21" t="s">
        <v>16393</v>
      </c>
    </row>
    <row r="2916" customFormat="false" ht="15" hidden="false" customHeight="false" outlineLevel="0" collapsed="false">
      <c r="B2916" s="19" t="s">
        <v>28310</v>
      </c>
      <c r="C2916" s="20" t="n">
        <f aca="false">ROUND(5.2/FX,2)</f>
        <v>0.72</v>
      </c>
      <c r="D2916" s="21" t="s">
        <v>8669</v>
      </c>
      <c r="E2916" s="21" t="s">
        <v>13732</v>
      </c>
      <c r="F2916" s="21" t="s">
        <v>28292</v>
      </c>
      <c r="G2916" s="21" t="s">
        <v>16395</v>
      </c>
    </row>
    <row r="2917" customFormat="false" ht="15" hidden="false" customHeight="false" outlineLevel="0" collapsed="false">
      <c r="B2917" s="19" t="s">
        <v>28311</v>
      </c>
      <c r="C2917" s="20" t="n">
        <f aca="false">ROUND(0.77/FX,2)</f>
        <v>0.11</v>
      </c>
      <c r="D2917" s="21" t="s">
        <v>10100</v>
      </c>
      <c r="E2917" s="21" t="s">
        <v>13732</v>
      </c>
      <c r="F2917" s="21" t="s">
        <v>28295</v>
      </c>
      <c r="G2917" s="21" t="s">
        <v>14832</v>
      </c>
    </row>
    <row r="2920" customFormat="false" ht="61.5" hidden="false" customHeight="true" outlineLevel="0" collapsed="false">
      <c r="A2920" s="9"/>
      <c r="B2920" s="10" t="s">
        <v>28312</v>
      </c>
      <c r="C2920" s="10"/>
      <c r="D2920" s="10"/>
      <c r="E2920" s="10"/>
      <c r="F2920" s="10"/>
    </row>
    <row r="2921" customFormat="false" ht="15" hidden="false" customHeight="false" outlineLevel="0" collapsed="false">
      <c r="A2921" s="12" t="s">
        <v>700</v>
      </c>
      <c r="B2921" s="13" t="s">
        <v>701</v>
      </c>
      <c r="C2921" s="13" t="s">
        <v>702</v>
      </c>
      <c r="D2921" s="13" t="s">
        <v>705</v>
      </c>
      <c r="E2921" s="13" t="s">
        <v>723</v>
      </c>
      <c r="F2921" s="13" t="s">
        <v>13701</v>
      </c>
    </row>
    <row r="2922" customFormat="false" ht="30" hidden="false" customHeight="true" outlineLevel="0" collapsed="false">
      <c r="A2922" s="14" t="s">
        <v>706</v>
      </c>
      <c r="B2922" s="15" t="str">
        <f aca="false">IF(COUNTIFS($D$2925:$D$2931,IF(D2922="","*",D2922),$E$2925:$E$2931,IF(E2922="","*",E2922),$F$2925:$F$2931,IF(F2922="","*",F2922))=1,INDEX($B:$B,SUMPRODUCT(((D2922="")+($D$2925:$D$2931=D2922)&gt;0)*((E2922="")+($E$2925:$E$2931=E2922)&gt;0)*((F2922="")+($F$2925:$F$2931=F2922)&gt;0)*ROW($B$2925:$B$2931))),IF(COUNTIFS($D$2925:$D$2931,IF(D2922="","*",D2922),$E$2925:$E$2931,IF(E2922="","*",E2922),$F$2925:$F$2931,IF(F2922="","*",F2922))=0,"Not available",COUNTIFS($D$2925:$D$2931,IF(D2922="","*",D2922),$E$2925:$E$2931,IF(E2922="","*",E2922),$F$2925:$F$2931,IF(F2922="","*",F2922))&amp;" match, keep choosing"))</f>
        <v>BN-023-M10x1.5-NI</v>
      </c>
      <c r="C2922" s="16" t="n">
        <f aca="false">IF(COUNTIFS($D$2925:$D$2931,IF(D2922="","*",D2922),$E$2925:$E$2931,IF(E2922="","*",E2922),$F$2925:$F$2931,IF(F2922="","*",F2922))=1,INDEX($C:$C,SUMPRODUCT(((D2922="")+($D$2925:$D$2931=D2922)&gt;0)*((E2922="")+($E$2925:$E$2931=E2922)&gt;0)*((F2922="")+($F$2925:$F$2931=F2922)&gt;0)*ROW($B$2925:$B$2931))),"")</f>
        <v>0.1</v>
      </c>
      <c r="D2922" s="17" t="s">
        <v>13732</v>
      </c>
      <c r="E2922" s="17" t="s">
        <v>19357</v>
      </c>
      <c r="F2922" s="17" t="s">
        <v>14780</v>
      </c>
    </row>
    <row r="2924" customFormat="false" ht="15" hidden="false" customHeight="false" outlineLevel="0" collapsed="false">
      <c r="B2924" s="18" t="s">
        <v>701</v>
      </c>
      <c r="C2924" s="18" t="s">
        <v>702</v>
      </c>
      <c r="D2924" s="18" t="s">
        <v>705</v>
      </c>
      <c r="E2924" s="18" t="s">
        <v>723</v>
      </c>
      <c r="F2924" s="18" t="s">
        <v>13701</v>
      </c>
    </row>
    <row r="2925" customFormat="false" ht="15" hidden="false" customHeight="false" outlineLevel="0" collapsed="false">
      <c r="B2925" s="19" t="s">
        <v>28313</v>
      </c>
      <c r="C2925" s="20" t="n">
        <f aca="false">ROUND(0.72/FX,2)</f>
        <v>0.1</v>
      </c>
      <c r="D2925" s="21" t="s">
        <v>13732</v>
      </c>
      <c r="E2925" s="21" t="s">
        <v>19357</v>
      </c>
      <c r="F2925" s="21" t="s">
        <v>14780</v>
      </c>
    </row>
    <row r="2926" customFormat="false" ht="15" hidden="false" customHeight="false" outlineLevel="0" collapsed="false">
      <c r="B2926" s="19" t="s">
        <v>28314</v>
      </c>
      <c r="C2926" s="20" t="n">
        <f aca="false">ROUND(1.3/FX,2)</f>
        <v>0.18</v>
      </c>
      <c r="D2926" s="21" t="s">
        <v>14056</v>
      </c>
      <c r="E2926" s="21" t="s">
        <v>27839</v>
      </c>
      <c r="F2926" s="21" t="s">
        <v>14973</v>
      </c>
    </row>
    <row r="2927" customFormat="false" ht="15" hidden="false" customHeight="false" outlineLevel="0" collapsed="false">
      <c r="B2927" s="19" t="s">
        <v>28315</v>
      </c>
      <c r="C2927" s="20" t="n">
        <f aca="false">ROUND(0.72/FX,2)</f>
        <v>0.1</v>
      </c>
      <c r="D2927" s="21" t="s">
        <v>13743</v>
      </c>
      <c r="E2927" s="21" t="s">
        <v>19357</v>
      </c>
      <c r="F2927" s="21" t="s">
        <v>14973</v>
      </c>
    </row>
    <row r="2928" customFormat="false" ht="15" hidden="false" customHeight="false" outlineLevel="0" collapsed="false">
      <c r="B2928" s="19" t="s">
        <v>28316</v>
      </c>
      <c r="C2928" s="20" t="n">
        <f aca="false">ROUND(0.72/FX,2)</f>
        <v>0.1</v>
      </c>
      <c r="D2928" s="21" t="s">
        <v>13743</v>
      </c>
      <c r="E2928" s="21" t="s">
        <v>19357</v>
      </c>
      <c r="F2928" s="21" t="s">
        <v>14979</v>
      </c>
    </row>
    <row r="2929" customFormat="false" ht="15" hidden="false" customHeight="false" outlineLevel="0" collapsed="false">
      <c r="B2929" s="19" t="s">
        <v>28317</v>
      </c>
      <c r="C2929" s="20" t="n">
        <f aca="false">ROUND(0.91/FX,2)</f>
        <v>0.13</v>
      </c>
      <c r="D2929" s="21" t="s">
        <v>13743</v>
      </c>
      <c r="E2929" s="21" t="s">
        <v>19357</v>
      </c>
      <c r="F2929" s="21" t="s">
        <v>14826</v>
      </c>
    </row>
    <row r="2930" customFormat="false" ht="15" hidden="false" customHeight="false" outlineLevel="0" collapsed="false">
      <c r="B2930" s="19" t="s">
        <v>28318</v>
      </c>
      <c r="C2930" s="20" t="n">
        <f aca="false">ROUND(1.24/FX,2)</f>
        <v>0.17</v>
      </c>
      <c r="D2930" s="21" t="s">
        <v>13743</v>
      </c>
      <c r="E2930" s="21" t="s">
        <v>19357</v>
      </c>
      <c r="F2930" s="21" t="s">
        <v>14829</v>
      </c>
    </row>
    <row r="2931" customFormat="false" ht="15" hidden="false" customHeight="false" outlineLevel="0" collapsed="false">
      <c r="B2931" s="19" t="s">
        <v>28319</v>
      </c>
      <c r="C2931" s="20" t="n">
        <f aca="false">ROUND(0.52/FX,2)</f>
        <v>0.07</v>
      </c>
      <c r="D2931" s="21" t="s">
        <v>13732</v>
      </c>
      <c r="E2931" s="21" t="s">
        <v>19357</v>
      </c>
      <c r="F2931" s="21" t="s">
        <v>14832</v>
      </c>
    </row>
    <row r="2934" customFormat="false" ht="61.5" hidden="false" customHeight="true" outlineLevel="0" collapsed="false">
      <c r="A2934" s="9"/>
      <c r="B2934" s="10" t="s">
        <v>28320</v>
      </c>
      <c r="C2934" s="10"/>
      <c r="D2934" s="10"/>
    </row>
    <row r="2935" customFormat="false" ht="15" hidden="false" customHeight="false" outlineLevel="0" collapsed="false">
      <c r="B2935" s="18" t="s">
        <v>701</v>
      </c>
      <c r="C2935" s="18" t="s">
        <v>702</v>
      </c>
      <c r="D2935" s="18" t="s">
        <v>5610</v>
      </c>
    </row>
    <row r="2936" customFormat="false" ht="15" hidden="false" customHeight="false" outlineLevel="0" collapsed="false">
      <c r="B2936" s="19" t="s">
        <v>28321</v>
      </c>
      <c r="C2936" s="20" t="n">
        <f aca="false">ROUND(0.91/FX,2)</f>
        <v>0.13</v>
      </c>
      <c r="D2936" s="22" t="s">
        <v>5612</v>
      </c>
    </row>
    <row r="2939" customFormat="false" ht="61.5" hidden="false" customHeight="true" outlineLevel="0" collapsed="false">
      <c r="A2939" s="9"/>
      <c r="B2939" s="10" t="s">
        <v>28322</v>
      </c>
      <c r="C2939" s="10"/>
      <c r="D2939" s="10"/>
      <c r="E2939" s="10"/>
      <c r="F2939" s="10"/>
      <c r="G2939" s="10"/>
    </row>
    <row r="2940" customFormat="false" ht="15" hidden="false" customHeight="false" outlineLevel="0" collapsed="false">
      <c r="A2940" s="12" t="s">
        <v>700</v>
      </c>
      <c r="B2940" s="13" t="s">
        <v>701</v>
      </c>
      <c r="C2940" s="13" t="s">
        <v>702</v>
      </c>
      <c r="D2940" s="13" t="s">
        <v>704</v>
      </c>
      <c r="E2940" s="13" t="s">
        <v>705</v>
      </c>
      <c r="F2940" s="13" t="s">
        <v>723</v>
      </c>
      <c r="G2940" s="13" t="s">
        <v>13701</v>
      </c>
    </row>
    <row r="2941" customFormat="false" ht="30" hidden="false" customHeight="true" outlineLevel="0" collapsed="false">
      <c r="A2941" s="14" t="s">
        <v>706</v>
      </c>
      <c r="B2941" s="15" t="str">
        <f aca="false">IF(COUNTIFS($D$2944:$D$2952,IF(D2941="","*",D2941),$E$2944:$E$2952,IF(E2941="","*",E2941),$F$2944:$F$2952,IF(F2941="","*",F2941),$G$2944:$G$2952,IF(G2941="","*",G2941))=1,INDEX($B:$B,SUMPRODUCT(((D2941="")+($D$2944:$D$2952=D2941)&gt;0)*((E2941="")+($E$2944:$E$2952=E2941)&gt;0)*((F2941="")+($F$2944:$F$2952=F2941)&gt;0)*((G2941="")+($G$2944:$G$2952=G2941)&gt;0)*ROW($B$2944:$B$2952))),IF(COUNTIFS($D$2944:$D$2952,IF(D2941="","*",D2941),$E$2944:$E$2952,IF(E2941="","*",E2941),$F$2944:$F$2952,IF(F2941="","*",F2941),$G$2944:$G$2952,IF(G2941="","*",G2941))=0,"Not available",COUNTIFS($D$2944:$D$2952,IF(D2941="","*",D2941),$E$2944:$E$2952,IF(E2941="","*",E2941),$F$2944:$F$2952,IF(F2941="","*",F2941),$G$2944:$G$2952,IF(G2941="","*",G2941))&amp;" match, keep choosing"))</f>
        <v>BN-015-M4x10-CS-DLBX-x3-P10</v>
      </c>
      <c r="C2941" s="16" t="n">
        <f aca="false">IF(COUNTIFS($D$2944:$D$2952,IF(D2941="","*",D2941),$E$2944:$E$2952,IF(E2941="","*",E2941),$F$2944:$F$2952,IF(F2941="","*",F2941),$G$2944:$G$2952,IF(G2941="","*",G2941))=1,INDEX($C:$C,SUMPRODUCT(((D2941="")+($D$2944:$D$2952=D2941)&gt;0)*((E2941="")+($E$2944:$E$2952=E2941)&gt;0)*((F2941="")+($F$2944:$F$2952=F2941)&gt;0)*((G2941="")+($G$2944:$G$2952=G2941)&gt;0)*ROW($B$2944:$B$2952))),"")</f>
        <v>0.05</v>
      </c>
      <c r="D2941" s="17" t="s">
        <v>10100</v>
      </c>
      <c r="E2941" s="17" t="s">
        <v>13997</v>
      </c>
      <c r="F2941" s="17" t="s">
        <v>28323</v>
      </c>
      <c r="G2941" s="17" t="s">
        <v>28324</v>
      </c>
    </row>
    <row r="2943" customFormat="false" ht="15" hidden="false" customHeight="false" outlineLevel="0" collapsed="false">
      <c r="B2943" s="18" t="s">
        <v>701</v>
      </c>
      <c r="C2943" s="18" t="s">
        <v>702</v>
      </c>
      <c r="D2943" s="18" t="s">
        <v>704</v>
      </c>
      <c r="E2943" s="18" t="s">
        <v>705</v>
      </c>
      <c r="F2943" s="18" t="s">
        <v>723</v>
      </c>
      <c r="G2943" s="18" t="s">
        <v>13701</v>
      </c>
    </row>
    <row r="2944" customFormat="false" ht="15" hidden="false" customHeight="false" outlineLevel="0" collapsed="false">
      <c r="B2944" s="19" t="s">
        <v>28325</v>
      </c>
      <c r="C2944" s="20" t="n">
        <f aca="false">ROUND(0.39/FX,2)</f>
        <v>0.05</v>
      </c>
      <c r="D2944" s="21" t="s">
        <v>10100</v>
      </c>
      <c r="E2944" s="21" t="s">
        <v>13997</v>
      </c>
      <c r="F2944" s="21" t="s">
        <v>28323</v>
      </c>
      <c r="G2944" s="21" t="s">
        <v>28324</v>
      </c>
    </row>
    <row r="2945" customFormat="false" ht="15" hidden="false" customHeight="false" outlineLevel="0" collapsed="false">
      <c r="B2945" s="19" t="s">
        <v>28326</v>
      </c>
      <c r="C2945" s="20" t="n">
        <f aca="false">ROUND(0.39/FX,2)</f>
        <v>0.05</v>
      </c>
      <c r="D2945" s="21" t="s">
        <v>10100</v>
      </c>
      <c r="E2945" s="21" t="s">
        <v>13997</v>
      </c>
      <c r="F2945" s="21" t="s">
        <v>28323</v>
      </c>
      <c r="G2945" s="21" t="s">
        <v>23566</v>
      </c>
    </row>
    <row r="2946" customFormat="false" ht="15" hidden="false" customHeight="false" outlineLevel="0" collapsed="false">
      <c r="B2946" s="19" t="s">
        <v>28327</v>
      </c>
      <c r="C2946" s="20" t="n">
        <f aca="false">ROUND(0.39/FX,2)</f>
        <v>0.05</v>
      </c>
      <c r="D2946" s="21" t="s">
        <v>10100</v>
      </c>
      <c r="E2946" s="21" t="s">
        <v>13997</v>
      </c>
      <c r="F2946" s="21" t="s">
        <v>28328</v>
      </c>
      <c r="G2946" s="21" t="s">
        <v>28329</v>
      </c>
    </row>
    <row r="2947" customFormat="false" ht="15" hidden="false" customHeight="false" outlineLevel="0" collapsed="false">
      <c r="B2947" s="19" t="s">
        <v>28330</v>
      </c>
      <c r="C2947" s="20" t="n">
        <f aca="false">ROUND(0.78/FX,2)</f>
        <v>0.11</v>
      </c>
      <c r="D2947" s="21" t="s">
        <v>10100</v>
      </c>
      <c r="E2947" s="21" t="s">
        <v>13997</v>
      </c>
      <c r="F2947" s="21" t="s">
        <v>28328</v>
      </c>
      <c r="G2947" s="21" t="s">
        <v>27818</v>
      </c>
    </row>
    <row r="2948" customFormat="false" ht="15" hidden="false" customHeight="false" outlineLevel="0" collapsed="false">
      <c r="B2948" s="19" t="s">
        <v>28331</v>
      </c>
      <c r="C2948" s="20" t="n">
        <f aca="false">ROUND(1.04/FX,2)</f>
        <v>0.14</v>
      </c>
      <c r="D2948" s="21" t="s">
        <v>10100</v>
      </c>
      <c r="E2948" s="21" t="s">
        <v>13997</v>
      </c>
      <c r="F2948" s="21" t="s">
        <v>28332</v>
      </c>
      <c r="G2948" s="21" t="s">
        <v>23577</v>
      </c>
    </row>
    <row r="2949" customFormat="false" ht="15" hidden="false" customHeight="false" outlineLevel="0" collapsed="false">
      <c r="B2949" s="19" t="s">
        <v>28333</v>
      </c>
      <c r="C2949" s="20" t="n">
        <f aca="false">ROUND(0.91/FX,2)</f>
        <v>0.13</v>
      </c>
      <c r="D2949" s="21" t="s">
        <v>10100</v>
      </c>
      <c r="E2949" s="21" t="s">
        <v>13997</v>
      </c>
      <c r="F2949" s="21" t="s">
        <v>28332</v>
      </c>
      <c r="G2949" s="21" t="s">
        <v>28334</v>
      </c>
    </row>
    <row r="2950" customFormat="false" ht="15" hidden="false" customHeight="false" outlineLevel="0" collapsed="false">
      <c r="B2950" s="19" t="s">
        <v>28335</v>
      </c>
      <c r="C2950" s="20" t="n">
        <f aca="false">ROUND(1.63/FX,2)</f>
        <v>0.23</v>
      </c>
      <c r="D2950" s="21" t="s">
        <v>10100</v>
      </c>
      <c r="E2950" s="21" t="s">
        <v>13997</v>
      </c>
      <c r="F2950" s="21" t="s">
        <v>28336</v>
      </c>
      <c r="G2950" s="21" t="s">
        <v>28337</v>
      </c>
    </row>
    <row r="2951" customFormat="false" ht="15" hidden="false" customHeight="false" outlineLevel="0" collapsed="false">
      <c r="B2951" s="19" t="s">
        <v>28338</v>
      </c>
      <c r="C2951" s="20" t="n">
        <f aca="false">ROUND(1.14/FX,2)</f>
        <v>0.16</v>
      </c>
      <c r="D2951" s="21" t="s">
        <v>8669</v>
      </c>
      <c r="E2951" s="21" t="s">
        <v>14007</v>
      </c>
      <c r="F2951" s="21" t="s">
        <v>28339</v>
      </c>
      <c r="G2951" s="21" t="s">
        <v>28340</v>
      </c>
    </row>
    <row r="2952" customFormat="false" ht="15" hidden="false" customHeight="false" outlineLevel="0" collapsed="false">
      <c r="B2952" s="19" t="s">
        <v>28341</v>
      </c>
      <c r="C2952" s="20" t="n">
        <f aca="false">ROUND(1.04/FX,2)</f>
        <v>0.14</v>
      </c>
      <c r="D2952" s="21" t="s">
        <v>10100</v>
      </c>
      <c r="E2952" s="21" t="s">
        <v>13997</v>
      </c>
      <c r="F2952" s="21" t="s">
        <v>28336</v>
      </c>
      <c r="G2952" s="21" t="s">
        <v>28342</v>
      </c>
    </row>
    <row r="2955" customFormat="false" ht="61.5" hidden="false" customHeight="true" outlineLevel="0" collapsed="false">
      <c r="A2955" s="9"/>
      <c r="B2955" s="10" t="s">
        <v>28343</v>
      </c>
      <c r="C2955" s="10"/>
      <c r="D2955" s="10"/>
      <c r="E2955" s="10"/>
      <c r="F2955" s="10"/>
    </row>
    <row r="2956" customFormat="false" ht="15" hidden="false" customHeight="false" outlineLevel="0" collapsed="false">
      <c r="A2956" s="12" t="s">
        <v>700</v>
      </c>
      <c r="B2956" s="13" t="s">
        <v>701</v>
      </c>
      <c r="C2956" s="13" t="s">
        <v>702</v>
      </c>
      <c r="D2956" s="13" t="s">
        <v>704</v>
      </c>
      <c r="E2956" s="13" t="s">
        <v>705</v>
      </c>
      <c r="F2956" s="13" t="s">
        <v>723</v>
      </c>
    </row>
    <row r="2957" customFormat="false" ht="30" hidden="false" customHeight="true" outlineLevel="0" collapsed="false">
      <c r="A2957" s="14" t="s">
        <v>706</v>
      </c>
      <c r="B2957" s="15" t="str">
        <f aca="false">IF(COUNTIFS($D$2960:$D$2971,IF(D2957="","*",D2957),$E$2960:$E$2971,IF(E2957="","*",E2957),$F$2960:$F$2971,IF(F2957="","*",F2957))=1,INDEX($B:$B,SUMPRODUCT(((D2957="")+($D$2960:$D$2971=D2957)&gt;0)*((E2957="")+($E$2960:$E$2971=E2957)&gt;0)*((F2957="")+($F$2960:$F$2971=F2957)&gt;0)*ROW($B$2960:$B$2971))),IF(COUNTIFS($D$2960:$D$2971,IF(D2957="","*",D2957),$E$2960:$E$2971,IF(E2957="","*",E2957),$F$2960:$F$2971,IF(F2957="","*",F2957))=0,"Not available",COUNTIFS($D$2960:$D$2971,IF(D2957="","*",D2957),$E$2960:$E$2971,IF(E2957="","*",E2957),$F$2960:$F$2971,IF(F2957="","*",F2957))&amp;" match, keep choosing"))</f>
        <v>BN-020-CS-ZN-M8-P13</v>
      </c>
      <c r="C2957" s="16" t="n">
        <f aca="false">IF(COUNTIFS($D$2960:$D$2971,IF(D2957="","*",D2957),$E$2960:$E$2971,IF(E2957="","*",E2957),$F$2960:$F$2971,IF(F2957="","*",F2957))=1,INDEX($C:$C,SUMPRODUCT(((D2957="")+($D$2960:$D$2971=D2957)&gt;0)*((E2957="")+($E$2960:$E$2971=E2957)&gt;0)*((F2957="")+($F$2960:$F$2971=F2957)&gt;0)*ROW($B$2960:$B$2971))),"")</f>
        <v>0.14</v>
      </c>
      <c r="D2957" s="17" t="s">
        <v>10100</v>
      </c>
      <c r="E2957" s="17" t="s">
        <v>13978</v>
      </c>
      <c r="F2957" s="17" t="s">
        <v>28344</v>
      </c>
    </row>
    <row r="2959" customFormat="false" ht="15" hidden="false" customHeight="false" outlineLevel="0" collapsed="false">
      <c r="B2959" s="18" t="s">
        <v>701</v>
      </c>
      <c r="C2959" s="18" t="s">
        <v>702</v>
      </c>
      <c r="D2959" s="18" t="s">
        <v>704</v>
      </c>
      <c r="E2959" s="18" t="s">
        <v>705</v>
      </c>
      <c r="F2959" s="18" t="s">
        <v>723</v>
      </c>
    </row>
    <row r="2960" customFormat="false" ht="15" hidden="false" customHeight="false" outlineLevel="0" collapsed="false">
      <c r="B2960" s="19" t="s">
        <v>28345</v>
      </c>
      <c r="C2960" s="20" t="n">
        <f aca="false">ROUND(1.01/FX,2)</f>
        <v>0.14</v>
      </c>
      <c r="D2960" s="21" t="s">
        <v>10100</v>
      </c>
      <c r="E2960" s="21" t="s">
        <v>13978</v>
      </c>
      <c r="F2960" s="21" t="s">
        <v>28344</v>
      </c>
    </row>
    <row r="2961" customFormat="false" ht="15" hidden="false" customHeight="false" outlineLevel="0" collapsed="false">
      <c r="B2961" s="19" t="s">
        <v>28346</v>
      </c>
      <c r="C2961" s="20" t="n">
        <f aca="false">ROUND(1.47/FX,2)</f>
        <v>0.2</v>
      </c>
      <c r="D2961" s="21" t="s">
        <v>8669</v>
      </c>
      <c r="E2961" s="21" t="s">
        <v>13751</v>
      </c>
      <c r="F2961" s="21" t="s">
        <v>22841</v>
      </c>
    </row>
    <row r="2962" customFormat="false" ht="15" hidden="false" customHeight="false" outlineLevel="0" collapsed="false">
      <c r="B2962" s="19" t="s">
        <v>28347</v>
      </c>
      <c r="C2962" s="20" t="n">
        <f aca="false">ROUND(1.73/FX,2)</f>
        <v>0.24</v>
      </c>
      <c r="D2962" s="21" t="s">
        <v>8669</v>
      </c>
      <c r="E2962" s="21" t="s">
        <v>13739</v>
      </c>
      <c r="F2962" s="21" t="s">
        <v>22844</v>
      </c>
    </row>
    <row r="2963" customFormat="false" ht="15" hidden="false" customHeight="false" outlineLevel="0" collapsed="false">
      <c r="B2963" s="19" t="s">
        <v>28348</v>
      </c>
      <c r="C2963" s="20" t="n">
        <f aca="false">ROUND(1.11/FX,2)</f>
        <v>0.15</v>
      </c>
      <c r="D2963" s="21" t="s">
        <v>8669</v>
      </c>
      <c r="E2963" s="21" t="s">
        <v>13732</v>
      </c>
      <c r="F2963" s="21" t="s">
        <v>25427</v>
      </c>
    </row>
    <row r="2964" customFormat="false" ht="15" hidden="false" customHeight="false" outlineLevel="0" collapsed="false">
      <c r="B2964" s="19" t="s">
        <v>28349</v>
      </c>
      <c r="C2964" s="20" t="n">
        <f aca="false">ROUND(1.94/FX,2)</f>
        <v>0.27</v>
      </c>
      <c r="D2964" s="21" t="s">
        <v>8669</v>
      </c>
      <c r="E2964" s="21" t="s">
        <v>13732</v>
      </c>
      <c r="F2964" s="21" t="s">
        <v>25439</v>
      </c>
    </row>
    <row r="2965" customFormat="false" ht="15" hidden="false" customHeight="false" outlineLevel="0" collapsed="false">
      <c r="B2965" s="19" t="s">
        <v>28350</v>
      </c>
      <c r="C2965" s="20" t="n">
        <f aca="false">ROUND(1.11/FX,2)</f>
        <v>0.15</v>
      </c>
      <c r="D2965" s="21" t="s">
        <v>8669</v>
      </c>
      <c r="E2965" s="21" t="s">
        <v>13997</v>
      </c>
      <c r="F2965" s="21" t="s">
        <v>25460</v>
      </c>
    </row>
    <row r="2966" customFormat="false" ht="15" hidden="false" customHeight="false" outlineLevel="0" collapsed="false">
      <c r="B2966" s="19" t="s">
        <v>28351</v>
      </c>
      <c r="C2966" s="20" t="n">
        <f aca="false">ROUND(3.12/FX,2)</f>
        <v>0.43</v>
      </c>
      <c r="D2966" s="21" t="s">
        <v>8669</v>
      </c>
      <c r="E2966" s="21" t="s">
        <v>13732</v>
      </c>
      <c r="F2966" s="21" t="s">
        <v>25481</v>
      </c>
    </row>
    <row r="2967" customFormat="false" ht="15" hidden="false" customHeight="false" outlineLevel="0" collapsed="false">
      <c r="B2967" s="19" t="s">
        <v>28352</v>
      </c>
      <c r="C2967" s="20" t="n">
        <f aca="false">ROUND(2.73/FX,2)</f>
        <v>0.38</v>
      </c>
      <c r="D2967" s="21" t="s">
        <v>8669</v>
      </c>
      <c r="E2967" s="21" t="s">
        <v>21725</v>
      </c>
      <c r="F2967" s="21" t="s">
        <v>11407</v>
      </c>
    </row>
    <row r="2968" customFormat="false" ht="15" hidden="false" customHeight="false" outlineLevel="0" collapsed="false">
      <c r="B2968" s="19" t="s">
        <v>28353</v>
      </c>
      <c r="C2968" s="20" t="n">
        <f aca="false">ROUND(4.03/FX,2)</f>
        <v>0.56</v>
      </c>
      <c r="D2968" s="21" t="s">
        <v>8669</v>
      </c>
      <c r="E2968" s="21" t="s">
        <v>21725</v>
      </c>
      <c r="F2968" s="21" t="s">
        <v>11409</v>
      </c>
    </row>
    <row r="2969" customFormat="false" ht="15" hidden="false" customHeight="false" outlineLevel="0" collapsed="false">
      <c r="B2969" s="19" t="s">
        <v>28354</v>
      </c>
      <c r="C2969" s="20" t="n">
        <f aca="false">ROUND(7.15/FX,2)</f>
        <v>0.99</v>
      </c>
      <c r="D2969" s="21" t="s">
        <v>8669</v>
      </c>
      <c r="E2969" s="21" t="s">
        <v>23567</v>
      </c>
      <c r="F2969" s="21" t="s">
        <v>11411</v>
      </c>
    </row>
    <row r="2970" customFormat="false" ht="15" hidden="false" customHeight="false" outlineLevel="0" collapsed="false">
      <c r="B2970" s="19" t="s">
        <v>28355</v>
      </c>
      <c r="C2970" s="20" t="n">
        <f aca="false">ROUND(3.77/FX,2)</f>
        <v>0.52</v>
      </c>
      <c r="D2970" s="21" t="s">
        <v>8669</v>
      </c>
      <c r="E2970" s="21" t="s">
        <v>21725</v>
      </c>
      <c r="F2970" s="21" t="s">
        <v>11413</v>
      </c>
    </row>
    <row r="2971" customFormat="false" ht="15" hidden="false" customHeight="false" outlineLevel="0" collapsed="false">
      <c r="B2971" s="19" t="s">
        <v>28356</v>
      </c>
      <c r="C2971" s="20" t="n">
        <f aca="false">ROUND(1.06/FX,2)</f>
        <v>0.15</v>
      </c>
      <c r="D2971" s="21" t="s">
        <v>8669</v>
      </c>
      <c r="E2971" s="21" t="s">
        <v>13994</v>
      </c>
      <c r="F2971" s="21" t="s">
        <v>11415</v>
      </c>
    </row>
    <row r="2974" customFormat="false" ht="61.5" hidden="false" customHeight="true" outlineLevel="0" collapsed="false">
      <c r="A2974" s="9"/>
      <c r="B2974" s="10" t="s">
        <v>28357</v>
      </c>
      <c r="C2974" s="10"/>
      <c r="D2974" s="10"/>
    </row>
    <row r="2975" customFormat="false" ht="15" hidden="false" customHeight="false" outlineLevel="0" collapsed="false">
      <c r="A2975" s="12" t="s">
        <v>700</v>
      </c>
      <c r="B2975" s="13" t="s">
        <v>701</v>
      </c>
      <c r="C2975" s="13" t="s">
        <v>702</v>
      </c>
      <c r="D2975" s="13" t="s">
        <v>6523</v>
      </c>
    </row>
    <row r="2976" customFormat="false" ht="30" hidden="false" customHeight="true" outlineLevel="0" collapsed="false">
      <c r="A2976" s="14" t="s">
        <v>706</v>
      </c>
      <c r="B2976" s="15" t="str">
        <f aca="false">IF(COUNTIFS($D$2979:$D$2999,IF(D2976="","*",D2976))=1,INDEX($B:$B,SUMPRODUCT(((D2976="")+($D$2979:$D$2999=D2976)&gt;0)*ROW($B$2979:$B$2999))),IF(COUNTIFS($D$2979:$D$2999,IF(D2976="","*",D2976))=0,"Not available",COUNTIFS($D$2979:$D$2999,IF(D2976="","*",D2976))&amp;" match, keep choosing"))</f>
        <v>BN-009-M2.5x4x3.5-P50</v>
      </c>
      <c r="C2976" s="16" t="n">
        <f aca="false">IF(COUNTIFS($D$2979:$D$2999,IF(D2976="","*",D2976))=1,INDEX($C:$C,SUMPRODUCT(((D2976="")+($D$2979:$D$2999=D2976)&gt;0)*ROW($B$2979:$B$2999))),"")</f>
        <v>0.55</v>
      </c>
      <c r="D2976" s="17" t="s">
        <v>28358</v>
      </c>
    </row>
    <row r="2978" customFormat="false" ht="15" hidden="false" customHeight="false" outlineLevel="0" collapsed="false">
      <c r="B2978" s="18" t="s">
        <v>701</v>
      </c>
      <c r="C2978" s="18" t="s">
        <v>702</v>
      </c>
      <c r="D2978" s="18" t="s">
        <v>6523</v>
      </c>
    </row>
    <row r="2979" customFormat="false" ht="28.35" hidden="false" customHeight="false" outlineLevel="0" collapsed="false">
      <c r="B2979" s="19" t="s">
        <v>28359</v>
      </c>
      <c r="C2979" s="20" t="n">
        <f aca="false">ROUND(3.94/FX,2)</f>
        <v>0.55</v>
      </c>
      <c r="D2979" s="21" t="s">
        <v>28358</v>
      </c>
    </row>
    <row r="2980" customFormat="false" ht="15" hidden="false" customHeight="false" outlineLevel="0" collapsed="false">
      <c r="B2980" s="19" t="s">
        <v>28360</v>
      </c>
      <c r="C2980" s="20" t="n">
        <f aca="false">ROUND(1/FX,2)</f>
        <v>0.14</v>
      </c>
      <c r="D2980" s="21" t="s">
        <v>28361</v>
      </c>
    </row>
    <row r="2981" customFormat="false" ht="15" hidden="false" customHeight="false" outlineLevel="0" collapsed="false">
      <c r="B2981" s="19" t="s">
        <v>28362</v>
      </c>
      <c r="C2981" s="20" t="n">
        <f aca="false">ROUND(1/FX,2)</f>
        <v>0.14</v>
      </c>
      <c r="D2981" s="21" t="s">
        <v>28363</v>
      </c>
    </row>
    <row r="2982" customFormat="false" ht="41.75" hidden="false" customHeight="false" outlineLevel="0" collapsed="false">
      <c r="B2982" s="19" t="s">
        <v>28364</v>
      </c>
      <c r="C2982" s="20" t="n">
        <f aca="false">ROUND(29/FX,2)</f>
        <v>4.03</v>
      </c>
      <c r="D2982" s="21" t="s">
        <v>28365</v>
      </c>
    </row>
    <row r="2983" customFormat="false" ht="15" hidden="false" customHeight="false" outlineLevel="0" collapsed="false">
      <c r="B2983" s="19" t="s">
        <v>28366</v>
      </c>
      <c r="C2983" s="20" t="n">
        <f aca="false">ROUND(1.07/FX,2)</f>
        <v>0.15</v>
      </c>
      <c r="D2983" s="21" t="s">
        <v>28367</v>
      </c>
    </row>
    <row r="2984" customFormat="false" ht="28.35" hidden="false" customHeight="false" outlineLevel="0" collapsed="false">
      <c r="B2984" s="19" t="s">
        <v>28368</v>
      </c>
      <c r="C2984" s="20" t="n">
        <f aca="false">ROUND(1.01/FX,2)</f>
        <v>0.14</v>
      </c>
      <c r="D2984" s="21" t="s">
        <v>28369</v>
      </c>
    </row>
    <row r="2985" customFormat="false" ht="15" hidden="false" customHeight="false" outlineLevel="0" collapsed="false">
      <c r="B2985" s="19" t="s">
        <v>28370</v>
      </c>
      <c r="C2985" s="20" t="n">
        <f aca="false">ROUND(6.97/FX,2)</f>
        <v>0.97</v>
      </c>
      <c r="D2985" s="21" t="s">
        <v>28371</v>
      </c>
    </row>
    <row r="2986" customFormat="false" ht="15" hidden="false" customHeight="false" outlineLevel="0" collapsed="false">
      <c r="B2986" s="19" t="s">
        <v>28372</v>
      </c>
      <c r="C2986" s="20" t="n">
        <f aca="false">ROUND(0.39/FX,2)</f>
        <v>0.05</v>
      </c>
      <c r="D2986" s="21" t="s">
        <v>28373</v>
      </c>
    </row>
    <row r="2987" customFormat="false" ht="15" hidden="false" customHeight="false" outlineLevel="0" collapsed="false">
      <c r="B2987" s="19" t="s">
        <v>28374</v>
      </c>
      <c r="C2987" s="20" t="n">
        <f aca="false">ROUND(1.04/FX,2)</f>
        <v>0.14</v>
      </c>
      <c r="D2987" s="21" t="s">
        <v>28375</v>
      </c>
    </row>
    <row r="2988" customFormat="false" ht="15" hidden="false" customHeight="false" outlineLevel="0" collapsed="false">
      <c r="B2988" s="19" t="s">
        <v>28376</v>
      </c>
      <c r="C2988" s="20" t="n">
        <f aca="false">ROUND(1.69/FX,2)</f>
        <v>0.23</v>
      </c>
      <c r="D2988" s="21" t="s">
        <v>28377</v>
      </c>
    </row>
    <row r="2989" customFormat="false" ht="15" hidden="false" customHeight="false" outlineLevel="0" collapsed="false">
      <c r="B2989" s="19" t="s">
        <v>28378</v>
      </c>
      <c r="C2989" s="20" t="n">
        <f aca="false">ROUND(9.88/FX,2)</f>
        <v>1.37</v>
      </c>
      <c r="D2989" s="21" t="s">
        <v>28379</v>
      </c>
    </row>
    <row r="2990" customFormat="false" ht="15" hidden="false" customHeight="false" outlineLevel="0" collapsed="false">
      <c r="B2990" s="19" t="s">
        <v>28380</v>
      </c>
      <c r="C2990" s="20" t="n">
        <f aca="false">ROUND(1.43/FX,2)</f>
        <v>0.2</v>
      </c>
      <c r="D2990" s="21" t="s">
        <v>28381</v>
      </c>
    </row>
    <row r="2991" customFormat="false" ht="15" hidden="false" customHeight="false" outlineLevel="0" collapsed="false">
      <c r="B2991" s="19" t="s">
        <v>28382</v>
      </c>
      <c r="C2991" s="20" t="n">
        <f aca="false">ROUND(1.11/FX,2)</f>
        <v>0.15</v>
      </c>
      <c r="D2991" s="21" t="s">
        <v>28383</v>
      </c>
    </row>
    <row r="2992" customFormat="false" ht="15" hidden="false" customHeight="false" outlineLevel="0" collapsed="false">
      <c r="B2992" s="19" t="s">
        <v>28384</v>
      </c>
      <c r="C2992" s="20" t="n">
        <f aca="false">ROUND(0.39/FX,2)</f>
        <v>0.05</v>
      </c>
      <c r="D2992" s="21" t="s">
        <v>28385</v>
      </c>
    </row>
    <row r="2993" customFormat="false" ht="28.35" hidden="false" customHeight="false" outlineLevel="0" collapsed="false">
      <c r="B2993" s="19" t="s">
        <v>28386</v>
      </c>
      <c r="C2993" s="20" t="n">
        <f aca="false">ROUND(1.2/FX,2)</f>
        <v>0.17</v>
      </c>
      <c r="D2993" s="21" t="s">
        <v>28387</v>
      </c>
    </row>
    <row r="2994" customFormat="false" ht="15" hidden="false" customHeight="false" outlineLevel="0" collapsed="false">
      <c r="B2994" s="19" t="s">
        <v>28388</v>
      </c>
      <c r="C2994" s="20" t="n">
        <f aca="false">ROUND(0.39/FX,2)</f>
        <v>0.05</v>
      </c>
      <c r="D2994" s="21" t="s">
        <v>28389</v>
      </c>
    </row>
    <row r="2995" customFormat="false" ht="15" hidden="false" customHeight="false" outlineLevel="0" collapsed="false">
      <c r="B2995" s="19" t="s">
        <v>28390</v>
      </c>
      <c r="C2995" s="20" t="n">
        <f aca="false">ROUND(3.25/FX,2)</f>
        <v>0.45</v>
      </c>
      <c r="D2995" s="21" t="s">
        <v>28391</v>
      </c>
    </row>
    <row r="2996" customFormat="false" ht="15" hidden="false" customHeight="false" outlineLevel="0" collapsed="false">
      <c r="B2996" s="19" t="s">
        <v>28392</v>
      </c>
      <c r="C2996" s="20" t="n">
        <f aca="false">ROUND(1.09/FX,2)</f>
        <v>0.15</v>
      </c>
      <c r="D2996" s="21" t="s">
        <v>28393</v>
      </c>
    </row>
    <row r="2997" customFormat="false" ht="15" hidden="false" customHeight="false" outlineLevel="0" collapsed="false">
      <c r="B2997" s="19" t="s">
        <v>28394</v>
      </c>
      <c r="C2997" s="20" t="n">
        <f aca="false">ROUND(1.17/FX,2)</f>
        <v>0.16</v>
      </c>
      <c r="D2997" s="21" t="s">
        <v>28395</v>
      </c>
    </row>
    <row r="2998" customFormat="false" ht="28.35" hidden="false" customHeight="false" outlineLevel="0" collapsed="false">
      <c r="B2998" s="19" t="s">
        <v>28396</v>
      </c>
      <c r="C2998" s="20" t="n">
        <f aca="false">ROUND(2.86/FX,2)</f>
        <v>0.4</v>
      </c>
      <c r="D2998" s="21" t="s">
        <v>28397</v>
      </c>
    </row>
    <row r="2999" customFormat="false" ht="28.35" hidden="false" customHeight="false" outlineLevel="0" collapsed="false">
      <c r="B2999" s="19" t="s">
        <v>28398</v>
      </c>
      <c r="C2999" s="20" t="n">
        <f aca="false">ROUND(1.17/FX,2)</f>
        <v>0.16</v>
      </c>
      <c r="D2999" s="21" t="s">
        <v>28399</v>
      </c>
    </row>
    <row r="3002" customFormat="false" ht="61.5" hidden="false" customHeight="true" outlineLevel="0" collapsed="false">
      <c r="A3002" s="9"/>
      <c r="B3002" s="10" t="s">
        <v>28400</v>
      </c>
      <c r="C3002" s="10"/>
      <c r="D3002" s="10"/>
    </row>
    <row r="3003" customFormat="false" ht="15" hidden="false" customHeight="false" outlineLevel="0" collapsed="false">
      <c r="A3003" s="12" t="s">
        <v>700</v>
      </c>
      <c r="B3003" s="13" t="s">
        <v>701</v>
      </c>
      <c r="C3003" s="13" t="s">
        <v>702</v>
      </c>
      <c r="D3003" s="13" t="s">
        <v>13701</v>
      </c>
    </row>
    <row r="3004" customFormat="false" ht="30" hidden="false" customHeight="true" outlineLevel="0" collapsed="false">
      <c r="A3004" s="14" t="s">
        <v>706</v>
      </c>
      <c r="B3004" s="15" t="str">
        <f aca="false">IF(COUNTIFS($D$3007:$D$3009,IF(D3004="","*",D3004))=1,INDEX($B:$B,SUMPRODUCT(((D3004="")+($D$3007:$D$3009=D3004)&gt;0)*ROW($B$3007:$B$3009))),IF(COUNTIFS($D$3007:$D$3009,IF(D3004="","*",D3004))=0,"Not available",COUNTIFS($D$3007:$D$3009,IF(D3004="","*",D3004))&amp;" match, keep choosing"))</f>
        <v>BN-008-M10</v>
      </c>
      <c r="C3004" s="16" t="n">
        <f aca="false">IF(COUNTIFS($D$3007:$D$3009,IF(D3004="","*",D3004))=1,INDEX($C:$C,SUMPRODUCT(((D3004="")+($D$3007:$D$3009=D3004)&gt;0)*ROW($B$3007:$B$3009))),"")</f>
        <v>0.09</v>
      </c>
      <c r="D3004" s="17" t="s">
        <v>22841</v>
      </c>
    </row>
    <row r="3006" customFormat="false" ht="15" hidden="false" customHeight="false" outlineLevel="0" collapsed="false">
      <c r="B3006" s="18" t="s">
        <v>701</v>
      </c>
      <c r="C3006" s="18" t="s">
        <v>702</v>
      </c>
      <c r="D3006" s="18" t="s">
        <v>13701</v>
      </c>
    </row>
    <row r="3007" customFormat="false" ht="15" hidden="false" customHeight="false" outlineLevel="0" collapsed="false">
      <c r="B3007" s="19" t="s">
        <v>28401</v>
      </c>
      <c r="C3007" s="20" t="n">
        <f aca="false">ROUND(0.67/FX,2)</f>
        <v>0.09</v>
      </c>
      <c r="D3007" s="21" t="s">
        <v>22841</v>
      </c>
    </row>
    <row r="3008" customFormat="false" ht="15" hidden="false" customHeight="false" outlineLevel="0" collapsed="false">
      <c r="B3008" s="19" t="s">
        <v>28402</v>
      </c>
      <c r="C3008" s="20" t="n">
        <f aca="false">ROUND(0.14/FX,2)</f>
        <v>0.02</v>
      </c>
      <c r="D3008" s="21" t="s">
        <v>11413</v>
      </c>
    </row>
    <row r="3009" customFormat="false" ht="15" hidden="false" customHeight="false" outlineLevel="0" collapsed="false">
      <c r="B3009" s="19" t="s">
        <v>28403</v>
      </c>
      <c r="C3009" s="20" t="n">
        <f aca="false">ROUND(0.34/FX,2)</f>
        <v>0.05</v>
      </c>
      <c r="D3009" s="21" t="s">
        <v>11415</v>
      </c>
    </row>
    <row r="3012" customFormat="false" ht="61.5" hidden="false" customHeight="true" outlineLevel="0" collapsed="false">
      <c r="A3012" s="9"/>
      <c r="B3012" s="10" t="s">
        <v>28404</v>
      </c>
      <c r="C3012" s="10"/>
      <c r="D3012" s="10"/>
      <c r="E3012" s="10"/>
    </row>
    <row r="3013" customFormat="false" ht="15" hidden="false" customHeight="false" outlineLevel="0" collapsed="false">
      <c r="A3013" s="12" t="s">
        <v>700</v>
      </c>
      <c r="B3013" s="13" t="s">
        <v>701</v>
      </c>
      <c r="C3013" s="13" t="s">
        <v>702</v>
      </c>
      <c r="D3013" s="13" t="s">
        <v>705</v>
      </c>
      <c r="E3013" s="13" t="s">
        <v>723</v>
      </c>
    </row>
    <row r="3014" customFormat="false" ht="30" hidden="false" customHeight="true" outlineLevel="0" collapsed="false">
      <c r="A3014" s="14" t="s">
        <v>706</v>
      </c>
      <c r="B3014" s="15" t="str">
        <f aca="false">IF(COUNTIFS($D$3017:$D$3022,IF(D3014="","*",D3014),$E$3017:$E$3022,IF(E3014="","*",E3014))=1,INDEX($B:$B,SUMPRODUCT(((D3014="")+($D$3017:$D$3022=D3014)&gt;0)*((E3014="")+($E$3017:$E$3022=E3014)&gt;0)*ROW($B$3017:$B$3022))),IF(COUNTIFS($D$3017:$D$3022,IF(D3014="","*",D3014),$E$3017:$E$3022,IF(E3014="","*",E3014))=0,"Not available",COUNTIFS($D$3017:$D$3022,IF(D3014="","*",D3014),$E$3017:$E$3022,IF(E3014="","*",E3014))&amp;" match, keep choosing"))</f>
        <v>BN-001-M10-1-P50</v>
      </c>
      <c r="C3014" s="16" t="n">
        <f aca="false">IF(COUNTIFS($D$3017:$D$3022,IF(D3014="","*",D3014),$E$3017:$E$3022,IF(E3014="","*",E3014))=1,INDEX($C:$C,SUMPRODUCT(((D3014="")+($D$3017:$D$3022=D3014)&gt;0)*((E3014="")+($E$3017:$E$3022=E3014)&gt;0)*ROW($B$3017:$B$3022))),"")</f>
        <v>1.21</v>
      </c>
      <c r="D3014" s="17" t="s">
        <v>21725</v>
      </c>
      <c r="E3014" s="17" t="s">
        <v>28405</v>
      </c>
    </row>
    <row r="3016" customFormat="false" ht="15" hidden="false" customHeight="false" outlineLevel="0" collapsed="false">
      <c r="B3016" s="18" t="s">
        <v>701</v>
      </c>
      <c r="C3016" s="18" t="s">
        <v>702</v>
      </c>
      <c r="D3016" s="18" t="s">
        <v>705</v>
      </c>
      <c r="E3016" s="18" t="s">
        <v>723</v>
      </c>
    </row>
    <row r="3017" customFormat="false" ht="15" hidden="false" customHeight="false" outlineLevel="0" collapsed="false">
      <c r="B3017" s="19" t="s">
        <v>28406</v>
      </c>
      <c r="C3017" s="20" t="n">
        <f aca="false">ROUND(8.74/FX,2)</f>
        <v>1.21</v>
      </c>
      <c r="D3017" s="21" t="s">
        <v>21725</v>
      </c>
      <c r="E3017" s="21" t="s">
        <v>28405</v>
      </c>
    </row>
    <row r="3018" customFormat="false" ht="15" hidden="false" customHeight="false" outlineLevel="0" collapsed="false">
      <c r="B3018" s="19" t="s">
        <v>28407</v>
      </c>
      <c r="C3018" s="20" t="n">
        <f aca="false">ROUND(1.46/FX,2)</f>
        <v>0.2</v>
      </c>
      <c r="D3018" s="21" t="s">
        <v>23567</v>
      </c>
      <c r="E3018" s="21" t="s">
        <v>28408</v>
      </c>
    </row>
    <row r="3019" customFormat="false" ht="15" hidden="false" customHeight="false" outlineLevel="0" collapsed="false">
      <c r="B3019" s="19" t="s">
        <v>28409</v>
      </c>
      <c r="C3019" s="20" t="n">
        <f aca="false">ROUND(1.75/FX,2)</f>
        <v>0.24</v>
      </c>
      <c r="D3019" s="21" t="s">
        <v>23567</v>
      </c>
      <c r="E3019" s="21" t="s">
        <v>28410</v>
      </c>
    </row>
    <row r="3020" customFormat="false" ht="15" hidden="false" customHeight="false" outlineLevel="0" collapsed="false">
      <c r="B3020" s="19" t="s">
        <v>28411</v>
      </c>
      <c r="C3020" s="20" t="n">
        <f aca="false">ROUND(2.33/FX,2)</f>
        <v>0.32</v>
      </c>
      <c r="D3020" s="21" t="s">
        <v>23567</v>
      </c>
      <c r="E3020" s="21" t="s">
        <v>28412</v>
      </c>
    </row>
    <row r="3021" customFormat="false" ht="15" hidden="false" customHeight="false" outlineLevel="0" collapsed="false">
      <c r="B3021" s="19" t="s">
        <v>28413</v>
      </c>
      <c r="C3021" s="20" t="n">
        <f aca="false">ROUND(4.66/FX,2)</f>
        <v>0.65</v>
      </c>
      <c r="D3021" s="21" t="s">
        <v>23567</v>
      </c>
      <c r="E3021" s="21" t="s">
        <v>28414</v>
      </c>
    </row>
    <row r="3022" customFormat="false" ht="15" hidden="false" customHeight="false" outlineLevel="0" collapsed="false">
      <c r="B3022" s="19" t="s">
        <v>28415</v>
      </c>
      <c r="C3022" s="20" t="n">
        <f aca="false">ROUND(8.1/FX,2)</f>
        <v>1.13</v>
      </c>
      <c r="D3022" s="21" t="s">
        <v>21725</v>
      </c>
      <c r="E3022" s="21" t="s">
        <v>28416</v>
      </c>
    </row>
    <row r="3025" customFormat="false" ht="61.5" hidden="false" customHeight="true" outlineLevel="0" collapsed="false">
      <c r="A3025" s="9"/>
      <c r="B3025" s="10" t="s">
        <v>28417</v>
      </c>
      <c r="C3025" s="10"/>
      <c r="D3025" s="10"/>
    </row>
    <row r="3026" customFormat="false" ht="15" hidden="false" customHeight="false" outlineLevel="0" collapsed="false">
      <c r="B3026" s="18" t="s">
        <v>701</v>
      </c>
      <c r="C3026" s="18" t="s">
        <v>702</v>
      </c>
      <c r="D3026" s="18" t="s">
        <v>5610</v>
      </c>
    </row>
    <row r="3027" customFormat="false" ht="15" hidden="false" customHeight="false" outlineLevel="0" collapsed="false">
      <c r="B3027" s="19" t="s">
        <v>28418</v>
      </c>
      <c r="C3027" s="20" t="n">
        <f aca="false">ROUND(12/FX,2)</f>
        <v>1.67</v>
      </c>
      <c r="D3027" s="22" t="s">
        <v>5612</v>
      </c>
    </row>
    <row r="3030" customFormat="false" ht="61.5" hidden="false" customHeight="true" outlineLevel="0" collapsed="false">
      <c r="A3030" s="9"/>
      <c r="B3030" s="10" t="s">
        <v>28419</v>
      </c>
      <c r="C3030" s="10"/>
      <c r="D3030" s="10"/>
      <c r="E3030" s="10"/>
      <c r="F3030" s="10"/>
      <c r="G3030" s="10"/>
      <c r="H3030" s="10"/>
    </row>
    <row r="3031" customFormat="false" ht="15" hidden="false" customHeight="false" outlineLevel="0" collapsed="false">
      <c r="A3031" s="12" t="s">
        <v>700</v>
      </c>
      <c r="B3031" s="13" t="s">
        <v>701</v>
      </c>
      <c r="C3031" s="13" t="s">
        <v>702</v>
      </c>
      <c r="D3031" s="13" t="s">
        <v>705</v>
      </c>
      <c r="E3031" s="13" t="s">
        <v>13701</v>
      </c>
      <c r="F3031" s="13" t="s">
        <v>26559</v>
      </c>
      <c r="G3031" s="13" t="s">
        <v>28420</v>
      </c>
      <c r="H3031" s="13" t="s">
        <v>28421</v>
      </c>
    </row>
    <row r="3032" customFormat="false" ht="30" hidden="false" customHeight="true" outlineLevel="0" collapsed="false">
      <c r="A3032" s="14" t="s">
        <v>706</v>
      </c>
      <c r="B3032" s="15" t="str">
        <f aca="false">IF(COUNTIFS($D$3035:$D$3061,IF(D3032="","*",D3032),$E$3035:$E$3061,IF(E3032="","*",E3032),$F$3035:$F$3061,IF(F3032="","*",F3032),$G$3035:$G$3061,IF(G3032="","*",G3032),$H$3035:$H$3061,IF(H3032="","*",H3032))=1,INDEX($B:$B,SUMPRODUCT(((D3032="")+($D$3035:$D$3061=D3032)&gt;0)*((E3032="")+($E$3035:$E$3061=E3032)&gt;0)*((F3032="")+($F$3035:$F$3061=F3032)&gt;0)*((G3032="")+($G$3035:$G$3061=G3032)&gt;0)*((H3032="")+($H$3035:$H$3061=H3032)&gt;0)*ROW($B$3035:$B$3061))),IF(COUNTIFS($D$3035:$D$3061,IF(D3032="","*",D3032),$E$3035:$E$3061,IF(E3032="","*",E3032),$F$3035:$F$3061,IF(F3032="","*",F3032),$G$3035:$G$3061,IF(G3032="","*",G3032),$H$3035:$H$3061,IF(H3032="","*",H3032))=0,"Not available",COUNTIFS($D$3035:$D$3061,IF(D3032="","*",D3032),$E$3035:$E$3061,IF(E3032="","*",E3032),$F$3035:$F$3061,IF(F3032="","*",F3032),$G$3035:$G$3061,IF(G3032="","*",G3032),$H$3035:$H$3061,IF(H3032="","*",H3032))&amp;" match, keep choosing"))</f>
        <v>CUP-HEX-M3x10+6-P1</v>
      </c>
      <c r="C3032" s="16" t="n">
        <f aca="false">IF(COUNTIFS($D$3035:$D$3061,IF(D3032="","*",D3032),$E$3035:$E$3061,IF(E3032="","*",E3032),$F$3035:$F$3061,IF(F3032="","*",F3032),$G$3035:$G$3061,IF(G3032="","*",G3032),$H$3035:$H$3061,IF(H3032="","*",H3032))=1,INDEX($C:$C,SUMPRODUCT(((D3032="")+($D$3035:$D$3061=D3032)&gt;0)*((E3032="")+($E$3035:$E$3061=E3032)&gt;0)*((F3032="")+($F$3035:$F$3061=F3032)&gt;0)*((G3032="")+($G$3035:$G$3061=G3032)&gt;0)*((H3032="")+($H$3035:$H$3061=H3032)&gt;0)*ROW($B$3035:$B$3061))),"")</f>
        <v>0.02</v>
      </c>
      <c r="D3032" s="17" t="s">
        <v>13732</v>
      </c>
      <c r="E3032" s="17" t="s">
        <v>11407</v>
      </c>
      <c r="F3032" s="17" t="s">
        <v>716</v>
      </c>
      <c r="G3032" s="17" t="s">
        <v>28422</v>
      </c>
      <c r="H3032" s="17" t="s">
        <v>707</v>
      </c>
    </row>
    <row r="3034" customFormat="false" ht="15" hidden="false" customHeight="false" outlineLevel="0" collapsed="false">
      <c r="B3034" s="18" t="s">
        <v>701</v>
      </c>
      <c r="C3034" s="18" t="s">
        <v>702</v>
      </c>
      <c r="D3034" s="18" t="s">
        <v>705</v>
      </c>
      <c r="E3034" s="18" t="s">
        <v>13701</v>
      </c>
      <c r="F3034" s="18" t="s">
        <v>26559</v>
      </c>
      <c r="G3034" s="18" t="s">
        <v>28420</v>
      </c>
      <c r="H3034" s="18" t="s">
        <v>28421</v>
      </c>
    </row>
    <row r="3035" customFormat="false" ht="15" hidden="false" customHeight="false" outlineLevel="0" collapsed="false">
      <c r="B3035" s="19" t="s">
        <v>28423</v>
      </c>
      <c r="C3035" s="20" t="n">
        <f aca="false">ROUND(0.16/FX,2)</f>
        <v>0.02</v>
      </c>
      <c r="D3035" s="21" t="s">
        <v>13732</v>
      </c>
      <c r="E3035" s="21" t="s">
        <v>11407</v>
      </c>
      <c r="F3035" s="21" t="s">
        <v>716</v>
      </c>
      <c r="G3035" s="21" t="s">
        <v>28422</v>
      </c>
      <c r="H3035" s="21" t="s">
        <v>707</v>
      </c>
    </row>
    <row r="3036" customFormat="false" ht="15" hidden="false" customHeight="false" outlineLevel="0" collapsed="false">
      <c r="B3036" s="19" t="s">
        <v>28424</v>
      </c>
      <c r="C3036" s="20" t="n">
        <f aca="false">ROUND(1.91/FX,2)</f>
        <v>0.27</v>
      </c>
      <c r="D3036" s="21" t="s">
        <v>13997</v>
      </c>
      <c r="E3036" s="21" t="s">
        <v>11407</v>
      </c>
      <c r="F3036" s="21" t="s">
        <v>716</v>
      </c>
      <c r="G3036" s="21" t="s">
        <v>28422</v>
      </c>
      <c r="H3036" s="21" t="s">
        <v>3247</v>
      </c>
    </row>
    <row r="3037" customFormat="false" ht="15" hidden="false" customHeight="false" outlineLevel="0" collapsed="false">
      <c r="B3037" s="19" t="s">
        <v>28425</v>
      </c>
      <c r="C3037" s="20" t="n">
        <f aca="false">ROUND(3.93/FX,2)</f>
        <v>0.55</v>
      </c>
      <c r="D3037" s="21" t="s">
        <v>13997</v>
      </c>
      <c r="E3037" s="21" t="s">
        <v>11407</v>
      </c>
      <c r="F3037" s="21" t="s">
        <v>716</v>
      </c>
      <c r="G3037" s="21" t="s">
        <v>28422</v>
      </c>
      <c r="H3037" s="21" t="s">
        <v>784</v>
      </c>
    </row>
    <row r="3038" customFormat="false" ht="15" hidden="false" customHeight="false" outlineLevel="0" collapsed="false">
      <c r="B3038" s="19" t="s">
        <v>28426</v>
      </c>
      <c r="C3038" s="20" t="n">
        <f aca="false">ROUND(4.08/FX,2)</f>
        <v>0.57</v>
      </c>
      <c r="D3038" s="21" t="s">
        <v>13997</v>
      </c>
      <c r="E3038" s="21" t="s">
        <v>11407</v>
      </c>
      <c r="F3038" s="21" t="s">
        <v>716</v>
      </c>
      <c r="G3038" s="21" t="s">
        <v>28422</v>
      </c>
      <c r="H3038" s="21" t="s">
        <v>6246</v>
      </c>
    </row>
    <row r="3039" customFormat="false" ht="15" hidden="false" customHeight="false" outlineLevel="0" collapsed="false">
      <c r="B3039" s="19" t="s">
        <v>28427</v>
      </c>
      <c r="C3039" s="20" t="n">
        <f aca="false">ROUND(1.04/FX,2)</f>
        <v>0.14</v>
      </c>
      <c r="D3039" s="21" t="s">
        <v>13981</v>
      </c>
      <c r="E3039" s="21" t="s">
        <v>25497</v>
      </c>
      <c r="F3039" s="21" t="s">
        <v>839</v>
      </c>
      <c r="G3039" s="21" t="s">
        <v>28428</v>
      </c>
      <c r="H3039" s="21" t="s">
        <v>707</v>
      </c>
    </row>
    <row r="3040" customFormat="false" ht="15" hidden="false" customHeight="false" outlineLevel="0" collapsed="false">
      <c r="B3040" s="19" t="s">
        <v>28429</v>
      </c>
      <c r="C3040" s="20" t="n">
        <f aca="false">ROUND(0.65/FX,2)</f>
        <v>0.09</v>
      </c>
      <c r="D3040" s="21" t="s">
        <v>13997</v>
      </c>
      <c r="E3040" s="21" t="s">
        <v>25497</v>
      </c>
      <c r="F3040" s="21" t="s">
        <v>839</v>
      </c>
      <c r="G3040" s="21" t="s">
        <v>28428</v>
      </c>
      <c r="H3040" s="21" t="s">
        <v>5091</v>
      </c>
    </row>
    <row r="3041" customFormat="false" ht="15" hidden="false" customHeight="false" outlineLevel="0" collapsed="false">
      <c r="B3041" s="19" t="s">
        <v>28430</v>
      </c>
      <c r="C3041" s="20" t="n">
        <f aca="false">ROUND(1.01/FX,2)</f>
        <v>0.14</v>
      </c>
      <c r="D3041" s="21" t="s">
        <v>13978</v>
      </c>
      <c r="E3041" s="21" t="s">
        <v>25497</v>
      </c>
      <c r="F3041" s="21" t="s">
        <v>839</v>
      </c>
      <c r="G3041" s="21" t="s">
        <v>28428</v>
      </c>
      <c r="H3041" s="21" t="s">
        <v>761</v>
      </c>
    </row>
    <row r="3042" customFormat="false" ht="15" hidden="false" customHeight="false" outlineLevel="0" collapsed="false">
      <c r="B3042" s="19" t="s">
        <v>28431</v>
      </c>
      <c r="C3042" s="20" t="n">
        <f aca="false">ROUND(0.73/FX,2)</f>
        <v>0.1</v>
      </c>
      <c r="D3042" s="21" t="s">
        <v>13997</v>
      </c>
      <c r="E3042" s="21" t="s">
        <v>25497</v>
      </c>
      <c r="F3042" s="21" t="s">
        <v>839</v>
      </c>
      <c r="G3042" s="21" t="s">
        <v>28428</v>
      </c>
      <c r="H3042" s="21" t="s">
        <v>4761</v>
      </c>
    </row>
    <row r="3043" customFormat="false" ht="15" hidden="false" customHeight="false" outlineLevel="0" collapsed="false">
      <c r="B3043" s="19" t="s">
        <v>28432</v>
      </c>
      <c r="C3043" s="20" t="n">
        <f aca="false">ROUND(0.85/FX,2)</f>
        <v>0.12</v>
      </c>
      <c r="D3043" s="21" t="s">
        <v>13997</v>
      </c>
      <c r="E3043" s="21" t="s">
        <v>25497</v>
      </c>
      <c r="F3043" s="21" t="s">
        <v>839</v>
      </c>
      <c r="G3043" s="21" t="s">
        <v>28428</v>
      </c>
      <c r="H3043" s="21" t="s">
        <v>4721</v>
      </c>
    </row>
    <row r="3044" customFormat="false" ht="15" hidden="false" customHeight="false" outlineLevel="0" collapsed="false">
      <c r="B3044" s="19" t="s">
        <v>28433</v>
      </c>
      <c r="C3044" s="20" t="n">
        <f aca="false">ROUND(1.07/FX,2)</f>
        <v>0.15</v>
      </c>
      <c r="D3044" s="21" t="s">
        <v>13997</v>
      </c>
      <c r="E3044" s="21" t="s">
        <v>25497</v>
      </c>
      <c r="F3044" s="21" t="s">
        <v>839</v>
      </c>
      <c r="G3044" s="21" t="s">
        <v>28428</v>
      </c>
      <c r="H3044" s="21" t="s">
        <v>714</v>
      </c>
    </row>
    <row r="3045" customFormat="false" ht="15" hidden="false" customHeight="false" outlineLevel="0" collapsed="false">
      <c r="B3045" s="19" t="s">
        <v>28434</v>
      </c>
      <c r="C3045" s="20" t="n">
        <f aca="false">ROUND(0.94/FX,2)</f>
        <v>0.13</v>
      </c>
      <c r="D3045" s="21" t="s">
        <v>13997</v>
      </c>
      <c r="E3045" s="21" t="s">
        <v>25497</v>
      </c>
      <c r="F3045" s="21" t="s">
        <v>839</v>
      </c>
      <c r="G3045" s="21" t="s">
        <v>28428</v>
      </c>
      <c r="H3045" s="21" t="s">
        <v>3833</v>
      </c>
    </row>
    <row r="3046" customFormat="false" ht="15" hidden="false" customHeight="false" outlineLevel="0" collapsed="false">
      <c r="B3046" s="19" t="s">
        <v>28435</v>
      </c>
      <c r="C3046" s="20" t="n">
        <f aca="false">ROUND(0.95/FX,2)</f>
        <v>0.13</v>
      </c>
      <c r="D3046" s="21" t="s">
        <v>13997</v>
      </c>
      <c r="E3046" s="21" t="s">
        <v>25497</v>
      </c>
      <c r="F3046" s="21" t="s">
        <v>839</v>
      </c>
      <c r="G3046" s="21" t="s">
        <v>28428</v>
      </c>
      <c r="H3046" s="21" t="s">
        <v>5492</v>
      </c>
    </row>
    <row r="3047" customFormat="false" ht="15" hidden="false" customHeight="false" outlineLevel="0" collapsed="false">
      <c r="B3047" s="19" t="s">
        <v>28436</v>
      </c>
      <c r="C3047" s="20" t="n">
        <f aca="false">ROUND(1.05/FX,2)</f>
        <v>0.15</v>
      </c>
      <c r="D3047" s="21" t="s">
        <v>14016</v>
      </c>
      <c r="E3047" s="21" t="s">
        <v>25497</v>
      </c>
      <c r="F3047" s="21" t="s">
        <v>839</v>
      </c>
      <c r="G3047" s="21" t="s">
        <v>28428</v>
      </c>
      <c r="H3047" s="21" t="s">
        <v>4000</v>
      </c>
    </row>
    <row r="3048" customFormat="false" ht="15" hidden="false" customHeight="false" outlineLevel="0" collapsed="false">
      <c r="B3048" s="19" t="s">
        <v>28437</v>
      </c>
      <c r="C3048" s="20" t="n">
        <f aca="false">ROUND(0.87/FX,2)</f>
        <v>0.12</v>
      </c>
      <c r="D3048" s="21" t="s">
        <v>13997</v>
      </c>
      <c r="E3048" s="21" t="s">
        <v>25497</v>
      </c>
      <c r="F3048" s="21" t="s">
        <v>839</v>
      </c>
      <c r="G3048" s="21" t="s">
        <v>28428</v>
      </c>
      <c r="H3048" s="21" t="s">
        <v>837</v>
      </c>
    </row>
    <row r="3049" customFormat="false" ht="15" hidden="false" customHeight="false" outlineLevel="0" collapsed="false">
      <c r="B3049" s="19" t="s">
        <v>28438</v>
      </c>
      <c r="C3049" s="20" t="n">
        <f aca="false">ROUND(1.08/FX,2)</f>
        <v>0.15</v>
      </c>
      <c r="D3049" s="21" t="s">
        <v>14016</v>
      </c>
      <c r="E3049" s="21" t="s">
        <v>25497</v>
      </c>
      <c r="F3049" s="21" t="s">
        <v>839</v>
      </c>
      <c r="G3049" s="21" t="s">
        <v>28428</v>
      </c>
      <c r="H3049" s="21" t="s">
        <v>3247</v>
      </c>
    </row>
    <row r="3050" customFormat="false" ht="15" hidden="false" customHeight="false" outlineLevel="0" collapsed="false">
      <c r="B3050" s="19" t="s">
        <v>28439</v>
      </c>
      <c r="C3050" s="20" t="n">
        <f aca="false">ROUND(1.17/FX,2)</f>
        <v>0.16</v>
      </c>
      <c r="D3050" s="21" t="s">
        <v>13997</v>
      </c>
      <c r="E3050" s="21" t="s">
        <v>25497</v>
      </c>
      <c r="F3050" s="21" t="s">
        <v>839</v>
      </c>
      <c r="G3050" s="21" t="s">
        <v>28428</v>
      </c>
      <c r="H3050" s="21" t="s">
        <v>5097</v>
      </c>
    </row>
    <row r="3051" customFormat="false" ht="15" hidden="false" customHeight="false" outlineLevel="0" collapsed="false">
      <c r="B3051" s="19" t="s">
        <v>28440</v>
      </c>
      <c r="C3051" s="20" t="n">
        <f aca="false">ROUND(1.05/FX,2)</f>
        <v>0.15</v>
      </c>
      <c r="D3051" s="21" t="s">
        <v>13994</v>
      </c>
      <c r="E3051" s="21" t="s">
        <v>25497</v>
      </c>
      <c r="F3051" s="21" t="s">
        <v>839</v>
      </c>
      <c r="G3051" s="21" t="s">
        <v>28428</v>
      </c>
      <c r="H3051" s="21" t="s">
        <v>3317</v>
      </c>
    </row>
    <row r="3052" customFormat="false" ht="15" hidden="false" customHeight="false" outlineLevel="0" collapsed="false">
      <c r="B3052" s="19" t="s">
        <v>28441</v>
      </c>
      <c r="C3052" s="20" t="n">
        <f aca="false">ROUND(1.5/FX,2)</f>
        <v>0.21</v>
      </c>
      <c r="D3052" s="21" t="s">
        <v>13997</v>
      </c>
      <c r="E3052" s="21" t="s">
        <v>25497</v>
      </c>
      <c r="F3052" s="21" t="s">
        <v>839</v>
      </c>
      <c r="G3052" s="21" t="s">
        <v>28428</v>
      </c>
      <c r="H3052" s="21" t="s">
        <v>13774</v>
      </c>
    </row>
    <row r="3053" customFormat="false" ht="15" hidden="false" customHeight="false" outlineLevel="0" collapsed="false">
      <c r="B3053" s="19" t="s">
        <v>28442</v>
      </c>
      <c r="C3053" s="20" t="n">
        <f aca="false">ROUND(1.04/FX,2)</f>
        <v>0.14</v>
      </c>
      <c r="D3053" s="21" t="s">
        <v>25703</v>
      </c>
      <c r="E3053" s="21" t="s">
        <v>25497</v>
      </c>
      <c r="F3053" s="21" t="s">
        <v>839</v>
      </c>
      <c r="G3053" s="21" t="s">
        <v>28428</v>
      </c>
      <c r="H3053" s="21" t="s">
        <v>839</v>
      </c>
    </row>
    <row r="3054" customFormat="false" ht="15" hidden="false" customHeight="false" outlineLevel="0" collapsed="false">
      <c r="B3054" s="19" t="s">
        <v>28443</v>
      </c>
      <c r="C3054" s="20" t="n">
        <f aca="false">ROUND(1.43/FX,2)</f>
        <v>0.2</v>
      </c>
      <c r="D3054" s="21" t="s">
        <v>13997</v>
      </c>
      <c r="E3054" s="21" t="s">
        <v>25497</v>
      </c>
      <c r="F3054" s="21" t="s">
        <v>839</v>
      </c>
      <c r="G3054" s="21" t="s">
        <v>28428</v>
      </c>
      <c r="H3054" s="21" t="s">
        <v>784</v>
      </c>
    </row>
    <row r="3055" customFormat="false" ht="15" hidden="false" customHeight="false" outlineLevel="0" collapsed="false">
      <c r="B3055" s="19" t="s">
        <v>28444</v>
      </c>
      <c r="C3055" s="20" t="n">
        <f aca="false">ROUND(1.82/FX,2)</f>
        <v>0.25</v>
      </c>
      <c r="D3055" s="21" t="s">
        <v>13997</v>
      </c>
      <c r="E3055" s="21" t="s">
        <v>25497</v>
      </c>
      <c r="F3055" s="21" t="s">
        <v>839</v>
      </c>
      <c r="G3055" s="21" t="s">
        <v>28428</v>
      </c>
      <c r="H3055" s="21" t="s">
        <v>6244</v>
      </c>
    </row>
    <row r="3056" customFormat="false" ht="15" hidden="false" customHeight="false" outlineLevel="0" collapsed="false">
      <c r="B3056" s="19" t="s">
        <v>28445</v>
      </c>
      <c r="C3056" s="20" t="n">
        <f aca="false">ROUND(1.04/FX,2)</f>
        <v>0.14</v>
      </c>
      <c r="D3056" s="21" t="s">
        <v>25703</v>
      </c>
      <c r="E3056" s="21" t="s">
        <v>25497</v>
      </c>
      <c r="F3056" s="21" t="s">
        <v>839</v>
      </c>
      <c r="G3056" s="21" t="s">
        <v>28428</v>
      </c>
      <c r="H3056" s="21" t="s">
        <v>841</v>
      </c>
    </row>
    <row r="3057" customFormat="false" ht="15" hidden="false" customHeight="false" outlineLevel="0" collapsed="false">
      <c r="B3057" s="19" t="s">
        <v>28446</v>
      </c>
      <c r="C3057" s="20" t="n">
        <f aca="false">ROUND(1.04/FX,2)</f>
        <v>0.14</v>
      </c>
      <c r="D3057" s="21" t="s">
        <v>25703</v>
      </c>
      <c r="E3057" s="21" t="s">
        <v>25497</v>
      </c>
      <c r="F3057" s="21" t="s">
        <v>839</v>
      </c>
      <c r="G3057" s="21" t="s">
        <v>28428</v>
      </c>
      <c r="H3057" s="21" t="s">
        <v>789</v>
      </c>
    </row>
    <row r="3058" customFormat="false" ht="15" hidden="false" customHeight="false" outlineLevel="0" collapsed="false">
      <c r="B3058" s="19" t="s">
        <v>28447</v>
      </c>
      <c r="C3058" s="20" t="n">
        <f aca="false">ROUND(1.04/FX,2)</f>
        <v>0.14</v>
      </c>
      <c r="D3058" s="21" t="s">
        <v>13974</v>
      </c>
      <c r="E3058" s="21" t="s">
        <v>25497</v>
      </c>
      <c r="F3058" s="21" t="s">
        <v>839</v>
      </c>
      <c r="G3058" s="21" t="s">
        <v>28428</v>
      </c>
      <c r="H3058" s="21" t="s">
        <v>716</v>
      </c>
    </row>
    <row r="3059" customFormat="false" ht="15" hidden="false" customHeight="false" outlineLevel="0" collapsed="false">
      <c r="B3059" s="19" t="s">
        <v>28448</v>
      </c>
      <c r="C3059" s="20" t="n">
        <f aca="false">ROUND(0.45/FX,2)</f>
        <v>0.06</v>
      </c>
      <c r="D3059" s="21" t="s">
        <v>13997</v>
      </c>
      <c r="E3059" s="21" t="s">
        <v>25497</v>
      </c>
      <c r="F3059" s="21" t="s">
        <v>839</v>
      </c>
      <c r="G3059" s="21" t="s">
        <v>28428</v>
      </c>
      <c r="H3059" s="21" t="s">
        <v>845</v>
      </c>
    </row>
    <row r="3060" customFormat="false" ht="15" hidden="false" customHeight="false" outlineLevel="0" collapsed="false">
      <c r="B3060" s="19" t="s">
        <v>28449</v>
      </c>
      <c r="C3060" s="20" t="n">
        <f aca="false">ROUND(1.05/FX,2)</f>
        <v>0.15</v>
      </c>
      <c r="D3060" s="21" t="s">
        <v>24287</v>
      </c>
      <c r="E3060" s="21" t="s">
        <v>25497</v>
      </c>
      <c r="F3060" s="21" t="s">
        <v>839</v>
      </c>
      <c r="G3060" s="21" t="s">
        <v>28428</v>
      </c>
      <c r="H3060" s="21" t="s">
        <v>847</v>
      </c>
    </row>
    <row r="3061" customFormat="false" ht="15" hidden="false" customHeight="false" outlineLevel="0" collapsed="false">
      <c r="B3061" s="19" t="s">
        <v>28450</v>
      </c>
      <c r="C3061" s="20" t="n">
        <f aca="false">ROUND(0.5/FX,2)</f>
        <v>0.07</v>
      </c>
      <c r="D3061" s="21" t="s">
        <v>13997</v>
      </c>
      <c r="E3061" s="21" t="s">
        <v>25497</v>
      </c>
      <c r="F3061" s="21" t="s">
        <v>839</v>
      </c>
      <c r="G3061" s="21" t="s">
        <v>28428</v>
      </c>
      <c r="H3061" s="21" t="s">
        <v>719</v>
      </c>
    </row>
  </sheetData>
  <mergeCells count="44">
    <mergeCell ref="B1:F1"/>
    <mergeCell ref="B230:H230"/>
    <mergeCell ref="B502:F502"/>
    <mergeCell ref="B583:H583"/>
    <mergeCell ref="B828:G828"/>
    <mergeCell ref="B992:H992"/>
    <mergeCell ref="B993:H993"/>
    <mergeCell ref="B1063:F1063"/>
    <mergeCell ref="B1103:G1103"/>
    <mergeCell ref="B1163:H1163"/>
    <mergeCell ref="B1188:J1188"/>
    <mergeCell ref="B1250:H1250"/>
    <mergeCell ref="B1465:D1465"/>
    <mergeCell ref="B1470:H1470"/>
    <mergeCell ref="B1503:I1503"/>
    <mergeCell ref="B1991:H1991"/>
    <mergeCell ref="B2059:F2059"/>
    <mergeCell ref="B2302:H2302"/>
    <mergeCell ref="B2437:F2437"/>
    <mergeCell ref="B2450:D2450"/>
    <mergeCell ref="B2455:E2455"/>
    <mergeCell ref="B2469:F2469"/>
    <mergeCell ref="B2501:E2501"/>
    <mergeCell ref="B2514:F2514"/>
    <mergeCell ref="B2547:H2547"/>
    <mergeCell ref="B2747:D2747"/>
    <mergeCell ref="B2752:F2752"/>
    <mergeCell ref="B2763:D2763"/>
    <mergeCell ref="B2768:D2768"/>
    <mergeCell ref="B2773:E2773"/>
    <mergeCell ref="B2789:D2789"/>
    <mergeCell ref="B2794:G2794"/>
    <mergeCell ref="B2818:D2818"/>
    <mergeCell ref="B2852:E2852"/>
    <mergeCell ref="B2866:G2866"/>
    <mergeCell ref="B2920:F2920"/>
    <mergeCell ref="B2934:D2934"/>
    <mergeCell ref="B2939:G2939"/>
    <mergeCell ref="B2955:F2955"/>
    <mergeCell ref="B2974:D2974"/>
    <mergeCell ref="B3002:D3002"/>
    <mergeCell ref="B3012:E3012"/>
    <mergeCell ref="B3025:D3025"/>
    <mergeCell ref="B3030:H3030"/>
  </mergeCells>
  <dataValidations count="126">
    <dataValidation allowBlank="true" error="Please choose from the list" errorStyle="stop" errorTitle="▶ Quick quote" operator="between" showDropDown="false" showErrorMessage="false" showInputMessage="false" sqref="D3" type="list">
      <formula1>_lists!$ADQ$1:$ADQ$35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_lists!$ADR$1:$ADR$33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_lists!$ADS$1:$ADS$13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32" type="list">
      <formula1>_lists!$ADT$1:$ADT$30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32" type="list">
      <formula1>_lists!$ADU$1:$ADU$3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32" type="list">
      <formula1>_lists!$ADV$1:$ADV$43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32" type="list">
      <formula1>_lists!$ADW$1:$ADW$12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32" type="list">
      <formula1>_lists!$ADX$1:$ADX$2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04" type="list">
      <formula1>_lists!$ADY$1:$ADY$17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04" type="list">
      <formula1>_lists!$ADZ$1:$ADZ$20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04" type="list">
      <formula1>_lists!$AEA$1:$AEA$7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85" type="list">
      <formula1>_lists!$AEB$1:$AEB$2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85" type="list">
      <formula1>_lists!$AEC$1:$AEC$19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85" type="list">
      <formula1>_lists!$AED$1:$AED$41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585" type="list">
      <formula1>_lists!$AEE$1:$AEE$11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585" type="list">
      <formula1>_lists!$AEF$1:$AEF$2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30" type="list">
      <formula1>_lists!$AEG$1:$AEG$2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30" type="list">
      <formula1>_lists!$AEH$1:$AEH$37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30" type="list">
      <formula1>_lists!$AEI$1:$AEI$31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830" type="list">
      <formula1>_lists!$AEJ$1:$AEJ$9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95" type="list">
      <formula1>_lists!$AEK$1:$AEK$2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95" type="list">
      <formula1>_lists!$AEL$1:$AEL$9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95" type="list">
      <formula1>_lists!$AEM$1:$AEM$4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995" type="list">
      <formula1>_lists!$AEN$1:$AEN$3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995" type="list">
      <formula1>_lists!$AEO$1:$AEO$3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65" type="list">
      <formula1>_lists!$AEP$1:$AEP$10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65" type="list">
      <formula1>_lists!$AEQ$1:$AEQ$15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65" type="list">
      <formula1>_lists!$AER$1:$AER$4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05" type="list">
      <formula1>_lists!$AES$1:$AES$19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05" type="list">
      <formula1>_lists!$AET$1:$AET$17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105" type="list">
      <formula1>_lists!$AEU$1:$AEU$5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105" type="list">
      <formula1>_lists!$AEV$1:$AEV$2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65" type="list">
      <formula1>_lists!$AEW$1:$AEW$5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65" type="list">
      <formula1>_lists!$AEX$1:$AEX$3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165" type="list">
      <formula1>_lists!$AEY$1:$AEY$13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165" type="list">
      <formula1>_lists!$AEZ$1:$AEZ$3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165" type="list">
      <formula1>_lists!$AFA$1:$AFA$2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190" type="list">
      <formula1>_lists!$AFB$1:$AFB$2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190" type="list">
      <formula1>_lists!$AFC$1:$AFC$2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190" type="list">
      <formula1>_lists!$AFD$1:$AFD$8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190" type="list">
      <formula1>_lists!$AFE$1:$AFE$2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190" type="list">
      <formula1>_lists!$AFF$1:$AFF$2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1190" type="list">
      <formula1>_lists!$AFG$1:$AFG$6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J1190" type="list">
      <formula1>_lists!$AFH$1:$AFH$13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52" type="list">
      <formula1>_lists!$AFI$1:$AFI$19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52" type="list">
      <formula1>_lists!$AFJ$1:$AFJ$2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52" type="list">
      <formula1>_lists!$AFK$1:$AFK$35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252" type="list">
      <formula1>_lists!$AFL$1:$AFL$13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252" type="list">
      <formula1>_lists!$AFM$1:$AFM$2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72" type="list">
      <formula1>_lists!$AFN$1:$AFN$2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72" type="list">
      <formula1>_lists!$AFO$1:$AFO$2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472" type="list">
      <formula1>_lists!$AFP$1:$AFP$16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472" type="list">
      <formula1>_lists!$AFQ$1:$AFQ$13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472" type="list">
      <formula1>_lists!$AFR$1:$AFR$5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05" type="list">
      <formula1>_lists!$AFS$1:$AFS$5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05" type="list">
      <formula1>_lists!$AFT$1:$AFT$2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505" type="list">
      <formula1>_lists!$AFU$1:$AFU$2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505" type="list">
      <formula1>_lists!$AFV$1:$AFV$28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505" type="list">
      <formula1>_lists!$AFW$1:$AFW$6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1505" type="list">
      <formula1>_lists!$AFX$1:$AFX$2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93" type="list">
      <formula1>_lists!$AFY$1:$AFY$3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93" type="list">
      <formula1>_lists!$AFZ$1:$AFZ$29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993" type="list">
      <formula1>_lists!$AGA$1:$AGA$14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993" type="list">
      <formula1>_lists!$AGB$1:$AGB$7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1993" type="list">
      <formula1>_lists!$AGC$1:$AGC$4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061" type="list">
      <formula1>_lists!$AGD$1:$AGD$4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061" type="list">
      <formula1>_lists!$AGE$1:$AGE$19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061" type="list">
      <formula1>_lists!$AGF$1:$AGF$5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304" type="list">
      <formula1>_lists!$AGG$1:$AGG$44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304" type="list">
      <formula1>_lists!$AGH$1:$AGH$5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304" type="list">
      <formula1>_lists!$AGI$1:$AGI$29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304" type="list">
      <formula1>_lists!$AGJ$1:$AGJ$5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304" type="list">
      <formula1>_lists!$AGK$1:$AGK$2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439" type="list">
      <formula1>_lists!$AGL$1:$AGL$3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439" type="list">
      <formula1>_lists!$AGM$1:$AGM$2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439" type="list">
      <formula1>_lists!$AGN$1:$AGN$6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457" type="list">
      <formula1>_lists!$AGO$1:$AGO$3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457" type="list">
      <formula1>_lists!$AGP$1:$AGP$7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471" type="list">
      <formula1>_lists!$AGQ$1:$AGQ$17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471" type="list">
      <formula1>_lists!$AGR$1:$AGR$2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471" type="list">
      <formula1>_lists!$AGS$1:$AGS$22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503" type="list">
      <formula1>_lists!$AGT$1:$AGT$3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503" type="list">
      <formula1>_lists!$AGU$1:$AGU$6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516" type="list">
      <formula1>_lists!$AGV$1:$AGV$10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516" type="list">
      <formula1>_lists!$AGW$1:$AGW$14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516" type="list">
      <formula1>_lists!$AGX$1:$AGX$3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549" type="list">
      <formula1>_lists!$AGY$1:$AGY$2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549" type="list">
      <formula1>_lists!$AGZ$1:$AGZ$5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549" type="list">
      <formula1>_lists!$AHA$1:$AHA$16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549" type="list">
      <formula1>_lists!$AHB$1:$AHB$6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549" type="list">
      <formula1>_lists!$AHC$1:$AHC$4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754" type="list">
      <formula1>_lists!$AHD$1:$AHD$2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754" type="list">
      <formula1>_lists!$AHE$1:$AHE$3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754" type="list">
      <formula1>_lists!$AHF$1:$AHF$2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775" type="list">
      <formula1>_lists!$AHG$1:$AHG$4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775" type="list">
      <formula1>_lists!$AHH$1:$AHH$9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796" type="list">
      <formula1>_lists!$AHI$1:$AHI$2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796" type="list">
      <formula1>_lists!$AHJ$1:$AHJ$5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796" type="list">
      <formula1>_lists!$AHK$1:$AHK$15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796" type="list">
      <formula1>_lists!$AHL$1:$AHL$4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20" type="list">
      <formula1>_lists!$AHM$1:$AHM$27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54" type="list">
      <formula1>_lists!$AHN$1:$AHN$7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854" type="list">
      <formula1>_lists!$AHO$1:$AHO$7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68" type="list">
      <formula1>_lists!$AHP$1:$AHP$3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868" type="list">
      <formula1>_lists!$AHQ$1:$AHQ$6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868" type="list">
      <formula1>_lists!$AHR$1:$AHR$32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868" type="list">
      <formula1>_lists!$AHS$1:$AHS$18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22" type="list">
      <formula1>_lists!$AHT$1:$AHT$3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22" type="list">
      <formula1>_lists!$AHU$1:$AHU$2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922" type="list">
      <formula1>_lists!$AHV$1:$AHV$6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41" type="list">
      <formula1>_lists!$AHW$1:$AHW$2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41" type="list">
      <formula1>_lists!$AHX$1:$AHX$2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941" type="list">
      <formula1>_lists!$AHY$1:$AHY$5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941" type="list">
      <formula1>_lists!$AHZ$1:$AHZ$9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57" type="list">
      <formula1>_lists!$AIA$1:$AIA$2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57" type="list">
      <formula1>_lists!$AIB$1:$AIB$8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957" type="list">
      <formula1>_lists!$AIC$1:$AIC$12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76" type="list">
      <formula1>_lists!$AID$1:$AID$21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04" type="list">
      <formula1>_lists!$AIE$1:$AIE$3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14" type="list">
      <formula1>_lists!$AIF$1:$AIF$2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014" type="list">
      <formula1>_lists!$AIG$1:$AIG$6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32" type="list">
      <formula1>_lists!$AIH$1:$AIH$9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032" type="list">
      <formula1>_lists!$AII$1:$AII$2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032" type="list">
      <formula1>_lists!$AIJ$1:$AIJ$2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032" type="list">
      <formula1>_lists!$AIK$1:$AIK$2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3032" type="list">
      <formula1>_lists!$AIL$1:$AIL$24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2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28451</v>
      </c>
      <c r="C1" s="10"/>
      <c r="D1" s="10"/>
    </row>
    <row r="2" customFormat="false" ht="15" hidden="false" customHeight="false" outlineLevel="0" collapsed="false">
      <c r="A2" s="12" t="s">
        <v>700</v>
      </c>
      <c r="B2" s="13" t="s">
        <v>701</v>
      </c>
      <c r="C2" s="13" t="s">
        <v>702</v>
      </c>
      <c r="D2" s="13" t="s">
        <v>723</v>
      </c>
    </row>
    <row r="3" customFormat="false" ht="30" hidden="false" customHeight="true" outlineLevel="0" collapsed="false">
      <c r="A3" s="14" t="s">
        <v>706</v>
      </c>
      <c r="B3" s="15" t="str">
        <f aca="false">IF(COUNTIFS($D$6:$D$8,IF(D3="","*",D3))=1,INDEX($B:$B,SUMPRODUCT(((D3="")+($D$6:$D$8=D3)&gt;0)*ROW($B$6:$B$8))),IF(COUNTIFS($D$6:$D$8,IF(D3="","*",D3))=0,"Not available",COUNTIFS($D$6:$D$8,IF(D3="","*",D3))&amp;" match, keep choosing"))</f>
        <v>P3-029-AK-CNC-BRU-JPH-NJ15.97-16.00</v>
      </c>
      <c r="C3" s="16" t="n">
        <f aca="false">IF(COUNTIFS($D$6:$D$8,IF(D3="","*",D3))=1,INDEX($C:$C,SUMPRODUCT(((D3="")+($D$6:$D$8=D3)&gt;0)*ROW($B$6:$B$8))),"")</f>
        <v>1.35</v>
      </c>
      <c r="D3" s="17" t="s">
        <v>28452</v>
      </c>
    </row>
    <row r="5" customFormat="false" ht="15" hidden="false" customHeight="false" outlineLevel="0" collapsed="false">
      <c r="B5" s="18" t="s">
        <v>701</v>
      </c>
      <c r="C5" s="18" t="s">
        <v>702</v>
      </c>
      <c r="D5" s="18" t="s">
        <v>723</v>
      </c>
    </row>
    <row r="6" customFormat="false" ht="41.75" hidden="false" customHeight="false" outlineLevel="0" collapsed="false">
      <c r="B6" s="19" t="s">
        <v>28453</v>
      </c>
      <c r="C6" s="20" t="n">
        <f aca="false">ROUND(9.75/FX,2)</f>
        <v>1.35</v>
      </c>
      <c r="D6" s="21" t="s">
        <v>28452</v>
      </c>
    </row>
    <row r="7" customFormat="false" ht="41.75" hidden="false" customHeight="false" outlineLevel="0" collapsed="false">
      <c r="B7" s="19" t="s">
        <v>28454</v>
      </c>
      <c r="C7" s="20" t="n">
        <f aca="false">ROUND(9.75/FX,2)</f>
        <v>1.35</v>
      </c>
      <c r="D7" s="21" t="s">
        <v>28455</v>
      </c>
    </row>
    <row r="8" customFormat="false" ht="28.35" hidden="false" customHeight="false" outlineLevel="0" collapsed="false">
      <c r="B8" s="19" t="s">
        <v>28456</v>
      </c>
      <c r="C8" s="20" t="n">
        <f aca="false">ROUND(7.28/FX,2)</f>
        <v>1.01</v>
      </c>
      <c r="D8" s="21" t="s">
        <v>28457</v>
      </c>
    </row>
    <row r="11" customFormat="false" ht="61.5" hidden="false" customHeight="true" outlineLevel="0" collapsed="false">
      <c r="A11" s="9"/>
      <c r="B11" s="10" t="s">
        <v>28458</v>
      </c>
      <c r="C11" s="10"/>
      <c r="D11" s="10"/>
    </row>
    <row r="12" customFormat="false" ht="15" hidden="false" customHeight="false" outlineLevel="0" collapsed="false">
      <c r="B12" s="18" t="s">
        <v>701</v>
      </c>
      <c r="C12" s="18" t="s">
        <v>702</v>
      </c>
      <c r="D12" s="18" t="s">
        <v>5610</v>
      </c>
    </row>
    <row r="13" customFormat="false" ht="15" hidden="false" customHeight="false" outlineLevel="0" collapsed="false">
      <c r="B13" s="19" t="s">
        <v>28459</v>
      </c>
      <c r="C13" s="20" t="n">
        <f aca="false">ROUND(585/FX,2)</f>
        <v>81.25</v>
      </c>
      <c r="D13" s="22" t="s">
        <v>5612</v>
      </c>
    </row>
    <row r="16" customFormat="false" ht="61.5" hidden="false" customHeight="true" outlineLevel="0" collapsed="false">
      <c r="A16" s="9"/>
      <c r="B16" s="10" t="s">
        <v>28460</v>
      </c>
      <c r="C16" s="10"/>
      <c r="D16" s="10"/>
    </row>
    <row r="17" customFormat="false" ht="15" hidden="false" customHeight="false" outlineLevel="0" collapsed="false">
      <c r="A17" s="12" t="s">
        <v>700</v>
      </c>
      <c r="B17" s="13" t="s">
        <v>701</v>
      </c>
      <c r="C17" s="13" t="s">
        <v>702</v>
      </c>
      <c r="D17" s="13" t="s">
        <v>723</v>
      </c>
    </row>
    <row r="18" customFormat="false" ht="30" hidden="false" customHeight="true" outlineLevel="0" collapsed="false">
      <c r="A18" s="14" t="s">
        <v>706</v>
      </c>
      <c r="B18" s="15" t="str">
        <f aca="false">IF(COUNTIFS($D$21:$D$22,IF(D18="","*",D18))=1,INDEX($B:$B,SUMPRODUCT(((D18="")+($D$21:$D$22=D18)&gt;0)*ROW($B$21:$B$22))),IF(COUNTIFS($D$21:$D$22,IF(D18="","*",D18))=0,"Not available",COUNTIFS($D$21:$D$22,IF(D18="","*",D18))&amp;" match, keep choosing"))</f>
        <v>P3-090-YSAK</v>
      </c>
      <c r="C18" s="16" t="n">
        <f aca="false">IF(COUNTIFS($D$21:$D$22,IF(D18="","*",D18))=1,INDEX($C:$C,SUMPRODUCT(((D18="")+($D$21:$D$22=D18)&gt;0)*ROW($B$21:$B$22))),"")</f>
        <v>5.24</v>
      </c>
      <c r="D18" s="17" t="s">
        <v>28461</v>
      </c>
    </row>
    <row r="20" customFormat="false" ht="15" hidden="false" customHeight="false" outlineLevel="0" collapsed="false">
      <c r="B20" s="18" t="s">
        <v>701</v>
      </c>
      <c r="C20" s="18" t="s">
        <v>702</v>
      </c>
      <c r="D20" s="18" t="s">
        <v>723</v>
      </c>
    </row>
    <row r="21" customFormat="false" ht="15" hidden="false" customHeight="false" outlineLevel="0" collapsed="false">
      <c r="B21" s="19" t="s">
        <v>28462</v>
      </c>
      <c r="C21" s="20" t="n">
        <f aca="false">ROUND(37.7/FX,2)</f>
        <v>5.24</v>
      </c>
      <c r="D21" s="21" t="s">
        <v>28461</v>
      </c>
    </row>
    <row r="22" customFormat="false" ht="15" hidden="false" customHeight="false" outlineLevel="0" collapsed="false">
      <c r="B22" s="19" t="s">
        <v>28463</v>
      </c>
      <c r="C22" s="20" t="n">
        <f aca="false">ROUND(39/FX,2)</f>
        <v>5.42</v>
      </c>
      <c r="D22" s="21" t="s">
        <v>28464</v>
      </c>
    </row>
    <row r="25" customFormat="false" ht="61.5" hidden="false" customHeight="true" outlineLevel="0" collapsed="false">
      <c r="A25" s="9"/>
      <c r="B25" s="10" t="s">
        <v>28465</v>
      </c>
      <c r="C25" s="10"/>
      <c r="D25" s="10"/>
    </row>
    <row r="26" customFormat="false" ht="15" hidden="false" customHeight="false" outlineLevel="0" collapsed="false">
      <c r="B26" s="18" t="s">
        <v>701</v>
      </c>
      <c r="C26" s="18" t="s">
        <v>702</v>
      </c>
      <c r="D26" s="18" t="s">
        <v>5610</v>
      </c>
    </row>
    <row r="27" customFormat="false" ht="15" hidden="false" customHeight="false" outlineLevel="0" collapsed="false">
      <c r="B27" s="19" t="s">
        <v>28466</v>
      </c>
      <c r="C27" s="20" t="n">
        <f aca="false">ROUND(7.15/FX,2)</f>
        <v>0.99</v>
      </c>
      <c r="D27" s="22" t="s">
        <v>5612</v>
      </c>
    </row>
    <row r="30" customFormat="false" ht="61.5" hidden="false" customHeight="true" outlineLevel="0" collapsed="false">
      <c r="A30" s="9"/>
      <c r="B30" s="10" t="s">
        <v>28467</v>
      </c>
      <c r="C30" s="10"/>
      <c r="D30" s="10"/>
    </row>
    <row r="31" customFormat="false" ht="15" hidden="false" customHeight="false" outlineLevel="0" collapsed="false">
      <c r="A31" s="12" t="s">
        <v>700</v>
      </c>
      <c r="B31" s="13" t="s">
        <v>701</v>
      </c>
      <c r="C31" s="13" t="s">
        <v>702</v>
      </c>
      <c r="D31" s="13" t="s">
        <v>723</v>
      </c>
    </row>
    <row r="32" customFormat="false" ht="30" hidden="false" customHeight="true" outlineLevel="0" collapsed="false">
      <c r="A32" s="14" t="s">
        <v>706</v>
      </c>
      <c r="B32" s="15" t="str">
        <f aca="false">IF(COUNTIFS($D$35:$D$37,IF(D32="","*",D32))=1,INDEX($B:$B,SUMPRODUCT(((D32="")+($D$35:$D$37=D32)&gt;0)*ROW($B$35:$B$37))),IF(COUNTIFS($D$35:$D$37,IF(D32="","*",D32))=0,"Not available",COUNTIFS($D$35:$D$37,IF(D32="","*",D32))&amp;" match, keep choosing"))</f>
        <v>P3-086</v>
      </c>
      <c r="C32" s="16" t="n">
        <f aca="false">IF(COUNTIFS($D$35:$D$37,IF(D32="","*",D32))=1,INDEX($C:$C,SUMPRODUCT(((D32="")+($D$35:$D$37=D32)&gt;0)*ROW($B$35:$B$37))),"")</f>
        <v>3.61</v>
      </c>
      <c r="D32" s="17" t="s">
        <v>21092</v>
      </c>
    </row>
    <row r="34" customFormat="false" ht="15" hidden="false" customHeight="false" outlineLevel="0" collapsed="false">
      <c r="B34" s="18" t="s">
        <v>701</v>
      </c>
      <c r="C34" s="18" t="s">
        <v>702</v>
      </c>
      <c r="D34" s="18" t="s">
        <v>723</v>
      </c>
    </row>
    <row r="35" customFormat="false" ht="15" hidden="false" customHeight="false" outlineLevel="0" collapsed="false">
      <c r="B35" s="19" t="s">
        <v>28468</v>
      </c>
      <c r="C35" s="20" t="n">
        <f aca="false">ROUND(26/FX,2)</f>
        <v>3.61</v>
      </c>
      <c r="D35" s="21" t="s">
        <v>21092</v>
      </c>
    </row>
    <row r="36" customFormat="false" ht="28.35" hidden="false" customHeight="false" outlineLevel="0" collapsed="false">
      <c r="B36" s="19" t="s">
        <v>28469</v>
      </c>
      <c r="C36" s="20" t="n">
        <f aca="false">ROUND(46/FX,2)</f>
        <v>6.39</v>
      </c>
      <c r="D36" s="21" t="s">
        <v>28470</v>
      </c>
    </row>
    <row r="37" customFormat="false" ht="28.35" hidden="false" customHeight="false" outlineLevel="0" collapsed="false">
      <c r="B37" s="19" t="s">
        <v>28471</v>
      </c>
      <c r="C37" s="20" t="n">
        <f aca="false">ROUND(50/FX,2)</f>
        <v>6.94</v>
      </c>
      <c r="D37" s="21" t="s">
        <v>28472</v>
      </c>
    </row>
    <row r="40" customFormat="false" ht="61.5" hidden="false" customHeight="true" outlineLevel="0" collapsed="false">
      <c r="A40" s="9"/>
      <c r="B40" s="10" t="s">
        <v>28473</v>
      </c>
      <c r="C40" s="10"/>
      <c r="D40" s="10"/>
    </row>
    <row r="41" customFormat="false" ht="15" hidden="false" customHeight="false" outlineLevel="0" collapsed="false">
      <c r="A41" s="12" t="s">
        <v>700</v>
      </c>
      <c r="B41" s="13" t="s">
        <v>701</v>
      </c>
      <c r="C41" s="13" t="s">
        <v>702</v>
      </c>
      <c r="D41" s="13" t="s">
        <v>723</v>
      </c>
    </row>
    <row r="42" customFormat="false" ht="30" hidden="false" customHeight="true" outlineLevel="0" collapsed="false">
      <c r="A42" s="14" t="s">
        <v>706</v>
      </c>
      <c r="B42" s="15" t="str">
        <f aca="false">IF(COUNTIFS($D$45:$D$61,IF(D42="","*",D42))=1,INDEX($B:$B,SUMPRODUCT(((D42="")+($D$45:$D$61=D42)&gt;0)*ROW($B$45:$B$61))),IF(COUNTIFS($D$45:$D$61,IF(D42="","*",D42))=0,"Not available",COUNTIFS($D$45:$D$61,IF(D42="","*",D42))&amp;" match, keep choosing"))</f>
        <v>P3-037</v>
      </c>
      <c r="C42" s="16" t="n">
        <f aca="false">IF(COUNTIFS($D$45:$D$61,IF(D42="","*",D42))=1,INDEX($C:$C,SUMPRODUCT(((D42="")+($D$45:$D$61=D42)&gt;0)*ROW($B$45:$B$61))),"")</f>
        <v>4.51</v>
      </c>
      <c r="D42" s="17" t="s">
        <v>21092</v>
      </c>
    </row>
    <row r="44" customFormat="false" ht="15" hidden="false" customHeight="false" outlineLevel="0" collapsed="false">
      <c r="B44" s="18" t="s">
        <v>701</v>
      </c>
      <c r="C44" s="18" t="s">
        <v>702</v>
      </c>
      <c r="D44" s="18" t="s">
        <v>723</v>
      </c>
    </row>
    <row r="45" customFormat="false" ht="15" hidden="false" customHeight="false" outlineLevel="0" collapsed="false">
      <c r="B45" s="19" t="s">
        <v>28474</v>
      </c>
      <c r="C45" s="20" t="n">
        <f aca="false">ROUND(32.5/FX,2)</f>
        <v>4.51</v>
      </c>
      <c r="D45" s="21" t="s">
        <v>21092</v>
      </c>
    </row>
    <row r="46" customFormat="false" ht="28.35" hidden="false" customHeight="false" outlineLevel="0" collapsed="false">
      <c r="B46" s="19" t="s">
        <v>28475</v>
      </c>
      <c r="C46" s="20" t="n">
        <f aca="false">ROUND(61/FX,2)</f>
        <v>8.47</v>
      </c>
      <c r="D46" s="21" t="s">
        <v>28476</v>
      </c>
    </row>
    <row r="47" customFormat="false" ht="28.35" hidden="false" customHeight="false" outlineLevel="0" collapsed="false">
      <c r="B47" s="19" t="s">
        <v>28477</v>
      </c>
      <c r="C47" s="20" t="n">
        <f aca="false">ROUND(61/FX,2)</f>
        <v>8.47</v>
      </c>
      <c r="D47" s="21" t="s">
        <v>28478</v>
      </c>
    </row>
    <row r="48" customFormat="false" ht="28.35" hidden="false" customHeight="false" outlineLevel="0" collapsed="false">
      <c r="B48" s="19" t="s">
        <v>28479</v>
      </c>
      <c r="C48" s="20" t="n">
        <f aca="false">ROUND(61/FX,2)</f>
        <v>8.47</v>
      </c>
      <c r="D48" s="21" t="s">
        <v>28480</v>
      </c>
    </row>
    <row r="49" customFormat="false" ht="28.35" hidden="false" customHeight="false" outlineLevel="0" collapsed="false">
      <c r="B49" s="19" t="s">
        <v>28481</v>
      </c>
      <c r="C49" s="20" t="n">
        <f aca="false">ROUND(61/FX,2)</f>
        <v>8.47</v>
      </c>
      <c r="D49" s="21" t="s">
        <v>28482</v>
      </c>
    </row>
    <row r="50" customFormat="false" ht="28.35" hidden="false" customHeight="false" outlineLevel="0" collapsed="false">
      <c r="B50" s="19" t="s">
        <v>28483</v>
      </c>
      <c r="C50" s="20" t="n">
        <f aca="false">ROUND(61/FX,2)</f>
        <v>8.47</v>
      </c>
      <c r="D50" s="21" t="s">
        <v>28484</v>
      </c>
    </row>
    <row r="51" customFormat="false" ht="28.35" hidden="false" customHeight="false" outlineLevel="0" collapsed="false">
      <c r="B51" s="19" t="s">
        <v>28485</v>
      </c>
      <c r="C51" s="20" t="n">
        <f aca="false">ROUND(61/FX,2)</f>
        <v>8.47</v>
      </c>
      <c r="D51" s="21" t="s">
        <v>28486</v>
      </c>
    </row>
    <row r="52" customFormat="false" ht="28.35" hidden="false" customHeight="false" outlineLevel="0" collapsed="false">
      <c r="B52" s="19" t="s">
        <v>28487</v>
      </c>
      <c r="C52" s="20" t="n">
        <f aca="false">ROUND(61/FX,2)</f>
        <v>8.47</v>
      </c>
      <c r="D52" s="21" t="s">
        <v>28488</v>
      </c>
    </row>
    <row r="53" customFormat="false" ht="28.35" hidden="false" customHeight="false" outlineLevel="0" collapsed="false">
      <c r="B53" s="19" t="s">
        <v>28489</v>
      </c>
      <c r="C53" s="20" t="n">
        <f aca="false">ROUND(68/FX,2)</f>
        <v>9.44</v>
      </c>
      <c r="D53" s="21" t="s">
        <v>28490</v>
      </c>
    </row>
    <row r="54" customFormat="false" ht="28.35" hidden="false" customHeight="false" outlineLevel="0" collapsed="false">
      <c r="B54" s="19" t="s">
        <v>28491</v>
      </c>
      <c r="C54" s="20" t="n">
        <f aca="false">ROUND(62/FX,2)</f>
        <v>8.61</v>
      </c>
      <c r="D54" s="21" t="s">
        <v>28492</v>
      </c>
    </row>
    <row r="55" customFormat="false" ht="28.35" hidden="false" customHeight="false" outlineLevel="0" collapsed="false">
      <c r="B55" s="19" t="s">
        <v>28493</v>
      </c>
      <c r="C55" s="20" t="n">
        <f aca="false">ROUND(62/FX,2)</f>
        <v>8.61</v>
      </c>
      <c r="D55" s="21" t="s">
        <v>28494</v>
      </c>
    </row>
    <row r="56" customFormat="false" ht="28.35" hidden="false" customHeight="false" outlineLevel="0" collapsed="false">
      <c r="B56" s="19" t="s">
        <v>28495</v>
      </c>
      <c r="C56" s="20" t="n">
        <f aca="false">ROUND(62/FX,2)</f>
        <v>8.61</v>
      </c>
      <c r="D56" s="21" t="s">
        <v>28496</v>
      </c>
    </row>
    <row r="57" customFormat="false" ht="28.35" hidden="false" customHeight="false" outlineLevel="0" collapsed="false">
      <c r="B57" s="19" t="s">
        <v>28497</v>
      </c>
      <c r="C57" s="20" t="n">
        <f aca="false">ROUND(62/FX,2)</f>
        <v>8.61</v>
      </c>
      <c r="D57" s="21" t="s">
        <v>28498</v>
      </c>
    </row>
    <row r="58" customFormat="false" ht="28.35" hidden="false" customHeight="false" outlineLevel="0" collapsed="false">
      <c r="B58" s="19" t="s">
        <v>28499</v>
      </c>
      <c r="C58" s="20" t="n">
        <f aca="false">ROUND(62/FX,2)</f>
        <v>8.61</v>
      </c>
      <c r="D58" s="21" t="s">
        <v>28500</v>
      </c>
    </row>
    <row r="59" customFormat="false" ht="28.35" hidden="false" customHeight="false" outlineLevel="0" collapsed="false">
      <c r="B59" s="19" t="s">
        <v>28501</v>
      </c>
      <c r="C59" s="20" t="n">
        <f aca="false">ROUND(62/FX,2)</f>
        <v>8.61</v>
      </c>
      <c r="D59" s="21" t="s">
        <v>28502</v>
      </c>
    </row>
    <row r="60" customFormat="false" ht="28.35" hidden="false" customHeight="false" outlineLevel="0" collapsed="false">
      <c r="B60" s="19" t="s">
        <v>28503</v>
      </c>
      <c r="C60" s="20" t="n">
        <f aca="false">ROUND(62/FX,2)</f>
        <v>8.61</v>
      </c>
      <c r="D60" s="21" t="s">
        <v>28504</v>
      </c>
    </row>
    <row r="61" customFormat="false" ht="28.35" hidden="false" customHeight="false" outlineLevel="0" collapsed="false">
      <c r="B61" s="19" t="s">
        <v>28505</v>
      </c>
      <c r="C61" s="20" t="n">
        <f aca="false">ROUND(70/FX,2)</f>
        <v>9.72</v>
      </c>
      <c r="D61" s="21" t="s">
        <v>28506</v>
      </c>
    </row>
    <row r="64" customFormat="false" ht="61.5" hidden="false" customHeight="true" outlineLevel="0" collapsed="false">
      <c r="A64" s="9"/>
      <c r="B64" s="10" t="s">
        <v>28507</v>
      </c>
      <c r="C64" s="10"/>
      <c r="D64" s="10"/>
    </row>
    <row r="65" customFormat="false" ht="15" hidden="false" customHeight="false" outlineLevel="0" collapsed="false">
      <c r="A65" s="12" t="s">
        <v>700</v>
      </c>
      <c r="B65" s="13" t="s">
        <v>701</v>
      </c>
      <c r="C65" s="13" t="s">
        <v>702</v>
      </c>
      <c r="D65" s="13" t="s">
        <v>723</v>
      </c>
    </row>
    <row r="66" customFormat="false" ht="30" hidden="false" customHeight="true" outlineLevel="0" collapsed="false">
      <c r="A66" s="14" t="s">
        <v>706</v>
      </c>
      <c r="B66" s="15" t="str">
        <f aca="false">IF(COUNTIFS($D$69:$D$75,IF(D66="","*",D66))=1,INDEX($B:$B,SUMPRODUCT(((D66="")+($D$69:$D$75=D66)&gt;0)*ROW($B$69:$B$75))),IF(COUNTIFS($D$69:$D$75,IF(D66="","*",D66))=0,"Not available",COUNTIFS($D$69:$D$75,IF(D66="","*",D66))&amp;" match, keep choosing"))</f>
        <v>P3-045</v>
      </c>
      <c r="C66" s="16" t="n">
        <f aca="false">IF(COUNTIFS($D$69:$D$75,IF(D66="","*",D66))=1,INDEX($C:$C,SUMPRODUCT(((D66="")+($D$69:$D$75=D66)&gt;0)*ROW($B$69:$B$75))),"")</f>
        <v>1.63</v>
      </c>
      <c r="D66" s="17" t="s">
        <v>21092</v>
      </c>
    </row>
    <row r="68" customFormat="false" ht="15" hidden="false" customHeight="false" outlineLevel="0" collapsed="false">
      <c r="B68" s="18" t="s">
        <v>701</v>
      </c>
      <c r="C68" s="18" t="s">
        <v>702</v>
      </c>
      <c r="D68" s="18" t="s">
        <v>723</v>
      </c>
    </row>
    <row r="69" customFormat="false" ht="15" hidden="false" customHeight="false" outlineLevel="0" collapsed="false">
      <c r="B69" s="19" t="s">
        <v>28508</v>
      </c>
      <c r="C69" s="20" t="n">
        <f aca="false">ROUND(11.7/FX,2)</f>
        <v>1.63</v>
      </c>
      <c r="D69" s="21" t="s">
        <v>21092</v>
      </c>
    </row>
    <row r="70" customFormat="false" ht="28.35" hidden="false" customHeight="false" outlineLevel="0" collapsed="false">
      <c r="B70" s="19" t="s">
        <v>28509</v>
      </c>
      <c r="C70" s="20" t="n">
        <f aca="false">ROUND(35/FX,2)</f>
        <v>4.86</v>
      </c>
      <c r="D70" s="21" t="s">
        <v>28510</v>
      </c>
    </row>
    <row r="71" customFormat="false" ht="28.35" hidden="false" customHeight="false" outlineLevel="0" collapsed="false">
      <c r="B71" s="19" t="s">
        <v>28511</v>
      </c>
      <c r="C71" s="20" t="n">
        <f aca="false">ROUND(35/FX,2)</f>
        <v>4.86</v>
      </c>
      <c r="D71" s="21" t="s">
        <v>28512</v>
      </c>
    </row>
    <row r="72" customFormat="false" ht="28.35" hidden="false" customHeight="false" outlineLevel="0" collapsed="false">
      <c r="B72" s="19" t="s">
        <v>28513</v>
      </c>
      <c r="C72" s="20" t="n">
        <f aca="false">ROUND(35/FX,2)</f>
        <v>4.86</v>
      </c>
      <c r="D72" s="21" t="s">
        <v>28514</v>
      </c>
    </row>
    <row r="73" customFormat="false" ht="28.35" hidden="false" customHeight="false" outlineLevel="0" collapsed="false">
      <c r="B73" s="19" t="s">
        <v>28515</v>
      </c>
      <c r="C73" s="20" t="n">
        <f aca="false">ROUND(35/FX,2)</f>
        <v>4.86</v>
      </c>
      <c r="D73" s="21" t="s">
        <v>28516</v>
      </c>
    </row>
    <row r="74" customFormat="false" ht="28.35" hidden="false" customHeight="false" outlineLevel="0" collapsed="false">
      <c r="B74" s="19" t="s">
        <v>28517</v>
      </c>
      <c r="C74" s="20" t="n">
        <f aca="false">ROUND(35/FX,2)</f>
        <v>4.86</v>
      </c>
      <c r="D74" s="21" t="s">
        <v>28470</v>
      </c>
    </row>
    <row r="75" customFormat="false" ht="15" hidden="false" customHeight="false" outlineLevel="0" collapsed="false">
      <c r="B75" s="19" t="s">
        <v>28518</v>
      </c>
      <c r="C75" s="20" t="n">
        <f aca="false">ROUND(22/FX,2)</f>
        <v>3.06</v>
      </c>
      <c r="D75" s="21" t="s">
        <v>28519</v>
      </c>
    </row>
    <row r="78" customFormat="false" ht="61.5" hidden="false" customHeight="true" outlineLevel="0" collapsed="false">
      <c r="A78" s="9"/>
      <c r="B78" s="10" t="s">
        <v>28520</v>
      </c>
      <c r="C78" s="10"/>
      <c r="D78" s="10"/>
      <c r="E78" s="10"/>
    </row>
    <row r="79" customFormat="false" ht="15" hidden="false" customHeight="false" outlineLevel="0" collapsed="false">
      <c r="A79" s="12" t="s">
        <v>700</v>
      </c>
      <c r="B79" s="13" t="s">
        <v>701</v>
      </c>
      <c r="C79" s="13" t="s">
        <v>702</v>
      </c>
      <c r="D79" s="13" t="s">
        <v>722</v>
      </c>
      <c r="E79" s="13" t="s">
        <v>723</v>
      </c>
    </row>
    <row r="80" customFormat="false" ht="30" hidden="false" customHeight="true" outlineLevel="0" collapsed="false">
      <c r="A80" s="14" t="s">
        <v>706</v>
      </c>
      <c r="B80" s="15" t="str">
        <f aca="false">IF(COUNTIFS($D$83:$D$88,IF(D80="","*",D80),$E$83:$E$88,IF(E80="","*",E80))=1,INDEX($B:$B,SUMPRODUCT(((D80="")+($D$83:$D$88=D80)&gt;0)*((E80="")+($E$83:$E$88=E80)&gt;0)*ROW($B$83:$B$88))),IF(COUNTIFS($D$83:$D$88,IF(D80="","*",D80),$E$83:$E$88,IF(E80="","*",E80))=0,"Not available",COUNTIFS($D$83:$D$88,IF(D80="","*",D80),$E$83:$E$88,IF(E80="","*",E80))&amp;" match, keep choosing"))</f>
        <v>P3-039-BK-1H</v>
      </c>
      <c r="C80" s="16" t="n">
        <f aca="false">IF(COUNTIFS($D$83:$D$88,IF(D80="","*",D80),$E$83:$E$88,IF(E80="","*",E80))=1,INDEX($C:$C,SUMPRODUCT(((D80="")+($D$83:$D$88=D80)&gt;0)*((E80="")+($E$83:$E$88=E80)&gt;0)*ROW($B$83:$B$88))),"")</f>
        <v>0.22</v>
      </c>
      <c r="D80" s="17" t="s">
        <v>724</v>
      </c>
      <c r="E80" s="17" t="s">
        <v>28521</v>
      </c>
    </row>
    <row r="82" customFormat="false" ht="15" hidden="false" customHeight="false" outlineLevel="0" collapsed="false">
      <c r="B82" s="18" t="s">
        <v>701</v>
      </c>
      <c r="C82" s="18" t="s">
        <v>702</v>
      </c>
      <c r="D82" s="18" t="s">
        <v>722</v>
      </c>
      <c r="E82" s="18" t="s">
        <v>723</v>
      </c>
    </row>
    <row r="83" customFormat="false" ht="15" hidden="false" customHeight="false" outlineLevel="0" collapsed="false">
      <c r="B83" s="19" t="s">
        <v>28522</v>
      </c>
      <c r="C83" s="20" t="n">
        <f aca="false">ROUND(1.56/FX,2)</f>
        <v>0.22</v>
      </c>
      <c r="D83" s="21" t="s">
        <v>724</v>
      </c>
      <c r="E83" s="21" t="s">
        <v>28521</v>
      </c>
    </row>
    <row r="84" customFormat="false" ht="15" hidden="false" customHeight="false" outlineLevel="0" collapsed="false">
      <c r="B84" s="19" t="s">
        <v>28523</v>
      </c>
      <c r="C84" s="20" t="n">
        <f aca="false">ROUND(2.21/FX,2)</f>
        <v>0.31</v>
      </c>
      <c r="D84" s="21" t="s">
        <v>724</v>
      </c>
      <c r="E84" s="21" t="s">
        <v>28524</v>
      </c>
    </row>
    <row r="85" customFormat="false" ht="15" hidden="false" customHeight="false" outlineLevel="0" collapsed="false">
      <c r="B85" s="19" t="s">
        <v>28525</v>
      </c>
      <c r="C85" s="20" t="n">
        <f aca="false">ROUND(2.86/FX,2)</f>
        <v>0.4</v>
      </c>
      <c r="D85" s="21" t="s">
        <v>724</v>
      </c>
      <c r="E85" s="21" t="s">
        <v>28526</v>
      </c>
    </row>
    <row r="86" customFormat="false" ht="15" hidden="false" customHeight="false" outlineLevel="0" collapsed="false">
      <c r="B86" s="19" t="s">
        <v>28527</v>
      </c>
      <c r="C86" s="20" t="n">
        <f aca="false">ROUND(1.3/FX,2)</f>
        <v>0.18</v>
      </c>
      <c r="D86" s="21" t="s">
        <v>6549</v>
      </c>
      <c r="E86" s="21" t="s">
        <v>28521</v>
      </c>
    </row>
    <row r="87" customFormat="false" ht="15" hidden="false" customHeight="false" outlineLevel="0" collapsed="false">
      <c r="B87" s="19" t="s">
        <v>28528</v>
      </c>
      <c r="C87" s="20" t="n">
        <f aca="false">ROUND(1.95/FX,2)</f>
        <v>0.27</v>
      </c>
      <c r="D87" s="21" t="s">
        <v>6549</v>
      </c>
      <c r="E87" s="21" t="s">
        <v>28524</v>
      </c>
    </row>
    <row r="88" customFormat="false" ht="15" hidden="false" customHeight="false" outlineLevel="0" collapsed="false">
      <c r="B88" s="19" t="s">
        <v>28529</v>
      </c>
      <c r="C88" s="20" t="n">
        <f aca="false">ROUND(2.6/FX,2)</f>
        <v>0.36</v>
      </c>
      <c r="D88" s="21" t="s">
        <v>6549</v>
      </c>
      <c r="E88" s="21" t="s">
        <v>28526</v>
      </c>
    </row>
    <row r="91" customFormat="false" ht="61.5" hidden="false" customHeight="true" outlineLevel="0" collapsed="false">
      <c r="A91" s="9"/>
      <c r="B91" s="10" t="s">
        <v>28530</v>
      </c>
      <c r="C91" s="10"/>
      <c r="D91" s="10"/>
    </row>
    <row r="92" customFormat="false" ht="15" hidden="false" customHeight="false" outlineLevel="0" collapsed="false">
      <c r="B92" s="18" t="s">
        <v>701</v>
      </c>
      <c r="C92" s="18" t="s">
        <v>702</v>
      </c>
      <c r="D92" s="18" t="s">
        <v>5610</v>
      </c>
    </row>
    <row r="93" customFormat="false" ht="15" hidden="false" customHeight="false" outlineLevel="0" collapsed="false">
      <c r="B93" s="19" t="s">
        <v>28531</v>
      </c>
      <c r="C93" s="20" t="n">
        <f aca="false">ROUND(3.9/FX,2)</f>
        <v>0.54</v>
      </c>
      <c r="D93" s="22" t="s">
        <v>5612</v>
      </c>
    </row>
    <row r="96" customFormat="false" ht="61.5" hidden="false" customHeight="true" outlineLevel="0" collapsed="false">
      <c r="A96" s="9"/>
      <c r="B96" s="10" t="s">
        <v>28532</v>
      </c>
      <c r="C96" s="10"/>
      <c r="D96" s="10"/>
      <c r="E96" s="10"/>
    </row>
    <row r="97" customFormat="false" ht="15" hidden="false" customHeight="false" outlineLevel="0" collapsed="false">
      <c r="A97" s="12" t="s">
        <v>700</v>
      </c>
      <c r="B97" s="13" t="s">
        <v>701</v>
      </c>
      <c r="C97" s="13" t="s">
        <v>702</v>
      </c>
      <c r="D97" s="13" t="s">
        <v>722</v>
      </c>
      <c r="E97" s="13" t="s">
        <v>723</v>
      </c>
    </row>
    <row r="98" customFormat="false" ht="30" hidden="false" customHeight="true" outlineLevel="0" collapsed="false">
      <c r="A98" s="14" t="s">
        <v>706</v>
      </c>
      <c r="B98" s="15" t="str">
        <f aca="false">IF(COUNTIFS($D$101:$D$105,IF(D98="","*",D98),$E$101:$E$105,IF(E98="","*",E98))=1,INDEX($B:$B,SUMPRODUCT(((D98="")+($D$101:$D$105=D98)&gt;0)*((E98="")+($E$101:$E$105=E98)&gt;0)*ROW($B$101:$B$105))),IF(COUNTIFS($D$101:$D$105,IF(D98="","*",D98),$E$101:$E$105,IF(E98="","*",E98))=0,"Not available",COUNTIFS($D$101:$D$105,IF(D98="","*",D98),$E$101:$E$105,IF(E98="","*",E98))&amp;" match, keep choosing"))</f>
        <v>P3-076-BK-AK</v>
      </c>
      <c r="C98" s="16" t="n">
        <f aca="false">IF(COUNTIFS($D$101:$D$105,IF(D98="","*",D98),$E$101:$E$105,IF(E98="","*",E98))=1,INDEX($C:$C,SUMPRODUCT(((D98="")+($D$101:$D$105=D98)&gt;0)*((E98="")+($E$101:$E$105=E98)&gt;0)*ROW($B$101:$B$105))),"")</f>
        <v>1.44</v>
      </c>
      <c r="D98" s="17" t="s">
        <v>724</v>
      </c>
      <c r="E98" s="17" t="s">
        <v>7941</v>
      </c>
    </row>
    <row r="100" customFormat="false" ht="15" hidden="false" customHeight="false" outlineLevel="0" collapsed="false">
      <c r="B100" s="18" t="s">
        <v>701</v>
      </c>
      <c r="C100" s="18" t="s">
        <v>702</v>
      </c>
      <c r="D100" s="18" t="s">
        <v>722</v>
      </c>
      <c r="E100" s="18" t="s">
        <v>723</v>
      </c>
    </row>
    <row r="101" customFormat="false" ht="15" hidden="false" customHeight="false" outlineLevel="0" collapsed="false">
      <c r="B101" s="19" t="s">
        <v>28533</v>
      </c>
      <c r="C101" s="20" t="n">
        <f aca="false">ROUND(10.4/FX,2)</f>
        <v>1.44</v>
      </c>
      <c r="D101" s="21" t="s">
        <v>724</v>
      </c>
      <c r="E101" s="21" t="s">
        <v>7941</v>
      </c>
    </row>
    <row r="102" customFormat="false" ht="15" hidden="false" customHeight="false" outlineLevel="0" collapsed="false">
      <c r="B102" s="19" t="s">
        <v>28534</v>
      </c>
      <c r="C102" s="20" t="n">
        <f aca="false">ROUND(27.3/FX,2)</f>
        <v>3.79</v>
      </c>
      <c r="D102" s="21" t="s">
        <v>724</v>
      </c>
      <c r="E102" s="21" t="s">
        <v>7939</v>
      </c>
    </row>
    <row r="103" customFormat="false" ht="15" hidden="false" customHeight="false" outlineLevel="0" collapsed="false">
      <c r="B103" s="19" t="s">
        <v>28535</v>
      </c>
      <c r="C103" s="20" t="n">
        <f aca="false">ROUND(24.05/FX,2)</f>
        <v>3.34</v>
      </c>
      <c r="D103" s="21" t="s">
        <v>724</v>
      </c>
      <c r="E103" s="21" t="s">
        <v>12847</v>
      </c>
    </row>
    <row r="104" customFormat="false" ht="28.35" hidden="false" customHeight="false" outlineLevel="0" collapsed="false">
      <c r="B104" s="19" t="s">
        <v>28536</v>
      </c>
      <c r="C104" s="20" t="n">
        <f aca="false">ROUND(4.81/FX,2)</f>
        <v>0.67</v>
      </c>
      <c r="D104" s="21" t="s">
        <v>6336</v>
      </c>
      <c r="E104" s="21" t="s">
        <v>28537</v>
      </c>
    </row>
    <row r="105" customFormat="false" ht="28.35" hidden="false" customHeight="false" outlineLevel="0" collapsed="false">
      <c r="B105" s="19" t="s">
        <v>28538</v>
      </c>
      <c r="C105" s="20" t="n">
        <f aca="false">ROUND(5.1/FX,2)</f>
        <v>0.71</v>
      </c>
      <c r="D105" s="21" t="s">
        <v>6336</v>
      </c>
      <c r="E105" s="21" t="s">
        <v>28539</v>
      </c>
    </row>
    <row r="108" customFormat="false" ht="61.5" hidden="false" customHeight="true" outlineLevel="0" collapsed="false">
      <c r="A108" s="9"/>
      <c r="B108" s="10" t="s">
        <v>28540</v>
      </c>
      <c r="C108" s="10"/>
      <c r="D108" s="10"/>
    </row>
    <row r="109" customFormat="false" ht="15" hidden="false" customHeight="false" outlineLevel="0" collapsed="false">
      <c r="B109" s="18" t="s">
        <v>701</v>
      </c>
      <c r="C109" s="18" t="s">
        <v>702</v>
      </c>
      <c r="D109" s="18" t="s">
        <v>5610</v>
      </c>
    </row>
    <row r="110" customFormat="false" ht="15" hidden="false" customHeight="false" outlineLevel="0" collapsed="false">
      <c r="B110" s="19" t="s">
        <v>28541</v>
      </c>
      <c r="C110" s="20" t="n">
        <f aca="false">ROUND(3.9/FX,2)</f>
        <v>0.54</v>
      </c>
      <c r="D110" s="22" t="s">
        <v>5612</v>
      </c>
    </row>
    <row r="113" customFormat="false" ht="61.5" hidden="false" customHeight="true" outlineLevel="0" collapsed="false">
      <c r="A113" s="9"/>
      <c r="B113" s="10" t="s">
        <v>28542</v>
      </c>
      <c r="C113" s="10"/>
      <c r="D113" s="10"/>
    </row>
    <row r="114" customFormat="false" ht="15" hidden="false" customHeight="false" outlineLevel="0" collapsed="false">
      <c r="B114" s="18" t="s">
        <v>701</v>
      </c>
      <c r="C114" s="18" t="s">
        <v>702</v>
      </c>
      <c r="D114" s="18" t="s">
        <v>5610</v>
      </c>
    </row>
    <row r="115" customFormat="false" ht="15" hidden="false" customHeight="false" outlineLevel="0" collapsed="false">
      <c r="B115" s="19" t="s">
        <v>28543</v>
      </c>
      <c r="C115" s="20" t="n">
        <f aca="false">ROUND(13/FX,2)</f>
        <v>1.81</v>
      </c>
      <c r="D115" s="22" t="s">
        <v>5612</v>
      </c>
    </row>
    <row r="118" customFormat="false" ht="61.5" hidden="false" customHeight="true" outlineLevel="0" collapsed="false">
      <c r="A118" s="9"/>
      <c r="B118" s="10" t="s">
        <v>28544</v>
      </c>
      <c r="C118" s="10"/>
      <c r="D118" s="10"/>
      <c r="E118" s="10"/>
    </row>
    <row r="119" customFormat="false" ht="15" hidden="false" customHeight="false" outlineLevel="0" collapsed="false">
      <c r="A119" s="12" t="s">
        <v>700</v>
      </c>
      <c r="B119" s="13" t="s">
        <v>701</v>
      </c>
      <c r="C119" s="13" t="s">
        <v>702</v>
      </c>
      <c r="D119" s="13" t="s">
        <v>722</v>
      </c>
      <c r="E119" s="13" t="s">
        <v>723</v>
      </c>
    </row>
    <row r="120" customFormat="false" ht="30" hidden="false" customHeight="true" outlineLevel="0" collapsed="false">
      <c r="A120" s="14" t="s">
        <v>706</v>
      </c>
      <c r="B120" s="15" t="str">
        <f aca="false">IF(COUNTIFS($D$123:$D$194,IF(D120="","*",D120),$E$123:$E$194,IF(E120="","*",E120))=1,INDEX($B:$B,SUMPRODUCT(((D120="")+($D$123:$D$194=D120)&gt;0)*((E120="")+($E$123:$E$194=E120)&gt;0)*ROW($B$123:$B$194))),IF(COUNTIFS($D$123:$D$194,IF(D120="","*",D120),$E$123:$E$194,IF(E120="","*",E120))=0,"Not available",COUNTIFS($D$123:$D$194,IF(D120="","*",D120),$E$123:$E$194,IF(E120="","*",E120))&amp;" match, keep choosing"))</f>
        <v>P3-021-BK-DL-DZC-625-2RS</v>
      </c>
      <c r="C120" s="16" t="n">
        <f aca="false">IF(COUNTIFS($D$123:$D$194,IF(D120="","*",D120),$E$123:$E$194,IF(E120="","*",E120))=1,INDEX($C:$C,SUMPRODUCT(((D120="")+($D$123:$D$194=D120)&gt;0)*((E120="")+($E$123:$E$194=E120)&gt;0)*ROW($B$123:$B$194))),"")</f>
        <v>0.23</v>
      </c>
      <c r="D120" s="17" t="s">
        <v>724</v>
      </c>
      <c r="E120" s="17" t="s">
        <v>28545</v>
      </c>
    </row>
    <row r="122" customFormat="false" ht="15" hidden="false" customHeight="false" outlineLevel="0" collapsed="false">
      <c r="B122" s="18" t="s">
        <v>701</v>
      </c>
      <c r="C122" s="18" t="s">
        <v>702</v>
      </c>
      <c r="D122" s="18" t="s">
        <v>722</v>
      </c>
      <c r="E122" s="18" t="s">
        <v>723</v>
      </c>
    </row>
    <row r="123" customFormat="false" ht="28.35" hidden="false" customHeight="false" outlineLevel="0" collapsed="false">
      <c r="B123" s="19" t="s">
        <v>28546</v>
      </c>
      <c r="C123" s="20" t="n">
        <f aca="false">ROUND(1.63/FX,2)</f>
        <v>0.23</v>
      </c>
      <c r="D123" s="21" t="s">
        <v>724</v>
      </c>
      <c r="E123" s="21" t="s">
        <v>28545</v>
      </c>
    </row>
    <row r="124" customFormat="false" ht="28.35" hidden="false" customHeight="false" outlineLevel="0" collapsed="false">
      <c r="B124" s="19" t="s">
        <v>28547</v>
      </c>
      <c r="C124" s="20" t="n">
        <f aca="false">ROUND(1.3/FX,2)</f>
        <v>0.18</v>
      </c>
      <c r="D124" s="21" t="s">
        <v>724</v>
      </c>
      <c r="E124" s="21" t="s">
        <v>28548</v>
      </c>
    </row>
    <row r="125" customFormat="false" ht="28.35" hidden="false" customHeight="false" outlineLevel="0" collapsed="false">
      <c r="B125" s="19" t="s">
        <v>28549</v>
      </c>
      <c r="C125" s="20" t="n">
        <f aca="false">ROUND(0.65/FX,2)</f>
        <v>0.09</v>
      </c>
      <c r="D125" s="21" t="s">
        <v>724</v>
      </c>
      <c r="E125" s="21" t="s">
        <v>28550</v>
      </c>
    </row>
    <row r="126" customFormat="false" ht="41.75" hidden="false" customHeight="false" outlineLevel="0" collapsed="false">
      <c r="B126" s="19" t="s">
        <v>28551</v>
      </c>
      <c r="C126" s="20" t="n">
        <f aca="false">ROUND(1.82/FX,2)</f>
        <v>0.25</v>
      </c>
      <c r="D126" s="21" t="s">
        <v>724</v>
      </c>
      <c r="E126" s="21" t="s">
        <v>28552</v>
      </c>
    </row>
    <row r="127" customFormat="false" ht="41.75" hidden="false" customHeight="false" outlineLevel="0" collapsed="false">
      <c r="B127" s="19" t="s">
        <v>28553</v>
      </c>
      <c r="C127" s="20" t="n">
        <f aca="false">ROUND(2.4/FX,2)</f>
        <v>0.33</v>
      </c>
      <c r="D127" s="21" t="s">
        <v>724</v>
      </c>
      <c r="E127" s="21" t="s">
        <v>28554</v>
      </c>
    </row>
    <row r="128" customFormat="false" ht="41.75" hidden="false" customHeight="false" outlineLevel="0" collapsed="false">
      <c r="B128" s="19" t="s">
        <v>28555</v>
      </c>
      <c r="C128" s="20" t="n">
        <f aca="false">ROUND(1.69/FX,2)</f>
        <v>0.23</v>
      </c>
      <c r="D128" s="21" t="s">
        <v>724</v>
      </c>
      <c r="E128" s="21" t="s">
        <v>28556</v>
      </c>
    </row>
    <row r="129" customFormat="false" ht="41.75" hidden="false" customHeight="false" outlineLevel="0" collapsed="false">
      <c r="B129" s="19" t="s">
        <v>28557</v>
      </c>
      <c r="C129" s="20" t="n">
        <f aca="false">ROUND(2.2/FX,2)</f>
        <v>0.31</v>
      </c>
      <c r="D129" s="21" t="s">
        <v>724</v>
      </c>
      <c r="E129" s="21" t="s">
        <v>28558</v>
      </c>
    </row>
    <row r="130" customFormat="false" ht="41.75" hidden="false" customHeight="false" outlineLevel="0" collapsed="false">
      <c r="B130" s="19" t="s">
        <v>28559</v>
      </c>
      <c r="C130" s="20" t="n">
        <f aca="false">ROUND(1.82/FX,2)</f>
        <v>0.25</v>
      </c>
      <c r="D130" s="21" t="s">
        <v>724</v>
      </c>
      <c r="E130" s="21" t="s">
        <v>28560</v>
      </c>
    </row>
    <row r="131" customFormat="false" ht="41.75" hidden="false" customHeight="false" outlineLevel="0" collapsed="false">
      <c r="B131" s="19" t="s">
        <v>28561</v>
      </c>
      <c r="C131" s="20" t="n">
        <f aca="false">ROUND(1.69/FX,2)</f>
        <v>0.23</v>
      </c>
      <c r="D131" s="21" t="s">
        <v>724</v>
      </c>
      <c r="E131" s="21" t="s">
        <v>28562</v>
      </c>
    </row>
    <row r="132" customFormat="false" ht="28.35" hidden="false" customHeight="false" outlineLevel="0" collapsed="false">
      <c r="B132" s="19" t="s">
        <v>28563</v>
      </c>
      <c r="C132" s="20" t="n">
        <f aca="false">ROUND(0.78/FX,2)</f>
        <v>0.11</v>
      </c>
      <c r="D132" s="21" t="s">
        <v>724</v>
      </c>
      <c r="E132" s="21" t="s">
        <v>28564</v>
      </c>
    </row>
    <row r="133" customFormat="false" ht="41.75" hidden="false" customHeight="false" outlineLevel="0" collapsed="false">
      <c r="B133" s="19" t="s">
        <v>28565</v>
      </c>
      <c r="C133" s="20" t="n">
        <f aca="false">ROUND(0.91/FX,2)</f>
        <v>0.13</v>
      </c>
      <c r="D133" s="21" t="s">
        <v>724</v>
      </c>
      <c r="E133" s="21" t="s">
        <v>28566</v>
      </c>
    </row>
    <row r="134" customFormat="false" ht="28.35" hidden="false" customHeight="false" outlineLevel="0" collapsed="false">
      <c r="B134" s="19" t="s">
        <v>28567</v>
      </c>
      <c r="C134" s="20" t="n">
        <f aca="false">ROUND(0.78/FX,2)</f>
        <v>0.11</v>
      </c>
      <c r="D134" s="21" t="s">
        <v>724</v>
      </c>
      <c r="E134" s="21" t="s">
        <v>28568</v>
      </c>
    </row>
    <row r="135" customFormat="false" ht="28.35" hidden="false" customHeight="false" outlineLevel="0" collapsed="false">
      <c r="B135" s="19" t="s">
        <v>28569</v>
      </c>
      <c r="C135" s="20" t="n">
        <f aca="false">ROUND(2.2/FX,2)</f>
        <v>0.31</v>
      </c>
      <c r="D135" s="21" t="s">
        <v>724</v>
      </c>
      <c r="E135" s="21" t="s">
        <v>28570</v>
      </c>
    </row>
    <row r="136" customFormat="false" ht="28.35" hidden="false" customHeight="false" outlineLevel="0" collapsed="false">
      <c r="B136" s="19" t="s">
        <v>28571</v>
      </c>
      <c r="C136" s="20" t="n">
        <f aca="false">ROUND(1.56/FX,2)</f>
        <v>0.22</v>
      </c>
      <c r="D136" s="21" t="s">
        <v>724</v>
      </c>
      <c r="E136" s="21" t="s">
        <v>28572</v>
      </c>
    </row>
    <row r="137" customFormat="false" ht="28.35" hidden="false" customHeight="false" outlineLevel="0" collapsed="false">
      <c r="B137" s="19" t="s">
        <v>28573</v>
      </c>
      <c r="C137" s="20" t="n">
        <f aca="false">ROUND(0.78/FX,2)</f>
        <v>0.11</v>
      </c>
      <c r="D137" s="21" t="s">
        <v>724</v>
      </c>
      <c r="E137" s="21" t="s">
        <v>28574</v>
      </c>
    </row>
    <row r="138" customFormat="false" ht="28.35" hidden="false" customHeight="false" outlineLevel="0" collapsed="false">
      <c r="B138" s="19" t="s">
        <v>28575</v>
      </c>
      <c r="C138" s="20" t="n">
        <f aca="false">ROUND(2.5/FX,2)</f>
        <v>0.35</v>
      </c>
      <c r="D138" s="21" t="s">
        <v>724</v>
      </c>
      <c r="E138" s="21" t="s">
        <v>28576</v>
      </c>
    </row>
    <row r="139" customFormat="false" ht="28.35" hidden="false" customHeight="false" outlineLevel="0" collapsed="false">
      <c r="B139" s="19" t="s">
        <v>28577</v>
      </c>
      <c r="C139" s="20" t="n">
        <f aca="false">ROUND(2/FX,2)</f>
        <v>0.28</v>
      </c>
      <c r="D139" s="21" t="s">
        <v>724</v>
      </c>
      <c r="E139" s="21" t="s">
        <v>28578</v>
      </c>
    </row>
    <row r="140" customFormat="false" ht="28.35" hidden="false" customHeight="false" outlineLevel="0" collapsed="false">
      <c r="B140" s="19" t="s">
        <v>28579</v>
      </c>
      <c r="C140" s="20" t="n">
        <f aca="false">ROUND(0.52/FX,2)</f>
        <v>0.07</v>
      </c>
      <c r="D140" s="21" t="s">
        <v>724</v>
      </c>
      <c r="E140" s="21" t="s">
        <v>28580</v>
      </c>
    </row>
    <row r="141" customFormat="false" ht="28.35" hidden="false" customHeight="false" outlineLevel="0" collapsed="false">
      <c r="B141" s="19" t="s">
        <v>28581</v>
      </c>
      <c r="C141" s="20" t="n">
        <f aca="false">ROUND(2.3/FX,2)</f>
        <v>0.32</v>
      </c>
      <c r="D141" s="21" t="s">
        <v>7884</v>
      </c>
      <c r="E141" s="21" t="s">
        <v>28545</v>
      </c>
    </row>
    <row r="142" customFormat="false" ht="28.35" hidden="false" customHeight="false" outlineLevel="0" collapsed="false">
      <c r="B142" s="19" t="s">
        <v>28582</v>
      </c>
      <c r="C142" s="20" t="n">
        <f aca="false">ROUND(2.2/FX,2)</f>
        <v>0.31</v>
      </c>
      <c r="D142" s="21" t="s">
        <v>7884</v>
      </c>
      <c r="E142" s="21" t="s">
        <v>28548</v>
      </c>
    </row>
    <row r="143" customFormat="false" ht="28.35" hidden="false" customHeight="false" outlineLevel="0" collapsed="false">
      <c r="B143" s="19" t="s">
        <v>28583</v>
      </c>
      <c r="C143" s="20" t="n">
        <f aca="false">ROUND(0.91/FX,2)</f>
        <v>0.13</v>
      </c>
      <c r="D143" s="21" t="s">
        <v>7884</v>
      </c>
      <c r="E143" s="21" t="s">
        <v>28550</v>
      </c>
    </row>
    <row r="144" customFormat="false" ht="28.35" hidden="false" customHeight="false" outlineLevel="0" collapsed="false">
      <c r="B144" s="19" t="s">
        <v>28584</v>
      </c>
      <c r="C144" s="20" t="n">
        <f aca="false">ROUND(2.6/FX,2)</f>
        <v>0.36</v>
      </c>
      <c r="D144" s="21" t="s">
        <v>7884</v>
      </c>
      <c r="E144" s="21" t="s">
        <v>28576</v>
      </c>
    </row>
    <row r="145" customFormat="false" ht="28.35" hidden="false" customHeight="false" outlineLevel="0" collapsed="false">
      <c r="B145" s="19" t="s">
        <v>28585</v>
      </c>
      <c r="C145" s="20" t="n">
        <f aca="false">ROUND(2.1/FX,2)</f>
        <v>0.29</v>
      </c>
      <c r="D145" s="21" t="s">
        <v>7884</v>
      </c>
      <c r="E145" s="21" t="s">
        <v>28586</v>
      </c>
    </row>
    <row r="146" customFormat="false" ht="28.35" hidden="false" customHeight="false" outlineLevel="0" collapsed="false">
      <c r="B146" s="19" t="s">
        <v>28587</v>
      </c>
      <c r="C146" s="20" t="n">
        <f aca="false">ROUND(0.65/FX,2)</f>
        <v>0.09</v>
      </c>
      <c r="D146" s="21" t="s">
        <v>7884</v>
      </c>
      <c r="E146" s="21" t="s">
        <v>28580</v>
      </c>
    </row>
    <row r="147" customFormat="false" ht="41.75" hidden="false" customHeight="false" outlineLevel="0" collapsed="false">
      <c r="B147" s="19" t="s">
        <v>28588</v>
      </c>
      <c r="C147" s="20" t="n">
        <f aca="false">ROUND(2.2/FX,2)</f>
        <v>0.31</v>
      </c>
      <c r="D147" s="21" t="s">
        <v>6336</v>
      </c>
      <c r="E147" s="21" t="s">
        <v>28589</v>
      </c>
    </row>
    <row r="148" customFormat="false" ht="28.35" hidden="false" customHeight="false" outlineLevel="0" collapsed="false">
      <c r="B148" s="19" t="s">
        <v>28590</v>
      </c>
      <c r="C148" s="20" t="n">
        <f aca="false">ROUND(2.1/FX,2)</f>
        <v>0.29</v>
      </c>
      <c r="D148" s="21" t="s">
        <v>6336</v>
      </c>
      <c r="E148" s="21" t="s">
        <v>28591</v>
      </c>
    </row>
    <row r="149" customFormat="false" ht="28.35" hidden="false" customHeight="false" outlineLevel="0" collapsed="false">
      <c r="B149" s="19" t="s">
        <v>28592</v>
      </c>
      <c r="C149" s="20" t="n">
        <f aca="false">ROUND(0.78/FX,2)</f>
        <v>0.11</v>
      </c>
      <c r="D149" s="21" t="s">
        <v>6336</v>
      </c>
      <c r="E149" s="21" t="s">
        <v>28593</v>
      </c>
    </row>
    <row r="150" customFormat="false" ht="41.75" hidden="false" customHeight="false" outlineLevel="0" collapsed="false">
      <c r="B150" s="19" t="s">
        <v>28594</v>
      </c>
      <c r="C150" s="20" t="n">
        <f aca="false">ROUND(2.6/FX,2)</f>
        <v>0.36</v>
      </c>
      <c r="D150" s="21" t="s">
        <v>6336</v>
      </c>
      <c r="E150" s="21" t="s">
        <v>28595</v>
      </c>
    </row>
    <row r="151" customFormat="false" ht="41.75" hidden="false" customHeight="false" outlineLevel="0" collapsed="false">
      <c r="B151" s="19" t="s">
        <v>28596</v>
      </c>
      <c r="C151" s="20" t="n">
        <f aca="false">ROUND(2.1/FX,2)</f>
        <v>0.29</v>
      </c>
      <c r="D151" s="21" t="s">
        <v>6336</v>
      </c>
      <c r="E151" s="21" t="s">
        <v>28597</v>
      </c>
    </row>
    <row r="152" customFormat="false" ht="28.35" hidden="false" customHeight="false" outlineLevel="0" collapsed="false">
      <c r="B152" s="19" t="s">
        <v>28598</v>
      </c>
      <c r="C152" s="20" t="n">
        <f aca="false">ROUND(0.65/FX,2)</f>
        <v>0.09</v>
      </c>
      <c r="D152" s="21" t="s">
        <v>6336</v>
      </c>
      <c r="E152" s="21" t="s">
        <v>28599</v>
      </c>
    </row>
    <row r="153" customFormat="false" ht="28.35" hidden="false" customHeight="false" outlineLevel="0" collapsed="false">
      <c r="B153" s="19" t="s">
        <v>28600</v>
      </c>
      <c r="C153" s="20" t="n">
        <f aca="false">ROUND(2.3/FX,2)</f>
        <v>0.32</v>
      </c>
      <c r="D153" s="21" t="s">
        <v>6362</v>
      </c>
      <c r="E153" s="21" t="s">
        <v>28545</v>
      </c>
    </row>
    <row r="154" customFormat="false" ht="28.35" hidden="false" customHeight="false" outlineLevel="0" collapsed="false">
      <c r="B154" s="19" t="s">
        <v>28601</v>
      </c>
      <c r="C154" s="20" t="n">
        <f aca="false">ROUND(2.2/FX,2)</f>
        <v>0.31</v>
      </c>
      <c r="D154" s="21" t="s">
        <v>6362</v>
      </c>
      <c r="E154" s="21" t="s">
        <v>28548</v>
      </c>
    </row>
    <row r="155" customFormat="false" ht="28.35" hidden="false" customHeight="false" outlineLevel="0" collapsed="false">
      <c r="B155" s="19" t="s">
        <v>28602</v>
      </c>
      <c r="C155" s="20" t="n">
        <f aca="false">ROUND(0.91/FX,2)</f>
        <v>0.13</v>
      </c>
      <c r="D155" s="21" t="s">
        <v>6362</v>
      </c>
      <c r="E155" s="21" t="s">
        <v>28550</v>
      </c>
    </row>
    <row r="156" customFormat="false" ht="41.75" hidden="false" customHeight="false" outlineLevel="0" collapsed="false">
      <c r="B156" s="19" t="s">
        <v>28603</v>
      </c>
      <c r="C156" s="20" t="n">
        <f aca="false">ROUND(2.5/FX,2)</f>
        <v>0.35</v>
      </c>
      <c r="D156" s="21" t="s">
        <v>6362</v>
      </c>
      <c r="E156" s="21" t="s">
        <v>28552</v>
      </c>
    </row>
    <row r="157" customFormat="false" ht="41.75" hidden="false" customHeight="false" outlineLevel="0" collapsed="false">
      <c r="B157" s="19" t="s">
        <v>28604</v>
      </c>
      <c r="C157" s="20" t="n">
        <f aca="false">ROUND(2.4/FX,2)</f>
        <v>0.33</v>
      </c>
      <c r="D157" s="21" t="s">
        <v>6362</v>
      </c>
      <c r="E157" s="21" t="s">
        <v>28556</v>
      </c>
    </row>
    <row r="158" customFormat="false" ht="28.35" hidden="false" customHeight="false" outlineLevel="0" collapsed="false">
      <c r="B158" s="19" t="s">
        <v>28605</v>
      </c>
      <c r="C158" s="20" t="n">
        <f aca="false">ROUND(1.04/FX,2)</f>
        <v>0.14</v>
      </c>
      <c r="D158" s="21" t="s">
        <v>6362</v>
      </c>
      <c r="E158" s="21" t="s">
        <v>28564</v>
      </c>
    </row>
    <row r="159" customFormat="false" ht="28.35" hidden="false" customHeight="false" outlineLevel="0" collapsed="false">
      <c r="B159" s="19" t="s">
        <v>28606</v>
      </c>
      <c r="C159" s="20" t="n">
        <f aca="false">ROUND(2.4/FX,2)</f>
        <v>0.33</v>
      </c>
      <c r="D159" s="21" t="s">
        <v>6362</v>
      </c>
      <c r="E159" s="21" t="s">
        <v>28570</v>
      </c>
    </row>
    <row r="160" customFormat="false" ht="28.35" hidden="false" customHeight="false" outlineLevel="0" collapsed="false">
      <c r="B160" s="19" t="s">
        <v>28607</v>
      </c>
      <c r="C160" s="20" t="n">
        <f aca="false">ROUND(2.3/FX,2)</f>
        <v>0.32</v>
      </c>
      <c r="D160" s="21" t="s">
        <v>6362</v>
      </c>
      <c r="E160" s="21" t="s">
        <v>28572</v>
      </c>
    </row>
    <row r="161" customFormat="false" ht="28.35" hidden="false" customHeight="false" outlineLevel="0" collapsed="false">
      <c r="B161" s="19" t="s">
        <v>28608</v>
      </c>
      <c r="C161" s="20" t="n">
        <f aca="false">ROUND(1.04/FX,2)</f>
        <v>0.14</v>
      </c>
      <c r="D161" s="21" t="s">
        <v>6362</v>
      </c>
      <c r="E161" s="21" t="s">
        <v>28574</v>
      </c>
    </row>
    <row r="162" customFormat="false" ht="41.75" hidden="false" customHeight="false" outlineLevel="0" collapsed="false">
      <c r="B162" s="19" t="s">
        <v>28609</v>
      </c>
      <c r="C162" s="20" t="n">
        <f aca="false">ROUND(3.94/FX,2)</f>
        <v>0.55</v>
      </c>
      <c r="D162" s="21" t="s">
        <v>6336</v>
      </c>
      <c r="E162" s="21" t="s">
        <v>28610</v>
      </c>
    </row>
    <row r="163" customFormat="false" ht="28.35" hidden="false" customHeight="false" outlineLevel="0" collapsed="false">
      <c r="B163" s="19" t="s">
        <v>28611</v>
      </c>
      <c r="C163" s="20" t="n">
        <f aca="false">ROUND(5.2/FX,2)</f>
        <v>0.72</v>
      </c>
      <c r="D163" s="21" t="s">
        <v>6336</v>
      </c>
      <c r="E163" s="21" t="s">
        <v>28612</v>
      </c>
    </row>
    <row r="164" customFormat="false" ht="28.35" hidden="false" customHeight="false" outlineLevel="0" collapsed="false">
      <c r="B164" s="19" t="s">
        <v>28613</v>
      </c>
      <c r="C164" s="20" t="n">
        <f aca="false">ROUND(2.6/FX,2)</f>
        <v>0.36</v>
      </c>
      <c r="D164" s="21" t="s">
        <v>6336</v>
      </c>
      <c r="E164" s="21" t="s">
        <v>28614</v>
      </c>
    </row>
    <row r="165" customFormat="false" ht="41.75" hidden="false" customHeight="false" outlineLevel="0" collapsed="false">
      <c r="B165" s="19" t="s">
        <v>28615</v>
      </c>
      <c r="C165" s="20" t="n">
        <f aca="false">ROUND(2.4/FX,2)</f>
        <v>0.33</v>
      </c>
      <c r="D165" s="21" t="s">
        <v>6369</v>
      </c>
      <c r="E165" s="21" t="s">
        <v>28616</v>
      </c>
    </row>
    <row r="166" customFormat="false" ht="41.75" hidden="false" customHeight="false" outlineLevel="0" collapsed="false">
      <c r="B166" s="19" t="s">
        <v>28617</v>
      </c>
      <c r="C166" s="20" t="n">
        <f aca="false">ROUND(2.3/FX,2)</f>
        <v>0.32</v>
      </c>
      <c r="D166" s="21" t="s">
        <v>6369</v>
      </c>
      <c r="E166" s="21" t="s">
        <v>28618</v>
      </c>
    </row>
    <row r="167" customFormat="false" ht="41.75" hidden="false" customHeight="false" outlineLevel="0" collapsed="false">
      <c r="B167" s="19" t="s">
        <v>28619</v>
      </c>
      <c r="C167" s="20" t="n">
        <f aca="false">ROUND(0.98/FX,2)</f>
        <v>0.14</v>
      </c>
      <c r="D167" s="21" t="s">
        <v>6369</v>
      </c>
      <c r="E167" s="21" t="s">
        <v>28620</v>
      </c>
    </row>
    <row r="168" customFormat="false" ht="41.75" hidden="false" customHeight="false" outlineLevel="0" collapsed="false">
      <c r="B168" s="19" t="s">
        <v>28621</v>
      </c>
      <c r="C168" s="20" t="n">
        <f aca="false">ROUND(2.4/FX,2)</f>
        <v>0.33</v>
      </c>
      <c r="D168" s="21" t="s">
        <v>6369</v>
      </c>
      <c r="E168" s="21" t="s">
        <v>28622</v>
      </c>
    </row>
    <row r="169" customFormat="false" ht="41.75" hidden="false" customHeight="false" outlineLevel="0" collapsed="false">
      <c r="B169" s="19" t="s">
        <v>28623</v>
      </c>
      <c r="C169" s="20" t="n">
        <f aca="false">ROUND(2.3/FX,2)</f>
        <v>0.32</v>
      </c>
      <c r="D169" s="21" t="s">
        <v>6369</v>
      </c>
      <c r="E169" s="21" t="s">
        <v>28624</v>
      </c>
    </row>
    <row r="170" customFormat="false" ht="41.75" hidden="false" customHeight="false" outlineLevel="0" collapsed="false">
      <c r="B170" s="19" t="s">
        <v>28625</v>
      </c>
      <c r="C170" s="20" t="n">
        <f aca="false">ROUND(0.98/FX,2)</f>
        <v>0.14</v>
      </c>
      <c r="D170" s="21" t="s">
        <v>6369</v>
      </c>
      <c r="E170" s="21" t="s">
        <v>28626</v>
      </c>
    </row>
    <row r="171" customFormat="false" ht="28.35" hidden="false" customHeight="false" outlineLevel="0" collapsed="false">
      <c r="B171" s="19" t="s">
        <v>28627</v>
      </c>
      <c r="C171" s="20" t="n">
        <f aca="false">ROUND(2.4/FX,2)</f>
        <v>0.33</v>
      </c>
      <c r="D171" s="21" t="s">
        <v>751</v>
      </c>
      <c r="E171" s="21" t="s">
        <v>28545</v>
      </c>
    </row>
    <row r="172" customFormat="false" ht="28.35" hidden="false" customHeight="false" outlineLevel="0" collapsed="false">
      <c r="B172" s="19" t="s">
        <v>28628</v>
      </c>
      <c r="C172" s="20" t="n">
        <f aca="false">ROUND(2.3/FX,2)</f>
        <v>0.32</v>
      </c>
      <c r="D172" s="21" t="s">
        <v>751</v>
      </c>
      <c r="E172" s="21" t="s">
        <v>28548</v>
      </c>
    </row>
    <row r="173" customFormat="false" ht="28.35" hidden="false" customHeight="false" outlineLevel="0" collapsed="false">
      <c r="B173" s="19" t="s">
        <v>28629</v>
      </c>
      <c r="C173" s="20" t="n">
        <f aca="false">ROUND(1.04/FX,2)</f>
        <v>0.14</v>
      </c>
      <c r="D173" s="21" t="s">
        <v>751</v>
      </c>
      <c r="E173" s="21" t="s">
        <v>28550</v>
      </c>
    </row>
    <row r="174" customFormat="false" ht="41.75" hidden="false" customHeight="false" outlineLevel="0" collapsed="false">
      <c r="B174" s="19" t="s">
        <v>28630</v>
      </c>
      <c r="C174" s="20" t="n">
        <f aca="false">ROUND(2.1/FX,2)</f>
        <v>0.29</v>
      </c>
      <c r="D174" s="21" t="s">
        <v>751</v>
      </c>
      <c r="E174" s="21" t="s">
        <v>28631</v>
      </c>
    </row>
    <row r="175" customFormat="false" ht="41.75" hidden="false" customHeight="false" outlineLevel="0" collapsed="false">
      <c r="B175" s="19" t="s">
        <v>28632</v>
      </c>
      <c r="C175" s="20" t="n">
        <f aca="false">ROUND(2.3/FX,2)</f>
        <v>0.32</v>
      </c>
      <c r="D175" s="21" t="s">
        <v>751</v>
      </c>
      <c r="E175" s="21" t="s">
        <v>28633</v>
      </c>
    </row>
    <row r="176" customFormat="false" ht="28.35" hidden="false" customHeight="false" outlineLevel="0" collapsed="false">
      <c r="B176" s="19" t="s">
        <v>28634</v>
      </c>
      <c r="C176" s="20" t="n">
        <f aca="false">ROUND(2.2/FX,2)</f>
        <v>0.31</v>
      </c>
      <c r="D176" s="21" t="s">
        <v>751</v>
      </c>
      <c r="E176" s="21" t="s">
        <v>28635</v>
      </c>
    </row>
    <row r="177" customFormat="false" ht="28.35" hidden="false" customHeight="false" outlineLevel="0" collapsed="false">
      <c r="B177" s="19" t="s">
        <v>28636</v>
      </c>
      <c r="C177" s="20" t="n">
        <f aca="false">ROUND(0.78/FX,2)</f>
        <v>0.11</v>
      </c>
      <c r="D177" s="21" t="s">
        <v>751</v>
      </c>
      <c r="E177" s="21" t="s">
        <v>28637</v>
      </c>
    </row>
    <row r="178" customFormat="false" ht="41.75" hidden="false" customHeight="false" outlineLevel="0" collapsed="false">
      <c r="B178" s="19" t="s">
        <v>28638</v>
      </c>
      <c r="C178" s="20" t="n">
        <f aca="false">ROUND(2.5/FX,2)</f>
        <v>0.35</v>
      </c>
      <c r="D178" s="21" t="s">
        <v>751</v>
      </c>
      <c r="E178" s="21" t="s">
        <v>28639</v>
      </c>
    </row>
    <row r="179" customFormat="false" ht="41.75" hidden="false" customHeight="false" outlineLevel="0" collapsed="false">
      <c r="B179" s="19" t="s">
        <v>28640</v>
      </c>
      <c r="C179" s="20" t="n">
        <f aca="false">ROUND(2.4/FX,2)</f>
        <v>0.33</v>
      </c>
      <c r="D179" s="21" t="s">
        <v>751</v>
      </c>
      <c r="E179" s="21" t="s">
        <v>28641</v>
      </c>
    </row>
    <row r="180" customFormat="false" ht="41.75" hidden="false" customHeight="false" outlineLevel="0" collapsed="false">
      <c r="B180" s="19" t="s">
        <v>28642</v>
      </c>
      <c r="C180" s="20" t="n">
        <f aca="false">ROUND(1.04/FX,2)</f>
        <v>0.14</v>
      </c>
      <c r="D180" s="21" t="s">
        <v>751</v>
      </c>
      <c r="E180" s="21" t="s">
        <v>28643</v>
      </c>
    </row>
    <row r="181" customFormat="false" ht="28.35" hidden="false" customHeight="false" outlineLevel="0" collapsed="false">
      <c r="B181" s="19" t="s">
        <v>28644</v>
      </c>
      <c r="C181" s="20" t="n">
        <f aca="false">ROUND(2.3/FX,2)</f>
        <v>0.32</v>
      </c>
      <c r="D181" s="21" t="s">
        <v>751</v>
      </c>
      <c r="E181" s="21" t="s">
        <v>28645</v>
      </c>
    </row>
    <row r="182" customFormat="false" ht="28.35" hidden="false" customHeight="false" outlineLevel="0" collapsed="false">
      <c r="B182" s="19" t="s">
        <v>28646</v>
      </c>
      <c r="C182" s="20" t="n">
        <f aca="false">ROUND(2.2/FX,2)</f>
        <v>0.31</v>
      </c>
      <c r="D182" s="21" t="s">
        <v>751</v>
      </c>
      <c r="E182" s="21" t="s">
        <v>28647</v>
      </c>
    </row>
    <row r="183" customFormat="false" ht="28.35" hidden="false" customHeight="false" outlineLevel="0" collapsed="false">
      <c r="B183" s="19" t="s">
        <v>28648</v>
      </c>
      <c r="C183" s="20" t="n">
        <f aca="false">ROUND(0.91/FX,2)</f>
        <v>0.13</v>
      </c>
      <c r="D183" s="21" t="s">
        <v>751</v>
      </c>
      <c r="E183" s="21" t="s">
        <v>28649</v>
      </c>
    </row>
    <row r="184" customFormat="false" ht="41.75" hidden="false" customHeight="false" outlineLevel="0" collapsed="false">
      <c r="B184" s="19" t="s">
        <v>28650</v>
      </c>
      <c r="C184" s="20" t="n">
        <f aca="false">ROUND(2.6/FX,2)</f>
        <v>0.36</v>
      </c>
      <c r="D184" s="21" t="s">
        <v>751</v>
      </c>
      <c r="E184" s="21" t="s">
        <v>28651</v>
      </c>
    </row>
    <row r="185" customFormat="false" ht="28.35" hidden="false" customHeight="false" outlineLevel="0" collapsed="false">
      <c r="B185" s="19" t="s">
        <v>28652</v>
      </c>
      <c r="C185" s="20" t="n">
        <f aca="false">ROUND(0.65/FX,2)</f>
        <v>0.09</v>
      </c>
      <c r="D185" s="21" t="s">
        <v>751</v>
      </c>
      <c r="E185" s="21" t="s">
        <v>28653</v>
      </c>
    </row>
    <row r="186" customFormat="false" ht="28.35" hidden="false" customHeight="false" outlineLevel="0" collapsed="false">
      <c r="B186" s="19" t="s">
        <v>28654</v>
      </c>
      <c r="C186" s="20" t="n">
        <f aca="false">ROUND(2.6/FX,2)</f>
        <v>0.36</v>
      </c>
      <c r="D186" s="21" t="s">
        <v>751</v>
      </c>
      <c r="E186" s="21" t="s">
        <v>28576</v>
      </c>
    </row>
    <row r="187" customFormat="false" ht="28.35" hidden="false" customHeight="false" outlineLevel="0" collapsed="false">
      <c r="B187" s="19" t="s">
        <v>28655</v>
      </c>
      <c r="C187" s="20" t="n">
        <f aca="false">ROUND(2.1/FX,2)</f>
        <v>0.29</v>
      </c>
      <c r="D187" s="21" t="s">
        <v>751</v>
      </c>
      <c r="E187" s="21" t="s">
        <v>28586</v>
      </c>
    </row>
    <row r="188" customFormat="false" ht="28.35" hidden="false" customHeight="false" outlineLevel="0" collapsed="false">
      <c r="B188" s="19" t="s">
        <v>28656</v>
      </c>
      <c r="C188" s="20" t="n">
        <f aca="false">ROUND(0.65/FX,2)</f>
        <v>0.09</v>
      </c>
      <c r="D188" s="21" t="s">
        <v>751</v>
      </c>
      <c r="E188" s="21" t="s">
        <v>28580</v>
      </c>
    </row>
    <row r="189" customFormat="false" ht="28.35" hidden="false" customHeight="false" outlineLevel="0" collapsed="false">
      <c r="B189" s="19" t="s">
        <v>28657</v>
      </c>
      <c r="C189" s="20" t="n">
        <f aca="false">ROUND(2.2/FX,2)</f>
        <v>0.31</v>
      </c>
      <c r="D189" s="21" t="s">
        <v>18157</v>
      </c>
      <c r="E189" s="21" t="s">
        <v>28545</v>
      </c>
    </row>
    <row r="190" customFormat="false" ht="28.35" hidden="false" customHeight="false" outlineLevel="0" collapsed="false">
      <c r="B190" s="19" t="s">
        <v>28658</v>
      </c>
      <c r="C190" s="20" t="n">
        <f aca="false">ROUND(2.1/FX,2)</f>
        <v>0.29</v>
      </c>
      <c r="D190" s="21" t="s">
        <v>18157</v>
      </c>
      <c r="E190" s="21" t="s">
        <v>28548</v>
      </c>
    </row>
    <row r="191" customFormat="false" ht="28.35" hidden="false" customHeight="false" outlineLevel="0" collapsed="false">
      <c r="B191" s="19" t="s">
        <v>28659</v>
      </c>
      <c r="C191" s="20" t="n">
        <f aca="false">ROUND(0.78/FX,2)</f>
        <v>0.11</v>
      </c>
      <c r="D191" s="21" t="s">
        <v>18157</v>
      </c>
      <c r="E191" s="21" t="s">
        <v>28550</v>
      </c>
    </row>
    <row r="192" customFormat="false" ht="28.35" hidden="false" customHeight="false" outlineLevel="0" collapsed="false">
      <c r="B192" s="19" t="s">
        <v>28660</v>
      </c>
      <c r="C192" s="20" t="n">
        <f aca="false">ROUND(2.6/FX,2)</f>
        <v>0.36</v>
      </c>
      <c r="D192" s="21" t="s">
        <v>18157</v>
      </c>
      <c r="E192" s="21" t="s">
        <v>28576</v>
      </c>
    </row>
    <row r="193" customFormat="false" ht="28.35" hidden="false" customHeight="false" outlineLevel="0" collapsed="false">
      <c r="B193" s="19" t="s">
        <v>28661</v>
      </c>
      <c r="C193" s="20" t="n">
        <f aca="false">ROUND(2.1/FX,2)</f>
        <v>0.29</v>
      </c>
      <c r="D193" s="21" t="s">
        <v>18157</v>
      </c>
      <c r="E193" s="21" t="s">
        <v>28586</v>
      </c>
    </row>
    <row r="194" customFormat="false" ht="28.35" hidden="false" customHeight="false" outlineLevel="0" collapsed="false">
      <c r="B194" s="19" t="s">
        <v>28662</v>
      </c>
      <c r="C194" s="20" t="n">
        <f aca="false">ROUND(0.65/FX,2)</f>
        <v>0.09</v>
      </c>
      <c r="D194" s="21" t="s">
        <v>18157</v>
      </c>
      <c r="E194" s="21" t="s">
        <v>28580</v>
      </c>
    </row>
    <row r="197" customFormat="false" ht="61.5" hidden="false" customHeight="true" outlineLevel="0" collapsed="false">
      <c r="A197" s="9"/>
      <c r="B197" s="10" t="s">
        <v>28663</v>
      </c>
      <c r="C197" s="10"/>
      <c r="D197" s="10"/>
      <c r="E197" s="10"/>
      <c r="F197" s="10"/>
      <c r="G197" s="10"/>
    </row>
    <row r="198" customFormat="false" ht="15" hidden="false" customHeight="false" outlineLevel="0" collapsed="false">
      <c r="A198" s="12" t="s">
        <v>700</v>
      </c>
      <c r="B198" s="13" t="s">
        <v>701</v>
      </c>
      <c r="C198" s="13" t="s">
        <v>702</v>
      </c>
      <c r="D198" s="13" t="s">
        <v>723</v>
      </c>
      <c r="E198" s="13" t="s">
        <v>6436</v>
      </c>
      <c r="F198" s="13" t="s">
        <v>12821</v>
      </c>
      <c r="G198" s="13" t="s">
        <v>16136</v>
      </c>
    </row>
    <row r="199" customFormat="false" ht="30" hidden="false" customHeight="true" outlineLevel="0" collapsed="false">
      <c r="A199" s="14" t="s">
        <v>706</v>
      </c>
      <c r="B199" s="15" t="str">
        <f aca="false">IF(COUNTIFS($D$202:$D$214,IF(D199="","*",D199),$E$202:$E$214,IF(E199="","*",E199),$F$202:$F$214,IF(F199="","*",F199),$G$202:$G$214,IF(G199="","*",G199))=1,INDEX($B:$B,SUMPRODUCT(((D199="")+($D$202:$D$214=D199)&gt;0)*((E199="")+($E$202:$E$214=E199)&gt;0)*((F199="")+($F$202:$F$214=F199)&gt;0)*((G199="")+($G$202:$G$214=G199)&gt;0)*ROW($B$202:$B$214))),IF(COUNTIFS($D$202:$D$214,IF(D199="","*",D199),$E$202:$E$214,IF(E199="","*",E199),$F$202:$F$214,IF(F199="","*",F199),$G$202:$G$214,IF(G199="","*",G199))=0,"Not available",COUNTIFS($D$202:$D$214,IF(D199="","*",D199),$E$202:$E$214,IF(E199="","*",E199),$F$202:$F$214,IF(F199="","*",F199),$G$202:$G$214,IF(G199="","*",G199))&amp;" match, keep choosing"))</f>
        <v>P3-077-CNC-LJ1-DC1-1T</v>
      </c>
      <c r="C199" s="16" t="n">
        <f aca="false">IF(COUNTIFS($D$202:$D$214,IF(D199="","*",D199),$E$202:$E$214,IF(E199="","*",E199),$F$202:$F$214,IF(F199="","*",F199),$G$202:$G$214,IF(G199="","*",G199))=1,INDEX($C:$C,SUMPRODUCT(((D199="")+($D$202:$D$214=D199)&gt;0)*((E199="")+($E$202:$E$214=E199)&gt;0)*((F199="")+($F$202:$F$214=F199)&gt;0)*((G199="")+($G$202:$G$214=G199)&gt;0)*ROW($B$202:$B$214))),"")</f>
        <v>0.81</v>
      </c>
      <c r="D199" s="17" t="s">
        <v>28664</v>
      </c>
      <c r="E199" s="17" t="s">
        <v>12898</v>
      </c>
      <c r="F199" s="17" t="s">
        <v>12850</v>
      </c>
      <c r="G199" s="17" t="s">
        <v>28665</v>
      </c>
    </row>
    <row r="201" customFormat="false" ht="15" hidden="false" customHeight="false" outlineLevel="0" collapsed="false">
      <c r="B201" s="18" t="s">
        <v>701</v>
      </c>
      <c r="C201" s="18" t="s">
        <v>702</v>
      </c>
      <c r="D201" s="18" t="s">
        <v>723</v>
      </c>
      <c r="E201" s="18" t="s">
        <v>6436</v>
      </c>
      <c r="F201" s="18" t="s">
        <v>12821</v>
      </c>
      <c r="G201" s="18" t="s">
        <v>16136</v>
      </c>
    </row>
    <row r="202" customFormat="false" ht="15" hidden="false" customHeight="false" outlineLevel="0" collapsed="false">
      <c r="B202" s="19" t="s">
        <v>28666</v>
      </c>
      <c r="C202" s="20" t="n">
        <f aca="false">ROUND(5.85/FX,2)</f>
        <v>0.81</v>
      </c>
      <c r="D202" s="21" t="s">
        <v>28664</v>
      </c>
      <c r="E202" s="21" t="s">
        <v>12898</v>
      </c>
      <c r="F202" s="21" t="s">
        <v>12850</v>
      </c>
      <c r="G202" s="21" t="s">
        <v>28665</v>
      </c>
    </row>
    <row r="203" customFormat="false" ht="15" hidden="false" customHeight="false" outlineLevel="0" collapsed="false">
      <c r="B203" s="19" t="s">
        <v>28667</v>
      </c>
      <c r="C203" s="20" t="n">
        <f aca="false">ROUND(5.85/FX,2)</f>
        <v>0.81</v>
      </c>
      <c r="D203" s="21" t="s">
        <v>28668</v>
      </c>
      <c r="E203" s="21" t="s">
        <v>12898</v>
      </c>
      <c r="F203" s="21" t="s">
        <v>12857</v>
      </c>
      <c r="G203" s="21" t="s">
        <v>28669</v>
      </c>
    </row>
    <row r="204" customFormat="false" ht="15" hidden="false" customHeight="false" outlineLevel="0" collapsed="false">
      <c r="B204" s="19" t="s">
        <v>28670</v>
      </c>
      <c r="C204" s="20" t="n">
        <f aca="false">ROUND(5.85/FX,2)</f>
        <v>0.81</v>
      </c>
      <c r="D204" s="21" t="s">
        <v>28668</v>
      </c>
      <c r="E204" s="21" t="s">
        <v>12898</v>
      </c>
      <c r="F204" s="21" t="s">
        <v>12850</v>
      </c>
      <c r="G204" s="21" t="s">
        <v>28671</v>
      </c>
    </row>
    <row r="205" customFormat="false" ht="15" hidden="false" customHeight="false" outlineLevel="0" collapsed="false">
      <c r="B205" s="19" t="s">
        <v>28672</v>
      </c>
      <c r="C205" s="20" t="n">
        <f aca="false">ROUND(5.85/FX,2)</f>
        <v>0.81</v>
      </c>
      <c r="D205" s="21" t="s">
        <v>28668</v>
      </c>
      <c r="E205" s="21" t="s">
        <v>12898</v>
      </c>
      <c r="F205" s="21" t="s">
        <v>12844</v>
      </c>
      <c r="G205" s="21" t="s">
        <v>28673</v>
      </c>
    </row>
    <row r="206" customFormat="false" ht="15" hidden="false" customHeight="false" outlineLevel="0" collapsed="false">
      <c r="B206" s="19" t="s">
        <v>28674</v>
      </c>
      <c r="C206" s="20" t="n">
        <f aca="false">ROUND(5.85/FX,2)</f>
        <v>0.81</v>
      </c>
      <c r="D206" s="21" t="s">
        <v>28668</v>
      </c>
      <c r="E206" s="21" t="s">
        <v>12898</v>
      </c>
      <c r="F206" s="21" t="s">
        <v>12854</v>
      </c>
      <c r="G206" s="21" t="s">
        <v>28675</v>
      </c>
    </row>
    <row r="207" customFormat="false" ht="15" hidden="false" customHeight="false" outlineLevel="0" collapsed="false">
      <c r="B207" s="19" t="s">
        <v>28676</v>
      </c>
      <c r="C207" s="20" t="n">
        <f aca="false">ROUND(2.18/FX,2)</f>
        <v>0.3</v>
      </c>
      <c r="D207" s="21" t="s">
        <v>28664</v>
      </c>
      <c r="E207" s="21" t="s">
        <v>12901</v>
      </c>
      <c r="F207" s="21" t="s">
        <v>12850</v>
      </c>
      <c r="G207" s="21" t="s">
        <v>28665</v>
      </c>
    </row>
    <row r="208" customFormat="false" ht="15" hidden="false" customHeight="false" outlineLevel="0" collapsed="false">
      <c r="B208" s="19" t="s">
        <v>28677</v>
      </c>
      <c r="C208" s="20" t="n">
        <f aca="false">ROUND(2.18/FX,2)</f>
        <v>0.3</v>
      </c>
      <c r="D208" s="21" t="s">
        <v>28668</v>
      </c>
      <c r="E208" s="21" t="s">
        <v>12901</v>
      </c>
      <c r="F208" s="21" t="s">
        <v>12857</v>
      </c>
      <c r="G208" s="21" t="s">
        <v>28669</v>
      </c>
    </row>
    <row r="209" customFormat="false" ht="15" hidden="false" customHeight="false" outlineLevel="0" collapsed="false">
      <c r="B209" s="19" t="s">
        <v>28678</v>
      </c>
      <c r="C209" s="20" t="n">
        <f aca="false">ROUND(2.18/FX,2)</f>
        <v>0.3</v>
      </c>
      <c r="D209" s="21" t="s">
        <v>28668</v>
      </c>
      <c r="E209" s="21" t="s">
        <v>12901</v>
      </c>
      <c r="F209" s="21" t="s">
        <v>12859</v>
      </c>
      <c r="G209" s="21" t="s">
        <v>28679</v>
      </c>
    </row>
    <row r="210" customFormat="false" ht="15" hidden="false" customHeight="false" outlineLevel="0" collapsed="false">
      <c r="B210" s="19" t="s">
        <v>28680</v>
      </c>
      <c r="C210" s="20" t="n">
        <f aca="false">ROUND(2.18/FX,2)</f>
        <v>0.3</v>
      </c>
      <c r="D210" s="21" t="s">
        <v>28668</v>
      </c>
      <c r="E210" s="21" t="s">
        <v>12901</v>
      </c>
      <c r="F210" s="21" t="s">
        <v>12906</v>
      </c>
      <c r="G210" s="21" t="s">
        <v>28681</v>
      </c>
    </row>
    <row r="211" customFormat="false" ht="15" hidden="false" customHeight="false" outlineLevel="0" collapsed="false">
      <c r="B211" s="19" t="s">
        <v>28682</v>
      </c>
      <c r="C211" s="20" t="n">
        <f aca="false">ROUND(2.18/FX,2)</f>
        <v>0.3</v>
      </c>
      <c r="D211" s="21" t="s">
        <v>28668</v>
      </c>
      <c r="E211" s="21" t="s">
        <v>12901</v>
      </c>
      <c r="F211" s="21" t="s">
        <v>12908</v>
      </c>
      <c r="G211" s="21" t="s">
        <v>28683</v>
      </c>
    </row>
    <row r="212" customFormat="false" ht="15" hidden="false" customHeight="false" outlineLevel="0" collapsed="false">
      <c r="B212" s="19" t="s">
        <v>28684</v>
      </c>
      <c r="C212" s="20" t="n">
        <f aca="false">ROUND(2.18/FX,2)</f>
        <v>0.3</v>
      </c>
      <c r="D212" s="21" t="s">
        <v>28668</v>
      </c>
      <c r="E212" s="21" t="s">
        <v>12901</v>
      </c>
      <c r="F212" s="21" t="s">
        <v>12850</v>
      </c>
      <c r="G212" s="21" t="s">
        <v>28671</v>
      </c>
    </row>
    <row r="213" customFormat="false" ht="15" hidden="false" customHeight="false" outlineLevel="0" collapsed="false">
      <c r="B213" s="19" t="s">
        <v>28685</v>
      </c>
      <c r="C213" s="20" t="n">
        <f aca="false">ROUND(2.18/FX,2)</f>
        <v>0.3</v>
      </c>
      <c r="D213" s="21" t="s">
        <v>28668</v>
      </c>
      <c r="E213" s="21" t="s">
        <v>12901</v>
      </c>
      <c r="F213" s="21" t="s">
        <v>12844</v>
      </c>
      <c r="G213" s="21" t="s">
        <v>28673</v>
      </c>
    </row>
    <row r="214" customFormat="false" ht="15" hidden="false" customHeight="false" outlineLevel="0" collapsed="false">
      <c r="B214" s="19" t="s">
        <v>28686</v>
      </c>
      <c r="C214" s="20" t="n">
        <f aca="false">ROUND(2.18/FX,2)</f>
        <v>0.3</v>
      </c>
      <c r="D214" s="21" t="s">
        <v>28668</v>
      </c>
      <c r="E214" s="21" t="s">
        <v>12901</v>
      </c>
      <c r="F214" s="21" t="s">
        <v>12854</v>
      </c>
      <c r="G214" s="21" t="s">
        <v>28675</v>
      </c>
    </row>
    <row r="217" customFormat="false" ht="61.5" hidden="false" customHeight="true" outlineLevel="0" collapsed="false">
      <c r="A217" s="9"/>
      <c r="B217" s="10" t="s">
        <v>28687</v>
      </c>
      <c r="C217" s="10"/>
      <c r="D217" s="10"/>
      <c r="E217" s="10"/>
      <c r="F217" s="10"/>
      <c r="G217" s="10"/>
      <c r="H217" s="10"/>
    </row>
    <row r="218" customFormat="false" ht="15" hidden="false" customHeight="false" outlineLevel="0" collapsed="false">
      <c r="A218" s="12" t="s">
        <v>700</v>
      </c>
      <c r="B218" s="13" t="s">
        <v>701</v>
      </c>
      <c r="C218" s="13" t="s">
        <v>702</v>
      </c>
      <c r="D218" s="13" t="s">
        <v>722</v>
      </c>
      <c r="E218" s="13" t="s">
        <v>723</v>
      </c>
      <c r="F218" s="13" t="s">
        <v>6436</v>
      </c>
      <c r="G218" s="13" t="s">
        <v>28688</v>
      </c>
      <c r="H218" s="13" t="s">
        <v>24797</v>
      </c>
    </row>
    <row r="219" customFormat="false" ht="30" hidden="false" customHeight="true" outlineLevel="0" collapsed="false">
      <c r="A219" s="14" t="s">
        <v>706</v>
      </c>
      <c r="B219" s="15" t="str">
        <f aca="false">IF(COUNTIFS($D$222:$D$274,IF(D219="","*",D219),$E$222:$E$274,IF(E219="","*",E219),$F$222:$F$274,IF(F219="","*",F219),$G$222:$G$274,IF(G219="","*",G219),$H$222:$H$274,IF(H219="","*",H219))=1,INDEX($B:$B,SUMPRODUCT(((D219="")+($D$222:$D$274=D219)&gt;0)*((E219="")+($E$222:$E$274=E219)&gt;0)*((F219="")+($F$222:$F$274=F219)&gt;0)*((G219="")+($G$222:$G$274=G219)&gt;0)*((H219="")+($H$222:$H$274=H219)&gt;0)*ROW($B$222:$B$274))),IF(COUNTIFS($D$222:$D$274,IF(D219="","*",D219),$E$222:$E$274,IF(E219="","*",E219),$F$222:$F$274,IF(F219="","*",F219),$G$222:$G$274,IF(G219="","*",G219),$H$222:$H$274,IF(H219="","*",H219))=0,"Not available",COUNTIFS($D$222:$D$274,IF(D219="","*",D219),$E$222:$E$274,IF(E219="","*",E219),$F$222:$F$274,IF(F219="","*",F219),$G$222:$G$274,IF(G219="","*",G219),$H$222:$H$274,IF(H219="","*",H219))&amp;" match, keep choosing"))</f>
        <v>GP-2020-3x80x80</v>
      </c>
      <c r="C219" s="16" t="n">
        <f aca="false">IF(COUNTIFS($D$222:$D$274,IF(D219="","*",D219),$E$222:$E$274,IF(E219="","*",E219),$F$222:$F$274,IF(F219="","*",F219),$G$222:$G$274,IF(G219="","*",G219),$H$222:$H$274,IF(H219="","*",H219))=1,INDEX($C:$C,SUMPRODUCT(((D219="")+($D$222:$D$274=D219)&gt;0)*((E219="")+($E$222:$E$274=E219)&gt;0)*((F219="")+($F$222:$F$274=F219)&gt;0)*((G219="")+($G$222:$G$274=G219)&gt;0)*((H219="")+($H$222:$H$274=H219)&gt;0)*ROW($B$222:$B$274))),"")</f>
        <v>0.9</v>
      </c>
      <c r="D219" s="17" t="s">
        <v>6336</v>
      </c>
      <c r="E219" s="17" t="s">
        <v>21092</v>
      </c>
      <c r="F219" s="17" t="s">
        <v>6336</v>
      </c>
      <c r="G219" s="17" t="s">
        <v>28689</v>
      </c>
      <c r="H219" s="17" t="s">
        <v>6336</v>
      </c>
    </row>
    <row r="221" customFormat="false" ht="15" hidden="false" customHeight="false" outlineLevel="0" collapsed="false">
      <c r="B221" s="18" t="s">
        <v>701</v>
      </c>
      <c r="C221" s="18" t="s">
        <v>702</v>
      </c>
      <c r="D221" s="18" t="s">
        <v>722</v>
      </c>
      <c r="E221" s="18" t="s">
        <v>723</v>
      </c>
      <c r="F221" s="18" t="s">
        <v>6436</v>
      </c>
      <c r="G221" s="18" t="s">
        <v>28688</v>
      </c>
      <c r="H221" s="18" t="s">
        <v>24797</v>
      </c>
    </row>
    <row r="222" customFormat="false" ht="15" hidden="false" customHeight="false" outlineLevel="0" collapsed="false">
      <c r="B222" s="19" t="s">
        <v>28690</v>
      </c>
      <c r="C222" s="20" t="n">
        <f aca="false">ROUND(6.5/FX,2)</f>
        <v>0.9</v>
      </c>
      <c r="D222" s="21" t="s">
        <v>6336</v>
      </c>
      <c r="E222" s="21" t="s">
        <v>21092</v>
      </c>
      <c r="F222" s="21" t="s">
        <v>6336</v>
      </c>
      <c r="G222" s="21" t="s">
        <v>28689</v>
      </c>
      <c r="H222" s="21" t="s">
        <v>6336</v>
      </c>
    </row>
    <row r="223" customFormat="false" ht="15" hidden="false" customHeight="false" outlineLevel="0" collapsed="false">
      <c r="B223" s="19" t="s">
        <v>28691</v>
      </c>
      <c r="C223" s="20" t="n">
        <f aca="false">ROUND(9.1/FX,2)</f>
        <v>1.26</v>
      </c>
      <c r="D223" s="21" t="s">
        <v>724</v>
      </c>
      <c r="E223" s="21" t="s">
        <v>28692</v>
      </c>
      <c r="F223" s="21" t="s">
        <v>6336</v>
      </c>
      <c r="G223" s="21" t="s">
        <v>16909</v>
      </c>
      <c r="H223" s="21" t="s">
        <v>6336</v>
      </c>
    </row>
    <row r="224" customFormat="false" ht="15" hidden="false" customHeight="false" outlineLevel="0" collapsed="false">
      <c r="B224" s="19" t="s">
        <v>28693</v>
      </c>
      <c r="C224" s="20" t="n">
        <f aca="false">ROUND(7.8/FX,2)</f>
        <v>1.08</v>
      </c>
      <c r="D224" s="21" t="s">
        <v>6549</v>
      </c>
      <c r="E224" s="21" t="s">
        <v>28692</v>
      </c>
      <c r="F224" s="21" t="s">
        <v>6336</v>
      </c>
      <c r="G224" s="21" t="s">
        <v>16909</v>
      </c>
      <c r="H224" s="21" t="s">
        <v>6336</v>
      </c>
    </row>
    <row r="225" customFormat="false" ht="15" hidden="false" customHeight="false" outlineLevel="0" collapsed="false">
      <c r="B225" s="19" t="s">
        <v>28694</v>
      </c>
      <c r="C225" s="20" t="n">
        <f aca="false">ROUND(4.94/FX,2)</f>
        <v>0.69</v>
      </c>
      <c r="D225" s="21" t="s">
        <v>724</v>
      </c>
      <c r="E225" s="21" t="s">
        <v>28695</v>
      </c>
      <c r="F225" s="21" t="s">
        <v>12898</v>
      </c>
      <c r="G225" s="21" t="s">
        <v>16909</v>
      </c>
      <c r="H225" s="21" t="s">
        <v>839</v>
      </c>
    </row>
    <row r="226" customFormat="false" ht="15" hidden="false" customHeight="false" outlineLevel="0" collapsed="false">
      <c r="B226" s="19" t="s">
        <v>28696</v>
      </c>
      <c r="C226" s="20" t="n">
        <f aca="false">ROUND(14.3/FX,2)</f>
        <v>1.99</v>
      </c>
      <c r="D226" s="21" t="s">
        <v>724</v>
      </c>
      <c r="E226" s="21" t="s">
        <v>28697</v>
      </c>
      <c r="F226" s="21" t="s">
        <v>12898</v>
      </c>
      <c r="G226" s="21" t="s">
        <v>16909</v>
      </c>
      <c r="H226" s="21" t="s">
        <v>839</v>
      </c>
    </row>
    <row r="227" customFormat="false" ht="15" hidden="false" customHeight="false" outlineLevel="0" collapsed="false">
      <c r="B227" s="19" t="s">
        <v>28698</v>
      </c>
      <c r="C227" s="20" t="n">
        <f aca="false">ROUND(18.3/FX,2)</f>
        <v>2.54</v>
      </c>
      <c r="D227" s="21" t="s">
        <v>724</v>
      </c>
      <c r="E227" s="21" t="s">
        <v>28699</v>
      </c>
      <c r="F227" s="21" t="s">
        <v>12898</v>
      </c>
      <c r="G227" s="21" t="s">
        <v>16909</v>
      </c>
      <c r="H227" s="21" t="s">
        <v>839</v>
      </c>
    </row>
    <row r="228" customFormat="false" ht="15" hidden="false" customHeight="false" outlineLevel="0" collapsed="false">
      <c r="B228" s="19" t="s">
        <v>28700</v>
      </c>
      <c r="C228" s="20" t="n">
        <f aca="false">ROUND(18.63/FX,2)</f>
        <v>2.59</v>
      </c>
      <c r="D228" s="21" t="s">
        <v>724</v>
      </c>
      <c r="E228" s="21" t="s">
        <v>28701</v>
      </c>
      <c r="F228" s="21" t="s">
        <v>12898</v>
      </c>
      <c r="G228" s="21" t="s">
        <v>16909</v>
      </c>
      <c r="H228" s="21" t="s">
        <v>839</v>
      </c>
    </row>
    <row r="229" customFormat="false" ht="15" hidden="false" customHeight="false" outlineLevel="0" collapsed="false">
      <c r="B229" s="19" t="s">
        <v>28702</v>
      </c>
      <c r="C229" s="20" t="n">
        <f aca="false">ROUND(18.5/FX,2)</f>
        <v>2.57</v>
      </c>
      <c r="D229" s="21" t="s">
        <v>724</v>
      </c>
      <c r="E229" s="21" t="s">
        <v>28703</v>
      </c>
      <c r="F229" s="21" t="s">
        <v>12898</v>
      </c>
      <c r="G229" s="21" t="s">
        <v>16909</v>
      </c>
      <c r="H229" s="21" t="s">
        <v>839</v>
      </c>
    </row>
    <row r="230" customFormat="false" ht="15" hidden="false" customHeight="false" outlineLevel="0" collapsed="false">
      <c r="B230" s="19" t="s">
        <v>28704</v>
      </c>
      <c r="C230" s="20" t="n">
        <f aca="false">ROUND(20/FX,2)</f>
        <v>2.78</v>
      </c>
      <c r="D230" s="21" t="s">
        <v>724</v>
      </c>
      <c r="E230" s="21" t="s">
        <v>28705</v>
      </c>
      <c r="F230" s="21" t="s">
        <v>12898</v>
      </c>
      <c r="G230" s="21" t="s">
        <v>16909</v>
      </c>
      <c r="H230" s="21" t="s">
        <v>839</v>
      </c>
    </row>
    <row r="231" customFormat="false" ht="15" hidden="false" customHeight="false" outlineLevel="0" collapsed="false">
      <c r="B231" s="19" t="s">
        <v>28706</v>
      </c>
      <c r="C231" s="20" t="n">
        <f aca="false">ROUND(18.3/FX,2)</f>
        <v>2.54</v>
      </c>
      <c r="D231" s="21" t="s">
        <v>724</v>
      </c>
      <c r="E231" s="21" t="s">
        <v>28707</v>
      </c>
      <c r="F231" s="21" t="s">
        <v>12898</v>
      </c>
      <c r="G231" s="21" t="s">
        <v>16909</v>
      </c>
      <c r="H231" s="21" t="s">
        <v>839</v>
      </c>
    </row>
    <row r="232" customFormat="false" ht="15" hidden="false" customHeight="false" outlineLevel="0" collapsed="false">
      <c r="B232" s="19" t="s">
        <v>28708</v>
      </c>
      <c r="C232" s="20" t="n">
        <f aca="false">ROUND(5.2/FX,2)</f>
        <v>0.72</v>
      </c>
      <c r="D232" s="21" t="s">
        <v>6549</v>
      </c>
      <c r="E232" s="21" t="s">
        <v>21092</v>
      </c>
      <c r="F232" s="21" t="s">
        <v>12898</v>
      </c>
      <c r="G232" s="21" t="s">
        <v>16909</v>
      </c>
      <c r="H232" s="21" t="s">
        <v>839</v>
      </c>
    </row>
    <row r="233" customFormat="false" ht="15" hidden="false" customHeight="false" outlineLevel="0" collapsed="false">
      <c r="B233" s="19" t="s">
        <v>28709</v>
      </c>
      <c r="C233" s="20" t="n">
        <f aca="false">ROUND(14.56/FX,2)</f>
        <v>2.02</v>
      </c>
      <c r="D233" s="21" t="s">
        <v>6549</v>
      </c>
      <c r="E233" s="21" t="s">
        <v>28710</v>
      </c>
      <c r="F233" s="21" t="s">
        <v>12898</v>
      </c>
      <c r="G233" s="21" t="s">
        <v>16909</v>
      </c>
      <c r="H233" s="21" t="s">
        <v>839</v>
      </c>
    </row>
    <row r="234" customFormat="false" ht="15" hidden="false" customHeight="false" outlineLevel="0" collapsed="false">
      <c r="B234" s="19" t="s">
        <v>28711</v>
      </c>
      <c r="C234" s="20" t="n">
        <f aca="false">ROUND(18.5/FX,2)</f>
        <v>2.57</v>
      </c>
      <c r="D234" s="21" t="s">
        <v>6549</v>
      </c>
      <c r="E234" s="21" t="s">
        <v>28712</v>
      </c>
      <c r="F234" s="21" t="s">
        <v>12898</v>
      </c>
      <c r="G234" s="21" t="s">
        <v>16909</v>
      </c>
      <c r="H234" s="21" t="s">
        <v>839</v>
      </c>
    </row>
    <row r="235" customFormat="false" ht="15" hidden="false" customHeight="false" outlineLevel="0" collapsed="false">
      <c r="B235" s="19" t="s">
        <v>28713</v>
      </c>
      <c r="C235" s="20" t="n">
        <f aca="false">ROUND(18/FX,2)</f>
        <v>2.5</v>
      </c>
      <c r="D235" s="21" t="s">
        <v>6549</v>
      </c>
      <c r="E235" s="21" t="s">
        <v>28714</v>
      </c>
      <c r="F235" s="21" t="s">
        <v>12898</v>
      </c>
      <c r="G235" s="21" t="s">
        <v>16909</v>
      </c>
      <c r="H235" s="21" t="s">
        <v>839</v>
      </c>
    </row>
    <row r="236" customFormat="false" ht="15" hidden="false" customHeight="false" outlineLevel="0" collapsed="false">
      <c r="B236" s="19" t="s">
        <v>28715</v>
      </c>
      <c r="C236" s="20" t="n">
        <f aca="false">ROUND(22.65/FX,2)</f>
        <v>3.15</v>
      </c>
      <c r="D236" s="21" t="s">
        <v>6549</v>
      </c>
      <c r="E236" s="21" t="s">
        <v>28716</v>
      </c>
      <c r="F236" s="21" t="s">
        <v>12898</v>
      </c>
      <c r="G236" s="21" t="s">
        <v>16909</v>
      </c>
      <c r="H236" s="21" t="s">
        <v>839</v>
      </c>
    </row>
    <row r="237" customFormat="false" ht="15" hidden="false" customHeight="false" outlineLevel="0" collapsed="false">
      <c r="B237" s="19" t="s">
        <v>28717</v>
      </c>
      <c r="C237" s="20" t="n">
        <f aca="false">ROUND(16/FX,2)</f>
        <v>2.22</v>
      </c>
      <c r="D237" s="21" t="s">
        <v>6549</v>
      </c>
      <c r="E237" s="21" t="s">
        <v>28718</v>
      </c>
      <c r="F237" s="21" t="s">
        <v>12898</v>
      </c>
      <c r="G237" s="21" t="s">
        <v>16909</v>
      </c>
      <c r="H237" s="21" t="s">
        <v>839</v>
      </c>
    </row>
    <row r="238" customFormat="false" ht="28.35" hidden="false" customHeight="false" outlineLevel="0" collapsed="false">
      <c r="B238" s="19" t="s">
        <v>28719</v>
      </c>
      <c r="C238" s="20" t="n">
        <f aca="false">ROUND(2.6/FX,2)</f>
        <v>0.36</v>
      </c>
      <c r="D238" s="21" t="s">
        <v>724</v>
      </c>
      <c r="E238" s="21" t="s">
        <v>28720</v>
      </c>
      <c r="F238" s="21" t="s">
        <v>28721</v>
      </c>
      <c r="G238" s="21" t="s">
        <v>16909</v>
      </c>
      <c r="H238" s="21" t="s">
        <v>839</v>
      </c>
    </row>
    <row r="239" customFormat="false" ht="15" hidden="false" customHeight="false" outlineLevel="0" collapsed="false">
      <c r="B239" s="19" t="s">
        <v>28722</v>
      </c>
      <c r="C239" s="20" t="n">
        <f aca="false">ROUND(2.73/FX,2)</f>
        <v>0.38</v>
      </c>
      <c r="D239" s="21" t="s">
        <v>6549</v>
      </c>
      <c r="E239" s="21" t="s">
        <v>21092</v>
      </c>
      <c r="F239" s="21" t="s">
        <v>28721</v>
      </c>
      <c r="G239" s="21" t="s">
        <v>16909</v>
      </c>
      <c r="H239" s="21" t="s">
        <v>839</v>
      </c>
    </row>
    <row r="240" customFormat="false" ht="15" hidden="false" customHeight="false" outlineLevel="0" collapsed="false">
      <c r="B240" s="19" t="s">
        <v>28723</v>
      </c>
      <c r="C240" s="20" t="n">
        <f aca="false">ROUND(7.15/FX,2)</f>
        <v>0.99</v>
      </c>
      <c r="D240" s="21" t="s">
        <v>724</v>
      </c>
      <c r="E240" s="21" t="s">
        <v>28695</v>
      </c>
      <c r="F240" s="21" t="s">
        <v>12898</v>
      </c>
      <c r="G240" s="21" t="s">
        <v>16909</v>
      </c>
      <c r="H240" s="21" t="s">
        <v>789</v>
      </c>
    </row>
    <row r="241" customFormat="false" ht="15" hidden="false" customHeight="false" outlineLevel="0" collapsed="false">
      <c r="B241" s="19" t="s">
        <v>28724</v>
      </c>
      <c r="C241" s="20" t="n">
        <f aca="false">ROUND(13/FX,2)</f>
        <v>1.81</v>
      </c>
      <c r="D241" s="21" t="s">
        <v>6336</v>
      </c>
      <c r="E241" s="21" t="s">
        <v>21092</v>
      </c>
      <c r="F241" s="21" t="s">
        <v>6336</v>
      </c>
      <c r="G241" s="21" t="s">
        <v>28725</v>
      </c>
      <c r="H241" s="21" t="s">
        <v>6336</v>
      </c>
    </row>
    <row r="242" customFormat="false" ht="15" hidden="false" customHeight="false" outlineLevel="0" collapsed="false">
      <c r="B242" s="19" t="s">
        <v>28726</v>
      </c>
      <c r="C242" s="20" t="n">
        <f aca="false">ROUND(24/FX,2)</f>
        <v>3.33</v>
      </c>
      <c r="D242" s="21" t="s">
        <v>6336</v>
      </c>
      <c r="E242" s="21" t="s">
        <v>28727</v>
      </c>
      <c r="F242" s="21" t="s">
        <v>6336</v>
      </c>
      <c r="G242" s="21" t="s">
        <v>28725</v>
      </c>
      <c r="H242" s="21" t="s">
        <v>6336</v>
      </c>
    </row>
    <row r="243" customFormat="false" ht="15" hidden="false" customHeight="false" outlineLevel="0" collapsed="false">
      <c r="B243" s="19" t="s">
        <v>28728</v>
      </c>
      <c r="C243" s="20" t="n">
        <f aca="false">ROUND(24/FX,2)</f>
        <v>3.33</v>
      </c>
      <c r="D243" s="21" t="s">
        <v>6336</v>
      </c>
      <c r="E243" s="21" t="s">
        <v>28519</v>
      </c>
      <c r="F243" s="21" t="s">
        <v>6336</v>
      </c>
      <c r="G243" s="21" t="s">
        <v>28725</v>
      </c>
      <c r="H243" s="21" t="s">
        <v>6336</v>
      </c>
    </row>
    <row r="244" customFormat="false" ht="15" hidden="false" customHeight="false" outlineLevel="0" collapsed="false">
      <c r="B244" s="19" t="s">
        <v>28729</v>
      </c>
      <c r="C244" s="20" t="n">
        <f aca="false">ROUND(6.89/FX,2)</f>
        <v>0.96</v>
      </c>
      <c r="D244" s="21" t="s">
        <v>724</v>
      </c>
      <c r="E244" s="21" t="s">
        <v>28695</v>
      </c>
      <c r="F244" s="21" t="s">
        <v>12898</v>
      </c>
      <c r="G244" s="21" t="s">
        <v>12422</v>
      </c>
      <c r="H244" s="21" t="s">
        <v>6336</v>
      </c>
    </row>
    <row r="245" customFormat="false" ht="15" hidden="false" customHeight="false" outlineLevel="0" collapsed="false">
      <c r="B245" s="19" t="s">
        <v>28730</v>
      </c>
      <c r="C245" s="20" t="n">
        <f aca="false">ROUND(16.5/FX,2)</f>
        <v>2.29</v>
      </c>
      <c r="D245" s="21" t="s">
        <v>724</v>
      </c>
      <c r="E245" s="21" t="s">
        <v>28697</v>
      </c>
      <c r="F245" s="21" t="s">
        <v>12898</v>
      </c>
      <c r="G245" s="21" t="s">
        <v>12422</v>
      </c>
      <c r="H245" s="21" t="s">
        <v>6336</v>
      </c>
    </row>
    <row r="246" customFormat="false" ht="15" hidden="false" customHeight="false" outlineLevel="0" collapsed="false">
      <c r="B246" s="19" t="s">
        <v>28731</v>
      </c>
      <c r="C246" s="20" t="n">
        <f aca="false">ROUND(21/FX,2)</f>
        <v>2.92</v>
      </c>
      <c r="D246" s="21" t="s">
        <v>724</v>
      </c>
      <c r="E246" s="21" t="s">
        <v>28699</v>
      </c>
      <c r="F246" s="21" t="s">
        <v>12898</v>
      </c>
      <c r="G246" s="21" t="s">
        <v>12422</v>
      </c>
      <c r="H246" s="21" t="s">
        <v>6336</v>
      </c>
    </row>
    <row r="247" customFormat="false" ht="15" hidden="false" customHeight="false" outlineLevel="0" collapsed="false">
      <c r="B247" s="19" t="s">
        <v>28732</v>
      </c>
      <c r="C247" s="20" t="n">
        <f aca="false">ROUND(23/FX,2)</f>
        <v>3.19</v>
      </c>
      <c r="D247" s="21" t="s">
        <v>724</v>
      </c>
      <c r="E247" s="21" t="s">
        <v>28733</v>
      </c>
      <c r="F247" s="21" t="s">
        <v>12898</v>
      </c>
      <c r="G247" s="21" t="s">
        <v>12422</v>
      </c>
      <c r="H247" s="21" t="s">
        <v>6336</v>
      </c>
    </row>
    <row r="248" customFormat="false" ht="15" hidden="false" customHeight="false" outlineLevel="0" collapsed="false">
      <c r="B248" s="19" t="s">
        <v>28734</v>
      </c>
      <c r="C248" s="20" t="n">
        <f aca="false">ROUND(19/FX,2)</f>
        <v>2.64</v>
      </c>
      <c r="D248" s="21" t="s">
        <v>724</v>
      </c>
      <c r="E248" s="21" t="s">
        <v>28735</v>
      </c>
      <c r="F248" s="21" t="s">
        <v>12898</v>
      </c>
      <c r="G248" s="21" t="s">
        <v>12422</v>
      </c>
      <c r="H248" s="21" t="s">
        <v>6336</v>
      </c>
    </row>
    <row r="249" customFormat="false" ht="28.35" hidden="false" customHeight="false" outlineLevel="0" collapsed="false">
      <c r="B249" s="19" t="s">
        <v>28736</v>
      </c>
      <c r="C249" s="20" t="n">
        <f aca="false">ROUND(6.5/FX,2)</f>
        <v>0.9</v>
      </c>
      <c r="D249" s="21" t="s">
        <v>6336</v>
      </c>
      <c r="E249" s="21" t="s">
        <v>28737</v>
      </c>
      <c r="F249" s="21" t="s">
        <v>6336</v>
      </c>
      <c r="G249" s="21" t="s">
        <v>12422</v>
      </c>
      <c r="H249" s="21" t="s">
        <v>6336</v>
      </c>
    </row>
    <row r="250" customFormat="false" ht="28.35" hidden="false" customHeight="false" outlineLevel="0" collapsed="false">
      <c r="B250" s="19" t="s">
        <v>28738</v>
      </c>
      <c r="C250" s="20" t="n">
        <f aca="false">ROUND(19.5/FX,2)</f>
        <v>2.71</v>
      </c>
      <c r="D250" s="21" t="s">
        <v>6336</v>
      </c>
      <c r="E250" s="21" t="s">
        <v>28739</v>
      </c>
      <c r="F250" s="21" t="s">
        <v>6336</v>
      </c>
      <c r="G250" s="21" t="s">
        <v>12422</v>
      </c>
      <c r="H250" s="21" t="s">
        <v>6336</v>
      </c>
    </row>
    <row r="251" customFormat="false" ht="28.35" hidden="false" customHeight="false" outlineLevel="0" collapsed="false">
      <c r="B251" s="19" t="s">
        <v>28740</v>
      </c>
      <c r="C251" s="20" t="n">
        <f aca="false">ROUND(20/FX,2)</f>
        <v>2.78</v>
      </c>
      <c r="D251" s="21" t="s">
        <v>6336</v>
      </c>
      <c r="E251" s="21" t="s">
        <v>28741</v>
      </c>
      <c r="F251" s="21" t="s">
        <v>6336</v>
      </c>
      <c r="G251" s="21" t="s">
        <v>12422</v>
      </c>
      <c r="H251" s="21" t="s">
        <v>6336</v>
      </c>
    </row>
    <row r="252" customFormat="false" ht="15" hidden="false" customHeight="false" outlineLevel="0" collapsed="false">
      <c r="B252" s="19" t="s">
        <v>28742</v>
      </c>
      <c r="C252" s="20" t="n">
        <f aca="false">ROUND(13/FX,2)</f>
        <v>1.81</v>
      </c>
      <c r="D252" s="21" t="s">
        <v>6336</v>
      </c>
      <c r="E252" s="21" t="s">
        <v>21092</v>
      </c>
      <c r="F252" s="21" t="s">
        <v>6336</v>
      </c>
      <c r="G252" s="21" t="s">
        <v>28743</v>
      </c>
      <c r="H252" s="21" t="s">
        <v>6336</v>
      </c>
    </row>
    <row r="253" customFormat="false" ht="15" hidden="false" customHeight="false" outlineLevel="0" collapsed="false">
      <c r="B253" s="19" t="s">
        <v>28744</v>
      </c>
      <c r="C253" s="20" t="n">
        <f aca="false">ROUND(12.35/FX,2)</f>
        <v>1.72</v>
      </c>
      <c r="D253" s="21" t="s">
        <v>724</v>
      </c>
      <c r="E253" s="21" t="s">
        <v>21092</v>
      </c>
      <c r="F253" s="21" t="s">
        <v>6336</v>
      </c>
      <c r="G253" s="21" t="s">
        <v>25280</v>
      </c>
      <c r="H253" s="21" t="s">
        <v>6336</v>
      </c>
    </row>
    <row r="254" customFormat="false" ht="15" hidden="false" customHeight="false" outlineLevel="0" collapsed="false">
      <c r="B254" s="19" t="s">
        <v>28745</v>
      </c>
      <c r="C254" s="20" t="n">
        <f aca="false">ROUND(26/FX,2)</f>
        <v>3.61</v>
      </c>
      <c r="D254" s="21" t="s">
        <v>6336</v>
      </c>
      <c r="E254" s="21" t="s">
        <v>28727</v>
      </c>
      <c r="F254" s="21" t="s">
        <v>6336</v>
      </c>
      <c r="G254" s="21" t="s">
        <v>25280</v>
      </c>
      <c r="H254" s="21" t="s">
        <v>6336</v>
      </c>
    </row>
    <row r="255" customFormat="false" ht="15" hidden="false" customHeight="false" outlineLevel="0" collapsed="false">
      <c r="B255" s="19" t="s">
        <v>28746</v>
      </c>
      <c r="C255" s="20" t="n">
        <f aca="false">ROUND(25.5/FX,2)</f>
        <v>3.54</v>
      </c>
      <c r="D255" s="21" t="s">
        <v>6336</v>
      </c>
      <c r="E255" s="21" t="s">
        <v>28519</v>
      </c>
      <c r="F255" s="21" t="s">
        <v>6336</v>
      </c>
      <c r="G255" s="21" t="s">
        <v>25280</v>
      </c>
      <c r="H255" s="21" t="s">
        <v>6336</v>
      </c>
    </row>
    <row r="256" customFormat="false" ht="15" hidden="false" customHeight="false" outlineLevel="0" collapsed="false">
      <c r="B256" s="19" t="s">
        <v>28747</v>
      </c>
      <c r="C256" s="20" t="n">
        <f aca="false">ROUND(26.5/FX,2)</f>
        <v>3.68</v>
      </c>
      <c r="D256" s="21" t="s">
        <v>6336</v>
      </c>
      <c r="E256" s="21" t="s">
        <v>28712</v>
      </c>
      <c r="F256" s="21" t="s">
        <v>6336</v>
      </c>
      <c r="G256" s="21" t="s">
        <v>25280</v>
      </c>
      <c r="H256" s="21" t="s">
        <v>6336</v>
      </c>
    </row>
    <row r="257" customFormat="false" ht="15" hidden="false" customHeight="false" outlineLevel="0" collapsed="false">
      <c r="B257" s="19" t="s">
        <v>28748</v>
      </c>
      <c r="C257" s="20" t="n">
        <f aca="false">ROUND(26/FX,2)</f>
        <v>3.61</v>
      </c>
      <c r="D257" s="21" t="s">
        <v>6336</v>
      </c>
      <c r="E257" s="21" t="s">
        <v>28714</v>
      </c>
      <c r="F257" s="21" t="s">
        <v>6336</v>
      </c>
      <c r="G257" s="21" t="s">
        <v>25280</v>
      </c>
      <c r="H257" s="21" t="s">
        <v>6336</v>
      </c>
    </row>
    <row r="258" customFormat="false" ht="15" hidden="false" customHeight="false" outlineLevel="0" collapsed="false">
      <c r="B258" s="19" t="s">
        <v>28749</v>
      </c>
      <c r="C258" s="20" t="n">
        <f aca="false">ROUND(33.5/FX,2)</f>
        <v>4.65</v>
      </c>
      <c r="D258" s="21" t="s">
        <v>6336</v>
      </c>
      <c r="E258" s="21" t="s">
        <v>28750</v>
      </c>
      <c r="F258" s="21" t="s">
        <v>6336</v>
      </c>
      <c r="G258" s="21" t="s">
        <v>25280</v>
      </c>
      <c r="H258" s="21" t="s">
        <v>6336</v>
      </c>
    </row>
    <row r="259" customFormat="false" ht="15" hidden="false" customHeight="false" outlineLevel="0" collapsed="false">
      <c r="B259" s="19" t="s">
        <v>28751</v>
      </c>
      <c r="C259" s="20" t="n">
        <f aca="false">ROUND(32.5/FX,2)</f>
        <v>4.51</v>
      </c>
      <c r="D259" s="21" t="s">
        <v>6336</v>
      </c>
      <c r="E259" s="21" t="s">
        <v>28752</v>
      </c>
      <c r="F259" s="21" t="s">
        <v>6336</v>
      </c>
      <c r="G259" s="21" t="s">
        <v>25280</v>
      </c>
      <c r="H259" s="21" t="s">
        <v>6336</v>
      </c>
    </row>
    <row r="260" customFormat="false" ht="15" hidden="false" customHeight="false" outlineLevel="0" collapsed="false">
      <c r="B260" s="19" t="s">
        <v>28753</v>
      </c>
      <c r="C260" s="20" t="n">
        <f aca="false">ROUND(32.5/FX,2)</f>
        <v>4.51</v>
      </c>
      <c r="D260" s="21" t="s">
        <v>6336</v>
      </c>
      <c r="E260" s="21" t="s">
        <v>28754</v>
      </c>
      <c r="F260" s="21" t="s">
        <v>6336</v>
      </c>
      <c r="G260" s="21" t="s">
        <v>25280</v>
      </c>
      <c r="H260" s="21" t="s">
        <v>6336</v>
      </c>
    </row>
    <row r="261" customFormat="false" ht="15" hidden="false" customHeight="false" outlineLevel="0" collapsed="false">
      <c r="B261" s="19" t="s">
        <v>28755</v>
      </c>
      <c r="C261" s="20" t="n">
        <f aca="false">ROUND(31.5/FX,2)</f>
        <v>4.38</v>
      </c>
      <c r="D261" s="21" t="s">
        <v>6336</v>
      </c>
      <c r="E261" s="21" t="s">
        <v>28716</v>
      </c>
      <c r="F261" s="21" t="s">
        <v>6336</v>
      </c>
      <c r="G261" s="21" t="s">
        <v>25280</v>
      </c>
      <c r="H261" s="21" t="s">
        <v>6336</v>
      </c>
    </row>
    <row r="262" customFormat="false" ht="28.35" hidden="false" customHeight="false" outlineLevel="0" collapsed="false">
      <c r="B262" s="19" t="s">
        <v>28756</v>
      </c>
      <c r="C262" s="20" t="n">
        <f aca="false">ROUND(43/FX,2)</f>
        <v>5.97</v>
      </c>
      <c r="D262" s="21" t="s">
        <v>6336</v>
      </c>
      <c r="E262" s="21" t="s">
        <v>28757</v>
      </c>
      <c r="F262" s="21" t="s">
        <v>6336</v>
      </c>
      <c r="G262" s="21" t="s">
        <v>25280</v>
      </c>
      <c r="H262" s="21" t="s">
        <v>6336</v>
      </c>
    </row>
    <row r="263" customFormat="false" ht="28.35" hidden="false" customHeight="false" outlineLevel="0" collapsed="false">
      <c r="B263" s="19" t="s">
        <v>28758</v>
      </c>
      <c r="C263" s="20" t="n">
        <f aca="false">ROUND(42/FX,2)</f>
        <v>5.83</v>
      </c>
      <c r="D263" s="21" t="s">
        <v>6336</v>
      </c>
      <c r="E263" s="21" t="s">
        <v>28759</v>
      </c>
      <c r="F263" s="21" t="s">
        <v>6336</v>
      </c>
      <c r="G263" s="21" t="s">
        <v>25280</v>
      </c>
      <c r="H263" s="21" t="s">
        <v>6336</v>
      </c>
    </row>
    <row r="264" customFormat="false" ht="28.35" hidden="false" customHeight="false" outlineLevel="0" collapsed="false">
      <c r="B264" s="19" t="s">
        <v>28760</v>
      </c>
      <c r="C264" s="20" t="n">
        <f aca="false">ROUND(45/FX,2)</f>
        <v>6.25</v>
      </c>
      <c r="D264" s="21" t="s">
        <v>6336</v>
      </c>
      <c r="E264" s="21" t="s">
        <v>28761</v>
      </c>
      <c r="F264" s="21" t="s">
        <v>6336</v>
      </c>
      <c r="G264" s="21" t="s">
        <v>25280</v>
      </c>
      <c r="H264" s="21" t="s">
        <v>6336</v>
      </c>
    </row>
    <row r="265" customFormat="false" ht="28.35" hidden="false" customHeight="false" outlineLevel="0" collapsed="false">
      <c r="B265" s="19" t="s">
        <v>28762</v>
      </c>
      <c r="C265" s="20" t="n">
        <f aca="false">ROUND(45/FX,2)</f>
        <v>6.25</v>
      </c>
      <c r="D265" s="21" t="s">
        <v>6336</v>
      </c>
      <c r="E265" s="21" t="s">
        <v>28763</v>
      </c>
      <c r="F265" s="21" t="s">
        <v>6336</v>
      </c>
      <c r="G265" s="21" t="s">
        <v>25280</v>
      </c>
      <c r="H265" s="21" t="s">
        <v>6336</v>
      </c>
    </row>
    <row r="266" customFormat="false" ht="15" hidden="false" customHeight="false" outlineLevel="0" collapsed="false">
      <c r="B266" s="19" t="s">
        <v>28764</v>
      </c>
      <c r="C266" s="20" t="n">
        <f aca="false">ROUND(24/FX,2)</f>
        <v>3.33</v>
      </c>
      <c r="D266" s="21" t="s">
        <v>6336</v>
      </c>
      <c r="E266" s="21" t="s">
        <v>28765</v>
      </c>
      <c r="F266" s="21" t="s">
        <v>6336</v>
      </c>
      <c r="G266" s="21" t="s">
        <v>25280</v>
      </c>
      <c r="H266" s="21" t="s">
        <v>6336</v>
      </c>
    </row>
    <row r="267" customFormat="false" ht="15" hidden="false" customHeight="false" outlineLevel="0" collapsed="false">
      <c r="B267" s="19" t="s">
        <v>28766</v>
      </c>
      <c r="C267" s="20" t="n">
        <f aca="false">ROUND(12.35/FX,2)</f>
        <v>1.72</v>
      </c>
      <c r="D267" s="21" t="s">
        <v>6549</v>
      </c>
      <c r="E267" s="21" t="s">
        <v>21092</v>
      </c>
      <c r="F267" s="21" t="s">
        <v>6336</v>
      </c>
      <c r="G267" s="21" t="s">
        <v>25280</v>
      </c>
      <c r="H267" s="21" t="s">
        <v>6336</v>
      </c>
    </row>
    <row r="268" customFormat="false" ht="15" hidden="false" customHeight="false" outlineLevel="0" collapsed="false">
      <c r="B268" s="19" t="s">
        <v>28767</v>
      </c>
      <c r="C268" s="20" t="n">
        <f aca="false">ROUND(14.95/FX,2)</f>
        <v>2.08</v>
      </c>
      <c r="D268" s="21" t="s">
        <v>6336</v>
      </c>
      <c r="E268" s="21" t="s">
        <v>21092</v>
      </c>
      <c r="F268" s="21" t="s">
        <v>6336</v>
      </c>
      <c r="G268" s="21" t="s">
        <v>28768</v>
      </c>
      <c r="H268" s="21" t="s">
        <v>6336</v>
      </c>
    </row>
    <row r="269" customFormat="false" ht="15" hidden="false" customHeight="false" outlineLevel="0" collapsed="false">
      <c r="B269" s="19" t="s">
        <v>28769</v>
      </c>
      <c r="C269" s="20" t="n">
        <f aca="false">ROUND(6.24/FX,2)</f>
        <v>0.87</v>
      </c>
      <c r="D269" s="21" t="s">
        <v>724</v>
      </c>
      <c r="E269" s="21" t="s">
        <v>28695</v>
      </c>
      <c r="F269" s="21" t="s">
        <v>12898</v>
      </c>
      <c r="G269" s="21" t="s">
        <v>22839</v>
      </c>
      <c r="H269" s="21" t="s">
        <v>6336</v>
      </c>
    </row>
    <row r="270" customFormat="false" ht="41.75" hidden="false" customHeight="false" outlineLevel="0" collapsed="false">
      <c r="B270" s="19" t="s">
        <v>28770</v>
      </c>
      <c r="C270" s="20" t="n">
        <f aca="false">ROUND(16/FX,2)</f>
        <v>2.22</v>
      </c>
      <c r="D270" s="21" t="s">
        <v>724</v>
      </c>
      <c r="E270" s="21" t="s">
        <v>28771</v>
      </c>
      <c r="F270" s="21" t="s">
        <v>12898</v>
      </c>
      <c r="G270" s="21" t="s">
        <v>22839</v>
      </c>
      <c r="H270" s="21" t="s">
        <v>6336</v>
      </c>
    </row>
    <row r="271" customFormat="false" ht="28.35" hidden="false" customHeight="false" outlineLevel="0" collapsed="false">
      <c r="B271" s="19" t="s">
        <v>28772</v>
      </c>
      <c r="C271" s="20" t="n">
        <f aca="false">ROUND(24.5/FX,2)</f>
        <v>3.4</v>
      </c>
      <c r="D271" s="21" t="s">
        <v>724</v>
      </c>
      <c r="E271" s="21" t="s">
        <v>28773</v>
      </c>
      <c r="F271" s="21" t="s">
        <v>12898</v>
      </c>
      <c r="G271" s="21" t="s">
        <v>22839</v>
      </c>
      <c r="H271" s="21" t="s">
        <v>6336</v>
      </c>
    </row>
    <row r="272" customFormat="false" ht="15" hidden="false" customHeight="false" outlineLevel="0" collapsed="false">
      <c r="B272" s="19" t="s">
        <v>28774</v>
      </c>
      <c r="C272" s="20" t="n">
        <f aca="false">ROUND(5.89/FX,2)</f>
        <v>0.82</v>
      </c>
      <c r="D272" s="21" t="s">
        <v>6549</v>
      </c>
      <c r="E272" s="21" t="s">
        <v>21092</v>
      </c>
      <c r="F272" s="21" t="s">
        <v>12898</v>
      </c>
      <c r="G272" s="21" t="s">
        <v>22839</v>
      </c>
      <c r="H272" s="21" t="s">
        <v>6336</v>
      </c>
    </row>
    <row r="273" customFormat="false" ht="28.35" hidden="false" customHeight="false" outlineLevel="0" collapsed="false">
      <c r="B273" s="19" t="s">
        <v>28775</v>
      </c>
      <c r="C273" s="20" t="n">
        <f aca="false">ROUND(16/FX,2)</f>
        <v>2.22</v>
      </c>
      <c r="D273" s="21" t="s">
        <v>6549</v>
      </c>
      <c r="E273" s="21" t="s">
        <v>28776</v>
      </c>
      <c r="F273" s="21" t="s">
        <v>12898</v>
      </c>
      <c r="G273" s="21" t="s">
        <v>22839</v>
      </c>
      <c r="H273" s="21" t="s">
        <v>6336</v>
      </c>
    </row>
    <row r="274" customFormat="false" ht="28.35" hidden="false" customHeight="false" outlineLevel="0" collapsed="false">
      <c r="B274" s="19" t="s">
        <v>28777</v>
      </c>
      <c r="C274" s="20" t="n">
        <f aca="false">ROUND(24.5/FX,2)</f>
        <v>3.4</v>
      </c>
      <c r="D274" s="21" t="s">
        <v>6549</v>
      </c>
      <c r="E274" s="21" t="s">
        <v>28778</v>
      </c>
      <c r="F274" s="21" t="s">
        <v>12898</v>
      </c>
      <c r="G274" s="21" t="s">
        <v>22839</v>
      </c>
      <c r="H274" s="21" t="s">
        <v>6336</v>
      </c>
    </row>
    <row r="277" customFormat="false" ht="61.5" hidden="false" customHeight="true" outlineLevel="0" collapsed="false">
      <c r="A277" s="9"/>
      <c r="B277" s="10" t="s">
        <v>28779</v>
      </c>
      <c r="C277" s="10"/>
      <c r="D277" s="10"/>
      <c r="E277" s="10"/>
    </row>
    <row r="278" customFormat="false" ht="15" hidden="false" customHeight="false" outlineLevel="0" collapsed="false">
      <c r="A278" s="12" t="s">
        <v>700</v>
      </c>
      <c r="B278" s="13" t="s">
        <v>701</v>
      </c>
      <c r="C278" s="13" t="s">
        <v>702</v>
      </c>
      <c r="D278" s="13" t="s">
        <v>723</v>
      </c>
      <c r="E278" s="13" t="s">
        <v>7711</v>
      </c>
    </row>
    <row r="279" customFormat="false" ht="30" hidden="false" customHeight="true" outlineLevel="0" collapsed="false">
      <c r="A279" s="14" t="s">
        <v>706</v>
      </c>
      <c r="B279" s="15" t="str">
        <f aca="false">IF(COUNTIFS($D$282:$D$294,IF(D279="","*",D279),$E$282:$E$294,IF(E279="","*",E279))=1,INDEX($B:$B,SUMPRODUCT(((D279="")+($D$282:$D$294=D279)&gt;0)*((E279="")+($E$282:$E$294=E279)&gt;0)*ROW($B$282:$B$294))),IF(COUNTIFS($D$282:$D$294,IF(D279="","*",D279),$E$282:$E$294,IF(E279="","*",E279))=0,"Not available",COUNTIFS($D$282:$D$294,IF(D279="","*",D279),$E$282:$E$294,IF(E279="","*",E279))&amp;" match, keep choosing"))</f>
        <v>P3-098-52-DDJJ</v>
      </c>
      <c r="C279" s="16" t="n">
        <f aca="false">IF(COUNTIFS($D$282:$D$294,IF(D279="","*",D279),$E$282:$E$294,IF(E279="","*",E279))=1,INDEX($C:$C,SUMPRODUCT(((D279="")+($D$282:$D$294=D279)&gt;0)*((E279="")+($E$282:$E$294=E279)&gt;0)*ROW($B$282:$B$294))),"")</f>
        <v>5.24</v>
      </c>
      <c r="D279" s="17" t="s">
        <v>28780</v>
      </c>
      <c r="E279" s="17" t="s">
        <v>2921</v>
      </c>
    </row>
    <row r="281" customFormat="false" ht="15" hidden="false" customHeight="false" outlineLevel="0" collapsed="false">
      <c r="B281" s="18" t="s">
        <v>701</v>
      </c>
      <c r="C281" s="18" t="s">
        <v>702</v>
      </c>
      <c r="D281" s="18" t="s">
        <v>723</v>
      </c>
      <c r="E281" s="18" t="s">
        <v>7711</v>
      </c>
    </row>
    <row r="282" customFormat="false" ht="15" hidden="false" customHeight="false" outlineLevel="0" collapsed="false">
      <c r="B282" s="19" t="s">
        <v>28781</v>
      </c>
      <c r="C282" s="20" t="n">
        <f aca="false">ROUND(37.7/FX,2)</f>
        <v>5.24</v>
      </c>
      <c r="D282" s="21" t="s">
        <v>28780</v>
      </c>
      <c r="E282" s="21" t="s">
        <v>2921</v>
      </c>
    </row>
    <row r="283" customFormat="false" ht="15" hidden="false" customHeight="false" outlineLevel="0" collapsed="false">
      <c r="B283" s="19" t="s">
        <v>28782</v>
      </c>
      <c r="C283" s="20" t="n">
        <f aca="false">ROUND(55.28/FX,2)</f>
        <v>7.68</v>
      </c>
      <c r="D283" s="21" t="s">
        <v>28727</v>
      </c>
      <c r="E283" s="21" t="s">
        <v>2921</v>
      </c>
    </row>
    <row r="284" customFormat="false" ht="15" hidden="false" customHeight="false" outlineLevel="0" collapsed="false">
      <c r="B284" s="19" t="s">
        <v>28783</v>
      </c>
      <c r="C284" s="20" t="n">
        <f aca="false">ROUND(47.71/FX,2)</f>
        <v>6.63</v>
      </c>
      <c r="D284" s="21" t="s">
        <v>28519</v>
      </c>
      <c r="E284" s="21" t="s">
        <v>2921</v>
      </c>
    </row>
    <row r="285" customFormat="false" ht="15" hidden="false" customHeight="false" outlineLevel="0" collapsed="false">
      <c r="B285" s="19" t="s">
        <v>28784</v>
      </c>
      <c r="C285" s="20" t="n">
        <f aca="false">ROUND(39/FX,2)</f>
        <v>5.42</v>
      </c>
      <c r="D285" s="21" t="s">
        <v>28780</v>
      </c>
      <c r="E285" s="21" t="s">
        <v>13817</v>
      </c>
    </row>
    <row r="286" customFormat="false" ht="15" hidden="false" customHeight="false" outlineLevel="0" collapsed="false">
      <c r="B286" s="19" t="s">
        <v>28785</v>
      </c>
      <c r="C286" s="20" t="n">
        <f aca="false">ROUND(42/FX,2)</f>
        <v>5.83</v>
      </c>
      <c r="D286" s="21" t="s">
        <v>28727</v>
      </c>
      <c r="E286" s="21" t="s">
        <v>13817</v>
      </c>
    </row>
    <row r="287" customFormat="false" ht="15" hidden="false" customHeight="false" outlineLevel="0" collapsed="false">
      <c r="B287" s="19" t="s">
        <v>28786</v>
      </c>
      <c r="C287" s="20" t="n">
        <f aca="false">ROUND(56.57/FX,2)</f>
        <v>7.86</v>
      </c>
      <c r="D287" s="21" t="s">
        <v>28519</v>
      </c>
      <c r="E287" s="21" t="s">
        <v>13817</v>
      </c>
    </row>
    <row r="288" customFormat="false" ht="15" hidden="false" customHeight="false" outlineLevel="0" collapsed="false">
      <c r="B288" s="19" t="s">
        <v>28787</v>
      </c>
      <c r="C288" s="20" t="n">
        <f aca="false">ROUND(39/FX,2)</f>
        <v>5.42</v>
      </c>
      <c r="D288" s="21" t="s">
        <v>28780</v>
      </c>
      <c r="E288" s="21" t="s">
        <v>28788</v>
      </c>
    </row>
    <row r="289" customFormat="false" ht="15" hidden="false" customHeight="false" outlineLevel="0" collapsed="false">
      <c r="B289" s="19" t="s">
        <v>28789</v>
      </c>
      <c r="C289" s="20" t="n">
        <f aca="false">ROUND(42/FX,2)</f>
        <v>5.83</v>
      </c>
      <c r="D289" s="21" t="s">
        <v>28727</v>
      </c>
      <c r="E289" s="21" t="s">
        <v>28788</v>
      </c>
    </row>
    <row r="290" customFormat="false" ht="15" hidden="false" customHeight="false" outlineLevel="0" collapsed="false">
      <c r="B290" s="19" t="s">
        <v>28790</v>
      </c>
      <c r="C290" s="20" t="n">
        <f aca="false">ROUND(56.57/FX,2)</f>
        <v>7.86</v>
      </c>
      <c r="D290" s="21" t="s">
        <v>28519</v>
      </c>
      <c r="E290" s="21" t="s">
        <v>28788</v>
      </c>
    </row>
    <row r="291" customFormat="false" ht="15" hidden="false" customHeight="false" outlineLevel="0" collapsed="false">
      <c r="B291" s="19" t="s">
        <v>28791</v>
      </c>
      <c r="C291" s="20" t="n">
        <f aca="false">ROUND(41.6/FX,2)</f>
        <v>5.78</v>
      </c>
      <c r="D291" s="21" t="s">
        <v>28780</v>
      </c>
      <c r="E291" s="21" t="s">
        <v>3061</v>
      </c>
    </row>
    <row r="292" customFormat="false" ht="15" hidden="false" customHeight="false" outlineLevel="0" collapsed="false">
      <c r="B292" s="19" t="s">
        <v>28792</v>
      </c>
      <c r="C292" s="20" t="n">
        <f aca="false">ROUND(42/FX,2)</f>
        <v>5.83</v>
      </c>
      <c r="D292" s="21" t="s">
        <v>28727</v>
      </c>
      <c r="E292" s="21" t="s">
        <v>3061</v>
      </c>
    </row>
    <row r="293" customFormat="false" ht="15" hidden="false" customHeight="false" outlineLevel="0" collapsed="false">
      <c r="B293" s="19" t="s">
        <v>28793</v>
      </c>
      <c r="C293" s="20" t="n">
        <f aca="false">ROUND(59.18/FX,2)</f>
        <v>8.22</v>
      </c>
      <c r="D293" s="21" t="s">
        <v>28519</v>
      </c>
      <c r="E293" s="21" t="s">
        <v>3061</v>
      </c>
    </row>
    <row r="294" customFormat="false" ht="15" hidden="false" customHeight="false" outlineLevel="0" collapsed="false">
      <c r="B294" s="19" t="s">
        <v>28794</v>
      </c>
      <c r="C294" s="20" t="n">
        <f aca="false">ROUND(8.4/FX,2)</f>
        <v>1.17</v>
      </c>
      <c r="D294" s="21" t="s">
        <v>28795</v>
      </c>
      <c r="E294" s="21" t="s">
        <v>6336</v>
      </c>
    </row>
    <row r="297" customFormat="false" ht="61.5" hidden="false" customHeight="true" outlineLevel="0" collapsed="false">
      <c r="A297" s="9"/>
      <c r="B297" s="10" t="s">
        <v>28796</v>
      </c>
      <c r="C297" s="10"/>
      <c r="D297" s="10"/>
      <c r="E297" s="10"/>
    </row>
    <row r="298" customFormat="false" ht="15" hidden="false" customHeight="false" outlineLevel="0" collapsed="false">
      <c r="A298" s="12" t="s">
        <v>700</v>
      </c>
      <c r="B298" s="13" t="s">
        <v>701</v>
      </c>
      <c r="C298" s="13" t="s">
        <v>702</v>
      </c>
      <c r="D298" s="13" t="s">
        <v>722</v>
      </c>
      <c r="E298" s="13" t="s">
        <v>723</v>
      </c>
    </row>
    <row r="299" customFormat="false" ht="30" hidden="false" customHeight="true" outlineLevel="0" collapsed="false">
      <c r="A299" s="14" t="s">
        <v>706</v>
      </c>
      <c r="B299" s="15" t="str">
        <f aca="false">IF(COUNTIFS($D$302:$D$303,IF(D299="","*",D299),$E$302:$E$303,IF(E299="","*",E299))=1,INDEX($B:$B,SUMPRODUCT(((D299="")+($D$302:$D$303=D299)&gt;0)*((E299="")+($E$302:$E$303=E299)&gt;0)*ROW($B$302:$B$303))),IF(COUNTIFS($D$302:$D$303,IF(D299="","*",D299),$E$302:$E$303,IF(E299="","*",E299))=0,"Not available",COUNTIFS($D$302:$D$303,IF(D299="","*",D299),$E$302:$E$303,IF(E299="","*",E299))&amp;" match, keep choosing"))</f>
        <v>P3-080-BK-TZHFSLM</v>
      </c>
      <c r="C299" s="16" t="n">
        <f aca="false">IF(COUNTIFS($D$302:$D$303,IF(D299="","*",D299),$E$302:$E$303,IF(E299="","*",E299))=1,INDEX($C:$C,SUMPRODUCT(((D299="")+($D$302:$D$303=D299)&gt;0)*((E299="")+($E$302:$E$303=E299)&gt;0)*ROW($B$302:$B$303))),"")</f>
        <v>8.33</v>
      </c>
      <c r="D299" s="17" t="s">
        <v>724</v>
      </c>
      <c r="E299" s="17" t="s">
        <v>28797</v>
      </c>
    </row>
    <row r="301" customFormat="false" ht="15" hidden="false" customHeight="false" outlineLevel="0" collapsed="false">
      <c r="B301" s="18" t="s">
        <v>701</v>
      </c>
      <c r="C301" s="18" t="s">
        <v>702</v>
      </c>
      <c r="D301" s="18" t="s">
        <v>722</v>
      </c>
      <c r="E301" s="18" t="s">
        <v>723</v>
      </c>
    </row>
    <row r="302" customFormat="false" ht="15" hidden="false" customHeight="false" outlineLevel="0" collapsed="false">
      <c r="B302" s="19" t="s">
        <v>28798</v>
      </c>
      <c r="C302" s="20" t="n">
        <f aca="false">ROUND(60/FX,2)</f>
        <v>8.33</v>
      </c>
      <c r="D302" s="21" t="s">
        <v>724</v>
      </c>
      <c r="E302" s="21" t="s">
        <v>28797</v>
      </c>
    </row>
    <row r="303" customFormat="false" ht="15" hidden="false" customHeight="false" outlineLevel="0" collapsed="false">
      <c r="B303" s="19" t="s">
        <v>28799</v>
      </c>
      <c r="C303" s="20" t="n">
        <f aca="false">ROUND(60/FX,2)</f>
        <v>8.33</v>
      </c>
      <c r="D303" s="21" t="s">
        <v>751</v>
      </c>
      <c r="E303" s="21" t="s">
        <v>28800</v>
      </c>
    </row>
    <row r="306" customFormat="false" ht="61.5" hidden="false" customHeight="true" outlineLevel="0" collapsed="false">
      <c r="A306" s="9"/>
      <c r="B306" s="10" t="s">
        <v>28801</v>
      </c>
      <c r="C306" s="10"/>
      <c r="D306" s="10"/>
      <c r="E306" s="10"/>
    </row>
    <row r="307" customFormat="false" ht="15" hidden="false" customHeight="false" outlineLevel="0" collapsed="false">
      <c r="A307" s="12" t="s">
        <v>700</v>
      </c>
      <c r="B307" s="13" t="s">
        <v>701</v>
      </c>
      <c r="C307" s="13" t="s">
        <v>702</v>
      </c>
      <c r="D307" s="13" t="s">
        <v>722</v>
      </c>
      <c r="E307" s="13" t="s">
        <v>723</v>
      </c>
    </row>
    <row r="308" customFormat="false" ht="30" hidden="false" customHeight="true" outlineLevel="0" collapsed="false">
      <c r="A308" s="14" t="s">
        <v>706</v>
      </c>
      <c r="B308" s="15" t="str">
        <f aca="false">IF(COUNTIFS($D$311:$D$316,IF(D308="","*",D308),$E$311:$E$316,IF(E308="","*",E308))=1,INDEX($B:$B,SUMPRODUCT(((D308="")+($D$311:$D$316=D308)&gt;0)*((E308="")+($E$311:$E$316=E308)&gt;0)*ROW($B$311:$B$316))),IF(COUNTIFS($D$311:$D$316,IF(D308="","*",D308),$E$311:$E$316,IF(E308="","*",E308))=0,"Not available",COUNTIFS($D$311:$D$316,IF(D308="","*",D308),$E$311:$E$316,IF(E308="","*",E308))&amp;" match, keep choosing"))</f>
        <v>P3-030-BK-BDZC</v>
      </c>
      <c r="C308" s="16" t="n">
        <f aca="false">IF(COUNTIFS($D$311:$D$316,IF(D308="","*",D308),$E$311:$E$316,IF(E308="","*",E308))=1,INDEX($C:$C,SUMPRODUCT(((D308="")+($D$311:$D$316=D308)&gt;0)*((E308="")+($E$311:$E$316=E308)&gt;0)*ROW($B$311:$B$316))),"")</f>
        <v>0.13</v>
      </c>
      <c r="D308" s="17" t="s">
        <v>724</v>
      </c>
      <c r="E308" s="17" t="s">
        <v>28802</v>
      </c>
    </row>
    <row r="310" customFormat="false" ht="15" hidden="false" customHeight="false" outlineLevel="0" collapsed="false">
      <c r="B310" s="18" t="s">
        <v>701</v>
      </c>
      <c r="C310" s="18" t="s">
        <v>702</v>
      </c>
      <c r="D310" s="18" t="s">
        <v>722</v>
      </c>
      <c r="E310" s="18" t="s">
        <v>723</v>
      </c>
    </row>
    <row r="311" customFormat="false" ht="15" hidden="false" customHeight="false" outlineLevel="0" collapsed="false">
      <c r="B311" s="19" t="s">
        <v>28803</v>
      </c>
      <c r="C311" s="20" t="n">
        <f aca="false">ROUND(0.91/FX,2)</f>
        <v>0.13</v>
      </c>
      <c r="D311" s="21" t="s">
        <v>724</v>
      </c>
      <c r="E311" s="21" t="s">
        <v>28802</v>
      </c>
    </row>
    <row r="312" customFormat="false" ht="28.35" hidden="false" customHeight="false" outlineLevel="0" collapsed="false">
      <c r="B312" s="19" t="s">
        <v>28804</v>
      </c>
      <c r="C312" s="20" t="n">
        <f aca="false">ROUND(2.5/FX,2)</f>
        <v>0.35</v>
      </c>
      <c r="D312" s="21" t="s">
        <v>724</v>
      </c>
      <c r="E312" s="21" t="s">
        <v>28805</v>
      </c>
    </row>
    <row r="313" customFormat="false" ht="28.35" hidden="false" customHeight="false" outlineLevel="0" collapsed="false">
      <c r="B313" s="19" t="s">
        <v>28806</v>
      </c>
      <c r="C313" s="20" t="n">
        <f aca="false">ROUND(2.28/FX,2)</f>
        <v>0.32</v>
      </c>
      <c r="D313" s="21" t="s">
        <v>724</v>
      </c>
      <c r="E313" s="21" t="s">
        <v>28807</v>
      </c>
    </row>
    <row r="314" customFormat="false" ht="15" hidden="false" customHeight="false" outlineLevel="0" collapsed="false">
      <c r="B314" s="19" t="s">
        <v>28808</v>
      </c>
      <c r="C314" s="20" t="n">
        <f aca="false">ROUND(1.04/FX,2)</f>
        <v>0.14</v>
      </c>
      <c r="D314" s="21" t="s">
        <v>751</v>
      </c>
      <c r="E314" s="21" t="s">
        <v>28802</v>
      </c>
    </row>
    <row r="315" customFormat="false" ht="28.35" hidden="false" customHeight="false" outlineLevel="0" collapsed="false">
      <c r="B315" s="19" t="s">
        <v>28809</v>
      </c>
      <c r="C315" s="20" t="n">
        <f aca="false">ROUND(2.6/FX,2)</f>
        <v>0.36</v>
      </c>
      <c r="D315" s="21" t="s">
        <v>751</v>
      </c>
      <c r="E315" s="21" t="s">
        <v>28805</v>
      </c>
    </row>
    <row r="316" customFormat="false" ht="28.35" hidden="false" customHeight="false" outlineLevel="0" collapsed="false">
      <c r="B316" s="19" t="s">
        <v>28810</v>
      </c>
      <c r="C316" s="20" t="n">
        <f aca="false">ROUND(2.5/FX,2)</f>
        <v>0.35</v>
      </c>
      <c r="D316" s="21" t="s">
        <v>751</v>
      </c>
      <c r="E316" s="21" t="s">
        <v>28807</v>
      </c>
    </row>
    <row r="319" customFormat="false" ht="61.5" hidden="false" customHeight="true" outlineLevel="0" collapsed="false">
      <c r="A319" s="9"/>
      <c r="B319" s="10" t="s">
        <v>28811</v>
      </c>
      <c r="C319" s="10"/>
      <c r="D319" s="10"/>
    </row>
    <row r="320" customFormat="false" ht="15" hidden="false" customHeight="false" outlineLevel="0" collapsed="false">
      <c r="A320" s="12" t="s">
        <v>700</v>
      </c>
      <c r="B320" s="13" t="s">
        <v>701</v>
      </c>
      <c r="C320" s="13" t="s">
        <v>702</v>
      </c>
      <c r="D320" s="13" t="s">
        <v>723</v>
      </c>
    </row>
    <row r="321" customFormat="false" ht="30" hidden="false" customHeight="true" outlineLevel="0" collapsed="false">
      <c r="A321" s="14" t="s">
        <v>706</v>
      </c>
      <c r="B321" s="15" t="str">
        <f aca="false">IF(COUNTIFS($D$324:$D$344,IF(D321="","*",D321))=1,INDEX($B:$B,SUMPRODUCT(((D321="")+($D$324:$D$344=D321)&gt;0)*ROW($B$324:$B$344))),IF(COUNTIFS($D$324:$D$344,IF(D321="","*",D321))=0,"Not available",COUNTIFS($D$324:$D$344,IF(D321="","*",D321))&amp;" match, keep choosing"))</f>
        <v>P3-095-CR10K</v>
      </c>
      <c r="C321" s="16" t="n">
        <f aca="false">IF(COUNTIFS($D$324:$D$344,IF(D321="","*",D321))=1,INDEX($C:$C,SUMPRODUCT(((D321="")+($D$324:$D$344=D321)&gt;0)*ROW($B$324:$B$344))),"")</f>
        <v>0.72</v>
      </c>
      <c r="D321" s="17" t="s">
        <v>28812</v>
      </c>
    </row>
    <row r="323" customFormat="false" ht="15" hidden="false" customHeight="false" outlineLevel="0" collapsed="false">
      <c r="B323" s="18" t="s">
        <v>701</v>
      </c>
      <c r="C323" s="18" t="s">
        <v>702</v>
      </c>
      <c r="D323" s="18" t="s">
        <v>723</v>
      </c>
    </row>
    <row r="324" customFormat="false" ht="15" hidden="false" customHeight="false" outlineLevel="0" collapsed="false">
      <c r="B324" s="19" t="s">
        <v>28813</v>
      </c>
      <c r="C324" s="20" t="n">
        <f aca="false">ROUND(5.2/FX,2)</f>
        <v>0.72</v>
      </c>
      <c r="D324" s="21" t="s">
        <v>28812</v>
      </c>
    </row>
    <row r="325" customFormat="false" ht="15" hidden="false" customHeight="false" outlineLevel="0" collapsed="false">
      <c r="B325" s="19" t="s">
        <v>28814</v>
      </c>
      <c r="C325" s="20" t="n">
        <f aca="false">ROUND(2.8/FX,2)</f>
        <v>0.39</v>
      </c>
      <c r="D325" s="21" t="s">
        <v>28815</v>
      </c>
    </row>
    <row r="326" customFormat="false" ht="15" hidden="false" customHeight="false" outlineLevel="0" collapsed="false">
      <c r="B326" s="19" t="s">
        <v>28816</v>
      </c>
      <c r="C326" s="20" t="n">
        <f aca="false">ROUND(3/FX,2)</f>
        <v>0.42</v>
      </c>
      <c r="D326" s="21" t="s">
        <v>28817</v>
      </c>
    </row>
    <row r="327" customFormat="false" ht="15" hidden="false" customHeight="false" outlineLevel="0" collapsed="false">
      <c r="B327" s="19" t="s">
        <v>28818</v>
      </c>
      <c r="C327" s="20" t="n">
        <f aca="false">ROUND(3.2/FX,2)</f>
        <v>0.44</v>
      </c>
      <c r="D327" s="21" t="s">
        <v>28819</v>
      </c>
    </row>
    <row r="328" customFormat="false" ht="15" hidden="false" customHeight="false" outlineLevel="0" collapsed="false">
      <c r="B328" s="19" t="s">
        <v>28820</v>
      </c>
      <c r="C328" s="20" t="n">
        <f aca="false">ROUND(3/FX,2)</f>
        <v>0.42</v>
      </c>
      <c r="D328" s="21" t="s">
        <v>28821</v>
      </c>
    </row>
    <row r="329" customFormat="false" ht="15" hidden="false" customHeight="false" outlineLevel="0" collapsed="false">
      <c r="B329" s="19" t="s">
        <v>28822</v>
      </c>
      <c r="C329" s="20" t="n">
        <f aca="false">ROUND(3/FX,2)</f>
        <v>0.42</v>
      </c>
      <c r="D329" s="21" t="s">
        <v>28823</v>
      </c>
    </row>
    <row r="330" customFormat="false" ht="15" hidden="false" customHeight="false" outlineLevel="0" collapsed="false">
      <c r="B330" s="19" t="s">
        <v>28824</v>
      </c>
      <c r="C330" s="20" t="n">
        <f aca="false">ROUND(2.6/FX,2)</f>
        <v>0.36</v>
      </c>
      <c r="D330" s="21" t="s">
        <v>28825</v>
      </c>
    </row>
    <row r="331" customFormat="false" ht="15" hidden="false" customHeight="false" outlineLevel="0" collapsed="false">
      <c r="B331" s="19" t="s">
        <v>28826</v>
      </c>
      <c r="C331" s="20" t="n">
        <f aca="false">ROUND(2.6/FX,2)</f>
        <v>0.36</v>
      </c>
      <c r="D331" s="21" t="s">
        <v>28827</v>
      </c>
    </row>
    <row r="332" customFormat="false" ht="15" hidden="false" customHeight="false" outlineLevel="0" collapsed="false">
      <c r="B332" s="19" t="s">
        <v>28828</v>
      </c>
      <c r="C332" s="20" t="n">
        <f aca="false">ROUND(2.9/FX,2)</f>
        <v>0.4</v>
      </c>
      <c r="D332" s="21" t="s">
        <v>28829</v>
      </c>
    </row>
    <row r="333" customFormat="false" ht="15" hidden="false" customHeight="false" outlineLevel="0" collapsed="false">
      <c r="B333" s="19" t="s">
        <v>28830</v>
      </c>
      <c r="C333" s="20" t="n">
        <f aca="false">ROUND(2.93/FX,2)</f>
        <v>0.41</v>
      </c>
      <c r="D333" s="21" t="s">
        <v>28831</v>
      </c>
    </row>
    <row r="334" customFormat="false" ht="15" hidden="false" customHeight="false" outlineLevel="0" collapsed="false">
      <c r="B334" s="19" t="s">
        <v>28832</v>
      </c>
      <c r="C334" s="20" t="n">
        <f aca="false">ROUND(3.13/FX,2)</f>
        <v>0.43</v>
      </c>
      <c r="D334" s="21" t="s">
        <v>28833</v>
      </c>
    </row>
    <row r="335" customFormat="false" ht="15" hidden="false" customHeight="false" outlineLevel="0" collapsed="false">
      <c r="B335" s="19" t="s">
        <v>28834</v>
      </c>
      <c r="C335" s="20" t="n">
        <f aca="false">ROUND(3.33/FX,2)</f>
        <v>0.46</v>
      </c>
      <c r="D335" s="21" t="s">
        <v>28835</v>
      </c>
    </row>
    <row r="336" customFormat="false" ht="15" hidden="false" customHeight="false" outlineLevel="0" collapsed="false">
      <c r="B336" s="19" t="s">
        <v>28836</v>
      </c>
      <c r="C336" s="20" t="n">
        <f aca="false">ROUND(3.13/FX,2)</f>
        <v>0.43</v>
      </c>
      <c r="D336" s="21" t="s">
        <v>28837</v>
      </c>
    </row>
    <row r="337" customFormat="false" ht="15" hidden="false" customHeight="false" outlineLevel="0" collapsed="false">
      <c r="B337" s="19" t="s">
        <v>28838</v>
      </c>
      <c r="C337" s="20" t="n">
        <f aca="false">ROUND(3.13/FX,2)</f>
        <v>0.43</v>
      </c>
      <c r="D337" s="21" t="s">
        <v>28839</v>
      </c>
    </row>
    <row r="338" customFormat="false" ht="15" hidden="false" customHeight="false" outlineLevel="0" collapsed="false">
      <c r="B338" s="19" t="s">
        <v>28840</v>
      </c>
      <c r="C338" s="20" t="n">
        <f aca="false">ROUND(2.73/FX,2)</f>
        <v>0.38</v>
      </c>
      <c r="D338" s="21" t="s">
        <v>28841</v>
      </c>
    </row>
    <row r="339" customFormat="false" ht="15" hidden="false" customHeight="false" outlineLevel="0" collapsed="false">
      <c r="B339" s="19" t="s">
        <v>28842</v>
      </c>
      <c r="C339" s="20" t="n">
        <f aca="false">ROUND(2.93/FX,2)</f>
        <v>0.41</v>
      </c>
      <c r="D339" s="21" t="s">
        <v>28843</v>
      </c>
    </row>
    <row r="340" customFormat="false" ht="15" hidden="false" customHeight="false" outlineLevel="0" collapsed="false">
      <c r="B340" s="19" t="s">
        <v>28844</v>
      </c>
      <c r="C340" s="20" t="n">
        <f aca="false">ROUND(3.03/FX,2)</f>
        <v>0.42</v>
      </c>
      <c r="D340" s="21" t="s">
        <v>28845</v>
      </c>
    </row>
    <row r="341" customFormat="false" ht="15" hidden="false" customHeight="false" outlineLevel="0" collapsed="false">
      <c r="B341" s="19" t="s">
        <v>28846</v>
      </c>
      <c r="C341" s="20" t="n">
        <f aca="false">ROUND(4.31/FX,2)</f>
        <v>0.6</v>
      </c>
      <c r="D341" s="21" t="s">
        <v>28847</v>
      </c>
    </row>
    <row r="342" customFormat="false" ht="15" hidden="false" customHeight="false" outlineLevel="0" collapsed="false">
      <c r="B342" s="19" t="s">
        <v>28848</v>
      </c>
      <c r="C342" s="20" t="n">
        <f aca="false">ROUND(4.02/FX,2)</f>
        <v>0.56</v>
      </c>
      <c r="D342" s="21" t="s">
        <v>28849</v>
      </c>
    </row>
    <row r="343" customFormat="false" ht="15" hidden="false" customHeight="false" outlineLevel="0" collapsed="false">
      <c r="B343" s="19" t="s">
        <v>28850</v>
      </c>
      <c r="C343" s="20" t="n">
        <f aca="false">ROUND(3.48/FX,2)</f>
        <v>0.48</v>
      </c>
      <c r="D343" s="21" t="s">
        <v>28851</v>
      </c>
    </row>
    <row r="344" customFormat="false" ht="15" hidden="false" customHeight="false" outlineLevel="0" collapsed="false">
      <c r="B344" s="19" t="s">
        <v>28852</v>
      </c>
      <c r="C344" s="20" t="n">
        <f aca="false">ROUND(3.21/FX,2)</f>
        <v>0.45</v>
      </c>
      <c r="D344" s="21" t="s">
        <v>28853</v>
      </c>
    </row>
    <row r="347" customFormat="false" ht="61.5" hidden="false" customHeight="true" outlineLevel="0" collapsed="false">
      <c r="A347" s="9"/>
      <c r="B347" s="10" t="s">
        <v>28854</v>
      </c>
      <c r="C347" s="10"/>
      <c r="D347" s="10"/>
    </row>
    <row r="348" customFormat="false" ht="15" hidden="false" customHeight="false" outlineLevel="0" collapsed="false">
      <c r="B348" s="18" t="s">
        <v>701</v>
      </c>
      <c r="C348" s="18" t="s">
        <v>702</v>
      </c>
      <c r="D348" s="18" t="s">
        <v>5610</v>
      </c>
    </row>
    <row r="349" customFormat="false" ht="15" hidden="false" customHeight="false" outlineLevel="0" collapsed="false">
      <c r="B349" s="19" t="s">
        <v>28855</v>
      </c>
      <c r="C349" s="20" t="n">
        <f aca="false">ROUND(4.55/FX,2)</f>
        <v>0.63</v>
      </c>
      <c r="D349" s="22" t="s">
        <v>5612</v>
      </c>
    </row>
    <row r="352" customFormat="false" ht="61.5" hidden="false" customHeight="true" outlineLevel="0" collapsed="false">
      <c r="A352" s="9"/>
      <c r="B352" s="10" t="s">
        <v>28856</v>
      </c>
      <c r="C352" s="10"/>
      <c r="D352" s="10"/>
      <c r="E352" s="10"/>
    </row>
    <row r="353" customFormat="false" ht="15" hidden="false" customHeight="false" outlineLevel="0" collapsed="false">
      <c r="A353" s="12" t="s">
        <v>700</v>
      </c>
      <c r="B353" s="13" t="s">
        <v>701</v>
      </c>
      <c r="C353" s="13" t="s">
        <v>702</v>
      </c>
      <c r="D353" s="13" t="s">
        <v>6328</v>
      </c>
      <c r="E353" s="13" t="s">
        <v>13701</v>
      </c>
    </row>
    <row r="354" customFormat="false" ht="30" hidden="false" customHeight="true" outlineLevel="0" collapsed="false">
      <c r="A354" s="14" t="s">
        <v>706</v>
      </c>
      <c r="B354" s="15" t="str">
        <f aca="false">IF(COUNTIFS($D$357:$D$360,IF(D354="","*",D354),$E$357:$E$360,IF(E354="","*",E354))=1,INDEX($B:$B,SUMPRODUCT(((D354="")+($D$357:$D$360=D354)&gt;0)*((E354="")+($E$357:$E$360=E354)&gt;0)*ROW($B$357:$B$360))),IF(COUNTIFS($D$357:$D$360,IF(D354="","*",D354),$E$357:$E$360,IF(E354="","*",E354))=0,"Not available",COUNTIFS($D$357:$D$360,IF(D354="","*",D354),$E$357:$E$360,IF(E354="","*",E354))&amp;" match, keep choosing"))</f>
        <v>P3-019-NI-M5</v>
      </c>
      <c r="C354" s="16" t="n">
        <f aca="false">IF(COUNTIFS($D$357:$D$360,IF(D354="","*",D354),$E$357:$E$360,IF(E354="","*",E354))=1,INDEX($C:$C,SUMPRODUCT(((D354="")+($D$357:$D$360=D354)&gt;0)*((E354="")+($E$357:$E$360=E354)&gt;0)*ROW($B$357:$B$360))),"")</f>
        <v>0.05</v>
      </c>
      <c r="D354" s="17" t="s">
        <v>19357</v>
      </c>
      <c r="E354" s="17" t="s">
        <v>11411</v>
      </c>
    </row>
    <row r="356" customFormat="false" ht="15" hidden="false" customHeight="false" outlineLevel="0" collapsed="false">
      <c r="B356" s="18" t="s">
        <v>701</v>
      </c>
      <c r="C356" s="18" t="s">
        <v>702</v>
      </c>
      <c r="D356" s="18" t="s">
        <v>6328</v>
      </c>
      <c r="E356" s="18" t="s">
        <v>13701</v>
      </c>
    </row>
    <row r="357" customFormat="false" ht="15" hidden="false" customHeight="false" outlineLevel="0" collapsed="false">
      <c r="B357" s="19" t="s">
        <v>28857</v>
      </c>
      <c r="C357" s="20" t="n">
        <f aca="false">ROUND(0.33/FX,2)</f>
        <v>0.05</v>
      </c>
      <c r="D357" s="21" t="s">
        <v>19357</v>
      </c>
      <c r="E357" s="21" t="s">
        <v>11411</v>
      </c>
    </row>
    <row r="358" customFormat="false" ht="15" hidden="false" customHeight="false" outlineLevel="0" collapsed="false">
      <c r="B358" s="19" t="s">
        <v>28858</v>
      </c>
      <c r="C358" s="20" t="n">
        <f aca="false">ROUND(0.13/FX,2)</f>
        <v>0.02</v>
      </c>
      <c r="D358" s="21" t="s">
        <v>19429</v>
      </c>
      <c r="E358" s="21" t="s">
        <v>11407</v>
      </c>
    </row>
    <row r="359" customFormat="false" ht="15" hidden="false" customHeight="false" outlineLevel="0" collapsed="false">
      <c r="B359" s="19" t="s">
        <v>28859</v>
      </c>
      <c r="C359" s="20" t="n">
        <f aca="false">ROUND(0.13/FX,2)</f>
        <v>0.02</v>
      </c>
      <c r="D359" s="21" t="s">
        <v>19429</v>
      </c>
      <c r="E359" s="21" t="s">
        <v>11409</v>
      </c>
    </row>
    <row r="360" customFormat="false" ht="15" hidden="false" customHeight="false" outlineLevel="0" collapsed="false">
      <c r="B360" s="19" t="s">
        <v>28860</v>
      </c>
      <c r="C360" s="20" t="n">
        <f aca="false">ROUND(0.13/FX,2)</f>
        <v>0.02</v>
      </c>
      <c r="D360" s="21" t="s">
        <v>19429</v>
      </c>
      <c r="E360" s="21" t="s">
        <v>11411</v>
      </c>
    </row>
    <row r="363" customFormat="false" ht="61.5" hidden="false" customHeight="true" outlineLevel="0" collapsed="false">
      <c r="A363" s="9"/>
      <c r="B363" s="10" t="s">
        <v>28861</v>
      </c>
      <c r="C363" s="10"/>
      <c r="D363" s="10"/>
    </row>
    <row r="364" customFormat="false" ht="15" hidden="false" customHeight="false" outlineLevel="0" collapsed="false">
      <c r="B364" s="18" t="s">
        <v>701</v>
      </c>
      <c r="C364" s="18" t="s">
        <v>702</v>
      </c>
      <c r="D364" s="18" t="s">
        <v>5610</v>
      </c>
    </row>
    <row r="365" customFormat="false" ht="15" hidden="false" customHeight="false" outlineLevel="0" collapsed="false">
      <c r="B365" s="19" t="s">
        <v>28862</v>
      </c>
      <c r="C365" s="20" t="n">
        <f aca="false">ROUND(5.2/FX,2)</f>
        <v>0.72</v>
      </c>
      <c r="D365" s="22" t="s">
        <v>5612</v>
      </c>
    </row>
    <row r="368" customFormat="false" ht="61.5" hidden="false" customHeight="true" outlineLevel="0" collapsed="false">
      <c r="A368" s="9"/>
      <c r="B368" s="10" t="s">
        <v>28863</v>
      </c>
      <c r="C368" s="10"/>
      <c r="D368" s="10"/>
    </row>
    <row r="369" customFormat="false" ht="15" hidden="false" customHeight="false" outlineLevel="0" collapsed="false">
      <c r="A369" s="12" t="s">
        <v>700</v>
      </c>
      <c r="B369" s="13" t="s">
        <v>701</v>
      </c>
      <c r="C369" s="13" t="s">
        <v>702</v>
      </c>
      <c r="D369" s="13" t="s">
        <v>722</v>
      </c>
    </row>
    <row r="370" customFormat="false" ht="30" hidden="false" customHeight="true" outlineLevel="0" collapsed="false">
      <c r="A370" s="14" t="s">
        <v>706</v>
      </c>
      <c r="B370" s="15" t="str">
        <f aca="false">IF(COUNTIFS($D$373:$D$374,IF(D370="","*",D370))=1,INDEX($B:$B,SUMPRODUCT(((D370="")+($D$373:$D$374=D370)&gt;0)*ROW($B$373:$B$374))),IF(COUNTIFS($D$373:$D$374,IF(D370="","*",D370))=0,"Not available",COUNTIFS($D$373:$D$374,IF(D370="","*",D370))&amp;" match, keep choosing"))</f>
        <v>P3-016-BK</v>
      </c>
      <c r="C370" s="16" t="n">
        <f aca="false">IF(COUNTIFS($D$373:$D$374,IF(D370="","*",D370))=1,INDEX($C:$C,SUMPRODUCT(((D370="")+($D$373:$D$374=D370)&gt;0)*ROW($B$373:$B$374))),"")</f>
        <v>0.14</v>
      </c>
      <c r="D370" s="17" t="s">
        <v>724</v>
      </c>
    </row>
    <row r="372" customFormat="false" ht="15" hidden="false" customHeight="false" outlineLevel="0" collapsed="false">
      <c r="B372" s="18" t="s">
        <v>701</v>
      </c>
      <c r="C372" s="18" t="s">
        <v>702</v>
      </c>
      <c r="D372" s="18" t="s">
        <v>722</v>
      </c>
    </row>
    <row r="373" customFormat="false" ht="15" hidden="false" customHeight="false" outlineLevel="0" collapsed="false">
      <c r="B373" s="19" t="s">
        <v>28864</v>
      </c>
      <c r="C373" s="20" t="n">
        <f aca="false">ROUND(1.04/FX,2)</f>
        <v>0.14</v>
      </c>
      <c r="D373" s="21" t="s">
        <v>724</v>
      </c>
    </row>
    <row r="374" customFormat="false" ht="15" hidden="false" customHeight="false" outlineLevel="0" collapsed="false">
      <c r="B374" s="19" t="s">
        <v>28865</v>
      </c>
      <c r="C374" s="20" t="n">
        <f aca="false">ROUND(1.3/FX,2)</f>
        <v>0.18</v>
      </c>
      <c r="D374" s="21" t="s">
        <v>6549</v>
      </c>
    </row>
    <row r="377" customFormat="false" ht="61.5" hidden="false" customHeight="true" outlineLevel="0" collapsed="false">
      <c r="A377" s="9"/>
      <c r="B377" s="10" t="s">
        <v>28866</v>
      </c>
      <c r="C377" s="10"/>
      <c r="D377" s="10"/>
      <c r="E377" s="10"/>
      <c r="F377" s="10"/>
    </row>
    <row r="378" customFormat="false" ht="15" hidden="false" customHeight="false" outlineLevel="0" collapsed="false">
      <c r="A378" s="12" t="s">
        <v>700</v>
      </c>
      <c r="B378" s="13" t="s">
        <v>701</v>
      </c>
      <c r="C378" s="13" t="s">
        <v>702</v>
      </c>
      <c r="D378" s="13" t="s">
        <v>722</v>
      </c>
      <c r="E378" s="13" t="s">
        <v>705</v>
      </c>
      <c r="F378" s="13" t="s">
        <v>723</v>
      </c>
    </row>
    <row r="379" customFormat="false" ht="30" hidden="false" customHeight="true" outlineLevel="0" collapsed="false">
      <c r="A379" s="14" t="s">
        <v>706</v>
      </c>
      <c r="B379" s="15" t="str">
        <f aca="false">IF(COUNTIFS($D$382:$D$448,IF(D379="","*",D379),$E$382:$E$448,IF(E379="","*",E379),$F$382:$F$448,IF(F379="","*",F379))=1,INDEX($B:$B,SUMPRODUCT(((D379="")+($D$382:$D$448=D379)&gt;0)*((E379="")+($E$382:$E$448=E379)&gt;0)*((F379="")+($F$382:$F$448=F379)&gt;0)*ROW($B$382:$B$448))),IF(COUNTIFS($D$382:$D$448,IF(D379="","*",D379),$E$382:$E$448,IF(E379="","*",E379),$F$382:$F$448,IF(F379="","*",F379))=0,"Not available",COUNTIFS($D$382:$D$448,IF(D379="","*",D379),$E$382:$E$448,IF(E379="","*",E379),$F$382:$F$448,IF(F379="","*",F379))&amp;" match, keep choosing"))</f>
        <v>P3-015-BK-SF-ET-1515-NS</v>
      </c>
      <c r="C379" s="16" t="n">
        <f aca="false">IF(COUNTIFS($D$382:$D$448,IF(D379="","*",D379),$E$382:$E$448,IF(E379="","*",E379),$F$382:$F$448,IF(F379="","*",F379))=1,INDEX($C:$C,SUMPRODUCT(((D379="")+($D$382:$D$448=D379)&gt;0)*((E379="")+($E$382:$E$448=E379)&gt;0)*((F379="")+($F$382:$F$448=F379)&gt;0)*ROW($B$382:$B$448))),"")</f>
        <v>0.72</v>
      </c>
      <c r="D379" s="17" t="s">
        <v>724</v>
      </c>
      <c r="E379" s="17" t="s">
        <v>13732</v>
      </c>
      <c r="F379" s="17" t="s">
        <v>28867</v>
      </c>
    </row>
    <row r="381" customFormat="false" ht="15" hidden="false" customHeight="false" outlineLevel="0" collapsed="false">
      <c r="B381" s="18" t="s">
        <v>701</v>
      </c>
      <c r="C381" s="18" t="s">
        <v>702</v>
      </c>
      <c r="D381" s="18" t="s">
        <v>722</v>
      </c>
      <c r="E381" s="18" t="s">
        <v>705</v>
      </c>
      <c r="F381" s="18" t="s">
        <v>723</v>
      </c>
    </row>
    <row r="382" customFormat="false" ht="28.35" hidden="false" customHeight="false" outlineLevel="0" collapsed="false">
      <c r="B382" s="19" t="s">
        <v>28868</v>
      </c>
      <c r="C382" s="20" t="n">
        <f aca="false">ROUND(5.2/FX,2)</f>
        <v>0.72</v>
      </c>
      <c r="D382" s="21" t="s">
        <v>724</v>
      </c>
      <c r="E382" s="21" t="s">
        <v>13732</v>
      </c>
      <c r="F382" s="21" t="s">
        <v>28867</v>
      </c>
    </row>
    <row r="383" customFormat="false" ht="28.35" hidden="false" customHeight="false" outlineLevel="0" collapsed="false">
      <c r="B383" s="19" t="s">
        <v>28869</v>
      </c>
      <c r="C383" s="20" t="n">
        <f aca="false">ROUND(5.31/FX,2)</f>
        <v>0.74</v>
      </c>
      <c r="D383" s="21" t="s">
        <v>724</v>
      </c>
      <c r="E383" s="21" t="s">
        <v>13732</v>
      </c>
      <c r="F383" s="21" t="s">
        <v>28870</v>
      </c>
    </row>
    <row r="384" customFormat="false" ht="28.35" hidden="false" customHeight="false" outlineLevel="0" collapsed="false">
      <c r="B384" s="19" t="s">
        <v>28871</v>
      </c>
      <c r="C384" s="20" t="n">
        <f aca="false">ROUND(6.5/FX,2)</f>
        <v>0.9</v>
      </c>
      <c r="D384" s="21" t="s">
        <v>724</v>
      </c>
      <c r="E384" s="21" t="s">
        <v>13732</v>
      </c>
      <c r="F384" s="21" t="s">
        <v>28872</v>
      </c>
    </row>
    <row r="385" customFormat="false" ht="28.35" hidden="false" customHeight="false" outlineLevel="0" collapsed="false">
      <c r="B385" s="19" t="s">
        <v>28873</v>
      </c>
      <c r="C385" s="20" t="n">
        <f aca="false">ROUND(6.69/FX,2)</f>
        <v>0.93</v>
      </c>
      <c r="D385" s="21" t="s">
        <v>724</v>
      </c>
      <c r="E385" s="21" t="s">
        <v>13732</v>
      </c>
      <c r="F385" s="21" t="s">
        <v>28874</v>
      </c>
    </row>
    <row r="386" customFormat="false" ht="28.35" hidden="false" customHeight="false" outlineLevel="0" collapsed="false">
      <c r="B386" s="19" t="s">
        <v>28875</v>
      </c>
      <c r="C386" s="20" t="n">
        <f aca="false">ROUND(7.8/FX,2)</f>
        <v>1.08</v>
      </c>
      <c r="D386" s="21" t="s">
        <v>724</v>
      </c>
      <c r="E386" s="21" t="s">
        <v>13732</v>
      </c>
      <c r="F386" s="21" t="s">
        <v>28876</v>
      </c>
    </row>
    <row r="387" customFormat="false" ht="28.35" hidden="false" customHeight="false" outlineLevel="0" collapsed="false">
      <c r="B387" s="19" t="s">
        <v>28877</v>
      </c>
      <c r="C387" s="20" t="n">
        <f aca="false">ROUND(8.51/FX,2)</f>
        <v>1.18</v>
      </c>
      <c r="D387" s="21" t="s">
        <v>724</v>
      </c>
      <c r="E387" s="21" t="s">
        <v>13732</v>
      </c>
      <c r="F387" s="21" t="s">
        <v>28878</v>
      </c>
    </row>
    <row r="388" customFormat="false" ht="28.35" hidden="false" customHeight="false" outlineLevel="0" collapsed="false">
      <c r="B388" s="19" t="s">
        <v>28879</v>
      </c>
      <c r="C388" s="20" t="n">
        <f aca="false">ROUND(1.82/FX,2)</f>
        <v>0.25</v>
      </c>
      <c r="D388" s="21" t="s">
        <v>724</v>
      </c>
      <c r="E388" s="21" t="s">
        <v>13732</v>
      </c>
      <c r="F388" s="21" t="s">
        <v>28880</v>
      </c>
    </row>
    <row r="389" customFormat="false" ht="28.35" hidden="false" customHeight="false" outlineLevel="0" collapsed="false">
      <c r="B389" s="19" t="s">
        <v>28881</v>
      </c>
      <c r="C389" s="20" t="n">
        <f aca="false">ROUND(1.98/FX,2)</f>
        <v>0.28</v>
      </c>
      <c r="D389" s="21" t="s">
        <v>724</v>
      </c>
      <c r="E389" s="21" t="s">
        <v>13732</v>
      </c>
      <c r="F389" s="21" t="s">
        <v>28882</v>
      </c>
    </row>
    <row r="390" customFormat="false" ht="28.35" hidden="false" customHeight="false" outlineLevel="0" collapsed="false">
      <c r="B390" s="19" t="s">
        <v>28883</v>
      </c>
      <c r="C390" s="20" t="n">
        <f aca="false">ROUND(2.34/FX,2)</f>
        <v>0.33</v>
      </c>
      <c r="D390" s="21" t="s">
        <v>724</v>
      </c>
      <c r="E390" s="21" t="s">
        <v>13732</v>
      </c>
      <c r="F390" s="21" t="s">
        <v>28884</v>
      </c>
    </row>
    <row r="391" customFormat="false" ht="28.35" hidden="false" customHeight="false" outlineLevel="0" collapsed="false">
      <c r="B391" s="19" t="s">
        <v>28885</v>
      </c>
      <c r="C391" s="20" t="n">
        <f aca="false">ROUND(2.62/FX,2)</f>
        <v>0.36</v>
      </c>
      <c r="D391" s="21" t="s">
        <v>724</v>
      </c>
      <c r="E391" s="21" t="s">
        <v>13732</v>
      </c>
      <c r="F391" s="21" t="s">
        <v>28886</v>
      </c>
    </row>
    <row r="392" customFormat="false" ht="28.35" hidden="false" customHeight="false" outlineLevel="0" collapsed="false">
      <c r="B392" s="19" t="s">
        <v>28887</v>
      </c>
      <c r="C392" s="20" t="n">
        <f aca="false">ROUND(5.59/FX,2)</f>
        <v>0.78</v>
      </c>
      <c r="D392" s="21" t="s">
        <v>724</v>
      </c>
      <c r="E392" s="21" t="s">
        <v>13732</v>
      </c>
      <c r="F392" s="21" t="s">
        <v>28888</v>
      </c>
    </row>
    <row r="393" customFormat="false" ht="28.35" hidden="false" customHeight="false" outlineLevel="0" collapsed="false">
      <c r="B393" s="19" t="s">
        <v>28889</v>
      </c>
      <c r="C393" s="20" t="n">
        <f aca="false">ROUND(6.65/FX,2)</f>
        <v>0.92</v>
      </c>
      <c r="D393" s="21" t="s">
        <v>724</v>
      </c>
      <c r="E393" s="21" t="s">
        <v>13732</v>
      </c>
      <c r="F393" s="21" t="s">
        <v>28890</v>
      </c>
    </row>
    <row r="394" customFormat="false" ht="28.35" hidden="false" customHeight="false" outlineLevel="0" collapsed="false">
      <c r="B394" s="19" t="s">
        <v>28891</v>
      </c>
      <c r="C394" s="20" t="n">
        <f aca="false">ROUND(4.16/FX,2)</f>
        <v>0.58</v>
      </c>
      <c r="D394" s="21" t="s">
        <v>724</v>
      </c>
      <c r="E394" s="21" t="s">
        <v>13732</v>
      </c>
      <c r="F394" s="21" t="s">
        <v>28892</v>
      </c>
    </row>
    <row r="395" customFormat="false" ht="28.35" hidden="false" customHeight="false" outlineLevel="0" collapsed="false">
      <c r="B395" s="19" t="s">
        <v>28893</v>
      </c>
      <c r="C395" s="20" t="n">
        <f aca="false">ROUND(4.27/FX,2)</f>
        <v>0.59</v>
      </c>
      <c r="D395" s="21" t="s">
        <v>724</v>
      </c>
      <c r="E395" s="21" t="s">
        <v>13732</v>
      </c>
      <c r="F395" s="21" t="s">
        <v>28894</v>
      </c>
    </row>
    <row r="396" customFormat="false" ht="28.35" hidden="false" customHeight="false" outlineLevel="0" collapsed="false">
      <c r="B396" s="19" t="s">
        <v>28895</v>
      </c>
      <c r="C396" s="20" t="n">
        <f aca="false">ROUND(1.95/FX,2)</f>
        <v>0.27</v>
      </c>
      <c r="D396" s="21" t="s">
        <v>724</v>
      </c>
      <c r="E396" s="21" t="s">
        <v>13732</v>
      </c>
      <c r="F396" s="21" t="s">
        <v>28896</v>
      </c>
    </row>
    <row r="397" customFormat="false" ht="15" hidden="false" customHeight="false" outlineLevel="0" collapsed="false">
      <c r="B397" s="19" t="s">
        <v>28897</v>
      </c>
      <c r="C397" s="20" t="n">
        <f aca="false">ROUND(9.85/FX,2)</f>
        <v>1.37</v>
      </c>
      <c r="D397" s="21" t="s">
        <v>724</v>
      </c>
      <c r="E397" s="21" t="s">
        <v>13743</v>
      </c>
      <c r="F397" s="21" t="s">
        <v>28898</v>
      </c>
    </row>
    <row r="398" customFormat="false" ht="28.35" hidden="false" customHeight="false" outlineLevel="0" collapsed="false">
      <c r="B398" s="19" t="s">
        <v>28899</v>
      </c>
      <c r="C398" s="20" t="n">
        <f aca="false">ROUND(2.14/FX,2)</f>
        <v>0.3</v>
      </c>
      <c r="D398" s="21" t="s">
        <v>724</v>
      </c>
      <c r="E398" s="21" t="s">
        <v>13732</v>
      </c>
      <c r="F398" s="21" t="s">
        <v>28900</v>
      </c>
    </row>
    <row r="399" customFormat="false" ht="28.35" hidden="false" customHeight="false" outlineLevel="0" collapsed="false">
      <c r="B399" s="19" t="s">
        <v>28901</v>
      </c>
      <c r="C399" s="20" t="n">
        <f aca="false">ROUND(5.85/FX,2)</f>
        <v>0.81</v>
      </c>
      <c r="D399" s="21" t="s">
        <v>724</v>
      </c>
      <c r="E399" s="21" t="s">
        <v>13732</v>
      </c>
      <c r="F399" s="21" t="s">
        <v>28902</v>
      </c>
    </row>
    <row r="400" customFormat="false" ht="28.35" hidden="false" customHeight="false" outlineLevel="0" collapsed="false">
      <c r="B400" s="19" t="s">
        <v>28903</v>
      </c>
      <c r="C400" s="20" t="n">
        <f aca="false">ROUND(6.56/FX,2)</f>
        <v>0.91</v>
      </c>
      <c r="D400" s="21" t="s">
        <v>724</v>
      </c>
      <c r="E400" s="21" t="s">
        <v>13732</v>
      </c>
      <c r="F400" s="21" t="s">
        <v>28904</v>
      </c>
    </row>
    <row r="401" customFormat="false" ht="41.75" hidden="false" customHeight="false" outlineLevel="0" collapsed="false">
      <c r="B401" s="19" t="s">
        <v>28905</v>
      </c>
      <c r="C401" s="20" t="n">
        <f aca="false">ROUND(1.89/FX,2)</f>
        <v>0.26</v>
      </c>
      <c r="D401" s="21" t="s">
        <v>7884</v>
      </c>
      <c r="E401" s="21" t="s">
        <v>13732</v>
      </c>
      <c r="F401" s="21" t="s">
        <v>28906</v>
      </c>
    </row>
    <row r="402" customFormat="false" ht="41.75" hidden="false" customHeight="false" outlineLevel="0" collapsed="false">
      <c r="B402" s="19" t="s">
        <v>28907</v>
      </c>
      <c r="C402" s="20" t="n">
        <f aca="false">ROUND(2.05/FX,2)</f>
        <v>0.28</v>
      </c>
      <c r="D402" s="21" t="s">
        <v>7884</v>
      </c>
      <c r="E402" s="21" t="s">
        <v>13732</v>
      </c>
      <c r="F402" s="21" t="s">
        <v>28908</v>
      </c>
    </row>
    <row r="403" customFormat="false" ht="41.75" hidden="false" customHeight="false" outlineLevel="0" collapsed="false">
      <c r="B403" s="19" t="s">
        <v>28909</v>
      </c>
      <c r="C403" s="20" t="n">
        <f aca="false">ROUND(2.91/FX,2)</f>
        <v>0.4</v>
      </c>
      <c r="D403" s="21" t="s">
        <v>7884</v>
      </c>
      <c r="E403" s="21" t="s">
        <v>13732</v>
      </c>
      <c r="F403" s="21" t="s">
        <v>28910</v>
      </c>
    </row>
    <row r="404" customFormat="false" ht="28.35" hidden="false" customHeight="false" outlineLevel="0" collapsed="false">
      <c r="B404" s="19" t="s">
        <v>28911</v>
      </c>
      <c r="C404" s="20" t="n">
        <f aca="false">ROUND(1.89/FX,2)</f>
        <v>0.26</v>
      </c>
      <c r="D404" s="21" t="s">
        <v>7884</v>
      </c>
      <c r="E404" s="21" t="s">
        <v>13732</v>
      </c>
      <c r="F404" s="21" t="s">
        <v>28912</v>
      </c>
    </row>
    <row r="405" customFormat="false" ht="41.75" hidden="false" customHeight="false" outlineLevel="0" collapsed="false">
      <c r="B405" s="19" t="s">
        <v>28913</v>
      </c>
      <c r="C405" s="20" t="n">
        <f aca="false">ROUND(2.05/FX,2)</f>
        <v>0.28</v>
      </c>
      <c r="D405" s="21" t="s">
        <v>7884</v>
      </c>
      <c r="E405" s="21" t="s">
        <v>13732</v>
      </c>
      <c r="F405" s="21" t="s">
        <v>28914</v>
      </c>
    </row>
    <row r="406" customFormat="false" ht="28.35" hidden="false" customHeight="false" outlineLevel="0" collapsed="false">
      <c r="B406" s="19" t="s">
        <v>28915</v>
      </c>
      <c r="C406" s="20" t="n">
        <f aca="false">ROUND(2.34/FX,2)</f>
        <v>0.33</v>
      </c>
      <c r="D406" s="21" t="s">
        <v>7884</v>
      </c>
      <c r="E406" s="21" t="s">
        <v>13732</v>
      </c>
      <c r="F406" s="21" t="s">
        <v>28916</v>
      </c>
    </row>
    <row r="407" customFormat="false" ht="41.75" hidden="false" customHeight="false" outlineLevel="0" collapsed="false">
      <c r="B407" s="19" t="s">
        <v>28917</v>
      </c>
      <c r="C407" s="20" t="n">
        <f aca="false">ROUND(2.62/FX,2)</f>
        <v>0.36</v>
      </c>
      <c r="D407" s="21" t="s">
        <v>7884</v>
      </c>
      <c r="E407" s="21" t="s">
        <v>13732</v>
      </c>
      <c r="F407" s="21" t="s">
        <v>28918</v>
      </c>
    </row>
    <row r="408" customFormat="false" ht="28.35" hidden="false" customHeight="false" outlineLevel="0" collapsed="false">
      <c r="B408" s="19" t="s">
        <v>28919</v>
      </c>
      <c r="C408" s="20" t="n">
        <f aca="false">ROUND(1.95/FX,2)</f>
        <v>0.27</v>
      </c>
      <c r="D408" s="21" t="s">
        <v>7884</v>
      </c>
      <c r="E408" s="21" t="s">
        <v>13732</v>
      </c>
      <c r="F408" s="21" t="s">
        <v>28920</v>
      </c>
    </row>
    <row r="409" customFormat="false" ht="28.35" hidden="false" customHeight="false" outlineLevel="0" collapsed="false">
      <c r="B409" s="19" t="s">
        <v>28921</v>
      </c>
      <c r="C409" s="20" t="n">
        <f aca="false">ROUND(2.14/FX,2)</f>
        <v>0.3</v>
      </c>
      <c r="D409" s="21" t="s">
        <v>7884</v>
      </c>
      <c r="E409" s="21" t="s">
        <v>13732</v>
      </c>
      <c r="F409" s="21" t="s">
        <v>28922</v>
      </c>
    </row>
    <row r="410" customFormat="false" ht="28.35" hidden="false" customHeight="false" outlineLevel="0" collapsed="false">
      <c r="B410" s="19" t="s">
        <v>28923</v>
      </c>
      <c r="C410" s="20" t="n">
        <f aca="false">ROUND(1.95/FX,2)</f>
        <v>0.27</v>
      </c>
      <c r="D410" s="21" t="s">
        <v>18154</v>
      </c>
      <c r="E410" s="21" t="s">
        <v>13732</v>
      </c>
      <c r="F410" s="21" t="s">
        <v>28896</v>
      </c>
    </row>
    <row r="411" customFormat="false" ht="28.35" hidden="false" customHeight="false" outlineLevel="0" collapsed="false">
      <c r="B411" s="19" t="s">
        <v>28924</v>
      </c>
      <c r="C411" s="20" t="n">
        <f aca="false">ROUND(2.14/FX,2)</f>
        <v>0.3</v>
      </c>
      <c r="D411" s="21" t="s">
        <v>18154</v>
      </c>
      <c r="E411" s="21" t="s">
        <v>13732</v>
      </c>
      <c r="F411" s="21" t="s">
        <v>28900</v>
      </c>
    </row>
    <row r="412" customFormat="false" ht="28.35" hidden="false" customHeight="false" outlineLevel="0" collapsed="false">
      <c r="B412" s="19" t="s">
        <v>28925</v>
      </c>
      <c r="C412" s="20" t="n">
        <f aca="false">ROUND(1.89/FX,2)</f>
        <v>0.26</v>
      </c>
      <c r="D412" s="21" t="s">
        <v>6362</v>
      </c>
      <c r="E412" s="21" t="s">
        <v>13732</v>
      </c>
      <c r="F412" s="21" t="s">
        <v>28880</v>
      </c>
    </row>
    <row r="413" customFormat="false" ht="28.35" hidden="false" customHeight="false" outlineLevel="0" collapsed="false">
      <c r="B413" s="19" t="s">
        <v>28926</v>
      </c>
      <c r="C413" s="20" t="n">
        <f aca="false">ROUND(2.05/FX,2)</f>
        <v>0.28</v>
      </c>
      <c r="D413" s="21" t="s">
        <v>6362</v>
      </c>
      <c r="E413" s="21" t="s">
        <v>13732</v>
      </c>
      <c r="F413" s="21" t="s">
        <v>28882</v>
      </c>
    </row>
    <row r="414" customFormat="false" ht="28.35" hidden="false" customHeight="false" outlineLevel="0" collapsed="false">
      <c r="B414" s="19" t="s">
        <v>28927</v>
      </c>
      <c r="C414" s="20" t="n">
        <f aca="false">ROUND(2.34/FX,2)</f>
        <v>0.33</v>
      </c>
      <c r="D414" s="21" t="s">
        <v>6362</v>
      </c>
      <c r="E414" s="21" t="s">
        <v>13732</v>
      </c>
      <c r="F414" s="21" t="s">
        <v>28884</v>
      </c>
    </row>
    <row r="415" customFormat="false" ht="28.35" hidden="false" customHeight="false" outlineLevel="0" collapsed="false">
      <c r="B415" s="19" t="s">
        <v>28928</v>
      </c>
      <c r="C415" s="20" t="n">
        <f aca="false">ROUND(2.62/FX,2)</f>
        <v>0.36</v>
      </c>
      <c r="D415" s="21" t="s">
        <v>6362</v>
      </c>
      <c r="E415" s="21" t="s">
        <v>13732</v>
      </c>
      <c r="F415" s="21" t="s">
        <v>28886</v>
      </c>
    </row>
    <row r="416" customFormat="false" ht="28.35" hidden="false" customHeight="false" outlineLevel="0" collapsed="false">
      <c r="B416" s="19" t="s">
        <v>28929</v>
      </c>
      <c r="C416" s="20" t="n">
        <f aca="false">ROUND(1.95/FX,2)</f>
        <v>0.27</v>
      </c>
      <c r="D416" s="21" t="s">
        <v>6362</v>
      </c>
      <c r="E416" s="21" t="s">
        <v>13732</v>
      </c>
      <c r="F416" s="21" t="s">
        <v>28896</v>
      </c>
    </row>
    <row r="417" customFormat="false" ht="28.35" hidden="false" customHeight="false" outlineLevel="0" collapsed="false">
      <c r="B417" s="19" t="s">
        <v>28930</v>
      </c>
      <c r="C417" s="20" t="n">
        <f aca="false">ROUND(2.14/FX,2)</f>
        <v>0.3</v>
      </c>
      <c r="D417" s="21" t="s">
        <v>6362</v>
      </c>
      <c r="E417" s="21" t="s">
        <v>13732</v>
      </c>
      <c r="F417" s="21" t="s">
        <v>28900</v>
      </c>
    </row>
    <row r="418" customFormat="false" ht="28.35" hidden="false" customHeight="false" outlineLevel="0" collapsed="false">
      <c r="B418" s="19" t="s">
        <v>28931</v>
      </c>
      <c r="C418" s="20" t="n">
        <f aca="false">ROUND(1.89/FX,2)</f>
        <v>0.26</v>
      </c>
      <c r="D418" s="21" t="s">
        <v>6336</v>
      </c>
      <c r="E418" s="21" t="s">
        <v>13732</v>
      </c>
      <c r="F418" s="21" t="s">
        <v>28932</v>
      </c>
    </row>
    <row r="419" customFormat="false" ht="41.75" hidden="false" customHeight="false" outlineLevel="0" collapsed="false">
      <c r="B419" s="19" t="s">
        <v>28933</v>
      </c>
      <c r="C419" s="20" t="n">
        <f aca="false">ROUND(2.05/FX,2)</f>
        <v>0.28</v>
      </c>
      <c r="D419" s="21" t="s">
        <v>6336</v>
      </c>
      <c r="E419" s="21" t="s">
        <v>13732</v>
      </c>
      <c r="F419" s="21" t="s">
        <v>28934</v>
      </c>
    </row>
    <row r="420" customFormat="false" ht="28.35" hidden="false" customHeight="false" outlineLevel="0" collapsed="false">
      <c r="B420" s="19" t="s">
        <v>28935</v>
      </c>
      <c r="C420" s="20" t="n">
        <f aca="false">ROUND(2.91/FX,2)</f>
        <v>0.4</v>
      </c>
      <c r="D420" s="21" t="s">
        <v>6336</v>
      </c>
      <c r="E420" s="21" t="s">
        <v>13732</v>
      </c>
      <c r="F420" s="21" t="s">
        <v>28936</v>
      </c>
    </row>
    <row r="421" customFormat="false" ht="41.75" hidden="false" customHeight="false" outlineLevel="0" collapsed="false">
      <c r="B421" s="19" t="s">
        <v>28937</v>
      </c>
      <c r="C421" s="20" t="n">
        <f aca="false">ROUND(3.19/FX,2)</f>
        <v>0.44</v>
      </c>
      <c r="D421" s="21" t="s">
        <v>6336</v>
      </c>
      <c r="E421" s="21" t="s">
        <v>13732</v>
      </c>
      <c r="F421" s="21" t="s">
        <v>28938</v>
      </c>
    </row>
    <row r="422" customFormat="false" ht="41.75" hidden="false" customHeight="false" outlineLevel="0" collapsed="false">
      <c r="B422" s="19" t="s">
        <v>28939</v>
      </c>
      <c r="C422" s="20" t="n">
        <f aca="false">ROUND(1.89/FX,2)</f>
        <v>0.26</v>
      </c>
      <c r="D422" s="21" t="s">
        <v>6336</v>
      </c>
      <c r="E422" s="21" t="s">
        <v>13732</v>
      </c>
      <c r="F422" s="21" t="s">
        <v>28940</v>
      </c>
    </row>
    <row r="423" customFormat="false" ht="41.75" hidden="false" customHeight="false" outlineLevel="0" collapsed="false">
      <c r="B423" s="19" t="s">
        <v>28941</v>
      </c>
      <c r="C423" s="20" t="n">
        <f aca="false">ROUND(2.05/FX,2)</f>
        <v>0.28</v>
      </c>
      <c r="D423" s="21" t="s">
        <v>6336</v>
      </c>
      <c r="E423" s="21" t="s">
        <v>13732</v>
      </c>
      <c r="F423" s="21" t="s">
        <v>28942</v>
      </c>
    </row>
    <row r="424" customFormat="false" ht="41.75" hidden="false" customHeight="false" outlineLevel="0" collapsed="false">
      <c r="B424" s="19" t="s">
        <v>28943</v>
      </c>
      <c r="C424" s="20" t="n">
        <f aca="false">ROUND(2.91/FX,2)</f>
        <v>0.4</v>
      </c>
      <c r="D424" s="21" t="s">
        <v>6336</v>
      </c>
      <c r="E424" s="21" t="s">
        <v>13732</v>
      </c>
      <c r="F424" s="21" t="s">
        <v>28944</v>
      </c>
    </row>
    <row r="425" customFormat="false" ht="41.75" hidden="false" customHeight="false" outlineLevel="0" collapsed="false">
      <c r="B425" s="19" t="s">
        <v>28945</v>
      </c>
      <c r="C425" s="20" t="n">
        <f aca="false">ROUND(1.89/FX,2)</f>
        <v>0.26</v>
      </c>
      <c r="D425" s="21" t="s">
        <v>6336</v>
      </c>
      <c r="E425" s="21" t="s">
        <v>13732</v>
      </c>
      <c r="F425" s="21" t="s">
        <v>28946</v>
      </c>
    </row>
    <row r="426" customFormat="false" ht="41.75" hidden="false" customHeight="false" outlineLevel="0" collapsed="false">
      <c r="B426" s="19" t="s">
        <v>28947</v>
      </c>
      <c r="C426" s="20" t="n">
        <f aca="false">ROUND(2.05/FX,2)</f>
        <v>0.28</v>
      </c>
      <c r="D426" s="21" t="s">
        <v>6336</v>
      </c>
      <c r="E426" s="21" t="s">
        <v>13732</v>
      </c>
      <c r="F426" s="21" t="s">
        <v>28948</v>
      </c>
    </row>
    <row r="427" customFormat="false" ht="41.75" hidden="false" customHeight="false" outlineLevel="0" collapsed="false">
      <c r="B427" s="19" t="s">
        <v>28949</v>
      </c>
      <c r="C427" s="20" t="n">
        <f aca="false">ROUND(2.34/FX,2)</f>
        <v>0.33</v>
      </c>
      <c r="D427" s="21" t="s">
        <v>6336</v>
      </c>
      <c r="E427" s="21" t="s">
        <v>13732</v>
      </c>
      <c r="F427" s="21" t="s">
        <v>28950</v>
      </c>
    </row>
    <row r="428" customFormat="false" ht="41.75" hidden="false" customHeight="false" outlineLevel="0" collapsed="false">
      <c r="B428" s="19" t="s">
        <v>28951</v>
      </c>
      <c r="C428" s="20" t="n">
        <f aca="false">ROUND(2.62/FX,2)</f>
        <v>0.36</v>
      </c>
      <c r="D428" s="21" t="s">
        <v>6336</v>
      </c>
      <c r="E428" s="21" t="s">
        <v>13732</v>
      </c>
      <c r="F428" s="21" t="s">
        <v>28952</v>
      </c>
    </row>
    <row r="429" customFormat="false" ht="28.35" hidden="false" customHeight="false" outlineLevel="0" collapsed="false">
      <c r="B429" s="19" t="s">
        <v>28953</v>
      </c>
      <c r="C429" s="20" t="n">
        <f aca="false">ROUND(1.95/FX,2)</f>
        <v>0.27</v>
      </c>
      <c r="D429" s="21" t="s">
        <v>6336</v>
      </c>
      <c r="E429" s="21" t="s">
        <v>13732</v>
      </c>
      <c r="F429" s="21" t="s">
        <v>28954</v>
      </c>
    </row>
    <row r="430" customFormat="false" ht="41.75" hidden="false" customHeight="false" outlineLevel="0" collapsed="false">
      <c r="B430" s="19" t="s">
        <v>28955</v>
      </c>
      <c r="C430" s="20" t="n">
        <f aca="false">ROUND(2.14/FX,2)</f>
        <v>0.3</v>
      </c>
      <c r="D430" s="21" t="s">
        <v>6336</v>
      </c>
      <c r="E430" s="21" t="s">
        <v>13732</v>
      </c>
      <c r="F430" s="21" t="s">
        <v>28956</v>
      </c>
    </row>
    <row r="431" customFormat="false" ht="28.35" hidden="false" customHeight="false" outlineLevel="0" collapsed="false">
      <c r="B431" s="19" t="s">
        <v>28957</v>
      </c>
      <c r="C431" s="20" t="n">
        <f aca="false">ROUND(5.2/FX,2)</f>
        <v>0.72</v>
      </c>
      <c r="D431" s="21" t="s">
        <v>6549</v>
      </c>
      <c r="E431" s="21" t="s">
        <v>13732</v>
      </c>
      <c r="F431" s="21" t="s">
        <v>28867</v>
      </c>
    </row>
    <row r="432" customFormat="false" ht="28.35" hidden="false" customHeight="false" outlineLevel="0" collapsed="false">
      <c r="B432" s="19" t="s">
        <v>28958</v>
      </c>
      <c r="C432" s="20" t="n">
        <f aca="false">ROUND(5.31/FX,2)</f>
        <v>0.74</v>
      </c>
      <c r="D432" s="21" t="s">
        <v>6549</v>
      </c>
      <c r="E432" s="21" t="s">
        <v>13732</v>
      </c>
      <c r="F432" s="21" t="s">
        <v>28870</v>
      </c>
    </row>
    <row r="433" customFormat="false" ht="28.35" hidden="false" customHeight="false" outlineLevel="0" collapsed="false">
      <c r="B433" s="19" t="s">
        <v>28959</v>
      </c>
      <c r="C433" s="20" t="n">
        <f aca="false">ROUND(6.5/FX,2)</f>
        <v>0.9</v>
      </c>
      <c r="D433" s="21" t="s">
        <v>6549</v>
      </c>
      <c r="E433" s="21" t="s">
        <v>13732</v>
      </c>
      <c r="F433" s="21" t="s">
        <v>28872</v>
      </c>
    </row>
    <row r="434" customFormat="false" ht="28.35" hidden="false" customHeight="false" outlineLevel="0" collapsed="false">
      <c r="B434" s="19" t="s">
        <v>28960</v>
      </c>
      <c r="C434" s="20" t="n">
        <f aca="false">ROUND(6.69/FX,2)</f>
        <v>0.93</v>
      </c>
      <c r="D434" s="21" t="s">
        <v>6549</v>
      </c>
      <c r="E434" s="21" t="s">
        <v>13732</v>
      </c>
      <c r="F434" s="21" t="s">
        <v>28874</v>
      </c>
    </row>
    <row r="435" customFormat="false" ht="28.35" hidden="false" customHeight="false" outlineLevel="0" collapsed="false">
      <c r="B435" s="19" t="s">
        <v>28961</v>
      </c>
      <c r="C435" s="20" t="n">
        <f aca="false">ROUND(7.8/FX,2)</f>
        <v>1.08</v>
      </c>
      <c r="D435" s="21" t="s">
        <v>6549</v>
      </c>
      <c r="E435" s="21" t="s">
        <v>13732</v>
      </c>
      <c r="F435" s="21" t="s">
        <v>28876</v>
      </c>
    </row>
    <row r="436" customFormat="false" ht="28.35" hidden="false" customHeight="false" outlineLevel="0" collapsed="false">
      <c r="B436" s="19" t="s">
        <v>28962</v>
      </c>
      <c r="C436" s="20" t="n">
        <f aca="false">ROUND(8.51/FX,2)</f>
        <v>1.18</v>
      </c>
      <c r="D436" s="21" t="s">
        <v>6549</v>
      </c>
      <c r="E436" s="21" t="s">
        <v>13732</v>
      </c>
      <c r="F436" s="21" t="s">
        <v>28878</v>
      </c>
    </row>
    <row r="437" customFormat="false" ht="28.35" hidden="false" customHeight="false" outlineLevel="0" collapsed="false">
      <c r="B437" s="19" t="s">
        <v>28963</v>
      </c>
      <c r="C437" s="20" t="n">
        <f aca="false">ROUND(2.9/FX,2)</f>
        <v>0.4</v>
      </c>
      <c r="D437" s="21" t="s">
        <v>6549</v>
      </c>
      <c r="E437" s="21" t="s">
        <v>13732</v>
      </c>
      <c r="F437" s="21" t="s">
        <v>28880</v>
      </c>
    </row>
    <row r="438" customFormat="false" ht="28.35" hidden="false" customHeight="false" outlineLevel="0" collapsed="false">
      <c r="B438" s="19" t="s">
        <v>28964</v>
      </c>
      <c r="C438" s="20" t="n">
        <f aca="false">ROUND(3.06/FX,2)</f>
        <v>0.43</v>
      </c>
      <c r="D438" s="21" t="s">
        <v>6549</v>
      </c>
      <c r="E438" s="21" t="s">
        <v>13732</v>
      </c>
      <c r="F438" s="21" t="s">
        <v>28882</v>
      </c>
    </row>
    <row r="439" customFormat="false" ht="28.35" hidden="false" customHeight="false" outlineLevel="0" collapsed="false">
      <c r="B439" s="19" t="s">
        <v>28965</v>
      </c>
      <c r="C439" s="20" t="n">
        <f aca="false">ROUND(2.6/FX,2)</f>
        <v>0.36</v>
      </c>
      <c r="D439" s="21" t="s">
        <v>6549</v>
      </c>
      <c r="E439" s="21" t="s">
        <v>13732</v>
      </c>
      <c r="F439" s="21" t="s">
        <v>28884</v>
      </c>
    </row>
    <row r="440" customFormat="false" ht="28.35" hidden="false" customHeight="false" outlineLevel="0" collapsed="false">
      <c r="B440" s="19" t="s">
        <v>28966</v>
      </c>
      <c r="C440" s="20" t="n">
        <f aca="false">ROUND(2.88/FX,2)</f>
        <v>0.4</v>
      </c>
      <c r="D440" s="21" t="s">
        <v>6549</v>
      </c>
      <c r="E440" s="21" t="s">
        <v>13732</v>
      </c>
      <c r="F440" s="21" t="s">
        <v>28886</v>
      </c>
    </row>
    <row r="441" customFormat="false" ht="28.35" hidden="false" customHeight="false" outlineLevel="0" collapsed="false">
      <c r="B441" s="19" t="s">
        <v>28967</v>
      </c>
      <c r="C441" s="20" t="n">
        <f aca="false">ROUND(5.59/FX,2)</f>
        <v>0.78</v>
      </c>
      <c r="D441" s="21" t="s">
        <v>6549</v>
      </c>
      <c r="E441" s="21" t="s">
        <v>13732</v>
      </c>
      <c r="F441" s="21" t="s">
        <v>28888</v>
      </c>
    </row>
    <row r="442" customFormat="false" ht="28.35" hidden="false" customHeight="false" outlineLevel="0" collapsed="false">
      <c r="B442" s="19" t="s">
        <v>28968</v>
      </c>
      <c r="C442" s="20" t="n">
        <f aca="false">ROUND(6.65/FX,2)</f>
        <v>0.92</v>
      </c>
      <c r="D442" s="21" t="s">
        <v>6549</v>
      </c>
      <c r="E442" s="21" t="s">
        <v>13732</v>
      </c>
      <c r="F442" s="21" t="s">
        <v>28890</v>
      </c>
    </row>
    <row r="443" customFormat="false" ht="28.35" hidden="false" customHeight="false" outlineLevel="0" collapsed="false">
      <c r="B443" s="19" t="s">
        <v>28969</v>
      </c>
      <c r="C443" s="20" t="n">
        <f aca="false">ROUND(4.16/FX,2)</f>
        <v>0.58</v>
      </c>
      <c r="D443" s="21" t="s">
        <v>6549</v>
      </c>
      <c r="E443" s="21" t="s">
        <v>13732</v>
      </c>
      <c r="F443" s="21" t="s">
        <v>28892</v>
      </c>
    </row>
    <row r="444" customFormat="false" ht="28.35" hidden="false" customHeight="false" outlineLevel="0" collapsed="false">
      <c r="B444" s="19" t="s">
        <v>28970</v>
      </c>
      <c r="C444" s="20" t="n">
        <f aca="false">ROUND(4.27/FX,2)</f>
        <v>0.59</v>
      </c>
      <c r="D444" s="21" t="s">
        <v>6549</v>
      </c>
      <c r="E444" s="21" t="s">
        <v>13732</v>
      </c>
      <c r="F444" s="21" t="s">
        <v>28894</v>
      </c>
    </row>
    <row r="445" customFormat="false" ht="28.35" hidden="false" customHeight="false" outlineLevel="0" collapsed="false">
      <c r="B445" s="19" t="s">
        <v>28971</v>
      </c>
      <c r="C445" s="20" t="n">
        <f aca="false">ROUND(2.34/FX,2)</f>
        <v>0.33</v>
      </c>
      <c r="D445" s="21" t="s">
        <v>6549</v>
      </c>
      <c r="E445" s="21" t="s">
        <v>13732</v>
      </c>
      <c r="F445" s="21" t="s">
        <v>28896</v>
      </c>
    </row>
    <row r="446" customFormat="false" ht="28.35" hidden="false" customHeight="false" outlineLevel="0" collapsed="false">
      <c r="B446" s="19" t="s">
        <v>28972</v>
      </c>
      <c r="C446" s="20" t="n">
        <f aca="false">ROUND(2.53/FX,2)</f>
        <v>0.35</v>
      </c>
      <c r="D446" s="21" t="s">
        <v>6549</v>
      </c>
      <c r="E446" s="21" t="s">
        <v>13732</v>
      </c>
      <c r="F446" s="21" t="s">
        <v>28900</v>
      </c>
    </row>
    <row r="447" customFormat="false" ht="28.35" hidden="false" customHeight="false" outlineLevel="0" collapsed="false">
      <c r="B447" s="19" t="s">
        <v>28973</v>
      </c>
      <c r="C447" s="20" t="n">
        <f aca="false">ROUND(5.85/FX,2)</f>
        <v>0.81</v>
      </c>
      <c r="D447" s="21" t="s">
        <v>6549</v>
      </c>
      <c r="E447" s="21" t="s">
        <v>13732</v>
      </c>
      <c r="F447" s="21" t="s">
        <v>28902</v>
      </c>
    </row>
    <row r="448" customFormat="false" ht="28.35" hidden="false" customHeight="false" outlineLevel="0" collapsed="false">
      <c r="B448" s="19" t="s">
        <v>28974</v>
      </c>
      <c r="C448" s="20" t="n">
        <f aca="false">ROUND(6.56/FX,2)</f>
        <v>0.91</v>
      </c>
      <c r="D448" s="21" t="s">
        <v>6549</v>
      </c>
      <c r="E448" s="21" t="s">
        <v>13732</v>
      </c>
      <c r="F448" s="21" t="s">
        <v>28904</v>
      </c>
    </row>
    <row r="451" customFormat="false" ht="61.5" hidden="false" customHeight="true" outlineLevel="0" collapsed="false">
      <c r="A451" s="9"/>
      <c r="B451" s="10" t="s">
        <v>28975</v>
      </c>
      <c r="C451" s="10"/>
      <c r="D451" s="10"/>
    </row>
    <row r="452" customFormat="false" ht="15" hidden="false" customHeight="false" outlineLevel="0" collapsed="false">
      <c r="A452" s="12" t="s">
        <v>700</v>
      </c>
      <c r="B452" s="13" t="s">
        <v>701</v>
      </c>
      <c r="C452" s="13" t="s">
        <v>702</v>
      </c>
      <c r="D452" s="13" t="s">
        <v>722</v>
      </c>
    </row>
    <row r="453" customFormat="false" ht="30" hidden="false" customHeight="true" outlineLevel="0" collapsed="false">
      <c r="A453" s="14" t="s">
        <v>706</v>
      </c>
      <c r="B453" s="15" t="str">
        <f aca="false">IF(COUNTIFS($D$456:$D$457,IF(D453="","*",D453))=1,INDEX($B:$B,SUMPRODUCT(((D453="")+($D$456:$D$457=D453)&gt;0)*ROW($B$456:$B$457))),IF(COUNTIFS($D$456:$D$457,IF(D453="","*",D453))=0,"Not available",COUNTIFS($D$456:$D$457,IF(D453="","*",D453))&amp;" match, keep choosing"))</f>
        <v>P3-024-BK</v>
      </c>
      <c r="C453" s="16" t="n">
        <f aca="false">IF(COUNTIFS($D$456:$D$457,IF(D453="","*",D453))=1,INDEX($C:$C,SUMPRODUCT(((D453="")+($D$456:$D$457=D453)&gt;0)*ROW($B$456:$B$457))),"")</f>
        <v>0.6</v>
      </c>
      <c r="D453" s="17" t="s">
        <v>724</v>
      </c>
    </row>
    <row r="455" customFormat="false" ht="15" hidden="false" customHeight="false" outlineLevel="0" collapsed="false">
      <c r="B455" s="18" t="s">
        <v>701</v>
      </c>
      <c r="C455" s="18" t="s">
        <v>702</v>
      </c>
      <c r="D455" s="18" t="s">
        <v>722</v>
      </c>
    </row>
    <row r="456" customFormat="false" ht="15" hidden="false" customHeight="false" outlineLevel="0" collapsed="false">
      <c r="B456" s="19" t="s">
        <v>28976</v>
      </c>
      <c r="C456" s="20" t="n">
        <f aca="false">ROUND(4.29/FX,2)</f>
        <v>0.6</v>
      </c>
      <c r="D456" s="21" t="s">
        <v>724</v>
      </c>
    </row>
    <row r="457" customFormat="false" ht="15" hidden="false" customHeight="false" outlineLevel="0" collapsed="false">
      <c r="B457" s="19" t="s">
        <v>28977</v>
      </c>
      <c r="C457" s="20" t="n">
        <f aca="false">ROUND(4.29/FX,2)</f>
        <v>0.6</v>
      </c>
      <c r="D457" s="21" t="s">
        <v>751</v>
      </c>
    </row>
    <row r="460" customFormat="false" ht="61.5" hidden="false" customHeight="true" outlineLevel="0" collapsed="false">
      <c r="A460" s="9"/>
      <c r="B460" s="10" t="s">
        <v>28978</v>
      </c>
      <c r="C460" s="10"/>
      <c r="D460" s="10"/>
    </row>
    <row r="461" customFormat="false" ht="15" hidden="false" customHeight="false" outlineLevel="0" collapsed="false">
      <c r="B461" s="18" t="s">
        <v>701</v>
      </c>
      <c r="C461" s="18" t="s">
        <v>702</v>
      </c>
      <c r="D461" s="18" t="s">
        <v>5610</v>
      </c>
    </row>
    <row r="462" customFormat="false" ht="15" hidden="false" customHeight="false" outlineLevel="0" collapsed="false">
      <c r="B462" s="19" t="s">
        <v>28979</v>
      </c>
      <c r="C462" s="20" t="n">
        <f aca="false">ROUND(360/FX,2)</f>
        <v>50</v>
      </c>
      <c r="D462" s="22" t="s">
        <v>5612</v>
      </c>
    </row>
    <row r="465" customFormat="false" ht="61.5" hidden="false" customHeight="true" outlineLevel="0" collapsed="false">
      <c r="A465" s="9"/>
      <c r="B465" s="10" t="s">
        <v>28980</v>
      </c>
      <c r="C465" s="10"/>
      <c r="D465" s="10"/>
      <c r="E465" s="10"/>
      <c r="F465" s="10"/>
    </row>
    <row r="466" customFormat="false" ht="15" hidden="false" customHeight="false" outlineLevel="0" collapsed="false">
      <c r="A466" s="12" t="s">
        <v>700</v>
      </c>
      <c r="B466" s="13" t="s">
        <v>701</v>
      </c>
      <c r="C466" s="13" t="s">
        <v>702</v>
      </c>
      <c r="D466" s="13" t="s">
        <v>722</v>
      </c>
      <c r="E466" s="13" t="s">
        <v>723</v>
      </c>
      <c r="F466" s="13" t="s">
        <v>6328</v>
      </c>
    </row>
    <row r="467" customFormat="false" ht="30" hidden="false" customHeight="true" outlineLevel="0" collapsed="false">
      <c r="A467" s="14" t="s">
        <v>706</v>
      </c>
      <c r="B467" s="15" t="str">
        <f aca="false">IF(COUNTIFS($D$470:$D$472,IF(D467="","*",D467),$E$470:$E$472,IF(E467="","*",E467),$F$470:$F$472,IF(F467="","*",F467))=1,INDEX($B:$B,SUMPRODUCT(((D467="")+($D$470:$D$472=D467)&gt;0)*((E467="")+($E$470:$E$472=E467)&gt;0)*((F467="")+($F$470:$F$472=F467)&gt;0)*ROW($B$470:$B$472))),IF(COUNTIFS($D$470:$D$472,IF(D467="","*",D467),$E$470:$E$472,IF(E467="","*",E467),$F$470:$F$472,IF(F467="","*",F467))=0,"Not available",COUNTIFS($D$470:$D$472,IF(D467="","*",D467),$E$470:$E$472,IF(E467="","*",E467),$F$470:$F$472,IF(F467="","*",F467))&amp;" match, keep choosing"))</f>
        <v>P3-097-BK-YTB-AL</v>
      </c>
      <c r="C467" s="16" t="n">
        <f aca="false">IF(COUNTIFS($D$470:$D$472,IF(D467="","*",D467),$E$470:$E$472,IF(E467="","*",E467),$F$470:$F$472,IF(F467="","*",F467))=1,INDEX($C:$C,SUMPRODUCT(((D467="")+($D$470:$D$472=D467)&gt;0)*((E467="")+($E$470:$E$472=E467)&gt;0)*((F467="")+($F$470:$F$472=F467)&gt;0)*ROW($B$470:$B$472))),"")</f>
        <v>0.97</v>
      </c>
      <c r="D467" s="17" t="s">
        <v>724</v>
      </c>
      <c r="E467" s="17" t="s">
        <v>8168</v>
      </c>
      <c r="F467" s="17" t="s">
        <v>28981</v>
      </c>
    </row>
    <row r="469" customFormat="false" ht="15" hidden="false" customHeight="false" outlineLevel="0" collapsed="false">
      <c r="B469" s="18" t="s">
        <v>701</v>
      </c>
      <c r="C469" s="18" t="s">
        <v>702</v>
      </c>
      <c r="D469" s="18" t="s">
        <v>722</v>
      </c>
      <c r="E469" s="18" t="s">
        <v>723</v>
      </c>
      <c r="F469" s="18" t="s">
        <v>6328</v>
      </c>
    </row>
    <row r="470" customFormat="false" ht="15" hidden="false" customHeight="false" outlineLevel="0" collapsed="false">
      <c r="B470" s="19" t="s">
        <v>28982</v>
      </c>
      <c r="C470" s="20" t="n">
        <f aca="false">ROUND(7/FX,2)</f>
        <v>0.97</v>
      </c>
      <c r="D470" s="21" t="s">
        <v>724</v>
      </c>
      <c r="E470" s="21" t="s">
        <v>8168</v>
      </c>
      <c r="F470" s="21" t="s">
        <v>28981</v>
      </c>
    </row>
    <row r="471" customFormat="false" ht="15" hidden="false" customHeight="false" outlineLevel="0" collapsed="false">
      <c r="B471" s="19" t="s">
        <v>28983</v>
      </c>
      <c r="C471" s="20" t="n">
        <f aca="false">ROUND(11.7/FX,2)</f>
        <v>1.63</v>
      </c>
      <c r="D471" s="21" t="s">
        <v>6336</v>
      </c>
      <c r="E471" s="21" t="s">
        <v>28984</v>
      </c>
      <c r="F471" s="21" t="s">
        <v>28985</v>
      </c>
    </row>
    <row r="472" customFormat="false" ht="15" hidden="false" customHeight="false" outlineLevel="0" collapsed="false">
      <c r="B472" s="19" t="s">
        <v>28986</v>
      </c>
      <c r="C472" s="20" t="n">
        <f aca="false">ROUND(4.4/FX,2)</f>
        <v>0.61</v>
      </c>
      <c r="D472" s="21" t="s">
        <v>6336</v>
      </c>
      <c r="E472" s="21" t="s">
        <v>28987</v>
      </c>
      <c r="F472" s="21" t="s">
        <v>28985</v>
      </c>
    </row>
    <row r="475" customFormat="false" ht="61.5" hidden="false" customHeight="true" outlineLevel="0" collapsed="false">
      <c r="A475" s="9"/>
      <c r="B475" s="10" t="s">
        <v>28988</v>
      </c>
      <c r="C475" s="10"/>
      <c r="D475" s="10"/>
      <c r="E475" s="10"/>
    </row>
    <row r="476" customFormat="false" ht="15" hidden="false" customHeight="false" outlineLevel="0" collapsed="false">
      <c r="A476" s="12" t="s">
        <v>700</v>
      </c>
      <c r="B476" s="13" t="s">
        <v>701</v>
      </c>
      <c r="C476" s="13" t="s">
        <v>702</v>
      </c>
      <c r="D476" s="13" t="s">
        <v>704</v>
      </c>
      <c r="E476" s="13" t="s">
        <v>723</v>
      </c>
    </row>
    <row r="477" customFormat="false" ht="30" hidden="false" customHeight="true" outlineLevel="0" collapsed="false">
      <c r="A477" s="14" t="s">
        <v>706</v>
      </c>
      <c r="B477" s="15" t="str">
        <f aca="false">IF(COUNTIFS($D$480:$D$495,IF(D477="","*",D477),$E$480:$E$495,IF(E477="","*",E477))=1,INDEX($B:$B,SUMPRODUCT(((D477="")+($D$480:$D$495=D477)&gt;0)*((E477="")+($E$480:$E$495=E477)&gt;0)*ROW($B$480:$B$495))),IF(COUNTIFS($D$480:$D$495,IF(D477="","*",D477),$E$480:$E$495,IF(E477="","*",E477))=0,"Not available",COUNTIFS($D$480:$D$495,IF(D477="","*",D477),$E$480:$E$495,IF(E477="","*",E477))&amp;" match, keep choosing"))</f>
        <v>P3-012-CS-NI-WJ10-DTJ</v>
      </c>
      <c r="C477" s="16" t="n">
        <f aca="false">IF(COUNTIFS($D$480:$D$495,IF(D477="","*",D477),$E$480:$E$495,IF(E477="","*",E477))=1,INDEX($C:$C,SUMPRODUCT(((D477="")+($D$480:$D$495=D477)&gt;0)*((E477="")+($E$480:$E$495=E477)&gt;0)*ROW($B$480:$B$495))),"")</f>
        <v>0.11</v>
      </c>
      <c r="D477" s="17" t="s">
        <v>10100</v>
      </c>
      <c r="E477" s="17" t="s">
        <v>28989</v>
      </c>
    </row>
    <row r="479" customFormat="false" ht="15" hidden="false" customHeight="false" outlineLevel="0" collapsed="false">
      <c r="B479" s="18" t="s">
        <v>701</v>
      </c>
      <c r="C479" s="18" t="s">
        <v>702</v>
      </c>
      <c r="D479" s="18" t="s">
        <v>704</v>
      </c>
      <c r="E479" s="18" t="s">
        <v>723</v>
      </c>
    </row>
    <row r="480" customFormat="false" ht="28.35" hidden="false" customHeight="false" outlineLevel="0" collapsed="false">
      <c r="B480" s="19" t="s">
        <v>28990</v>
      </c>
      <c r="C480" s="20" t="n">
        <f aca="false">ROUND(0.78/FX,2)</f>
        <v>0.11</v>
      </c>
      <c r="D480" s="21" t="s">
        <v>10100</v>
      </c>
      <c r="E480" s="21" t="s">
        <v>28989</v>
      </c>
    </row>
    <row r="481" customFormat="false" ht="28.35" hidden="false" customHeight="false" outlineLevel="0" collapsed="false">
      <c r="B481" s="19" t="s">
        <v>28991</v>
      </c>
      <c r="C481" s="20" t="n">
        <f aca="false">ROUND(0.78/FX,2)</f>
        <v>0.11</v>
      </c>
      <c r="D481" s="21" t="s">
        <v>10100</v>
      </c>
      <c r="E481" s="21" t="s">
        <v>28992</v>
      </c>
    </row>
    <row r="482" customFormat="false" ht="28.35" hidden="false" customHeight="false" outlineLevel="0" collapsed="false">
      <c r="B482" s="19" t="s">
        <v>28993</v>
      </c>
      <c r="C482" s="20" t="n">
        <f aca="false">ROUND(0.39/FX,2)</f>
        <v>0.05</v>
      </c>
      <c r="D482" s="21" t="s">
        <v>10100</v>
      </c>
      <c r="E482" s="21" t="s">
        <v>28994</v>
      </c>
    </row>
    <row r="483" customFormat="false" ht="28.35" hidden="false" customHeight="false" outlineLevel="0" collapsed="false">
      <c r="B483" s="19" t="s">
        <v>28995</v>
      </c>
      <c r="C483" s="20" t="n">
        <f aca="false">ROUND(0.34/FX,2)</f>
        <v>0.05</v>
      </c>
      <c r="D483" s="21" t="s">
        <v>10100</v>
      </c>
      <c r="E483" s="21" t="s">
        <v>28996</v>
      </c>
    </row>
    <row r="484" customFormat="false" ht="28.35" hidden="false" customHeight="false" outlineLevel="0" collapsed="false">
      <c r="B484" s="19" t="s">
        <v>28997</v>
      </c>
      <c r="C484" s="20" t="n">
        <f aca="false">ROUND(0.48/FX,2)</f>
        <v>0.07</v>
      </c>
      <c r="D484" s="21" t="s">
        <v>10100</v>
      </c>
      <c r="E484" s="21" t="s">
        <v>28998</v>
      </c>
    </row>
    <row r="485" customFormat="false" ht="28.35" hidden="false" customHeight="false" outlineLevel="0" collapsed="false">
      <c r="B485" s="19" t="s">
        <v>28999</v>
      </c>
      <c r="C485" s="20" t="n">
        <f aca="false">ROUND(0.48/FX,2)</f>
        <v>0.07</v>
      </c>
      <c r="D485" s="21" t="s">
        <v>10100</v>
      </c>
      <c r="E485" s="21" t="s">
        <v>29000</v>
      </c>
    </row>
    <row r="486" customFormat="false" ht="28.35" hidden="false" customHeight="false" outlineLevel="0" collapsed="false">
      <c r="B486" s="19" t="s">
        <v>29001</v>
      </c>
      <c r="C486" s="20" t="n">
        <f aca="false">ROUND(0.39/FX,2)</f>
        <v>0.05</v>
      </c>
      <c r="D486" s="21" t="s">
        <v>10100</v>
      </c>
      <c r="E486" s="21" t="s">
        <v>29002</v>
      </c>
    </row>
    <row r="487" customFormat="false" ht="28.35" hidden="false" customHeight="false" outlineLevel="0" collapsed="false">
      <c r="B487" s="19" t="s">
        <v>29003</v>
      </c>
      <c r="C487" s="20" t="n">
        <f aca="false">ROUND(0.39/FX,2)</f>
        <v>0.05</v>
      </c>
      <c r="D487" s="21" t="s">
        <v>10100</v>
      </c>
      <c r="E487" s="21" t="s">
        <v>29004</v>
      </c>
    </row>
    <row r="488" customFormat="false" ht="28.35" hidden="false" customHeight="false" outlineLevel="0" collapsed="false">
      <c r="B488" s="19" t="s">
        <v>29005</v>
      </c>
      <c r="C488" s="20" t="n">
        <f aca="false">ROUND(0.26/FX,2)</f>
        <v>0.04</v>
      </c>
      <c r="D488" s="21" t="s">
        <v>10100</v>
      </c>
      <c r="E488" s="21" t="s">
        <v>29006</v>
      </c>
    </row>
    <row r="489" customFormat="false" ht="28.35" hidden="false" customHeight="false" outlineLevel="0" collapsed="false">
      <c r="B489" s="19" t="s">
        <v>29007</v>
      </c>
      <c r="C489" s="20" t="n">
        <f aca="false">ROUND(1.3/FX,2)</f>
        <v>0.18</v>
      </c>
      <c r="D489" s="21" t="s">
        <v>6336</v>
      </c>
      <c r="E489" s="21" t="s">
        <v>29008</v>
      </c>
    </row>
    <row r="490" customFormat="false" ht="28.35" hidden="false" customHeight="false" outlineLevel="0" collapsed="false">
      <c r="B490" s="19" t="s">
        <v>29009</v>
      </c>
      <c r="C490" s="20" t="n">
        <f aca="false">ROUND(1.96/FX,2)</f>
        <v>0.27</v>
      </c>
      <c r="D490" s="21" t="s">
        <v>6336</v>
      </c>
      <c r="E490" s="21" t="s">
        <v>29010</v>
      </c>
    </row>
    <row r="491" customFormat="false" ht="28.35" hidden="false" customHeight="false" outlineLevel="0" collapsed="false">
      <c r="B491" s="19" t="s">
        <v>29011</v>
      </c>
      <c r="C491" s="20" t="n">
        <f aca="false">ROUND(1.3/FX,2)</f>
        <v>0.18</v>
      </c>
      <c r="D491" s="21" t="s">
        <v>6336</v>
      </c>
      <c r="E491" s="21" t="s">
        <v>29012</v>
      </c>
    </row>
    <row r="492" customFormat="false" ht="28.35" hidden="false" customHeight="false" outlineLevel="0" collapsed="false">
      <c r="B492" s="19" t="s">
        <v>29013</v>
      </c>
      <c r="C492" s="20" t="n">
        <f aca="false">ROUND(1.96/FX,2)</f>
        <v>0.27</v>
      </c>
      <c r="D492" s="21" t="s">
        <v>6336</v>
      </c>
      <c r="E492" s="21" t="s">
        <v>29014</v>
      </c>
    </row>
    <row r="493" customFormat="false" ht="28.35" hidden="false" customHeight="false" outlineLevel="0" collapsed="false">
      <c r="B493" s="19" t="s">
        <v>29015</v>
      </c>
      <c r="C493" s="20" t="n">
        <f aca="false">ROUND(1.56/FX,2)</f>
        <v>0.22</v>
      </c>
      <c r="D493" s="21" t="s">
        <v>6336</v>
      </c>
      <c r="E493" s="21" t="s">
        <v>29016</v>
      </c>
    </row>
    <row r="494" customFormat="false" ht="28.35" hidden="false" customHeight="false" outlineLevel="0" collapsed="false">
      <c r="B494" s="19" t="s">
        <v>29017</v>
      </c>
      <c r="C494" s="20" t="n">
        <f aca="false">ROUND(1.56/FX,2)</f>
        <v>0.22</v>
      </c>
      <c r="D494" s="21" t="s">
        <v>6336</v>
      </c>
      <c r="E494" s="21" t="s">
        <v>29018</v>
      </c>
    </row>
    <row r="495" customFormat="false" ht="28.35" hidden="false" customHeight="false" outlineLevel="0" collapsed="false">
      <c r="B495" s="19" t="s">
        <v>29019</v>
      </c>
      <c r="C495" s="20" t="n">
        <f aca="false">ROUND(1.56/FX,2)</f>
        <v>0.22</v>
      </c>
      <c r="D495" s="21" t="s">
        <v>6336</v>
      </c>
      <c r="E495" s="21" t="s">
        <v>29020</v>
      </c>
    </row>
    <row r="498" customFormat="false" ht="61.5" hidden="false" customHeight="true" outlineLevel="0" collapsed="false">
      <c r="A498" s="9"/>
      <c r="B498" s="10" t="s">
        <v>29021</v>
      </c>
      <c r="C498" s="10"/>
      <c r="D498" s="10"/>
      <c r="E498" s="10"/>
    </row>
    <row r="499" customFormat="false" ht="15" hidden="false" customHeight="false" outlineLevel="0" collapsed="false">
      <c r="A499" s="12" t="s">
        <v>700</v>
      </c>
      <c r="B499" s="13" t="s">
        <v>701</v>
      </c>
      <c r="C499" s="13" t="s">
        <v>702</v>
      </c>
      <c r="D499" s="13" t="s">
        <v>5610</v>
      </c>
      <c r="E499" s="13" t="s">
        <v>723</v>
      </c>
    </row>
    <row r="500" customFormat="false" ht="30" hidden="false" customHeight="true" outlineLevel="0" collapsed="false">
      <c r="A500" s="14" t="s">
        <v>706</v>
      </c>
      <c r="B500" s="15" t="str">
        <f aca="false">IF(COUNTIFS($D$503:$D$506,IF(D500="","*",D500),$E$503:$E$506,IF(E500="","*",E500))=1,INDEX($B:$B,SUMPRODUCT(((D500="")+($D$503:$D$506=D500)&gt;0)*((E500="")+($E$503:$E$506=E500)&gt;0)*ROW($B$503:$B$506))),IF(COUNTIFS($D$503:$D$506,IF(D500="","*",D500),$E$503:$E$506,IF(E500="","*",E500))=0,"Not available",COUNTIFS($D$503:$D$506,IF(D500="","*",D500),$E$503:$E$506,IF(E500="","*",E500))&amp;" match, keep choosing"))</f>
        <v>P3-017-20-M4LS</v>
      </c>
      <c r="C500" s="16" t="n">
        <f aca="false">IF(COUNTIFS($D$503:$D$506,IF(D500="","*",D500),$E$503:$E$506,IF(E500="","*",E500))=1,INDEX($C:$C,SUMPRODUCT(((D500="")+($D$503:$D$506=D500)&gt;0)*((E500="")+($E$503:$E$506=E500)&gt;0)*ROW($B$503:$B$506))),"")</f>
        <v>0.22</v>
      </c>
      <c r="D500" s="17" t="s">
        <v>29022</v>
      </c>
      <c r="E500" s="17" t="s">
        <v>29023</v>
      </c>
    </row>
    <row r="502" customFormat="false" ht="15" hidden="false" customHeight="false" outlineLevel="0" collapsed="false">
      <c r="B502" s="18" t="s">
        <v>701</v>
      </c>
      <c r="C502" s="18" t="s">
        <v>702</v>
      </c>
      <c r="D502" s="18" t="s">
        <v>5610</v>
      </c>
      <c r="E502" s="18" t="s">
        <v>723</v>
      </c>
    </row>
    <row r="503" customFormat="false" ht="15" hidden="false" customHeight="false" outlineLevel="0" collapsed="false">
      <c r="B503" s="19" t="s">
        <v>29024</v>
      </c>
      <c r="C503" s="20" t="n">
        <f aca="false">ROUND(1.56/FX,2)</f>
        <v>0.22</v>
      </c>
      <c r="D503" s="21" t="s">
        <v>29022</v>
      </c>
      <c r="E503" s="21" t="s">
        <v>29023</v>
      </c>
    </row>
    <row r="504" customFormat="false" ht="15" hidden="false" customHeight="false" outlineLevel="0" collapsed="false">
      <c r="B504" s="19" t="s">
        <v>29025</v>
      </c>
      <c r="C504" s="20" t="n">
        <f aca="false">ROUND(1.86/FX,2)</f>
        <v>0.26</v>
      </c>
      <c r="D504" s="21" t="s">
        <v>29026</v>
      </c>
      <c r="E504" s="21" t="s">
        <v>29027</v>
      </c>
    </row>
    <row r="505" customFormat="false" ht="15" hidden="false" customHeight="false" outlineLevel="0" collapsed="false">
      <c r="B505" s="19" t="s">
        <v>29028</v>
      </c>
      <c r="C505" s="20" t="n">
        <f aca="false">ROUND(2.04/FX,2)</f>
        <v>0.28</v>
      </c>
      <c r="D505" s="21" t="s">
        <v>29029</v>
      </c>
      <c r="E505" s="21" t="s">
        <v>29027</v>
      </c>
    </row>
    <row r="506" customFormat="false" ht="15" hidden="false" customHeight="false" outlineLevel="0" collapsed="false">
      <c r="B506" s="19" t="s">
        <v>29030</v>
      </c>
      <c r="C506" s="20" t="n">
        <f aca="false">ROUND(2.6/FX,2)</f>
        <v>0.36</v>
      </c>
      <c r="D506" s="21" t="s">
        <v>29031</v>
      </c>
      <c r="E506" s="21" t="s">
        <v>29027</v>
      </c>
    </row>
    <row r="509" customFormat="false" ht="61.5" hidden="false" customHeight="true" outlineLevel="0" collapsed="false">
      <c r="A509" s="9"/>
      <c r="B509" s="10" t="s">
        <v>29032</v>
      </c>
      <c r="C509" s="10"/>
      <c r="D509" s="10"/>
      <c r="E509" s="10"/>
    </row>
    <row r="510" customFormat="false" ht="15" hidden="false" customHeight="false" outlineLevel="0" collapsed="false">
      <c r="A510" s="12" t="s">
        <v>700</v>
      </c>
      <c r="B510" s="13" t="s">
        <v>701</v>
      </c>
      <c r="C510" s="13" t="s">
        <v>702</v>
      </c>
      <c r="D510" s="13" t="s">
        <v>722</v>
      </c>
      <c r="E510" s="13" t="s">
        <v>723</v>
      </c>
    </row>
    <row r="511" customFormat="false" ht="30" hidden="false" customHeight="true" outlineLevel="0" collapsed="false">
      <c r="A511" s="14" t="s">
        <v>706</v>
      </c>
      <c r="B511" s="15" t="str">
        <f aca="false">IF(COUNTIFS($D$514:$D$517,IF(D511="","*",D511),$E$514:$E$517,IF(E511="","*",E511))=1,INDEX($B:$B,SUMPRODUCT(((D511="")+($D$514:$D$517=D511)&gt;0)*((E511="")+($E$514:$E$517=E511)&gt;0)*ROW($B$514:$B$517))),IF(COUNTIFS($D$514:$D$517,IF(D511="","*",D511),$E$514:$E$517,IF(E511="","*",E511))=0,"Not available",COUNTIFS($D$514:$D$517,IF(D511="","*",D511),$E$514:$E$517,IF(E511="","*",E511))&amp;" match, keep choosing"))</f>
        <v>P3-093-BK-AK</v>
      </c>
      <c r="C511" s="16" t="n">
        <f aca="false">IF(COUNTIFS($D$514:$D$517,IF(D511="","*",D511),$E$514:$E$517,IF(E511="","*",E511))=1,INDEX($C:$C,SUMPRODUCT(((D511="")+($D$514:$D$517=D511)&gt;0)*((E511="")+($E$514:$E$517=E511)&gt;0)*ROW($B$514:$B$517))),"")</f>
        <v>1.82</v>
      </c>
      <c r="D511" s="17" t="s">
        <v>724</v>
      </c>
      <c r="E511" s="17" t="s">
        <v>7941</v>
      </c>
    </row>
    <row r="513" customFormat="false" ht="15" hidden="false" customHeight="false" outlineLevel="0" collapsed="false">
      <c r="B513" s="18" t="s">
        <v>701</v>
      </c>
      <c r="C513" s="18" t="s">
        <v>702</v>
      </c>
      <c r="D513" s="18" t="s">
        <v>722</v>
      </c>
      <c r="E513" s="18" t="s">
        <v>723</v>
      </c>
    </row>
    <row r="514" customFormat="false" ht="15" hidden="false" customHeight="false" outlineLevel="0" collapsed="false">
      <c r="B514" s="19" t="s">
        <v>29033</v>
      </c>
      <c r="C514" s="20" t="n">
        <f aca="false">ROUND(13.1/FX,2)</f>
        <v>1.82</v>
      </c>
      <c r="D514" s="21" t="s">
        <v>724</v>
      </c>
      <c r="E514" s="21" t="s">
        <v>7941</v>
      </c>
    </row>
    <row r="515" customFormat="false" ht="15" hidden="false" customHeight="false" outlineLevel="0" collapsed="false">
      <c r="B515" s="19" t="s">
        <v>29034</v>
      </c>
      <c r="C515" s="20" t="n">
        <f aca="false">ROUND(13.1/FX,2)</f>
        <v>1.82</v>
      </c>
      <c r="D515" s="21" t="s">
        <v>724</v>
      </c>
      <c r="E515" s="21" t="s">
        <v>7939</v>
      </c>
    </row>
    <row r="516" customFormat="false" ht="15" hidden="false" customHeight="false" outlineLevel="0" collapsed="false">
      <c r="B516" s="19" t="s">
        <v>29035</v>
      </c>
      <c r="C516" s="20" t="n">
        <f aca="false">ROUND(13.1/FX,2)</f>
        <v>1.82</v>
      </c>
      <c r="D516" s="21" t="s">
        <v>6549</v>
      </c>
      <c r="E516" s="21" t="s">
        <v>7941</v>
      </c>
    </row>
    <row r="517" customFormat="false" ht="15" hidden="false" customHeight="false" outlineLevel="0" collapsed="false">
      <c r="B517" s="19" t="s">
        <v>29036</v>
      </c>
      <c r="C517" s="20" t="n">
        <f aca="false">ROUND(13.1/FX,2)</f>
        <v>1.82</v>
      </c>
      <c r="D517" s="21" t="s">
        <v>6549</v>
      </c>
      <c r="E517" s="21" t="s">
        <v>7939</v>
      </c>
    </row>
    <row r="520" customFormat="false" ht="61.5" hidden="false" customHeight="true" outlineLevel="0" collapsed="false">
      <c r="A520" s="9"/>
      <c r="B520" s="10" t="s">
        <v>29037</v>
      </c>
      <c r="C520" s="10"/>
      <c r="D520" s="10"/>
    </row>
    <row r="521" customFormat="false" ht="15" hidden="false" customHeight="false" outlineLevel="0" collapsed="false">
      <c r="B521" s="18" t="s">
        <v>701</v>
      </c>
      <c r="C521" s="18" t="s">
        <v>702</v>
      </c>
      <c r="D521" s="18" t="s">
        <v>5610</v>
      </c>
    </row>
    <row r="522" customFormat="false" ht="15" hidden="false" customHeight="false" outlineLevel="0" collapsed="false">
      <c r="B522" s="19" t="s">
        <v>29038</v>
      </c>
      <c r="C522" s="20" t="n">
        <f aca="false">ROUND(90.74/FX,2)</f>
        <v>12.6</v>
      </c>
      <c r="D522" s="22" t="s">
        <v>5612</v>
      </c>
    </row>
    <row r="525" customFormat="false" ht="61.5" hidden="false" customHeight="true" outlineLevel="0" collapsed="false">
      <c r="A525" s="9"/>
      <c r="B525" s="10" t="s">
        <v>29039</v>
      </c>
      <c r="C525" s="10"/>
      <c r="D525" s="10"/>
    </row>
    <row r="526" customFormat="false" ht="15" hidden="false" customHeight="false" outlineLevel="0" collapsed="false">
      <c r="A526" s="12" t="s">
        <v>700</v>
      </c>
      <c r="B526" s="13" t="s">
        <v>701</v>
      </c>
      <c r="C526" s="13" t="s">
        <v>702</v>
      </c>
      <c r="D526" s="13" t="s">
        <v>21229</v>
      </c>
    </row>
    <row r="527" customFormat="false" ht="30" hidden="false" customHeight="true" outlineLevel="0" collapsed="false">
      <c r="A527" s="14" t="s">
        <v>706</v>
      </c>
      <c r="B527" s="15" t="str">
        <f aca="false">IF(COUNTIFS($D$530:$D$531,IF(D527="","*",D527))=1,INDEX($B:$B,SUMPRODUCT(((D527="")+($D$530:$D$531=D527)&gt;0)*ROW($B$530:$B$531))),IF(COUNTIFS($D$530:$D$531,IF(D527="","*",D527))=0,"Not available",COUNTIFS($D$530:$D$531,IF(D527="","*",D527))&amp;" match, keep choosing"))</f>
        <v>P3-091-2.5M</v>
      </c>
      <c r="C527" s="16" t="n">
        <f aca="false">IF(COUNTIFS($D$530:$D$531,IF(D527="","*",D527))=1,INDEX($C:$C,SUMPRODUCT(((D527="")+($D$530:$D$531=D527)&gt;0)*ROW($B$530:$B$531))),"")</f>
        <v>1.63</v>
      </c>
      <c r="D527" s="17" t="s">
        <v>19738</v>
      </c>
    </row>
    <row r="529" customFormat="false" ht="15" hidden="false" customHeight="false" outlineLevel="0" collapsed="false">
      <c r="B529" s="18" t="s">
        <v>701</v>
      </c>
      <c r="C529" s="18" t="s">
        <v>702</v>
      </c>
      <c r="D529" s="18" t="s">
        <v>21229</v>
      </c>
    </row>
    <row r="530" customFormat="false" ht="15" hidden="false" customHeight="false" outlineLevel="0" collapsed="false">
      <c r="B530" s="19" t="s">
        <v>29040</v>
      </c>
      <c r="C530" s="20" t="n">
        <f aca="false">ROUND(11.7/FX,2)</f>
        <v>1.63</v>
      </c>
      <c r="D530" s="21" t="s">
        <v>19738</v>
      </c>
    </row>
    <row r="531" customFormat="false" ht="15" hidden="false" customHeight="false" outlineLevel="0" collapsed="false">
      <c r="B531" s="19" t="s">
        <v>29041</v>
      </c>
      <c r="C531" s="20" t="n">
        <f aca="false">ROUND(22.1/FX,2)</f>
        <v>3.07</v>
      </c>
      <c r="D531" s="21" t="s">
        <v>29042</v>
      </c>
    </row>
    <row r="534" customFormat="false" ht="61.5" hidden="false" customHeight="true" outlineLevel="0" collapsed="false">
      <c r="A534" s="9"/>
      <c r="B534" s="10" t="s">
        <v>29043</v>
      </c>
      <c r="C534" s="10"/>
      <c r="D534" s="10"/>
      <c r="E534" s="10"/>
      <c r="F534" s="10"/>
    </row>
    <row r="535" customFormat="false" ht="15" hidden="false" customHeight="false" outlineLevel="0" collapsed="false">
      <c r="A535" s="12" t="s">
        <v>700</v>
      </c>
      <c r="B535" s="13" t="s">
        <v>701</v>
      </c>
      <c r="C535" s="13" t="s">
        <v>702</v>
      </c>
      <c r="D535" s="13" t="s">
        <v>5610</v>
      </c>
      <c r="E535" s="13" t="s">
        <v>6328</v>
      </c>
      <c r="F535" s="13" t="s">
        <v>29044</v>
      </c>
    </row>
    <row r="536" customFormat="false" ht="30" hidden="false" customHeight="true" outlineLevel="0" collapsed="false">
      <c r="A536" s="14" t="s">
        <v>706</v>
      </c>
      <c r="B536" s="15" t="str">
        <f aca="false">IF(COUNTIFS($D$539:$D$547,IF(D536="","*",D536),$E$539:$E$547,IF(E536="","*",E536),$F$539:$F$547,IF(F536="","*",F536))=1,INDEX($B:$B,SUMPRODUCT(((D536="")+($D$539:$D$547=D536)&gt;0)*((E536="")+($E$539:$E$547=E536)&gt;0)*((F536="")+($F$539:$F$547=F536)&gt;0)*ROW($B$539:$B$547))),IF(COUNTIFS($D$539:$D$547,IF(D536="","*",D536),$E$539:$E$547,IF(E536="","*",E536),$F$539:$F$547,IF(F536="","*",F536))=0,"Not available",COUNTIFS($D$539:$D$547,IF(D536="","*",D536),$E$539:$E$547,IF(E536="","*",E536),$F$539:$F$547,IF(F536="","*",F536))&amp;" match, keep choosing"))</f>
        <v>TC-P315-3x15-1M</v>
      </c>
      <c r="C536" s="16" t="n">
        <f aca="false">IF(COUNTIFS($D$539:$D$547,IF(D536="","*",D536),$E$539:$E$547,IF(E536="","*",E536),$F$539:$F$547,IF(F536="","*",F536))=1,INDEX($C:$C,SUMPRODUCT(((D536="")+($D$539:$D$547=D536)&gt;0)*((E536="")+($E$539:$E$547=E536)&gt;0)*((F536="")+($F$539:$F$547=F536)&gt;0)*ROW($B$539:$B$547))),"")</f>
        <v>0.38</v>
      </c>
      <c r="D536" s="17" t="s">
        <v>29045</v>
      </c>
      <c r="E536" s="17" t="s">
        <v>29046</v>
      </c>
      <c r="F536" s="17" t="s">
        <v>29047</v>
      </c>
    </row>
    <row r="538" customFormat="false" ht="15" hidden="false" customHeight="false" outlineLevel="0" collapsed="false">
      <c r="B538" s="18" t="s">
        <v>701</v>
      </c>
      <c r="C538" s="18" t="s">
        <v>702</v>
      </c>
      <c r="D538" s="18" t="s">
        <v>5610</v>
      </c>
      <c r="E538" s="18" t="s">
        <v>6328</v>
      </c>
      <c r="F538" s="18" t="s">
        <v>29044</v>
      </c>
    </row>
    <row r="539" customFormat="false" ht="15" hidden="false" customHeight="false" outlineLevel="0" collapsed="false">
      <c r="B539" s="19" t="s">
        <v>29048</v>
      </c>
      <c r="C539" s="20" t="n">
        <f aca="false">ROUND(2.73/FX,2)</f>
        <v>0.38</v>
      </c>
      <c r="D539" s="21" t="s">
        <v>29045</v>
      </c>
      <c r="E539" s="21" t="s">
        <v>29046</v>
      </c>
      <c r="F539" s="21" t="s">
        <v>29047</v>
      </c>
    </row>
    <row r="540" customFormat="false" ht="28.35" hidden="false" customHeight="false" outlineLevel="0" collapsed="false">
      <c r="B540" s="19" t="s">
        <v>29049</v>
      </c>
      <c r="C540" s="20" t="n">
        <f aca="false">ROUND(5.07/FX,2)</f>
        <v>0.7</v>
      </c>
      <c r="D540" s="21" t="s">
        <v>29050</v>
      </c>
      <c r="E540" s="21" t="s">
        <v>29051</v>
      </c>
      <c r="F540" s="21" t="s">
        <v>29047</v>
      </c>
    </row>
    <row r="541" customFormat="false" ht="28.35" hidden="false" customHeight="false" outlineLevel="0" collapsed="false">
      <c r="B541" s="19" t="s">
        <v>29052</v>
      </c>
      <c r="C541" s="20" t="n">
        <f aca="false">ROUND(2.6/FX,2)</f>
        <v>0.36</v>
      </c>
      <c r="D541" s="21" t="s">
        <v>29050</v>
      </c>
      <c r="E541" s="21" t="s">
        <v>29051</v>
      </c>
      <c r="F541" s="21" t="s">
        <v>29053</v>
      </c>
    </row>
    <row r="542" customFormat="false" ht="28.35" hidden="false" customHeight="false" outlineLevel="0" collapsed="false">
      <c r="B542" s="19" t="s">
        <v>29054</v>
      </c>
      <c r="C542" s="20" t="n">
        <f aca="false">ROUND(5.07/FX,2)</f>
        <v>0.7</v>
      </c>
      <c r="D542" s="21" t="s">
        <v>29055</v>
      </c>
      <c r="E542" s="21" t="s">
        <v>29051</v>
      </c>
      <c r="F542" s="21" t="s">
        <v>29047</v>
      </c>
    </row>
    <row r="543" customFormat="false" ht="28.35" hidden="false" customHeight="false" outlineLevel="0" collapsed="false">
      <c r="B543" s="19" t="s">
        <v>29056</v>
      </c>
      <c r="C543" s="20" t="n">
        <f aca="false">ROUND(3.38/FX,2)</f>
        <v>0.47</v>
      </c>
      <c r="D543" s="21" t="s">
        <v>29055</v>
      </c>
      <c r="E543" s="21" t="s">
        <v>29051</v>
      </c>
      <c r="F543" s="21" t="s">
        <v>29053</v>
      </c>
    </row>
    <row r="544" customFormat="false" ht="28.35" hidden="false" customHeight="false" outlineLevel="0" collapsed="false">
      <c r="B544" s="19" t="s">
        <v>29057</v>
      </c>
      <c r="C544" s="20" t="n">
        <f aca="false">ROUND(5.07/FX,2)</f>
        <v>0.7</v>
      </c>
      <c r="D544" s="21" t="s">
        <v>29058</v>
      </c>
      <c r="E544" s="21" t="s">
        <v>29051</v>
      </c>
      <c r="F544" s="21" t="s">
        <v>29047</v>
      </c>
    </row>
    <row r="545" customFormat="false" ht="28.35" hidden="false" customHeight="false" outlineLevel="0" collapsed="false">
      <c r="B545" s="19" t="s">
        <v>29059</v>
      </c>
      <c r="C545" s="20" t="n">
        <f aca="false">ROUND(3.9/FX,2)</f>
        <v>0.54</v>
      </c>
      <c r="D545" s="21" t="s">
        <v>29058</v>
      </c>
      <c r="E545" s="21" t="s">
        <v>29051</v>
      </c>
      <c r="F545" s="21" t="s">
        <v>29053</v>
      </c>
    </row>
    <row r="546" customFormat="false" ht="15" hidden="false" customHeight="false" outlineLevel="0" collapsed="false">
      <c r="B546" s="19" t="s">
        <v>29060</v>
      </c>
      <c r="C546" s="20" t="n">
        <f aca="false">ROUND(13/FX,2)</f>
        <v>1.81</v>
      </c>
      <c r="D546" s="21" t="s">
        <v>29061</v>
      </c>
      <c r="E546" s="21" t="s">
        <v>29062</v>
      </c>
      <c r="F546" s="21" t="s">
        <v>29047</v>
      </c>
    </row>
    <row r="547" customFormat="false" ht="15" hidden="false" customHeight="false" outlineLevel="0" collapsed="false">
      <c r="B547" s="19" t="s">
        <v>29063</v>
      </c>
      <c r="C547" s="20" t="n">
        <f aca="false">ROUND(13/FX,2)</f>
        <v>1.81</v>
      </c>
      <c r="D547" s="21" t="s">
        <v>29064</v>
      </c>
      <c r="E547" s="21" t="s">
        <v>29062</v>
      </c>
      <c r="F547" s="21" t="s">
        <v>29047</v>
      </c>
    </row>
    <row r="550" customFormat="false" ht="61.5" hidden="false" customHeight="true" outlineLevel="0" collapsed="false">
      <c r="A550" s="9"/>
      <c r="B550" s="10" t="s">
        <v>29065</v>
      </c>
      <c r="C550" s="10"/>
      <c r="D550" s="10"/>
    </row>
    <row r="551" customFormat="false" ht="15" hidden="false" customHeight="false" outlineLevel="0" collapsed="false">
      <c r="B551" s="18" t="s">
        <v>701</v>
      </c>
      <c r="C551" s="18" t="s">
        <v>702</v>
      </c>
      <c r="D551" s="18" t="s">
        <v>5610</v>
      </c>
    </row>
    <row r="552" customFormat="false" ht="15" hidden="false" customHeight="false" outlineLevel="0" collapsed="false">
      <c r="B552" s="19" t="s">
        <v>29066</v>
      </c>
      <c r="C552" s="20" t="n">
        <f aca="false">ROUND(31.58/FX,2)</f>
        <v>4.39</v>
      </c>
      <c r="D552" s="22" t="s">
        <v>5612</v>
      </c>
    </row>
    <row r="555" customFormat="false" ht="61.5" hidden="false" customHeight="true" outlineLevel="0" collapsed="false">
      <c r="A555" s="9"/>
      <c r="B555" s="10" t="s">
        <v>29067</v>
      </c>
      <c r="C555" s="10"/>
      <c r="D555" s="10"/>
    </row>
    <row r="556" customFormat="false" ht="15" hidden="false" customHeight="false" outlineLevel="0" collapsed="false">
      <c r="B556" s="18" t="s">
        <v>701</v>
      </c>
      <c r="C556" s="18" t="s">
        <v>702</v>
      </c>
      <c r="D556" s="18" t="s">
        <v>5610</v>
      </c>
    </row>
    <row r="557" customFormat="false" ht="15" hidden="false" customHeight="false" outlineLevel="0" collapsed="false">
      <c r="B557" s="19" t="s">
        <v>29068</v>
      </c>
      <c r="C557" s="20" t="n">
        <f aca="false">ROUND(2.08/FX,2)</f>
        <v>0.29</v>
      </c>
      <c r="D557" s="22" t="s">
        <v>5612</v>
      </c>
    </row>
    <row r="560" customFormat="false" ht="61.5" hidden="false" customHeight="true" outlineLevel="0" collapsed="false">
      <c r="A560" s="9"/>
      <c r="B560" s="10" t="s">
        <v>29069</v>
      </c>
      <c r="C560" s="10"/>
      <c r="D560" s="10"/>
      <c r="E560" s="10"/>
    </row>
    <row r="561" customFormat="false" ht="15" hidden="false" customHeight="false" outlineLevel="0" collapsed="false">
      <c r="A561" s="12" t="s">
        <v>700</v>
      </c>
      <c r="B561" s="13" t="s">
        <v>701</v>
      </c>
      <c r="C561" s="13" t="s">
        <v>702</v>
      </c>
      <c r="D561" s="13" t="s">
        <v>722</v>
      </c>
      <c r="E561" s="13" t="s">
        <v>13701</v>
      </c>
    </row>
    <row r="562" customFormat="false" ht="30" hidden="false" customHeight="true" outlineLevel="0" collapsed="false">
      <c r="A562" s="14" t="s">
        <v>706</v>
      </c>
      <c r="B562" s="15" t="str">
        <f aca="false">IF(COUNTIFS($D$565:$D$567,IF(D562="","*",D562),$E$565:$E$567,IF(E562="","*",E562))=1,INDEX($B:$B,SUMPRODUCT(((D562="")+($D$565:$D$567=D562)&gt;0)*((E562="")+($E$565:$E$567=E562)&gt;0)*ROW($B$565:$B$567))),IF(COUNTIFS($D$565:$D$567,IF(D562="","*",D562),$E$565:$E$567,IF(E562="","*",E562))=0,"Not available",COUNTIFS($D$565:$D$567,IF(D562="","*",D562),$E$565:$E$567,IF(E562="","*",E562))&amp;" match, keep choosing"))</f>
        <v>P3-082-M4.2x19-BK</v>
      </c>
      <c r="C562" s="16" t="n">
        <f aca="false">IF(COUNTIFS($D$565:$D$567,IF(D562="","*",D562),$E$565:$E$567,IF(E562="","*",E562))=1,INDEX($C:$C,SUMPRODUCT(((D562="")+($D$565:$D$567=D562)&gt;0)*((E562="")+($E$565:$E$567=E562)&gt;0)*ROW($B$565:$B$567))),"")</f>
        <v>0.11</v>
      </c>
      <c r="D562" s="17" t="s">
        <v>724</v>
      </c>
      <c r="E562" s="17" t="s">
        <v>29070</v>
      </c>
    </row>
    <row r="564" customFormat="false" ht="15" hidden="false" customHeight="false" outlineLevel="0" collapsed="false">
      <c r="B564" s="18" t="s">
        <v>701</v>
      </c>
      <c r="C564" s="18" t="s">
        <v>702</v>
      </c>
      <c r="D564" s="18" t="s">
        <v>722</v>
      </c>
      <c r="E564" s="18" t="s">
        <v>13701</v>
      </c>
    </row>
    <row r="565" customFormat="false" ht="15" hidden="false" customHeight="false" outlineLevel="0" collapsed="false">
      <c r="B565" s="19" t="s">
        <v>29071</v>
      </c>
      <c r="C565" s="20" t="n">
        <f aca="false">ROUND(0.78/FX,2)</f>
        <v>0.11</v>
      </c>
      <c r="D565" s="21" t="s">
        <v>724</v>
      </c>
      <c r="E565" s="21" t="s">
        <v>29070</v>
      </c>
    </row>
    <row r="566" customFormat="false" ht="15" hidden="false" customHeight="false" outlineLevel="0" collapsed="false">
      <c r="B566" s="19" t="s">
        <v>29072</v>
      </c>
      <c r="C566" s="20" t="n">
        <f aca="false">ROUND(1.04/FX,2)</f>
        <v>0.14</v>
      </c>
      <c r="D566" s="21" t="s">
        <v>724</v>
      </c>
      <c r="E566" s="21" t="s">
        <v>29073</v>
      </c>
    </row>
    <row r="567" customFormat="false" ht="15" hidden="false" customHeight="false" outlineLevel="0" collapsed="false">
      <c r="B567" s="19" t="s">
        <v>29074</v>
      </c>
      <c r="C567" s="20" t="n">
        <f aca="false">ROUND(0.88/FX,2)</f>
        <v>0.12</v>
      </c>
      <c r="D567" s="21" t="s">
        <v>6549</v>
      </c>
      <c r="E567" s="21" t="s">
        <v>29073</v>
      </c>
    </row>
    <row r="570" customFormat="false" ht="61.5" hidden="false" customHeight="true" outlineLevel="0" collapsed="false">
      <c r="A570" s="9"/>
      <c r="B570" s="10" t="s">
        <v>29075</v>
      </c>
      <c r="C570" s="10"/>
      <c r="D570" s="10"/>
      <c r="E570" s="10"/>
    </row>
    <row r="571" customFormat="false" ht="15" hidden="false" customHeight="false" outlineLevel="0" collapsed="false">
      <c r="A571" s="12" t="s">
        <v>700</v>
      </c>
      <c r="B571" s="13" t="s">
        <v>701</v>
      </c>
      <c r="C571" s="13" t="s">
        <v>702</v>
      </c>
      <c r="D571" s="13" t="s">
        <v>24797</v>
      </c>
      <c r="E571" s="13" t="s">
        <v>29076</v>
      </c>
    </row>
    <row r="572" customFormat="false" ht="30" hidden="false" customHeight="true" outlineLevel="0" collapsed="false">
      <c r="A572" s="14" t="s">
        <v>706</v>
      </c>
      <c r="B572" s="15" t="str">
        <f aca="false">IF(COUNTIFS($D$575:$D$576,IF(D572="","*",D572),$E$575:$E$576,IF(E572="","*",E572))=1,INDEX($B:$B,SUMPRODUCT(((D572="")+($D$575:$D$576=D572)&gt;0)*((E572="")+($E$575:$E$576=E572)&gt;0)*ROW($B$575:$B$576))),IF(COUNTIFS($D$575:$D$576,IF(D572="","*",D572),$E$575:$E$576,IF(E572="","*",E572))=0,"Not available",COUNTIFS($D$575:$D$576,IF(D572="","*",D572),$E$575:$E$576,IF(E572="","*",E572))&amp;" match, keep choosing"))</f>
        <v>P3-010-HD3-K3</v>
      </c>
      <c r="C572" s="16" t="n">
        <f aca="false">IF(COUNTIFS($D$575:$D$576,IF(D572="","*",D572),$E$575:$E$576,IF(E572="","*",E572))=1,INDEX($C:$C,SUMPRODUCT(((D572="")+($D$575:$D$576=D572)&gt;0)*((E572="")+($E$575:$E$576=E572)&gt;0)*ROW($B$575:$B$576))),"")</f>
        <v>0.05</v>
      </c>
      <c r="D572" s="17" t="s">
        <v>839</v>
      </c>
      <c r="E572" s="17" t="s">
        <v>839</v>
      </c>
    </row>
    <row r="574" customFormat="false" ht="15" hidden="false" customHeight="false" outlineLevel="0" collapsed="false">
      <c r="B574" s="18" t="s">
        <v>701</v>
      </c>
      <c r="C574" s="18" t="s">
        <v>702</v>
      </c>
      <c r="D574" s="18" t="s">
        <v>24797</v>
      </c>
      <c r="E574" s="18" t="s">
        <v>29076</v>
      </c>
    </row>
    <row r="575" customFormat="false" ht="15" hidden="false" customHeight="false" outlineLevel="0" collapsed="false">
      <c r="B575" s="19" t="s">
        <v>29077</v>
      </c>
      <c r="C575" s="20" t="n">
        <f aca="false">ROUND(0.38/FX,2)</f>
        <v>0.05</v>
      </c>
      <c r="D575" s="21" t="s">
        <v>839</v>
      </c>
      <c r="E575" s="21" t="s">
        <v>839</v>
      </c>
    </row>
    <row r="576" customFormat="false" ht="15" hidden="false" customHeight="false" outlineLevel="0" collapsed="false">
      <c r="B576" s="19" t="s">
        <v>29078</v>
      </c>
      <c r="C576" s="20" t="n">
        <f aca="false">ROUND(0.48/FX,2)</f>
        <v>0.07</v>
      </c>
      <c r="D576" s="21" t="s">
        <v>841</v>
      </c>
      <c r="E576" s="21" t="s">
        <v>841</v>
      </c>
    </row>
    <row r="579" customFormat="false" ht="61.5" hidden="false" customHeight="true" outlineLevel="0" collapsed="false">
      <c r="A579" s="9"/>
      <c r="B579" s="10" t="s">
        <v>29079</v>
      </c>
      <c r="C579" s="10"/>
      <c r="D579" s="10"/>
    </row>
    <row r="580" customFormat="false" ht="15" hidden="false" customHeight="false" outlineLevel="0" collapsed="false">
      <c r="B580" s="18" t="s">
        <v>701</v>
      </c>
      <c r="C580" s="18" t="s">
        <v>702</v>
      </c>
      <c r="D580" s="18" t="s">
        <v>5610</v>
      </c>
    </row>
    <row r="581" customFormat="false" ht="15" hidden="false" customHeight="false" outlineLevel="0" collapsed="false">
      <c r="B581" s="19" t="s">
        <v>29080</v>
      </c>
      <c r="C581" s="20" t="n">
        <f aca="false">ROUND(1.17/FX,2)</f>
        <v>0.16</v>
      </c>
      <c r="D581" s="22" t="s">
        <v>5612</v>
      </c>
    </row>
    <row r="584" customFormat="false" ht="61.5" hidden="false" customHeight="true" outlineLevel="0" collapsed="false">
      <c r="A584" s="9"/>
      <c r="B584" s="10" t="s">
        <v>29081</v>
      </c>
      <c r="C584" s="10"/>
      <c r="D584" s="10"/>
    </row>
    <row r="585" customFormat="false" ht="15" hidden="false" customHeight="false" outlineLevel="0" collapsed="false">
      <c r="B585" s="18" t="s">
        <v>701</v>
      </c>
      <c r="C585" s="18" t="s">
        <v>702</v>
      </c>
      <c r="D585" s="18" t="s">
        <v>5610</v>
      </c>
    </row>
    <row r="586" customFormat="false" ht="15" hidden="false" customHeight="false" outlineLevel="0" collapsed="false">
      <c r="B586" s="19" t="s">
        <v>29082</v>
      </c>
      <c r="C586" s="20" t="n">
        <f aca="false">ROUND(3.25/FX,2)</f>
        <v>0.45</v>
      </c>
      <c r="D586" s="22" t="s">
        <v>5612</v>
      </c>
    </row>
    <row r="589" customFormat="false" ht="61.5" hidden="false" customHeight="true" outlineLevel="0" collapsed="false">
      <c r="A589" s="9"/>
      <c r="B589" s="10" t="s">
        <v>29083</v>
      </c>
      <c r="C589" s="10"/>
      <c r="D589" s="10"/>
      <c r="E589" s="10"/>
    </row>
    <row r="590" customFormat="false" ht="15" hidden="false" customHeight="false" outlineLevel="0" collapsed="false">
      <c r="A590" s="12" t="s">
        <v>700</v>
      </c>
      <c r="B590" s="13" t="s">
        <v>701</v>
      </c>
      <c r="C590" s="13" t="s">
        <v>702</v>
      </c>
      <c r="D590" s="13" t="s">
        <v>705</v>
      </c>
      <c r="E590" s="13" t="s">
        <v>13701</v>
      </c>
    </row>
    <row r="591" customFormat="false" ht="30" hidden="false" customHeight="true" outlineLevel="0" collapsed="false">
      <c r="A591" s="14" t="s">
        <v>706</v>
      </c>
      <c r="B591" s="15" t="str">
        <f aca="false">IF(COUNTIFS($D$594:$D$611,IF(D591="","*",D591),$E$594:$E$611,IF(E591="","*",E591))=1,INDEX($B:$B,SUMPRODUCT(((D591="")+($D$594:$D$611=D591)&gt;0)*((E591="")+($E$594:$E$611=E591)&gt;0)*ROW($B$594:$B$611))),IF(COUNTIFS($D$594:$D$611,IF(D591="","*",D591),$E$594:$E$611,IF(E591="","*",E591))=0,"Not available",COUNTIFS($D$594:$D$611,IF(D591="","*",D591),$E$594:$E$611,IF(E591="","*",E591))&amp;" match, keep choosing"))</f>
        <v>P3-025-M5x10-P100</v>
      </c>
      <c r="C591" s="16" t="n">
        <f aca="false">IF(COUNTIFS($D$594:$D$611,IF(D591="","*",D591),$E$594:$E$611,IF(E591="","*",E591))=1,INDEX($C:$C,SUMPRODUCT(((D591="")+($D$594:$D$611=D591)&gt;0)*((E591="")+($E$594:$E$611=E591)&gt;0)*ROW($B$594:$B$611))),"")</f>
        <v>0.67</v>
      </c>
      <c r="D591" s="17" t="s">
        <v>23567</v>
      </c>
      <c r="E591" s="17" t="s">
        <v>23566</v>
      </c>
    </row>
    <row r="593" customFormat="false" ht="15" hidden="false" customHeight="false" outlineLevel="0" collapsed="false">
      <c r="B593" s="18" t="s">
        <v>701</v>
      </c>
      <c r="C593" s="18" t="s">
        <v>702</v>
      </c>
      <c r="D593" s="18" t="s">
        <v>705</v>
      </c>
      <c r="E593" s="18" t="s">
        <v>13701</v>
      </c>
    </row>
    <row r="594" customFormat="false" ht="15" hidden="false" customHeight="false" outlineLevel="0" collapsed="false">
      <c r="B594" s="19" t="s">
        <v>29084</v>
      </c>
      <c r="C594" s="20" t="n">
        <f aca="false">ROUND(4.81/FX,2)</f>
        <v>0.67</v>
      </c>
      <c r="D594" s="21" t="s">
        <v>23567</v>
      </c>
      <c r="E594" s="21" t="s">
        <v>23566</v>
      </c>
    </row>
    <row r="595" customFormat="false" ht="15" hidden="false" customHeight="false" outlineLevel="0" collapsed="false">
      <c r="B595" s="19" t="s">
        <v>29085</v>
      </c>
      <c r="C595" s="20" t="n">
        <f aca="false">ROUND(2.73/FX,2)</f>
        <v>0.38</v>
      </c>
      <c r="D595" s="21" t="s">
        <v>21725</v>
      </c>
      <c r="E595" s="21" t="s">
        <v>23549</v>
      </c>
    </row>
    <row r="596" customFormat="false" ht="15" hidden="false" customHeight="false" outlineLevel="0" collapsed="false">
      <c r="B596" s="19" t="s">
        <v>29086</v>
      </c>
      <c r="C596" s="20" t="n">
        <f aca="false">ROUND(3.12/FX,2)</f>
        <v>0.43</v>
      </c>
      <c r="D596" s="21" t="s">
        <v>21725</v>
      </c>
      <c r="E596" s="21" t="s">
        <v>29087</v>
      </c>
    </row>
    <row r="597" customFormat="false" ht="15" hidden="false" customHeight="false" outlineLevel="0" collapsed="false">
      <c r="B597" s="19" t="s">
        <v>29088</v>
      </c>
      <c r="C597" s="20" t="n">
        <f aca="false">ROUND(0.39/FX,2)</f>
        <v>0.05</v>
      </c>
      <c r="D597" s="21" t="s">
        <v>13743</v>
      </c>
      <c r="E597" s="21" t="s">
        <v>23572</v>
      </c>
    </row>
    <row r="598" customFormat="false" ht="15" hidden="false" customHeight="false" outlineLevel="0" collapsed="false">
      <c r="B598" s="19" t="s">
        <v>29089</v>
      </c>
      <c r="C598" s="20" t="n">
        <f aca="false">ROUND(1.07/FX,2)</f>
        <v>0.15</v>
      </c>
      <c r="D598" s="21" t="s">
        <v>13978</v>
      </c>
      <c r="E598" s="21" t="s">
        <v>13718</v>
      </c>
    </row>
    <row r="599" customFormat="false" ht="15" hidden="false" customHeight="false" outlineLevel="0" collapsed="false">
      <c r="B599" s="19" t="s">
        <v>29090</v>
      </c>
      <c r="C599" s="20" t="n">
        <f aca="false">ROUND(0.17/FX,2)</f>
        <v>0.02</v>
      </c>
      <c r="D599" s="21" t="s">
        <v>13739</v>
      </c>
      <c r="E599" s="21" t="s">
        <v>23574</v>
      </c>
    </row>
    <row r="600" customFormat="false" ht="15" hidden="false" customHeight="false" outlineLevel="0" collapsed="false">
      <c r="B600" s="19" t="s">
        <v>29091</v>
      </c>
      <c r="C600" s="20" t="n">
        <f aca="false">ROUND(1.05/FX,2)</f>
        <v>0.15</v>
      </c>
      <c r="D600" s="21" t="s">
        <v>21722</v>
      </c>
      <c r="E600" s="21" t="s">
        <v>29092</v>
      </c>
    </row>
    <row r="601" customFormat="false" ht="15" hidden="false" customHeight="false" outlineLevel="0" collapsed="false">
      <c r="B601" s="19" t="s">
        <v>29093</v>
      </c>
      <c r="C601" s="20" t="n">
        <f aca="false">ROUND(4.42/FX,2)</f>
        <v>0.61</v>
      </c>
      <c r="D601" s="21" t="s">
        <v>21725</v>
      </c>
      <c r="E601" s="21" t="s">
        <v>22475</v>
      </c>
    </row>
    <row r="602" customFormat="false" ht="15" hidden="false" customHeight="false" outlineLevel="0" collapsed="false">
      <c r="B602" s="19" t="s">
        <v>29094</v>
      </c>
      <c r="C602" s="20" t="n">
        <f aca="false">ROUND(0.46/FX,2)</f>
        <v>0.06</v>
      </c>
      <c r="D602" s="21" t="s">
        <v>13743</v>
      </c>
      <c r="E602" s="21" t="s">
        <v>29095</v>
      </c>
    </row>
    <row r="603" customFormat="false" ht="15" hidden="false" customHeight="false" outlineLevel="0" collapsed="false">
      <c r="B603" s="19" t="s">
        <v>29096</v>
      </c>
      <c r="C603" s="20" t="n">
        <f aca="false">ROUND(9.49/FX,2)</f>
        <v>1.32</v>
      </c>
      <c r="D603" s="21" t="s">
        <v>23567</v>
      </c>
      <c r="E603" s="21" t="s">
        <v>29097</v>
      </c>
    </row>
    <row r="604" customFormat="false" ht="15" hidden="false" customHeight="false" outlineLevel="0" collapsed="false">
      <c r="B604" s="19" t="s">
        <v>29098</v>
      </c>
      <c r="C604" s="20" t="n">
        <f aca="false">ROUND(2.6/FX,2)</f>
        <v>0.36</v>
      </c>
      <c r="D604" s="21" t="s">
        <v>13997</v>
      </c>
      <c r="E604" s="21" t="s">
        <v>29099</v>
      </c>
    </row>
    <row r="605" customFormat="false" ht="15" hidden="false" customHeight="false" outlineLevel="0" collapsed="false">
      <c r="B605" s="19" t="s">
        <v>29100</v>
      </c>
      <c r="C605" s="20" t="n">
        <f aca="false">ROUND(2.7/FX,2)</f>
        <v>0.38</v>
      </c>
      <c r="D605" s="21" t="s">
        <v>13997</v>
      </c>
      <c r="E605" s="21" t="s">
        <v>29101</v>
      </c>
    </row>
    <row r="606" customFormat="false" ht="15" hidden="false" customHeight="false" outlineLevel="0" collapsed="false">
      <c r="B606" s="19" t="s">
        <v>29102</v>
      </c>
      <c r="C606" s="20" t="n">
        <f aca="false">ROUND(2.21/FX,2)</f>
        <v>0.31</v>
      </c>
      <c r="D606" s="21" t="s">
        <v>13743</v>
      </c>
      <c r="E606" s="21" t="s">
        <v>29103</v>
      </c>
    </row>
    <row r="607" customFormat="false" ht="15" hidden="false" customHeight="false" outlineLevel="0" collapsed="false">
      <c r="B607" s="19" t="s">
        <v>29104</v>
      </c>
      <c r="C607" s="20" t="n">
        <f aca="false">ROUND(3.6/FX,2)</f>
        <v>0.5</v>
      </c>
      <c r="D607" s="21" t="s">
        <v>13997</v>
      </c>
      <c r="E607" s="21" t="s">
        <v>29105</v>
      </c>
    </row>
    <row r="608" customFormat="false" ht="15" hidden="false" customHeight="false" outlineLevel="0" collapsed="false">
      <c r="B608" s="19" t="s">
        <v>29106</v>
      </c>
      <c r="C608" s="20" t="n">
        <f aca="false">ROUND(4.55/FX,2)</f>
        <v>0.63</v>
      </c>
      <c r="D608" s="21" t="s">
        <v>23567</v>
      </c>
      <c r="E608" s="21" t="s">
        <v>29107</v>
      </c>
    </row>
    <row r="609" customFormat="false" ht="15" hidden="false" customHeight="false" outlineLevel="0" collapsed="false">
      <c r="B609" s="19" t="s">
        <v>29108</v>
      </c>
      <c r="C609" s="20" t="n">
        <f aca="false">ROUND(3.9/FX,2)</f>
        <v>0.54</v>
      </c>
      <c r="D609" s="21" t="s">
        <v>13997</v>
      </c>
      <c r="E609" s="21" t="s">
        <v>29109</v>
      </c>
    </row>
    <row r="610" customFormat="false" ht="15" hidden="false" customHeight="false" outlineLevel="0" collapsed="false">
      <c r="B610" s="19" t="s">
        <v>29110</v>
      </c>
      <c r="C610" s="20" t="n">
        <f aca="false">ROUND(4.2/FX,2)</f>
        <v>0.58</v>
      </c>
      <c r="D610" s="21" t="s">
        <v>13997</v>
      </c>
      <c r="E610" s="21" t="s">
        <v>29111</v>
      </c>
    </row>
    <row r="611" customFormat="false" ht="15" hidden="false" customHeight="false" outlineLevel="0" collapsed="false">
      <c r="B611" s="19" t="s">
        <v>29112</v>
      </c>
      <c r="C611" s="20" t="n">
        <f aca="false">ROUND(2.08/FX,2)</f>
        <v>0.29</v>
      </c>
      <c r="D611" s="21" t="s">
        <v>21725</v>
      </c>
      <c r="E611" s="21" t="s">
        <v>28329</v>
      </c>
    </row>
    <row r="614" customFormat="false" ht="61.5" hidden="false" customHeight="true" outlineLevel="0" collapsed="false">
      <c r="A614" s="9"/>
      <c r="B614" s="10" t="s">
        <v>29113</v>
      </c>
      <c r="C614" s="10"/>
      <c r="D614" s="10"/>
      <c r="E614" s="10"/>
      <c r="F614" s="10"/>
      <c r="G614" s="10"/>
    </row>
    <row r="615" customFormat="false" ht="15" hidden="false" customHeight="false" outlineLevel="0" collapsed="false">
      <c r="A615" s="12" t="s">
        <v>700</v>
      </c>
      <c r="B615" s="13" t="s">
        <v>701</v>
      </c>
      <c r="C615" s="13" t="s">
        <v>702</v>
      </c>
      <c r="D615" s="13" t="s">
        <v>704</v>
      </c>
      <c r="E615" s="13" t="s">
        <v>705</v>
      </c>
      <c r="F615" s="13" t="s">
        <v>723</v>
      </c>
      <c r="G615" s="13" t="s">
        <v>6523</v>
      </c>
    </row>
    <row r="616" customFormat="false" ht="30" hidden="false" customHeight="true" outlineLevel="0" collapsed="false">
      <c r="A616" s="14" t="s">
        <v>706</v>
      </c>
      <c r="B616" s="15" t="str">
        <f aca="false">IF(COUNTIFS($D$619:$D$626,IF(D616="","*",D616),$E$619:$E$626,IF(E616="","*",E616),$F$619:$F$626,IF(F616="","*",F616),$G$619:$G$626,IF(G616="","*",G616))=1,INDEX($B:$B,SUMPRODUCT(((D616="")+($D$619:$D$626=D616)&gt;0)*((E616="")+($E$619:$E$626=E616)&gt;0)*((F616="")+($F$619:$F$626=F616)&gt;0)*((G616="")+($G$619:$G$626=G616)&gt;0)*ROW($B$619:$B$626))),IF(COUNTIFS($D$619:$D$626,IF(D616="","*",D616),$E$619:$E$626,IF(E616="","*",E616),$F$619:$F$626,IF(F616="","*",F616),$G$619:$G$626,IF(G616="","*",G616))=0,"Not available",COUNTIFS($D$619:$D$626,IF(D616="","*",D616),$E$619:$E$626,IF(E616="","*",E616),$F$619:$F$626,IF(F616="","*",F616),$G$619:$G$626,IF(G616="","*",G616))&amp;" match, keep choosing"))</f>
        <v>P3-020-11x15.7x1-BR-P5</v>
      </c>
      <c r="C616" s="16" t="n">
        <f aca="false">IF(COUNTIFS($D$619:$D$626,IF(D616="","*",D616),$E$619:$E$626,IF(E616="","*",E616),$F$619:$F$626,IF(F616="","*",F616),$G$619:$G$626,IF(G616="","*",G616))=1,INDEX($C:$C,SUMPRODUCT(((D616="")+($D$619:$D$626=D616)&gt;0)*((E616="")+($E$619:$E$626=E616)&gt;0)*((F616="")+($F$619:$F$626=F616)&gt;0)*((G616="")+($G$619:$G$626=G616)&gt;0)*ROW($B$619:$B$626))),"")</f>
        <v>0.22</v>
      </c>
      <c r="D616" s="17" t="s">
        <v>6336</v>
      </c>
      <c r="E616" s="17" t="s">
        <v>13743</v>
      </c>
      <c r="F616" s="17" t="s">
        <v>128</v>
      </c>
      <c r="G616" s="17" t="s">
        <v>29114</v>
      </c>
    </row>
    <row r="618" customFormat="false" ht="15" hidden="false" customHeight="false" outlineLevel="0" collapsed="false">
      <c r="B618" s="18" t="s">
        <v>701</v>
      </c>
      <c r="C618" s="18" t="s">
        <v>702</v>
      </c>
      <c r="D618" s="18" t="s">
        <v>704</v>
      </c>
      <c r="E618" s="18" t="s">
        <v>705</v>
      </c>
      <c r="F618" s="18" t="s">
        <v>723</v>
      </c>
      <c r="G618" s="18" t="s">
        <v>6523</v>
      </c>
    </row>
    <row r="619" customFormat="false" ht="15" hidden="false" customHeight="false" outlineLevel="0" collapsed="false">
      <c r="B619" s="19" t="s">
        <v>29115</v>
      </c>
      <c r="C619" s="20" t="n">
        <f aca="false">ROUND(1.56/FX,2)</f>
        <v>0.22</v>
      </c>
      <c r="D619" s="21" t="s">
        <v>6336</v>
      </c>
      <c r="E619" s="21" t="s">
        <v>13743</v>
      </c>
      <c r="F619" s="21" t="s">
        <v>128</v>
      </c>
      <c r="G619" s="21" t="s">
        <v>29114</v>
      </c>
    </row>
    <row r="620" customFormat="false" ht="15" hidden="false" customHeight="false" outlineLevel="0" collapsed="false">
      <c r="B620" s="19" t="s">
        <v>29116</v>
      </c>
      <c r="C620" s="20" t="n">
        <f aca="false">ROUND(0.13/FX,2)</f>
        <v>0.02</v>
      </c>
      <c r="D620" s="21" t="s">
        <v>6336</v>
      </c>
      <c r="E620" s="21" t="s">
        <v>13732</v>
      </c>
      <c r="F620" s="21" t="s">
        <v>128</v>
      </c>
      <c r="G620" s="21" t="s">
        <v>27847</v>
      </c>
    </row>
    <row r="621" customFormat="false" ht="15" hidden="false" customHeight="false" outlineLevel="0" collapsed="false">
      <c r="B621" s="19" t="s">
        <v>29117</v>
      </c>
      <c r="C621" s="20" t="n">
        <f aca="false">ROUND(1.04/FX,2)</f>
        <v>0.14</v>
      </c>
      <c r="D621" s="21" t="s">
        <v>8669</v>
      </c>
      <c r="E621" s="21" t="s">
        <v>13743</v>
      </c>
      <c r="F621" s="21" t="s">
        <v>734</v>
      </c>
      <c r="G621" s="21" t="s">
        <v>27847</v>
      </c>
    </row>
    <row r="622" customFormat="false" ht="15" hidden="false" customHeight="false" outlineLevel="0" collapsed="false">
      <c r="B622" s="19" t="s">
        <v>29118</v>
      </c>
      <c r="C622" s="20" t="n">
        <f aca="false">ROUND(0.91/FX,2)</f>
        <v>0.13</v>
      </c>
      <c r="D622" s="21" t="s">
        <v>6336</v>
      </c>
      <c r="E622" s="21" t="s">
        <v>13997</v>
      </c>
      <c r="F622" s="21" t="s">
        <v>128</v>
      </c>
      <c r="G622" s="21" t="s">
        <v>29119</v>
      </c>
    </row>
    <row r="623" customFormat="false" ht="15" hidden="false" customHeight="false" outlineLevel="0" collapsed="false">
      <c r="B623" s="19" t="s">
        <v>29120</v>
      </c>
      <c r="C623" s="20" t="n">
        <f aca="false">ROUND(0.13/FX,2)</f>
        <v>0.02</v>
      </c>
      <c r="D623" s="21" t="s">
        <v>6336</v>
      </c>
      <c r="E623" s="21" t="s">
        <v>13732</v>
      </c>
      <c r="F623" s="21" t="s">
        <v>128</v>
      </c>
      <c r="G623" s="21" t="s">
        <v>27854</v>
      </c>
    </row>
    <row r="624" customFormat="false" ht="15" hidden="false" customHeight="false" outlineLevel="0" collapsed="false">
      <c r="B624" s="19" t="s">
        <v>29121</v>
      </c>
      <c r="C624" s="20" t="n">
        <f aca="false">ROUND(1.95/FX,2)</f>
        <v>0.27</v>
      </c>
      <c r="D624" s="21" t="s">
        <v>8669</v>
      </c>
      <c r="E624" s="21" t="s">
        <v>13997</v>
      </c>
      <c r="F624" s="21" t="s">
        <v>734</v>
      </c>
      <c r="G624" s="21" t="s">
        <v>27854</v>
      </c>
    </row>
    <row r="625" customFormat="false" ht="15" hidden="false" customHeight="false" outlineLevel="0" collapsed="false">
      <c r="B625" s="19" t="s">
        <v>29122</v>
      </c>
      <c r="C625" s="20" t="n">
        <f aca="false">ROUND(1.07/FX,2)</f>
        <v>0.15</v>
      </c>
      <c r="D625" s="21" t="s">
        <v>8669</v>
      </c>
      <c r="E625" s="21" t="s">
        <v>13743</v>
      </c>
      <c r="F625" s="21" t="s">
        <v>734</v>
      </c>
      <c r="G625" s="21" t="s">
        <v>29123</v>
      </c>
    </row>
    <row r="626" customFormat="false" ht="15" hidden="false" customHeight="false" outlineLevel="0" collapsed="false">
      <c r="B626" s="19" t="s">
        <v>29124</v>
      </c>
      <c r="C626" s="20" t="n">
        <f aca="false">ROUND(1.25/FX,2)</f>
        <v>0.17</v>
      </c>
      <c r="D626" s="21" t="s">
        <v>10204</v>
      </c>
      <c r="E626" s="21" t="s">
        <v>14013</v>
      </c>
      <c r="F626" s="21" t="s">
        <v>734</v>
      </c>
      <c r="G626" s="21" t="s">
        <v>29125</v>
      </c>
    </row>
    <row r="629" customFormat="false" ht="61.5" hidden="false" customHeight="true" outlineLevel="0" collapsed="false">
      <c r="A629" s="9"/>
      <c r="B629" s="10" t="s">
        <v>29126</v>
      </c>
      <c r="C629" s="10"/>
      <c r="D629" s="10"/>
      <c r="E629" s="10"/>
      <c r="F629" s="10"/>
      <c r="G629" s="10"/>
      <c r="H629" s="10"/>
      <c r="I629" s="10"/>
    </row>
    <row r="630" customFormat="false" ht="15" hidden="false" customHeight="false" outlineLevel="0" collapsed="false">
      <c r="A630" s="12" t="s">
        <v>700</v>
      </c>
      <c r="B630" s="13" t="s">
        <v>701</v>
      </c>
      <c r="C630" s="13" t="s">
        <v>702</v>
      </c>
      <c r="D630" s="13" t="s">
        <v>704</v>
      </c>
      <c r="E630" s="13" t="s">
        <v>705</v>
      </c>
      <c r="F630" s="13" t="s">
        <v>723</v>
      </c>
      <c r="G630" s="13" t="s">
        <v>6328</v>
      </c>
      <c r="H630" s="13" t="s">
        <v>29127</v>
      </c>
      <c r="I630" s="13" t="s">
        <v>29128</v>
      </c>
    </row>
    <row r="631" customFormat="false" ht="30" hidden="false" customHeight="true" outlineLevel="0" collapsed="false">
      <c r="A631" s="14" t="s">
        <v>706</v>
      </c>
      <c r="B631" s="15" t="str">
        <f aca="false">IF(COUNTIFS($D$634:$D$766,IF(D631="","*",D631),$E$634:$E$766,IF(E631="","*",E631),$F$634:$F$766,IF(F631="","*",F631),$G$634:$G$766,IF(G631="","*",G631),$H$634:$H$766,IF(H631="","*",H631),$I$634:$I$766,IF(I631="","*",I631))=1,INDEX($B:$B,SUMPRODUCT(((D631="")+($D$634:$D$766=D631)&gt;0)*((E631="")+($E$634:$E$766=E631)&gt;0)*((F631="")+($F$634:$F$766=F631)&gt;0)*((G631="")+($G$634:$G$766=G631)&gt;0)*((H631="")+($H$634:$H$766=H631)&gt;0)*((I631="")+($I$634:$I$766=I631)&gt;0)*ROW($B$634:$B$766))),IF(COUNTIFS($D$634:$D$766,IF(D631="","*",D631),$E$634:$E$766,IF(E631="","*",E631),$F$634:$F$766,IF(F631="","*",F631),$G$634:$G$766,IF(G631="","*",G631),$H$634:$H$766,IF(H631="","*",H631),$I$634:$I$766,IF(I631="","*",I631))=0,"Not available",COUNTIFS($D$634:$D$766,IF(D631="","*",D631),$E$634:$E$766,IF(E631="","*",E631),$F$634:$F$766,IF(F631="","*",F631),$G$634:$G$766,IF(G631="","*",G631),$H$634:$H$766,IF(H631="","*",H631),$I$634:$I$766,IF(I631="","*",I631))&amp;" match, keep choosing"))</f>
        <v>NZ-CHT-CP-1.75-0.4</v>
      </c>
      <c r="C631" s="16" t="n">
        <f aca="false">IF(COUNTIFS($D$634:$D$766,IF(D631="","*",D631),$E$634:$E$766,IF(E631="","*",E631),$F$634:$F$766,IF(F631="","*",F631),$G$634:$G$766,IF(G631="","*",G631),$H$634:$H$766,IF(H631="","*",H631),$I$634:$I$766,IF(I631="","*",I631))=1,INDEX($C:$C,SUMPRODUCT(((D631="")+($D$634:$D$766=D631)&gt;0)*((E631="")+($E$634:$E$766=E631)&gt;0)*((F631="")+($F$634:$F$766=F631)&gt;0)*((G631="")+($G$634:$G$766=G631)&gt;0)*((H631="")+($H$634:$H$766=H631)&gt;0)*((I631="")+($I$634:$I$766=I631)&gt;0)*ROW($B$634:$B$766))),"")</f>
        <v>0.99</v>
      </c>
      <c r="D631" s="17" t="s">
        <v>29129</v>
      </c>
      <c r="E631" s="17" t="s">
        <v>13732</v>
      </c>
      <c r="F631" s="17" t="s">
        <v>734</v>
      </c>
      <c r="G631" s="17" t="s">
        <v>29130</v>
      </c>
      <c r="H631" s="17" t="s">
        <v>21113</v>
      </c>
      <c r="I631" s="17" t="s">
        <v>20767</v>
      </c>
    </row>
    <row r="633" customFormat="false" ht="15" hidden="false" customHeight="false" outlineLevel="0" collapsed="false">
      <c r="B633" s="18" t="s">
        <v>701</v>
      </c>
      <c r="C633" s="18" t="s">
        <v>702</v>
      </c>
      <c r="D633" s="18" t="s">
        <v>704</v>
      </c>
      <c r="E633" s="18" t="s">
        <v>705</v>
      </c>
      <c r="F633" s="18" t="s">
        <v>723</v>
      </c>
      <c r="G633" s="18" t="s">
        <v>6328</v>
      </c>
      <c r="H633" s="18" t="s">
        <v>29127</v>
      </c>
      <c r="I633" s="18" t="s">
        <v>29128</v>
      </c>
    </row>
    <row r="634" customFormat="false" ht="15" hidden="false" customHeight="false" outlineLevel="0" collapsed="false">
      <c r="B634" s="19" t="s">
        <v>29131</v>
      </c>
      <c r="C634" s="20" t="n">
        <f aca="false">ROUND(7.15/FX,2)</f>
        <v>0.99</v>
      </c>
      <c r="D634" s="21" t="s">
        <v>29129</v>
      </c>
      <c r="E634" s="21" t="s">
        <v>13732</v>
      </c>
      <c r="F634" s="21" t="s">
        <v>734</v>
      </c>
      <c r="G634" s="21" t="s">
        <v>29130</v>
      </c>
      <c r="H634" s="21" t="s">
        <v>21113</v>
      </c>
      <c r="I634" s="21" t="s">
        <v>20767</v>
      </c>
    </row>
    <row r="635" customFormat="false" ht="15" hidden="false" customHeight="false" outlineLevel="0" collapsed="false">
      <c r="B635" s="19" t="s">
        <v>29132</v>
      </c>
      <c r="C635" s="20" t="n">
        <f aca="false">ROUND(7.15/FX,2)</f>
        <v>0.99</v>
      </c>
      <c r="D635" s="21" t="s">
        <v>29129</v>
      </c>
      <c r="E635" s="21" t="s">
        <v>13732</v>
      </c>
      <c r="F635" s="21" t="s">
        <v>734</v>
      </c>
      <c r="G635" s="21" t="s">
        <v>29130</v>
      </c>
      <c r="H635" s="21" t="s">
        <v>21113</v>
      </c>
      <c r="I635" s="21" t="s">
        <v>20779</v>
      </c>
    </row>
    <row r="636" customFormat="false" ht="15" hidden="false" customHeight="false" outlineLevel="0" collapsed="false">
      <c r="B636" s="19" t="s">
        <v>29133</v>
      </c>
      <c r="C636" s="20" t="n">
        <f aca="false">ROUND(7.15/FX,2)</f>
        <v>0.99</v>
      </c>
      <c r="D636" s="21" t="s">
        <v>29129</v>
      </c>
      <c r="E636" s="21" t="s">
        <v>13732</v>
      </c>
      <c r="F636" s="21" t="s">
        <v>734</v>
      </c>
      <c r="G636" s="21" t="s">
        <v>29130</v>
      </c>
      <c r="H636" s="21" t="s">
        <v>21113</v>
      </c>
      <c r="I636" s="21" t="s">
        <v>20783</v>
      </c>
    </row>
    <row r="637" customFormat="false" ht="15" hidden="false" customHeight="false" outlineLevel="0" collapsed="false">
      <c r="B637" s="19" t="s">
        <v>29134</v>
      </c>
      <c r="C637" s="20" t="n">
        <f aca="false">ROUND(0.59/FX,2)</f>
        <v>0.08</v>
      </c>
      <c r="D637" s="21" t="s">
        <v>128</v>
      </c>
      <c r="E637" s="21" t="s">
        <v>13732</v>
      </c>
      <c r="F637" s="21" t="s">
        <v>734</v>
      </c>
      <c r="G637" s="21" t="s">
        <v>29135</v>
      </c>
      <c r="H637" s="21" t="s">
        <v>21113</v>
      </c>
      <c r="I637" s="21" t="s">
        <v>20767</v>
      </c>
    </row>
    <row r="638" customFormat="false" ht="15" hidden="false" customHeight="false" outlineLevel="0" collapsed="false">
      <c r="B638" s="19" t="s">
        <v>29136</v>
      </c>
      <c r="C638" s="20" t="n">
        <f aca="false">ROUND(0.59/FX,2)</f>
        <v>0.08</v>
      </c>
      <c r="D638" s="21" t="s">
        <v>128</v>
      </c>
      <c r="E638" s="21" t="s">
        <v>13732</v>
      </c>
      <c r="F638" s="21" t="s">
        <v>734</v>
      </c>
      <c r="G638" s="21" t="s">
        <v>29135</v>
      </c>
      <c r="H638" s="21" t="s">
        <v>21113</v>
      </c>
      <c r="I638" s="21" t="s">
        <v>20779</v>
      </c>
    </row>
    <row r="639" customFormat="false" ht="15" hidden="false" customHeight="false" outlineLevel="0" collapsed="false">
      <c r="B639" s="19" t="s">
        <v>29137</v>
      </c>
      <c r="C639" s="20" t="n">
        <f aca="false">ROUND(1.04/FX,2)</f>
        <v>0.14</v>
      </c>
      <c r="D639" s="21" t="s">
        <v>128</v>
      </c>
      <c r="E639" s="21" t="s">
        <v>13732</v>
      </c>
      <c r="F639" s="21" t="s">
        <v>734</v>
      </c>
      <c r="G639" s="21" t="s">
        <v>29138</v>
      </c>
      <c r="H639" s="21" t="s">
        <v>21113</v>
      </c>
      <c r="I639" s="21" t="s">
        <v>20767</v>
      </c>
    </row>
    <row r="640" customFormat="false" ht="15" hidden="false" customHeight="false" outlineLevel="0" collapsed="false">
      <c r="B640" s="19" t="s">
        <v>29139</v>
      </c>
      <c r="C640" s="20" t="n">
        <f aca="false">ROUND(3.9/FX,2)</f>
        <v>0.54</v>
      </c>
      <c r="D640" s="21" t="s">
        <v>128</v>
      </c>
      <c r="E640" s="21" t="s">
        <v>13732</v>
      </c>
      <c r="F640" s="21" t="s">
        <v>734</v>
      </c>
      <c r="G640" s="21" t="s">
        <v>17110</v>
      </c>
      <c r="H640" s="21" t="s">
        <v>21113</v>
      </c>
      <c r="I640" s="21" t="s">
        <v>20767</v>
      </c>
    </row>
    <row r="641" customFormat="false" ht="15" hidden="false" customHeight="false" outlineLevel="0" collapsed="false">
      <c r="B641" s="19" t="s">
        <v>29140</v>
      </c>
      <c r="C641" s="20" t="n">
        <f aca="false">ROUND(3.9/FX,2)</f>
        <v>0.54</v>
      </c>
      <c r="D641" s="21" t="s">
        <v>128</v>
      </c>
      <c r="E641" s="21" t="s">
        <v>13732</v>
      </c>
      <c r="F641" s="21" t="s">
        <v>734</v>
      </c>
      <c r="G641" s="21" t="s">
        <v>17110</v>
      </c>
      <c r="H641" s="21" t="s">
        <v>21113</v>
      </c>
      <c r="I641" s="21" t="s">
        <v>20783</v>
      </c>
    </row>
    <row r="642" customFormat="false" ht="15" hidden="false" customHeight="false" outlineLevel="0" collapsed="false">
      <c r="B642" s="19" t="s">
        <v>29141</v>
      </c>
      <c r="C642" s="20" t="n">
        <f aca="false">ROUND(1.04/FX,2)</f>
        <v>0.14</v>
      </c>
      <c r="D642" s="21" t="s">
        <v>128</v>
      </c>
      <c r="E642" s="21" t="s">
        <v>13732</v>
      </c>
      <c r="F642" s="21" t="s">
        <v>734</v>
      </c>
      <c r="G642" s="21" t="s">
        <v>29142</v>
      </c>
      <c r="H642" s="21" t="s">
        <v>21113</v>
      </c>
      <c r="I642" s="21" t="s">
        <v>20767</v>
      </c>
    </row>
    <row r="643" customFormat="false" ht="15" hidden="false" customHeight="false" outlineLevel="0" collapsed="false">
      <c r="B643" s="19" t="s">
        <v>29143</v>
      </c>
      <c r="C643" s="20" t="n">
        <f aca="false">ROUND(0.59/FX,2)</f>
        <v>0.08</v>
      </c>
      <c r="D643" s="21" t="s">
        <v>128</v>
      </c>
      <c r="E643" s="21" t="s">
        <v>13732</v>
      </c>
      <c r="F643" s="21" t="s">
        <v>734</v>
      </c>
      <c r="G643" s="21" t="s">
        <v>29144</v>
      </c>
      <c r="H643" s="21" t="s">
        <v>21113</v>
      </c>
      <c r="I643" s="21" t="s">
        <v>20767</v>
      </c>
    </row>
    <row r="644" customFormat="false" ht="15" hidden="false" customHeight="false" outlineLevel="0" collapsed="false">
      <c r="B644" s="19" t="s">
        <v>29145</v>
      </c>
      <c r="C644" s="20" t="n">
        <f aca="false">ROUND(1.68/FX,2)</f>
        <v>0.23</v>
      </c>
      <c r="D644" s="21" t="s">
        <v>128</v>
      </c>
      <c r="E644" s="21" t="s">
        <v>13732</v>
      </c>
      <c r="F644" s="21" t="s">
        <v>11672</v>
      </c>
      <c r="G644" s="21" t="s">
        <v>29144</v>
      </c>
      <c r="H644" s="21" t="s">
        <v>21113</v>
      </c>
      <c r="I644" s="21" t="s">
        <v>20767</v>
      </c>
    </row>
    <row r="645" customFormat="false" ht="15" hidden="false" customHeight="false" outlineLevel="0" collapsed="false">
      <c r="B645" s="19" t="s">
        <v>29146</v>
      </c>
      <c r="C645" s="20" t="n">
        <f aca="false">ROUND(7.51/FX,2)</f>
        <v>1.04</v>
      </c>
      <c r="D645" s="21" t="s">
        <v>128</v>
      </c>
      <c r="E645" s="21" t="s">
        <v>13732</v>
      </c>
      <c r="F645" s="21" t="s">
        <v>29147</v>
      </c>
      <c r="G645" s="21" t="s">
        <v>29144</v>
      </c>
      <c r="H645" s="21" t="s">
        <v>6336</v>
      </c>
      <c r="I645" s="21" t="s">
        <v>6336</v>
      </c>
    </row>
    <row r="646" customFormat="false" ht="15" hidden="false" customHeight="false" outlineLevel="0" collapsed="false">
      <c r="B646" s="19" t="s">
        <v>29148</v>
      </c>
      <c r="C646" s="20" t="n">
        <f aca="false">ROUND(1.56/FX,2)</f>
        <v>0.22</v>
      </c>
      <c r="D646" s="21" t="s">
        <v>26929</v>
      </c>
      <c r="E646" s="21" t="s">
        <v>13732</v>
      </c>
      <c r="F646" s="21" t="s">
        <v>734</v>
      </c>
      <c r="G646" s="21" t="s">
        <v>29144</v>
      </c>
      <c r="H646" s="21" t="s">
        <v>21113</v>
      </c>
      <c r="I646" s="21" t="s">
        <v>20757</v>
      </c>
    </row>
    <row r="647" customFormat="false" ht="15" hidden="false" customHeight="false" outlineLevel="0" collapsed="false">
      <c r="B647" s="19" t="s">
        <v>29149</v>
      </c>
      <c r="C647" s="20" t="n">
        <f aca="false">ROUND(1.56/FX,2)</f>
        <v>0.22</v>
      </c>
      <c r="D647" s="21" t="s">
        <v>26929</v>
      </c>
      <c r="E647" s="21" t="s">
        <v>13732</v>
      </c>
      <c r="F647" s="21" t="s">
        <v>734</v>
      </c>
      <c r="G647" s="21" t="s">
        <v>29144</v>
      </c>
      <c r="H647" s="21" t="s">
        <v>21113</v>
      </c>
      <c r="I647" s="21" t="s">
        <v>20767</v>
      </c>
    </row>
    <row r="648" customFormat="false" ht="15" hidden="false" customHeight="false" outlineLevel="0" collapsed="false">
      <c r="B648" s="19" t="s">
        <v>29150</v>
      </c>
      <c r="C648" s="20" t="n">
        <f aca="false">ROUND(1.56/FX,2)</f>
        <v>0.22</v>
      </c>
      <c r="D648" s="21" t="s">
        <v>26929</v>
      </c>
      <c r="E648" s="21" t="s">
        <v>13732</v>
      </c>
      <c r="F648" s="21" t="s">
        <v>734</v>
      </c>
      <c r="G648" s="21" t="s">
        <v>29144</v>
      </c>
      <c r="H648" s="21" t="s">
        <v>21113</v>
      </c>
      <c r="I648" s="21" t="s">
        <v>20769</v>
      </c>
    </row>
    <row r="649" customFormat="false" ht="15" hidden="false" customHeight="false" outlineLevel="0" collapsed="false">
      <c r="B649" s="19" t="s">
        <v>29151</v>
      </c>
      <c r="C649" s="20" t="n">
        <f aca="false">ROUND(1.56/FX,2)</f>
        <v>0.22</v>
      </c>
      <c r="D649" s="21" t="s">
        <v>26929</v>
      </c>
      <c r="E649" s="21" t="s">
        <v>13732</v>
      </c>
      <c r="F649" s="21" t="s">
        <v>734</v>
      </c>
      <c r="G649" s="21" t="s">
        <v>29144</v>
      </c>
      <c r="H649" s="21" t="s">
        <v>21113</v>
      </c>
      <c r="I649" s="21" t="s">
        <v>20779</v>
      </c>
    </row>
    <row r="650" customFormat="false" ht="15" hidden="false" customHeight="false" outlineLevel="0" collapsed="false">
      <c r="B650" s="19" t="s">
        <v>29152</v>
      </c>
      <c r="C650" s="20" t="n">
        <f aca="false">ROUND(1.56/FX,2)</f>
        <v>0.22</v>
      </c>
      <c r="D650" s="21" t="s">
        <v>26929</v>
      </c>
      <c r="E650" s="21" t="s">
        <v>13732</v>
      </c>
      <c r="F650" s="21" t="s">
        <v>734</v>
      </c>
      <c r="G650" s="21" t="s">
        <v>29144</v>
      </c>
      <c r="H650" s="21" t="s">
        <v>21113</v>
      </c>
      <c r="I650" s="21" t="s">
        <v>20783</v>
      </c>
    </row>
    <row r="651" customFormat="false" ht="15" hidden="false" customHeight="false" outlineLevel="0" collapsed="false">
      <c r="B651" s="19" t="s">
        <v>29153</v>
      </c>
      <c r="C651" s="20" t="n">
        <f aca="false">ROUND(1.56/FX,2)</f>
        <v>0.22</v>
      </c>
      <c r="D651" s="21" t="s">
        <v>26929</v>
      </c>
      <c r="E651" s="21" t="s">
        <v>13732</v>
      </c>
      <c r="F651" s="21" t="s">
        <v>734</v>
      </c>
      <c r="G651" s="21" t="s">
        <v>29144</v>
      </c>
      <c r="H651" s="21" t="s">
        <v>21113</v>
      </c>
      <c r="I651" s="21" t="s">
        <v>20787</v>
      </c>
    </row>
    <row r="652" customFormat="false" ht="15" hidden="false" customHeight="false" outlineLevel="0" collapsed="false">
      <c r="B652" s="19" t="s">
        <v>29154</v>
      </c>
      <c r="C652" s="20" t="n">
        <f aca="false">ROUND(0.59/FX,2)</f>
        <v>0.08</v>
      </c>
      <c r="D652" s="21" t="s">
        <v>128</v>
      </c>
      <c r="E652" s="21" t="s">
        <v>13732</v>
      </c>
      <c r="F652" s="21" t="s">
        <v>29155</v>
      </c>
      <c r="G652" s="21" t="s">
        <v>29156</v>
      </c>
      <c r="H652" s="21" t="s">
        <v>21113</v>
      </c>
      <c r="I652" s="21" t="s">
        <v>20755</v>
      </c>
    </row>
    <row r="653" customFormat="false" ht="15" hidden="false" customHeight="false" outlineLevel="0" collapsed="false">
      <c r="B653" s="19" t="s">
        <v>29157</v>
      </c>
      <c r="C653" s="20" t="n">
        <f aca="false">ROUND(0.46/FX,2)</f>
        <v>0.06</v>
      </c>
      <c r="D653" s="21" t="s">
        <v>128</v>
      </c>
      <c r="E653" s="21" t="s">
        <v>13732</v>
      </c>
      <c r="F653" s="21" t="s">
        <v>29158</v>
      </c>
      <c r="G653" s="21" t="s">
        <v>29156</v>
      </c>
      <c r="H653" s="21" t="s">
        <v>21113</v>
      </c>
      <c r="I653" s="21" t="s">
        <v>20755</v>
      </c>
    </row>
    <row r="654" customFormat="false" ht="15" hidden="false" customHeight="false" outlineLevel="0" collapsed="false">
      <c r="B654" s="19" t="s">
        <v>29159</v>
      </c>
      <c r="C654" s="20" t="n">
        <f aca="false">ROUND(0.46/FX,2)</f>
        <v>0.06</v>
      </c>
      <c r="D654" s="21" t="s">
        <v>128</v>
      </c>
      <c r="E654" s="21" t="s">
        <v>13732</v>
      </c>
      <c r="F654" s="21" t="s">
        <v>29158</v>
      </c>
      <c r="G654" s="21" t="s">
        <v>29156</v>
      </c>
      <c r="H654" s="21" t="s">
        <v>21113</v>
      </c>
      <c r="I654" s="21" t="s">
        <v>20757</v>
      </c>
    </row>
    <row r="655" customFormat="false" ht="15" hidden="false" customHeight="false" outlineLevel="0" collapsed="false">
      <c r="B655" s="19" t="s">
        <v>29160</v>
      </c>
      <c r="C655" s="20" t="n">
        <f aca="false">ROUND(0.52/FX,2)</f>
        <v>0.07</v>
      </c>
      <c r="D655" s="21" t="s">
        <v>128</v>
      </c>
      <c r="E655" s="21" t="s">
        <v>13732</v>
      </c>
      <c r="F655" s="21" t="s">
        <v>29155</v>
      </c>
      <c r="G655" s="21" t="s">
        <v>29156</v>
      </c>
      <c r="H655" s="21" t="s">
        <v>21113</v>
      </c>
      <c r="I655" s="21" t="s">
        <v>20767</v>
      </c>
    </row>
    <row r="656" customFormat="false" ht="15" hidden="false" customHeight="false" outlineLevel="0" collapsed="false">
      <c r="B656" s="19" t="s">
        <v>29161</v>
      </c>
      <c r="C656" s="20" t="n">
        <f aca="false">ROUND(0.39/FX,2)</f>
        <v>0.05</v>
      </c>
      <c r="D656" s="21" t="s">
        <v>128</v>
      </c>
      <c r="E656" s="21" t="s">
        <v>13732</v>
      </c>
      <c r="F656" s="21" t="s">
        <v>29158</v>
      </c>
      <c r="G656" s="21" t="s">
        <v>29156</v>
      </c>
      <c r="H656" s="21" t="s">
        <v>21113</v>
      </c>
      <c r="I656" s="21" t="s">
        <v>20767</v>
      </c>
    </row>
    <row r="657" customFormat="false" ht="15" hidden="false" customHeight="false" outlineLevel="0" collapsed="false">
      <c r="B657" s="19" t="s">
        <v>29162</v>
      </c>
      <c r="C657" s="20" t="n">
        <f aca="false">ROUND(1.04/FX,2)</f>
        <v>0.14</v>
      </c>
      <c r="D657" s="21" t="s">
        <v>128</v>
      </c>
      <c r="E657" s="21" t="s">
        <v>13732</v>
      </c>
      <c r="F657" s="21" t="s">
        <v>29155</v>
      </c>
      <c r="G657" s="21" t="s">
        <v>29156</v>
      </c>
      <c r="H657" s="21" t="s">
        <v>21113</v>
      </c>
      <c r="I657" s="21" t="s">
        <v>20769</v>
      </c>
    </row>
    <row r="658" customFormat="false" ht="15" hidden="false" customHeight="false" outlineLevel="0" collapsed="false">
      <c r="B658" s="19" t="s">
        <v>29163</v>
      </c>
      <c r="C658" s="20" t="n">
        <f aca="false">ROUND(0.46/FX,2)</f>
        <v>0.06</v>
      </c>
      <c r="D658" s="21" t="s">
        <v>128</v>
      </c>
      <c r="E658" s="21" t="s">
        <v>13732</v>
      </c>
      <c r="F658" s="21" t="s">
        <v>29158</v>
      </c>
      <c r="G658" s="21" t="s">
        <v>29156</v>
      </c>
      <c r="H658" s="21" t="s">
        <v>21113</v>
      </c>
      <c r="I658" s="21" t="s">
        <v>20769</v>
      </c>
    </row>
    <row r="659" customFormat="false" ht="15" hidden="false" customHeight="false" outlineLevel="0" collapsed="false">
      <c r="B659" s="19" t="s">
        <v>29164</v>
      </c>
      <c r="C659" s="20" t="n">
        <f aca="false">ROUND(0.46/FX,2)</f>
        <v>0.06</v>
      </c>
      <c r="D659" s="21" t="s">
        <v>128</v>
      </c>
      <c r="E659" s="21" t="s">
        <v>13732</v>
      </c>
      <c r="F659" s="21" t="s">
        <v>29158</v>
      </c>
      <c r="G659" s="21" t="s">
        <v>29156</v>
      </c>
      <c r="H659" s="21" t="s">
        <v>21113</v>
      </c>
      <c r="I659" s="21" t="s">
        <v>20779</v>
      </c>
    </row>
    <row r="660" customFormat="false" ht="15" hidden="false" customHeight="false" outlineLevel="0" collapsed="false">
      <c r="B660" s="19" t="s">
        <v>29165</v>
      </c>
      <c r="C660" s="20" t="n">
        <f aca="false">ROUND(0.46/FX,2)</f>
        <v>0.06</v>
      </c>
      <c r="D660" s="21" t="s">
        <v>128</v>
      </c>
      <c r="E660" s="21" t="s">
        <v>13732</v>
      </c>
      <c r="F660" s="21" t="s">
        <v>29158</v>
      </c>
      <c r="G660" s="21" t="s">
        <v>29156</v>
      </c>
      <c r="H660" s="21" t="s">
        <v>21113</v>
      </c>
      <c r="I660" s="21" t="s">
        <v>20783</v>
      </c>
    </row>
    <row r="661" customFormat="false" ht="15" hidden="false" customHeight="false" outlineLevel="0" collapsed="false">
      <c r="B661" s="19" t="s">
        <v>29166</v>
      </c>
      <c r="C661" s="20" t="n">
        <f aca="false">ROUND(2.99/FX,2)</f>
        <v>0.42</v>
      </c>
      <c r="D661" s="21" t="s">
        <v>29167</v>
      </c>
      <c r="E661" s="21" t="s">
        <v>13732</v>
      </c>
      <c r="F661" s="21" t="s">
        <v>29158</v>
      </c>
      <c r="G661" s="21" t="s">
        <v>29156</v>
      </c>
      <c r="H661" s="21" t="s">
        <v>21113</v>
      </c>
      <c r="I661" s="21" t="s">
        <v>20779</v>
      </c>
    </row>
    <row r="662" customFormat="false" ht="15" hidden="false" customHeight="false" outlineLevel="0" collapsed="false">
      <c r="B662" s="19" t="s">
        <v>29168</v>
      </c>
      <c r="C662" s="20" t="n">
        <f aca="false">ROUND(1.38/FX,2)</f>
        <v>0.19</v>
      </c>
      <c r="D662" s="21" t="s">
        <v>128</v>
      </c>
      <c r="E662" s="21" t="s">
        <v>13751</v>
      </c>
      <c r="F662" s="21" t="s">
        <v>734</v>
      </c>
      <c r="G662" s="21" t="s">
        <v>29169</v>
      </c>
      <c r="H662" s="21" t="s">
        <v>21113</v>
      </c>
      <c r="I662" s="21" t="s">
        <v>20752</v>
      </c>
    </row>
    <row r="663" customFormat="false" ht="15" hidden="false" customHeight="false" outlineLevel="0" collapsed="false">
      <c r="B663" s="19" t="s">
        <v>29170</v>
      </c>
      <c r="C663" s="20" t="n">
        <f aca="false">ROUND(1.38/FX,2)</f>
        <v>0.19</v>
      </c>
      <c r="D663" s="21" t="s">
        <v>128</v>
      </c>
      <c r="E663" s="21" t="s">
        <v>13751</v>
      </c>
      <c r="F663" s="21" t="s">
        <v>734</v>
      </c>
      <c r="G663" s="21" t="s">
        <v>29169</v>
      </c>
      <c r="H663" s="21" t="s">
        <v>21113</v>
      </c>
      <c r="I663" s="21" t="s">
        <v>20755</v>
      </c>
    </row>
    <row r="664" customFormat="false" ht="15" hidden="false" customHeight="false" outlineLevel="0" collapsed="false">
      <c r="B664" s="19" t="s">
        <v>29171</v>
      </c>
      <c r="C664" s="20" t="n">
        <f aca="false">ROUND(1.38/FX,2)</f>
        <v>0.19</v>
      </c>
      <c r="D664" s="21" t="s">
        <v>128</v>
      </c>
      <c r="E664" s="21" t="s">
        <v>13751</v>
      </c>
      <c r="F664" s="21" t="s">
        <v>734</v>
      </c>
      <c r="G664" s="21" t="s">
        <v>29169</v>
      </c>
      <c r="H664" s="21" t="s">
        <v>21113</v>
      </c>
      <c r="I664" s="21" t="s">
        <v>20757</v>
      </c>
    </row>
    <row r="665" customFormat="false" ht="15" hidden="false" customHeight="false" outlineLevel="0" collapsed="false">
      <c r="B665" s="19" t="s">
        <v>29172</v>
      </c>
      <c r="C665" s="20" t="n">
        <f aca="false">ROUND(1.17/FX,2)</f>
        <v>0.16</v>
      </c>
      <c r="D665" s="21" t="s">
        <v>128</v>
      </c>
      <c r="E665" s="21" t="s">
        <v>13751</v>
      </c>
      <c r="F665" s="21" t="s">
        <v>734</v>
      </c>
      <c r="G665" s="21" t="s">
        <v>29169</v>
      </c>
      <c r="H665" s="21" t="s">
        <v>21113</v>
      </c>
      <c r="I665" s="21" t="s">
        <v>20767</v>
      </c>
    </row>
    <row r="666" customFormat="false" ht="15" hidden="false" customHeight="false" outlineLevel="0" collapsed="false">
      <c r="B666" s="19" t="s">
        <v>29173</v>
      </c>
      <c r="C666" s="20" t="n">
        <f aca="false">ROUND(1.38/FX,2)</f>
        <v>0.19</v>
      </c>
      <c r="D666" s="21" t="s">
        <v>128</v>
      </c>
      <c r="E666" s="21" t="s">
        <v>13751</v>
      </c>
      <c r="F666" s="21" t="s">
        <v>734</v>
      </c>
      <c r="G666" s="21" t="s">
        <v>29169</v>
      </c>
      <c r="H666" s="21" t="s">
        <v>21113</v>
      </c>
      <c r="I666" s="21" t="s">
        <v>20769</v>
      </c>
    </row>
    <row r="667" customFormat="false" ht="15" hidden="false" customHeight="false" outlineLevel="0" collapsed="false">
      <c r="B667" s="19" t="s">
        <v>29174</v>
      </c>
      <c r="C667" s="20" t="n">
        <f aca="false">ROUND(1.38/FX,2)</f>
        <v>0.19</v>
      </c>
      <c r="D667" s="21" t="s">
        <v>128</v>
      </c>
      <c r="E667" s="21" t="s">
        <v>13751</v>
      </c>
      <c r="F667" s="21" t="s">
        <v>734</v>
      </c>
      <c r="G667" s="21" t="s">
        <v>29169</v>
      </c>
      <c r="H667" s="21" t="s">
        <v>21113</v>
      </c>
      <c r="I667" s="21" t="s">
        <v>20779</v>
      </c>
    </row>
    <row r="668" customFormat="false" ht="15" hidden="false" customHeight="false" outlineLevel="0" collapsed="false">
      <c r="B668" s="19" t="s">
        <v>29175</v>
      </c>
      <c r="C668" s="20" t="n">
        <f aca="false">ROUND(1.38/FX,2)</f>
        <v>0.19</v>
      </c>
      <c r="D668" s="21" t="s">
        <v>128</v>
      </c>
      <c r="E668" s="21" t="s">
        <v>13751</v>
      </c>
      <c r="F668" s="21" t="s">
        <v>734</v>
      </c>
      <c r="G668" s="21" t="s">
        <v>29169</v>
      </c>
      <c r="H668" s="21" t="s">
        <v>21113</v>
      </c>
      <c r="I668" s="21" t="s">
        <v>20783</v>
      </c>
    </row>
    <row r="669" customFormat="false" ht="15" hidden="false" customHeight="false" outlineLevel="0" collapsed="false">
      <c r="B669" s="19" t="s">
        <v>29176</v>
      </c>
      <c r="C669" s="20" t="n">
        <f aca="false">ROUND(1.38/FX,2)</f>
        <v>0.19</v>
      </c>
      <c r="D669" s="21" t="s">
        <v>128</v>
      </c>
      <c r="E669" s="21" t="s">
        <v>13751</v>
      </c>
      <c r="F669" s="21" t="s">
        <v>734</v>
      </c>
      <c r="G669" s="21" t="s">
        <v>29169</v>
      </c>
      <c r="H669" s="21" t="s">
        <v>21113</v>
      </c>
      <c r="I669" s="21" t="s">
        <v>20787</v>
      </c>
    </row>
    <row r="670" customFormat="false" ht="15" hidden="false" customHeight="false" outlineLevel="0" collapsed="false">
      <c r="B670" s="19" t="s">
        <v>29177</v>
      </c>
      <c r="C670" s="20" t="n">
        <f aca="false">ROUND(0.28/FX,2)</f>
        <v>0.04</v>
      </c>
      <c r="D670" s="21" t="s">
        <v>128</v>
      </c>
      <c r="E670" s="21" t="s">
        <v>13732</v>
      </c>
      <c r="F670" s="21" t="s">
        <v>734</v>
      </c>
      <c r="G670" s="21" t="s">
        <v>29169</v>
      </c>
      <c r="H670" s="21" t="s">
        <v>21116</v>
      </c>
      <c r="I670" s="21" t="s">
        <v>20755</v>
      </c>
    </row>
    <row r="671" customFormat="false" ht="15" hidden="false" customHeight="false" outlineLevel="0" collapsed="false">
      <c r="B671" s="19" t="s">
        <v>29178</v>
      </c>
      <c r="C671" s="20" t="n">
        <f aca="false">ROUND(1.38/FX,2)</f>
        <v>0.19</v>
      </c>
      <c r="D671" s="21" t="s">
        <v>128</v>
      </c>
      <c r="E671" s="21" t="s">
        <v>13751</v>
      </c>
      <c r="F671" s="21" t="s">
        <v>734</v>
      </c>
      <c r="G671" s="21" t="s">
        <v>29169</v>
      </c>
      <c r="H671" s="21" t="s">
        <v>21116</v>
      </c>
      <c r="I671" s="21" t="s">
        <v>20757</v>
      </c>
    </row>
    <row r="672" customFormat="false" ht="15" hidden="false" customHeight="false" outlineLevel="0" collapsed="false">
      <c r="B672" s="19" t="s">
        <v>29179</v>
      </c>
      <c r="C672" s="20" t="n">
        <f aca="false">ROUND(1.38/FX,2)</f>
        <v>0.19</v>
      </c>
      <c r="D672" s="21" t="s">
        <v>128</v>
      </c>
      <c r="E672" s="21" t="s">
        <v>13751</v>
      </c>
      <c r="F672" s="21" t="s">
        <v>734</v>
      </c>
      <c r="G672" s="21" t="s">
        <v>29169</v>
      </c>
      <c r="H672" s="21" t="s">
        <v>21116</v>
      </c>
      <c r="I672" s="21" t="s">
        <v>20767</v>
      </c>
    </row>
    <row r="673" customFormat="false" ht="15" hidden="false" customHeight="false" outlineLevel="0" collapsed="false">
      <c r="B673" s="19" t="s">
        <v>29180</v>
      </c>
      <c r="C673" s="20" t="n">
        <f aca="false">ROUND(1.38/FX,2)</f>
        <v>0.19</v>
      </c>
      <c r="D673" s="21" t="s">
        <v>128</v>
      </c>
      <c r="E673" s="21" t="s">
        <v>13751</v>
      </c>
      <c r="F673" s="21" t="s">
        <v>734</v>
      </c>
      <c r="G673" s="21" t="s">
        <v>29169</v>
      </c>
      <c r="H673" s="21" t="s">
        <v>21116</v>
      </c>
      <c r="I673" s="21" t="s">
        <v>20769</v>
      </c>
    </row>
    <row r="674" customFormat="false" ht="15" hidden="false" customHeight="false" outlineLevel="0" collapsed="false">
      <c r="B674" s="19" t="s">
        <v>29181</v>
      </c>
      <c r="C674" s="20" t="n">
        <f aca="false">ROUND(1.38/FX,2)</f>
        <v>0.19</v>
      </c>
      <c r="D674" s="21" t="s">
        <v>128</v>
      </c>
      <c r="E674" s="21" t="s">
        <v>13751</v>
      </c>
      <c r="F674" s="21" t="s">
        <v>734</v>
      </c>
      <c r="G674" s="21" t="s">
        <v>29169</v>
      </c>
      <c r="H674" s="21" t="s">
        <v>21116</v>
      </c>
      <c r="I674" s="21" t="s">
        <v>20779</v>
      </c>
    </row>
    <row r="675" customFormat="false" ht="15" hidden="false" customHeight="false" outlineLevel="0" collapsed="false">
      <c r="B675" s="19" t="s">
        <v>29182</v>
      </c>
      <c r="C675" s="20" t="n">
        <f aca="false">ROUND(1.38/FX,2)</f>
        <v>0.19</v>
      </c>
      <c r="D675" s="21" t="s">
        <v>128</v>
      </c>
      <c r="E675" s="21" t="s">
        <v>13751</v>
      </c>
      <c r="F675" s="21" t="s">
        <v>734</v>
      </c>
      <c r="G675" s="21" t="s">
        <v>29169</v>
      </c>
      <c r="H675" s="21" t="s">
        <v>21116</v>
      </c>
      <c r="I675" s="21" t="s">
        <v>20787</v>
      </c>
    </row>
    <row r="676" customFormat="false" ht="15" hidden="false" customHeight="false" outlineLevel="0" collapsed="false">
      <c r="B676" s="19" t="s">
        <v>29183</v>
      </c>
      <c r="C676" s="20" t="n">
        <f aca="false">ROUND(1.1/FX,2)</f>
        <v>0.15</v>
      </c>
      <c r="D676" s="21" t="s">
        <v>26929</v>
      </c>
      <c r="E676" s="21" t="s">
        <v>13732</v>
      </c>
      <c r="F676" s="21" t="s">
        <v>734</v>
      </c>
      <c r="G676" s="21" t="s">
        <v>29169</v>
      </c>
      <c r="H676" s="21" t="s">
        <v>21113</v>
      </c>
      <c r="I676" s="21" t="s">
        <v>20755</v>
      </c>
    </row>
    <row r="677" customFormat="false" ht="15" hidden="false" customHeight="false" outlineLevel="0" collapsed="false">
      <c r="B677" s="19" t="s">
        <v>29184</v>
      </c>
      <c r="C677" s="20" t="n">
        <f aca="false">ROUND(1.1/FX,2)</f>
        <v>0.15</v>
      </c>
      <c r="D677" s="21" t="s">
        <v>26929</v>
      </c>
      <c r="E677" s="21" t="s">
        <v>13732</v>
      </c>
      <c r="F677" s="21" t="s">
        <v>734</v>
      </c>
      <c r="G677" s="21" t="s">
        <v>29169</v>
      </c>
      <c r="H677" s="21" t="s">
        <v>21113</v>
      </c>
      <c r="I677" s="21" t="s">
        <v>29185</v>
      </c>
    </row>
    <row r="678" customFormat="false" ht="15" hidden="false" customHeight="false" outlineLevel="0" collapsed="false">
      <c r="B678" s="19" t="s">
        <v>29186</v>
      </c>
      <c r="C678" s="20" t="n">
        <f aca="false">ROUND(1.1/FX,2)</f>
        <v>0.15</v>
      </c>
      <c r="D678" s="21" t="s">
        <v>26929</v>
      </c>
      <c r="E678" s="21" t="s">
        <v>13732</v>
      </c>
      <c r="F678" s="21" t="s">
        <v>734</v>
      </c>
      <c r="G678" s="21" t="s">
        <v>29169</v>
      </c>
      <c r="H678" s="21" t="s">
        <v>21113</v>
      </c>
      <c r="I678" s="21" t="s">
        <v>20757</v>
      </c>
    </row>
    <row r="679" customFormat="false" ht="15" hidden="false" customHeight="false" outlineLevel="0" collapsed="false">
      <c r="B679" s="19" t="s">
        <v>29187</v>
      </c>
      <c r="C679" s="20" t="n">
        <f aca="false">ROUND(1.1/FX,2)</f>
        <v>0.15</v>
      </c>
      <c r="D679" s="21" t="s">
        <v>26929</v>
      </c>
      <c r="E679" s="21" t="s">
        <v>13732</v>
      </c>
      <c r="F679" s="21" t="s">
        <v>734</v>
      </c>
      <c r="G679" s="21" t="s">
        <v>29169</v>
      </c>
      <c r="H679" s="21" t="s">
        <v>21113</v>
      </c>
      <c r="I679" s="21" t="s">
        <v>20767</v>
      </c>
    </row>
    <row r="680" customFormat="false" ht="15" hidden="false" customHeight="false" outlineLevel="0" collapsed="false">
      <c r="B680" s="19" t="s">
        <v>29188</v>
      </c>
      <c r="C680" s="20" t="n">
        <f aca="false">ROUND(1.1/FX,2)</f>
        <v>0.15</v>
      </c>
      <c r="D680" s="21" t="s">
        <v>26929</v>
      </c>
      <c r="E680" s="21" t="s">
        <v>13732</v>
      </c>
      <c r="F680" s="21" t="s">
        <v>734</v>
      </c>
      <c r="G680" s="21" t="s">
        <v>29169</v>
      </c>
      <c r="H680" s="21" t="s">
        <v>21113</v>
      </c>
      <c r="I680" s="21" t="s">
        <v>20769</v>
      </c>
    </row>
    <row r="681" customFormat="false" ht="15" hidden="false" customHeight="false" outlineLevel="0" collapsed="false">
      <c r="B681" s="19" t="s">
        <v>29189</v>
      </c>
      <c r="C681" s="20" t="n">
        <f aca="false">ROUND(1.1/FX,2)</f>
        <v>0.15</v>
      </c>
      <c r="D681" s="21" t="s">
        <v>26929</v>
      </c>
      <c r="E681" s="21" t="s">
        <v>13732</v>
      </c>
      <c r="F681" s="21" t="s">
        <v>734</v>
      </c>
      <c r="G681" s="21" t="s">
        <v>29169</v>
      </c>
      <c r="H681" s="21" t="s">
        <v>21113</v>
      </c>
      <c r="I681" s="21" t="s">
        <v>20779</v>
      </c>
    </row>
    <row r="682" customFormat="false" ht="15" hidden="false" customHeight="false" outlineLevel="0" collapsed="false">
      <c r="B682" s="19" t="s">
        <v>29190</v>
      </c>
      <c r="C682" s="20" t="n">
        <f aca="false">ROUND(1.1/FX,2)</f>
        <v>0.15</v>
      </c>
      <c r="D682" s="21" t="s">
        <v>26929</v>
      </c>
      <c r="E682" s="21" t="s">
        <v>13732</v>
      </c>
      <c r="F682" s="21" t="s">
        <v>734</v>
      </c>
      <c r="G682" s="21" t="s">
        <v>29169</v>
      </c>
      <c r="H682" s="21" t="s">
        <v>21113</v>
      </c>
      <c r="I682" s="21" t="s">
        <v>20783</v>
      </c>
    </row>
    <row r="683" customFormat="false" ht="15" hidden="false" customHeight="false" outlineLevel="0" collapsed="false">
      <c r="B683" s="19" t="s">
        <v>29191</v>
      </c>
      <c r="C683" s="20" t="n">
        <f aca="false">ROUND(1.04/FX,2)</f>
        <v>0.14</v>
      </c>
      <c r="D683" s="21" t="s">
        <v>26929</v>
      </c>
      <c r="E683" s="21" t="s">
        <v>13732</v>
      </c>
      <c r="F683" s="21" t="s">
        <v>734</v>
      </c>
      <c r="G683" s="21" t="s">
        <v>29169</v>
      </c>
      <c r="H683" s="21" t="s">
        <v>21113</v>
      </c>
      <c r="I683" s="21" t="s">
        <v>20787</v>
      </c>
    </row>
    <row r="684" customFormat="false" ht="15" hidden="false" customHeight="false" outlineLevel="0" collapsed="false">
      <c r="B684" s="19" t="s">
        <v>29192</v>
      </c>
      <c r="C684" s="20" t="n">
        <f aca="false">ROUND(1.1/FX,2)</f>
        <v>0.15</v>
      </c>
      <c r="D684" s="21" t="s">
        <v>26929</v>
      </c>
      <c r="E684" s="21" t="s">
        <v>13732</v>
      </c>
      <c r="F684" s="21" t="s">
        <v>734</v>
      </c>
      <c r="G684" s="21" t="s">
        <v>29169</v>
      </c>
      <c r="H684" s="21" t="s">
        <v>21113</v>
      </c>
      <c r="I684" s="21" t="s">
        <v>29193</v>
      </c>
    </row>
    <row r="685" customFormat="false" ht="15" hidden="false" customHeight="false" outlineLevel="0" collapsed="false">
      <c r="B685" s="19" t="s">
        <v>29194</v>
      </c>
      <c r="C685" s="20" t="n">
        <f aca="false">ROUND(1.04/FX,2)</f>
        <v>0.14</v>
      </c>
      <c r="D685" s="21" t="s">
        <v>26929</v>
      </c>
      <c r="E685" s="21" t="s">
        <v>13732</v>
      </c>
      <c r="F685" s="21" t="s">
        <v>734</v>
      </c>
      <c r="G685" s="21" t="s">
        <v>29169</v>
      </c>
      <c r="H685" s="21" t="s">
        <v>21116</v>
      </c>
      <c r="I685" s="21" t="s">
        <v>20767</v>
      </c>
    </row>
    <row r="686" customFormat="false" ht="15" hidden="false" customHeight="false" outlineLevel="0" collapsed="false">
      <c r="B686" s="19" t="s">
        <v>29195</v>
      </c>
      <c r="C686" s="20" t="n">
        <f aca="false">ROUND(1.04/FX,2)</f>
        <v>0.14</v>
      </c>
      <c r="D686" s="21" t="s">
        <v>26929</v>
      </c>
      <c r="E686" s="21" t="s">
        <v>13732</v>
      </c>
      <c r="F686" s="21" t="s">
        <v>734</v>
      </c>
      <c r="G686" s="21" t="s">
        <v>29169</v>
      </c>
      <c r="H686" s="21" t="s">
        <v>21116</v>
      </c>
      <c r="I686" s="21" t="s">
        <v>20787</v>
      </c>
    </row>
    <row r="687" customFormat="false" ht="15" hidden="false" customHeight="false" outlineLevel="0" collapsed="false">
      <c r="B687" s="19" t="s">
        <v>29196</v>
      </c>
      <c r="C687" s="20" t="n">
        <f aca="false">ROUND(3.9/FX,2)</f>
        <v>0.54</v>
      </c>
      <c r="D687" s="21" t="s">
        <v>128</v>
      </c>
      <c r="E687" s="21" t="s">
        <v>13732</v>
      </c>
      <c r="F687" s="21" t="s">
        <v>734</v>
      </c>
      <c r="G687" s="21" t="s">
        <v>29197</v>
      </c>
      <c r="H687" s="21" t="s">
        <v>21113</v>
      </c>
      <c r="I687" s="21" t="s">
        <v>20755</v>
      </c>
    </row>
    <row r="688" customFormat="false" ht="15" hidden="false" customHeight="false" outlineLevel="0" collapsed="false">
      <c r="B688" s="19" t="s">
        <v>29198</v>
      </c>
      <c r="C688" s="20" t="n">
        <f aca="false">ROUND(3.9/FX,2)</f>
        <v>0.54</v>
      </c>
      <c r="D688" s="21" t="s">
        <v>128</v>
      </c>
      <c r="E688" s="21" t="s">
        <v>13732</v>
      </c>
      <c r="F688" s="21" t="s">
        <v>734</v>
      </c>
      <c r="G688" s="21" t="s">
        <v>29197</v>
      </c>
      <c r="H688" s="21" t="s">
        <v>21113</v>
      </c>
      <c r="I688" s="21" t="s">
        <v>20757</v>
      </c>
    </row>
    <row r="689" customFormat="false" ht="15" hidden="false" customHeight="false" outlineLevel="0" collapsed="false">
      <c r="B689" s="19" t="s">
        <v>29199</v>
      </c>
      <c r="C689" s="20" t="n">
        <f aca="false">ROUND(3.9/FX,2)</f>
        <v>0.54</v>
      </c>
      <c r="D689" s="21" t="s">
        <v>128</v>
      </c>
      <c r="E689" s="21" t="s">
        <v>13732</v>
      </c>
      <c r="F689" s="21" t="s">
        <v>734</v>
      </c>
      <c r="G689" s="21" t="s">
        <v>29197</v>
      </c>
      <c r="H689" s="21" t="s">
        <v>21113</v>
      </c>
      <c r="I689" s="21" t="s">
        <v>20769</v>
      </c>
    </row>
    <row r="690" customFormat="false" ht="15" hidden="false" customHeight="false" outlineLevel="0" collapsed="false">
      <c r="B690" s="19" t="s">
        <v>29200</v>
      </c>
      <c r="C690" s="20" t="n">
        <f aca="false">ROUND(1.95/FX,2)</f>
        <v>0.27</v>
      </c>
      <c r="D690" s="21" t="s">
        <v>128</v>
      </c>
      <c r="E690" s="21" t="s">
        <v>13732</v>
      </c>
      <c r="F690" s="21" t="s">
        <v>734</v>
      </c>
      <c r="G690" s="21" t="s">
        <v>29201</v>
      </c>
      <c r="H690" s="21" t="s">
        <v>21113</v>
      </c>
      <c r="I690" s="21" t="s">
        <v>20767</v>
      </c>
    </row>
    <row r="691" customFormat="false" ht="15" hidden="false" customHeight="false" outlineLevel="0" collapsed="false">
      <c r="B691" s="19" t="s">
        <v>29202</v>
      </c>
      <c r="C691" s="20" t="n">
        <f aca="false">ROUND(1.95/FX,2)</f>
        <v>0.27</v>
      </c>
      <c r="D691" s="21" t="s">
        <v>128</v>
      </c>
      <c r="E691" s="21" t="s">
        <v>13732</v>
      </c>
      <c r="F691" s="21" t="s">
        <v>734</v>
      </c>
      <c r="G691" s="21" t="s">
        <v>29201</v>
      </c>
      <c r="H691" s="21" t="s">
        <v>21113</v>
      </c>
      <c r="I691" s="21" t="s">
        <v>20779</v>
      </c>
    </row>
    <row r="692" customFormat="false" ht="15" hidden="false" customHeight="false" outlineLevel="0" collapsed="false">
      <c r="B692" s="19" t="s">
        <v>29203</v>
      </c>
      <c r="C692" s="20" t="n">
        <f aca="false">ROUND(1.38/FX,2)</f>
        <v>0.19</v>
      </c>
      <c r="D692" s="21" t="s">
        <v>128</v>
      </c>
      <c r="E692" s="21" t="s">
        <v>13751</v>
      </c>
      <c r="F692" s="21" t="s">
        <v>734</v>
      </c>
      <c r="G692" s="21" t="s">
        <v>29204</v>
      </c>
      <c r="H692" s="21" t="s">
        <v>21113</v>
      </c>
      <c r="I692" s="21" t="s">
        <v>20752</v>
      </c>
    </row>
    <row r="693" customFormat="false" ht="15" hidden="false" customHeight="false" outlineLevel="0" collapsed="false">
      <c r="B693" s="19" t="s">
        <v>29205</v>
      </c>
      <c r="C693" s="20" t="n">
        <f aca="false">ROUND(1.38/FX,2)</f>
        <v>0.19</v>
      </c>
      <c r="D693" s="21" t="s">
        <v>128</v>
      </c>
      <c r="E693" s="21" t="s">
        <v>13751</v>
      </c>
      <c r="F693" s="21" t="s">
        <v>734</v>
      </c>
      <c r="G693" s="21" t="s">
        <v>29204</v>
      </c>
      <c r="H693" s="21" t="s">
        <v>21113</v>
      </c>
      <c r="I693" s="21" t="s">
        <v>20755</v>
      </c>
    </row>
    <row r="694" customFormat="false" ht="15" hidden="false" customHeight="false" outlineLevel="0" collapsed="false">
      <c r="B694" s="19" t="s">
        <v>29206</v>
      </c>
      <c r="C694" s="20" t="n">
        <f aca="false">ROUND(1.38/FX,2)</f>
        <v>0.19</v>
      </c>
      <c r="D694" s="21" t="s">
        <v>128</v>
      </c>
      <c r="E694" s="21" t="s">
        <v>13751</v>
      </c>
      <c r="F694" s="21" t="s">
        <v>734</v>
      </c>
      <c r="G694" s="21" t="s">
        <v>29204</v>
      </c>
      <c r="H694" s="21" t="s">
        <v>21113</v>
      </c>
      <c r="I694" s="21" t="s">
        <v>29185</v>
      </c>
    </row>
    <row r="695" customFormat="false" ht="15" hidden="false" customHeight="false" outlineLevel="0" collapsed="false">
      <c r="B695" s="19" t="s">
        <v>29207</v>
      </c>
      <c r="C695" s="20" t="n">
        <f aca="false">ROUND(1.38/FX,2)</f>
        <v>0.19</v>
      </c>
      <c r="D695" s="21" t="s">
        <v>128</v>
      </c>
      <c r="E695" s="21" t="s">
        <v>13751</v>
      </c>
      <c r="F695" s="21" t="s">
        <v>734</v>
      </c>
      <c r="G695" s="21" t="s">
        <v>29204</v>
      </c>
      <c r="H695" s="21" t="s">
        <v>21113</v>
      </c>
      <c r="I695" s="21" t="s">
        <v>20757</v>
      </c>
    </row>
    <row r="696" customFormat="false" ht="15" hidden="false" customHeight="false" outlineLevel="0" collapsed="false">
      <c r="B696" s="19" t="s">
        <v>29208</v>
      </c>
      <c r="C696" s="20" t="n">
        <f aca="false">ROUND(1.38/FX,2)</f>
        <v>0.19</v>
      </c>
      <c r="D696" s="21" t="s">
        <v>128</v>
      </c>
      <c r="E696" s="21" t="s">
        <v>13751</v>
      </c>
      <c r="F696" s="21" t="s">
        <v>734</v>
      </c>
      <c r="G696" s="21" t="s">
        <v>29204</v>
      </c>
      <c r="H696" s="21" t="s">
        <v>21113</v>
      </c>
      <c r="I696" s="21" t="s">
        <v>29209</v>
      </c>
    </row>
    <row r="697" customFormat="false" ht="15" hidden="false" customHeight="false" outlineLevel="0" collapsed="false">
      <c r="B697" s="19" t="s">
        <v>29210</v>
      </c>
      <c r="C697" s="20" t="n">
        <f aca="false">ROUND(0.39/FX,2)</f>
        <v>0.05</v>
      </c>
      <c r="D697" s="21" t="s">
        <v>128</v>
      </c>
      <c r="E697" s="21" t="s">
        <v>13732</v>
      </c>
      <c r="F697" s="21" t="s">
        <v>734</v>
      </c>
      <c r="G697" s="21" t="s">
        <v>29204</v>
      </c>
      <c r="H697" s="21" t="s">
        <v>21113</v>
      </c>
      <c r="I697" s="21" t="s">
        <v>20767</v>
      </c>
    </row>
    <row r="698" customFormat="false" ht="15" hidden="false" customHeight="false" outlineLevel="0" collapsed="false">
      <c r="B698" s="19" t="s">
        <v>29211</v>
      </c>
      <c r="C698" s="20" t="n">
        <f aca="false">ROUND(1.38/FX,2)</f>
        <v>0.19</v>
      </c>
      <c r="D698" s="21" t="s">
        <v>128</v>
      </c>
      <c r="E698" s="21" t="s">
        <v>13751</v>
      </c>
      <c r="F698" s="21" t="s">
        <v>734</v>
      </c>
      <c r="G698" s="21" t="s">
        <v>29204</v>
      </c>
      <c r="H698" s="21" t="s">
        <v>21113</v>
      </c>
      <c r="I698" s="21" t="s">
        <v>20769</v>
      </c>
    </row>
    <row r="699" customFormat="false" ht="15" hidden="false" customHeight="false" outlineLevel="0" collapsed="false">
      <c r="B699" s="19" t="s">
        <v>29212</v>
      </c>
      <c r="C699" s="20" t="n">
        <f aca="false">ROUND(1.38/FX,2)</f>
        <v>0.19</v>
      </c>
      <c r="D699" s="21" t="s">
        <v>128</v>
      </c>
      <c r="E699" s="21" t="s">
        <v>13751</v>
      </c>
      <c r="F699" s="21" t="s">
        <v>734</v>
      </c>
      <c r="G699" s="21" t="s">
        <v>29204</v>
      </c>
      <c r="H699" s="21" t="s">
        <v>21113</v>
      </c>
      <c r="I699" s="21" t="s">
        <v>20779</v>
      </c>
    </row>
    <row r="700" customFormat="false" ht="15" hidden="false" customHeight="false" outlineLevel="0" collapsed="false">
      <c r="B700" s="19" t="s">
        <v>29213</v>
      </c>
      <c r="C700" s="20" t="n">
        <f aca="false">ROUND(1.38/FX,2)</f>
        <v>0.19</v>
      </c>
      <c r="D700" s="21" t="s">
        <v>128</v>
      </c>
      <c r="E700" s="21" t="s">
        <v>13751</v>
      </c>
      <c r="F700" s="21" t="s">
        <v>734</v>
      </c>
      <c r="G700" s="21" t="s">
        <v>29204</v>
      </c>
      <c r="H700" s="21" t="s">
        <v>21113</v>
      </c>
      <c r="I700" s="21" t="s">
        <v>20783</v>
      </c>
    </row>
    <row r="701" customFormat="false" ht="15" hidden="false" customHeight="false" outlineLevel="0" collapsed="false">
      <c r="B701" s="19" t="s">
        <v>29214</v>
      </c>
      <c r="C701" s="20" t="n">
        <f aca="false">ROUND(1.38/FX,2)</f>
        <v>0.19</v>
      </c>
      <c r="D701" s="21" t="s">
        <v>128</v>
      </c>
      <c r="E701" s="21" t="s">
        <v>13751</v>
      </c>
      <c r="F701" s="21" t="s">
        <v>734</v>
      </c>
      <c r="G701" s="21" t="s">
        <v>29204</v>
      </c>
      <c r="H701" s="21" t="s">
        <v>21113</v>
      </c>
      <c r="I701" s="21" t="s">
        <v>20787</v>
      </c>
    </row>
    <row r="702" customFormat="false" ht="15" hidden="false" customHeight="false" outlineLevel="0" collapsed="false">
      <c r="B702" s="19" t="s">
        <v>29215</v>
      </c>
      <c r="C702" s="20" t="n">
        <f aca="false">ROUND(1.38/FX,2)</f>
        <v>0.19</v>
      </c>
      <c r="D702" s="21" t="s">
        <v>128</v>
      </c>
      <c r="E702" s="21" t="s">
        <v>13751</v>
      </c>
      <c r="F702" s="21" t="s">
        <v>734</v>
      </c>
      <c r="G702" s="21" t="s">
        <v>29204</v>
      </c>
      <c r="H702" s="21" t="s">
        <v>21113</v>
      </c>
      <c r="I702" s="21" t="s">
        <v>29193</v>
      </c>
    </row>
    <row r="703" customFormat="false" ht="15" hidden="false" customHeight="false" outlineLevel="0" collapsed="false">
      <c r="B703" s="19" t="s">
        <v>29216</v>
      </c>
      <c r="C703" s="20" t="n">
        <f aca="false">ROUND(1.38/FX,2)</f>
        <v>0.19</v>
      </c>
      <c r="D703" s="21" t="s">
        <v>128</v>
      </c>
      <c r="E703" s="21" t="s">
        <v>13751</v>
      </c>
      <c r="F703" s="21" t="s">
        <v>734</v>
      </c>
      <c r="G703" s="21" t="s">
        <v>29204</v>
      </c>
      <c r="H703" s="21" t="s">
        <v>21116</v>
      </c>
      <c r="I703" s="21" t="s">
        <v>20752</v>
      </c>
    </row>
    <row r="704" customFormat="false" ht="15" hidden="false" customHeight="false" outlineLevel="0" collapsed="false">
      <c r="B704" s="19" t="s">
        <v>29217</v>
      </c>
      <c r="C704" s="20" t="n">
        <f aca="false">ROUND(1.38/FX,2)</f>
        <v>0.19</v>
      </c>
      <c r="D704" s="21" t="s">
        <v>128</v>
      </c>
      <c r="E704" s="21" t="s">
        <v>13751</v>
      </c>
      <c r="F704" s="21" t="s">
        <v>734</v>
      </c>
      <c r="G704" s="21" t="s">
        <v>29204</v>
      </c>
      <c r="H704" s="21" t="s">
        <v>21116</v>
      </c>
      <c r="I704" s="21" t="s">
        <v>20755</v>
      </c>
    </row>
    <row r="705" customFormat="false" ht="15" hidden="false" customHeight="false" outlineLevel="0" collapsed="false">
      <c r="B705" s="19" t="s">
        <v>29218</v>
      </c>
      <c r="C705" s="20" t="n">
        <f aca="false">ROUND(1.38/FX,2)</f>
        <v>0.19</v>
      </c>
      <c r="D705" s="21" t="s">
        <v>128</v>
      </c>
      <c r="E705" s="21" t="s">
        <v>13751</v>
      </c>
      <c r="F705" s="21" t="s">
        <v>734</v>
      </c>
      <c r="G705" s="21" t="s">
        <v>29204</v>
      </c>
      <c r="H705" s="21" t="s">
        <v>21116</v>
      </c>
      <c r="I705" s="21" t="s">
        <v>29185</v>
      </c>
    </row>
    <row r="706" customFormat="false" ht="15" hidden="false" customHeight="false" outlineLevel="0" collapsed="false">
      <c r="B706" s="19" t="s">
        <v>29219</v>
      </c>
      <c r="C706" s="20" t="n">
        <f aca="false">ROUND(1.38/FX,2)</f>
        <v>0.19</v>
      </c>
      <c r="D706" s="21" t="s">
        <v>128</v>
      </c>
      <c r="E706" s="21" t="s">
        <v>13751</v>
      </c>
      <c r="F706" s="21" t="s">
        <v>734</v>
      </c>
      <c r="G706" s="21" t="s">
        <v>29204</v>
      </c>
      <c r="H706" s="21" t="s">
        <v>21116</v>
      </c>
      <c r="I706" s="21" t="s">
        <v>20757</v>
      </c>
    </row>
    <row r="707" customFormat="false" ht="15" hidden="false" customHeight="false" outlineLevel="0" collapsed="false">
      <c r="B707" s="19" t="s">
        <v>29220</v>
      </c>
      <c r="C707" s="20" t="n">
        <f aca="false">ROUND(1.38/FX,2)</f>
        <v>0.19</v>
      </c>
      <c r="D707" s="21" t="s">
        <v>128</v>
      </c>
      <c r="E707" s="21" t="s">
        <v>13751</v>
      </c>
      <c r="F707" s="21" t="s">
        <v>734</v>
      </c>
      <c r="G707" s="21" t="s">
        <v>29204</v>
      </c>
      <c r="H707" s="21" t="s">
        <v>21116</v>
      </c>
      <c r="I707" s="21" t="s">
        <v>29209</v>
      </c>
    </row>
    <row r="708" customFormat="false" ht="15" hidden="false" customHeight="false" outlineLevel="0" collapsed="false">
      <c r="B708" s="19" t="s">
        <v>29221</v>
      </c>
      <c r="C708" s="20" t="n">
        <f aca="false">ROUND(1.38/FX,2)</f>
        <v>0.19</v>
      </c>
      <c r="D708" s="21" t="s">
        <v>128</v>
      </c>
      <c r="E708" s="21" t="s">
        <v>13751</v>
      </c>
      <c r="F708" s="21" t="s">
        <v>734</v>
      </c>
      <c r="G708" s="21" t="s">
        <v>29204</v>
      </c>
      <c r="H708" s="21" t="s">
        <v>21116</v>
      </c>
      <c r="I708" s="21" t="s">
        <v>20767</v>
      </c>
    </row>
    <row r="709" customFormat="false" ht="15" hidden="false" customHeight="false" outlineLevel="0" collapsed="false">
      <c r="B709" s="19" t="s">
        <v>29222</v>
      </c>
      <c r="C709" s="20" t="n">
        <f aca="false">ROUND(1.38/FX,2)</f>
        <v>0.19</v>
      </c>
      <c r="D709" s="21" t="s">
        <v>128</v>
      </c>
      <c r="E709" s="21" t="s">
        <v>13751</v>
      </c>
      <c r="F709" s="21" t="s">
        <v>734</v>
      </c>
      <c r="G709" s="21" t="s">
        <v>29204</v>
      </c>
      <c r="H709" s="21" t="s">
        <v>21116</v>
      </c>
      <c r="I709" s="21" t="s">
        <v>20769</v>
      </c>
    </row>
    <row r="710" customFormat="false" ht="15" hidden="false" customHeight="false" outlineLevel="0" collapsed="false">
      <c r="B710" s="19" t="s">
        <v>29223</v>
      </c>
      <c r="C710" s="20" t="n">
        <f aca="false">ROUND(1.38/FX,2)</f>
        <v>0.19</v>
      </c>
      <c r="D710" s="21" t="s">
        <v>128</v>
      </c>
      <c r="E710" s="21" t="s">
        <v>13751</v>
      </c>
      <c r="F710" s="21" t="s">
        <v>734</v>
      </c>
      <c r="G710" s="21" t="s">
        <v>29204</v>
      </c>
      <c r="H710" s="21" t="s">
        <v>21116</v>
      </c>
      <c r="I710" s="21" t="s">
        <v>20779</v>
      </c>
    </row>
    <row r="711" customFormat="false" ht="15" hidden="false" customHeight="false" outlineLevel="0" collapsed="false">
      <c r="B711" s="19" t="s">
        <v>29224</v>
      </c>
      <c r="C711" s="20" t="n">
        <f aca="false">ROUND(1.38/FX,2)</f>
        <v>0.19</v>
      </c>
      <c r="D711" s="21" t="s">
        <v>128</v>
      </c>
      <c r="E711" s="21" t="s">
        <v>13751</v>
      </c>
      <c r="F711" s="21" t="s">
        <v>734</v>
      </c>
      <c r="G711" s="21" t="s">
        <v>29204</v>
      </c>
      <c r="H711" s="21" t="s">
        <v>21116</v>
      </c>
      <c r="I711" s="21" t="s">
        <v>20783</v>
      </c>
    </row>
    <row r="712" customFormat="false" ht="15" hidden="false" customHeight="false" outlineLevel="0" collapsed="false">
      <c r="B712" s="19" t="s">
        <v>29225</v>
      </c>
      <c r="C712" s="20" t="n">
        <f aca="false">ROUND(0.39/FX,2)</f>
        <v>0.05</v>
      </c>
      <c r="D712" s="21" t="s">
        <v>128</v>
      </c>
      <c r="E712" s="21" t="s">
        <v>13732</v>
      </c>
      <c r="F712" s="21" t="s">
        <v>734</v>
      </c>
      <c r="G712" s="21" t="s">
        <v>29204</v>
      </c>
      <c r="H712" s="21" t="s">
        <v>21116</v>
      </c>
      <c r="I712" s="21" t="s">
        <v>20787</v>
      </c>
    </row>
    <row r="713" customFormat="false" ht="15" hidden="false" customHeight="false" outlineLevel="0" collapsed="false">
      <c r="B713" s="19" t="s">
        <v>29226</v>
      </c>
      <c r="C713" s="20" t="n">
        <f aca="false">ROUND(1.38/FX,2)</f>
        <v>0.19</v>
      </c>
      <c r="D713" s="21" t="s">
        <v>128</v>
      </c>
      <c r="E713" s="21" t="s">
        <v>13751</v>
      </c>
      <c r="F713" s="21" t="s">
        <v>734</v>
      </c>
      <c r="G713" s="21" t="s">
        <v>29204</v>
      </c>
      <c r="H713" s="21" t="s">
        <v>21116</v>
      </c>
      <c r="I713" s="21" t="s">
        <v>29193</v>
      </c>
    </row>
    <row r="714" customFormat="false" ht="15" hidden="false" customHeight="false" outlineLevel="0" collapsed="false">
      <c r="B714" s="19" t="s">
        <v>29227</v>
      </c>
      <c r="C714" s="20" t="n">
        <f aca="false">ROUND(1.11/FX,2)</f>
        <v>0.15</v>
      </c>
      <c r="D714" s="21" t="s">
        <v>26929</v>
      </c>
      <c r="E714" s="21" t="s">
        <v>13732</v>
      </c>
      <c r="F714" s="21" t="s">
        <v>734</v>
      </c>
      <c r="G714" s="21" t="s">
        <v>29204</v>
      </c>
      <c r="H714" s="21" t="s">
        <v>21113</v>
      </c>
      <c r="I714" s="21" t="s">
        <v>20755</v>
      </c>
    </row>
    <row r="715" customFormat="false" ht="15" hidden="false" customHeight="false" outlineLevel="0" collapsed="false">
      <c r="B715" s="19" t="s">
        <v>29228</v>
      </c>
      <c r="C715" s="20" t="n">
        <f aca="false">ROUND(1.11/FX,2)</f>
        <v>0.15</v>
      </c>
      <c r="D715" s="21" t="s">
        <v>26929</v>
      </c>
      <c r="E715" s="21" t="s">
        <v>13732</v>
      </c>
      <c r="F715" s="21" t="s">
        <v>734</v>
      </c>
      <c r="G715" s="21" t="s">
        <v>29204</v>
      </c>
      <c r="H715" s="21" t="s">
        <v>21113</v>
      </c>
      <c r="I715" s="21" t="s">
        <v>29185</v>
      </c>
    </row>
    <row r="716" customFormat="false" ht="15" hidden="false" customHeight="false" outlineLevel="0" collapsed="false">
      <c r="B716" s="19" t="s">
        <v>29229</v>
      </c>
      <c r="C716" s="20" t="n">
        <f aca="false">ROUND(1.11/FX,2)</f>
        <v>0.15</v>
      </c>
      <c r="D716" s="21" t="s">
        <v>26929</v>
      </c>
      <c r="E716" s="21" t="s">
        <v>13732</v>
      </c>
      <c r="F716" s="21" t="s">
        <v>734</v>
      </c>
      <c r="G716" s="21" t="s">
        <v>29204</v>
      </c>
      <c r="H716" s="21" t="s">
        <v>21113</v>
      </c>
      <c r="I716" s="21" t="s">
        <v>20757</v>
      </c>
    </row>
    <row r="717" customFormat="false" ht="15" hidden="false" customHeight="false" outlineLevel="0" collapsed="false">
      <c r="B717" s="19" t="s">
        <v>29230</v>
      </c>
      <c r="C717" s="20" t="n">
        <f aca="false">ROUND(1.11/FX,2)</f>
        <v>0.15</v>
      </c>
      <c r="D717" s="21" t="s">
        <v>26929</v>
      </c>
      <c r="E717" s="21" t="s">
        <v>13732</v>
      </c>
      <c r="F717" s="21" t="s">
        <v>734</v>
      </c>
      <c r="G717" s="21" t="s">
        <v>29204</v>
      </c>
      <c r="H717" s="21" t="s">
        <v>21113</v>
      </c>
      <c r="I717" s="21" t="s">
        <v>20767</v>
      </c>
    </row>
    <row r="718" customFormat="false" ht="15" hidden="false" customHeight="false" outlineLevel="0" collapsed="false">
      <c r="B718" s="19" t="s">
        <v>29231</v>
      </c>
      <c r="C718" s="20" t="n">
        <f aca="false">ROUND(1.11/FX,2)</f>
        <v>0.15</v>
      </c>
      <c r="D718" s="21" t="s">
        <v>26929</v>
      </c>
      <c r="E718" s="21" t="s">
        <v>13732</v>
      </c>
      <c r="F718" s="21" t="s">
        <v>734</v>
      </c>
      <c r="G718" s="21" t="s">
        <v>29204</v>
      </c>
      <c r="H718" s="21" t="s">
        <v>21113</v>
      </c>
      <c r="I718" s="21" t="s">
        <v>20769</v>
      </c>
    </row>
    <row r="719" customFormat="false" ht="15" hidden="false" customHeight="false" outlineLevel="0" collapsed="false">
      <c r="B719" s="19" t="s">
        <v>29232</v>
      </c>
      <c r="C719" s="20" t="n">
        <f aca="false">ROUND(1.11/FX,2)</f>
        <v>0.15</v>
      </c>
      <c r="D719" s="21" t="s">
        <v>26929</v>
      </c>
      <c r="E719" s="21" t="s">
        <v>13732</v>
      </c>
      <c r="F719" s="21" t="s">
        <v>734</v>
      </c>
      <c r="G719" s="21" t="s">
        <v>29204</v>
      </c>
      <c r="H719" s="21" t="s">
        <v>21113</v>
      </c>
      <c r="I719" s="21" t="s">
        <v>20779</v>
      </c>
    </row>
    <row r="720" customFormat="false" ht="15" hidden="false" customHeight="false" outlineLevel="0" collapsed="false">
      <c r="B720" s="19" t="s">
        <v>29233</v>
      </c>
      <c r="C720" s="20" t="n">
        <f aca="false">ROUND(1.11/FX,2)</f>
        <v>0.15</v>
      </c>
      <c r="D720" s="21" t="s">
        <v>26929</v>
      </c>
      <c r="E720" s="21" t="s">
        <v>13732</v>
      </c>
      <c r="F720" s="21" t="s">
        <v>734</v>
      </c>
      <c r="G720" s="21" t="s">
        <v>29204</v>
      </c>
      <c r="H720" s="21" t="s">
        <v>21113</v>
      </c>
      <c r="I720" s="21" t="s">
        <v>20783</v>
      </c>
    </row>
    <row r="721" customFormat="false" ht="15" hidden="false" customHeight="false" outlineLevel="0" collapsed="false">
      <c r="B721" s="19" t="s">
        <v>29234</v>
      </c>
      <c r="C721" s="20" t="n">
        <f aca="false">ROUND(1.11/FX,2)</f>
        <v>0.15</v>
      </c>
      <c r="D721" s="21" t="s">
        <v>26929</v>
      </c>
      <c r="E721" s="21" t="s">
        <v>13732</v>
      </c>
      <c r="F721" s="21" t="s">
        <v>734</v>
      </c>
      <c r="G721" s="21" t="s">
        <v>29204</v>
      </c>
      <c r="H721" s="21" t="s">
        <v>21113</v>
      </c>
      <c r="I721" s="21" t="s">
        <v>20787</v>
      </c>
    </row>
    <row r="722" customFormat="false" ht="15" hidden="false" customHeight="false" outlineLevel="0" collapsed="false">
      <c r="B722" s="19" t="s">
        <v>29235</v>
      </c>
      <c r="C722" s="20" t="n">
        <f aca="false">ROUND(1.11/FX,2)</f>
        <v>0.15</v>
      </c>
      <c r="D722" s="21" t="s">
        <v>26929</v>
      </c>
      <c r="E722" s="21" t="s">
        <v>13732</v>
      </c>
      <c r="F722" s="21" t="s">
        <v>734</v>
      </c>
      <c r="G722" s="21" t="s">
        <v>29204</v>
      </c>
      <c r="H722" s="21" t="s">
        <v>21113</v>
      </c>
      <c r="I722" s="21" t="s">
        <v>29193</v>
      </c>
    </row>
    <row r="723" customFormat="false" ht="15" hidden="false" customHeight="false" outlineLevel="0" collapsed="false">
      <c r="B723" s="19" t="s">
        <v>29236</v>
      </c>
      <c r="C723" s="20" t="n">
        <f aca="false">ROUND(1.11/FX,2)</f>
        <v>0.15</v>
      </c>
      <c r="D723" s="21" t="s">
        <v>26929</v>
      </c>
      <c r="E723" s="21" t="s">
        <v>13732</v>
      </c>
      <c r="F723" s="21" t="s">
        <v>734</v>
      </c>
      <c r="G723" s="21" t="s">
        <v>29204</v>
      </c>
      <c r="H723" s="21" t="s">
        <v>21116</v>
      </c>
      <c r="I723" s="21" t="s">
        <v>20755</v>
      </c>
    </row>
    <row r="724" customFormat="false" ht="15" hidden="false" customHeight="false" outlineLevel="0" collapsed="false">
      <c r="B724" s="19" t="s">
        <v>29237</v>
      </c>
      <c r="C724" s="20" t="n">
        <f aca="false">ROUND(1.11/FX,2)</f>
        <v>0.15</v>
      </c>
      <c r="D724" s="21" t="s">
        <v>26929</v>
      </c>
      <c r="E724" s="21" t="s">
        <v>13732</v>
      </c>
      <c r="F724" s="21" t="s">
        <v>734</v>
      </c>
      <c r="G724" s="21" t="s">
        <v>29204</v>
      </c>
      <c r="H724" s="21" t="s">
        <v>21116</v>
      </c>
      <c r="I724" s="21" t="s">
        <v>29185</v>
      </c>
    </row>
    <row r="725" customFormat="false" ht="15" hidden="false" customHeight="false" outlineLevel="0" collapsed="false">
      <c r="B725" s="19" t="s">
        <v>29238</v>
      </c>
      <c r="C725" s="20" t="n">
        <f aca="false">ROUND(1.11/FX,2)</f>
        <v>0.15</v>
      </c>
      <c r="D725" s="21" t="s">
        <v>26929</v>
      </c>
      <c r="E725" s="21" t="s">
        <v>13732</v>
      </c>
      <c r="F725" s="21" t="s">
        <v>734</v>
      </c>
      <c r="G725" s="21" t="s">
        <v>29204</v>
      </c>
      <c r="H725" s="21" t="s">
        <v>21116</v>
      </c>
      <c r="I725" s="21" t="s">
        <v>20757</v>
      </c>
    </row>
    <row r="726" customFormat="false" ht="15" hidden="false" customHeight="false" outlineLevel="0" collapsed="false">
      <c r="B726" s="19" t="s">
        <v>29239</v>
      </c>
      <c r="C726" s="20" t="n">
        <f aca="false">ROUND(1.11/FX,2)</f>
        <v>0.15</v>
      </c>
      <c r="D726" s="21" t="s">
        <v>26929</v>
      </c>
      <c r="E726" s="21" t="s">
        <v>13732</v>
      </c>
      <c r="F726" s="21" t="s">
        <v>734</v>
      </c>
      <c r="G726" s="21" t="s">
        <v>29204</v>
      </c>
      <c r="H726" s="21" t="s">
        <v>21116</v>
      </c>
      <c r="I726" s="21" t="s">
        <v>20767</v>
      </c>
    </row>
    <row r="727" customFormat="false" ht="15" hidden="false" customHeight="false" outlineLevel="0" collapsed="false">
      <c r="B727" s="19" t="s">
        <v>29240</v>
      </c>
      <c r="C727" s="20" t="n">
        <f aca="false">ROUND(1.11/FX,2)</f>
        <v>0.15</v>
      </c>
      <c r="D727" s="21" t="s">
        <v>26929</v>
      </c>
      <c r="E727" s="21" t="s">
        <v>13732</v>
      </c>
      <c r="F727" s="21" t="s">
        <v>734</v>
      </c>
      <c r="G727" s="21" t="s">
        <v>29204</v>
      </c>
      <c r="H727" s="21" t="s">
        <v>21116</v>
      </c>
      <c r="I727" s="21" t="s">
        <v>20769</v>
      </c>
    </row>
    <row r="728" customFormat="false" ht="15" hidden="false" customHeight="false" outlineLevel="0" collapsed="false">
      <c r="B728" s="19" t="s">
        <v>29241</v>
      </c>
      <c r="C728" s="20" t="n">
        <f aca="false">ROUND(1.11/FX,2)</f>
        <v>0.15</v>
      </c>
      <c r="D728" s="21" t="s">
        <v>26929</v>
      </c>
      <c r="E728" s="21" t="s">
        <v>13732</v>
      </c>
      <c r="F728" s="21" t="s">
        <v>734</v>
      </c>
      <c r="G728" s="21" t="s">
        <v>29204</v>
      </c>
      <c r="H728" s="21" t="s">
        <v>21116</v>
      </c>
      <c r="I728" s="21" t="s">
        <v>20779</v>
      </c>
    </row>
    <row r="729" customFormat="false" ht="15" hidden="false" customHeight="false" outlineLevel="0" collapsed="false">
      <c r="B729" s="19" t="s">
        <v>29242</v>
      </c>
      <c r="C729" s="20" t="n">
        <f aca="false">ROUND(1.11/FX,2)</f>
        <v>0.15</v>
      </c>
      <c r="D729" s="21" t="s">
        <v>26929</v>
      </c>
      <c r="E729" s="21" t="s">
        <v>13732</v>
      </c>
      <c r="F729" s="21" t="s">
        <v>734</v>
      </c>
      <c r="G729" s="21" t="s">
        <v>29204</v>
      </c>
      <c r="H729" s="21" t="s">
        <v>21116</v>
      </c>
      <c r="I729" s="21" t="s">
        <v>20783</v>
      </c>
    </row>
    <row r="730" customFormat="false" ht="15" hidden="false" customHeight="false" outlineLevel="0" collapsed="false">
      <c r="B730" s="19" t="s">
        <v>29243</v>
      </c>
      <c r="C730" s="20" t="n">
        <f aca="false">ROUND(1.11/FX,2)</f>
        <v>0.15</v>
      </c>
      <c r="D730" s="21" t="s">
        <v>26929</v>
      </c>
      <c r="E730" s="21" t="s">
        <v>13732</v>
      </c>
      <c r="F730" s="21" t="s">
        <v>734</v>
      </c>
      <c r="G730" s="21" t="s">
        <v>29204</v>
      </c>
      <c r="H730" s="21" t="s">
        <v>21116</v>
      </c>
      <c r="I730" s="21" t="s">
        <v>20787</v>
      </c>
    </row>
    <row r="731" customFormat="false" ht="28.35" hidden="false" customHeight="false" outlineLevel="0" collapsed="false">
      <c r="B731" s="19" t="s">
        <v>29244</v>
      </c>
      <c r="C731" s="20" t="n">
        <f aca="false">ROUND(1.17/FX,2)</f>
        <v>0.16</v>
      </c>
      <c r="D731" s="21" t="s">
        <v>128</v>
      </c>
      <c r="E731" s="21" t="s">
        <v>13732</v>
      </c>
      <c r="F731" s="21" t="s">
        <v>734</v>
      </c>
      <c r="G731" s="21" t="s">
        <v>29245</v>
      </c>
      <c r="H731" s="21" t="s">
        <v>21113</v>
      </c>
      <c r="I731" s="21" t="s">
        <v>20755</v>
      </c>
    </row>
    <row r="732" customFormat="false" ht="28.35" hidden="false" customHeight="false" outlineLevel="0" collapsed="false">
      <c r="B732" s="19" t="s">
        <v>29246</v>
      </c>
      <c r="C732" s="20" t="n">
        <f aca="false">ROUND(1.17/FX,2)</f>
        <v>0.16</v>
      </c>
      <c r="D732" s="21" t="s">
        <v>128</v>
      </c>
      <c r="E732" s="21" t="s">
        <v>13732</v>
      </c>
      <c r="F732" s="21" t="s">
        <v>734</v>
      </c>
      <c r="G732" s="21" t="s">
        <v>29245</v>
      </c>
      <c r="H732" s="21" t="s">
        <v>21113</v>
      </c>
      <c r="I732" s="21" t="s">
        <v>20757</v>
      </c>
    </row>
    <row r="733" customFormat="false" ht="28.35" hidden="false" customHeight="false" outlineLevel="0" collapsed="false">
      <c r="B733" s="19" t="s">
        <v>29247</v>
      </c>
      <c r="C733" s="20" t="n">
        <f aca="false">ROUND(1.17/FX,2)</f>
        <v>0.16</v>
      </c>
      <c r="D733" s="21" t="s">
        <v>128</v>
      </c>
      <c r="E733" s="21" t="s">
        <v>13732</v>
      </c>
      <c r="F733" s="21" t="s">
        <v>734</v>
      </c>
      <c r="G733" s="21" t="s">
        <v>29245</v>
      </c>
      <c r="H733" s="21" t="s">
        <v>21113</v>
      </c>
      <c r="I733" s="21" t="s">
        <v>20767</v>
      </c>
    </row>
    <row r="734" customFormat="false" ht="28.35" hidden="false" customHeight="false" outlineLevel="0" collapsed="false">
      <c r="B734" s="19" t="s">
        <v>29248</v>
      </c>
      <c r="C734" s="20" t="n">
        <f aca="false">ROUND(1.17/FX,2)</f>
        <v>0.16</v>
      </c>
      <c r="D734" s="21" t="s">
        <v>128</v>
      </c>
      <c r="E734" s="21" t="s">
        <v>13732</v>
      </c>
      <c r="F734" s="21" t="s">
        <v>734</v>
      </c>
      <c r="G734" s="21" t="s">
        <v>29245</v>
      </c>
      <c r="H734" s="21" t="s">
        <v>21113</v>
      </c>
      <c r="I734" s="21" t="s">
        <v>20769</v>
      </c>
    </row>
    <row r="735" customFormat="false" ht="28.35" hidden="false" customHeight="false" outlineLevel="0" collapsed="false">
      <c r="B735" s="19" t="s">
        <v>29249</v>
      </c>
      <c r="C735" s="20" t="n">
        <f aca="false">ROUND(0.91/FX,2)</f>
        <v>0.13</v>
      </c>
      <c r="D735" s="21" t="s">
        <v>128</v>
      </c>
      <c r="E735" s="21" t="s">
        <v>13732</v>
      </c>
      <c r="F735" s="21" t="s">
        <v>734</v>
      </c>
      <c r="G735" s="21" t="s">
        <v>29245</v>
      </c>
      <c r="H735" s="21" t="s">
        <v>21113</v>
      </c>
      <c r="I735" s="21" t="s">
        <v>20779</v>
      </c>
    </row>
    <row r="736" customFormat="false" ht="28.35" hidden="false" customHeight="false" outlineLevel="0" collapsed="false">
      <c r="B736" s="19" t="s">
        <v>29250</v>
      </c>
      <c r="C736" s="20" t="n">
        <f aca="false">ROUND(1.17/FX,2)</f>
        <v>0.16</v>
      </c>
      <c r="D736" s="21" t="s">
        <v>128</v>
      </c>
      <c r="E736" s="21" t="s">
        <v>13732</v>
      </c>
      <c r="F736" s="21" t="s">
        <v>734</v>
      </c>
      <c r="G736" s="21" t="s">
        <v>29245</v>
      </c>
      <c r="H736" s="21" t="s">
        <v>21113</v>
      </c>
      <c r="I736" s="21" t="s">
        <v>20783</v>
      </c>
    </row>
    <row r="737" customFormat="false" ht="28.35" hidden="false" customHeight="false" outlineLevel="0" collapsed="false">
      <c r="B737" s="19" t="s">
        <v>29251</v>
      </c>
      <c r="C737" s="20" t="n">
        <f aca="false">ROUND(1.17/FX,2)</f>
        <v>0.16</v>
      </c>
      <c r="D737" s="21" t="s">
        <v>128</v>
      </c>
      <c r="E737" s="21" t="s">
        <v>13732</v>
      </c>
      <c r="F737" s="21" t="s">
        <v>734</v>
      </c>
      <c r="G737" s="21" t="s">
        <v>29245</v>
      </c>
      <c r="H737" s="21" t="s">
        <v>21113</v>
      </c>
      <c r="I737" s="21" t="s">
        <v>20787</v>
      </c>
    </row>
    <row r="738" customFormat="false" ht="28.35" hidden="false" customHeight="false" outlineLevel="0" collapsed="false">
      <c r="B738" s="19" t="s">
        <v>29252</v>
      </c>
      <c r="C738" s="20" t="n">
        <f aca="false">ROUND(1.17/FX,2)</f>
        <v>0.16</v>
      </c>
      <c r="D738" s="21" t="s">
        <v>128</v>
      </c>
      <c r="E738" s="21" t="s">
        <v>13732</v>
      </c>
      <c r="F738" s="21" t="s">
        <v>734</v>
      </c>
      <c r="G738" s="21" t="s">
        <v>29245</v>
      </c>
      <c r="H738" s="21" t="s">
        <v>21113</v>
      </c>
      <c r="I738" s="21" t="s">
        <v>29193</v>
      </c>
    </row>
    <row r="739" customFormat="false" ht="28.35" hidden="false" customHeight="false" outlineLevel="0" collapsed="false">
      <c r="B739" s="19" t="s">
        <v>29253</v>
      </c>
      <c r="C739" s="20" t="n">
        <f aca="false">ROUND(1.17/FX,2)</f>
        <v>0.16</v>
      </c>
      <c r="D739" s="21" t="s">
        <v>128</v>
      </c>
      <c r="E739" s="21" t="s">
        <v>13732</v>
      </c>
      <c r="F739" s="21" t="s">
        <v>734</v>
      </c>
      <c r="G739" s="21" t="s">
        <v>29245</v>
      </c>
      <c r="H739" s="21" t="s">
        <v>21116</v>
      </c>
      <c r="I739" s="21" t="s">
        <v>20767</v>
      </c>
    </row>
    <row r="740" customFormat="false" ht="28.35" hidden="false" customHeight="false" outlineLevel="0" collapsed="false">
      <c r="B740" s="19" t="s">
        <v>29254</v>
      </c>
      <c r="C740" s="20" t="n">
        <f aca="false">ROUND(0.91/FX,2)</f>
        <v>0.13</v>
      </c>
      <c r="D740" s="21" t="s">
        <v>128</v>
      </c>
      <c r="E740" s="21" t="s">
        <v>13732</v>
      </c>
      <c r="F740" s="21" t="s">
        <v>734</v>
      </c>
      <c r="G740" s="21" t="s">
        <v>29245</v>
      </c>
      <c r="H740" s="21" t="s">
        <v>21116</v>
      </c>
      <c r="I740" s="21" t="s">
        <v>20779</v>
      </c>
    </row>
    <row r="741" customFormat="false" ht="28.35" hidden="false" customHeight="false" outlineLevel="0" collapsed="false">
      <c r="B741" s="19" t="s">
        <v>29255</v>
      </c>
      <c r="C741" s="20" t="n">
        <f aca="false">ROUND(1.17/FX,2)</f>
        <v>0.16</v>
      </c>
      <c r="D741" s="21" t="s">
        <v>128</v>
      </c>
      <c r="E741" s="21" t="s">
        <v>13732</v>
      </c>
      <c r="F741" s="21" t="s">
        <v>734</v>
      </c>
      <c r="G741" s="21" t="s">
        <v>29245</v>
      </c>
      <c r="H741" s="21" t="s">
        <v>21116</v>
      </c>
      <c r="I741" s="21" t="s">
        <v>20783</v>
      </c>
    </row>
    <row r="742" customFormat="false" ht="28.35" hidden="false" customHeight="false" outlineLevel="0" collapsed="false">
      <c r="B742" s="19" t="s">
        <v>29256</v>
      </c>
      <c r="C742" s="20" t="n">
        <f aca="false">ROUND(1.17/FX,2)</f>
        <v>0.16</v>
      </c>
      <c r="D742" s="21" t="s">
        <v>128</v>
      </c>
      <c r="E742" s="21" t="s">
        <v>13732</v>
      </c>
      <c r="F742" s="21" t="s">
        <v>734</v>
      </c>
      <c r="G742" s="21" t="s">
        <v>29245</v>
      </c>
      <c r="H742" s="21" t="s">
        <v>21116</v>
      </c>
      <c r="I742" s="21" t="s">
        <v>20787</v>
      </c>
    </row>
    <row r="743" customFormat="false" ht="28.35" hidden="false" customHeight="false" outlineLevel="0" collapsed="false">
      <c r="B743" s="19" t="s">
        <v>29257</v>
      </c>
      <c r="C743" s="20" t="n">
        <f aca="false">ROUND(1.17/FX,2)</f>
        <v>0.16</v>
      </c>
      <c r="D743" s="21" t="s">
        <v>128</v>
      </c>
      <c r="E743" s="21" t="s">
        <v>13732</v>
      </c>
      <c r="F743" s="21" t="s">
        <v>734</v>
      </c>
      <c r="G743" s="21" t="s">
        <v>29245</v>
      </c>
      <c r="H743" s="21" t="s">
        <v>21116</v>
      </c>
      <c r="I743" s="21" t="s">
        <v>29193</v>
      </c>
    </row>
    <row r="744" customFormat="false" ht="28.35" hidden="false" customHeight="false" outlineLevel="0" collapsed="false">
      <c r="B744" s="19" t="s">
        <v>29258</v>
      </c>
      <c r="C744" s="20" t="n">
        <f aca="false">ROUND(4.94/FX,2)</f>
        <v>0.69</v>
      </c>
      <c r="D744" s="21" t="s">
        <v>29167</v>
      </c>
      <c r="E744" s="21" t="s">
        <v>13732</v>
      </c>
      <c r="F744" s="21" t="s">
        <v>12822</v>
      </c>
      <c r="G744" s="21" t="s">
        <v>29245</v>
      </c>
      <c r="H744" s="21" t="s">
        <v>21113</v>
      </c>
      <c r="I744" s="21" t="s">
        <v>20755</v>
      </c>
    </row>
    <row r="745" customFormat="false" ht="28.35" hidden="false" customHeight="false" outlineLevel="0" collapsed="false">
      <c r="B745" s="19" t="s">
        <v>29259</v>
      </c>
      <c r="C745" s="20" t="n">
        <f aca="false">ROUND(5.2/FX,2)</f>
        <v>0.72</v>
      </c>
      <c r="D745" s="21" t="s">
        <v>29167</v>
      </c>
      <c r="E745" s="21" t="s">
        <v>13732</v>
      </c>
      <c r="F745" s="21" t="s">
        <v>12822</v>
      </c>
      <c r="G745" s="21" t="s">
        <v>29245</v>
      </c>
      <c r="H745" s="21" t="s">
        <v>21113</v>
      </c>
      <c r="I745" s="21" t="s">
        <v>20767</v>
      </c>
    </row>
    <row r="746" customFormat="false" ht="28.35" hidden="false" customHeight="false" outlineLevel="0" collapsed="false">
      <c r="B746" s="19" t="s">
        <v>29260</v>
      </c>
      <c r="C746" s="20" t="n">
        <f aca="false">ROUND(3.25/FX,2)</f>
        <v>0.45</v>
      </c>
      <c r="D746" s="21" t="s">
        <v>29167</v>
      </c>
      <c r="E746" s="21" t="s">
        <v>13732</v>
      </c>
      <c r="F746" s="21" t="s">
        <v>12822</v>
      </c>
      <c r="G746" s="21" t="s">
        <v>29245</v>
      </c>
      <c r="H746" s="21" t="s">
        <v>21113</v>
      </c>
      <c r="I746" s="21" t="s">
        <v>20779</v>
      </c>
    </row>
    <row r="747" customFormat="false" ht="28.35" hidden="false" customHeight="false" outlineLevel="0" collapsed="false">
      <c r="B747" s="19" t="s">
        <v>29261</v>
      </c>
      <c r="C747" s="20" t="n">
        <f aca="false">ROUND(5.2/FX,2)</f>
        <v>0.72</v>
      </c>
      <c r="D747" s="21" t="s">
        <v>29167</v>
      </c>
      <c r="E747" s="21" t="s">
        <v>13732</v>
      </c>
      <c r="F747" s="21" t="s">
        <v>29262</v>
      </c>
      <c r="G747" s="21" t="s">
        <v>29245</v>
      </c>
      <c r="H747" s="21" t="s">
        <v>21113</v>
      </c>
      <c r="I747" s="21" t="s">
        <v>20779</v>
      </c>
    </row>
    <row r="748" customFormat="false" ht="28.35" hidden="false" customHeight="false" outlineLevel="0" collapsed="false">
      <c r="B748" s="19" t="s">
        <v>29263</v>
      </c>
      <c r="C748" s="20" t="n">
        <f aca="false">ROUND(4.94/FX,2)</f>
        <v>0.69</v>
      </c>
      <c r="D748" s="21" t="s">
        <v>29167</v>
      </c>
      <c r="E748" s="21" t="s">
        <v>13732</v>
      </c>
      <c r="F748" s="21" t="s">
        <v>12822</v>
      </c>
      <c r="G748" s="21" t="s">
        <v>29245</v>
      </c>
      <c r="H748" s="21" t="s">
        <v>21113</v>
      </c>
      <c r="I748" s="21" t="s">
        <v>20783</v>
      </c>
    </row>
    <row r="749" customFormat="false" ht="28.35" hidden="false" customHeight="false" outlineLevel="0" collapsed="false">
      <c r="B749" s="19" t="s">
        <v>29264</v>
      </c>
      <c r="C749" s="20" t="n">
        <f aca="false">ROUND(1.95/FX,2)</f>
        <v>0.27</v>
      </c>
      <c r="D749" s="21" t="s">
        <v>26929</v>
      </c>
      <c r="E749" s="21" t="s">
        <v>13732</v>
      </c>
      <c r="F749" s="21" t="s">
        <v>734</v>
      </c>
      <c r="G749" s="21" t="s">
        <v>29245</v>
      </c>
      <c r="H749" s="21" t="s">
        <v>21113</v>
      </c>
      <c r="I749" s="21" t="s">
        <v>20755</v>
      </c>
    </row>
    <row r="750" customFormat="false" ht="28.35" hidden="false" customHeight="false" outlineLevel="0" collapsed="false">
      <c r="B750" s="19" t="s">
        <v>29265</v>
      </c>
      <c r="C750" s="20" t="n">
        <f aca="false">ROUND(1.95/FX,2)</f>
        <v>0.27</v>
      </c>
      <c r="D750" s="21" t="s">
        <v>26929</v>
      </c>
      <c r="E750" s="21" t="s">
        <v>13732</v>
      </c>
      <c r="F750" s="21" t="s">
        <v>734</v>
      </c>
      <c r="G750" s="21" t="s">
        <v>29245</v>
      </c>
      <c r="H750" s="21" t="s">
        <v>21113</v>
      </c>
      <c r="I750" s="21" t="s">
        <v>20757</v>
      </c>
    </row>
    <row r="751" customFormat="false" ht="28.35" hidden="false" customHeight="false" outlineLevel="0" collapsed="false">
      <c r="B751" s="19" t="s">
        <v>29266</v>
      </c>
      <c r="C751" s="20" t="n">
        <f aca="false">ROUND(1.95/FX,2)</f>
        <v>0.27</v>
      </c>
      <c r="D751" s="21" t="s">
        <v>26929</v>
      </c>
      <c r="E751" s="21" t="s">
        <v>13732</v>
      </c>
      <c r="F751" s="21" t="s">
        <v>734</v>
      </c>
      <c r="G751" s="21" t="s">
        <v>29245</v>
      </c>
      <c r="H751" s="21" t="s">
        <v>21113</v>
      </c>
      <c r="I751" s="21" t="s">
        <v>20767</v>
      </c>
    </row>
    <row r="752" customFormat="false" ht="28.35" hidden="false" customHeight="false" outlineLevel="0" collapsed="false">
      <c r="B752" s="19" t="s">
        <v>29267</v>
      </c>
      <c r="C752" s="20" t="n">
        <f aca="false">ROUND(1.95/FX,2)</f>
        <v>0.27</v>
      </c>
      <c r="D752" s="21" t="s">
        <v>26929</v>
      </c>
      <c r="E752" s="21" t="s">
        <v>13732</v>
      </c>
      <c r="F752" s="21" t="s">
        <v>734</v>
      </c>
      <c r="G752" s="21" t="s">
        <v>29245</v>
      </c>
      <c r="H752" s="21" t="s">
        <v>21113</v>
      </c>
      <c r="I752" s="21" t="s">
        <v>20769</v>
      </c>
    </row>
    <row r="753" customFormat="false" ht="28.35" hidden="false" customHeight="false" outlineLevel="0" collapsed="false">
      <c r="B753" s="19" t="s">
        <v>29268</v>
      </c>
      <c r="C753" s="20" t="n">
        <f aca="false">ROUND(1.3/FX,2)</f>
        <v>0.18</v>
      </c>
      <c r="D753" s="21" t="s">
        <v>26929</v>
      </c>
      <c r="E753" s="21" t="s">
        <v>13732</v>
      </c>
      <c r="F753" s="21" t="s">
        <v>734</v>
      </c>
      <c r="G753" s="21" t="s">
        <v>29245</v>
      </c>
      <c r="H753" s="21" t="s">
        <v>21113</v>
      </c>
      <c r="I753" s="21" t="s">
        <v>20779</v>
      </c>
    </row>
    <row r="754" customFormat="false" ht="28.35" hidden="false" customHeight="false" outlineLevel="0" collapsed="false">
      <c r="B754" s="19" t="s">
        <v>29269</v>
      </c>
      <c r="C754" s="20" t="n">
        <f aca="false">ROUND(1.3/FX,2)</f>
        <v>0.18</v>
      </c>
      <c r="D754" s="21" t="s">
        <v>26929</v>
      </c>
      <c r="E754" s="21" t="s">
        <v>13732</v>
      </c>
      <c r="F754" s="21" t="s">
        <v>734</v>
      </c>
      <c r="G754" s="21" t="s">
        <v>29245</v>
      </c>
      <c r="H754" s="21" t="s">
        <v>21113</v>
      </c>
      <c r="I754" s="21" t="s">
        <v>20783</v>
      </c>
    </row>
    <row r="755" customFormat="false" ht="28.35" hidden="false" customHeight="false" outlineLevel="0" collapsed="false">
      <c r="B755" s="19" t="s">
        <v>29270</v>
      </c>
      <c r="C755" s="20" t="n">
        <f aca="false">ROUND(1.95/FX,2)</f>
        <v>0.27</v>
      </c>
      <c r="D755" s="21" t="s">
        <v>26929</v>
      </c>
      <c r="E755" s="21" t="s">
        <v>13732</v>
      </c>
      <c r="F755" s="21" t="s">
        <v>734</v>
      </c>
      <c r="G755" s="21" t="s">
        <v>29245</v>
      </c>
      <c r="H755" s="21" t="s">
        <v>21113</v>
      </c>
      <c r="I755" s="21" t="s">
        <v>20787</v>
      </c>
    </row>
    <row r="756" customFormat="false" ht="28.35" hidden="false" customHeight="false" outlineLevel="0" collapsed="false">
      <c r="B756" s="19" t="s">
        <v>29271</v>
      </c>
      <c r="C756" s="20" t="n">
        <f aca="false">ROUND(1.95/FX,2)</f>
        <v>0.27</v>
      </c>
      <c r="D756" s="21" t="s">
        <v>26929</v>
      </c>
      <c r="E756" s="21" t="s">
        <v>13732</v>
      </c>
      <c r="F756" s="21" t="s">
        <v>734</v>
      </c>
      <c r="G756" s="21" t="s">
        <v>29245</v>
      </c>
      <c r="H756" s="21" t="s">
        <v>21113</v>
      </c>
      <c r="I756" s="21" t="s">
        <v>29193</v>
      </c>
    </row>
    <row r="757" customFormat="false" ht="28.35" hidden="false" customHeight="false" outlineLevel="0" collapsed="false">
      <c r="B757" s="19" t="s">
        <v>29272</v>
      </c>
      <c r="C757" s="20" t="n">
        <f aca="false">ROUND(1.95/FX,2)</f>
        <v>0.27</v>
      </c>
      <c r="D757" s="21" t="s">
        <v>26929</v>
      </c>
      <c r="E757" s="21" t="s">
        <v>13732</v>
      </c>
      <c r="F757" s="21" t="s">
        <v>734</v>
      </c>
      <c r="G757" s="21" t="s">
        <v>29245</v>
      </c>
      <c r="H757" s="21" t="s">
        <v>21116</v>
      </c>
      <c r="I757" s="21" t="s">
        <v>20755</v>
      </c>
    </row>
    <row r="758" customFormat="false" ht="28.35" hidden="false" customHeight="false" outlineLevel="0" collapsed="false">
      <c r="B758" s="19" t="s">
        <v>29273</v>
      </c>
      <c r="C758" s="20" t="n">
        <f aca="false">ROUND(1.95/FX,2)</f>
        <v>0.27</v>
      </c>
      <c r="D758" s="21" t="s">
        <v>26929</v>
      </c>
      <c r="E758" s="21" t="s">
        <v>13732</v>
      </c>
      <c r="F758" s="21" t="s">
        <v>734</v>
      </c>
      <c r="G758" s="21" t="s">
        <v>29245</v>
      </c>
      <c r="H758" s="21" t="s">
        <v>21116</v>
      </c>
      <c r="I758" s="21" t="s">
        <v>20757</v>
      </c>
    </row>
    <row r="759" customFormat="false" ht="28.35" hidden="false" customHeight="false" outlineLevel="0" collapsed="false">
      <c r="B759" s="19" t="s">
        <v>29274</v>
      </c>
      <c r="C759" s="20" t="n">
        <f aca="false">ROUND(1.95/FX,2)</f>
        <v>0.27</v>
      </c>
      <c r="D759" s="21" t="s">
        <v>26929</v>
      </c>
      <c r="E759" s="21" t="s">
        <v>13732</v>
      </c>
      <c r="F759" s="21" t="s">
        <v>734</v>
      </c>
      <c r="G759" s="21" t="s">
        <v>29245</v>
      </c>
      <c r="H759" s="21" t="s">
        <v>21116</v>
      </c>
      <c r="I759" s="21" t="s">
        <v>20767</v>
      </c>
    </row>
    <row r="760" customFormat="false" ht="28.35" hidden="false" customHeight="false" outlineLevel="0" collapsed="false">
      <c r="B760" s="19" t="s">
        <v>29275</v>
      </c>
      <c r="C760" s="20" t="n">
        <f aca="false">ROUND(1.95/FX,2)</f>
        <v>0.27</v>
      </c>
      <c r="D760" s="21" t="s">
        <v>26929</v>
      </c>
      <c r="E760" s="21" t="s">
        <v>13732</v>
      </c>
      <c r="F760" s="21" t="s">
        <v>734</v>
      </c>
      <c r="G760" s="21" t="s">
        <v>29245</v>
      </c>
      <c r="H760" s="21" t="s">
        <v>21116</v>
      </c>
      <c r="I760" s="21" t="s">
        <v>20769</v>
      </c>
    </row>
    <row r="761" customFormat="false" ht="28.35" hidden="false" customHeight="false" outlineLevel="0" collapsed="false">
      <c r="B761" s="19" t="s">
        <v>29276</v>
      </c>
      <c r="C761" s="20" t="n">
        <f aca="false">ROUND(1.95/FX,2)</f>
        <v>0.27</v>
      </c>
      <c r="D761" s="21" t="s">
        <v>26929</v>
      </c>
      <c r="E761" s="21" t="s">
        <v>13732</v>
      </c>
      <c r="F761" s="21" t="s">
        <v>734</v>
      </c>
      <c r="G761" s="21" t="s">
        <v>29245</v>
      </c>
      <c r="H761" s="21" t="s">
        <v>21116</v>
      </c>
      <c r="I761" s="21" t="s">
        <v>20779</v>
      </c>
    </row>
    <row r="762" customFormat="false" ht="28.35" hidden="false" customHeight="false" outlineLevel="0" collapsed="false">
      <c r="B762" s="19" t="s">
        <v>29277</v>
      </c>
      <c r="C762" s="20" t="n">
        <f aca="false">ROUND(1.95/FX,2)</f>
        <v>0.27</v>
      </c>
      <c r="D762" s="21" t="s">
        <v>26929</v>
      </c>
      <c r="E762" s="21" t="s">
        <v>13732</v>
      </c>
      <c r="F762" s="21" t="s">
        <v>734</v>
      </c>
      <c r="G762" s="21" t="s">
        <v>29245</v>
      </c>
      <c r="H762" s="21" t="s">
        <v>21116</v>
      </c>
      <c r="I762" s="21" t="s">
        <v>20783</v>
      </c>
    </row>
    <row r="763" customFormat="false" ht="28.35" hidden="false" customHeight="false" outlineLevel="0" collapsed="false">
      <c r="B763" s="19" t="s">
        <v>29278</v>
      </c>
      <c r="C763" s="20" t="n">
        <f aca="false">ROUND(1.95/FX,2)</f>
        <v>0.27</v>
      </c>
      <c r="D763" s="21" t="s">
        <v>26929</v>
      </c>
      <c r="E763" s="21" t="s">
        <v>13732</v>
      </c>
      <c r="F763" s="21" t="s">
        <v>734</v>
      </c>
      <c r="G763" s="21" t="s">
        <v>29245</v>
      </c>
      <c r="H763" s="21" t="s">
        <v>21116</v>
      </c>
      <c r="I763" s="21" t="s">
        <v>20787</v>
      </c>
    </row>
    <row r="764" customFormat="false" ht="28.35" hidden="false" customHeight="false" outlineLevel="0" collapsed="false">
      <c r="B764" s="19" t="s">
        <v>29279</v>
      </c>
      <c r="C764" s="20" t="n">
        <f aca="false">ROUND(1.95/FX,2)</f>
        <v>0.27</v>
      </c>
      <c r="D764" s="21" t="s">
        <v>26929</v>
      </c>
      <c r="E764" s="21" t="s">
        <v>13732</v>
      </c>
      <c r="F764" s="21" t="s">
        <v>734</v>
      </c>
      <c r="G764" s="21" t="s">
        <v>29245</v>
      </c>
      <c r="H764" s="21" t="s">
        <v>21116</v>
      </c>
      <c r="I764" s="21" t="s">
        <v>29193</v>
      </c>
    </row>
    <row r="765" customFormat="false" ht="15" hidden="false" customHeight="false" outlineLevel="0" collapsed="false">
      <c r="B765" s="19" t="s">
        <v>29280</v>
      </c>
      <c r="C765" s="20" t="n">
        <f aca="false">ROUND(2.86/FX,2)</f>
        <v>0.4</v>
      </c>
      <c r="D765" s="21" t="s">
        <v>128</v>
      </c>
      <c r="E765" s="21" t="s">
        <v>13732</v>
      </c>
      <c r="F765" s="21" t="s">
        <v>734</v>
      </c>
      <c r="G765" s="21" t="s">
        <v>29281</v>
      </c>
      <c r="H765" s="21" t="s">
        <v>21113</v>
      </c>
      <c r="I765" s="21" t="s">
        <v>20767</v>
      </c>
    </row>
    <row r="766" customFormat="false" ht="15" hidden="false" customHeight="false" outlineLevel="0" collapsed="false">
      <c r="B766" s="19" t="s">
        <v>29282</v>
      </c>
      <c r="C766" s="20" t="n">
        <f aca="false">ROUND(2.86/FX,2)</f>
        <v>0.4</v>
      </c>
      <c r="D766" s="21" t="s">
        <v>128</v>
      </c>
      <c r="E766" s="21" t="s">
        <v>13732</v>
      </c>
      <c r="F766" s="21" t="s">
        <v>734</v>
      </c>
      <c r="G766" s="21" t="s">
        <v>29281</v>
      </c>
      <c r="H766" s="21" t="s">
        <v>21113</v>
      </c>
      <c r="I766" s="21" t="s">
        <v>20779</v>
      </c>
    </row>
    <row r="769" customFormat="false" ht="61.5" hidden="false" customHeight="true" outlineLevel="0" collapsed="false">
      <c r="A769" s="9"/>
      <c r="B769" s="10" t="s">
        <v>29283</v>
      </c>
      <c r="C769" s="10"/>
      <c r="D769" s="10"/>
      <c r="E769" s="10"/>
      <c r="F769" s="10"/>
      <c r="G769" s="10"/>
    </row>
    <row r="770" customFormat="false" ht="15" hidden="false" customHeight="false" outlineLevel="0" collapsed="false">
      <c r="A770" s="12" t="s">
        <v>700</v>
      </c>
      <c r="B770" s="13" t="s">
        <v>701</v>
      </c>
      <c r="C770" s="13" t="s">
        <v>702</v>
      </c>
      <c r="D770" s="13" t="s">
        <v>722</v>
      </c>
      <c r="E770" s="13" t="s">
        <v>723</v>
      </c>
      <c r="F770" s="13" t="s">
        <v>21219</v>
      </c>
      <c r="G770" s="13" t="s">
        <v>20008</v>
      </c>
    </row>
    <row r="771" customFormat="false" ht="30" hidden="false" customHeight="true" outlineLevel="0" collapsed="false">
      <c r="A771" s="14" t="s">
        <v>706</v>
      </c>
      <c r="B771" s="15" t="str">
        <f aca="false">IF(COUNTIFS($D$774:$D$779,IF(D771="","*",D771),$E$774:$E$779,IF(E771="","*",E771),$F$774:$F$779,IF(F771="","*",F771),$G$774:$G$779,IF(G771="","*",G771))=1,INDEX($B:$B,SUMPRODUCT(((D771="")+($D$774:$D$779=D771)&gt;0)*((E771="")+($E$774:$E$779=E771)&gt;0)*((F771="")+($F$774:$F$779=F771)&gt;0)*((G771="")+($G$774:$G$779=G771)&gt;0)*ROW($B$774:$B$779))),IF(COUNTIFS($D$774:$D$779,IF(D771="","*",D771),$E$774:$E$779,IF(E771="","*",E771),$F$774:$F$779,IF(F771="","*",F771),$G$774:$G$779,IF(G771="","*",G771))=0,"Not available",COUNTIFS($D$774:$D$779,IF(D771="","*",D771),$E$774:$E$779,IF(E771="","*",E771),$F$774:$F$779,IF(F771="","*",F771),$G$774:$G$779,IF(G771="","*",G771))&amp;" match, keep choosing"))</f>
        <v>P3-005-JCJZJB</v>
      </c>
      <c r="C771" s="16" t="n">
        <f aca="false">IF(COUNTIFS($D$774:$D$779,IF(D771="","*",D771),$E$774:$E$779,IF(E771="","*",E771),$F$774:$F$779,IF(F771="","*",F771),$G$774:$G$779,IF(G771="","*",G771))=1,INDEX($C:$C,SUMPRODUCT(((D771="")+($D$774:$D$779=D771)&gt;0)*((E771="")+($E$774:$E$779=E771)&gt;0)*((F771="")+($F$774:$F$779=F771)&gt;0)*((G771="")+($G$774:$G$779=G771)&gt;0)*ROW($B$774:$B$779))),"")</f>
        <v>4.51</v>
      </c>
      <c r="D771" s="17" t="s">
        <v>6336</v>
      </c>
      <c r="E771" s="17" t="s">
        <v>29284</v>
      </c>
      <c r="F771" s="17" t="s">
        <v>6336</v>
      </c>
      <c r="G771" s="17" t="s">
        <v>6336</v>
      </c>
    </row>
    <row r="773" customFormat="false" ht="15" hidden="false" customHeight="false" outlineLevel="0" collapsed="false">
      <c r="B773" s="18" t="s">
        <v>701</v>
      </c>
      <c r="C773" s="18" t="s">
        <v>702</v>
      </c>
      <c r="D773" s="18" t="s">
        <v>722</v>
      </c>
      <c r="E773" s="18" t="s">
        <v>723</v>
      </c>
      <c r="F773" s="18" t="s">
        <v>21219</v>
      </c>
      <c r="G773" s="18" t="s">
        <v>20008</v>
      </c>
    </row>
    <row r="774" customFormat="false" ht="28.35" hidden="false" customHeight="false" outlineLevel="0" collapsed="false">
      <c r="B774" s="19" t="s">
        <v>29285</v>
      </c>
      <c r="C774" s="20" t="n">
        <f aca="false">ROUND(32.5/FX,2)</f>
        <v>4.51</v>
      </c>
      <c r="D774" s="21" t="s">
        <v>6336</v>
      </c>
      <c r="E774" s="21" t="s">
        <v>29284</v>
      </c>
      <c r="F774" s="21" t="s">
        <v>6336</v>
      </c>
      <c r="G774" s="21" t="s">
        <v>6336</v>
      </c>
    </row>
    <row r="775" customFormat="false" ht="15" hidden="false" customHeight="false" outlineLevel="0" collapsed="false">
      <c r="B775" s="19" t="s">
        <v>29286</v>
      </c>
      <c r="C775" s="20" t="n">
        <f aca="false">ROUND(3.25/FX,2)</f>
        <v>0.45</v>
      </c>
      <c r="D775" s="21" t="s">
        <v>6362</v>
      </c>
      <c r="E775" s="21" t="s">
        <v>29287</v>
      </c>
      <c r="F775" s="21" t="s">
        <v>29288</v>
      </c>
      <c r="G775" s="21" t="s">
        <v>29289</v>
      </c>
    </row>
    <row r="776" customFormat="false" ht="15" hidden="false" customHeight="false" outlineLevel="0" collapsed="false">
      <c r="B776" s="19" t="s">
        <v>29290</v>
      </c>
      <c r="C776" s="20" t="n">
        <f aca="false">ROUND(3.25/FX,2)</f>
        <v>0.45</v>
      </c>
      <c r="D776" s="21" t="s">
        <v>6362</v>
      </c>
      <c r="E776" s="21" t="s">
        <v>29291</v>
      </c>
      <c r="F776" s="21" t="s">
        <v>6336</v>
      </c>
      <c r="G776" s="21" t="s">
        <v>6336</v>
      </c>
    </row>
    <row r="777" customFormat="false" ht="15" hidden="false" customHeight="false" outlineLevel="0" collapsed="false">
      <c r="B777" s="19" t="s">
        <v>29292</v>
      </c>
      <c r="C777" s="20" t="n">
        <f aca="false">ROUND(37.84/FX,2)</f>
        <v>5.26</v>
      </c>
      <c r="D777" s="21" t="s">
        <v>6336</v>
      </c>
      <c r="E777" s="21" t="s">
        <v>11672</v>
      </c>
      <c r="F777" s="21" t="s">
        <v>6336</v>
      </c>
      <c r="G777" s="21" t="s">
        <v>6336</v>
      </c>
    </row>
    <row r="778" customFormat="false" ht="15" hidden="false" customHeight="false" outlineLevel="0" collapsed="false">
      <c r="B778" s="19" t="s">
        <v>29293</v>
      </c>
      <c r="C778" s="20" t="n">
        <f aca="false">ROUND(3.25/FX,2)</f>
        <v>0.45</v>
      </c>
      <c r="D778" s="21" t="s">
        <v>751</v>
      </c>
      <c r="E778" s="21" t="s">
        <v>29287</v>
      </c>
      <c r="F778" s="21" t="s">
        <v>29288</v>
      </c>
      <c r="G778" s="21" t="s">
        <v>29289</v>
      </c>
    </row>
    <row r="779" customFormat="false" ht="15" hidden="false" customHeight="false" outlineLevel="0" collapsed="false">
      <c r="B779" s="19" t="s">
        <v>29294</v>
      </c>
      <c r="C779" s="20" t="n">
        <f aca="false">ROUND(3.25/FX,2)</f>
        <v>0.45</v>
      </c>
      <c r="D779" s="21" t="s">
        <v>751</v>
      </c>
      <c r="E779" s="21" t="s">
        <v>29291</v>
      </c>
      <c r="F779" s="21" t="s">
        <v>6336</v>
      </c>
      <c r="G779" s="21" t="s">
        <v>6336</v>
      </c>
    </row>
    <row r="782" customFormat="false" ht="61.5" hidden="false" customHeight="true" outlineLevel="0" collapsed="false">
      <c r="A782" s="9"/>
      <c r="B782" s="10" t="s">
        <v>29295</v>
      </c>
      <c r="C782" s="10"/>
      <c r="D782" s="10"/>
    </row>
    <row r="783" customFormat="false" ht="15" hidden="false" customHeight="false" outlineLevel="0" collapsed="false">
      <c r="A783" s="12" t="s">
        <v>700</v>
      </c>
      <c r="B783" s="13" t="s">
        <v>701</v>
      </c>
      <c r="C783" s="13" t="s">
        <v>702</v>
      </c>
      <c r="D783" s="13" t="s">
        <v>723</v>
      </c>
    </row>
    <row r="784" customFormat="false" ht="30" hidden="false" customHeight="true" outlineLevel="0" collapsed="false">
      <c r="A784" s="14" t="s">
        <v>706</v>
      </c>
      <c r="B784" s="15" t="str">
        <f aca="false">IF(COUNTIFS($D$787:$D$788,IF(D784="","*",D784))=1,INDEX($B:$B,SUMPRODUCT(((D784="")+($D$787:$D$788=D784)&gt;0)*ROW($B$787:$B$788))),IF(COUNTIFS($D$787:$D$788,IF(D784="","*",D784))=0,"Not available",COUNTIFS($D$787:$D$788,IF(D784="","*",D784))&amp;" match, keep choosing"))</f>
        <v>P3-048-BDSRQ</v>
      </c>
      <c r="C784" s="16" t="n">
        <f aca="false">IF(COUNTIFS($D$787:$D$788,IF(D784="","*",D784))=1,INDEX($C:$C,SUMPRODUCT(((D784="")+($D$787:$D$788=D784)&gt;0)*ROW($B$787:$B$788))),"")</f>
        <v>7.22</v>
      </c>
      <c r="D784" s="17" t="s">
        <v>29296</v>
      </c>
    </row>
    <row r="786" customFormat="false" ht="15" hidden="false" customHeight="false" outlineLevel="0" collapsed="false">
      <c r="B786" s="18" t="s">
        <v>701</v>
      </c>
      <c r="C786" s="18" t="s">
        <v>702</v>
      </c>
      <c r="D786" s="18" t="s">
        <v>723</v>
      </c>
    </row>
    <row r="787" customFormat="false" ht="15" hidden="false" customHeight="false" outlineLevel="0" collapsed="false">
      <c r="B787" s="19" t="s">
        <v>29297</v>
      </c>
      <c r="C787" s="20" t="n">
        <f aca="false">ROUND(52/FX,2)</f>
        <v>7.22</v>
      </c>
      <c r="D787" s="21" t="s">
        <v>29296</v>
      </c>
    </row>
    <row r="788" customFormat="false" ht="15" hidden="false" customHeight="false" outlineLevel="0" collapsed="false">
      <c r="B788" s="19" t="s">
        <v>29298</v>
      </c>
      <c r="C788" s="20" t="n">
        <f aca="false">ROUND(65/FX,2)</f>
        <v>9.03</v>
      </c>
      <c r="D788" s="21" t="s">
        <v>29299</v>
      </c>
    </row>
    <row r="791" customFormat="false" ht="61.5" hidden="false" customHeight="true" outlineLevel="0" collapsed="false">
      <c r="A791" s="9"/>
      <c r="B791" s="10" t="s">
        <v>29300</v>
      </c>
      <c r="C791" s="10"/>
      <c r="D791" s="10"/>
    </row>
    <row r="792" customFormat="false" ht="15" hidden="false" customHeight="false" outlineLevel="0" collapsed="false">
      <c r="B792" s="18" t="s">
        <v>701</v>
      </c>
      <c r="C792" s="18" t="s">
        <v>702</v>
      </c>
      <c r="D792" s="18" t="s">
        <v>5610</v>
      </c>
    </row>
    <row r="793" customFormat="false" ht="15" hidden="false" customHeight="false" outlineLevel="0" collapsed="false">
      <c r="B793" s="19" t="s">
        <v>29301</v>
      </c>
      <c r="C793" s="20" t="n">
        <f aca="false">ROUND(10.4/FX,2)</f>
        <v>1.44</v>
      </c>
      <c r="D793" s="22" t="s">
        <v>5612</v>
      </c>
    </row>
    <row r="796" customFormat="false" ht="61.5" hidden="false" customHeight="true" outlineLevel="0" collapsed="false">
      <c r="A796" s="9"/>
      <c r="B796" s="10" t="s">
        <v>29302</v>
      </c>
      <c r="C796" s="10"/>
      <c r="D796" s="10"/>
    </row>
    <row r="797" customFormat="false" ht="15" hidden="false" customHeight="false" outlineLevel="0" collapsed="false">
      <c r="A797" s="12" t="s">
        <v>700</v>
      </c>
      <c r="B797" s="13" t="s">
        <v>701</v>
      </c>
      <c r="C797" s="13" t="s">
        <v>702</v>
      </c>
      <c r="D797" s="13" t="s">
        <v>723</v>
      </c>
    </row>
    <row r="798" customFormat="false" ht="30" hidden="false" customHeight="true" outlineLevel="0" collapsed="false">
      <c r="A798" s="14" t="s">
        <v>706</v>
      </c>
      <c r="B798" s="15" t="str">
        <f aca="false">IF(COUNTIFS($D$801:$D$802,IF(D798="","*",D798))=1,INDEX($B:$B,SUMPRODUCT(((D798="")+($D$801:$D$802=D798)&gt;0)*ROW($B$801:$B$802))),IF(COUNTIFS($D$801:$D$802,IF(D798="","*",D798))=0,"Not available",COUNTIFS($D$801:$D$802,IF(D798="","*",D798))&amp;" match, keep choosing"))</f>
        <v>P3-073-DPTLK</v>
      </c>
      <c r="C798" s="16" t="n">
        <f aca="false">IF(COUNTIFS($D$801:$D$802,IF(D798="","*",D798))=1,INDEX($C:$C,SUMPRODUCT(((D798="")+($D$801:$D$802=D798)&gt;0)*ROW($B$801:$B$802))),"")</f>
        <v>0.34</v>
      </c>
      <c r="D798" s="17" t="s">
        <v>29303</v>
      </c>
    </row>
    <row r="800" customFormat="false" ht="15" hidden="false" customHeight="false" outlineLevel="0" collapsed="false">
      <c r="B800" s="18" t="s">
        <v>701</v>
      </c>
      <c r="C800" s="18" t="s">
        <v>702</v>
      </c>
      <c r="D800" s="18" t="s">
        <v>723</v>
      </c>
    </row>
    <row r="801" customFormat="false" ht="15" hidden="false" customHeight="false" outlineLevel="0" collapsed="false">
      <c r="B801" s="19" t="s">
        <v>29304</v>
      </c>
      <c r="C801" s="20" t="n">
        <f aca="false">ROUND(2.47/FX,2)</f>
        <v>0.34</v>
      </c>
      <c r="D801" s="21" t="s">
        <v>29303</v>
      </c>
    </row>
    <row r="802" customFormat="false" ht="15" hidden="false" customHeight="false" outlineLevel="0" collapsed="false">
      <c r="B802" s="19" t="s">
        <v>29305</v>
      </c>
      <c r="C802" s="20" t="n">
        <f aca="false">ROUND(3.14/FX,2)</f>
        <v>0.44</v>
      </c>
      <c r="D802" s="21" t="s">
        <v>29306</v>
      </c>
    </row>
    <row r="805" customFormat="false" ht="61.5" hidden="false" customHeight="true" outlineLevel="0" collapsed="false">
      <c r="A805" s="9"/>
      <c r="B805" s="10" t="s">
        <v>29307</v>
      </c>
      <c r="C805" s="10"/>
      <c r="D805" s="10"/>
      <c r="E805" s="10"/>
      <c r="F805" s="10"/>
      <c r="G805" s="10"/>
      <c r="H805" s="10"/>
    </row>
    <row r="806" customFormat="false" ht="15" hidden="false" customHeight="false" outlineLevel="0" collapsed="false">
      <c r="A806" s="12" t="s">
        <v>700</v>
      </c>
      <c r="B806" s="13" t="s">
        <v>701</v>
      </c>
      <c r="C806" s="13" t="s">
        <v>702</v>
      </c>
      <c r="D806" s="13" t="s">
        <v>722</v>
      </c>
      <c r="E806" s="13" t="s">
        <v>705</v>
      </c>
      <c r="F806" s="13" t="s">
        <v>723</v>
      </c>
      <c r="G806" s="13" t="s">
        <v>6328</v>
      </c>
      <c r="H806" s="13" t="s">
        <v>6523</v>
      </c>
    </row>
    <row r="807" customFormat="false" ht="30" hidden="false" customHeight="true" outlineLevel="0" collapsed="false">
      <c r="A807" s="14" t="s">
        <v>706</v>
      </c>
      <c r="B807" s="15" t="str">
        <f aca="false">IF(COUNTIFS($D$810:$D$826,IF(D807="","*",D807),$E$810:$E$826,IF(E807="","*",E807),$F$810:$F$826,IF(F807="","*",F807),$G$810:$G$826,IF(G807="","*",G807),$H$810:$H$826,IF(H807="","*",H807))=1,INDEX($B:$B,SUMPRODUCT(((D807="")+($D$810:$D$826=D807)&gt;0)*((E807="")+($E$810:$E$826=E807)&gt;0)*((F807="")+($F$810:$F$826=F807)&gt;0)*((G807="")+($G$810:$G$826=G807)&gt;0)*((H807="")+($H$810:$H$826=H807)&gt;0)*ROW($B$810:$B$826))),IF(COUNTIFS($D$810:$D$826,IF(D807="","*",D807),$E$810:$E$826,IF(E807="","*",E807),$F$810:$F$826,IF(F807="","*",F807),$G$810:$G$826,IF(G807="","*",G807),$H$810:$H$826,IF(H807="","*",H807))=0,"Not available",COUNTIFS($D$810:$D$826,IF(D807="","*",D807),$E$810:$E$826,IF(E807="","*",E807),$F$810:$F$826,IF(F807="","*",F807),$G$810:$G$826,IF(G807="","*",G807),$H$810:$H$826,IF(H807="","*",H807))&amp;" match, keep choosing"))</f>
        <v>P3-061-3x15-WH-FK-SS</v>
      </c>
      <c r="C807" s="16" t="n">
        <f aca="false">IF(COUNTIFS($D$810:$D$826,IF(D807="","*",D807),$E$810:$E$826,IF(E807="","*",E807),$F$810:$F$826,IF(F807="","*",F807),$G$810:$G$826,IF(G807="","*",G807),$H$810:$H$826,IF(H807="","*",H807))=1,INDEX($C:$C,SUMPRODUCT(((D807="")+($D$810:$D$826=D807)&gt;0)*((E807="")+($E$810:$E$826=E807)&gt;0)*((F807="")+($F$810:$F$826=F807)&gt;0)*((G807="")+($G$810:$G$826=G807)&gt;0)*((H807="")+($H$810:$H$826=H807)&gt;0)*ROW($B$810:$B$826))),"")</f>
        <v>0.69</v>
      </c>
      <c r="D807" s="17" t="s">
        <v>751</v>
      </c>
      <c r="E807" s="17" t="s">
        <v>13732</v>
      </c>
      <c r="F807" s="17" t="s">
        <v>26929</v>
      </c>
      <c r="G807" s="17" t="s">
        <v>29308</v>
      </c>
      <c r="H807" s="17" t="s">
        <v>8851</v>
      </c>
    </row>
    <row r="809" customFormat="false" ht="15" hidden="false" customHeight="false" outlineLevel="0" collapsed="false">
      <c r="B809" s="18" t="s">
        <v>701</v>
      </c>
      <c r="C809" s="18" t="s">
        <v>702</v>
      </c>
      <c r="D809" s="18" t="s">
        <v>722</v>
      </c>
      <c r="E809" s="18" t="s">
        <v>705</v>
      </c>
      <c r="F809" s="18" t="s">
        <v>723</v>
      </c>
      <c r="G809" s="18" t="s">
        <v>6328</v>
      </c>
      <c r="H809" s="18" t="s">
        <v>6523</v>
      </c>
    </row>
    <row r="810" customFormat="false" ht="15" hidden="false" customHeight="false" outlineLevel="0" collapsed="false">
      <c r="B810" s="19" t="s">
        <v>29309</v>
      </c>
      <c r="C810" s="20" t="n">
        <f aca="false">ROUND(5/FX,2)</f>
        <v>0.69</v>
      </c>
      <c r="D810" s="21" t="s">
        <v>751</v>
      </c>
      <c r="E810" s="21" t="s">
        <v>13732</v>
      </c>
      <c r="F810" s="21" t="s">
        <v>26929</v>
      </c>
      <c r="G810" s="21" t="s">
        <v>29308</v>
      </c>
      <c r="H810" s="21" t="s">
        <v>8851</v>
      </c>
    </row>
    <row r="811" customFormat="false" ht="15" hidden="false" customHeight="false" outlineLevel="0" collapsed="false">
      <c r="B811" s="19" t="s">
        <v>29310</v>
      </c>
      <c r="C811" s="20" t="n">
        <f aca="false">ROUND(2.34/FX,2)</f>
        <v>0.33</v>
      </c>
      <c r="D811" s="21" t="s">
        <v>6336</v>
      </c>
      <c r="E811" s="21" t="s">
        <v>13732</v>
      </c>
      <c r="F811" s="21" t="s">
        <v>19735</v>
      </c>
      <c r="G811" s="21" t="s">
        <v>7941</v>
      </c>
      <c r="H811" s="21" t="s">
        <v>6336</v>
      </c>
    </row>
    <row r="812" customFormat="false" ht="15" hidden="false" customHeight="false" outlineLevel="0" collapsed="false">
      <c r="B812" s="19" t="s">
        <v>29311</v>
      </c>
      <c r="C812" s="20" t="n">
        <f aca="false">ROUND(1.6/FX,2)</f>
        <v>0.22</v>
      </c>
      <c r="D812" s="21" t="s">
        <v>6336</v>
      </c>
      <c r="E812" s="21" t="s">
        <v>13732</v>
      </c>
      <c r="F812" s="21" t="s">
        <v>709</v>
      </c>
      <c r="G812" s="21" t="s">
        <v>7941</v>
      </c>
      <c r="H812" s="21" t="s">
        <v>6336</v>
      </c>
    </row>
    <row r="813" customFormat="false" ht="15" hidden="false" customHeight="false" outlineLevel="0" collapsed="false">
      <c r="B813" s="19" t="s">
        <v>29312</v>
      </c>
      <c r="C813" s="20" t="n">
        <f aca="false">ROUND(3.12/FX,2)</f>
        <v>0.43</v>
      </c>
      <c r="D813" s="21" t="s">
        <v>6336</v>
      </c>
      <c r="E813" s="21" t="s">
        <v>13732</v>
      </c>
      <c r="F813" s="21" t="s">
        <v>6357</v>
      </c>
      <c r="G813" s="21" t="s">
        <v>7941</v>
      </c>
      <c r="H813" s="21" t="s">
        <v>6336</v>
      </c>
    </row>
    <row r="814" customFormat="false" ht="15" hidden="false" customHeight="false" outlineLevel="0" collapsed="false">
      <c r="B814" s="19" t="s">
        <v>29313</v>
      </c>
      <c r="C814" s="20" t="n">
        <f aca="false">ROUND(1.82/FX,2)</f>
        <v>0.25</v>
      </c>
      <c r="D814" s="21" t="s">
        <v>6336</v>
      </c>
      <c r="E814" s="21" t="s">
        <v>13732</v>
      </c>
      <c r="F814" s="21" t="s">
        <v>19724</v>
      </c>
      <c r="G814" s="21" t="s">
        <v>7939</v>
      </c>
      <c r="H814" s="21" t="s">
        <v>6336</v>
      </c>
    </row>
    <row r="815" customFormat="false" ht="15" hidden="false" customHeight="false" outlineLevel="0" collapsed="false">
      <c r="B815" s="19" t="s">
        <v>29314</v>
      </c>
      <c r="C815" s="20" t="n">
        <f aca="false">ROUND(1.82/FX,2)</f>
        <v>0.25</v>
      </c>
      <c r="D815" s="21" t="s">
        <v>6336</v>
      </c>
      <c r="E815" s="21" t="s">
        <v>13732</v>
      </c>
      <c r="F815" s="21" t="s">
        <v>29315</v>
      </c>
      <c r="G815" s="21" t="s">
        <v>7939</v>
      </c>
      <c r="H815" s="21" t="s">
        <v>6336</v>
      </c>
    </row>
    <row r="816" customFormat="false" ht="15" hidden="false" customHeight="false" outlineLevel="0" collapsed="false">
      <c r="B816" s="19" t="s">
        <v>29316</v>
      </c>
      <c r="C816" s="20" t="n">
        <f aca="false">ROUND(1.82/FX,2)</f>
        <v>0.25</v>
      </c>
      <c r="D816" s="21" t="s">
        <v>6336</v>
      </c>
      <c r="E816" s="21" t="s">
        <v>13732</v>
      </c>
      <c r="F816" s="21" t="s">
        <v>19731</v>
      </c>
      <c r="G816" s="21" t="s">
        <v>7939</v>
      </c>
      <c r="H816" s="21" t="s">
        <v>6336</v>
      </c>
    </row>
    <row r="817" customFormat="false" ht="15" hidden="false" customHeight="false" outlineLevel="0" collapsed="false">
      <c r="B817" s="19" t="s">
        <v>29317</v>
      </c>
      <c r="C817" s="20" t="n">
        <f aca="false">ROUND(1.82/FX,2)</f>
        <v>0.25</v>
      </c>
      <c r="D817" s="21" t="s">
        <v>6336</v>
      </c>
      <c r="E817" s="21" t="s">
        <v>13732</v>
      </c>
      <c r="F817" s="21" t="s">
        <v>709</v>
      </c>
      <c r="G817" s="21" t="s">
        <v>7939</v>
      </c>
      <c r="H817" s="21" t="s">
        <v>6336</v>
      </c>
    </row>
    <row r="818" customFormat="false" ht="15" hidden="false" customHeight="false" outlineLevel="0" collapsed="false">
      <c r="B818" s="19" t="s">
        <v>29318</v>
      </c>
      <c r="C818" s="20" t="n">
        <f aca="false">ROUND(2.02/FX,2)</f>
        <v>0.28</v>
      </c>
      <c r="D818" s="21" t="s">
        <v>724</v>
      </c>
      <c r="E818" s="21" t="s">
        <v>13732</v>
      </c>
      <c r="F818" s="21" t="s">
        <v>709</v>
      </c>
      <c r="G818" s="21" t="s">
        <v>7939</v>
      </c>
      <c r="H818" s="21" t="s">
        <v>6336</v>
      </c>
    </row>
    <row r="819" customFormat="false" ht="15" hidden="false" customHeight="false" outlineLevel="0" collapsed="false">
      <c r="B819" s="19" t="s">
        <v>29319</v>
      </c>
      <c r="C819" s="20" t="n">
        <f aca="false">ROUND(1.82/FX,2)</f>
        <v>0.25</v>
      </c>
      <c r="D819" s="21" t="s">
        <v>724</v>
      </c>
      <c r="E819" s="21" t="s">
        <v>13732</v>
      </c>
      <c r="F819" s="21" t="s">
        <v>709</v>
      </c>
      <c r="G819" s="21" t="s">
        <v>29320</v>
      </c>
      <c r="H819" s="21" t="s">
        <v>6336</v>
      </c>
    </row>
    <row r="820" customFormat="false" ht="15" hidden="false" customHeight="false" outlineLevel="0" collapsed="false">
      <c r="B820" s="19" t="s">
        <v>29321</v>
      </c>
      <c r="C820" s="20" t="n">
        <f aca="false">ROUND(2.6/FX,2)</f>
        <v>0.36</v>
      </c>
      <c r="D820" s="21" t="s">
        <v>724</v>
      </c>
      <c r="E820" s="21" t="s">
        <v>13732</v>
      </c>
      <c r="F820" s="21" t="s">
        <v>709</v>
      </c>
      <c r="G820" s="21" t="s">
        <v>29322</v>
      </c>
      <c r="H820" s="21" t="s">
        <v>6336</v>
      </c>
    </row>
    <row r="821" customFormat="false" ht="15" hidden="false" customHeight="false" outlineLevel="0" collapsed="false">
      <c r="B821" s="19" t="s">
        <v>29323</v>
      </c>
      <c r="C821" s="20" t="n">
        <f aca="false">ROUND(2.73/FX,2)</f>
        <v>0.38</v>
      </c>
      <c r="D821" s="21" t="s">
        <v>6336</v>
      </c>
      <c r="E821" s="21" t="s">
        <v>13732</v>
      </c>
      <c r="F821" s="21" t="s">
        <v>19735</v>
      </c>
      <c r="G821" s="21" t="s">
        <v>12847</v>
      </c>
      <c r="H821" s="21" t="s">
        <v>6336</v>
      </c>
    </row>
    <row r="822" customFormat="false" ht="15" hidden="false" customHeight="false" outlineLevel="0" collapsed="false">
      <c r="B822" s="19" t="s">
        <v>29324</v>
      </c>
      <c r="C822" s="20" t="n">
        <f aca="false">ROUND(2.54/FX,2)</f>
        <v>0.35</v>
      </c>
      <c r="D822" s="21" t="s">
        <v>6336</v>
      </c>
      <c r="E822" s="21" t="s">
        <v>13732</v>
      </c>
      <c r="F822" s="21" t="s">
        <v>709</v>
      </c>
      <c r="G822" s="21" t="s">
        <v>12847</v>
      </c>
      <c r="H822" s="21" t="s">
        <v>6336</v>
      </c>
    </row>
    <row r="823" customFormat="false" ht="15" hidden="false" customHeight="false" outlineLevel="0" collapsed="false">
      <c r="B823" s="19" t="s">
        <v>29325</v>
      </c>
      <c r="C823" s="20" t="n">
        <f aca="false">ROUND(12.8/FX,2)</f>
        <v>1.78</v>
      </c>
      <c r="D823" s="21" t="s">
        <v>6336</v>
      </c>
      <c r="E823" s="21" t="s">
        <v>13743</v>
      </c>
      <c r="F823" s="21" t="s">
        <v>29326</v>
      </c>
      <c r="G823" s="21" t="s">
        <v>12847</v>
      </c>
      <c r="H823" s="21" t="s">
        <v>6336</v>
      </c>
    </row>
    <row r="824" customFormat="false" ht="15" hidden="false" customHeight="false" outlineLevel="0" collapsed="false">
      <c r="B824" s="19" t="s">
        <v>29327</v>
      </c>
      <c r="C824" s="20" t="n">
        <f aca="false">ROUND(3.12/FX,2)</f>
        <v>0.43</v>
      </c>
      <c r="D824" s="21" t="s">
        <v>6336</v>
      </c>
      <c r="E824" s="21" t="s">
        <v>13732</v>
      </c>
      <c r="F824" s="21" t="s">
        <v>6357</v>
      </c>
      <c r="G824" s="21" t="s">
        <v>12847</v>
      </c>
      <c r="H824" s="21" t="s">
        <v>6336</v>
      </c>
    </row>
    <row r="825" customFormat="false" ht="15" hidden="false" customHeight="false" outlineLevel="0" collapsed="false">
      <c r="B825" s="19" t="s">
        <v>29328</v>
      </c>
      <c r="C825" s="20" t="n">
        <f aca="false">ROUND(2.01/FX,2)</f>
        <v>0.28</v>
      </c>
      <c r="D825" s="21" t="s">
        <v>6336</v>
      </c>
      <c r="E825" s="21" t="s">
        <v>13732</v>
      </c>
      <c r="F825" s="21" t="s">
        <v>709</v>
      </c>
      <c r="G825" s="21" t="s">
        <v>29320</v>
      </c>
      <c r="H825" s="21" t="s">
        <v>6336</v>
      </c>
    </row>
    <row r="826" customFormat="false" ht="15" hidden="false" customHeight="false" outlineLevel="0" collapsed="false">
      <c r="B826" s="19" t="s">
        <v>29329</v>
      </c>
      <c r="C826" s="20" t="n">
        <f aca="false">ROUND(10.15/FX,2)</f>
        <v>1.41</v>
      </c>
      <c r="D826" s="21" t="s">
        <v>6336</v>
      </c>
      <c r="E826" s="21" t="s">
        <v>13743</v>
      </c>
      <c r="F826" s="21" t="s">
        <v>709</v>
      </c>
      <c r="G826" s="21" t="s">
        <v>29320</v>
      </c>
      <c r="H826" s="21" t="s">
        <v>6336</v>
      </c>
    </row>
    <row r="829" customFormat="false" ht="61.5" hidden="false" customHeight="true" outlineLevel="0" collapsed="false">
      <c r="A829" s="9"/>
      <c r="B829" s="10" t="s">
        <v>29330</v>
      </c>
      <c r="C829" s="10"/>
      <c r="D829" s="10"/>
      <c r="E829" s="10"/>
      <c r="F829" s="10"/>
    </row>
    <row r="830" customFormat="false" ht="15" hidden="false" customHeight="false" outlineLevel="0" collapsed="false">
      <c r="A830" s="12" t="s">
        <v>700</v>
      </c>
      <c r="B830" s="13" t="s">
        <v>701</v>
      </c>
      <c r="C830" s="13" t="s">
        <v>702</v>
      </c>
      <c r="D830" s="13" t="s">
        <v>723</v>
      </c>
      <c r="E830" s="13" t="s">
        <v>6328</v>
      </c>
      <c r="F830" s="13" t="s">
        <v>13701</v>
      </c>
    </row>
    <row r="831" customFormat="false" ht="30" hidden="false" customHeight="true" outlineLevel="0" collapsed="false">
      <c r="A831" s="14" t="s">
        <v>706</v>
      </c>
      <c r="B831" s="15" t="str">
        <f aca="false">IF(COUNTIFS($D$834:$D$836,IF(D831="","*",D831),$E$834:$E$836,IF(E831="","*",E831),$F$834:$F$836,IF(F831="","*",F831))=1,INDEX($B:$B,SUMPRODUCT(((D831="")+($D$834:$D$836=D831)&gt;0)*((E831="")+($E$834:$E$836=E831)&gt;0)*((F831="")+($F$834:$F$836=F831)&gt;0)*ROW($B$834:$B$836))),IF(COUNTIFS($D$834:$D$836,IF(D831="","*",D831),$E$834:$E$836,IF(E831="","*",E831),$F$834:$F$836,IF(F831="","*",F831))=0,"Not available",COUNTIFS($D$834:$D$836,IF(D831="","*",D831),$E$834:$E$836,IF(E831="","*",E831),$F$834:$F$836,IF(F831="","*",F831))&amp;" match, keep choosing"))</f>
        <v>P3-057-M6x0.75-SS-GDZ</v>
      </c>
      <c r="C831" s="16" t="n">
        <f aca="false">IF(COUNTIFS($D$834:$D$836,IF(D831="","*",D831),$E$834:$E$836,IF(E831="","*",E831),$F$834:$F$836,IF(F831="","*",F831))=1,INDEX($C:$C,SUMPRODUCT(((D831="")+($D$834:$D$836=D831)&gt;0)*((E831="")+($E$834:$E$836=E831)&gt;0)*((F831="")+($F$834:$F$836=F831)&gt;0)*ROW($B$834:$B$836))),"")</f>
        <v>0.38</v>
      </c>
      <c r="D831" s="17" t="s">
        <v>29331</v>
      </c>
      <c r="E831" s="17" t="s">
        <v>26929</v>
      </c>
      <c r="F831" s="17" t="s">
        <v>16370</v>
      </c>
    </row>
    <row r="833" customFormat="false" ht="15" hidden="false" customHeight="false" outlineLevel="0" collapsed="false">
      <c r="B833" s="18" t="s">
        <v>701</v>
      </c>
      <c r="C833" s="18" t="s">
        <v>702</v>
      </c>
      <c r="D833" s="18" t="s">
        <v>723</v>
      </c>
      <c r="E833" s="18" t="s">
        <v>6328</v>
      </c>
      <c r="F833" s="18" t="s">
        <v>13701</v>
      </c>
    </row>
    <row r="834" customFormat="false" ht="15" hidden="false" customHeight="false" outlineLevel="0" collapsed="false">
      <c r="B834" s="19" t="s">
        <v>29332</v>
      </c>
      <c r="C834" s="20" t="n">
        <f aca="false">ROUND(2.73/FX,2)</f>
        <v>0.38</v>
      </c>
      <c r="D834" s="21" t="s">
        <v>29331</v>
      </c>
      <c r="E834" s="21" t="s">
        <v>26929</v>
      </c>
      <c r="F834" s="21" t="s">
        <v>16370</v>
      </c>
    </row>
    <row r="835" customFormat="false" ht="15" hidden="false" customHeight="false" outlineLevel="0" collapsed="false">
      <c r="B835" s="19" t="s">
        <v>29333</v>
      </c>
      <c r="C835" s="20" t="n">
        <f aca="false">ROUND(3.25/FX,2)</f>
        <v>0.45</v>
      </c>
      <c r="D835" s="21" t="s">
        <v>29334</v>
      </c>
      <c r="E835" s="21" t="s">
        <v>29335</v>
      </c>
      <c r="F835" s="21" t="s">
        <v>6336</v>
      </c>
    </row>
    <row r="836" customFormat="false" ht="15" hidden="false" customHeight="false" outlineLevel="0" collapsed="false">
      <c r="B836" s="19" t="s">
        <v>29336</v>
      </c>
      <c r="C836" s="20" t="n">
        <f aca="false">ROUND(3.25/FX,2)</f>
        <v>0.45</v>
      </c>
      <c r="D836" s="21" t="s">
        <v>29337</v>
      </c>
      <c r="E836" s="21" t="s">
        <v>29335</v>
      </c>
      <c r="F836" s="21" t="s">
        <v>6336</v>
      </c>
    </row>
    <row r="839" customFormat="false" ht="61.5" hidden="false" customHeight="true" outlineLevel="0" collapsed="false">
      <c r="A839" s="9"/>
      <c r="B839" s="10" t="s">
        <v>29338</v>
      </c>
      <c r="C839" s="10"/>
      <c r="D839" s="10"/>
      <c r="E839" s="10"/>
      <c r="F839" s="10"/>
    </row>
    <row r="840" customFormat="false" ht="15" hidden="false" customHeight="false" outlineLevel="0" collapsed="false">
      <c r="A840" s="12" t="s">
        <v>700</v>
      </c>
      <c r="B840" s="13" t="s">
        <v>701</v>
      </c>
      <c r="C840" s="13" t="s">
        <v>702</v>
      </c>
      <c r="D840" s="13" t="s">
        <v>722</v>
      </c>
      <c r="E840" s="13" t="s">
        <v>704</v>
      </c>
      <c r="F840" s="13" t="s">
        <v>723</v>
      </c>
    </row>
    <row r="841" customFormat="false" ht="30" hidden="false" customHeight="true" outlineLevel="0" collapsed="false">
      <c r="A841" s="14" t="s">
        <v>706</v>
      </c>
      <c r="B841" s="15" t="str">
        <f aca="false">IF(COUNTIFS($D$844:$D$847,IF(D841="","*",D841),$E$844:$E$847,IF(E841="","*",E841),$F$844:$F$847,IF(F841="","*",F841))=1,INDEX($B:$B,SUMPRODUCT(((D841="")+($D$844:$D$847=D841)&gt;0)*((E841="")+($E$844:$E$847=E841)&gt;0)*((F841="")+($F$844:$F$847=F841)&gt;0)*ROW($B$844:$B$847))),IF(COUNTIFS($D$844:$D$847,IF(D841="","*",D841),$E$844:$E$847,IF(E841="","*",E841),$F$844:$F$847,IF(F841="","*",F841))=0,"Not available",COUNTIFS($D$844:$D$847,IF(D841="","*",D841),$E$844:$E$847,IF(E841="","*",E841),$F$844:$F$847,IF(F841="","*",F841))&amp;" match, keep choosing"))</f>
        <v>P3-042-BK-NL-V5</v>
      </c>
      <c r="C841" s="16" t="n">
        <f aca="false">IF(COUNTIFS($D$844:$D$847,IF(D841="","*",D841),$E$844:$E$847,IF(E841="","*",E841),$F$844:$F$847,IF(F841="","*",F841))=1,INDEX($C:$C,SUMPRODUCT(((D841="")+($D$844:$D$847=D841)&gt;0)*((E841="")+($E$844:$E$847=E841)&gt;0)*((F841="")+($F$844:$F$847=F841)&gt;0)*ROW($B$844:$B$847))),"")</f>
        <v>0.23</v>
      </c>
      <c r="D841" s="17" t="s">
        <v>724</v>
      </c>
      <c r="E841" s="17" t="s">
        <v>6336</v>
      </c>
      <c r="F841" s="17" t="s">
        <v>29339</v>
      </c>
    </row>
    <row r="843" customFormat="false" ht="15" hidden="false" customHeight="false" outlineLevel="0" collapsed="false">
      <c r="B843" s="18" t="s">
        <v>701</v>
      </c>
      <c r="C843" s="18" t="s">
        <v>702</v>
      </c>
      <c r="D843" s="18" t="s">
        <v>722</v>
      </c>
      <c r="E843" s="18" t="s">
        <v>704</v>
      </c>
      <c r="F843" s="18" t="s">
        <v>723</v>
      </c>
    </row>
    <row r="844" customFormat="false" ht="15" hidden="false" customHeight="false" outlineLevel="0" collapsed="false">
      <c r="B844" s="19" t="s">
        <v>29340</v>
      </c>
      <c r="C844" s="20" t="n">
        <f aca="false">ROUND(1.69/FX,2)</f>
        <v>0.23</v>
      </c>
      <c r="D844" s="21" t="s">
        <v>724</v>
      </c>
      <c r="E844" s="21" t="s">
        <v>6336</v>
      </c>
      <c r="F844" s="21" t="s">
        <v>29339</v>
      </c>
    </row>
    <row r="845" customFormat="false" ht="15" hidden="false" customHeight="false" outlineLevel="0" collapsed="false">
      <c r="B845" s="19" t="s">
        <v>29341</v>
      </c>
      <c r="C845" s="20" t="n">
        <f aca="false">ROUND(1.69/FX,2)</f>
        <v>0.23</v>
      </c>
      <c r="D845" s="21" t="s">
        <v>724</v>
      </c>
      <c r="E845" s="21" t="s">
        <v>6336</v>
      </c>
      <c r="F845" s="21" t="s">
        <v>29342</v>
      </c>
    </row>
    <row r="846" customFormat="false" ht="15" hidden="false" customHeight="false" outlineLevel="0" collapsed="false">
      <c r="B846" s="19" t="s">
        <v>29343</v>
      </c>
      <c r="C846" s="20" t="n">
        <f aca="false">ROUND(5.2/FX,2)</f>
        <v>0.72</v>
      </c>
      <c r="D846" s="21" t="s">
        <v>6549</v>
      </c>
      <c r="E846" s="21" t="s">
        <v>6550</v>
      </c>
      <c r="F846" s="21" t="s">
        <v>29344</v>
      </c>
    </row>
    <row r="847" customFormat="false" ht="15" hidden="false" customHeight="false" outlineLevel="0" collapsed="false">
      <c r="B847" s="19" t="s">
        <v>29345</v>
      </c>
      <c r="C847" s="20" t="n">
        <f aca="false">ROUND(7.8/FX,2)</f>
        <v>1.08</v>
      </c>
      <c r="D847" s="21" t="s">
        <v>6549</v>
      </c>
      <c r="E847" s="21" t="s">
        <v>6550</v>
      </c>
      <c r="F847" s="21" t="s">
        <v>29346</v>
      </c>
    </row>
    <row r="850" customFormat="false" ht="61.5" hidden="false" customHeight="true" outlineLevel="0" collapsed="false">
      <c r="A850" s="9"/>
      <c r="B850" s="10" t="s">
        <v>29347</v>
      </c>
      <c r="C850" s="10"/>
      <c r="D850" s="10"/>
    </row>
    <row r="851" customFormat="false" ht="15" hidden="false" customHeight="false" outlineLevel="0" collapsed="false">
      <c r="B851" s="18" t="s">
        <v>701</v>
      </c>
      <c r="C851" s="18" t="s">
        <v>702</v>
      </c>
      <c r="D851" s="18" t="s">
        <v>5610</v>
      </c>
    </row>
    <row r="852" customFormat="false" ht="15" hidden="false" customHeight="false" outlineLevel="0" collapsed="false">
      <c r="B852" s="19" t="s">
        <v>29348</v>
      </c>
      <c r="C852" s="20" t="n">
        <f aca="false">ROUND(16.9/FX,2)</f>
        <v>2.35</v>
      </c>
      <c r="D852" s="22" t="s">
        <v>5612</v>
      </c>
    </row>
    <row r="855" customFormat="false" ht="61.5" hidden="false" customHeight="true" outlineLevel="0" collapsed="false">
      <c r="A855" s="9"/>
      <c r="B855" s="10" t="s">
        <v>29349</v>
      </c>
      <c r="C855" s="10"/>
      <c r="D855" s="10"/>
      <c r="E855" s="10"/>
    </row>
    <row r="856" customFormat="false" ht="15" hidden="false" customHeight="false" outlineLevel="0" collapsed="false">
      <c r="A856" s="12" t="s">
        <v>700</v>
      </c>
      <c r="B856" s="13" t="s">
        <v>701</v>
      </c>
      <c r="C856" s="13" t="s">
        <v>702</v>
      </c>
      <c r="D856" s="13" t="s">
        <v>722</v>
      </c>
      <c r="E856" s="13" t="s">
        <v>723</v>
      </c>
    </row>
    <row r="857" customFormat="false" ht="30" hidden="false" customHeight="true" outlineLevel="0" collapsed="false">
      <c r="A857" s="14" t="s">
        <v>706</v>
      </c>
      <c r="B857" s="15" t="str">
        <f aca="false">IF(COUNTIFS($D$860:$D$863,IF(D857="","*",D857),$E$860:$E$863,IF(E857="","*",E857))=1,INDEX($B:$B,SUMPRODUCT(((D857="")+($D$860:$D$863=D857)&gt;0)*((E857="")+($E$860:$E$863=E857)&gt;0)*ROW($B$860:$B$863))),IF(COUNTIFS($D$860:$D$863,IF(D857="","*",D857),$E$860:$E$863,IF(E857="","*",E857))=0,"Not available",COUNTIFS($D$860:$D$863,IF(D857="","*",D857),$E$860:$E$863,IF(E857="","*",E857))&amp;" match, keep choosing"))</f>
        <v>P3-008-GY-LSRQ-Q</v>
      </c>
      <c r="C857" s="16" t="n">
        <f aca="false">IF(COUNTIFS($D$860:$D$863,IF(D857="","*",D857),$E$860:$E$863,IF(E857="","*",E857))=1,INDEX($C:$C,SUMPRODUCT(((D857="")+($D$860:$D$863=D857)&gt;0)*((E857="")+($E$860:$E$863=E857)&gt;0)*ROW($B$860:$B$863))),"")</f>
        <v>2.78</v>
      </c>
      <c r="D857" s="17" t="s">
        <v>18154</v>
      </c>
      <c r="E857" s="17" t="s">
        <v>29350</v>
      </c>
    </row>
    <row r="859" customFormat="false" ht="15" hidden="false" customHeight="false" outlineLevel="0" collapsed="false">
      <c r="B859" s="18" t="s">
        <v>701</v>
      </c>
      <c r="C859" s="18" t="s">
        <v>702</v>
      </c>
      <c r="D859" s="18" t="s">
        <v>722</v>
      </c>
      <c r="E859" s="18" t="s">
        <v>723</v>
      </c>
    </row>
    <row r="860" customFormat="false" ht="28.35" hidden="false" customHeight="false" outlineLevel="0" collapsed="false">
      <c r="B860" s="19" t="s">
        <v>29351</v>
      </c>
      <c r="C860" s="20" t="n">
        <f aca="false">ROUND(20/FX,2)</f>
        <v>2.78</v>
      </c>
      <c r="D860" s="21" t="s">
        <v>18154</v>
      </c>
      <c r="E860" s="21" t="s">
        <v>29350</v>
      </c>
    </row>
    <row r="861" customFormat="false" ht="68.65" hidden="false" customHeight="false" outlineLevel="0" collapsed="false">
      <c r="B861" s="19" t="s">
        <v>29352</v>
      </c>
      <c r="C861" s="20" t="n">
        <f aca="false">ROUND(150/FX,2)</f>
        <v>20.83</v>
      </c>
      <c r="D861" s="21" t="s">
        <v>6336</v>
      </c>
      <c r="E861" s="21" t="s">
        <v>29353</v>
      </c>
    </row>
    <row r="862" customFormat="false" ht="41.75" hidden="false" customHeight="false" outlineLevel="0" collapsed="false">
      <c r="B862" s="19" t="s">
        <v>29354</v>
      </c>
      <c r="C862" s="20" t="n">
        <f aca="false">ROUND(200/FX,2)</f>
        <v>27.78</v>
      </c>
      <c r="D862" s="21" t="s">
        <v>6336</v>
      </c>
      <c r="E862" s="21" t="s">
        <v>29355</v>
      </c>
    </row>
    <row r="863" customFormat="false" ht="28.35" hidden="false" customHeight="false" outlineLevel="0" collapsed="false">
      <c r="B863" s="19" t="s">
        <v>29356</v>
      </c>
      <c r="C863" s="20" t="n">
        <f aca="false">ROUND(9.7/FX,2)</f>
        <v>1.35</v>
      </c>
      <c r="D863" s="21" t="s">
        <v>6549</v>
      </c>
      <c r="E863" s="21" t="s">
        <v>29357</v>
      </c>
    </row>
    <row r="866" customFormat="false" ht="61.5" hidden="false" customHeight="true" outlineLevel="0" collapsed="false">
      <c r="A866" s="9"/>
      <c r="B866" s="10" t="s">
        <v>29358</v>
      </c>
      <c r="C866" s="10"/>
      <c r="D866" s="10"/>
    </row>
    <row r="867" customFormat="false" ht="15" hidden="false" customHeight="false" outlineLevel="0" collapsed="false">
      <c r="A867" s="12" t="s">
        <v>700</v>
      </c>
      <c r="B867" s="13" t="s">
        <v>701</v>
      </c>
      <c r="C867" s="13" t="s">
        <v>702</v>
      </c>
      <c r="D867" s="13" t="s">
        <v>723</v>
      </c>
    </row>
    <row r="868" customFormat="false" ht="30" hidden="false" customHeight="true" outlineLevel="0" collapsed="false">
      <c r="A868" s="14" t="s">
        <v>706</v>
      </c>
      <c r="B868" s="15" t="str">
        <f aca="false">IF(COUNTIFS($D$871:$D$872,IF(D868="","*",D868))=1,INDEX($B:$B,SUMPRODUCT(((D868="")+($D$871:$D$872=D868)&gt;0)*ROW($B$871:$B$872))),IF(COUNTIFS($D$871:$D$872,IF(D868="","*",D868))=0,"Not available",COUNTIFS($D$871:$D$872,IF(D868="","*",D868))&amp;" match, keep choosing"))</f>
        <v>P3-052-SUXLP</v>
      </c>
      <c r="C868" s="16" t="n">
        <f aca="false">IF(COUNTIFS($D$871:$D$872,IF(D868="","*",D868))=1,INDEX($C:$C,SUMPRODUCT(((D868="")+($D$871:$D$872=D868)&gt;0)*ROW($B$871:$B$872))),"")</f>
        <v>1.26</v>
      </c>
      <c r="D868" s="17" t="s">
        <v>29359</v>
      </c>
    </row>
    <row r="870" customFormat="false" ht="15" hidden="false" customHeight="false" outlineLevel="0" collapsed="false">
      <c r="B870" s="18" t="s">
        <v>701</v>
      </c>
      <c r="C870" s="18" t="s">
        <v>702</v>
      </c>
      <c r="D870" s="18" t="s">
        <v>723</v>
      </c>
    </row>
    <row r="871" customFormat="false" ht="28.35" hidden="false" customHeight="false" outlineLevel="0" collapsed="false">
      <c r="B871" s="19" t="s">
        <v>29360</v>
      </c>
      <c r="C871" s="20" t="n">
        <f aca="false">ROUND(9.1/FX,2)</f>
        <v>1.26</v>
      </c>
      <c r="D871" s="21" t="s">
        <v>29359</v>
      </c>
    </row>
    <row r="872" customFormat="false" ht="28.35" hidden="false" customHeight="false" outlineLevel="0" collapsed="false">
      <c r="B872" s="19" t="s">
        <v>29361</v>
      </c>
      <c r="C872" s="20" t="n">
        <f aca="false">ROUND(22/FX,2)</f>
        <v>3.06</v>
      </c>
      <c r="D872" s="21" t="s">
        <v>29362</v>
      </c>
    </row>
    <row r="875" customFormat="false" ht="61.5" hidden="false" customHeight="true" outlineLevel="0" collapsed="false">
      <c r="A875" s="9"/>
      <c r="B875" s="10" t="s">
        <v>29363</v>
      </c>
      <c r="C875" s="10"/>
      <c r="D875" s="10"/>
      <c r="E875" s="10"/>
    </row>
    <row r="876" customFormat="false" ht="15" hidden="false" customHeight="false" outlineLevel="0" collapsed="false">
      <c r="A876" s="12" t="s">
        <v>700</v>
      </c>
      <c r="B876" s="13" t="s">
        <v>701</v>
      </c>
      <c r="C876" s="13" t="s">
        <v>702</v>
      </c>
      <c r="D876" s="13" t="s">
        <v>722</v>
      </c>
      <c r="E876" s="13" t="s">
        <v>723</v>
      </c>
    </row>
    <row r="877" customFormat="false" ht="30" hidden="false" customHeight="true" outlineLevel="0" collapsed="false">
      <c r="A877" s="14" t="s">
        <v>706</v>
      </c>
      <c r="B877" s="15" t="str">
        <f aca="false">IF(COUNTIFS($D$880:$D$906,IF(D877="","*",D877),$E$880:$E$906,IF(E877="","*",E877))=1,INDEX($B:$B,SUMPRODUCT(((D877="")+($D$880:$D$906=D877)&gt;0)*((E877="")+($E$880:$E$906=E877)&gt;0)*ROW($B$880:$B$906))),IF(COUNTIFS($D$880:$D$906,IF(D877="","*",D877),$E$880:$E$906,IF(E877="","*",E877))=0,"Not available",COUNTIFS($D$880:$D$906,IF(D877="","*",D877),$E$880:$E$906,IF(E877="","*",E877))&amp;" match, keep choosing"))</f>
        <v>P3-051-BK-MK10</v>
      </c>
      <c r="C877" s="16" t="n">
        <f aca="false">IF(COUNTIFS($D$880:$D$906,IF(D877="","*",D877),$E$880:$E$906,IF(E877="","*",E877))=1,INDEX($C:$C,SUMPRODUCT(((D877="")+($D$880:$D$906=D877)&gt;0)*((E877="")+($E$880:$E$906=E877)&gt;0)*ROW($B$880:$B$906))),"")</f>
        <v>0.09</v>
      </c>
      <c r="D877" s="17" t="s">
        <v>724</v>
      </c>
      <c r="E877" s="17" t="s">
        <v>29144</v>
      </c>
    </row>
    <row r="879" customFormat="false" ht="15" hidden="false" customHeight="false" outlineLevel="0" collapsed="false">
      <c r="B879" s="18" t="s">
        <v>701</v>
      </c>
      <c r="C879" s="18" t="s">
        <v>702</v>
      </c>
      <c r="D879" s="18" t="s">
        <v>722</v>
      </c>
      <c r="E879" s="18" t="s">
        <v>723</v>
      </c>
    </row>
    <row r="880" customFormat="false" ht="15" hidden="false" customHeight="false" outlineLevel="0" collapsed="false">
      <c r="B880" s="19" t="s">
        <v>29364</v>
      </c>
      <c r="C880" s="20" t="n">
        <f aca="false">ROUND(0.65/FX,2)</f>
        <v>0.09</v>
      </c>
      <c r="D880" s="21" t="s">
        <v>724</v>
      </c>
      <c r="E880" s="21" t="s">
        <v>29144</v>
      </c>
    </row>
    <row r="881" customFormat="false" ht="15" hidden="false" customHeight="false" outlineLevel="0" collapsed="false">
      <c r="B881" s="19" t="s">
        <v>29365</v>
      </c>
      <c r="C881" s="20" t="n">
        <f aca="false">ROUND(0.59/FX,2)</f>
        <v>0.08</v>
      </c>
      <c r="D881" s="21" t="s">
        <v>724</v>
      </c>
      <c r="E881" s="21" t="s">
        <v>29156</v>
      </c>
    </row>
    <row r="882" customFormat="false" ht="15" hidden="false" customHeight="false" outlineLevel="0" collapsed="false">
      <c r="B882" s="19" t="s">
        <v>29366</v>
      </c>
      <c r="C882" s="20" t="n">
        <f aca="false">ROUND(0.44/FX,2)</f>
        <v>0.06</v>
      </c>
      <c r="D882" s="21" t="s">
        <v>724</v>
      </c>
      <c r="E882" s="21" t="s">
        <v>29367</v>
      </c>
    </row>
    <row r="883" customFormat="false" ht="28.35" hidden="false" customHeight="false" outlineLevel="0" collapsed="false">
      <c r="B883" s="19" t="s">
        <v>29368</v>
      </c>
      <c r="C883" s="20" t="n">
        <f aca="false">ROUND(0.78/FX,2)</f>
        <v>0.11</v>
      </c>
      <c r="D883" s="21" t="s">
        <v>724</v>
      </c>
      <c r="E883" s="21" t="s">
        <v>29369</v>
      </c>
    </row>
    <row r="884" customFormat="false" ht="15" hidden="false" customHeight="false" outlineLevel="0" collapsed="false">
      <c r="B884" s="19" t="s">
        <v>29370</v>
      </c>
      <c r="C884" s="20" t="n">
        <f aca="false">ROUND(0.59/FX,2)</f>
        <v>0.08</v>
      </c>
      <c r="D884" s="21" t="s">
        <v>724</v>
      </c>
      <c r="E884" s="21" t="s">
        <v>29371</v>
      </c>
    </row>
    <row r="885" customFormat="false" ht="15" hidden="false" customHeight="false" outlineLevel="0" collapsed="false">
      <c r="B885" s="19" t="s">
        <v>29372</v>
      </c>
      <c r="C885" s="20" t="n">
        <f aca="false">ROUND(2.6/FX,2)</f>
        <v>0.36</v>
      </c>
      <c r="D885" s="21" t="s">
        <v>724</v>
      </c>
      <c r="E885" s="21" t="s">
        <v>29373</v>
      </c>
    </row>
    <row r="886" customFormat="false" ht="15" hidden="false" customHeight="false" outlineLevel="0" collapsed="false">
      <c r="B886" s="19" t="s">
        <v>29374</v>
      </c>
      <c r="C886" s="20" t="n">
        <f aca="false">ROUND(2.6/FX,2)</f>
        <v>0.36</v>
      </c>
      <c r="D886" s="21" t="s">
        <v>724</v>
      </c>
      <c r="E886" s="21" t="s">
        <v>29375</v>
      </c>
    </row>
    <row r="887" customFormat="false" ht="15" hidden="false" customHeight="false" outlineLevel="0" collapsed="false">
      <c r="B887" s="19" t="s">
        <v>29376</v>
      </c>
      <c r="C887" s="20" t="n">
        <f aca="false">ROUND(1.04/FX,2)</f>
        <v>0.14</v>
      </c>
      <c r="D887" s="21" t="s">
        <v>724</v>
      </c>
      <c r="E887" s="21" t="s">
        <v>29377</v>
      </c>
    </row>
    <row r="888" customFormat="false" ht="15" hidden="false" customHeight="false" outlineLevel="0" collapsed="false">
      <c r="B888" s="19" t="s">
        <v>29378</v>
      </c>
      <c r="C888" s="20" t="n">
        <f aca="false">ROUND(1.17/FX,2)</f>
        <v>0.16</v>
      </c>
      <c r="D888" s="21" t="s">
        <v>724</v>
      </c>
      <c r="E888" s="21" t="s">
        <v>29379</v>
      </c>
    </row>
    <row r="889" customFormat="false" ht="15" hidden="false" customHeight="false" outlineLevel="0" collapsed="false">
      <c r="B889" s="19" t="s">
        <v>29380</v>
      </c>
      <c r="C889" s="20" t="n">
        <f aca="false">ROUND(0.65/FX,2)</f>
        <v>0.09</v>
      </c>
      <c r="D889" s="21" t="s">
        <v>7884</v>
      </c>
      <c r="E889" s="21" t="s">
        <v>29144</v>
      </c>
    </row>
    <row r="890" customFormat="false" ht="15" hidden="false" customHeight="false" outlineLevel="0" collapsed="false">
      <c r="B890" s="19" t="s">
        <v>29381</v>
      </c>
      <c r="C890" s="20" t="n">
        <f aca="false">ROUND(0.59/FX,2)</f>
        <v>0.08</v>
      </c>
      <c r="D890" s="21" t="s">
        <v>7884</v>
      </c>
      <c r="E890" s="21" t="s">
        <v>29156</v>
      </c>
    </row>
    <row r="891" customFormat="false" ht="15" hidden="false" customHeight="false" outlineLevel="0" collapsed="false">
      <c r="B891" s="19" t="s">
        <v>29382</v>
      </c>
      <c r="C891" s="20" t="n">
        <f aca="false">ROUND(0.44/FX,2)</f>
        <v>0.06</v>
      </c>
      <c r="D891" s="21" t="s">
        <v>7884</v>
      </c>
      <c r="E891" s="21" t="s">
        <v>29367</v>
      </c>
    </row>
    <row r="892" customFormat="false" ht="15" hidden="false" customHeight="false" outlineLevel="0" collapsed="false">
      <c r="B892" s="19" t="s">
        <v>29383</v>
      </c>
      <c r="C892" s="20" t="n">
        <f aca="false">ROUND(0.59/FX,2)</f>
        <v>0.08</v>
      </c>
      <c r="D892" s="21" t="s">
        <v>7884</v>
      </c>
      <c r="E892" s="21" t="s">
        <v>29371</v>
      </c>
    </row>
    <row r="893" customFormat="false" ht="15" hidden="false" customHeight="false" outlineLevel="0" collapsed="false">
      <c r="B893" s="19" t="s">
        <v>29384</v>
      </c>
      <c r="C893" s="20" t="n">
        <f aca="false">ROUND(0.59/FX,2)</f>
        <v>0.08</v>
      </c>
      <c r="D893" s="21" t="s">
        <v>7884</v>
      </c>
      <c r="E893" s="21" t="s">
        <v>29373</v>
      </c>
    </row>
    <row r="894" customFormat="false" ht="15" hidden="false" customHeight="false" outlineLevel="0" collapsed="false">
      <c r="B894" s="19" t="s">
        <v>29385</v>
      </c>
      <c r="C894" s="20" t="n">
        <f aca="false">ROUND(0.72/FX,2)</f>
        <v>0.1</v>
      </c>
      <c r="D894" s="21" t="s">
        <v>7884</v>
      </c>
      <c r="E894" s="21" t="s">
        <v>29375</v>
      </c>
    </row>
    <row r="895" customFormat="false" ht="15" hidden="false" customHeight="false" outlineLevel="0" collapsed="false">
      <c r="B895" s="19" t="s">
        <v>29386</v>
      </c>
      <c r="C895" s="20" t="n">
        <f aca="false">ROUND(1.04/FX,2)</f>
        <v>0.14</v>
      </c>
      <c r="D895" s="21" t="s">
        <v>7884</v>
      </c>
      <c r="E895" s="21" t="s">
        <v>29377</v>
      </c>
    </row>
    <row r="896" customFormat="false" ht="15" hidden="false" customHeight="false" outlineLevel="0" collapsed="false">
      <c r="B896" s="19" t="s">
        <v>29387</v>
      </c>
      <c r="C896" s="20" t="n">
        <f aca="false">ROUND(1.17/FX,2)</f>
        <v>0.16</v>
      </c>
      <c r="D896" s="21" t="s">
        <v>7884</v>
      </c>
      <c r="E896" s="21" t="s">
        <v>29379</v>
      </c>
    </row>
    <row r="897" customFormat="false" ht="15" hidden="false" customHeight="false" outlineLevel="0" collapsed="false">
      <c r="B897" s="19" t="s">
        <v>29388</v>
      </c>
      <c r="C897" s="20" t="n">
        <f aca="false">ROUND(6.5/FX,2)</f>
        <v>0.9</v>
      </c>
      <c r="D897" s="21" t="s">
        <v>6336</v>
      </c>
      <c r="E897" s="21" t="s">
        <v>29389</v>
      </c>
    </row>
    <row r="898" customFormat="false" ht="15" hidden="false" customHeight="false" outlineLevel="0" collapsed="false">
      <c r="B898" s="19" t="s">
        <v>29390</v>
      </c>
      <c r="C898" s="20" t="n">
        <f aca="false">ROUND(0.44/FX,2)</f>
        <v>0.06</v>
      </c>
      <c r="D898" s="21" t="s">
        <v>6336</v>
      </c>
      <c r="E898" s="21" t="s">
        <v>29391</v>
      </c>
    </row>
    <row r="899" customFormat="false" ht="15" hidden="false" customHeight="false" outlineLevel="0" collapsed="false">
      <c r="B899" s="19" t="s">
        <v>29392</v>
      </c>
      <c r="C899" s="20" t="n">
        <f aca="false">ROUND(0.44/FX,2)</f>
        <v>0.06</v>
      </c>
      <c r="D899" s="21" t="s">
        <v>6336</v>
      </c>
      <c r="E899" s="21" t="s">
        <v>29393</v>
      </c>
    </row>
    <row r="900" customFormat="false" ht="28.35" hidden="false" customHeight="false" outlineLevel="0" collapsed="false">
      <c r="B900" s="19" t="s">
        <v>29394</v>
      </c>
      <c r="C900" s="20" t="n">
        <f aca="false">ROUND(6.5/FX,2)</f>
        <v>0.9</v>
      </c>
      <c r="D900" s="21" t="s">
        <v>6336</v>
      </c>
      <c r="E900" s="21" t="s">
        <v>29395</v>
      </c>
    </row>
    <row r="901" customFormat="false" ht="28.35" hidden="false" customHeight="false" outlineLevel="0" collapsed="false">
      <c r="B901" s="19" t="s">
        <v>29396</v>
      </c>
      <c r="C901" s="20" t="n">
        <f aca="false">ROUND(0.59/FX,2)</f>
        <v>0.08</v>
      </c>
      <c r="D901" s="21" t="s">
        <v>6336</v>
      </c>
      <c r="E901" s="21" t="s">
        <v>29397</v>
      </c>
    </row>
    <row r="902" customFormat="false" ht="15" hidden="false" customHeight="false" outlineLevel="0" collapsed="false">
      <c r="B902" s="19" t="s">
        <v>29398</v>
      </c>
      <c r="C902" s="20" t="n">
        <f aca="false">ROUND(6.5/FX,2)</f>
        <v>0.9</v>
      </c>
      <c r="D902" s="21" t="s">
        <v>18157</v>
      </c>
      <c r="E902" s="21" t="s">
        <v>29156</v>
      </c>
    </row>
    <row r="903" customFormat="false" ht="15" hidden="false" customHeight="false" outlineLevel="0" collapsed="false">
      <c r="B903" s="19" t="s">
        <v>29399</v>
      </c>
      <c r="C903" s="20" t="n">
        <f aca="false">ROUND(0.44/FX,2)</f>
        <v>0.06</v>
      </c>
      <c r="D903" s="21" t="s">
        <v>18157</v>
      </c>
      <c r="E903" s="21" t="s">
        <v>29367</v>
      </c>
    </row>
    <row r="904" customFormat="false" ht="15" hidden="false" customHeight="false" outlineLevel="0" collapsed="false">
      <c r="B904" s="19" t="s">
        <v>29400</v>
      </c>
      <c r="C904" s="20" t="n">
        <f aca="false">ROUND(6.5/FX,2)</f>
        <v>0.9</v>
      </c>
      <c r="D904" s="21" t="s">
        <v>18157</v>
      </c>
      <c r="E904" s="21" t="s">
        <v>29371</v>
      </c>
    </row>
    <row r="905" customFormat="false" ht="15" hidden="false" customHeight="false" outlineLevel="0" collapsed="false">
      <c r="B905" s="19" t="s">
        <v>29401</v>
      </c>
      <c r="C905" s="20" t="n">
        <f aca="false">ROUND(0.59/FX,2)</f>
        <v>0.08</v>
      </c>
      <c r="D905" s="21" t="s">
        <v>18157</v>
      </c>
      <c r="E905" s="21" t="s">
        <v>29373</v>
      </c>
    </row>
    <row r="906" customFormat="false" ht="15" hidden="false" customHeight="false" outlineLevel="0" collapsed="false">
      <c r="B906" s="19" t="s">
        <v>29402</v>
      </c>
      <c r="C906" s="20" t="n">
        <f aca="false">ROUND(1.04/FX,2)</f>
        <v>0.14</v>
      </c>
      <c r="D906" s="21" t="s">
        <v>18157</v>
      </c>
      <c r="E906" s="21" t="s">
        <v>29377</v>
      </c>
    </row>
    <row r="909" customFormat="false" ht="61.5" hidden="false" customHeight="true" outlineLevel="0" collapsed="false">
      <c r="A909" s="9"/>
      <c r="B909" s="10" t="s">
        <v>29403</v>
      </c>
      <c r="C909" s="10"/>
      <c r="D909" s="10"/>
    </row>
    <row r="910" customFormat="false" ht="15" hidden="false" customHeight="false" outlineLevel="0" collapsed="false">
      <c r="B910" s="18" t="s">
        <v>701</v>
      </c>
      <c r="C910" s="18" t="s">
        <v>702</v>
      </c>
      <c r="D910" s="18" t="s">
        <v>5610</v>
      </c>
    </row>
    <row r="911" customFormat="false" ht="15" hidden="false" customHeight="false" outlineLevel="0" collapsed="false">
      <c r="B911" s="19" t="s">
        <v>29404</v>
      </c>
      <c r="C911" s="20" t="n">
        <f aca="false">ROUND(0.46/FX,2)</f>
        <v>0.06</v>
      </c>
      <c r="D911" s="22" t="s">
        <v>5612</v>
      </c>
    </row>
    <row r="914" customFormat="false" ht="61.5" hidden="false" customHeight="true" outlineLevel="0" collapsed="false">
      <c r="A914" s="9"/>
      <c r="B914" s="10" t="s">
        <v>29405</v>
      </c>
      <c r="C914" s="10"/>
      <c r="D914" s="10"/>
      <c r="E914" s="10"/>
      <c r="F914" s="10"/>
      <c r="G914" s="10"/>
      <c r="H914" s="10"/>
    </row>
    <row r="915" customFormat="false" ht="15" hidden="false" customHeight="false" outlineLevel="0" collapsed="false">
      <c r="A915" s="12" t="s">
        <v>700</v>
      </c>
      <c r="B915" s="13" t="s">
        <v>701</v>
      </c>
      <c r="C915" s="13" t="s">
        <v>702</v>
      </c>
      <c r="D915" s="13" t="s">
        <v>723</v>
      </c>
      <c r="E915" s="13" t="s">
        <v>6523</v>
      </c>
      <c r="F915" s="13" t="s">
        <v>21219</v>
      </c>
      <c r="G915" s="13" t="s">
        <v>20008</v>
      </c>
      <c r="H915" s="13" t="s">
        <v>19722</v>
      </c>
    </row>
    <row r="916" customFormat="false" ht="30" hidden="false" customHeight="true" outlineLevel="0" collapsed="false">
      <c r="A916" s="14" t="s">
        <v>706</v>
      </c>
      <c r="B916" s="15" t="str">
        <f aca="false">IF(COUNTIFS($D$919:$D$953,IF(D916="","*",D916),$E$919:$E$953,IF(E916="","*",E916),$F$919:$F$953,IF(F916="","*",F916),$G$919:$G$953,IF(G916="","*",G916),$H$919:$H$953,IF(H916="","*",H916))=1,INDEX($B:$B,SUMPRODUCT(((D916="")+($D$919:$D$953=D916)&gt;0)*((E916="")+($E$919:$E$953=E916)&gt;0)*((F916="")+($F$919:$F$953=F916)&gt;0)*((G916="")+($G$919:$G$953=G916)&gt;0)*((H916="")+($H$919:$H$953=H916)&gt;0)*ROW($B$919:$B$953))),IF(COUNTIFS($D$919:$D$953,IF(D916="","*",D916),$E$919:$E$953,IF(E916="","*",E916),$F$919:$F$953,IF(F916="","*",F916),$G$919:$G$953,IF(G916="","*",G916),$H$919:$H$953,IF(H916="","*",H916))=0,"Not available",COUNTIFS($D$919:$D$953,IF(D916="","*",D916),$E$919:$E$953,IF(E916="","*",E916),$F$919:$F$953,IF(F916="","*",F916),$G$919:$G$953,IF(G916="","*",G916),$H$919:$H$953,IF(H916="","*",H916))&amp;" match, keep choosing"))</f>
        <v>HTR-6x15-12V-30W-1M-AWG22</v>
      </c>
      <c r="C916" s="16" t="n">
        <f aca="false">IF(COUNTIFS($D$919:$D$953,IF(D916="","*",D916),$E$919:$E$953,IF(E916="","*",E916),$F$919:$F$953,IF(F916="","*",F916),$G$919:$G$953,IF(G916="","*",G916),$H$919:$H$953,IF(H916="","*",H916))=1,INDEX($C:$C,SUMPRODUCT(((D916="")+($D$919:$D$953=D916)&gt;0)*((E916="")+($E$919:$E$953=E916)&gt;0)*((F916="")+($F$919:$F$953=F916)&gt;0)*((G916="")+($G$919:$G$953=G916)&gt;0)*((H916="")+($H$919:$H$953=H916)&gt;0)*ROW($B$919:$B$953))),"")</f>
        <v>0.51</v>
      </c>
      <c r="D916" s="17" t="s">
        <v>29406</v>
      </c>
      <c r="E916" s="17" t="s">
        <v>8923</v>
      </c>
      <c r="F916" s="17" t="s">
        <v>29407</v>
      </c>
      <c r="G916" s="17" t="s">
        <v>29408</v>
      </c>
      <c r="H916" s="17" t="s">
        <v>709</v>
      </c>
    </row>
    <row r="918" customFormat="false" ht="15" hidden="false" customHeight="false" outlineLevel="0" collapsed="false">
      <c r="B918" s="18" t="s">
        <v>701</v>
      </c>
      <c r="C918" s="18" t="s">
        <v>702</v>
      </c>
      <c r="D918" s="18" t="s">
        <v>723</v>
      </c>
      <c r="E918" s="18" t="s">
        <v>6523</v>
      </c>
      <c r="F918" s="18" t="s">
        <v>21219</v>
      </c>
      <c r="G918" s="18" t="s">
        <v>20008</v>
      </c>
      <c r="H918" s="18" t="s">
        <v>19722</v>
      </c>
    </row>
    <row r="919" customFormat="false" ht="15" hidden="false" customHeight="false" outlineLevel="0" collapsed="false">
      <c r="B919" s="19" t="s">
        <v>29409</v>
      </c>
      <c r="C919" s="20" t="n">
        <f aca="false">ROUND(3.64/FX,2)</f>
        <v>0.51</v>
      </c>
      <c r="D919" s="21" t="s">
        <v>29406</v>
      </c>
      <c r="E919" s="21" t="s">
        <v>8923</v>
      </c>
      <c r="F919" s="21" t="s">
        <v>29407</v>
      </c>
      <c r="G919" s="21" t="s">
        <v>29408</v>
      </c>
      <c r="H919" s="21" t="s">
        <v>709</v>
      </c>
    </row>
    <row r="920" customFormat="false" ht="15" hidden="false" customHeight="false" outlineLevel="0" collapsed="false">
      <c r="B920" s="19" t="s">
        <v>29410</v>
      </c>
      <c r="C920" s="20" t="n">
        <f aca="false">ROUND(4.94/FX,2)</f>
        <v>0.69</v>
      </c>
      <c r="D920" s="21" t="s">
        <v>29406</v>
      </c>
      <c r="E920" s="21" t="s">
        <v>8923</v>
      </c>
      <c r="F920" s="21" t="s">
        <v>29407</v>
      </c>
      <c r="G920" s="21" t="s">
        <v>29289</v>
      </c>
      <c r="H920" s="21" t="s">
        <v>19735</v>
      </c>
    </row>
    <row r="921" customFormat="false" ht="15" hidden="false" customHeight="false" outlineLevel="0" collapsed="false">
      <c r="B921" s="19" t="s">
        <v>29411</v>
      </c>
      <c r="C921" s="20" t="n">
        <f aca="false">ROUND(3.64/FX,2)</f>
        <v>0.51</v>
      </c>
      <c r="D921" s="21" t="s">
        <v>29406</v>
      </c>
      <c r="E921" s="21" t="s">
        <v>8923</v>
      </c>
      <c r="F921" s="21" t="s">
        <v>29407</v>
      </c>
      <c r="G921" s="21" t="s">
        <v>29289</v>
      </c>
      <c r="H921" s="21" t="s">
        <v>709</v>
      </c>
    </row>
    <row r="922" customFormat="false" ht="15" hidden="false" customHeight="false" outlineLevel="0" collapsed="false">
      <c r="B922" s="19" t="s">
        <v>29412</v>
      </c>
      <c r="C922" s="20" t="n">
        <f aca="false">ROUND(3.64/FX,2)</f>
        <v>0.51</v>
      </c>
      <c r="D922" s="21" t="s">
        <v>29406</v>
      </c>
      <c r="E922" s="21" t="s">
        <v>8923</v>
      </c>
      <c r="F922" s="21" t="s">
        <v>29407</v>
      </c>
      <c r="G922" s="21" t="s">
        <v>29413</v>
      </c>
      <c r="H922" s="21" t="s">
        <v>709</v>
      </c>
    </row>
    <row r="923" customFormat="false" ht="15" hidden="false" customHeight="false" outlineLevel="0" collapsed="false">
      <c r="B923" s="19" t="s">
        <v>29414</v>
      </c>
      <c r="C923" s="20" t="n">
        <f aca="false">ROUND(3.64/FX,2)</f>
        <v>0.51</v>
      </c>
      <c r="D923" s="21" t="s">
        <v>29406</v>
      </c>
      <c r="E923" s="21" t="s">
        <v>8923</v>
      </c>
      <c r="F923" s="21" t="s">
        <v>29288</v>
      </c>
      <c r="G923" s="21" t="s">
        <v>29408</v>
      </c>
      <c r="H923" s="21" t="s">
        <v>709</v>
      </c>
    </row>
    <row r="924" customFormat="false" ht="28.35" hidden="false" customHeight="false" outlineLevel="0" collapsed="false">
      <c r="B924" s="19" t="s">
        <v>29415</v>
      </c>
      <c r="C924" s="20" t="n">
        <f aca="false">ROUND(4.55/FX,2)</f>
        <v>0.63</v>
      </c>
      <c r="D924" s="21" t="s">
        <v>29416</v>
      </c>
      <c r="E924" s="21" t="s">
        <v>8923</v>
      </c>
      <c r="F924" s="21" t="s">
        <v>29288</v>
      </c>
      <c r="G924" s="21" t="s">
        <v>29408</v>
      </c>
      <c r="H924" s="21" t="s">
        <v>709</v>
      </c>
    </row>
    <row r="925" customFormat="false" ht="15" hidden="false" customHeight="false" outlineLevel="0" collapsed="false">
      <c r="B925" s="19" t="s">
        <v>29417</v>
      </c>
      <c r="C925" s="20" t="n">
        <f aca="false">ROUND(4.94/FX,2)</f>
        <v>0.69</v>
      </c>
      <c r="D925" s="21" t="s">
        <v>29406</v>
      </c>
      <c r="E925" s="21" t="s">
        <v>8923</v>
      </c>
      <c r="F925" s="21" t="s">
        <v>29288</v>
      </c>
      <c r="G925" s="21" t="s">
        <v>29289</v>
      </c>
      <c r="H925" s="21" t="s">
        <v>19735</v>
      </c>
    </row>
    <row r="926" customFormat="false" ht="15" hidden="false" customHeight="false" outlineLevel="0" collapsed="false">
      <c r="B926" s="19" t="s">
        <v>29418</v>
      </c>
      <c r="C926" s="20" t="n">
        <f aca="false">ROUND(3.64/FX,2)</f>
        <v>0.51</v>
      </c>
      <c r="D926" s="21" t="s">
        <v>29406</v>
      </c>
      <c r="E926" s="21" t="s">
        <v>8923</v>
      </c>
      <c r="F926" s="21" t="s">
        <v>29288</v>
      </c>
      <c r="G926" s="21" t="s">
        <v>29289</v>
      </c>
      <c r="H926" s="21" t="s">
        <v>709</v>
      </c>
    </row>
    <row r="927" customFormat="false" ht="28.35" hidden="false" customHeight="false" outlineLevel="0" collapsed="false">
      <c r="B927" s="19" t="s">
        <v>29419</v>
      </c>
      <c r="C927" s="20" t="n">
        <f aca="false">ROUND(4.55/FX,2)</f>
        <v>0.63</v>
      </c>
      <c r="D927" s="21" t="s">
        <v>29416</v>
      </c>
      <c r="E927" s="21" t="s">
        <v>8923</v>
      </c>
      <c r="F927" s="21" t="s">
        <v>29288</v>
      </c>
      <c r="G927" s="21" t="s">
        <v>29289</v>
      </c>
      <c r="H927" s="21" t="s">
        <v>709</v>
      </c>
    </row>
    <row r="928" customFormat="false" ht="28.35" hidden="false" customHeight="false" outlineLevel="0" collapsed="false">
      <c r="B928" s="19" t="s">
        <v>29420</v>
      </c>
      <c r="C928" s="20" t="n">
        <f aca="false">ROUND(3.9/FX,2)</f>
        <v>0.54</v>
      </c>
      <c r="D928" s="21" t="s">
        <v>29421</v>
      </c>
      <c r="E928" s="21" t="s">
        <v>8923</v>
      </c>
      <c r="F928" s="21" t="s">
        <v>29288</v>
      </c>
      <c r="G928" s="21" t="s">
        <v>29413</v>
      </c>
      <c r="H928" s="21" t="s">
        <v>29422</v>
      </c>
    </row>
    <row r="929" customFormat="false" ht="15" hidden="false" customHeight="false" outlineLevel="0" collapsed="false">
      <c r="B929" s="19" t="s">
        <v>29423</v>
      </c>
      <c r="C929" s="20" t="n">
        <f aca="false">ROUND(3.64/FX,2)</f>
        <v>0.51</v>
      </c>
      <c r="D929" s="21" t="s">
        <v>29406</v>
      </c>
      <c r="E929" s="21" t="s">
        <v>8923</v>
      </c>
      <c r="F929" s="21" t="s">
        <v>29288</v>
      </c>
      <c r="G929" s="21" t="s">
        <v>29413</v>
      </c>
      <c r="H929" s="21" t="s">
        <v>709</v>
      </c>
    </row>
    <row r="930" customFormat="false" ht="28.35" hidden="false" customHeight="false" outlineLevel="0" collapsed="false">
      <c r="B930" s="19" t="s">
        <v>29424</v>
      </c>
      <c r="C930" s="20" t="n">
        <f aca="false">ROUND(3.9/FX,2)</f>
        <v>0.54</v>
      </c>
      <c r="D930" s="21" t="s">
        <v>29421</v>
      </c>
      <c r="E930" s="21" t="s">
        <v>8923</v>
      </c>
      <c r="F930" s="21" t="s">
        <v>29288</v>
      </c>
      <c r="G930" s="21" t="s">
        <v>29425</v>
      </c>
      <c r="H930" s="21" t="s">
        <v>29422</v>
      </c>
    </row>
    <row r="931" customFormat="false" ht="15" hidden="false" customHeight="false" outlineLevel="0" collapsed="false">
      <c r="B931" s="19" t="s">
        <v>29426</v>
      </c>
      <c r="C931" s="20" t="n">
        <f aca="false">ROUND(4.22/FX,2)</f>
        <v>0.59</v>
      </c>
      <c r="D931" s="21" t="s">
        <v>29406</v>
      </c>
      <c r="E931" s="21" t="s">
        <v>11587</v>
      </c>
      <c r="F931" s="21" t="s">
        <v>29407</v>
      </c>
      <c r="G931" s="21" t="s">
        <v>29408</v>
      </c>
      <c r="H931" s="21" t="s">
        <v>709</v>
      </c>
    </row>
    <row r="932" customFormat="false" ht="15" hidden="false" customHeight="false" outlineLevel="0" collapsed="false">
      <c r="B932" s="19" t="s">
        <v>29427</v>
      </c>
      <c r="C932" s="20" t="n">
        <f aca="false">ROUND(3.9/FX,2)</f>
        <v>0.54</v>
      </c>
      <c r="D932" s="21" t="s">
        <v>29406</v>
      </c>
      <c r="E932" s="21" t="s">
        <v>11587</v>
      </c>
      <c r="F932" s="21" t="s">
        <v>29407</v>
      </c>
      <c r="G932" s="21" t="s">
        <v>29289</v>
      </c>
      <c r="H932" s="21" t="s">
        <v>709</v>
      </c>
    </row>
    <row r="933" customFormat="false" ht="28.35" hidden="false" customHeight="false" outlineLevel="0" collapsed="false">
      <c r="B933" s="19" t="s">
        <v>29428</v>
      </c>
      <c r="C933" s="20" t="n">
        <f aca="false">ROUND(3.9/FX,2)</f>
        <v>0.54</v>
      </c>
      <c r="D933" s="21" t="s">
        <v>29416</v>
      </c>
      <c r="E933" s="21" t="s">
        <v>11587</v>
      </c>
      <c r="F933" s="21" t="s">
        <v>29407</v>
      </c>
      <c r="G933" s="21" t="s">
        <v>29289</v>
      </c>
      <c r="H933" s="21" t="s">
        <v>709</v>
      </c>
    </row>
    <row r="934" customFormat="false" ht="15" hidden="false" customHeight="false" outlineLevel="0" collapsed="false">
      <c r="B934" s="19" t="s">
        <v>29429</v>
      </c>
      <c r="C934" s="20" t="n">
        <f aca="false">ROUND(4.16/FX,2)</f>
        <v>0.58</v>
      </c>
      <c r="D934" s="21" t="s">
        <v>29430</v>
      </c>
      <c r="E934" s="21" t="s">
        <v>11587</v>
      </c>
      <c r="F934" s="21" t="s">
        <v>29407</v>
      </c>
      <c r="G934" s="21" t="s">
        <v>29289</v>
      </c>
      <c r="H934" s="21" t="s">
        <v>709</v>
      </c>
    </row>
    <row r="935" customFormat="false" ht="15" hidden="false" customHeight="false" outlineLevel="0" collapsed="false">
      <c r="B935" s="19" t="s">
        <v>29431</v>
      </c>
      <c r="C935" s="20" t="n">
        <f aca="false">ROUND(4.16/FX,2)</f>
        <v>0.58</v>
      </c>
      <c r="D935" s="21" t="s">
        <v>734</v>
      </c>
      <c r="E935" s="21" t="s">
        <v>11587</v>
      </c>
      <c r="F935" s="21" t="s">
        <v>29407</v>
      </c>
      <c r="G935" s="21" t="s">
        <v>29413</v>
      </c>
      <c r="H935" s="21" t="s">
        <v>709</v>
      </c>
    </row>
    <row r="936" customFormat="false" ht="15" hidden="false" customHeight="false" outlineLevel="0" collapsed="false">
      <c r="B936" s="19" t="s">
        <v>29432</v>
      </c>
      <c r="C936" s="20" t="n">
        <f aca="false">ROUND(3.19/FX,2)</f>
        <v>0.44</v>
      </c>
      <c r="D936" s="21" t="s">
        <v>29406</v>
      </c>
      <c r="E936" s="21" t="s">
        <v>11587</v>
      </c>
      <c r="F936" s="21" t="s">
        <v>29407</v>
      </c>
      <c r="G936" s="21" t="s">
        <v>29413</v>
      </c>
      <c r="H936" s="21" t="s">
        <v>709</v>
      </c>
    </row>
    <row r="937" customFormat="false" ht="28.35" hidden="false" customHeight="false" outlineLevel="0" collapsed="false">
      <c r="B937" s="19" t="s">
        <v>29433</v>
      </c>
      <c r="C937" s="20" t="n">
        <f aca="false">ROUND(3.9/FX,2)</f>
        <v>0.54</v>
      </c>
      <c r="D937" s="21" t="s">
        <v>29416</v>
      </c>
      <c r="E937" s="21" t="s">
        <v>11587</v>
      </c>
      <c r="F937" s="21" t="s">
        <v>29407</v>
      </c>
      <c r="G937" s="21" t="s">
        <v>29413</v>
      </c>
      <c r="H937" s="21" t="s">
        <v>709</v>
      </c>
    </row>
    <row r="938" customFormat="false" ht="15" hidden="false" customHeight="false" outlineLevel="0" collapsed="false">
      <c r="B938" s="19" t="s">
        <v>29434</v>
      </c>
      <c r="C938" s="20" t="n">
        <f aca="false">ROUND(7.15/FX,2)</f>
        <v>0.99</v>
      </c>
      <c r="D938" s="21" t="s">
        <v>734</v>
      </c>
      <c r="E938" s="21" t="s">
        <v>11587</v>
      </c>
      <c r="F938" s="21" t="s">
        <v>29407</v>
      </c>
      <c r="G938" s="21" t="s">
        <v>29435</v>
      </c>
      <c r="H938" s="21" t="s">
        <v>709</v>
      </c>
    </row>
    <row r="939" customFormat="false" ht="15" hidden="false" customHeight="false" outlineLevel="0" collapsed="false">
      <c r="B939" s="19" t="s">
        <v>29436</v>
      </c>
      <c r="C939" s="20" t="n">
        <f aca="false">ROUND(7.15/FX,2)</f>
        <v>0.99</v>
      </c>
      <c r="D939" s="21" t="s">
        <v>734</v>
      </c>
      <c r="E939" s="21" t="s">
        <v>11587</v>
      </c>
      <c r="F939" s="21" t="s">
        <v>29407</v>
      </c>
      <c r="G939" s="21" t="s">
        <v>29437</v>
      </c>
      <c r="H939" s="21" t="s">
        <v>709</v>
      </c>
    </row>
    <row r="940" customFormat="false" ht="15" hidden="false" customHeight="false" outlineLevel="0" collapsed="false">
      <c r="B940" s="19" t="s">
        <v>29438</v>
      </c>
      <c r="C940" s="20" t="n">
        <f aca="false">ROUND(4.22/FX,2)</f>
        <v>0.59</v>
      </c>
      <c r="D940" s="21" t="s">
        <v>29406</v>
      </c>
      <c r="E940" s="21" t="s">
        <v>11587</v>
      </c>
      <c r="F940" s="21" t="s">
        <v>29288</v>
      </c>
      <c r="G940" s="21" t="s">
        <v>29408</v>
      </c>
      <c r="H940" s="21" t="s">
        <v>709</v>
      </c>
    </row>
    <row r="941" customFormat="false" ht="28.35" hidden="false" customHeight="false" outlineLevel="0" collapsed="false">
      <c r="B941" s="19" t="s">
        <v>29439</v>
      </c>
      <c r="C941" s="20" t="n">
        <f aca="false">ROUND(3.9/FX,2)</f>
        <v>0.54</v>
      </c>
      <c r="D941" s="21" t="s">
        <v>29440</v>
      </c>
      <c r="E941" s="21" t="s">
        <v>11587</v>
      </c>
      <c r="F941" s="21" t="s">
        <v>29288</v>
      </c>
      <c r="G941" s="21" t="s">
        <v>29289</v>
      </c>
      <c r="H941" s="21" t="s">
        <v>19727</v>
      </c>
    </row>
    <row r="942" customFormat="false" ht="15" hidden="false" customHeight="false" outlineLevel="0" collapsed="false">
      <c r="B942" s="19" t="s">
        <v>29441</v>
      </c>
      <c r="C942" s="20" t="n">
        <f aca="false">ROUND(4.29/FX,2)</f>
        <v>0.6</v>
      </c>
      <c r="D942" s="21" t="s">
        <v>29406</v>
      </c>
      <c r="E942" s="21" t="s">
        <v>11587</v>
      </c>
      <c r="F942" s="21" t="s">
        <v>29288</v>
      </c>
      <c r="G942" s="21" t="s">
        <v>29289</v>
      </c>
      <c r="H942" s="21" t="s">
        <v>19733</v>
      </c>
    </row>
    <row r="943" customFormat="false" ht="15" hidden="false" customHeight="false" outlineLevel="0" collapsed="false">
      <c r="B943" s="19" t="s">
        <v>29442</v>
      </c>
      <c r="C943" s="20" t="n">
        <f aca="false">ROUND(4.68/FX,2)</f>
        <v>0.65</v>
      </c>
      <c r="D943" s="21" t="s">
        <v>29406</v>
      </c>
      <c r="E943" s="21" t="s">
        <v>11587</v>
      </c>
      <c r="F943" s="21" t="s">
        <v>29288</v>
      </c>
      <c r="G943" s="21" t="s">
        <v>29289</v>
      </c>
      <c r="H943" s="21" t="s">
        <v>19735</v>
      </c>
    </row>
    <row r="944" customFormat="false" ht="15" hidden="false" customHeight="false" outlineLevel="0" collapsed="false">
      <c r="B944" s="19" t="s">
        <v>29443</v>
      </c>
      <c r="C944" s="20" t="n">
        <f aca="false">ROUND(3.9/FX,2)</f>
        <v>0.54</v>
      </c>
      <c r="D944" s="21" t="s">
        <v>29406</v>
      </c>
      <c r="E944" s="21" t="s">
        <v>11587</v>
      </c>
      <c r="F944" s="21" t="s">
        <v>29288</v>
      </c>
      <c r="G944" s="21" t="s">
        <v>29289</v>
      </c>
      <c r="H944" s="21" t="s">
        <v>709</v>
      </c>
    </row>
    <row r="945" customFormat="false" ht="28.35" hidden="false" customHeight="false" outlineLevel="0" collapsed="false">
      <c r="B945" s="19" t="s">
        <v>29444</v>
      </c>
      <c r="C945" s="20" t="n">
        <f aca="false">ROUND(3.25/FX,2)</f>
        <v>0.45</v>
      </c>
      <c r="D945" s="21" t="s">
        <v>29416</v>
      </c>
      <c r="E945" s="21" t="s">
        <v>11587</v>
      </c>
      <c r="F945" s="21" t="s">
        <v>29288</v>
      </c>
      <c r="G945" s="21" t="s">
        <v>29289</v>
      </c>
      <c r="H945" s="21" t="s">
        <v>709</v>
      </c>
    </row>
    <row r="946" customFormat="false" ht="15" hidden="false" customHeight="false" outlineLevel="0" collapsed="false">
      <c r="B946" s="19" t="s">
        <v>29445</v>
      </c>
      <c r="C946" s="20" t="n">
        <f aca="false">ROUND(4.16/FX,2)</f>
        <v>0.58</v>
      </c>
      <c r="D946" s="21" t="s">
        <v>734</v>
      </c>
      <c r="E946" s="21" t="s">
        <v>11587</v>
      </c>
      <c r="F946" s="21" t="s">
        <v>29288</v>
      </c>
      <c r="G946" s="21" t="s">
        <v>29413</v>
      </c>
      <c r="H946" s="21" t="s">
        <v>709</v>
      </c>
    </row>
    <row r="947" customFormat="false" ht="15" hidden="false" customHeight="false" outlineLevel="0" collapsed="false">
      <c r="B947" s="19" t="s">
        <v>29446</v>
      </c>
      <c r="C947" s="20" t="n">
        <f aca="false">ROUND(3.12/FX,2)</f>
        <v>0.43</v>
      </c>
      <c r="D947" s="21" t="s">
        <v>29406</v>
      </c>
      <c r="E947" s="21" t="s">
        <v>11587</v>
      </c>
      <c r="F947" s="21" t="s">
        <v>29288</v>
      </c>
      <c r="G947" s="21" t="s">
        <v>29413</v>
      </c>
      <c r="H947" s="21" t="s">
        <v>709</v>
      </c>
    </row>
    <row r="948" customFormat="false" ht="15" hidden="false" customHeight="false" outlineLevel="0" collapsed="false">
      <c r="B948" s="19" t="s">
        <v>29447</v>
      </c>
      <c r="C948" s="20" t="n">
        <f aca="false">ROUND(5.85/FX,2)</f>
        <v>0.81</v>
      </c>
      <c r="D948" s="21" t="s">
        <v>29406</v>
      </c>
      <c r="E948" s="21" t="s">
        <v>11587</v>
      </c>
      <c r="F948" s="21" t="s">
        <v>29288</v>
      </c>
      <c r="G948" s="21" t="s">
        <v>29413</v>
      </c>
      <c r="H948" s="21" t="s">
        <v>6357</v>
      </c>
    </row>
    <row r="949" customFormat="false" ht="15" hidden="false" customHeight="false" outlineLevel="0" collapsed="false">
      <c r="B949" s="19" t="s">
        <v>29448</v>
      </c>
      <c r="C949" s="20" t="n">
        <f aca="false">ROUND(7.15/FX,2)</f>
        <v>0.99</v>
      </c>
      <c r="D949" s="21" t="s">
        <v>734</v>
      </c>
      <c r="E949" s="21" t="s">
        <v>11587</v>
      </c>
      <c r="F949" s="21" t="s">
        <v>29288</v>
      </c>
      <c r="G949" s="21" t="s">
        <v>29435</v>
      </c>
      <c r="H949" s="21" t="s">
        <v>709</v>
      </c>
    </row>
    <row r="950" customFormat="false" ht="15" hidden="false" customHeight="false" outlineLevel="0" collapsed="false">
      <c r="B950" s="19" t="s">
        <v>29449</v>
      </c>
      <c r="C950" s="20" t="n">
        <f aca="false">ROUND(7.15/FX,2)</f>
        <v>0.99</v>
      </c>
      <c r="D950" s="21" t="s">
        <v>734</v>
      </c>
      <c r="E950" s="21" t="s">
        <v>11587</v>
      </c>
      <c r="F950" s="21" t="s">
        <v>29288</v>
      </c>
      <c r="G950" s="21" t="s">
        <v>29435</v>
      </c>
      <c r="H950" s="21" t="s">
        <v>6357</v>
      </c>
    </row>
    <row r="951" customFormat="false" ht="15" hidden="false" customHeight="false" outlineLevel="0" collapsed="false">
      <c r="B951" s="19" t="s">
        <v>29450</v>
      </c>
      <c r="C951" s="20" t="n">
        <f aca="false">ROUND(7.15/FX,2)</f>
        <v>0.99</v>
      </c>
      <c r="D951" s="21" t="s">
        <v>734</v>
      </c>
      <c r="E951" s="21" t="s">
        <v>11587</v>
      </c>
      <c r="F951" s="21" t="s">
        <v>29288</v>
      </c>
      <c r="G951" s="21" t="s">
        <v>29437</v>
      </c>
      <c r="H951" s="21" t="s">
        <v>709</v>
      </c>
    </row>
    <row r="952" customFormat="false" ht="15" hidden="false" customHeight="false" outlineLevel="0" collapsed="false">
      <c r="B952" s="19" t="s">
        <v>29451</v>
      </c>
      <c r="C952" s="20" t="n">
        <f aca="false">ROUND(4.55/FX,2)</f>
        <v>0.63</v>
      </c>
      <c r="D952" s="21" t="s">
        <v>29406</v>
      </c>
      <c r="E952" s="21" t="s">
        <v>29452</v>
      </c>
      <c r="F952" s="21" t="s">
        <v>29407</v>
      </c>
      <c r="G952" s="21" t="s">
        <v>29289</v>
      </c>
      <c r="H952" s="21" t="s">
        <v>709</v>
      </c>
    </row>
    <row r="953" customFormat="false" ht="15" hidden="false" customHeight="false" outlineLevel="0" collapsed="false">
      <c r="B953" s="19" t="s">
        <v>29453</v>
      </c>
      <c r="C953" s="20" t="n">
        <f aca="false">ROUND(4.55/FX,2)</f>
        <v>0.63</v>
      </c>
      <c r="D953" s="21" t="s">
        <v>29406</v>
      </c>
      <c r="E953" s="21" t="s">
        <v>29452</v>
      </c>
      <c r="F953" s="21" t="s">
        <v>29288</v>
      </c>
      <c r="G953" s="21" t="s">
        <v>29289</v>
      </c>
      <c r="H953" s="21" t="s">
        <v>709</v>
      </c>
    </row>
    <row r="956" customFormat="false" ht="61.5" hidden="false" customHeight="true" outlineLevel="0" collapsed="false">
      <c r="A956" s="9"/>
      <c r="B956" s="10" t="s">
        <v>29454</v>
      </c>
      <c r="C956" s="10"/>
      <c r="D956" s="10"/>
    </row>
    <row r="957" customFormat="false" ht="15" hidden="false" customHeight="false" outlineLevel="0" collapsed="false">
      <c r="B957" s="18" t="s">
        <v>701</v>
      </c>
      <c r="C957" s="18" t="s">
        <v>702</v>
      </c>
      <c r="D957" s="18" t="s">
        <v>5610</v>
      </c>
    </row>
    <row r="958" customFormat="false" ht="15" hidden="false" customHeight="false" outlineLevel="0" collapsed="false">
      <c r="B958" s="19" t="s">
        <v>29455</v>
      </c>
      <c r="C958" s="20" t="n">
        <f aca="false">ROUND(17.59/FX,2)</f>
        <v>2.44</v>
      </c>
      <c r="D958" s="22" t="s">
        <v>5612</v>
      </c>
    </row>
    <row r="961" customFormat="false" ht="61.5" hidden="false" customHeight="true" outlineLevel="0" collapsed="false">
      <c r="A961" s="9"/>
      <c r="B961" s="10" t="s">
        <v>29456</v>
      </c>
      <c r="C961" s="10"/>
      <c r="D961" s="10"/>
      <c r="E961" s="10"/>
      <c r="F961" s="10"/>
      <c r="G961" s="10"/>
      <c r="H961" s="10"/>
      <c r="I961" s="10"/>
    </row>
    <row r="962" customFormat="false" ht="15" hidden="false" customHeight="false" outlineLevel="0" collapsed="false">
      <c r="A962" s="12" t="s">
        <v>700</v>
      </c>
      <c r="B962" s="13" t="s">
        <v>701</v>
      </c>
      <c r="C962" s="13" t="s">
        <v>702</v>
      </c>
      <c r="D962" s="13" t="s">
        <v>705</v>
      </c>
      <c r="E962" s="13" t="s">
        <v>723</v>
      </c>
      <c r="F962" s="13" t="s">
        <v>6328</v>
      </c>
      <c r="G962" s="13" t="s">
        <v>21229</v>
      </c>
      <c r="H962" s="13" t="s">
        <v>29457</v>
      </c>
      <c r="I962" s="13" t="s">
        <v>29458</v>
      </c>
    </row>
    <row r="963" customFormat="false" ht="30" hidden="false" customHeight="true" outlineLevel="0" collapsed="false">
      <c r="A963" s="14" t="s">
        <v>706</v>
      </c>
      <c r="B963" s="15" t="str">
        <f aca="false">IF(COUNTIFS($D$966:$D$994,IF(D963="","*",D963),$E$966:$E$994,IF(E963="","*",E963),$F$966:$F$994,IF(F963="","*",F963),$G$966:$G$994,IF(G963="","*",G963),$H$966:$H$994,IF(H963="","*",H963),$I$966:$I$994,IF(I963="","*",I963))=1,INDEX($B:$B,SUMPRODUCT(((D963="")+($D$966:$D$994=D963)&gt;0)*((E963="")+($E$966:$E$994=E963)&gt;0)*((F963="")+($F$966:$F$994=F963)&gt;0)*((G963="")+($G$966:$G$994=G963)&gt;0)*((H963="")+($H$966:$H$994=H963)&gt;0)*((I963="")+($I$966:$I$994=I963)&gt;0)*ROW($B$966:$B$994))),IF(COUNTIFS($D$966:$D$994,IF(D963="","*",D963),$E$966:$E$994,IF(E963="","*",E963),$F$966:$F$994,IF(F963="","*",F963),$G$966:$G$994,IF(G963="","*",G963),$H$966:$H$994,IF(H963="","*",H963),$I$966:$I$994,IF(I963="","*",I963))=0,"Not available",COUNTIFS($D$966:$D$994,IF(D963="","*",D963),$E$966:$E$994,IF(E963="","*",E963),$F$966:$F$994,IF(F963="","*",F963),$G$966:$G$994,IF(G963="","*",G963),$H$966:$H$994,IF(H963="","*",H963),$I$966:$I$994,IF(I963="","*",I963))&amp;" match, keep choosing"))</f>
        <v>THR-MIX-1.75-NT</v>
      </c>
      <c r="C963" s="16" t="n">
        <f aca="false">IF(COUNTIFS($D$966:$D$994,IF(D963="","*",D963),$E$966:$E$994,IF(E963="","*",E963),$F$966:$F$994,IF(F963="","*",F963),$G$966:$G$994,IF(G963="","*",G963),$H$966:$H$994,IF(H963="","*",H963),$I$966:$I$994,IF(I963="","*",I963))=1,INDEX($C:$C,SUMPRODUCT(((D963="")+($D$966:$D$994=D963)&gt;0)*((E963="")+($E$966:$E$994=E963)&gt;0)*((F963="")+($F$966:$F$994=F963)&gt;0)*((G963="")+($G$966:$G$994=G963)&gt;0)*((H963="")+($H$966:$H$994=H963)&gt;0)*((I963="")+($I$966:$I$994=I963)&gt;0)*ROW($B$966:$B$994))),"")</f>
        <v>0.42</v>
      </c>
      <c r="D963" s="17" t="s">
        <v>13732</v>
      </c>
      <c r="E963" s="17" t="s">
        <v>734</v>
      </c>
      <c r="F963" s="17" t="s">
        <v>29459</v>
      </c>
      <c r="G963" s="17" t="s">
        <v>6336</v>
      </c>
      <c r="H963" s="17" t="s">
        <v>21113</v>
      </c>
      <c r="I963" s="17" t="s">
        <v>29460</v>
      </c>
    </row>
    <row r="965" customFormat="false" ht="15" hidden="false" customHeight="false" outlineLevel="0" collapsed="false">
      <c r="B965" s="18" t="s">
        <v>701</v>
      </c>
      <c r="C965" s="18" t="s">
        <v>702</v>
      </c>
      <c r="D965" s="18" t="s">
        <v>705</v>
      </c>
      <c r="E965" s="18" t="s">
        <v>723</v>
      </c>
      <c r="F965" s="18" t="s">
        <v>6328</v>
      </c>
      <c r="G965" s="18" t="s">
        <v>21229</v>
      </c>
      <c r="H965" s="18" t="s">
        <v>29457</v>
      </c>
      <c r="I965" s="18" t="s">
        <v>29458</v>
      </c>
    </row>
    <row r="966" customFormat="false" ht="15" hidden="false" customHeight="false" outlineLevel="0" collapsed="false">
      <c r="B966" s="19" t="s">
        <v>29461</v>
      </c>
      <c r="C966" s="20" t="n">
        <f aca="false">ROUND(3/FX,2)</f>
        <v>0.42</v>
      </c>
      <c r="D966" s="21" t="s">
        <v>13732</v>
      </c>
      <c r="E966" s="21" t="s">
        <v>734</v>
      </c>
      <c r="F966" s="21" t="s">
        <v>29459</v>
      </c>
      <c r="G966" s="21" t="s">
        <v>6336</v>
      </c>
      <c r="H966" s="21" t="s">
        <v>21113</v>
      </c>
      <c r="I966" s="21" t="s">
        <v>29460</v>
      </c>
    </row>
    <row r="967" customFormat="false" ht="15" hidden="false" customHeight="false" outlineLevel="0" collapsed="false">
      <c r="B967" s="19" t="s">
        <v>29462</v>
      </c>
      <c r="C967" s="20" t="n">
        <f aca="false">ROUND(3/FX,2)</f>
        <v>0.42</v>
      </c>
      <c r="D967" s="21" t="s">
        <v>13732</v>
      </c>
      <c r="E967" s="21" t="s">
        <v>734</v>
      </c>
      <c r="F967" s="21" t="s">
        <v>29459</v>
      </c>
      <c r="G967" s="21" t="s">
        <v>6336</v>
      </c>
      <c r="H967" s="21" t="s">
        <v>20884</v>
      </c>
      <c r="I967" s="21" t="s">
        <v>29463</v>
      </c>
    </row>
    <row r="968" customFormat="false" ht="15" hidden="false" customHeight="false" outlineLevel="0" collapsed="false">
      <c r="B968" s="19" t="s">
        <v>29464</v>
      </c>
      <c r="C968" s="20" t="n">
        <f aca="false">ROUND(1.98/FX,2)</f>
        <v>0.28</v>
      </c>
      <c r="D968" s="21" t="s">
        <v>13732</v>
      </c>
      <c r="E968" s="21" t="s">
        <v>734</v>
      </c>
      <c r="F968" s="21" t="s">
        <v>29459</v>
      </c>
      <c r="G968" s="21" t="s">
        <v>6336</v>
      </c>
      <c r="H968" s="21" t="s">
        <v>29465</v>
      </c>
      <c r="I968" s="21" t="s">
        <v>6336</v>
      </c>
    </row>
    <row r="969" customFormat="false" ht="15" hidden="false" customHeight="false" outlineLevel="0" collapsed="false">
      <c r="B969" s="19" t="s">
        <v>29466</v>
      </c>
      <c r="C969" s="20" t="n">
        <f aca="false">ROUND(2.5/FX,2)</f>
        <v>0.35</v>
      </c>
      <c r="D969" s="21" t="s">
        <v>13732</v>
      </c>
      <c r="E969" s="21" t="s">
        <v>734</v>
      </c>
      <c r="F969" s="21" t="s">
        <v>29144</v>
      </c>
      <c r="G969" s="21" t="s">
        <v>6336</v>
      </c>
      <c r="H969" s="21" t="s">
        <v>29467</v>
      </c>
      <c r="I969" s="21" t="s">
        <v>6336</v>
      </c>
    </row>
    <row r="970" customFormat="false" ht="15" hidden="false" customHeight="false" outlineLevel="0" collapsed="false">
      <c r="B970" s="19" t="s">
        <v>29468</v>
      </c>
      <c r="C970" s="20" t="n">
        <f aca="false">ROUND(1.69/FX,2)</f>
        <v>0.23</v>
      </c>
      <c r="D970" s="21" t="s">
        <v>13732</v>
      </c>
      <c r="E970" s="21" t="s">
        <v>734</v>
      </c>
      <c r="F970" s="21" t="s">
        <v>29156</v>
      </c>
      <c r="G970" s="21" t="s">
        <v>6336</v>
      </c>
      <c r="H970" s="21" t="s">
        <v>21113</v>
      </c>
      <c r="I970" s="21" t="s">
        <v>29460</v>
      </c>
    </row>
    <row r="971" customFormat="false" ht="15" hidden="false" customHeight="false" outlineLevel="0" collapsed="false">
      <c r="B971" s="19" t="s">
        <v>29469</v>
      </c>
      <c r="C971" s="20" t="n">
        <f aca="false">ROUND(1.82/FX,2)</f>
        <v>0.25</v>
      </c>
      <c r="D971" s="21" t="s">
        <v>13732</v>
      </c>
      <c r="E971" s="21" t="s">
        <v>734</v>
      </c>
      <c r="F971" s="21" t="s">
        <v>29156</v>
      </c>
      <c r="G971" s="21" t="s">
        <v>6336</v>
      </c>
      <c r="H971" s="21" t="s">
        <v>21113</v>
      </c>
      <c r="I971" s="21" t="s">
        <v>29463</v>
      </c>
    </row>
    <row r="972" customFormat="false" ht="15" hidden="false" customHeight="false" outlineLevel="0" collapsed="false">
      <c r="B972" s="19" t="s">
        <v>29470</v>
      </c>
      <c r="C972" s="20" t="n">
        <f aca="false">ROUND(1.3/FX,2)</f>
        <v>0.18</v>
      </c>
      <c r="D972" s="21" t="s">
        <v>13732</v>
      </c>
      <c r="E972" s="21" t="s">
        <v>734</v>
      </c>
      <c r="F972" s="21" t="s">
        <v>29471</v>
      </c>
      <c r="G972" s="21" t="s">
        <v>29472</v>
      </c>
      <c r="H972" s="21" t="s">
        <v>21113</v>
      </c>
      <c r="I972" s="21" t="s">
        <v>29463</v>
      </c>
    </row>
    <row r="973" customFormat="false" ht="15" hidden="false" customHeight="false" outlineLevel="0" collapsed="false">
      <c r="B973" s="19" t="s">
        <v>29473</v>
      </c>
      <c r="C973" s="20" t="n">
        <f aca="false">ROUND(1.3/FX,2)</f>
        <v>0.18</v>
      </c>
      <c r="D973" s="21" t="s">
        <v>13732</v>
      </c>
      <c r="E973" s="21" t="s">
        <v>734</v>
      </c>
      <c r="F973" s="21" t="s">
        <v>29471</v>
      </c>
      <c r="G973" s="21" t="s">
        <v>29474</v>
      </c>
      <c r="H973" s="21" t="s">
        <v>21113</v>
      </c>
      <c r="I973" s="21" t="s">
        <v>29463</v>
      </c>
    </row>
    <row r="974" customFormat="false" ht="15" hidden="false" customHeight="false" outlineLevel="0" collapsed="false">
      <c r="B974" s="19" t="s">
        <v>29475</v>
      </c>
      <c r="C974" s="20" t="n">
        <f aca="false">ROUND(1.24/FX,2)</f>
        <v>0.17</v>
      </c>
      <c r="D974" s="21" t="s">
        <v>13732</v>
      </c>
      <c r="E974" s="21" t="s">
        <v>734</v>
      </c>
      <c r="F974" s="21" t="s">
        <v>29471</v>
      </c>
      <c r="G974" s="21" t="s">
        <v>29476</v>
      </c>
      <c r="H974" s="21" t="s">
        <v>6336</v>
      </c>
      <c r="I974" s="21" t="s">
        <v>29460</v>
      </c>
    </row>
    <row r="975" customFormat="false" ht="15" hidden="false" customHeight="false" outlineLevel="0" collapsed="false">
      <c r="B975" s="19" t="s">
        <v>29477</v>
      </c>
      <c r="C975" s="20" t="n">
        <f aca="false">ROUND(1.3/FX,2)</f>
        <v>0.18</v>
      </c>
      <c r="D975" s="21" t="s">
        <v>13732</v>
      </c>
      <c r="E975" s="21" t="s">
        <v>734</v>
      </c>
      <c r="F975" s="21" t="s">
        <v>29471</v>
      </c>
      <c r="G975" s="21" t="s">
        <v>29478</v>
      </c>
      <c r="H975" s="21" t="s">
        <v>21113</v>
      </c>
      <c r="I975" s="21" t="s">
        <v>29463</v>
      </c>
    </row>
    <row r="976" customFormat="false" ht="15" hidden="false" customHeight="false" outlineLevel="0" collapsed="false">
      <c r="B976" s="19" t="s">
        <v>29479</v>
      </c>
      <c r="C976" s="20" t="n">
        <f aca="false">ROUND(6.6/FX,2)</f>
        <v>0.92</v>
      </c>
      <c r="D976" s="21" t="s">
        <v>13743</v>
      </c>
      <c r="E976" s="21" t="s">
        <v>734</v>
      </c>
      <c r="F976" s="21" t="s">
        <v>29471</v>
      </c>
      <c r="G976" s="21" t="s">
        <v>29478</v>
      </c>
      <c r="H976" s="21" t="s">
        <v>21113</v>
      </c>
      <c r="I976" s="21" t="s">
        <v>29463</v>
      </c>
    </row>
    <row r="977" customFormat="false" ht="15" hidden="false" customHeight="false" outlineLevel="0" collapsed="false">
      <c r="B977" s="19" t="s">
        <v>29480</v>
      </c>
      <c r="C977" s="20" t="n">
        <f aca="false">ROUND(1.24/FX,2)</f>
        <v>0.17</v>
      </c>
      <c r="D977" s="21" t="s">
        <v>13732</v>
      </c>
      <c r="E977" s="21" t="s">
        <v>734</v>
      </c>
      <c r="F977" s="21" t="s">
        <v>29471</v>
      </c>
      <c r="G977" s="21" t="s">
        <v>29478</v>
      </c>
      <c r="H977" s="21" t="s">
        <v>6336</v>
      </c>
      <c r="I977" s="21" t="s">
        <v>29460</v>
      </c>
    </row>
    <row r="978" customFormat="false" ht="28.35" hidden="false" customHeight="false" outlineLevel="0" collapsed="false">
      <c r="B978" s="19" t="s">
        <v>29481</v>
      </c>
      <c r="C978" s="20" t="n">
        <f aca="false">ROUND(11.12/FX,2)</f>
        <v>1.54</v>
      </c>
      <c r="D978" s="21" t="s">
        <v>13732</v>
      </c>
      <c r="E978" s="21" t="s">
        <v>29482</v>
      </c>
      <c r="F978" s="21" t="s">
        <v>29156</v>
      </c>
      <c r="G978" s="21" t="s">
        <v>29478</v>
      </c>
      <c r="H978" s="21" t="s">
        <v>6336</v>
      </c>
      <c r="I978" s="21" t="s">
        <v>6336</v>
      </c>
    </row>
    <row r="979" customFormat="false" ht="15" hidden="false" customHeight="false" outlineLevel="0" collapsed="false">
      <c r="B979" s="19" t="s">
        <v>29483</v>
      </c>
      <c r="C979" s="20" t="n">
        <f aca="false">ROUND(1.56/FX,2)</f>
        <v>0.22</v>
      </c>
      <c r="D979" s="21" t="s">
        <v>13732</v>
      </c>
      <c r="E979" s="21" t="s">
        <v>734</v>
      </c>
      <c r="F979" s="21" t="s">
        <v>29471</v>
      </c>
      <c r="G979" s="21" t="s">
        <v>29484</v>
      </c>
      <c r="H979" s="21" t="s">
        <v>21113</v>
      </c>
      <c r="I979" s="21" t="s">
        <v>29463</v>
      </c>
    </row>
    <row r="980" customFormat="false" ht="15" hidden="false" customHeight="false" outlineLevel="0" collapsed="false">
      <c r="B980" s="19" t="s">
        <v>29485</v>
      </c>
      <c r="C980" s="20" t="n">
        <f aca="false">ROUND(1.43/FX,2)</f>
        <v>0.2</v>
      </c>
      <c r="D980" s="21" t="s">
        <v>13732</v>
      </c>
      <c r="E980" s="21" t="s">
        <v>734</v>
      </c>
      <c r="F980" s="21" t="s">
        <v>29471</v>
      </c>
      <c r="G980" s="21" t="s">
        <v>29484</v>
      </c>
      <c r="H980" s="21" t="s">
        <v>6336</v>
      </c>
      <c r="I980" s="21" t="s">
        <v>29460</v>
      </c>
    </row>
    <row r="981" customFormat="false" ht="15" hidden="false" customHeight="false" outlineLevel="0" collapsed="false">
      <c r="B981" s="19" t="s">
        <v>29486</v>
      </c>
      <c r="C981" s="20" t="n">
        <f aca="false">ROUND(1.82/FX,2)</f>
        <v>0.25</v>
      </c>
      <c r="D981" s="21" t="s">
        <v>13732</v>
      </c>
      <c r="E981" s="21" t="s">
        <v>734</v>
      </c>
      <c r="F981" s="21" t="s">
        <v>29471</v>
      </c>
      <c r="G981" s="21" t="s">
        <v>29487</v>
      </c>
      <c r="H981" s="21" t="s">
        <v>21113</v>
      </c>
      <c r="I981" s="21" t="s">
        <v>29463</v>
      </c>
    </row>
    <row r="982" customFormat="false" ht="15" hidden="false" customHeight="false" outlineLevel="0" collapsed="false">
      <c r="B982" s="19" t="s">
        <v>29488</v>
      </c>
      <c r="C982" s="20" t="n">
        <f aca="false">ROUND(1.82/FX,2)</f>
        <v>0.25</v>
      </c>
      <c r="D982" s="21" t="s">
        <v>13732</v>
      </c>
      <c r="E982" s="21" t="s">
        <v>734</v>
      </c>
      <c r="F982" s="21" t="s">
        <v>29471</v>
      </c>
      <c r="G982" s="21" t="s">
        <v>29489</v>
      </c>
      <c r="H982" s="21" t="s">
        <v>21113</v>
      </c>
      <c r="I982" s="21" t="s">
        <v>29463</v>
      </c>
    </row>
    <row r="983" customFormat="false" ht="15" hidden="false" customHeight="false" outlineLevel="0" collapsed="false">
      <c r="B983" s="19" t="s">
        <v>29490</v>
      </c>
      <c r="C983" s="20" t="n">
        <f aca="false">ROUND(1.82/FX,2)</f>
        <v>0.25</v>
      </c>
      <c r="D983" s="21" t="s">
        <v>13732</v>
      </c>
      <c r="E983" s="21" t="s">
        <v>734</v>
      </c>
      <c r="F983" s="21" t="s">
        <v>29471</v>
      </c>
      <c r="G983" s="21" t="s">
        <v>29491</v>
      </c>
      <c r="H983" s="21" t="s">
        <v>21113</v>
      </c>
      <c r="I983" s="21" t="s">
        <v>29463</v>
      </c>
    </row>
    <row r="984" customFormat="false" ht="15" hidden="false" customHeight="false" outlineLevel="0" collapsed="false">
      <c r="B984" s="19" t="s">
        <v>29492</v>
      </c>
      <c r="C984" s="20" t="n">
        <f aca="false">ROUND(1.82/FX,2)</f>
        <v>0.25</v>
      </c>
      <c r="D984" s="21" t="s">
        <v>13732</v>
      </c>
      <c r="E984" s="21" t="s">
        <v>734</v>
      </c>
      <c r="F984" s="21" t="s">
        <v>29471</v>
      </c>
      <c r="G984" s="21" t="s">
        <v>29493</v>
      </c>
      <c r="H984" s="21" t="s">
        <v>21113</v>
      </c>
      <c r="I984" s="21" t="s">
        <v>29463</v>
      </c>
    </row>
    <row r="985" customFormat="false" ht="15" hidden="false" customHeight="false" outlineLevel="0" collapsed="false">
      <c r="B985" s="19" t="s">
        <v>29494</v>
      </c>
      <c r="C985" s="20" t="n">
        <f aca="false">ROUND(27.95/FX,2)</f>
        <v>3.88</v>
      </c>
      <c r="D985" s="21" t="s">
        <v>13732</v>
      </c>
      <c r="E985" s="21" t="s">
        <v>29495</v>
      </c>
      <c r="F985" s="21" t="s">
        <v>29496</v>
      </c>
      <c r="G985" s="21" t="s">
        <v>6336</v>
      </c>
      <c r="H985" s="21" t="s">
        <v>6336</v>
      </c>
      <c r="I985" s="21" t="s">
        <v>6336</v>
      </c>
    </row>
    <row r="986" customFormat="false" ht="15" hidden="false" customHeight="false" outlineLevel="0" collapsed="false">
      <c r="B986" s="19" t="s">
        <v>29497</v>
      </c>
      <c r="C986" s="20" t="n">
        <f aca="false">ROUND(27.95/FX,2)</f>
        <v>3.88</v>
      </c>
      <c r="D986" s="21" t="s">
        <v>13732</v>
      </c>
      <c r="E986" s="21" t="s">
        <v>29498</v>
      </c>
      <c r="F986" s="21" t="s">
        <v>29496</v>
      </c>
      <c r="G986" s="21" t="s">
        <v>6336</v>
      </c>
      <c r="H986" s="21" t="s">
        <v>6336</v>
      </c>
      <c r="I986" s="21" t="s">
        <v>6336</v>
      </c>
    </row>
    <row r="987" customFormat="false" ht="15" hidden="false" customHeight="false" outlineLevel="0" collapsed="false">
      <c r="B987" s="19" t="s">
        <v>29499</v>
      </c>
      <c r="C987" s="20" t="n">
        <f aca="false">ROUND(1.17/FX,2)</f>
        <v>0.16</v>
      </c>
      <c r="D987" s="21" t="s">
        <v>13732</v>
      </c>
      <c r="E987" s="21" t="s">
        <v>734</v>
      </c>
      <c r="F987" s="21" t="s">
        <v>29500</v>
      </c>
      <c r="G987" s="21" t="s">
        <v>6336</v>
      </c>
      <c r="H987" s="21" t="s">
        <v>21113</v>
      </c>
      <c r="I987" s="21" t="s">
        <v>29460</v>
      </c>
    </row>
    <row r="988" customFormat="false" ht="15" hidden="false" customHeight="false" outlineLevel="0" collapsed="false">
      <c r="B988" s="19" t="s">
        <v>29501</v>
      </c>
      <c r="C988" s="20" t="n">
        <f aca="false">ROUND(1.3/FX,2)</f>
        <v>0.18</v>
      </c>
      <c r="D988" s="21" t="s">
        <v>13732</v>
      </c>
      <c r="E988" s="21" t="s">
        <v>734</v>
      </c>
      <c r="F988" s="21" t="s">
        <v>29500</v>
      </c>
      <c r="G988" s="21" t="s">
        <v>6336</v>
      </c>
      <c r="H988" s="21" t="s">
        <v>21113</v>
      </c>
      <c r="I988" s="21" t="s">
        <v>29463</v>
      </c>
    </row>
    <row r="989" customFormat="false" ht="15" hidden="false" customHeight="false" outlineLevel="0" collapsed="false">
      <c r="B989" s="19" t="s">
        <v>29502</v>
      </c>
      <c r="C989" s="20" t="n">
        <f aca="false">ROUND(1.17/FX,2)</f>
        <v>0.16</v>
      </c>
      <c r="D989" s="21" t="s">
        <v>13732</v>
      </c>
      <c r="E989" s="21" t="s">
        <v>734</v>
      </c>
      <c r="F989" s="21" t="s">
        <v>29500</v>
      </c>
      <c r="G989" s="21" t="s">
        <v>6336</v>
      </c>
      <c r="H989" s="21" t="s">
        <v>20884</v>
      </c>
      <c r="I989" s="21" t="s">
        <v>29460</v>
      </c>
    </row>
    <row r="990" customFormat="false" ht="15" hidden="false" customHeight="false" outlineLevel="0" collapsed="false">
      <c r="B990" s="19" t="s">
        <v>29503</v>
      </c>
      <c r="C990" s="20" t="n">
        <f aca="false">ROUND(1.17/FX,2)</f>
        <v>0.16</v>
      </c>
      <c r="D990" s="21" t="s">
        <v>13732</v>
      </c>
      <c r="E990" s="21" t="s">
        <v>734</v>
      </c>
      <c r="F990" s="21" t="s">
        <v>29504</v>
      </c>
      <c r="G990" s="21" t="s">
        <v>6336</v>
      </c>
      <c r="H990" s="21" t="s">
        <v>21113</v>
      </c>
      <c r="I990" s="21" t="s">
        <v>29460</v>
      </c>
    </row>
    <row r="991" customFormat="false" ht="15" hidden="false" customHeight="false" outlineLevel="0" collapsed="false">
      <c r="B991" s="19" t="s">
        <v>29505</v>
      </c>
      <c r="C991" s="20" t="n">
        <f aca="false">ROUND(1.11/FX,2)</f>
        <v>0.15</v>
      </c>
      <c r="D991" s="21" t="s">
        <v>13732</v>
      </c>
      <c r="E991" s="21" t="s">
        <v>734</v>
      </c>
      <c r="F991" s="21" t="s">
        <v>29504</v>
      </c>
      <c r="G991" s="21" t="s">
        <v>6336</v>
      </c>
      <c r="H991" s="21" t="s">
        <v>21113</v>
      </c>
      <c r="I991" s="21" t="s">
        <v>29463</v>
      </c>
    </row>
    <row r="992" customFormat="false" ht="15" hidden="false" customHeight="false" outlineLevel="0" collapsed="false">
      <c r="B992" s="19" t="s">
        <v>29506</v>
      </c>
      <c r="C992" s="20" t="n">
        <f aca="false">ROUND(1.3/FX,2)</f>
        <v>0.18</v>
      </c>
      <c r="D992" s="21" t="s">
        <v>13732</v>
      </c>
      <c r="E992" s="21" t="s">
        <v>734</v>
      </c>
      <c r="F992" s="21" t="s">
        <v>29504</v>
      </c>
      <c r="G992" s="21" t="s">
        <v>6336</v>
      </c>
      <c r="H992" s="21" t="s">
        <v>20884</v>
      </c>
      <c r="I992" s="21" t="s">
        <v>29460</v>
      </c>
    </row>
    <row r="993" customFormat="false" ht="15" hidden="false" customHeight="false" outlineLevel="0" collapsed="false">
      <c r="B993" s="19" t="s">
        <v>29507</v>
      </c>
      <c r="C993" s="20" t="n">
        <f aca="false">ROUND(1.3/FX,2)</f>
        <v>0.18</v>
      </c>
      <c r="D993" s="21" t="s">
        <v>13732</v>
      </c>
      <c r="E993" s="21" t="s">
        <v>734</v>
      </c>
      <c r="F993" s="21" t="s">
        <v>29504</v>
      </c>
      <c r="G993" s="21" t="s">
        <v>6336</v>
      </c>
      <c r="H993" s="21" t="s">
        <v>20884</v>
      </c>
      <c r="I993" s="21" t="s">
        <v>29463</v>
      </c>
    </row>
    <row r="994" customFormat="false" ht="15" hidden="false" customHeight="false" outlineLevel="0" collapsed="false">
      <c r="B994" s="19" t="s">
        <v>29508</v>
      </c>
      <c r="C994" s="20" t="n">
        <f aca="false">ROUND(1.17/FX,2)</f>
        <v>0.16</v>
      </c>
      <c r="D994" s="21" t="s">
        <v>13732</v>
      </c>
      <c r="E994" s="21" t="s">
        <v>734</v>
      </c>
      <c r="F994" s="21" t="s">
        <v>29504</v>
      </c>
      <c r="G994" s="21" t="s">
        <v>6336</v>
      </c>
      <c r="H994" s="21" t="s">
        <v>29465</v>
      </c>
      <c r="I994" s="21" t="s">
        <v>6336</v>
      </c>
    </row>
    <row r="997" customFormat="false" ht="61.5" hidden="false" customHeight="true" outlineLevel="0" collapsed="false">
      <c r="A997" s="9"/>
      <c r="B997" s="10" t="s">
        <v>29509</v>
      </c>
      <c r="C997" s="10"/>
      <c r="D997" s="10"/>
    </row>
    <row r="998" customFormat="false" ht="15" hidden="false" customHeight="false" outlineLevel="0" collapsed="false">
      <c r="B998" s="18" t="s">
        <v>701</v>
      </c>
      <c r="C998" s="18" t="s">
        <v>702</v>
      </c>
      <c r="D998" s="18" t="s">
        <v>5610</v>
      </c>
    </row>
    <row r="999" customFormat="false" ht="15" hidden="false" customHeight="false" outlineLevel="0" collapsed="false">
      <c r="B999" s="19" t="s">
        <v>29510</v>
      </c>
      <c r="C999" s="20" t="n">
        <f aca="false">ROUND(22.73/FX,2)</f>
        <v>3.16</v>
      </c>
      <c r="D999" s="22" t="s">
        <v>5612</v>
      </c>
    </row>
    <row r="1002" customFormat="false" ht="61.5" hidden="false" customHeight="true" outlineLevel="0" collapsed="false">
      <c r="A1002" s="9"/>
      <c r="B1002" s="10" t="s">
        <v>29511</v>
      </c>
      <c r="C1002" s="10"/>
      <c r="D1002" s="10"/>
      <c r="E1002" s="10"/>
    </row>
    <row r="1003" customFormat="false" ht="15" hidden="false" customHeight="false" outlineLevel="0" collapsed="false">
      <c r="A1003" s="12" t="s">
        <v>700</v>
      </c>
      <c r="B1003" s="13" t="s">
        <v>701</v>
      </c>
      <c r="C1003" s="13" t="s">
        <v>702</v>
      </c>
      <c r="D1003" s="13" t="s">
        <v>6159</v>
      </c>
      <c r="E1003" s="13" t="s">
        <v>5610</v>
      </c>
    </row>
    <row r="1004" customFormat="false" ht="30" hidden="false" customHeight="true" outlineLevel="0" collapsed="false">
      <c r="A1004" s="14" t="s">
        <v>706</v>
      </c>
      <c r="B1004" s="15" t="str">
        <f aca="false">IF(COUNTIFS($D$1007:$D$1009,IF(D1004="","*",D1004),$E$1007:$E$1009,IF(E1004="","*",E1004))=1,INDEX($B:$B,SUMPRODUCT(((D1004="")+($D$1007:$D$1009=D1004)&gt;0)*((E1004="")+($E$1007:$E$1009=E1004)&gt;0)*ROW($B$1007:$B$1009))),IF(COUNTIFS($D$1007:$D$1009,IF(D1004="","*",D1004),$E$1007:$E$1009,IF(E1004="","*",E1004))=0,"Not available",COUNTIFS($D$1007:$D$1009,IF(D1004="","*",D1004),$E$1007:$E$1009,IF(E1004="","*",E1004))&amp;" match, keep choosing"))</f>
        <v>P3-006-0.35xZ50-10Z1G</v>
      </c>
      <c r="C1004" s="16" t="n">
        <f aca="false">IF(COUNTIFS($D$1007:$D$1009,IF(D1004="","*",D1004),$E$1007:$E$1009,IF(E1004="","*",E1004))=1,INDEX($C:$C,SUMPRODUCT(((D1004="")+($D$1007:$D$1009=D1004)&gt;0)*((E1004="")+($E$1007:$E$1009=E1004)&gt;0)*ROW($B$1007:$B$1009))),"")</f>
        <v>0.08</v>
      </c>
      <c r="D1004" s="17" t="s">
        <v>29512</v>
      </c>
      <c r="E1004" s="17" t="s">
        <v>29513</v>
      </c>
    </row>
    <row r="1006" customFormat="false" ht="15" hidden="false" customHeight="false" outlineLevel="0" collapsed="false">
      <c r="B1006" s="18" t="s">
        <v>701</v>
      </c>
      <c r="C1006" s="18" t="s">
        <v>702</v>
      </c>
      <c r="D1006" s="18" t="s">
        <v>6159</v>
      </c>
      <c r="E1006" s="18" t="s">
        <v>5610</v>
      </c>
    </row>
    <row r="1007" customFormat="false" ht="15" hidden="false" customHeight="false" outlineLevel="0" collapsed="false">
      <c r="B1007" s="19" t="s">
        <v>29514</v>
      </c>
      <c r="C1007" s="20" t="n">
        <f aca="false">ROUND(0.59/FX,2)</f>
        <v>0.08</v>
      </c>
      <c r="D1007" s="21" t="s">
        <v>29512</v>
      </c>
      <c r="E1007" s="21" t="s">
        <v>29513</v>
      </c>
    </row>
    <row r="1008" customFormat="false" ht="15" hidden="false" customHeight="false" outlineLevel="0" collapsed="false">
      <c r="B1008" s="19" t="s">
        <v>29515</v>
      </c>
      <c r="C1008" s="20" t="n">
        <f aca="false">ROUND(0.35/FX,2)</f>
        <v>0.05</v>
      </c>
      <c r="D1008" s="21" t="s">
        <v>29516</v>
      </c>
      <c r="E1008" s="21" t="s">
        <v>29513</v>
      </c>
    </row>
    <row r="1009" customFormat="false" ht="15" hidden="false" customHeight="false" outlineLevel="0" collapsed="false">
      <c r="B1009" s="19" t="s">
        <v>29517</v>
      </c>
      <c r="C1009" s="20" t="n">
        <f aca="false">ROUND(0.61/FX,2)</f>
        <v>0.08</v>
      </c>
      <c r="D1009" s="21" t="s">
        <v>29512</v>
      </c>
      <c r="E1009" s="21" t="s">
        <v>29518</v>
      </c>
    </row>
    <row r="1012" customFormat="false" ht="61.5" hidden="false" customHeight="true" outlineLevel="0" collapsed="false">
      <c r="A1012" s="9"/>
      <c r="B1012" s="10" t="s">
        <v>29519</v>
      </c>
      <c r="C1012" s="10"/>
      <c r="D1012" s="10"/>
    </row>
    <row r="1013" customFormat="false" ht="15" hidden="false" customHeight="false" outlineLevel="0" collapsed="false">
      <c r="B1013" s="18" t="s">
        <v>701</v>
      </c>
      <c r="C1013" s="18" t="s">
        <v>702</v>
      </c>
      <c r="D1013" s="18" t="s">
        <v>5610</v>
      </c>
    </row>
    <row r="1014" customFormat="false" ht="15" hidden="false" customHeight="false" outlineLevel="0" collapsed="false">
      <c r="B1014" s="19" t="s">
        <v>29520</v>
      </c>
      <c r="C1014" s="20" t="n">
        <f aca="false">ROUND(14.57/FX,2)</f>
        <v>2.02</v>
      </c>
      <c r="D1014" s="22" t="s">
        <v>5612</v>
      </c>
    </row>
    <row r="1017" customFormat="false" ht="61.5" hidden="false" customHeight="true" outlineLevel="0" collapsed="false">
      <c r="A1017" s="9"/>
      <c r="B1017" s="10" t="s">
        <v>29521</v>
      </c>
      <c r="C1017" s="10"/>
      <c r="D1017" s="10"/>
      <c r="E1017" s="10"/>
      <c r="F1017" s="10"/>
    </row>
    <row r="1018" customFormat="false" ht="15" hidden="false" customHeight="false" outlineLevel="0" collapsed="false">
      <c r="A1018" s="12" t="s">
        <v>700</v>
      </c>
      <c r="B1018" s="13" t="s">
        <v>701</v>
      </c>
      <c r="C1018" s="13" t="s">
        <v>702</v>
      </c>
      <c r="D1018" s="13" t="s">
        <v>723</v>
      </c>
      <c r="E1018" s="13" t="s">
        <v>21219</v>
      </c>
      <c r="F1018" s="13" t="s">
        <v>20008</v>
      </c>
    </row>
    <row r="1019" customFormat="false" ht="30" hidden="false" customHeight="true" outlineLevel="0" collapsed="false">
      <c r="A1019" s="14" t="s">
        <v>706</v>
      </c>
      <c r="B1019" s="15" t="str">
        <f aca="false">IF(COUNTIFS($D$1022:$D$1026,IF(D1019="","*",D1019),$E$1022:$E$1026,IF(E1019="","*",E1019),$F$1022:$F$1026,IF(F1019="","*",F1019))=1,INDEX($B:$B,SUMPRODUCT(((D1019="")+($D$1022:$D$1026=D1019)&gt;0)*((E1019="")+($E$1022:$E$1026=E1019)&gt;0)*((F1019="")+($F$1022:$F$1026=F1019)&gt;0)*ROW($B$1022:$B$1026))),IF(COUNTIFS($D$1022:$D$1026,IF(D1019="","*",D1019),$E$1022:$E$1026,IF(E1019="","*",E1019),$F$1022:$F$1026,IF(F1019="","*",F1019))=0,"Not available",COUNTIFS($D$1022:$D$1026,IF(D1019="","*",D1019),$E$1022:$E$1026,IF(E1019="","*",E1019),$F$1022:$F$1026,IF(F1019="","*",F1019))&amp;" match, keep choosing"))</f>
        <v>P3-113-12V-xH2.54DZ120-3-4O</v>
      </c>
      <c r="C1019" s="16" t="n">
        <f aca="false">IF(COUNTIFS($D$1022:$D$1026,IF(D1019="","*",D1019),$E$1022:$E$1026,IF(E1019="","*",E1019),$F$1022:$F$1026,IF(F1019="","*",F1019))=1,INDEX($C:$C,SUMPRODUCT(((D1019="")+($D$1022:$D$1026=D1019)&gt;0)*((E1019="")+($E$1022:$E$1026=E1019)&gt;0)*((F1019="")+($F$1022:$F$1026=F1019)&gt;0)*ROW($B$1022:$B$1026))),"")</f>
        <v>0.54</v>
      </c>
      <c r="D1019" s="17" t="s">
        <v>29522</v>
      </c>
      <c r="E1019" s="17" t="s">
        <v>29407</v>
      </c>
      <c r="F1019" s="17" t="s">
        <v>6336</v>
      </c>
    </row>
    <row r="1021" customFormat="false" ht="15" hidden="false" customHeight="false" outlineLevel="0" collapsed="false">
      <c r="B1021" s="18" t="s">
        <v>701</v>
      </c>
      <c r="C1021" s="18" t="s">
        <v>702</v>
      </c>
      <c r="D1021" s="18" t="s">
        <v>723</v>
      </c>
      <c r="E1021" s="18" t="s">
        <v>21219</v>
      </c>
      <c r="F1021" s="18" t="s">
        <v>20008</v>
      </c>
    </row>
    <row r="1022" customFormat="false" ht="28.35" hidden="false" customHeight="false" outlineLevel="0" collapsed="false">
      <c r="B1022" s="19" t="s">
        <v>29523</v>
      </c>
      <c r="C1022" s="20" t="n">
        <f aca="false">ROUND(3.9/FX,2)</f>
        <v>0.54</v>
      </c>
      <c r="D1022" s="21" t="s">
        <v>29522</v>
      </c>
      <c r="E1022" s="21" t="s">
        <v>29407</v>
      </c>
      <c r="F1022" s="21" t="s">
        <v>6336</v>
      </c>
    </row>
    <row r="1023" customFormat="false" ht="68.65" hidden="false" customHeight="false" outlineLevel="0" collapsed="false">
      <c r="B1023" s="19" t="s">
        <v>29524</v>
      </c>
      <c r="C1023" s="20" t="n">
        <f aca="false">ROUND(10.4/FX,2)</f>
        <v>1.44</v>
      </c>
      <c r="D1023" s="21" t="s">
        <v>29525</v>
      </c>
      <c r="E1023" s="21" t="s">
        <v>29288</v>
      </c>
      <c r="F1023" s="21" t="s">
        <v>21226</v>
      </c>
    </row>
    <row r="1024" customFormat="false" ht="41.75" hidden="false" customHeight="false" outlineLevel="0" collapsed="false">
      <c r="B1024" s="19" t="s">
        <v>29526</v>
      </c>
      <c r="C1024" s="20" t="n">
        <f aca="false">ROUND(4.16/FX,2)</f>
        <v>0.58</v>
      </c>
      <c r="D1024" s="21" t="s">
        <v>29527</v>
      </c>
      <c r="E1024" s="21" t="s">
        <v>29288</v>
      </c>
      <c r="F1024" s="21" t="s">
        <v>21226</v>
      </c>
    </row>
    <row r="1025" customFormat="false" ht="55.2" hidden="false" customHeight="false" outlineLevel="0" collapsed="false">
      <c r="B1025" s="19" t="s">
        <v>29528</v>
      </c>
      <c r="C1025" s="20" t="n">
        <f aca="false">ROUND(3.9/FX,2)</f>
        <v>0.54</v>
      </c>
      <c r="D1025" s="21" t="s">
        <v>29529</v>
      </c>
      <c r="E1025" s="21" t="s">
        <v>6336</v>
      </c>
      <c r="F1025" s="21" t="s">
        <v>6336</v>
      </c>
    </row>
    <row r="1026" customFormat="false" ht="41.75" hidden="false" customHeight="false" outlineLevel="0" collapsed="false">
      <c r="B1026" s="19" t="s">
        <v>29530</v>
      </c>
      <c r="C1026" s="20" t="n">
        <f aca="false">ROUND(1.95/FX,2)</f>
        <v>0.27</v>
      </c>
      <c r="D1026" s="21" t="s">
        <v>29531</v>
      </c>
      <c r="E1026" s="21" t="s">
        <v>6336</v>
      </c>
      <c r="F1026" s="21" t="s">
        <v>6336</v>
      </c>
    </row>
    <row r="1029" customFormat="false" ht="61.5" hidden="false" customHeight="true" outlineLevel="0" collapsed="false">
      <c r="A1029" s="9"/>
      <c r="B1029" s="10" t="s">
        <v>29532</v>
      </c>
      <c r="C1029" s="10"/>
      <c r="D1029" s="10"/>
      <c r="E1029" s="10"/>
      <c r="F1029" s="10"/>
      <c r="G1029" s="10"/>
    </row>
    <row r="1030" customFormat="false" ht="15" hidden="false" customHeight="false" outlineLevel="0" collapsed="false">
      <c r="A1030" s="12" t="s">
        <v>700</v>
      </c>
      <c r="B1030" s="13" t="s">
        <v>701</v>
      </c>
      <c r="C1030" s="13" t="s">
        <v>702</v>
      </c>
      <c r="D1030" s="13" t="s">
        <v>722</v>
      </c>
      <c r="E1030" s="13" t="s">
        <v>705</v>
      </c>
      <c r="F1030" s="13" t="s">
        <v>723</v>
      </c>
      <c r="G1030" s="13" t="s">
        <v>13701</v>
      </c>
    </row>
    <row r="1031" customFormat="false" ht="30" hidden="false" customHeight="true" outlineLevel="0" collapsed="false">
      <c r="A1031" s="14" t="s">
        <v>706</v>
      </c>
      <c r="B1031" s="15" t="str">
        <f aca="false">IF(COUNTIFS($D$1034:$D$1045,IF(D1031="","*",D1031),$E$1034:$E$1045,IF(E1031="","*",E1031),$F$1034:$F$1045,IF(F1031="","*",F1031),$G$1034:$G$1045,IF(G1031="","*",G1031))=1,INDEX($B:$B,SUMPRODUCT(((D1031="")+($D$1034:$D$1045=D1031)&gt;0)*((E1031="")+($E$1034:$E$1045=E1031)&gt;0)*((F1031="")+($F$1034:$F$1045=F1031)&gt;0)*((G1031="")+($G$1034:$G$1045=G1031)&gt;0)*ROW($B$1034:$B$1045))),IF(COUNTIFS($D$1034:$D$1045,IF(D1031="","*",D1031),$E$1034:$E$1045,IF(E1031="","*",E1031),$F$1034:$F$1045,IF(F1031="","*",F1031),$G$1034:$G$1045,IF(G1031="","*",G1031))=0,"Not available",COUNTIFS($D$1034:$D$1045,IF(D1031="","*",D1031),$E$1034:$E$1045,IF(E1031="","*",E1031),$F$1034:$F$1045,IF(F1031="","*",F1031),$G$1034:$G$1045,IF(G1031="","*",G1031))&amp;" match, keep choosing"))</f>
        <v>P3-099-BK-BSGJZ-+LS-LM-G-P4</v>
      </c>
      <c r="C1031" s="16" t="n">
        <f aca="false">IF(COUNTIFS($D$1034:$D$1045,IF(D1031="","*",D1031),$E$1034:$E$1045,IF(E1031="","*",E1031),$F$1034:$F$1045,IF(F1031="","*",F1031),$G$1034:$G$1045,IF(G1031="","*",G1031))=1,INDEX($C:$C,SUMPRODUCT(((D1031="")+($D$1034:$D$1045=D1031)&gt;0)*((E1031="")+($E$1034:$E$1045=E1031)&gt;0)*((F1031="")+($F$1034:$F$1045=F1031)&gt;0)*((G1031="")+($G$1034:$G$1045=G1031)&gt;0)*ROW($B$1034:$B$1045))),"")</f>
        <v>0.79</v>
      </c>
      <c r="D1031" s="17" t="s">
        <v>724</v>
      </c>
      <c r="E1031" s="17" t="s">
        <v>14013</v>
      </c>
      <c r="F1031" s="17" t="s">
        <v>29533</v>
      </c>
      <c r="G1031" s="17" t="s">
        <v>6336</v>
      </c>
    </row>
    <row r="1033" customFormat="false" ht="15" hidden="false" customHeight="false" outlineLevel="0" collapsed="false">
      <c r="B1033" s="18" t="s">
        <v>701</v>
      </c>
      <c r="C1033" s="18" t="s">
        <v>702</v>
      </c>
      <c r="D1033" s="18" t="s">
        <v>722</v>
      </c>
      <c r="E1033" s="18" t="s">
        <v>705</v>
      </c>
      <c r="F1033" s="18" t="s">
        <v>723</v>
      </c>
      <c r="G1033" s="18" t="s">
        <v>13701</v>
      </c>
    </row>
    <row r="1034" customFormat="false" ht="41.75" hidden="false" customHeight="false" outlineLevel="0" collapsed="false">
      <c r="B1034" s="19" t="s">
        <v>29534</v>
      </c>
      <c r="C1034" s="20" t="n">
        <f aca="false">ROUND(5.72/FX,2)</f>
        <v>0.79</v>
      </c>
      <c r="D1034" s="21" t="s">
        <v>724</v>
      </c>
      <c r="E1034" s="21" t="s">
        <v>14013</v>
      </c>
      <c r="F1034" s="21" t="s">
        <v>29533</v>
      </c>
      <c r="G1034" s="21" t="s">
        <v>6336</v>
      </c>
    </row>
    <row r="1035" customFormat="false" ht="28.35" hidden="false" customHeight="false" outlineLevel="0" collapsed="false">
      <c r="B1035" s="19" t="s">
        <v>29535</v>
      </c>
      <c r="C1035" s="20" t="n">
        <f aca="false">ROUND(11.93/FX,2)</f>
        <v>1.66</v>
      </c>
      <c r="D1035" s="21" t="s">
        <v>724</v>
      </c>
      <c r="E1035" s="21" t="s">
        <v>13997</v>
      </c>
      <c r="F1035" s="21" t="s">
        <v>29536</v>
      </c>
      <c r="G1035" s="21" t="s">
        <v>6336</v>
      </c>
    </row>
    <row r="1036" customFormat="false" ht="28.35" hidden="false" customHeight="false" outlineLevel="0" collapsed="false">
      <c r="B1036" s="19" t="s">
        <v>29537</v>
      </c>
      <c r="C1036" s="20" t="n">
        <f aca="false">ROUND(4.84/FX,2)</f>
        <v>0.67</v>
      </c>
      <c r="D1036" s="21" t="s">
        <v>724</v>
      </c>
      <c r="E1036" s="21" t="s">
        <v>14013</v>
      </c>
      <c r="F1036" s="21" t="s">
        <v>29536</v>
      </c>
      <c r="G1036" s="21" t="s">
        <v>6336</v>
      </c>
    </row>
    <row r="1037" customFormat="false" ht="15" hidden="false" customHeight="false" outlineLevel="0" collapsed="false">
      <c r="B1037" s="19" t="s">
        <v>29538</v>
      </c>
      <c r="C1037" s="20" t="n">
        <f aca="false">ROUND(0.39/FX,2)</f>
        <v>0.05</v>
      </c>
      <c r="D1037" s="21" t="s">
        <v>724</v>
      </c>
      <c r="E1037" s="21" t="s">
        <v>13732</v>
      </c>
      <c r="F1037" s="21" t="s">
        <v>29539</v>
      </c>
      <c r="G1037" s="21" t="s">
        <v>6336</v>
      </c>
    </row>
    <row r="1038" customFormat="false" ht="15" hidden="false" customHeight="false" outlineLevel="0" collapsed="false">
      <c r="B1038" s="19" t="s">
        <v>29540</v>
      </c>
      <c r="C1038" s="20" t="n">
        <f aca="false">ROUND(5.2/FX,2)</f>
        <v>0.72</v>
      </c>
      <c r="D1038" s="21" t="s">
        <v>7884</v>
      </c>
      <c r="E1038" s="21" t="s">
        <v>13732</v>
      </c>
      <c r="F1038" s="21" t="s">
        <v>29539</v>
      </c>
      <c r="G1038" s="21" t="s">
        <v>6336</v>
      </c>
    </row>
    <row r="1039" customFormat="false" ht="15" hidden="false" customHeight="false" outlineLevel="0" collapsed="false">
      <c r="B1039" s="19" t="s">
        <v>29541</v>
      </c>
      <c r="C1039" s="20" t="n">
        <f aca="false">ROUND(30/FX,2)</f>
        <v>4.17</v>
      </c>
      <c r="D1039" s="21" t="s">
        <v>6336</v>
      </c>
      <c r="E1039" s="21" t="s">
        <v>13732</v>
      </c>
      <c r="F1039" s="21" t="s">
        <v>6688</v>
      </c>
      <c r="G1039" s="21" t="s">
        <v>6336</v>
      </c>
    </row>
    <row r="1040" customFormat="false" ht="15" hidden="false" customHeight="false" outlineLevel="0" collapsed="false">
      <c r="B1040" s="19" t="s">
        <v>29542</v>
      </c>
      <c r="C1040" s="20" t="n">
        <f aca="false">ROUND(26.27/FX,2)</f>
        <v>3.65</v>
      </c>
      <c r="D1040" s="21" t="s">
        <v>6336</v>
      </c>
      <c r="E1040" s="21" t="s">
        <v>13732</v>
      </c>
      <c r="F1040" s="21" t="s">
        <v>6691</v>
      </c>
      <c r="G1040" s="21" t="s">
        <v>6336</v>
      </c>
    </row>
    <row r="1041" customFormat="false" ht="15" hidden="false" customHeight="false" outlineLevel="0" collapsed="false">
      <c r="B1041" s="19" t="s">
        <v>29543</v>
      </c>
      <c r="C1041" s="20" t="n">
        <f aca="false">ROUND(0.11/FX,2)</f>
        <v>0.02</v>
      </c>
      <c r="D1041" s="21" t="s">
        <v>6336</v>
      </c>
      <c r="E1041" s="21" t="s">
        <v>13732</v>
      </c>
      <c r="F1041" s="21" t="s">
        <v>13717</v>
      </c>
      <c r="G1041" s="21" t="s">
        <v>27813</v>
      </c>
    </row>
    <row r="1042" customFormat="false" ht="28.35" hidden="false" customHeight="false" outlineLevel="0" collapsed="false">
      <c r="B1042" s="19" t="s">
        <v>29544</v>
      </c>
      <c r="C1042" s="20" t="n">
        <f aca="false">ROUND(19.81/FX,2)</f>
        <v>2.75</v>
      </c>
      <c r="D1042" s="21" t="s">
        <v>6362</v>
      </c>
      <c r="E1042" s="21" t="s">
        <v>14013</v>
      </c>
      <c r="F1042" s="21" t="s">
        <v>29536</v>
      </c>
      <c r="G1042" s="21" t="s">
        <v>6336</v>
      </c>
    </row>
    <row r="1043" customFormat="false" ht="15" hidden="false" customHeight="false" outlineLevel="0" collapsed="false">
      <c r="B1043" s="19" t="s">
        <v>29545</v>
      </c>
      <c r="C1043" s="20" t="n">
        <f aca="false">ROUND(4.16/FX,2)</f>
        <v>0.58</v>
      </c>
      <c r="D1043" s="21" t="s">
        <v>6362</v>
      </c>
      <c r="E1043" s="21" t="s">
        <v>13732</v>
      </c>
      <c r="F1043" s="21" t="s">
        <v>29539</v>
      </c>
      <c r="G1043" s="21" t="s">
        <v>6336</v>
      </c>
    </row>
    <row r="1044" customFormat="false" ht="15" hidden="false" customHeight="false" outlineLevel="0" collapsed="false">
      <c r="B1044" s="19" t="s">
        <v>29546</v>
      </c>
      <c r="C1044" s="20" t="n">
        <f aca="false">ROUND(23.45/FX,2)</f>
        <v>3.26</v>
      </c>
      <c r="D1044" s="21" t="s">
        <v>6336</v>
      </c>
      <c r="E1044" s="21" t="s">
        <v>13732</v>
      </c>
      <c r="F1044" s="21" t="s">
        <v>29547</v>
      </c>
      <c r="G1044" s="21" t="s">
        <v>6336</v>
      </c>
    </row>
    <row r="1045" customFormat="false" ht="15" hidden="false" customHeight="false" outlineLevel="0" collapsed="false">
      <c r="B1045" s="19" t="s">
        <v>29548</v>
      </c>
      <c r="C1045" s="20" t="n">
        <f aca="false">ROUND(0.69/FX,2)</f>
        <v>0.1</v>
      </c>
      <c r="D1045" s="21" t="s">
        <v>18157</v>
      </c>
      <c r="E1045" s="21" t="s">
        <v>13732</v>
      </c>
      <c r="F1045" s="21" t="s">
        <v>29549</v>
      </c>
      <c r="G1045" s="21" t="s">
        <v>6336</v>
      </c>
    </row>
    <row r="1048" customFormat="false" ht="61.5" hidden="false" customHeight="true" outlineLevel="0" collapsed="false">
      <c r="A1048" s="9"/>
      <c r="B1048" s="10" t="s">
        <v>29550</v>
      </c>
      <c r="C1048" s="10"/>
      <c r="D1048" s="10"/>
    </row>
    <row r="1049" customFormat="false" ht="15" hidden="false" customHeight="false" outlineLevel="0" collapsed="false">
      <c r="B1049" s="18" t="s">
        <v>701</v>
      </c>
      <c r="C1049" s="18" t="s">
        <v>702</v>
      </c>
      <c r="D1049" s="18" t="s">
        <v>5610</v>
      </c>
    </row>
    <row r="1050" customFormat="false" ht="15" hidden="false" customHeight="false" outlineLevel="0" collapsed="false">
      <c r="B1050" s="19" t="s">
        <v>29551</v>
      </c>
      <c r="C1050" s="20" t="n">
        <f aca="false">ROUND(1.56/FX,2)</f>
        <v>0.22</v>
      </c>
      <c r="D1050" s="22" t="s">
        <v>5612</v>
      </c>
    </row>
    <row r="1053" customFormat="false" ht="61.5" hidden="false" customHeight="true" outlineLevel="0" collapsed="false">
      <c r="A1053" s="9"/>
      <c r="B1053" s="10" t="s">
        <v>29552</v>
      </c>
      <c r="C1053" s="10"/>
      <c r="D1053" s="10"/>
    </row>
    <row r="1054" customFormat="false" ht="15" hidden="false" customHeight="false" outlineLevel="0" collapsed="false">
      <c r="A1054" s="12" t="s">
        <v>700</v>
      </c>
      <c r="B1054" s="13" t="s">
        <v>701</v>
      </c>
      <c r="C1054" s="13" t="s">
        <v>702</v>
      </c>
      <c r="D1054" s="13" t="s">
        <v>723</v>
      </c>
    </row>
    <row r="1055" customFormat="false" ht="30" hidden="false" customHeight="true" outlineLevel="0" collapsed="false">
      <c r="A1055" s="14" t="s">
        <v>706</v>
      </c>
      <c r="B1055" s="15" t="str">
        <f aca="false">IF(COUNTIFS($D$1058:$D$1059,IF(D1055="","*",D1055))=1,INDEX($B:$B,SUMPRODUCT(((D1055="")+($D$1058:$D$1059=D1055)&gt;0)*ROW($B$1058:$B$1059))),IF(COUNTIFS($D$1058:$D$1059,IF(D1055="","*",D1055))=0,"Not available",COUNTIFS($D$1058:$D$1059,IF(D1055="","*",D1055))&amp;" match, keep choosing"))</f>
        <v>P3-009-DDCGP</v>
      </c>
      <c r="C1055" s="16" t="n">
        <f aca="false">IF(COUNTIFS($D$1058:$D$1059,IF(D1055="","*",D1055))=1,INDEX($C:$C,SUMPRODUCT(((D1055="")+($D$1058:$D$1059=D1055)&gt;0)*ROW($B$1058:$B$1059))),"")</f>
        <v>3.25</v>
      </c>
      <c r="D1055" s="17" t="s">
        <v>29553</v>
      </c>
    </row>
    <row r="1057" customFormat="false" ht="15" hidden="false" customHeight="false" outlineLevel="0" collapsed="false">
      <c r="B1057" s="18" t="s">
        <v>701</v>
      </c>
      <c r="C1057" s="18" t="s">
        <v>702</v>
      </c>
      <c r="D1057" s="18" t="s">
        <v>723</v>
      </c>
    </row>
    <row r="1058" customFormat="false" ht="28.35" hidden="false" customHeight="false" outlineLevel="0" collapsed="false">
      <c r="B1058" s="19" t="s">
        <v>29554</v>
      </c>
      <c r="C1058" s="20" t="n">
        <f aca="false">ROUND(23.4/FX,2)</f>
        <v>3.25</v>
      </c>
      <c r="D1058" s="21" t="s">
        <v>29553</v>
      </c>
    </row>
    <row r="1059" customFormat="false" ht="28.35" hidden="false" customHeight="false" outlineLevel="0" collapsed="false">
      <c r="B1059" s="19" t="s">
        <v>29555</v>
      </c>
      <c r="C1059" s="20" t="n">
        <f aca="false">ROUND(46.8/FX,2)</f>
        <v>6.5</v>
      </c>
      <c r="D1059" s="21" t="s">
        <v>29556</v>
      </c>
    </row>
    <row r="1062" customFormat="false" ht="61.5" hidden="false" customHeight="true" outlineLevel="0" collapsed="false">
      <c r="A1062" s="9"/>
      <c r="B1062" s="10" t="s">
        <v>29557</v>
      </c>
      <c r="C1062" s="10"/>
      <c r="D1062" s="10"/>
    </row>
    <row r="1063" customFormat="false" ht="15" hidden="false" customHeight="false" outlineLevel="0" collapsed="false">
      <c r="B1063" s="18" t="s">
        <v>701</v>
      </c>
      <c r="C1063" s="18" t="s">
        <v>702</v>
      </c>
      <c r="D1063" s="18" t="s">
        <v>5610</v>
      </c>
    </row>
    <row r="1064" customFormat="false" ht="15" hidden="false" customHeight="false" outlineLevel="0" collapsed="false">
      <c r="B1064" s="19" t="s">
        <v>29558</v>
      </c>
      <c r="C1064" s="20" t="n">
        <f aca="false">ROUND(1.3/FX,2)</f>
        <v>0.18</v>
      </c>
      <c r="D1064" s="22" t="s">
        <v>5612</v>
      </c>
    </row>
    <row r="1067" customFormat="false" ht="61.5" hidden="false" customHeight="true" outlineLevel="0" collapsed="false">
      <c r="A1067" s="9"/>
      <c r="B1067" s="10" t="s">
        <v>29559</v>
      </c>
      <c r="C1067" s="10"/>
      <c r="D1067" s="10"/>
    </row>
    <row r="1068" customFormat="false" ht="15" hidden="false" customHeight="false" outlineLevel="0" collapsed="false">
      <c r="B1068" s="18" t="s">
        <v>701</v>
      </c>
      <c r="C1068" s="18" t="s">
        <v>702</v>
      </c>
      <c r="D1068" s="18" t="s">
        <v>5610</v>
      </c>
    </row>
    <row r="1069" customFormat="false" ht="15" hidden="false" customHeight="false" outlineLevel="0" collapsed="false">
      <c r="B1069" s="19" t="s">
        <v>29560</v>
      </c>
      <c r="C1069" s="20" t="n">
        <f aca="false">ROUND(20.8/FX,2)</f>
        <v>2.89</v>
      </c>
      <c r="D1069" s="22" t="s">
        <v>5612</v>
      </c>
    </row>
    <row r="1072" customFormat="false" ht="61.5" hidden="false" customHeight="true" outlineLevel="0" collapsed="false">
      <c r="A1072" s="9"/>
      <c r="B1072" s="10" t="s">
        <v>29561</v>
      </c>
      <c r="C1072" s="10"/>
      <c r="D1072" s="10"/>
    </row>
    <row r="1073" customFormat="false" ht="15" hidden="false" customHeight="false" outlineLevel="0" collapsed="false">
      <c r="A1073" s="12" t="s">
        <v>700</v>
      </c>
      <c r="B1073" s="13" t="s">
        <v>701</v>
      </c>
      <c r="C1073" s="13" t="s">
        <v>702</v>
      </c>
      <c r="D1073" s="13" t="s">
        <v>723</v>
      </c>
    </row>
    <row r="1074" customFormat="false" ht="30" hidden="false" customHeight="true" outlineLevel="0" collapsed="false">
      <c r="A1074" s="14" t="s">
        <v>706</v>
      </c>
      <c r="B1074" s="15" t="str">
        <f aca="false">IF(COUNTIFS($D$1077:$D$1078,IF(D1074="","*",D1074))=1,INDEX($B:$B,SUMPRODUCT(((D1074="")+($D$1077:$D$1078=D1074)&gt;0)*ROW($B$1077:$B$1078))),IF(COUNTIFS($D$1077:$D$1078,IF(D1074="","*",D1074))=0,"Not available",COUNTIFS($D$1077:$D$1078,IF(D1074="","*",D1074))&amp;" match, keep choosing"))</f>
        <v>P3-023-10KTBD</v>
      </c>
      <c r="C1074" s="16" t="n">
        <f aca="false">IF(COUNTIFS($D$1077:$D$1078,IF(D1074="","*",D1074))=1,INDEX($C:$C,SUMPRODUCT(((D1074="")+($D$1077:$D$1078=D1074)&gt;0)*ROW($B$1077:$B$1078))),"")</f>
        <v>0.23</v>
      </c>
      <c r="D1074" s="17" t="s">
        <v>29562</v>
      </c>
    </row>
    <row r="1076" customFormat="false" ht="15" hidden="false" customHeight="false" outlineLevel="0" collapsed="false">
      <c r="B1076" s="18" t="s">
        <v>701</v>
      </c>
      <c r="C1076" s="18" t="s">
        <v>702</v>
      </c>
      <c r="D1076" s="18" t="s">
        <v>723</v>
      </c>
    </row>
    <row r="1077" customFormat="false" ht="28.35" hidden="false" customHeight="false" outlineLevel="0" collapsed="false">
      <c r="B1077" s="19" t="s">
        <v>29563</v>
      </c>
      <c r="C1077" s="20" t="n">
        <f aca="false">ROUND(1.69/FX,2)</f>
        <v>0.23</v>
      </c>
      <c r="D1077" s="21" t="s">
        <v>29562</v>
      </c>
    </row>
    <row r="1078" customFormat="false" ht="28.35" hidden="false" customHeight="false" outlineLevel="0" collapsed="false">
      <c r="B1078" s="19" t="s">
        <v>29564</v>
      </c>
      <c r="C1078" s="20" t="n">
        <f aca="false">ROUND(1.43/FX,2)</f>
        <v>0.2</v>
      </c>
      <c r="D1078" s="21" t="s">
        <v>29565</v>
      </c>
    </row>
    <row r="1081" customFormat="false" ht="61.5" hidden="false" customHeight="true" outlineLevel="0" collapsed="false">
      <c r="A1081" s="9"/>
      <c r="B1081" s="10" t="s">
        <v>29566</v>
      </c>
      <c r="C1081" s="10"/>
      <c r="D1081" s="10"/>
      <c r="E1081" s="10"/>
    </row>
    <row r="1082" customFormat="false" ht="15" hidden="false" customHeight="false" outlineLevel="0" collapsed="false">
      <c r="A1082" s="12" t="s">
        <v>700</v>
      </c>
      <c r="B1082" s="13" t="s">
        <v>701</v>
      </c>
      <c r="C1082" s="13" t="s">
        <v>702</v>
      </c>
      <c r="D1082" s="13" t="s">
        <v>722</v>
      </c>
      <c r="E1082" s="13" t="s">
        <v>723</v>
      </c>
    </row>
    <row r="1083" customFormat="false" ht="30" hidden="false" customHeight="true" outlineLevel="0" collapsed="false">
      <c r="A1083" s="14" t="s">
        <v>706</v>
      </c>
      <c r="B1083" s="15" t="str">
        <f aca="false">IF(COUNTIFS($D$1086:$D$1088,IF(D1083="","*",D1083),$E$1086:$E$1088,IF(E1083="","*",E1083))=1,INDEX($B:$B,SUMPRODUCT(((D1083="")+($D$1086:$D$1088=D1083)&gt;0)*((E1083="")+($E$1086:$E$1088=E1083)&gt;0)*ROW($B$1086:$B$1088))),IF(COUNTIFS($D$1086:$D$1088,IF(D1083="","*",D1083),$E$1086:$E$1088,IF(E1083="","*",E1083))=0,"Not available",COUNTIFS($D$1086:$D$1088,IF(D1083="","*",D1083),$E$1086:$E$1088,IF(E1083="","*",E1083))&amp;" match, keep choosing"))</f>
        <v>P3-103-BL-LM-M4</v>
      </c>
      <c r="C1083" s="16" t="n">
        <f aca="false">IF(COUNTIFS($D$1086:$D$1088,IF(D1083="","*",D1083),$E$1086:$E$1088,IF(E1083="","*",E1083))=1,INDEX($C:$C,SUMPRODUCT(((D1083="")+($D$1086:$D$1088=D1083)&gt;0)*((E1083="")+($E$1086:$E$1088=E1083)&gt;0)*ROW($B$1086:$B$1088))),"")</f>
        <v>0.72</v>
      </c>
      <c r="D1083" s="17" t="s">
        <v>7884</v>
      </c>
      <c r="E1083" s="17" t="s">
        <v>29567</v>
      </c>
    </row>
    <row r="1085" customFormat="false" ht="15" hidden="false" customHeight="false" outlineLevel="0" collapsed="false">
      <c r="B1085" s="18" t="s">
        <v>701</v>
      </c>
      <c r="C1085" s="18" t="s">
        <v>702</v>
      </c>
      <c r="D1085" s="18" t="s">
        <v>722</v>
      </c>
      <c r="E1085" s="18" t="s">
        <v>723</v>
      </c>
    </row>
    <row r="1086" customFormat="false" ht="15" hidden="false" customHeight="false" outlineLevel="0" collapsed="false">
      <c r="B1086" s="19" t="s">
        <v>29568</v>
      </c>
      <c r="C1086" s="20" t="n">
        <f aca="false">ROUND(5.2/FX,2)</f>
        <v>0.72</v>
      </c>
      <c r="D1086" s="21" t="s">
        <v>7884</v>
      </c>
      <c r="E1086" s="21" t="s">
        <v>29567</v>
      </c>
    </row>
    <row r="1087" customFormat="false" ht="28.35" hidden="false" customHeight="false" outlineLevel="0" collapsed="false">
      <c r="B1087" s="19" t="s">
        <v>29569</v>
      </c>
      <c r="C1087" s="20" t="n">
        <f aca="false">ROUND(19.81/FX,2)</f>
        <v>2.75</v>
      </c>
      <c r="D1087" s="21" t="s">
        <v>6336</v>
      </c>
      <c r="E1087" s="21" t="s">
        <v>29570</v>
      </c>
    </row>
    <row r="1088" customFormat="false" ht="15" hidden="false" customHeight="false" outlineLevel="0" collapsed="false">
      <c r="B1088" s="19" t="s">
        <v>29571</v>
      </c>
      <c r="C1088" s="20" t="n">
        <f aca="false">ROUND(4.16/FX,2)</f>
        <v>0.58</v>
      </c>
      <c r="D1088" s="21" t="s">
        <v>6362</v>
      </c>
      <c r="E1088" s="21" t="s">
        <v>29567</v>
      </c>
    </row>
    <row r="1091" customFormat="false" ht="61.5" hidden="false" customHeight="true" outlineLevel="0" collapsed="false">
      <c r="A1091" s="9"/>
      <c r="B1091" s="10" t="s">
        <v>29572</v>
      </c>
      <c r="C1091" s="10"/>
      <c r="D1091" s="10"/>
      <c r="E1091" s="10"/>
      <c r="F1091" s="10"/>
    </row>
    <row r="1092" customFormat="false" ht="15" hidden="false" customHeight="false" outlineLevel="0" collapsed="false">
      <c r="A1092" s="12" t="s">
        <v>700</v>
      </c>
      <c r="B1092" s="13" t="s">
        <v>701</v>
      </c>
      <c r="C1092" s="13" t="s">
        <v>702</v>
      </c>
      <c r="D1092" s="13" t="s">
        <v>11716</v>
      </c>
      <c r="E1092" s="13" t="s">
        <v>7711</v>
      </c>
      <c r="F1092" s="13" t="s">
        <v>14350</v>
      </c>
    </row>
    <row r="1093" customFormat="false" ht="30" hidden="false" customHeight="true" outlineLevel="0" collapsed="false">
      <c r="A1093" s="14" t="s">
        <v>706</v>
      </c>
      <c r="B1093" s="15" t="str">
        <f aca="false">IF(COUNTIFS($D$1096:$D$1437,IF(D1093="","*",D1093),$E$1096:$E$1437,IF(E1093="","*",E1093),$F$1096:$F$1437,IF(F1093="","*",F1093))=1,INDEX($B:$B,SUMPRODUCT(((D1093="")+($D$1096:$D$1437=D1093)&gt;0)*((E1093="")+($E$1096:$E$1437=E1093)&gt;0)*((F1093="")+($F$1096:$F$1437=F1093)&gt;0)*ROW($B$1096:$B$1437))),IF(COUNTIFS($D$1096:$D$1437,IF(D1093="","*",D1093),$E$1096:$E$1437,IF(E1093="","*",E1093),$F$1096:$F$1437,IF(F1093="","*",F1093))=0,"Not available",COUNTIFS($D$1096:$D$1437,IF(D1093="","*",D1093),$E$1096:$E$1437,IF(E1093="","*",E1093),$F$1096:$F$1437,IF(F1093="","*",F1093))&amp;" match, keep choosing"))</f>
        <v>SPR-BN-10-5-100</v>
      </c>
      <c r="C1093" s="16" t="n">
        <f aca="false">IF(COUNTIFS($D$1096:$D$1437,IF(D1093="","*",D1093),$E$1096:$E$1437,IF(E1093="","*",E1093),$F$1096:$F$1437,IF(F1093="","*",F1093))=1,INDEX($C:$C,SUMPRODUCT(((D1093="")+($D$1096:$D$1437=D1093)&gt;0)*((E1093="")+($E$1096:$E$1437=E1093)&gt;0)*((F1093="")+($F$1096:$F$1437=F1093)&gt;0)*ROW($B$1096:$B$1437))),"")</f>
        <v>0.26</v>
      </c>
      <c r="D1093" s="17" t="s">
        <v>2600</v>
      </c>
      <c r="E1093" s="17" t="s">
        <v>789</v>
      </c>
      <c r="F1093" s="17" t="s">
        <v>707</v>
      </c>
    </row>
    <row r="1095" customFormat="false" ht="15" hidden="false" customHeight="false" outlineLevel="0" collapsed="false">
      <c r="B1095" s="18" t="s">
        <v>701</v>
      </c>
      <c r="C1095" s="18" t="s">
        <v>702</v>
      </c>
      <c r="D1095" s="18" t="s">
        <v>11716</v>
      </c>
      <c r="E1095" s="18" t="s">
        <v>7711</v>
      </c>
      <c r="F1095" s="18" t="s">
        <v>14350</v>
      </c>
    </row>
    <row r="1096" customFormat="false" ht="15" hidden="false" customHeight="false" outlineLevel="0" collapsed="false">
      <c r="B1096" s="19" t="s">
        <v>29573</v>
      </c>
      <c r="C1096" s="20" t="n">
        <f aca="false">ROUND(1.86/FX,2)</f>
        <v>0.26</v>
      </c>
      <c r="D1096" s="21" t="s">
        <v>2600</v>
      </c>
      <c r="E1096" s="21" t="s">
        <v>789</v>
      </c>
      <c r="F1096" s="21" t="s">
        <v>707</v>
      </c>
    </row>
    <row r="1097" customFormat="false" ht="15" hidden="false" customHeight="false" outlineLevel="0" collapsed="false">
      <c r="B1097" s="19" t="s">
        <v>29574</v>
      </c>
      <c r="C1097" s="20" t="n">
        <f aca="false">ROUND(1.97/FX,2)</f>
        <v>0.27</v>
      </c>
      <c r="D1097" s="21" t="s">
        <v>2651</v>
      </c>
      <c r="E1097" s="21" t="s">
        <v>789</v>
      </c>
      <c r="F1097" s="21" t="s">
        <v>707</v>
      </c>
    </row>
    <row r="1098" customFormat="false" ht="15" hidden="false" customHeight="false" outlineLevel="0" collapsed="false">
      <c r="B1098" s="19" t="s">
        <v>29575</v>
      </c>
      <c r="C1098" s="20" t="n">
        <f aca="false">ROUND(2.22/FX,2)</f>
        <v>0.31</v>
      </c>
      <c r="D1098" s="21" t="s">
        <v>2701</v>
      </c>
      <c r="E1098" s="21" t="s">
        <v>789</v>
      </c>
      <c r="F1098" s="21" t="s">
        <v>707</v>
      </c>
    </row>
    <row r="1099" customFormat="false" ht="15" hidden="false" customHeight="false" outlineLevel="0" collapsed="false">
      <c r="B1099" s="19" t="s">
        <v>29576</v>
      </c>
      <c r="C1099" s="20" t="n">
        <f aca="false">ROUND(2.38/FX,2)</f>
        <v>0.33</v>
      </c>
      <c r="D1099" s="21" t="s">
        <v>11968</v>
      </c>
      <c r="E1099" s="21" t="s">
        <v>789</v>
      </c>
      <c r="F1099" s="21" t="s">
        <v>707</v>
      </c>
    </row>
    <row r="1100" customFormat="false" ht="15" hidden="false" customHeight="false" outlineLevel="0" collapsed="false">
      <c r="B1100" s="19" t="s">
        <v>29577</v>
      </c>
      <c r="C1100" s="20" t="n">
        <f aca="false">ROUND(0.56/FX,2)</f>
        <v>0.08</v>
      </c>
      <c r="D1100" s="21" t="s">
        <v>3247</v>
      </c>
      <c r="E1100" s="21" t="s">
        <v>789</v>
      </c>
      <c r="F1100" s="21" t="s">
        <v>707</v>
      </c>
    </row>
    <row r="1101" customFormat="false" ht="15" hidden="false" customHeight="false" outlineLevel="0" collapsed="false">
      <c r="B1101" s="19" t="s">
        <v>29578</v>
      </c>
      <c r="C1101" s="20" t="n">
        <f aca="false">ROUND(0.91/FX,2)</f>
        <v>0.13</v>
      </c>
      <c r="D1101" s="21" t="s">
        <v>3317</v>
      </c>
      <c r="E1101" s="21" t="s">
        <v>789</v>
      </c>
      <c r="F1101" s="21" t="s">
        <v>707</v>
      </c>
    </row>
    <row r="1102" customFormat="false" ht="15" hidden="false" customHeight="false" outlineLevel="0" collapsed="false">
      <c r="B1102" s="19" t="s">
        <v>29579</v>
      </c>
      <c r="C1102" s="20" t="n">
        <f aca="false">ROUND(0.74/FX,2)</f>
        <v>0.1</v>
      </c>
      <c r="D1102" s="21" t="s">
        <v>784</v>
      </c>
      <c r="E1102" s="21" t="s">
        <v>789</v>
      </c>
      <c r="F1102" s="21" t="s">
        <v>707</v>
      </c>
    </row>
    <row r="1103" customFormat="false" ht="15" hidden="false" customHeight="false" outlineLevel="0" collapsed="false">
      <c r="B1103" s="19" t="s">
        <v>29580</v>
      </c>
      <c r="C1103" s="20" t="n">
        <f aca="false">ROUND(7.12/FX,2)</f>
        <v>0.99</v>
      </c>
      <c r="D1103" s="21" t="s">
        <v>1520</v>
      </c>
      <c r="E1103" s="21" t="s">
        <v>789</v>
      </c>
      <c r="F1103" s="21" t="s">
        <v>707</v>
      </c>
    </row>
    <row r="1104" customFormat="false" ht="15" hidden="false" customHeight="false" outlineLevel="0" collapsed="false">
      <c r="B1104" s="19" t="s">
        <v>29581</v>
      </c>
      <c r="C1104" s="20" t="n">
        <f aca="false">ROUND(0.87/FX,2)</f>
        <v>0.12</v>
      </c>
      <c r="D1104" s="21" t="s">
        <v>3328</v>
      </c>
      <c r="E1104" s="21" t="s">
        <v>789</v>
      </c>
      <c r="F1104" s="21" t="s">
        <v>707</v>
      </c>
    </row>
    <row r="1105" customFormat="false" ht="15" hidden="false" customHeight="false" outlineLevel="0" collapsed="false">
      <c r="B1105" s="19" t="s">
        <v>29582</v>
      </c>
      <c r="C1105" s="20" t="n">
        <f aca="false">ROUND(0.94/FX,2)</f>
        <v>0.13</v>
      </c>
      <c r="D1105" s="21" t="s">
        <v>6246</v>
      </c>
      <c r="E1105" s="21" t="s">
        <v>789</v>
      </c>
      <c r="F1105" s="21" t="s">
        <v>707</v>
      </c>
    </row>
    <row r="1106" customFormat="false" ht="15" hidden="false" customHeight="false" outlineLevel="0" collapsed="false">
      <c r="B1106" s="19" t="s">
        <v>29583</v>
      </c>
      <c r="C1106" s="20" t="n">
        <f aca="false">ROUND(0.99/FX,2)</f>
        <v>0.14</v>
      </c>
      <c r="D1106" s="21" t="s">
        <v>7358</v>
      </c>
      <c r="E1106" s="21" t="s">
        <v>789</v>
      </c>
      <c r="F1106" s="21" t="s">
        <v>707</v>
      </c>
    </row>
    <row r="1107" customFormat="false" ht="15" hidden="false" customHeight="false" outlineLevel="0" collapsed="false">
      <c r="B1107" s="19" t="s">
        <v>29584</v>
      </c>
      <c r="C1107" s="20" t="n">
        <f aca="false">ROUND(1.05/FX,2)</f>
        <v>0.15</v>
      </c>
      <c r="D1107" s="21" t="s">
        <v>2911</v>
      </c>
      <c r="E1107" s="21" t="s">
        <v>789</v>
      </c>
      <c r="F1107" s="21" t="s">
        <v>707</v>
      </c>
    </row>
    <row r="1108" customFormat="false" ht="15" hidden="false" customHeight="false" outlineLevel="0" collapsed="false">
      <c r="B1108" s="19" t="s">
        <v>29585</v>
      </c>
      <c r="C1108" s="20" t="n">
        <f aca="false">ROUND(1.12/FX,2)</f>
        <v>0.16</v>
      </c>
      <c r="D1108" s="21" t="s">
        <v>7275</v>
      </c>
      <c r="E1108" s="21" t="s">
        <v>789</v>
      </c>
      <c r="F1108" s="21" t="s">
        <v>707</v>
      </c>
    </row>
    <row r="1109" customFormat="false" ht="15" hidden="false" customHeight="false" outlineLevel="0" collapsed="false">
      <c r="B1109" s="19" t="s">
        <v>29586</v>
      </c>
      <c r="C1109" s="20" t="n">
        <f aca="false">ROUND(1.18/FX,2)</f>
        <v>0.16</v>
      </c>
      <c r="D1109" s="21" t="s">
        <v>2961</v>
      </c>
      <c r="E1109" s="21" t="s">
        <v>789</v>
      </c>
      <c r="F1109" s="21" t="s">
        <v>707</v>
      </c>
    </row>
    <row r="1110" customFormat="false" ht="15" hidden="false" customHeight="false" outlineLevel="0" collapsed="false">
      <c r="B1110" s="19" t="s">
        <v>29587</v>
      </c>
      <c r="C1110" s="20" t="n">
        <f aca="false">ROUND(1.24/FX,2)</f>
        <v>0.17</v>
      </c>
      <c r="D1110" s="21" t="s">
        <v>13817</v>
      </c>
      <c r="E1110" s="21" t="s">
        <v>789</v>
      </c>
      <c r="F1110" s="21" t="s">
        <v>707</v>
      </c>
    </row>
    <row r="1111" customFormat="false" ht="15" hidden="false" customHeight="false" outlineLevel="0" collapsed="false">
      <c r="B1111" s="19" t="s">
        <v>29588</v>
      </c>
      <c r="C1111" s="20" t="n">
        <f aca="false">ROUND(1.37/FX,2)</f>
        <v>0.19</v>
      </c>
      <c r="D1111" s="21" t="s">
        <v>3011</v>
      </c>
      <c r="E1111" s="21" t="s">
        <v>789</v>
      </c>
      <c r="F1111" s="21" t="s">
        <v>707</v>
      </c>
    </row>
    <row r="1112" customFormat="false" ht="15" hidden="false" customHeight="false" outlineLevel="0" collapsed="false">
      <c r="B1112" s="19" t="s">
        <v>29589</v>
      </c>
      <c r="C1112" s="20" t="n">
        <f aca="false">ROUND(1.43/FX,2)</f>
        <v>0.2</v>
      </c>
      <c r="D1112" s="21" t="s">
        <v>7396</v>
      </c>
      <c r="E1112" s="21" t="s">
        <v>789</v>
      </c>
      <c r="F1112" s="21" t="s">
        <v>707</v>
      </c>
    </row>
    <row r="1113" customFormat="false" ht="15" hidden="false" customHeight="false" outlineLevel="0" collapsed="false">
      <c r="B1113" s="19" t="s">
        <v>29590</v>
      </c>
      <c r="C1113" s="20" t="n">
        <f aca="false">ROUND(1.48/FX,2)</f>
        <v>0.21</v>
      </c>
      <c r="D1113" s="21" t="s">
        <v>3061</v>
      </c>
      <c r="E1113" s="21" t="s">
        <v>789</v>
      </c>
      <c r="F1113" s="21" t="s">
        <v>707</v>
      </c>
    </row>
    <row r="1114" customFormat="false" ht="15" hidden="false" customHeight="false" outlineLevel="0" collapsed="false">
      <c r="B1114" s="19" t="s">
        <v>29591</v>
      </c>
      <c r="C1114" s="20" t="n">
        <f aca="false">ROUND(1.61/FX,2)</f>
        <v>0.22</v>
      </c>
      <c r="D1114" s="21" t="s">
        <v>11870</v>
      </c>
      <c r="E1114" s="21" t="s">
        <v>789</v>
      </c>
      <c r="F1114" s="21" t="s">
        <v>707</v>
      </c>
    </row>
    <row r="1115" customFormat="false" ht="15" hidden="false" customHeight="false" outlineLevel="0" collapsed="false">
      <c r="B1115" s="19" t="s">
        <v>29592</v>
      </c>
      <c r="C1115" s="20" t="n">
        <f aca="false">ROUND(1.61/FX,2)</f>
        <v>0.22</v>
      </c>
      <c r="D1115" s="21" t="s">
        <v>3111</v>
      </c>
      <c r="E1115" s="21" t="s">
        <v>789</v>
      </c>
      <c r="F1115" s="21" t="s">
        <v>707</v>
      </c>
    </row>
    <row r="1116" customFormat="false" ht="15" hidden="false" customHeight="false" outlineLevel="0" collapsed="false">
      <c r="B1116" s="19" t="s">
        <v>29593</v>
      </c>
      <c r="C1116" s="20" t="n">
        <f aca="false">ROUND(1.86/FX,2)</f>
        <v>0.26</v>
      </c>
      <c r="D1116" s="21" t="s">
        <v>12306</v>
      </c>
      <c r="E1116" s="21" t="s">
        <v>789</v>
      </c>
      <c r="F1116" s="21" t="s">
        <v>707</v>
      </c>
    </row>
    <row r="1117" customFormat="false" ht="15" hidden="false" customHeight="false" outlineLevel="0" collapsed="false">
      <c r="B1117" s="19" t="s">
        <v>29594</v>
      </c>
      <c r="C1117" s="20" t="n">
        <f aca="false">ROUND(1.73/FX,2)</f>
        <v>0.24</v>
      </c>
      <c r="D1117" s="21" t="s">
        <v>2600</v>
      </c>
      <c r="E1117" s="21" t="s">
        <v>716</v>
      </c>
      <c r="F1117" s="21" t="s">
        <v>761</v>
      </c>
    </row>
    <row r="1118" customFormat="false" ht="15" hidden="false" customHeight="false" outlineLevel="0" collapsed="false">
      <c r="B1118" s="19" t="s">
        <v>29595</v>
      </c>
      <c r="C1118" s="20" t="n">
        <f aca="false">ROUND(2.11/FX,2)</f>
        <v>0.29</v>
      </c>
      <c r="D1118" s="21" t="s">
        <v>11968</v>
      </c>
      <c r="E1118" s="21" t="s">
        <v>716</v>
      </c>
      <c r="F1118" s="21" t="s">
        <v>761</v>
      </c>
    </row>
    <row r="1119" customFormat="false" ht="15" hidden="false" customHeight="false" outlineLevel="0" collapsed="false">
      <c r="B1119" s="19" t="s">
        <v>29596</v>
      </c>
      <c r="C1119" s="20" t="n">
        <f aca="false">ROUND(1.3/FX,2)</f>
        <v>0.18</v>
      </c>
      <c r="D1119" s="21" t="s">
        <v>3247</v>
      </c>
      <c r="E1119" s="21" t="s">
        <v>716</v>
      </c>
      <c r="F1119" s="21" t="s">
        <v>761</v>
      </c>
    </row>
    <row r="1120" customFormat="false" ht="15" hidden="false" customHeight="false" outlineLevel="0" collapsed="false">
      <c r="B1120" s="19" t="s">
        <v>29597</v>
      </c>
      <c r="C1120" s="20" t="n">
        <f aca="false">ROUND(0.91/FX,2)</f>
        <v>0.13</v>
      </c>
      <c r="D1120" s="21" t="s">
        <v>3317</v>
      </c>
      <c r="E1120" s="21" t="s">
        <v>716</v>
      </c>
      <c r="F1120" s="21" t="s">
        <v>761</v>
      </c>
    </row>
    <row r="1121" customFormat="false" ht="15" hidden="false" customHeight="false" outlineLevel="0" collapsed="false">
      <c r="B1121" s="19" t="s">
        <v>29598</v>
      </c>
      <c r="C1121" s="20" t="n">
        <f aca="false">ROUND(0.81/FX,2)</f>
        <v>0.11</v>
      </c>
      <c r="D1121" s="21" t="s">
        <v>784</v>
      </c>
      <c r="E1121" s="21" t="s">
        <v>716</v>
      </c>
      <c r="F1121" s="21" t="s">
        <v>761</v>
      </c>
    </row>
    <row r="1122" customFormat="false" ht="15" hidden="false" customHeight="false" outlineLevel="0" collapsed="false">
      <c r="B1122" s="19" t="s">
        <v>29599</v>
      </c>
      <c r="C1122" s="20" t="n">
        <f aca="false">ROUND(7.9/FX,2)</f>
        <v>1.1</v>
      </c>
      <c r="D1122" s="21" t="s">
        <v>1520</v>
      </c>
      <c r="E1122" s="21" t="s">
        <v>716</v>
      </c>
      <c r="F1122" s="21" t="s">
        <v>761</v>
      </c>
    </row>
    <row r="1123" customFormat="false" ht="15" hidden="false" customHeight="false" outlineLevel="0" collapsed="false">
      <c r="B1123" s="19" t="s">
        <v>29600</v>
      </c>
      <c r="C1123" s="20" t="n">
        <f aca="false">ROUND(0.87/FX,2)</f>
        <v>0.12</v>
      </c>
      <c r="D1123" s="21" t="s">
        <v>3328</v>
      </c>
      <c r="E1123" s="21" t="s">
        <v>716</v>
      </c>
      <c r="F1123" s="21" t="s">
        <v>761</v>
      </c>
    </row>
    <row r="1124" customFormat="false" ht="15" hidden="false" customHeight="false" outlineLevel="0" collapsed="false">
      <c r="B1124" s="19" t="s">
        <v>29601</v>
      </c>
      <c r="C1124" s="20" t="n">
        <f aca="false">ROUND(0.94/FX,2)</f>
        <v>0.13</v>
      </c>
      <c r="D1124" s="21" t="s">
        <v>6246</v>
      </c>
      <c r="E1124" s="21" t="s">
        <v>716</v>
      </c>
      <c r="F1124" s="21" t="s">
        <v>761</v>
      </c>
    </row>
    <row r="1125" customFormat="false" ht="15" hidden="false" customHeight="false" outlineLevel="0" collapsed="false">
      <c r="B1125" s="19" t="s">
        <v>29602</v>
      </c>
      <c r="C1125" s="20" t="n">
        <f aca="false">ROUND(0.99/FX,2)</f>
        <v>0.14</v>
      </c>
      <c r="D1125" s="21" t="s">
        <v>7358</v>
      </c>
      <c r="E1125" s="21" t="s">
        <v>716</v>
      </c>
      <c r="F1125" s="21" t="s">
        <v>761</v>
      </c>
    </row>
    <row r="1126" customFormat="false" ht="15" hidden="false" customHeight="false" outlineLevel="0" collapsed="false">
      <c r="B1126" s="19" t="s">
        <v>29603</v>
      </c>
      <c r="C1126" s="20" t="n">
        <f aca="false">ROUND(1.05/FX,2)</f>
        <v>0.15</v>
      </c>
      <c r="D1126" s="21" t="s">
        <v>2911</v>
      </c>
      <c r="E1126" s="21" t="s">
        <v>716</v>
      </c>
      <c r="F1126" s="21" t="s">
        <v>761</v>
      </c>
    </row>
    <row r="1127" customFormat="false" ht="15" hidden="false" customHeight="false" outlineLevel="0" collapsed="false">
      <c r="B1127" s="19" t="s">
        <v>29604</v>
      </c>
      <c r="C1127" s="20" t="n">
        <f aca="false">ROUND(1.12/FX,2)</f>
        <v>0.16</v>
      </c>
      <c r="D1127" s="21" t="s">
        <v>7275</v>
      </c>
      <c r="E1127" s="21" t="s">
        <v>716</v>
      </c>
      <c r="F1127" s="21" t="s">
        <v>761</v>
      </c>
    </row>
    <row r="1128" customFormat="false" ht="15" hidden="false" customHeight="false" outlineLevel="0" collapsed="false">
      <c r="B1128" s="19" t="s">
        <v>29605</v>
      </c>
      <c r="C1128" s="20" t="n">
        <f aca="false">ROUND(1.24/FX,2)</f>
        <v>0.17</v>
      </c>
      <c r="D1128" s="21" t="s">
        <v>2961</v>
      </c>
      <c r="E1128" s="21" t="s">
        <v>716</v>
      </c>
      <c r="F1128" s="21" t="s">
        <v>761</v>
      </c>
    </row>
    <row r="1129" customFormat="false" ht="15" hidden="false" customHeight="false" outlineLevel="0" collapsed="false">
      <c r="B1129" s="19" t="s">
        <v>29606</v>
      </c>
      <c r="C1129" s="20" t="n">
        <f aca="false">ROUND(1.37/FX,2)</f>
        <v>0.19</v>
      </c>
      <c r="D1129" s="21" t="s">
        <v>13817</v>
      </c>
      <c r="E1129" s="21" t="s">
        <v>716</v>
      </c>
      <c r="F1129" s="21" t="s">
        <v>761</v>
      </c>
    </row>
    <row r="1130" customFormat="false" ht="15" hidden="false" customHeight="false" outlineLevel="0" collapsed="false">
      <c r="B1130" s="19" t="s">
        <v>29607</v>
      </c>
      <c r="C1130" s="20" t="n">
        <f aca="false">ROUND(1.43/FX,2)</f>
        <v>0.2</v>
      </c>
      <c r="D1130" s="21" t="s">
        <v>3011</v>
      </c>
      <c r="E1130" s="21" t="s">
        <v>716</v>
      </c>
      <c r="F1130" s="21" t="s">
        <v>761</v>
      </c>
    </row>
    <row r="1131" customFormat="false" ht="15" hidden="false" customHeight="false" outlineLevel="0" collapsed="false">
      <c r="B1131" s="19" t="s">
        <v>29608</v>
      </c>
      <c r="C1131" s="20" t="n">
        <f aca="false">ROUND(1.48/FX,2)</f>
        <v>0.21</v>
      </c>
      <c r="D1131" s="21" t="s">
        <v>7396</v>
      </c>
      <c r="E1131" s="21" t="s">
        <v>716</v>
      </c>
      <c r="F1131" s="21" t="s">
        <v>761</v>
      </c>
    </row>
    <row r="1132" customFormat="false" ht="15" hidden="false" customHeight="false" outlineLevel="0" collapsed="false">
      <c r="B1132" s="19" t="s">
        <v>29609</v>
      </c>
      <c r="C1132" s="20" t="n">
        <f aca="false">ROUND(1.55/FX,2)</f>
        <v>0.22</v>
      </c>
      <c r="D1132" s="21" t="s">
        <v>3061</v>
      </c>
      <c r="E1132" s="21" t="s">
        <v>716</v>
      </c>
      <c r="F1132" s="21" t="s">
        <v>761</v>
      </c>
    </row>
    <row r="1133" customFormat="false" ht="15" hidden="false" customHeight="false" outlineLevel="0" collapsed="false">
      <c r="B1133" s="19" t="s">
        <v>29610</v>
      </c>
      <c r="C1133" s="20" t="n">
        <f aca="false">ROUND(1.61/FX,2)</f>
        <v>0.22</v>
      </c>
      <c r="D1133" s="21" t="s">
        <v>3111</v>
      </c>
      <c r="E1133" s="21" t="s">
        <v>716</v>
      </c>
      <c r="F1133" s="21" t="s">
        <v>761</v>
      </c>
    </row>
    <row r="1134" customFormat="false" ht="15" hidden="false" customHeight="false" outlineLevel="0" collapsed="false">
      <c r="B1134" s="19" t="s">
        <v>29611</v>
      </c>
      <c r="C1134" s="20" t="n">
        <f aca="false">ROUND(1.98/FX,2)</f>
        <v>0.28</v>
      </c>
      <c r="D1134" s="21" t="s">
        <v>2600</v>
      </c>
      <c r="E1134" s="21" t="s">
        <v>845</v>
      </c>
      <c r="F1134" s="21" t="s">
        <v>4721</v>
      </c>
    </row>
    <row r="1135" customFormat="false" ht="15" hidden="false" customHeight="false" outlineLevel="0" collapsed="false">
      <c r="B1135" s="19" t="s">
        <v>29612</v>
      </c>
      <c r="C1135" s="20" t="n">
        <f aca="false">ROUND(2.35/FX,2)</f>
        <v>0.33</v>
      </c>
      <c r="D1135" s="21" t="s">
        <v>11968</v>
      </c>
      <c r="E1135" s="21" t="s">
        <v>845</v>
      </c>
      <c r="F1135" s="21" t="s">
        <v>4721</v>
      </c>
    </row>
    <row r="1136" customFormat="false" ht="15" hidden="false" customHeight="false" outlineLevel="0" collapsed="false">
      <c r="B1136" s="19" t="s">
        <v>29613</v>
      </c>
      <c r="C1136" s="20" t="n">
        <f aca="false">ROUND(2.72/FX,2)</f>
        <v>0.38</v>
      </c>
      <c r="D1136" s="21" t="s">
        <v>2851</v>
      </c>
      <c r="E1136" s="21" t="s">
        <v>845</v>
      </c>
      <c r="F1136" s="21" t="s">
        <v>4721</v>
      </c>
    </row>
    <row r="1137" customFormat="false" ht="15" hidden="false" customHeight="false" outlineLevel="0" collapsed="false">
      <c r="B1137" s="19" t="s">
        <v>29614</v>
      </c>
      <c r="C1137" s="20" t="n">
        <f aca="false">ROUND(0.87/FX,2)</f>
        <v>0.12</v>
      </c>
      <c r="D1137" s="21" t="s">
        <v>3247</v>
      </c>
      <c r="E1137" s="21" t="s">
        <v>845</v>
      </c>
      <c r="F1137" s="21" t="s">
        <v>4721</v>
      </c>
    </row>
    <row r="1138" customFormat="false" ht="15" hidden="false" customHeight="false" outlineLevel="0" collapsed="false">
      <c r="B1138" s="19" t="s">
        <v>29615</v>
      </c>
      <c r="C1138" s="20" t="n">
        <f aca="false">ROUND(0.87/FX,2)</f>
        <v>0.12</v>
      </c>
      <c r="D1138" s="21" t="s">
        <v>3317</v>
      </c>
      <c r="E1138" s="21" t="s">
        <v>845</v>
      </c>
      <c r="F1138" s="21" t="s">
        <v>4721</v>
      </c>
    </row>
    <row r="1139" customFormat="false" ht="15" hidden="false" customHeight="false" outlineLevel="0" collapsed="false">
      <c r="B1139" s="19" t="s">
        <v>29616</v>
      </c>
      <c r="C1139" s="20" t="n">
        <f aca="false">ROUND(0.87/FX,2)</f>
        <v>0.12</v>
      </c>
      <c r="D1139" s="21" t="s">
        <v>784</v>
      </c>
      <c r="E1139" s="21" t="s">
        <v>845</v>
      </c>
      <c r="F1139" s="21" t="s">
        <v>4721</v>
      </c>
    </row>
    <row r="1140" customFormat="false" ht="15" hidden="false" customHeight="false" outlineLevel="0" collapsed="false">
      <c r="B1140" s="19" t="s">
        <v>29617</v>
      </c>
      <c r="C1140" s="20" t="n">
        <f aca="false">ROUND(8.89/FX,2)</f>
        <v>1.23</v>
      </c>
      <c r="D1140" s="21" t="s">
        <v>1520</v>
      </c>
      <c r="E1140" s="21" t="s">
        <v>845</v>
      </c>
      <c r="F1140" s="21" t="s">
        <v>4721</v>
      </c>
    </row>
    <row r="1141" customFormat="false" ht="15" hidden="false" customHeight="false" outlineLevel="0" collapsed="false">
      <c r="B1141" s="19" t="s">
        <v>29618</v>
      </c>
      <c r="C1141" s="20" t="n">
        <f aca="false">ROUND(0.99/FX,2)</f>
        <v>0.14</v>
      </c>
      <c r="D1141" s="21" t="s">
        <v>3328</v>
      </c>
      <c r="E1141" s="21" t="s">
        <v>845</v>
      </c>
      <c r="F1141" s="21" t="s">
        <v>4721</v>
      </c>
    </row>
    <row r="1142" customFormat="false" ht="15" hidden="false" customHeight="false" outlineLevel="0" collapsed="false">
      <c r="B1142" s="19" t="s">
        <v>29619</v>
      </c>
      <c r="C1142" s="20" t="n">
        <f aca="false">ROUND(1.12/FX,2)</f>
        <v>0.16</v>
      </c>
      <c r="D1142" s="21" t="s">
        <v>6246</v>
      </c>
      <c r="E1142" s="21" t="s">
        <v>845</v>
      </c>
      <c r="F1142" s="21" t="s">
        <v>4721</v>
      </c>
    </row>
    <row r="1143" customFormat="false" ht="15" hidden="false" customHeight="false" outlineLevel="0" collapsed="false">
      <c r="B1143" s="19" t="s">
        <v>29620</v>
      </c>
      <c r="C1143" s="20" t="n">
        <f aca="false">ROUND(1.19/FX,2)</f>
        <v>0.17</v>
      </c>
      <c r="D1143" s="21" t="s">
        <v>7358</v>
      </c>
      <c r="E1143" s="21" t="s">
        <v>845</v>
      </c>
      <c r="F1143" s="21" t="s">
        <v>4721</v>
      </c>
    </row>
    <row r="1144" customFormat="false" ht="15" hidden="false" customHeight="false" outlineLevel="0" collapsed="false">
      <c r="B1144" s="19" t="s">
        <v>29621</v>
      </c>
      <c r="C1144" s="20" t="n">
        <f aca="false">ROUND(1.24/FX,2)</f>
        <v>0.17</v>
      </c>
      <c r="D1144" s="21" t="s">
        <v>2911</v>
      </c>
      <c r="E1144" s="21" t="s">
        <v>845</v>
      </c>
      <c r="F1144" s="21" t="s">
        <v>4721</v>
      </c>
    </row>
    <row r="1145" customFormat="false" ht="15" hidden="false" customHeight="false" outlineLevel="0" collapsed="false">
      <c r="B1145" s="19" t="s">
        <v>29622</v>
      </c>
      <c r="C1145" s="20" t="n">
        <f aca="false">ROUND(1.3/FX,2)</f>
        <v>0.18</v>
      </c>
      <c r="D1145" s="21" t="s">
        <v>7275</v>
      </c>
      <c r="E1145" s="21" t="s">
        <v>845</v>
      </c>
      <c r="F1145" s="21" t="s">
        <v>4721</v>
      </c>
    </row>
    <row r="1146" customFormat="false" ht="15" hidden="false" customHeight="false" outlineLevel="0" collapsed="false">
      <c r="B1146" s="19" t="s">
        <v>29623</v>
      </c>
      <c r="C1146" s="20" t="n">
        <f aca="false">ROUND(1.43/FX,2)</f>
        <v>0.2</v>
      </c>
      <c r="D1146" s="21" t="s">
        <v>2961</v>
      </c>
      <c r="E1146" s="21" t="s">
        <v>845</v>
      </c>
      <c r="F1146" s="21" t="s">
        <v>4721</v>
      </c>
    </row>
    <row r="1147" customFormat="false" ht="15" hidden="false" customHeight="false" outlineLevel="0" collapsed="false">
      <c r="B1147" s="19" t="s">
        <v>29624</v>
      </c>
      <c r="C1147" s="20" t="n">
        <f aca="false">ROUND(1.48/FX,2)</f>
        <v>0.21</v>
      </c>
      <c r="D1147" s="21" t="s">
        <v>13817</v>
      </c>
      <c r="E1147" s="21" t="s">
        <v>845</v>
      </c>
      <c r="F1147" s="21" t="s">
        <v>4721</v>
      </c>
    </row>
    <row r="1148" customFormat="false" ht="15" hidden="false" customHeight="false" outlineLevel="0" collapsed="false">
      <c r="B1148" s="19" t="s">
        <v>29625</v>
      </c>
      <c r="C1148" s="20" t="n">
        <f aca="false">ROUND(1.55/FX,2)</f>
        <v>0.22</v>
      </c>
      <c r="D1148" s="21" t="s">
        <v>3011</v>
      </c>
      <c r="E1148" s="21" t="s">
        <v>845</v>
      </c>
      <c r="F1148" s="21" t="s">
        <v>4721</v>
      </c>
    </row>
    <row r="1149" customFormat="false" ht="15" hidden="false" customHeight="false" outlineLevel="0" collapsed="false">
      <c r="B1149" s="19" t="s">
        <v>29626</v>
      </c>
      <c r="C1149" s="20" t="n">
        <f aca="false">ROUND(1.61/FX,2)</f>
        <v>0.22</v>
      </c>
      <c r="D1149" s="21" t="s">
        <v>7396</v>
      </c>
      <c r="E1149" s="21" t="s">
        <v>845</v>
      </c>
      <c r="F1149" s="21" t="s">
        <v>4721</v>
      </c>
    </row>
    <row r="1150" customFormat="false" ht="15" hidden="false" customHeight="false" outlineLevel="0" collapsed="false">
      <c r="B1150" s="19" t="s">
        <v>29627</v>
      </c>
      <c r="C1150" s="20" t="n">
        <f aca="false">ROUND(1.68/FX,2)</f>
        <v>0.23</v>
      </c>
      <c r="D1150" s="21" t="s">
        <v>3061</v>
      </c>
      <c r="E1150" s="21" t="s">
        <v>845</v>
      </c>
      <c r="F1150" s="21" t="s">
        <v>4721</v>
      </c>
    </row>
    <row r="1151" customFormat="false" ht="15" hidden="false" customHeight="false" outlineLevel="0" collapsed="false">
      <c r="B1151" s="19" t="s">
        <v>29628</v>
      </c>
      <c r="C1151" s="20" t="n">
        <f aca="false">ROUND(1.73/FX,2)</f>
        <v>0.24</v>
      </c>
      <c r="D1151" s="21" t="s">
        <v>11870</v>
      </c>
      <c r="E1151" s="21" t="s">
        <v>845</v>
      </c>
      <c r="F1151" s="21" t="s">
        <v>4721</v>
      </c>
    </row>
    <row r="1152" customFormat="false" ht="15" hidden="false" customHeight="false" outlineLevel="0" collapsed="false">
      <c r="B1152" s="19" t="s">
        <v>29629</v>
      </c>
      <c r="C1152" s="20" t="n">
        <f aca="false">ROUND(1.73/FX,2)</f>
        <v>0.24</v>
      </c>
      <c r="D1152" s="21" t="s">
        <v>3111</v>
      </c>
      <c r="E1152" s="21" t="s">
        <v>845</v>
      </c>
      <c r="F1152" s="21" t="s">
        <v>4721</v>
      </c>
    </row>
    <row r="1153" customFormat="false" ht="15" hidden="false" customHeight="false" outlineLevel="0" collapsed="false">
      <c r="B1153" s="19" t="s">
        <v>29630</v>
      </c>
      <c r="C1153" s="20" t="n">
        <f aca="false">ROUND(2.85/FX,2)</f>
        <v>0.4</v>
      </c>
      <c r="D1153" s="21" t="s">
        <v>2600</v>
      </c>
      <c r="E1153" s="21" t="s">
        <v>847</v>
      </c>
      <c r="F1153" s="21" t="s">
        <v>3833</v>
      </c>
    </row>
    <row r="1154" customFormat="false" ht="15" hidden="false" customHeight="false" outlineLevel="0" collapsed="false">
      <c r="B1154" s="19" t="s">
        <v>29631</v>
      </c>
      <c r="C1154" s="20" t="n">
        <f aca="false">ROUND(2.97/FX,2)</f>
        <v>0.41</v>
      </c>
      <c r="D1154" s="21" t="s">
        <v>2651</v>
      </c>
      <c r="E1154" s="21" t="s">
        <v>847</v>
      </c>
      <c r="F1154" s="21" t="s">
        <v>3833</v>
      </c>
    </row>
    <row r="1155" customFormat="false" ht="15" hidden="false" customHeight="false" outlineLevel="0" collapsed="false">
      <c r="B1155" s="19" t="s">
        <v>29632</v>
      </c>
      <c r="C1155" s="20" t="n">
        <f aca="false">ROUND(3.1/FX,2)</f>
        <v>0.43</v>
      </c>
      <c r="D1155" s="21" t="s">
        <v>2701</v>
      </c>
      <c r="E1155" s="21" t="s">
        <v>847</v>
      </c>
      <c r="F1155" s="21" t="s">
        <v>3833</v>
      </c>
    </row>
    <row r="1156" customFormat="false" ht="15" hidden="false" customHeight="false" outlineLevel="0" collapsed="false">
      <c r="B1156" s="19" t="s">
        <v>29633</v>
      </c>
      <c r="C1156" s="20" t="n">
        <f aca="false">ROUND(3.1/FX,2)</f>
        <v>0.43</v>
      </c>
      <c r="D1156" s="21" t="s">
        <v>11968</v>
      </c>
      <c r="E1156" s="21" t="s">
        <v>847</v>
      </c>
      <c r="F1156" s="21" t="s">
        <v>3833</v>
      </c>
    </row>
    <row r="1157" customFormat="false" ht="15" hidden="false" customHeight="false" outlineLevel="0" collapsed="false">
      <c r="B1157" s="19" t="s">
        <v>29634</v>
      </c>
      <c r="C1157" s="20" t="n">
        <f aca="false">ROUND(3.71/FX,2)</f>
        <v>0.52</v>
      </c>
      <c r="D1157" s="21" t="s">
        <v>2851</v>
      </c>
      <c r="E1157" s="21" t="s">
        <v>847</v>
      </c>
      <c r="F1157" s="21" t="s">
        <v>3833</v>
      </c>
    </row>
    <row r="1158" customFormat="false" ht="15" hidden="false" customHeight="false" outlineLevel="0" collapsed="false">
      <c r="B1158" s="19" t="s">
        <v>29635</v>
      </c>
      <c r="C1158" s="20" t="n">
        <f aca="false">ROUND(1/FX,2)</f>
        <v>0.14</v>
      </c>
      <c r="D1158" s="21" t="s">
        <v>3247</v>
      </c>
      <c r="E1158" s="21" t="s">
        <v>847</v>
      </c>
      <c r="F1158" s="21" t="s">
        <v>3833</v>
      </c>
    </row>
    <row r="1159" customFormat="false" ht="15" hidden="false" customHeight="false" outlineLevel="0" collapsed="false">
      <c r="B1159" s="19" t="s">
        <v>29636</v>
      </c>
      <c r="C1159" s="20" t="n">
        <f aca="false">ROUND(1.05/FX,2)</f>
        <v>0.15</v>
      </c>
      <c r="D1159" s="21" t="s">
        <v>3317</v>
      </c>
      <c r="E1159" s="21" t="s">
        <v>847</v>
      </c>
      <c r="F1159" s="21" t="s">
        <v>3833</v>
      </c>
    </row>
    <row r="1160" customFormat="false" ht="15" hidden="false" customHeight="false" outlineLevel="0" collapsed="false">
      <c r="B1160" s="19" t="s">
        <v>29637</v>
      </c>
      <c r="C1160" s="20" t="n">
        <f aca="false">ROUND(1.1/FX,2)</f>
        <v>0.15</v>
      </c>
      <c r="D1160" s="21" t="s">
        <v>784</v>
      </c>
      <c r="E1160" s="21" t="s">
        <v>847</v>
      </c>
      <c r="F1160" s="21" t="s">
        <v>3833</v>
      </c>
    </row>
    <row r="1161" customFormat="false" ht="15" hidden="false" customHeight="false" outlineLevel="0" collapsed="false">
      <c r="B1161" s="19" t="s">
        <v>29638</v>
      </c>
      <c r="C1161" s="20" t="n">
        <f aca="false">ROUND(10.28/FX,2)</f>
        <v>1.43</v>
      </c>
      <c r="D1161" s="21" t="s">
        <v>1520</v>
      </c>
      <c r="E1161" s="21" t="s">
        <v>847</v>
      </c>
      <c r="F1161" s="21" t="s">
        <v>3833</v>
      </c>
    </row>
    <row r="1162" customFormat="false" ht="15" hidden="false" customHeight="false" outlineLevel="0" collapsed="false">
      <c r="B1162" s="19" t="s">
        <v>29639</v>
      </c>
      <c r="C1162" s="20" t="n">
        <f aca="false">ROUND(1.3/FX,2)</f>
        <v>0.18</v>
      </c>
      <c r="D1162" s="21" t="s">
        <v>3328</v>
      </c>
      <c r="E1162" s="21" t="s">
        <v>847</v>
      </c>
      <c r="F1162" s="21" t="s">
        <v>3833</v>
      </c>
    </row>
    <row r="1163" customFormat="false" ht="15" hidden="false" customHeight="false" outlineLevel="0" collapsed="false">
      <c r="B1163" s="19" t="s">
        <v>29640</v>
      </c>
      <c r="C1163" s="20" t="n">
        <f aca="false">ROUND(1.43/FX,2)</f>
        <v>0.2</v>
      </c>
      <c r="D1163" s="21" t="s">
        <v>6246</v>
      </c>
      <c r="E1163" s="21" t="s">
        <v>847</v>
      </c>
      <c r="F1163" s="21" t="s">
        <v>3833</v>
      </c>
    </row>
    <row r="1164" customFormat="false" ht="15" hidden="false" customHeight="false" outlineLevel="0" collapsed="false">
      <c r="B1164" s="19" t="s">
        <v>29641</v>
      </c>
      <c r="C1164" s="20" t="n">
        <f aca="false">ROUND(1.55/FX,2)</f>
        <v>0.22</v>
      </c>
      <c r="D1164" s="21" t="s">
        <v>7358</v>
      </c>
      <c r="E1164" s="21" t="s">
        <v>847</v>
      </c>
      <c r="F1164" s="21" t="s">
        <v>3833</v>
      </c>
    </row>
    <row r="1165" customFormat="false" ht="15" hidden="false" customHeight="false" outlineLevel="0" collapsed="false">
      <c r="B1165" s="19" t="s">
        <v>29642</v>
      </c>
      <c r="C1165" s="20" t="n">
        <f aca="false">ROUND(1.73/FX,2)</f>
        <v>0.24</v>
      </c>
      <c r="D1165" s="21" t="s">
        <v>2911</v>
      </c>
      <c r="E1165" s="21" t="s">
        <v>847</v>
      </c>
      <c r="F1165" s="21" t="s">
        <v>3833</v>
      </c>
    </row>
    <row r="1166" customFormat="false" ht="15" hidden="false" customHeight="false" outlineLevel="0" collapsed="false">
      <c r="B1166" s="19" t="s">
        <v>29643</v>
      </c>
      <c r="C1166" s="20" t="n">
        <f aca="false">ROUND(1.86/FX,2)</f>
        <v>0.26</v>
      </c>
      <c r="D1166" s="21" t="s">
        <v>7275</v>
      </c>
      <c r="E1166" s="21" t="s">
        <v>847</v>
      </c>
      <c r="F1166" s="21" t="s">
        <v>3833</v>
      </c>
    </row>
    <row r="1167" customFormat="false" ht="15" hidden="false" customHeight="false" outlineLevel="0" collapsed="false">
      <c r="B1167" s="19" t="s">
        <v>29644</v>
      </c>
      <c r="C1167" s="20" t="n">
        <f aca="false">ROUND(1.69/FX,2)</f>
        <v>0.23</v>
      </c>
      <c r="D1167" s="21" t="s">
        <v>2961</v>
      </c>
      <c r="E1167" s="21" t="s">
        <v>847</v>
      </c>
      <c r="F1167" s="21" t="s">
        <v>3833</v>
      </c>
    </row>
    <row r="1168" customFormat="false" ht="15" hidden="false" customHeight="false" outlineLevel="0" collapsed="false">
      <c r="B1168" s="19" t="s">
        <v>29645</v>
      </c>
      <c r="C1168" s="20" t="n">
        <f aca="false">ROUND(2.11/FX,2)</f>
        <v>0.29</v>
      </c>
      <c r="D1168" s="21" t="s">
        <v>13817</v>
      </c>
      <c r="E1168" s="21" t="s">
        <v>847</v>
      </c>
      <c r="F1168" s="21" t="s">
        <v>3833</v>
      </c>
    </row>
    <row r="1169" customFormat="false" ht="15" hidden="false" customHeight="false" outlineLevel="0" collapsed="false">
      <c r="B1169" s="19" t="s">
        <v>29646</v>
      </c>
      <c r="C1169" s="20" t="n">
        <f aca="false">ROUND(2.29/FX,2)</f>
        <v>0.32</v>
      </c>
      <c r="D1169" s="21" t="s">
        <v>3011</v>
      </c>
      <c r="E1169" s="21" t="s">
        <v>847</v>
      </c>
      <c r="F1169" s="21" t="s">
        <v>3833</v>
      </c>
    </row>
    <row r="1170" customFormat="false" ht="15" hidden="false" customHeight="false" outlineLevel="0" collapsed="false">
      <c r="B1170" s="19" t="s">
        <v>29647</v>
      </c>
      <c r="C1170" s="20" t="n">
        <f aca="false">ROUND(2.42/FX,2)</f>
        <v>0.34</v>
      </c>
      <c r="D1170" s="21" t="s">
        <v>7396</v>
      </c>
      <c r="E1170" s="21" t="s">
        <v>847</v>
      </c>
      <c r="F1170" s="21" t="s">
        <v>3833</v>
      </c>
    </row>
    <row r="1171" customFormat="false" ht="15" hidden="false" customHeight="false" outlineLevel="0" collapsed="false">
      <c r="B1171" s="19" t="s">
        <v>29648</v>
      </c>
      <c r="C1171" s="20" t="n">
        <f aca="false">ROUND(2.6/FX,2)</f>
        <v>0.36</v>
      </c>
      <c r="D1171" s="21" t="s">
        <v>3061</v>
      </c>
      <c r="E1171" s="21" t="s">
        <v>847</v>
      </c>
      <c r="F1171" s="21" t="s">
        <v>3833</v>
      </c>
    </row>
    <row r="1172" customFormat="false" ht="15" hidden="false" customHeight="false" outlineLevel="0" collapsed="false">
      <c r="B1172" s="19" t="s">
        <v>29649</v>
      </c>
      <c r="C1172" s="20" t="n">
        <f aca="false">ROUND(2.72/FX,2)</f>
        <v>0.38</v>
      </c>
      <c r="D1172" s="21" t="s">
        <v>11870</v>
      </c>
      <c r="E1172" s="21" t="s">
        <v>847</v>
      </c>
      <c r="F1172" s="21" t="s">
        <v>3833</v>
      </c>
    </row>
    <row r="1173" customFormat="false" ht="15" hidden="false" customHeight="false" outlineLevel="0" collapsed="false">
      <c r="B1173" s="19" t="s">
        <v>29650</v>
      </c>
      <c r="C1173" s="20" t="n">
        <f aca="false">ROUND(2.72/FX,2)</f>
        <v>0.38</v>
      </c>
      <c r="D1173" s="21" t="s">
        <v>3111</v>
      </c>
      <c r="E1173" s="21" t="s">
        <v>847</v>
      </c>
      <c r="F1173" s="21" t="s">
        <v>3833</v>
      </c>
    </row>
    <row r="1174" customFormat="false" ht="15" hidden="false" customHeight="false" outlineLevel="0" collapsed="false">
      <c r="B1174" s="19" t="s">
        <v>29651</v>
      </c>
      <c r="C1174" s="20" t="n">
        <f aca="false">ROUND(3.21/FX,2)</f>
        <v>0.45</v>
      </c>
      <c r="D1174" s="21" t="s">
        <v>2600</v>
      </c>
      <c r="E1174" s="21" t="s">
        <v>719</v>
      </c>
      <c r="F1174" s="21" t="s">
        <v>4000</v>
      </c>
    </row>
    <row r="1175" customFormat="false" ht="15" hidden="false" customHeight="false" outlineLevel="0" collapsed="false">
      <c r="B1175" s="19" t="s">
        <v>29652</v>
      </c>
      <c r="C1175" s="20" t="n">
        <f aca="false">ROUND(3.84/FX,2)</f>
        <v>0.53</v>
      </c>
      <c r="D1175" s="21" t="s">
        <v>2651</v>
      </c>
      <c r="E1175" s="21" t="s">
        <v>719</v>
      </c>
      <c r="F1175" s="21" t="s">
        <v>4000</v>
      </c>
    </row>
    <row r="1176" customFormat="false" ht="15" hidden="false" customHeight="false" outlineLevel="0" collapsed="false">
      <c r="B1176" s="19" t="s">
        <v>29653</v>
      </c>
      <c r="C1176" s="20" t="n">
        <f aca="false">ROUND(3.84/FX,2)</f>
        <v>0.53</v>
      </c>
      <c r="D1176" s="21" t="s">
        <v>11968</v>
      </c>
      <c r="E1176" s="21" t="s">
        <v>719</v>
      </c>
      <c r="F1176" s="21" t="s">
        <v>4000</v>
      </c>
    </row>
    <row r="1177" customFormat="false" ht="15" hidden="false" customHeight="false" outlineLevel="0" collapsed="false">
      <c r="B1177" s="19" t="s">
        <v>29654</v>
      </c>
      <c r="C1177" s="20" t="n">
        <f aca="false">ROUND(4.94/FX,2)</f>
        <v>0.69</v>
      </c>
      <c r="D1177" s="21" t="s">
        <v>2851</v>
      </c>
      <c r="E1177" s="21" t="s">
        <v>719</v>
      </c>
      <c r="F1177" s="21" t="s">
        <v>4000</v>
      </c>
    </row>
    <row r="1178" customFormat="false" ht="15" hidden="false" customHeight="false" outlineLevel="0" collapsed="false">
      <c r="B1178" s="19" t="s">
        <v>29655</v>
      </c>
      <c r="C1178" s="20" t="n">
        <f aca="false">ROUND(1.38/FX,2)</f>
        <v>0.19</v>
      </c>
      <c r="D1178" s="21" t="s">
        <v>3247</v>
      </c>
      <c r="E1178" s="21" t="s">
        <v>719</v>
      </c>
      <c r="F1178" s="21" t="s">
        <v>4000</v>
      </c>
    </row>
    <row r="1179" customFormat="false" ht="15" hidden="false" customHeight="false" outlineLevel="0" collapsed="false">
      <c r="B1179" s="19" t="s">
        <v>29656</v>
      </c>
      <c r="C1179" s="20" t="n">
        <f aca="false">ROUND(1.43/FX,2)</f>
        <v>0.2</v>
      </c>
      <c r="D1179" s="21" t="s">
        <v>3317</v>
      </c>
      <c r="E1179" s="21" t="s">
        <v>719</v>
      </c>
      <c r="F1179" s="21" t="s">
        <v>4000</v>
      </c>
    </row>
    <row r="1180" customFormat="false" ht="15" hidden="false" customHeight="false" outlineLevel="0" collapsed="false">
      <c r="B1180" s="19" t="s">
        <v>29657</v>
      </c>
      <c r="C1180" s="20" t="n">
        <f aca="false">ROUND(1.55/FX,2)</f>
        <v>0.22</v>
      </c>
      <c r="D1180" s="21" t="s">
        <v>784</v>
      </c>
      <c r="E1180" s="21" t="s">
        <v>719</v>
      </c>
      <c r="F1180" s="21" t="s">
        <v>4000</v>
      </c>
    </row>
    <row r="1181" customFormat="false" ht="15" hidden="false" customHeight="false" outlineLevel="0" collapsed="false">
      <c r="B1181" s="19" t="s">
        <v>29658</v>
      </c>
      <c r="C1181" s="20" t="n">
        <f aca="false">ROUND(11.86/FX,2)</f>
        <v>1.65</v>
      </c>
      <c r="D1181" s="21" t="s">
        <v>1520</v>
      </c>
      <c r="E1181" s="21" t="s">
        <v>719</v>
      </c>
      <c r="F1181" s="21" t="s">
        <v>4000</v>
      </c>
    </row>
    <row r="1182" customFormat="false" ht="15" hidden="false" customHeight="false" outlineLevel="0" collapsed="false">
      <c r="B1182" s="19" t="s">
        <v>29659</v>
      </c>
      <c r="C1182" s="20" t="n">
        <f aca="false">ROUND(1.73/FX,2)</f>
        <v>0.24</v>
      </c>
      <c r="D1182" s="21" t="s">
        <v>3328</v>
      </c>
      <c r="E1182" s="21" t="s">
        <v>719</v>
      </c>
      <c r="F1182" s="21" t="s">
        <v>4000</v>
      </c>
    </row>
    <row r="1183" customFormat="false" ht="15" hidden="false" customHeight="false" outlineLevel="0" collapsed="false">
      <c r="B1183" s="19" t="s">
        <v>29660</v>
      </c>
      <c r="C1183" s="20" t="n">
        <f aca="false">ROUND(1.86/FX,2)</f>
        <v>0.26</v>
      </c>
      <c r="D1183" s="21" t="s">
        <v>6246</v>
      </c>
      <c r="E1183" s="21" t="s">
        <v>719</v>
      </c>
      <c r="F1183" s="21" t="s">
        <v>4000</v>
      </c>
    </row>
    <row r="1184" customFormat="false" ht="15" hidden="false" customHeight="false" outlineLevel="0" collapsed="false">
      <c r="B1184" s="19" t="s">
        <v>29661</v>
      </c>
      <c r="C1184" s="20" t="n">
        <f aca="false">ROUND(1.98/FX,2)</f>
        <v>0.28</v>
      </c>
      <c r="D1184" s="21" t="s">
        <v>7358</v>
      </c>
      <c r="E1184" s="21" t="s">
        <v>719</v>
      </c>
      <c r="F1184" s="21" t="s">
        <v>4000</v>
      </c>
    </row>
    <row r="1185" customFormat="false" ht="15" hidden="false" customHeight="false" outlineLevel="0" collapsed="false">
      <c r="B1185" s="19" t="s">
        <v>29662</v>
      </c>
      <c r="C1185" s="20" t="n">
        <f aca="false">ROUND(2.11/FX,2)</f>
        <v>0.29</v>
      </c>
      <c r="D1185" s="21" t="s">
        <v>2911</v>
      </c>
      <c r="E1185" s="21" t="s">
        <v>719</v>
      </c>
      <c r="F1185" s="21" t="s">
        <v>4000</v>
      </c>
    </row>
    <row r="1186" customFormat="false" ht="15" hidden="false" customHeight="false" outlineLevel="0" collapsed="false">
      <c r="B1186" s="19" t="s">
        <v>29663</v>
      </c>
      <c r="C1186" s="20" t="n">
        <f aca="false">ROUND(2.22/FX,2)</f>
        <v>0.31</v>
      </c>
      <c r="D1186" s="21" t="s">
        <v>7275</v>
      </c>
      <c r="E1186" s="21" t="s">
        <v>719</v>
      </c>
      <c r="F1186" s="21" t="s">
        <v>4000</v>
      </c>
    </row>
    <row r="1187" customFormat="false" ht="15" hidden="false" customHeight="false" outlineLevel="0" collapsed="false">
      <c r="B1187" s="19" t="s">
        <v>29664</v>
      </c>
      <c r="C1187" s="20" t="n">
        <f aca="false">ROUND(2.35/FX,2)</f>
        <v>0.33</v>
      </c>
      <c r="D1187" s="21" t="s">
        <v>2961</v>
      </c>
      <c r="E1187" s="21" t="s">
        <v>719</v>
      </c>
      <c r="F1187" s="21" t="s">
        <v>4000</v>
      </c>
    </row>
    <row r="1188" customFormat="false" ht="15" hidden="false" customHeight="false" outlineLevel="0" collapsed="false">
      <c r="B1188" s="19" t="s">
        <v>29665</v>
      </c>
      <c r="C1188" s="20" t="n">
        <f aca="false">ROUND(2.35/FX,2)</f>
        <v>0.33</v>
      </c>
      <c r="D1188" s="21" t="s">
        <v>13817</v>
      </c>
      <c r="E1188" s="21" t="s">
        <v>719</v>
      </c>
      <c r="F1188" s="21" t="s">
        <v>4000</v>
      </c>
    </row>
    <row r="1189" customFormat="false" ht="15" hidden="false" customHeight="false" outlineLevel="0" collapsed="false">
      <c r="B1189" s="19" t="s">
        <v>29666</v>
      </c>
      <c r="C1189" s="20" t="n">
        <f aca="false">ROUND(2.72/FX,2)</f>
        <v>0.38</v>
      </c>
      <c r="D1189" s="21" t="s">
        <v>3011</v>
      </c>
      <c r="E1189" s="21" t="s">
        <v>719</v>
      </c>
      <c r="F1189" s="21" t="s">
        <v>4000</v>
      </c>
    </row>
    <row r="1190" customFormat="false" ht="15" hidden="false" customHeight="false" outlineLevel="0" collapsed="false">
      <c r="B1190" s="19" t="s">
        <v>29667</v>
      </c>
      <c r="C1190" s="20" t="n">
        <f aca="false">ROUND(2.85/FX,2)</f>
        <v>0.4</v>
      </c>
      <c r="D1190" s="21" t="s">
        <v>7396</v>
      </c>
      <c r="E1190" s="21" t="s">
        <v>719</v>
      </c>
      <c r="F1190" s="21" t="s">
        <v>4000</v>
      </c>
    </row>
    <row r="1191" customFormat="false" ht="15" hidden="false" customHeight="false" outlineLevel="0" collapsed="false">
      <c r="B1191" s="19" t="s">
        <v>29668</v>
      </c>
      <c r="C1191" s="20" t="n">
        <f aca="false">ROUND(2.97/FX,2)</f>
        <v>0.41</v>
      </c>
      <c r="D1191" s="21" t="s">
        <v>3061</v>
      </c>
      <c r="E1191" s="21" t="s">
        <v>719</v>
      </c>
      <c r="F1191" s="21" t="s">
        <v>4000</v>
      </c>
    </row>
    <row r="1192" customFormat="false" ht="15" hidden="false" customHeight="false" outlineLevel="0" collapsed="false">
      <c r="B1192" s="19" t="s">
        <v>29669</v>
      </c>
      <c r="C1192" s="20" t="n">
        <f aca="false">ROUND(3.1/FX,2)</f>
        <v>0.43</v>
      </c>
      <c r="D1192" s="21" t="s">
        <v>11870</v>
      </c>
      <c r="E1192" s="21" t="s">
        <v>719</v>
      </c>
      <c r="F1192" s="21" t="s">
        <v>4000</v>
      </c>
    </row>
    <row r="1193" customFormat="false" ht="15" hidden="false" customHeight="false" outlineLevel="0" collapsed="false">
      <c r="B1193" s="19" t="s">
        <v>29670</v>
      </c>
      <c r="C1193" s="20" t="n">
        <f aca="false">ROUND(3.1/FX,2)</f>
        <v>0.43</v>
      </c>
      <c r="D1193" s="21" t="s">
        <v>3111</v>
      </c>
      <c r="E1193" s="21" t="s">
        <v>719</v>
      </c>
      <c r="F1193" s="21" t="s">
        <v>4000</v>
      </c>
    </row>
    <row r="1194" customFormat="false" ht="15" hidden="false" customHeight="false" outlineLevel="0" collapsed="false">
      <c r="B1194" s="19" t="s">
        <v>29671</v>
      </c>
      <c r="C1194" s="20" t="n">
        <f aca="false">ROUND(3.46/FX,2)</f>
        <v>0.48</v>
      </c>
      <c r="D1194" s="21" t="s">
        <v>2600</v>
      </c>
      <c r="E1194" s="21" t="s">
        <v>707</v>
      </c>
      <c r="F1194" s="21" t="s">
        <v>3247</v>
      </c>
    </row>
    <row r="1195" customFormat="false" ht="15" hidden="false" customHeight="false" outlineLevel="0" collapsed="false">
      <c r="B1195" s="19" t="s">
        <v>29672</v>
      </c>
      <c r="C1195" s="20" t="n">
        <f aca="false">ROUND(3.71/FX,2)</f>
        <v>0.52</v>
      </c>
      <c r="D1195" s="21" t="s">
        <v>2651</v>
      </c>
      <c r="E1195" s="21" t="s">
        <v>707</v>
      </c>
      <c r="F1195" s="21" t="s">
        <v>3247</v>
      </c>
    </row>
    <row r="1196" customFormat="false" ht="15" hidden="false" customHeight="false" outlineLevel="0" collapsed="false">
      <c r="B1196" s="19" t="s">
        <v>29673</v>
      </c>
      <c r="C1196" s="20" t="n">
        <f aca="false">ROUND(3.71/FX,2)</f>
        <v>0.52</v>
      </c>
      <c r="D1196" s="21" t="s">
        <v>2701</v>
      </c>
      <c r="E1196" s="21" t="s">
        <v>707</v>
      </c>
      <c r="F1196" s="21" t="s">
        <v>3247</v>
      </c>
    </row>
    <row r="1197" customFormat="false" ht="15" hidden="false" customHeight="false" outlineLevel="0" collapsed="false">
      <c r="B1197" s="19" t="s">
        <v>29674</v>
      </c>
      <c r="C1197" s="20" t="n">
        <f aca="false">ROUND(3.71/FX,2)</f>
        <v>0.52</v>
      </c>
      <c r="D1197" s="21" t="s">
        <v>11968</v>
      </c>
      <c r="E1197" s="21" t="s">
        <v>707</v>
      </c>
      <c r="F1197" s="21" t="s">
        <v>3247</v>
      </c>
    </row>
    <row r="1198" customFormat="false" ht="15" hidden="false" customHeight="false" outlineLevel="0" collapsed="false">
      <c r="B1198" s="19" t="s">
        <v>29675</v>
      </c>
      <c r="C1198" s="20" t="n">
        <f aca="false">ROUND(3.95/FX,2)</f>
        <v>0.55</v>
      </c>
      <c r="D1198" s="21" t="s">
        <v>2851</v>
      </c>
      <c r="E1198" s="21" t="s">
        <v>707</v>
      </c>
      <c r="F1198" s="21" t="s">
        <v>3247</v>
      </c>
    </row>
    <row r="1199" customFormat="false" ht="15" hidden="false" customHeight="false" outlineLevel="0" collapsed="false">
      <c r="B1199" s="19" t="s">
        <v>29676</v>
      </c>
      <c r="C1199" s="20" t="n">
        <f aca="false">ROUND(5.32/FX,2)</f>
        <v>0.74</v>
      </c>
      <c r="D1199" s="21" t="s">
        <v>6497</v>
      </c>
      <c r="E1199" s="21" t="s">
        <v>707</v>
      </c>
      <c r="F1199" s="21" t="s">
        <v>3247</v>
      </c>
    </row>
    <row r="1200" customFormat="false" ht="15" hidden="false" customHeight="false" outlineLevel="0" collapsed="false">
      <c r="B1200" s="19" t="s">
        <v>29677</v>
      </c>
      <c r="C1200" s="20" t="n">
        <f aca="false">ROUND(1.68/FX,2)</f>
        <v>0.23</v>
      </c>
      <c r="D1200" s="21" t="s">
        <v>3247</v>
      </c>
      <c r="E1200" s="21" t="s">
        <v>707</v>
      </c>
      <c r="F1200" s="21" t="s">
        <v>3247</v>
      </c>
    </row>
    <row r="1201" customFormat="false" ht="15" hidden="false" customHeight="false" outlineLevel="0" collapsed="false">
      <c r="B1201" s="19" t="s">
        <v>29678</v>
      </c>
      <c r="C1201" s="20" t="n">
        <f aca="false">ROUND(9.63/FX,2)</f>
        <v>1.34</v>
      </c>
      <c r="D1201" s="21" t="s">
        <v>1048</v>
      </c>
      <c r="E1201" s="21" t="s">
        <v>707</v>
      </c>
      <c r="F1201" s="21" t="s">
        <v>3247</v>
      </c>
    </row>
    <row r="1202" customFormat="false" ht="15" hidden="false" customHeight="false" outlineLevel="0" collapsed="false">
      <c r="B1202" s="19" t="s">
        <v>29679</v>
      </c>
      <c r="C1202" s="20" t="n">
        <f aca="false">ROUND(1.73/FX,2)</f>
        <v>0.24</v>
      </c>
      <c r="D1202" s="21" t="s">
        <v>3317</v>
      </c>
      <c r="E1202" s="21" t="s">
        <v>707</v>
      </c>
      <c r="F1202" s="21" t="s">
        <v>3247</v>
      </c>
    </row>
    <row r="1203" customFormat="false" ht="15" hidden="false" customHeight="false" outlineLevel="0" collapsed="false">
      <c r="B1203" s="19" t="s">
        <v>29680</v>
      </c>
      <c r="C1203" s="20" t="n">
        <f aca="false">ROUND(1.86/FX,2)</f>
        <v>0.26</v>
      </c>
      <c r="D1203" s="21" t="s">
        <v>784</v>
      </c>
      <c r="E1203" s="21" t="s">
        <v>707</v>
      </c>
      <c r="F1203" s="21" t="s">
        <v>3247</v>
      </c>
    </row>
    <row r="1204" customFormat="false" ht="15" hidden="false" customHeight="false" outlineLevel="0" collapsed="false">
      <c r="B1204" s="19" t="s">
        <v>29681</v>
      </c>
      <c r="C1204" s="20" t="n">
        <f aca="false">ROUND(13.44/FX,2)</f>
        <v>1.87</v>
      </c>
      <c r="D1204" s="21" t="s">
        <v>1520</v>
      </c>
      <c r="E1204" s="21" t="s">
        <v>707</v>
      </c>
      <c r="F1204" s="21" t="s">
        <v>3247</v>
      </c>
    </row>
    <row r="1205" customFormat="false" ht="15" hidden="false" customHeight="false" outlineLevel="0" collapsed="false">
      <c r="B1205" s="19" t="s">
        <v>29682</v>
      </c>
      <c r="C1205" s="20" t="n">
        <f aca="false">ROUND(1.98/FX,2)</f>
        <v>0.28</v>
      </c>
      <c r="D1205" s="21" t="s">
        <v>3328</v>
      </c>
      <c r="E1205" s="21" t="s">
        <v>707</v>
      </c>
      <c r="F1205" s="21" t="s">
        <v>3247</v>
      </c>
    </row>
    <row r="1206" customFormat="false" ht="15" hidden="false" customHeight="false" outlineLevel="0" collapsed="false">
      <c r="B1206" s="19" t="s">
        <v>29683</v>
      </c>
      <c r="C1206" s="20" t="n">
        <f aca="false">ROUND(2.17/FX,2)</f>
        <v>0.3</v>
      </c>
      <c r="D1206" s="21" t="s">
        <v>6246</v>
      </c>
      <c r="E1206" s="21" t="s">
        <v>707</v>
      </c>
      <c r="F1206" s="21" t="s">
        <v>3247</v>
      </c>
    </row>
    <row r="1207" customFormat="false" ht="15" hidden="false" customHeight="false" outlineLevel="0" collapsed="false">
      <c r="B1207" s="19" t="s">
        <v>29684</v>
      </c>
      <c r="C1207" s="20" t="n">
        <f aca="false">ROUND(2.29/FX,2)</f>
        <v>0.32</v>
      </c>
      <c r="D1207" s="21" t="s">
        <v>7358</v>
      </c>
      <c r="E1207" s="21" t="s">
        <v>707</v>
      </c>
      <c r="F1207" s="21" t="s">
        <v>3247</v>
      </c>
    </row>
    <row r="1208" customFormat="false" ht="15" hidden="false" customHeight="false" outlineLevel="0" collapsed="false">
      <c r="B1208" s="19" t="s">
        <v>29685</v>
      </c>
      <c r="C1208" s="20" t="n">
        <f aca="false">ROUND(2.47/FX,2)</f>
        <v>0.34</v>
      </c>
      <c r="D1208" s="21" t="s">
        <v>2911</v>
      </c>
      <c r="E1208" s="21" t="s">
        <v>707</v>
      </c>
      <c r="F1208" s="21" t="s">
        <v>3247</v>
      </c>
    </row>
    <row r="1209" customFormat="false" ht="15" hidden="false" customHeight="false" outlineLevel="0" collapsed="false">
      <c r="B1209" s="19" t="s">
        <v>29686</v>
      </c>
      <c r="C1209" s="20" t="n">
        <f aca="false">ROUND(2.6/FX,2)</f>
        <v>0.36</v>
      </c>
      <c r="D1209" s="21" t="s">
        <v>7275</v>
      </c>
      <c r="E1209" s="21" t="s">
        <v>707</v>
      </c>
      <c r="F1209" s="21" t="s">
        <v>3247</v>
      </c>
    </row>
    <row r="1210" customFormat="false" ht="15" hidden="false" customHeight="false" outlineLevel="0" collapsed="false">
      <c r="B1210" s="19" t="s">
        <v>29687</v>
      </c>
      <c r="C1210" s="20" t="n">
        <f aca="false">ROUND(2.72/FX,2)</f>
        <v>0.38</v>
      </c>
      <c r="D1210" s="21" t="s">
        <v>2961</v>
      </c>
      <c r="E1210" s="21" t="s">
        <v>707</v>
      </c>
      <c r="F1210" s="21" t="s">
        <v>3247</v>
      </c>
    </row>
    <row r="1211" customFormat="false" ht="15" hidden="false" customHeight="false" outlineLevel="0" collapsed="false">
      <c r="B1211" s="19" t="s">
        <v>29688</v>
      </c>
      <c r="C1211" s="20" t="n">
        <f aca="false">ROUND(2.85/FX,2)</f>
        <v>0.4</v>
      </c>
      <c r="D1211" s="21" t="s">
        <v>13817</v>
      </c>
      <c r="E1211" s="21" t="s">
        <v>707</v>
      </c>
      <c r="F1211" s="21" t="s">
        <v>3247</v>
      </c>
    </row>
    <row r="1212" customFormat="false" ht="15" hidden="false" customHeight="false" outlineLevel="0" collapsed="false">
      <c r="B1212" s="19" t="s">
        <v>29689</v>
      </c>
      <c r="C1212" s="20" t="n">
        <f aca="false">ROUND(2.97/FX,2)</f>
        <v>0.41</v>
      </c>
      <c r="D1212" s="21" t="s">
        <v>3011</v>
      </c>
      <c r="E1212" s="21" t="s">
        <v>707</v>
      </c>
      <c r="F1212" s="21" t="s">
        <v>3247</v>
      </c>
    </row>
    <row r="1213" customFormat="false" ht="15" hidden="false" customHeight="false" outlineLevel="0" collapsed="false">
      <c r="B1213" s="19" t="s">
        <v>29690</v>
      </c>
      <c r="C1213" s="20" t="n">
        <f aca="false">ROUND(3.1/FX,2)</f>
        <v>0.43</v>
      </c>
      <c r="D1213" s="21" t="s">
        <v>7396</v>
      </c>
      <c r="E1213" s="21" t="s">
        <v>707</v>
      </c>
      <c r="F1213" s="21" t="s">
        <v>3247</v>
      </c>
    </row>
    <row r="1214" customFormat="false" ht="15" hidden="false" customHeight="false" outlineLevel="0" collapsed="false">
      <c r="B1214" s="19" t="s">
        <v>29691</v>
      </c>
      <c r="C1214" s="20" t="n">
        <f aca="false">ROUND(3.21/FX,2)</f>
        <v>0.45</v>
      </c>
      <c r="D1214" s="21" t="s">
        <v>3061</v>
      </c>
      <c r="E1214" s="21" t="s">
        <v>707</v>
      </c>
      <c r="F1214" s="21" t="s">
        <v>3247</v>
      </c>
    </row>
    <row r="1215" customFormat="false" ht="15" hidden="false" customHeight="false" outlineLevel="0" collapsed="false">
      <c r="B1215" s="19" t="s">
        <v>29692</v>
      </c>
      <c r="C1215" s="20" t="n">
        <f aca="false">ROUND(3.28/FX,2)</f>
        <v>0.46</v>
      </c>
      <c r="D1215" s="21" t="s">
        <v>11870</v>
      </c>
      <c r="E1215" s="21" t="s">
        <v>707</v>
      </c>
      <c r="F1215" s="21" t="s">
        <v>3247</v>
      </c>
    </row>
    <row r="1216" customFormat="false" ht="15" hidden="false" customHeight="false" outlineLevel="0" collapsed="false">
      <c r="B1216" s="19" t="s">
        <v>29693</v>
      </c>
      <c r="C1216" s="20" t="n">
        <f aca="false">ROUND(3.34/FX,2)</f>
        <v>0.46</v>
      </c>
      <c r="D1216" s="21" t="s">
        <v>3111</v>
      </c>
      <c r="E1216" s="21" t="s">
        <v>707</v>
      </c>
      <c r="F1216" s="21" t="s">
        <v>3247</v>
      </c>
    </row>
    <row r="1217" customFormat="false" ht="15" hidden="false" customHeight="false" outlineLevel="0" collapsed="false">
      <c r="B1217" s="19" t="s">
        <v>29694</v>
      </c>
      <c r="C1217" s="20" t="n">
        <f aca="false">ROUND(3.46/FX,2)</f>
        <v>0.48</v>
      </c>
      <c r="D1217" s="21" t="s">
        <v>12306</v>
      </c>
      <c r="E1217" s="21" t="s">
        <v>707</v>
      </c>
      <c r="F1217" s="21" t="s">
        <v>3247</v>
      </c>
    </row>
    <row r="1218" customFormat="false" ht="15" hidden="false" customHeight="false" outlineLevel="0" collapsed="false">
      <c r="B1218" s="19" t="s">
        <v>29695</v>
      </c>
      <c r="C1218" s="20" t="n">
        <f aca="false">ROUND(4.7/FX,2)</f>
        <v>0.65</v>
      </c>
      <c r="D1218" s="21" t="s">
        <v>2600</v>
      </c>
      <c r="E1218" s="21" t="s">
        <v>5091</v>
      </c>
      <c r="F1218" s="21" t="s">
        <v>5097</v>
      </c>
    </row>
    <row r="1219" customFormat="false" ht="15" hidden="false" customHeight="false" outlineLevel="0" collapsed="false">
      <c r="B1219" s="19" t="s">
        <v>29696</v>
      </c>
      <c r="C1219" s="20" t="n">
        <f aca="false">ROUND(4.94/FX,2)</f>
        <v>0.69</v>
      </c>
      <c r="D1219" s="21" t="s">
        <v>2651</v>
      </c>
      <c r="E1219" s="21" t="s">
        <v>5091</v>
      </c>
      <c r="F1219" s="21" t="s">
        <v>5097</v>
      </c>
    </row>
    <row r="1220" customFormat="false" ht="15" hidden="false" customHeight="false" outlineLevel="0" collapsed="false">
      <c r="B1220" s="19" t="s">
        <v>29697</v>
      </c>
      <c r="C1220" s="20" t="n">
        <f aca="false">ROUND(4.94/FX,2)</f>
        <v>0.69</v>
      </c>
      <c r="D1220" s="21" t="s">
        <v>2701</v>
      </c>
      <c r="E1220" s="21" t="s">
        <v>5091</v>
      </c>
      <c r="F1220" s="21" t="s">
        <v>5097</v>
      </c>
    </row>
    <row r="1221" customFormat="false" ht="15" hidden="false" customHeight="false" outlineLevel="0" collapsed="false">
      <c r="B1221" s="19" t="s">
        <v>29698</v>
      </c>
      <c r="C1221" s="20" t="n">
        <f aca="false">ROUND(4.94/FX,2)</f>
        <v>0.69</v>
      </c>
      <c r="D1221" s="21" t="s">
        <v>11968</v>
      </c>
      <c r="E1221" s="21" t="s">
        <v>5091</v>
      </c>
      <c r="F1221" s="21" t="s">
        <v>5097</v>
      </c>
    </row>
    <row r="1222" customFormat="false" ht="15" hidden="false" customHeight="false" outlineLevel="0" collapsed="false">
      <c r="B1222" s="19" t="s">
        <v>29699</v>
      </c>
      <c r="C1222" s="20" t="n">
        <f aca="false">ROUND(5.44/FX,2)</f>
        <v>0.76</v>
      </c>
      <c r="D1222" s="21" t="s">
        <v>2751</v>
      </c>
      <c r="E1222" s="21" t="s">
        <v>5091</v>
      </c>
      <c r="F1222" s="21" t="s">
        <v>5097</v>
      </c>
    </row>
    <row r="1223" customFormat="false" ht="15" hidden="false" customHeight="false" outlineLevel="0" collapsed="false">
      <c r="B1223" s="19" t="s">
        <v>29700</v>
      </c>
      <c r="C1223" s="20" t="n">
        <f aca="false">ROUND(5.44/FX,2)</f>
        <v>0.76</v>
      </c>
      <c r="D1223" s="21" t="s">
        <v>2851</v>
      </c>
      <c r="E1223" s="21" t="s">
        <v>5091</v>
      </c>
      <c r="F1223" s="21" t="s">
        <v>5097</v>
      </c>
    </row>
    <row r="1224" customFormat="false" ht="15" hidden="false" customHeight="false" outlineLevel="0" collapsed="false">
      <c r="B1224" s="19" t="s">
        <v>29701</v>
      </c>
      <c r="C1224" s="20" t="n">
        <f aca="false">ROUND(5.81/FX,2)</f>
        <v>0.81</v>
      </c>
      <c r="D1224" s="21" t="s">
        <v>6497</v>
      </c>
      <c r="E1224" s="21" t="s">
        <v>5091</v>
      </c>
      <c r="F1224" s="21" t="s">
        <v>5097</v>
      </c>
    </row>
    <row r="1225" customFormat="false" ht="15" hidden="false" customHeight="false" outlineLevel="0" collapsed="false">
      <c r="B1225" s="19" t="s">
        <v>29702</v>
      </c>
      <c r="C1225" s="20" t="n">
        <f aca="false">ROUND(2.36/FX,2)</f>
        <v>0.33</v>
      </c>
      <c r="D1225" s="21" t="s">
        <v>3317</v>
      </c>
      <c r="E1225" s="21" t="s">
        <v>5091</v>
      </c>
      <c r="F1225" s="21" t="s">
        <v>5097</v>
      </c>
    </row>
    <row r="1226" customFormat="false" ht="15" hidden="false" customHeight="false" outlineLevel="0" collapsed="false">
      <c r="B1226" s="19" t="s">
        <v>29703</v>
      </c>
      <c r="C1226" s="20" t="n">
        <f aca="false">ROUND(2.47/FX,2)</f>
        <v>0.34</v>
      </c>
      <c r="D1226" s="21" t="s">
        <v>784</v>
      </c>
      <c r="E1226" s="21" t="s">
        <v>5091</v>
      </c>
      <c r="F1226" s="21" t="s">
        <v>5097</v>
      </c>
    </row>
    <row r="1227" customFormat="false" ht="15" hidden="false" customHeight="false" outlineLevel="0" collapsed="false">
      <c r="B1227" s="19" t="s">
        <v>29704</v>
      </c>
      <c r="C1227" s="20" t="n">
        <f aca="false">ROUND(14.24/FX,2)</f>
        <v>1.98</v>
      </c>
      <c r="D1227" s="21" t="s">
        <v>1520</v>
      </c>
      <c r="E1227" s="21" t="s">
        <v>5091</v>
      </c>
      <c r="F1227" s="21" t="s">
        <v>5097</v>
      </c>
    </row>
    <row r="1228" customFormat="false" ht="15" hidden="false" customHeight="false" outlineLevel="0" collapsed="false">
      <c r="B1228" s="19" t="s">
        <v>29705</v>
      </c>
      <c r="C1228" s="20" t="n">
        <f aca="false">ROUND(2.6/FX,2)</f>
        <v>0.36</v>
      </c>
      <c r="D1228" s="21" t="s">
        <v>3328</v>
      </c>
      <c r="E1228" s="21" t="s">
        <v>5091</v>
      </c>
      <c r="F1228" s="21" t="s">
        <v>5097</v>
      </c>
    </row>
    <row r="1229" customFormat="false" ht="15" hidden="false" customHeight="false" outlineLevel="0" collapsed="false">
      <c r="B1229" s="19" t="s">
        <v>29706</v>
      </c>
      <c r="C1229" s="20" t="n">
        <f aca="false">ROUND(2.72/FX,2)</f>
        <v>0.38</v>
      </c>
      <c r="D1229" s="21" t="s">
        <v>6246</v>
      </c>
      <c r="E1229" s="21" t="s">
        <v>5091</v>
      </c>
      <c r="F1229" s="21" t="s">
        <v>5097</v>
      </c>
    </row>
    <row r="1230" customFormat="false" ht="15" hidden="false" customHeight="false" outlineLevel="0" collapsed="false">
      <c r="B1230" s="19" t="s">
        <v>29707</v>
      </c>
      <c r="C1230" s="20" t="n">
        <f aca="false">ROUND(2.91/FX,2)</f>
        <v>0.4</v>
      </c>
      <c r="D1230" s="21" t="s">
        <v>7358</v>
      </c>
      <c r="E1230" s="21" t="s">
        <v>5091</v>
      </c>
      <c r="F1230" s="21" t="s">
        <v>5097</v>
      </c>
    </row>
    <row r="1231" customFormat="false" ht="15" hidden="false" customHeight="false" outlineLevel="0" collapsed="false">
      <c r="B1231" s="19" t="s">
        <v>29708</v>
      </c>
      <c r="C1231" s="20" t="n">
        <f aca="false">ROUND(3.03/FX,2)</f>
        <v>0.42</v>
      </c>
      <c r="D1231" s="21" t="s">
        <v>2911</v>
      </c>
      <c r="E1231" s="21" t="s">
        <v>5091</v>
      </c>
      <c r="F1231" s="21" t="s">
        <v>5097</v>
      </c>
    </row>
    <row r="1232" customFormat="false" ht="15" hidden="false" customHeight="false" outlineLevel="0" collapsed="false">
      <c r="B1232" s="19" t="s">
        <v>29709</v>
      </c>
      <c r="C1232" s="20" t="n">
        <f aca="false">ROUND(3.16/FX,2)</f>
        <v>0.44</v>
      </c>
      <c r="D1232" s="21" t="s">
        <v>7275</v>
      </c>
      <c r="E1232" s="21" t="s">
        <v>5091</v>
      </c>
      <c r="F1232" s="21" t="s">
        <v>5097</v>
      </c>
    </row>
    <row r="1233" customFormat="false" ht="15" hidden="false" customHeight="false" outlineLevel="0" collapsed="false">
      <c r="B1233" s="19" t="s">
        <v>29710</v>
      </c>
      <c r="C1233" s="20" t="n">
        <f aca="false">ROUND(3.34/FX,2)</f>
        <v>0.46</v>
      </c>
      <c r="D1233" s="21" t="s">
        <v>2961</v>
      </c>
      <c r="E1233" s="21" t="s">
        <v>5091</v>
      </c>
      <c r="F1233" s="21" t="s">
        <v>5097</v>
      </c>
    </row>
    <row r="1234" customFormat="false" ht="15" hidden="false" customHeight="false" outlineLevel="0" collapsed="false">
      <c r="B1234" s="19" t="s">
        <v>29711</v>
      </c>
      <c r="C1234" s="20" t="n">
        <f aca="false">ROUND(3.46/FX,2)</f>
        <v>0.48</v>
      </c>
      <c r="D1234" s="21" t="s">
        <v>13817</v>
      </c>
      <c r="E1234" s="21" t="s">
        <v>5091</v>
      </c>
      <c r="F1234" s="21" t="s">
        <v>5097</v>
      </c>
    </row>
    <row r="1235" customFormat="false" ht="15" hidden="false" customHeight="false" outlineLevel="0" collapsed="false">
      <c r="B1235" s="19" t="s">
        <v>29712</v>
      </c>
      <c r="C1235" s="20" t="n">
        <f aca="false">ROUND(3.71/FX,2)</f>
        <v>0.52</v>
      </c>
      <c r="D1235" s="21" t="s">
        <v>3011</v>
      </c>
      <c r="E1235" s="21" t="s">
        <v>5091</v>
      </c>
      <c r="F1235" s="21" t="s">
        <v>5097</v>
      </c>
    </row>
    <row r="1236" customFormat="false" ht="15" hidden="false" customHeight="false" outlineLevel="0" collapsed="false">
      <c r="B1236" s="19" t="s">
        <v>29713</v>
      </c>
      <c r="C1236" s="20" t="n">
        <f aca="false">ROUND(3.84/FX,2)</f>
        <v>0.53</v>
      </c>
      <c r="D1236" s="21" t="s">
        <v>7396</v>
      </c>
      <c r="E1236" s="21" t="s">
        <v>5091</v>
      </c>
      <c r="F1236" s="21" t="s">
        <v>5097</v>
      </c>
    </row>
    <row r="1237" customFormat="false" ht="15" hidden="false" customHeight="false" outlineLevel="0" collapsed="false">
      <c r="B1237" s="19" t="s">
        <v>29714</v>
      </c>
      <c r="C1237" s="20" t="n">
        <f aca="false">ROUND(4.08/FX,2)</f>
        <v>0.57</v>
      </c>
      <c r="D1237" s="21" t="s">
        <v>3061</v>
      </c>
      <c r="E1237" s="21" t="s">
        <v>5091</v>
      </c>
      <c r="F1237" s="21" t="s">
        <v>5097</v>
      </c>
    </row>
    <row r="1238" customFormat="false" ht="15" hidden="false" customHeight="false" outlineLevel="0" collapsed="false">
      <c r="B1238" s="19" t="s">
        <v>29715</v>
      </c>
      <c r="C1238" s="20" t="n">
        <f aca="false">ROUND(4.33/FX,2)</f>
        <v>0.6</v>
      </c>
      <c r="D1238" s="21" t="s">
        <v>11870</v>
      </c>
      <c r="E1238" s="21" t="s">
        <v>5091</v>
      </c>
      <c r="F1238" s="21" t="s">
        <v>5097</v>
      </c>
    </row>
    <row r="1239" customFormat="false" ht="15" hidden="false" customHeight="false" outlineLevel="0" collapsed="false">
      <c r="B1239" s="19" t="s">
        <v>29716</v>
      </c>
      <c r="C1239" s="20" t="n">
        <f aca="false">ROUND(4.33/FX,2)</f>
        <v>0.6</v>
      </c>
      <c r="D1239" s="21" t="s">
        <v>3111</v>
      </c>
      <c r="E1239" s="21" t="s">
        <v>5091</v>
      </c>
      <c r="F1239" s="21" t="s">
        <v>5097</v>
      </c>
    </row>
    <row r="1240" customFormat="false" ht="15" hidden="false" customHeight="false" outlineLevel="0" collapsed="false">
      <c r="B1240" s="19" t="s">
        <v>29717</v>
      </c>
      <c r="C1240" s="20" t="n">
        <f aca="false">ROUND(5.41/FX,2)</f>
        <v>0.75</v>
      </c>
      <c r="D1240" s="21" t="s">
        <v>12306</v>
      </c>
      <c r="E1240" s="21" t="s">
        <v>5091</v>
      </c>
      <c r="F1240" s="21" t="s">
        <v>5097</v>
      </c>
    </row>
    <row r="1241" customFormat="false" ht="15" hidden="false" customHeight="false" outlineLevel="0" collapsed="false">
      <c r="B1241" s="19" t="s">
        <v>29718</v>
      </c>
      <c r="C1241" s="20" t="n">
        <f aca="false">ROUND(4.58/FX,2)</f>
        <v>0.64</v>
      </c>
      <c r="D1241" s="21" t="s">
        <v>2600</v>
      </c>
      <c r="E1241" s="21" t="s">
        <v>20224</v>
      </c>
      <c r="F1241" s="21" t="s">
        <v>3317</v>
      </c>
    </row>
    <row r="1242" customFormat="false" ht="15" hidden="false" customHeight="false" outlineLevel="0" collapsed="false">
      <c r="B1242" s="19" t="s">
        <v>29719</v>
      </c>
      <c r="C1242" s="20" t="n">
        <f aca="false">ROUND(4.7/FX,2)</f>
        <v>0.65</v>
      </c>
      <c r="D1242" s="21" t="s">
        <v>2651</v>
      </c>
      <c r="E1242" s="21" t="s">
        <v>20224</v>
      </c>
      <c r="F1242" s="21" t="s">
        <v>3317</v>
      </c>
    </row>
    <row r="1243" customFormat="false" ht="15" hidden="false" customHeight="false" outlineLevel="0" collapsed="false">
      <c r="B1243" s="19" t="s">
        <v>29720</v>
      </c>
      <c r="C1243" s="20" t="n">
        <f aca="false">ROUND(5.19/FX,2)</f>
        <v>0.72</v>
      </c>
      <c r="D1243" s="21" t="s">
        <v>11968</v>
      </c>
      <c r="E1243" s="21" t="s">
        <v>20224</v>
      </c>
      <c r="F1243" s="21" t="s">
        <v>3317</v>
      </c>
    </row>
    <row r="1244" customFormat="false" ht="15" hidden="false" customHeight="false" outlineLevel="0" collapsed="false">
      <c r="B1244" s="19" t="s">
        <v>29721</v>
      </c>
      <c r="C1244" s="20" t="n">
        <f aca="false">ROUND(5.57/FX,2)</f>
        <v>0.77</v>
      </c>
      <c r="D1244" s="21" t="s">
        <v>2851</v>
      </c>
      <c r="E1244" s="21" t="s">
        <v>20224</v>
      </c>
      <c r="F1244" s="21" t="s">
        <v>3317</v>
      </c>
    </row>
    <row r="1245" customFormat="false" ht="15" hidden="false" customHeight="false" outlineLevel="0" collapsed="false">
      <c r="B1245" s="19" t="s">
        <v>29722</v>
      </c>
      <c r="C1245" s="20" t="n">
        <f aca="false">ROUND(5.93/FX,2)</f>
        <v>0.82</v>
      </c>
      <c r="D1245" s="21" t="s">
        <v>6497</v>
      </c>
      <c r="E1245" s="21" t="s">
        <v>20224</v>
      </c>
      <c r="F1245" s="21" t="s">
        <v>3317</v>
      </c>
    </row>
    <row r="1246" customFormat="false" ht="15" hidden="false" customHeight="false" outlineLevel="0" collapsed="false">
      <c r="B1246" s="19" t="s">
        <v>29723</v>
      </c>
      <c r="C1246" s="20" t="n">
        <f aca="false">ROUND(6.42/FX,2)</f>
        <v>0.89</v>
      </c>
      <c r="D1246" s="21" t="s">
        <v>1048</v>
      </c>
      <c r="E1246" s="21" t="s">
        <v>20224</v>
      </c>
      <c r="F1246" s="21" t="s">
        <v>3317</v>
      </c>
    </row>
    <row r="1247" customFormat="false" ht="15" hidden="false" customHeight="false" outlineLevel="0" collapsed="false">
      <c r="B1247" s="19" t="s">
        <v>29724</v>
      </c>
      <c r="C1247" s="20" t="n">
        <f aca="false">ROUND(2.85/FX,2)</f>
        <v>0.4</v>
      </c>
      <c r="D1247" s="21" t="s">
        <v>3317</v>
      </c>
      <c r="E1247" s="21" t="s">
        <v>20224</v>
      </c>
      <c r="F1247" s="21" t="s">
        <v>3317</v>
      </c>
    </row>
    <row r="1248" customFormat="false" ht="15" hidden="false" customHeight="false" outlineLevel="0" collapsed="false">
      <c r="B1248" s="19" t="s">
        <v>29725</v>
      </c>
      <c r="C1248" s="20" t="n">
        <f aca="false">ROUND(2.97/FX,2)</f>
        <v>0.41</v>
      </c>
      <c r="D1248" s="21" t="s">
        <v>784</v>
      </c>
      <c r="E1248" s="21" t="s">
        <v>20224</v>
      </c>
      <c r="F1248" s="21" t="s">
        <v>3317</v>
      </c>
    </row>
    <row r="1249" customFormat="false" ht="15" hidden="false" customHeight="false" outlineLevel="0" collapsed="false">
      <c r="B1249" s="19" t="s">
        <v>29726</v>
      </c>
      <c r="C1249" s="20" t="n">
        <f aca="false">ROUND(15.81/FX,2)</f>
        <v>2.2</v>
      </c>
      <c r="D1249" s="21" t="s">
        <v>1520</v>
      </c>
      <c r="E1249" s="21" t="s">
        <v>20224</v>
      </c>
      <c r="F1249" s="21" t="s">
        <v>3317</v>
      </c>
    </row>
    <row r="1250" customFormat="false" ht="15" hidden="false" customHeight="false" outlineLevel="0" collapsed="false">
      <c r="B1250" s="19" t="s">
        <v>29727</v>
      </c>
      <c r="C1250" s="20" t="n">
        <f aca="false">ROUND(3.1/FX,2)</f>
        <v>0.43</v>
      </c>
      <c r="D1250" s="21" t="s">
        <v>3328</v>
      </c>
      <c r="E1250" s="21" t="s">
        <v>20224</v>
      </c>
      <c r="F1250" s="21" t="s">
        <v>3317</v>
      </c>
    </row>
    <row r="1251" customFormat="false" ht="15" hidden="false" customHeight="false" outlineLevel="0" collapsed="false">
      <c r="B1251" s="19" t="s">
        <v>29728</v>
      </c>
      <c r="C1251" s="20" t="n">
        <f aca="false">ROUND(3.21/FX,2)</f>
        <v>0.45</v>
      </c>
      <c r="D1251" s="21" t="s">
        <v>6246</v>
      </c>
      <c r="E1251" s="21" t="s">
        <v>20224</v>
      </c>
      <c r="F1251" s="21" t="s">
        <v>3317</v>
      </c>
    </row>
    <row r="1252" customFormat="false" ht="15" hidden="false" customHeight="false" outlineLevel="0" collapsed="false">
      <c r="B1252" s="19" t="s">
        <v>29729</v>
      </c>
      <c r="C1252" s="20" t="n">
        <f aca="false">ROUND(3.34/FX,2)</f>
        <v>0.46</v>
      </c>
      <c r="D1252" s="21" t="s">
        <v>7358</v>
      </c>
      <c r="E1252" s="21" t="s">
        <v>20224</v>
      </c>
      <c r="F1252" s="21" t="s">
        <v>3317</v>
      </c>
    </row>
    <row r="1253" customFormat="false" ht="15" hidden="false" customHeight="false" outlineLevel="0" collapsed="false">
      <c r="B1253" s="19" t="s">
        <v>29730</v>
      </c>
      <c r="C1253" s="20" t="n">
        <f aca="false">ROUND(3.46/FX,2)</f>
        <v>0.48</v>
      </c>
      <c r="D1253" s="21" t="s">
        <v>2911</v>
      </c>
      <c r="E1253" s="21" t="s">
        <v>20224</v>
      </c>
      <c r="F1253" s="21" t="s">
        <v>3317</v>
      </c>
    </row>
    <row r="1254" customFormat="false" ht="15" hidden="false" customHeight="false" outlineLevel="0" collapsed="false">
      <c r="B1254" s="19" t="s">
        <v>29731</v>
      </c>
      <c r="C1254" s="20" t="n">
        <f aca="false">ROUND(3.59/FX,2)</f>
        <v>0.5</v>
      </c>
      <c r="D1254" s="21" t="s">
        <v>7275</v>
      </c>
      <c r="E1254" s="21" t="s">
        <v>20224</v>
      </c>
      <c r="F1254" s="21" t="s">
        <v>3317</v>
      </c>
    </row>
    <row r="1255" customFormat="false" ht="15" hidden="false" customHeight="false" outlineLevel="0" collapsed="false">
      <c r="B1255" s="19" t="s">
        <v>29732</v>
      </c>
      <c r="C1255" s="20" t="n">
        <f aca="false">ROUND(3.71/FX,2)</f>
        <v>0.52</v>
      </c>
      <c r="D1255" s="21" t="s">
        <v>2961</v>
      </c>
      <c r="E1255" s="21" t="s">
        <v>20224</v>
      </c>
      <c r="F1255" s="21" t="s">
        <v>3317</v>
      </c>
    </row>
    <row r="1256" customFormat="false" ht="15" hidden="false" customHeight="false" outlineLevel="0" collapsed="false">
      <c r="B1256" s="19" t="s">
        <v>29733</v>
      </c>
      <c r="C1256" s="20" t="n">
        <f aca="false">ROUND(3.84/FX,2)</f>
        <v>0.53</v>
      </c>
      <c r="D1256" s="21" t="s">
        <v>13817</v>
      </c>
      <c r="E1256" s="21" t="s">
        <v>20224</v>
      </c>
      <c r="F1256" s="21" t="s">
        <v>3317</v>
      </c>
    </row>
    <row r="1257" customFormat="false" ht="15" hidden="false" customHeight="false" outlineLevel="0" collapsed="false">
      <c r="B1257" s="19" t="s">
        <v>29734</v>
      </c>
      <c r="C1257" s="20" t="n">
        <f aca="false">ROUND(3.95/FX,2)</f>
        <v>0.55</v>
      </c>
      <c r="D1257" s="21" t="s">
        <v>3011</v>
      </c>
      <c r="E1257" s="21" t="s">
        <v>20224</v>
      </c>
      <c r="F1257" s="21" t="s">
        <v>3317</v>
      </c>
    </row>
    <row r="1258" customFormat="false" ht="15" hidden="false" customHeight="false" outlineLevel="0" collapsed="false">
      <c r="B1258" s="19" t="s">
        <v>29735</v>
      </c>
      <c r="C1258" s="20" t="n">
        <f aca="false">ROUND(4.08/FX,2)</f>
        <v>0.57</v>
      </c>
      <c r="D1258" s="21" t="s">
        <v>7396</v>
      </c>
      <c r="E1258" s="21" t="s">
        <v>20224</v>
      </c>
      <c r="F1258" s="21" t="s">
        <v>3317</v>
      </c>
    </row>
    <row r="1259" customFormat="false" ht="15" hidden="false" customHeight="false" outlineLevel="0" collapsed="false">
      <c r="B1259" s="19" t="s">
        <v>29736</v>
      </c>
      <c r="C1259" s="20" t="n">
        <f aca="false">ROUND(4.2/FX,2)</f>
        <v>0.58</v>
      </c>
      <c r="D1259" s="21" t="s">
        <v>3061</v>
      </c>
      <c r="E1259" s="21" t="s">
        <v>20224</v>
      </c>
      <c r="F1259" s="21" t="s">
        <v>3317</v>
      </c>
    </row>
    <row r="1260" customFormat="false" ht="15" hidden="false" customHeight="false" outlineLevel="0" collapsed="false">
      <c r="B1260" s="19" t="s">
        <v>29737</v>
      </c>
      <c r="C1260" s="20" t="n">
        <f aca="false">ROUND(4.33/FX,2)</f>
        <v>0.6</v>
      </c>
      <c r="D1260" s="21" t="s">
        <v>11870</v>
      </c>
      <c r="E1260" s="21" t="s">
        <v>20224</v>
      </c>
      <c r="F1260" s="21" t="s">
        <v>3317</v>
      </c>
    </row>
    <row r="1261" customFormat="false" ht="15" hidden="false" customHeight="false" outlineLevel="0" collapsed="false">
      <c r="B1261" s="19" t="s">
        <v>29738</v>
      </c>
      <c r="C1261" s="20" t="n">
        <f aca="false">ROUND(4.33/FX,2)</f>
        <v>0.6</v>
      </c>
      <c r="D1261" s="21" t="s">
        <v>3111</v>
      </c>
      <c r="E1261" s="21" t="s">
        <v>20224</v>
      </c>
      <c r="F1261" s="21" t="s">
        <v>3317</v>
      </c>
    </row>
    <row r="1262" customFormat="false" ht="15" hidden="false" customHeight="false" outlineLevel="0" collapsed="false">
      <c r="B1262" s="19" t="s">
        <v>29739</v>
      </c>
      <c r="C1262" s="20" t="n">
        <f aca="false">ROUND(4.58/FX,2)</f>
        <v>0.64</v>
      </c>
      <c r="D1262" s="21" t="s">
        <v>12306</v>
      </c>
      <c r="E1262" s="21" t="s">
        <v>20224</v>
      </c>
      <c r="F1262" s="21" t="s">
        <v>3317</v>
      </c>
    </row>
    <row r="1263" customFormat="false" ht="15" hidden="false" customHeight="false" outlineLevel="0" collapsed="false">
      <c r="B1263" s="19" t="s">
        <v>29740</v>
      </c>
      <c r="C1263" s="20" t="n">
        <f aca="false">ROUND(5.34/FX,2)</f>
        <v>0.74</v>
      </c>
      <c r="D1263" s="21" t="s">
        <v>2600</v>
      </c>
      <c r="E1263" s="21" t="s">
        <v>29741</v>
      </c>
      <c r="F1263" s="21" t="s">
        <v>13774</v>
      </c>
    </row>
    <row r="1264" customFormat="false" ht="15" hidden="false" customHeight="false" outlineLevel="0" collapsed="false">
      <c r="B1264" s="19" t="s">
        <v>29742</v>
      </c>
      <c r="C1264" s="20" t="n">
        <f aca="false">ROUND(12.1/FX,2)</f>
        <v>1.68</v>
      </c>
      <c r="D1264" s="21" t="s">
        <v>2651</v>
      </c>
      <c r="E1264" s="21" t="s">
        <v>29741</v>
      </c>
      <c r="F1264" s="21" t="s">
        <v>13774</v>
      </c>
    </row>
    <row r="1265" customFormat="false" ht="15" hidden="false" customHeight="false" outlineLevel="0" collapsed="false">
      <c r="B1265" s="19" t="s">
        <v>29743</v>
      </c>
      <c r="C1265" s="20" t="n">
        <f aca="false">ROUND(5.96/FX,2)</f>
        <v>0.83</v>
      </c>
      <c r="D1265" s="21" t="s">
        <v>11968</v>
      </c>
      <c r="E1265" s="21" t="s">
        <v>29741</v>
      </c>
      <c r="F1265" s="21" t="s">
        <v>13774</v>
      </c>
    </row>
    <row r="1266" customFormat="false" ht="15" hidden="false" customHeight="false" outlineLevel="0" collapsed="false">
      <c r="B1266" s="19" t="s">
        <v>29744</v>
      </c>
      <c r="C1266" s="20" t="n">
        <f aca="false">ROUND(6.45/FX,2)</f>
        <v>0.9</v>
      </c>
      <c r="D1266" s="21" t="s">
        <v>2851</v>
      </c>
      <c r="E1266" s="21" t="s">
        <v>29741</v>
      </c>
      <c r="F1266" s="21" t="s">
        <v>13774</v>
      </c>
    </row>
    <row r="1267" customFormat="false" ht="15" hidden="false" customHeight="false" outlineLevel="0" collapsed="false">
      <c r="B1267" s="19" t="s">
        <v>29745</v>
      </c>
      <c r="C1267" s="20" t="n">
        <f aca="false">ROUND(6.96/FX,2)</f>
        <v>0.97</v>
      </c>
      <c r="D1267" s="21" t="s">
        <v>6497</v>
      </c>
      <c r="E1267" s="21" t="s">
        <v>29741</v>
      </c>
      <c r="F1267" s="21" t="s">
        <v>13774</v>
      </c>
    </row>
    <row r="1268" customFormat="false" ht="15" hidden="false" customHeight="false" outlineLevel="0" collapsed="false">
      <c r="B1268" s="19" t="s">
        <v>29746</v>
      </c>
      <c r="C1268" s="20" t="n">
        <f aca="false">ROUND(8.57/FX,2)</f>
        <v>1.19</v>
      </c>
      <c r="D1268" s="21" t="s">
        <v>1048</v>
      </c>
      <c r="E1268" s="21" t="s">
        <v>29741</v>
      </c>
      <c r="F1268" s="21" t="s">
        <v>13774</v>
      </c>
    </row>
    <row r="1269" customFormat="false" ht="15" hidden="false" customHeight="false" outlineLevel="0" collapsed="false">
      <c r="B1269" s="19" t="s">
        <v>29747</v>
      </c>
      <c r="C1269" s="20" t="n">
        <f aca="false">ROUND(3.22/FX,2)</f>
        <v>0.45</v>
      </c>
      <c r="D1269" s="21" t="s">
        <v>3317</v>
      </c>
      <c r="E1269" s="21" t="s">
        <v>29741</v>
      </c>
      <c r="F1269" s="21" t="s">
        <v>13774</v>
      </c>
    </row>
    <row r="1270" customFormat="false" ht="15" hidden="false" customHeight="false" outlineLevel="0" collapsed="false">
      <c r="B1270" s="19" t="s">
        <v>29748</v>
      </c>
      <c r="C1270" s="20" t="n">
        <f aca="false">ROUND(3.22/FX,2)</f>
        <v>0.45</v>
      </c>
      <c r="D1270" s="21" t="s">
        <v>784</v>
      </c>
      <c r="E1270" s="21" t="s">
        <v>29741</v>
      </c>
      <c r="F1270" s="21" t="s">
        <v>13774</v>
      </c>
    </row>
    <row r="1271" customFormat="false" ht="15" hidden="false" customHeight="false" outlineLevel="0" collapsed="false">
      <c r="B1271" s="19" t="s">
        <v>29749</v>
      </c>
      <c r="C1271" s="20" t="n">
        <f aca="false">ROUND(19.76/FX,2)</f>
        <v>2.74</v>
      </c>
      <c r="D1271" s="21" t="s">
        <v>1520</v>
      </c>
      <c r="E1271" s="21" t="s">
        <v>29741</v>
      </c>
      <c r="F1271" s="21" t="s">
        <v>13774</v>
      </c>
    </row>
    <row r="1272" customFormat="false" ht="15" hidden="false" customHeight="false" outlineLevel="0" collapsed="false">
      <c r="B1272" s="19" t="s">
        <v>29750</v>
      </c>
      <c r="C1272" s="20" t="n">
        <f aca="false">ROUND(3.47/FX,2)</f>
        <v>0.48</v>
      </c>
      <c r="D1272" s="21" t="s">
        <v>3328</v>
      </c>
      <c r="E1272" s="21" t="s">
        <v>29741</v>
      </c>
      <c r="F1272" s="21" t="s">
        <v>13774</v>
      </c>
    </row>
    <row r="1273" customFormat="false" ht="15" hidden="false" customHeight="false" outlineLevel="0" collapsed="false">
      <c r="B1273" s="19" t="s">
        <v>29751</v>
      </c>
      <c r="C1273" s="20" t="n">
        <f aca="false">ROUND(3.6/FX,2)</f>
        <v>0.5</v>
      </c>
      <c r="D1273" s="21" t="s">
        <v>6246</v>
      </c>
      <c r="E1273" s="21" t="s">
        <v>29741</v>
      </c>
      <c r="F1273" s="21" t="s">
        <v>13774</v>
      </c>
    </row>
    <row r="1274" customFormat="false" ht="15" hidden="false" customHeight="false" outlineLevel="0" collapsed="false">
      <c r="B1274" s="19" t="s">
        <v>29752</v>
      </c>
      <c r="C1274" s="20" t="n">
        <f aca="false">ROUND(3.72/FX,2)</f>
        <v>0.52</v>
      </c>
      <c r="D1274" s="21" t="s">
        <v>7358</v>
      </c>
      <c r="E1274" s="21" t="s">
        <v>29741</v>
      </c>
      <c r="F1274" s="21" t="s">
        <v>13774</v>
      </c>
    </row>
    <row r="1275" customFormat="false" ht="15" hidden="false" customHeight="false" outlineLevel="0" collapsed="false">
      <c r="B1275" s="19" t="s">
        <v>29753</v>
      </c>
      <c r="C1275" s="20" t="n">
        <f aca="false">ROUND(3.85/FX,2)</f>
        <v>0.53</v>
      </c>
      <c r="D1275" s="21" t="s">
        <v>2911</v>
      </c>
      <c r="E1275" s="21" t="s">
        <v>29741</v>
      </c>
      <c r="F1275" s="21" t="s">
        <v>13774</v>
      </c>
    </row>
    <row r="1276" customFormat="false" ht="15" hidden="false" customHeight="false" outlineLevel="0" collapsed="false">
      <c r="B1276" s="19" t="s">
        <v>29754</v>
      </c>
      <c r="C1276" s="20" t="n">
        <f aca="false">ROUND(4.11/FX,2)</f>
        <v>0.57</v>
      </c>
      <c r="D1276" s="21" t="s">
        <v>7275</v>
      </c>
      <c r="E1276" s="21" t="s">
        <v>29741</v>
      </c>
      <c r="F1276" s="21" t="s">
        <v>13774</v>
      </c>
    </row>
    <row r="1277" customFormat="false" ht="15" hidden="false" customHeight="false" outlineLevel="0" collapsed="false">
      <c r="B1277" s="19" t="s">
        <v>29755</v>
      </c>
      <c r="C1277" s="20" t="n">
        <f aca="false">ROUND(4.23/FX,2)</f>
        <v>0.59</v>
      </c>
      <c r="D1277" s="21" t="s">
        <v>2961</v>
      </c>
      <c r="E1277" s="21" t="s">
        <v>29741</v>
      </c>
      <c r="F1277" s="21" t="s">
        <v>13774</v>
      </c>
    </row>
    <row r="1278" customFormat="false" ht="15" hidden="false" customHeight="false" outlineLevel="0" collapsed="false">
      <c r="B1278" s="19" t="s">
        <v>29756</v>
      </c>
      <c r="C1278" s="20" t="n">
        <f aca="false">ROUND(4.47/FX,2)</f>
        <v>0.62</v>
      </c>
      <c r="D1278" s="21" t="s">
        <v>13817</v>
      </c>
      <c r="E1278" s="21" t="s">
        <v>29741</v>
      </c>
      <c r="F1278" s="21" t="s">
        <v>13774</v>
      </c>
    </row>
    <row r="1279" customFormat="false" ht="15" hidden="false" customHeight="false" outlineLevel="0" collapsed="false">
      <c r="B1279" s="19" t="s">
        <v>29757</v>
      </c>
      <c r="C1279" s="20" t="n">
        <f aca="false">ROUND(4.72/FX,2)</f>
        <v>0.66</v>
      </c>
      <c r="D1279" s="21" t="s">
        <v>3011</v>
      </c>
      <c r="E1279" s="21" t="s">
        <v>29741</v>
      </c>
      <c r="F1279" s="21" t="s">
        <v>13774</v>
      </c>
    </row>
    <row r="1280" customFormat="false" ht="15" hidden="false" customHeight="false" outlineLevel="0" collapsed="false">
      <c r="B1280" s="19" t="s">
        <v>29758</v>
      </c>
      <c r="C1280" s="20" t="n">
        <f aca="false">ROUND(4.85/FX,2)</f>
        <v>0.67</v>
      </c>
      <c r="D1280" s="21" t="s">
        <v>7396</v>
      </c>
      <c r="E1280" s="21" t="s">
        <v>29741</v>
      </c>
      <c r="F1280" s="21" t="s">
        <v>13774</v>
      </c>
    </row>
    <row r="1281" customFormat="false" ht="15" hidden="false" customHeight="false" outlineLevel="0" collapsed="false">
      <c r="B1281" s="19" t="s">
        <v>29759</v>
      </c>
      <c r="C1281" s="20" t="n">
        <f aca="false">ROUND(4.97/FX,2)</f>
        <v>0.69</v>
      </c>
      <c r="D1281" s="21" t="s">
        <v>3061</v>
      </c>
      <c r="E1281" s="21" t="s">
        <v>29741</v>
      </c>
      <c r="F1281" s="21" t="s">
        <v>13774</v>
      </c>
    </row>
    <row r="1282" customFormat="false" ht="15" hidden="false" customHeight="false" outlineLevel="0" collapsed="false">
      <c r="B1282" s="19" t="s">
        <v>29760</v>
      </c>
      <c r="C1282" s="20" t="n">
        <f aca="false">ROUND(5.1/FX,2)</f>
        <v>0.71</v>
      </c>
      <c r="D1282" s="21" t="s">
        <v>11870</v>
      </c>
      <c r="E1282" s="21" t="s">
        <v>29741</v>
      </c>
      <c r="F1282" s="21" t="s">
        <v>13774</v>
      </c>
    </row>
    <row r="1283" customFormat="false" ht="15" hidden="false" customHeight="false" outlineLevel="0" collapsed="false">
      <c r="B1283" s="19" t="s">
        <v>29761</v>
      </c>
      <c r="C1283" s="20" t="n">
        <f aca="false">ROUND(5.21/FX,2)</f>
        <v>0.72</v>
      </c>
      <c r="D1283" s="21" t="s">
        <v>3111</v>
      </c>
      <c r="E1283" s="21" t="s">
        <v>29741</v>
      </c>
      <c r="F1283" s="21" t="s">
        <v>13774</v>
      </c>
    </row>
    <row r="1284" customFormat="false" ht="15" hidden="false" customHeight="false" outlineLevel="0" collapsed="false">
      <c r="B1284" s="19" t="s">
        <v>29762</v>
      </c>
      <c r="C1284" s="20" t="n">
        <f aca="false">ROUND(5.34/FX,2)</f>
        <v>0.74</v>
      </c>
      <c r="D1284" s="21" t="s">
        <v>12306</v>
      </c>
      <c r="E1284" s="21" t="s">
        <v>29741</v>
      </c>
      <c r="F1284" s="21" t="s">
        <v>13774</v>
      </c>
    </row>
    <row r="1285" customFormat="false" ht="15" hidden="false" customHeight="false" outlineLevel="0" collapsed="false">
      <c r="B1285" s="19" t="s">
        <v>29763</v>
      </c>
      <c r="C1285" s="20" t="n">
        <f aca="false">ROUND(5.44/FX,2)</f>
        <v>0.76</v>
      </c>
      <c r="D1285" s="21" t="s">
        <v>2600</v>
      </c>
      <c r="E1285" s="21" t="s">
        <v>714</v>
      </c>
      <c r="F1285" s="21" t="s">
        <v>784</v>
      </c>
    </row>
    <row r="1286" customFormat="false" ht="15" hidden="false" customHeight="false" outlineLevel="0" collapsed="false">
      <c r="B1286" s="19" t="s">
        <v>29764</v>
      </c>
      <c r="C1286" s="20" t="n">
        <f aca="false">ROUND(5.57/FX,2)</f>
        <v>0.77</v>
      </c>
      <c r="D1286" s="21" t="s">
        <v>2651</v>
      </c>
      <c r="E1286" s="21" t="s">
        <v>714</v>
      </c>
      <c r="F1286" s="21" t="s">
        <v>784</v>
      </c>
    </row>
    <row r="1287" customFormat="false" ht="15" hidden="false" customHeight="false" outlineLevel="0" collapsed="false">
      <c r="B1287" s="19" t="s">
        <v>29765</v>
      </c>
      <c r="C1287" s="20" t="n">
        <f aca="false">ROUND(6.18/FX,2)</f>
        <v>0.86</v>
      </c>
      <c r="D1287" s="21" t="s">
        <v>2701</v>
      </c>
      <c r="E1287" s="21" t="s">
        <v>714</v>
      </c>
      <c r="F1287" s="21" t="s">
        <v>784</v>
      </c>
    </row>
    <row r="1288" customFormat="false" ht="15" hidden="false" customHeight="false" outlineLevel="0" collapsed="false">
      <c r="B1288" s="19" t="s">
        <v>29766</v>
      </c>
      <c r="C1288" s="20" t="n">
        <f aca="false">ROUND(5.68/FX,2)</f>
        <v>0.79</v>
      </c>
      <c r="D1288" s="21" t="s">
        <v>11968</v>
      </c>
      <c r="E1288" s="21" t="s">
        <v>714</v>
      </c>
      <c r="F1288" s="21" t="s">
        <v>784</v>
      </c>
    </row>
    <row r="1289" customFormat="false" ht="15" hidden="false" customHeight="false" outlineLevel="0" collapsed="false">
      <c r="B1289" s="19" t="s">
        <v>29767</v>
      </c>
      <c r="C1289" s="20" t="n">
        <f aca="false">ROUND(6.18/FX,2)</f>
        <v>0.86</v>
      </c>
      <c r="D1289" s="21" t="s">
        <v>2851</v>
      </c>
      <c r="E1289" s="21" t="s">
        <v>714</v>
      </c>
      <c r="F1289" s="21" t="s">
        <v>784</v>
      </c>
    </row>
    <row r="1290" customFormat="false" ht="15" hidden="false" customHeight="false" outlineLevel="0" collapsed="false">
      <c r="B1290" s="19" t="s">
        <v>29768</v>
      </c>
      <c r="C1290" s="20" t="n">
        <f aca="false">ROUND(6.42/FX,2)</f>
        <v>0.89</v>
      </c>
      <c r="D1290" s="21" t="s">
        <v>6497</v>
      </c>
      <c r="E1290" s="21" t="s">
        <v>714</v>
      </c>
      <c r="F1290" s="21" t="s">
        <v>784</v>
      </c>
    </row>
    <row r="1291" customFormat="false" ht="15" hidden="false" customHeight="false" outlineLevel="0" collapsed="false">
      <c r="B1291" s="19" t="s">
        <v>29769</v>
      </c>
      <c r="C1291" s="20" t="n">
        <f aca="false">ROUND(6.8/FX,2)</f>
        <v>0.94</v>
      </c>
      <c r="D1291" s="21" t="s">
        <v>1048</v>
      </c>
      <c r="E1291" s="21" t="s">
        <v>714</v>
      </c>
      <c r="F1291" s="21" t="s">
        <v>784</v>
      </c>
    </row>
    <row r="1292" customFormat="false" ht="15" hidden="false" customHeight="false" outlineLevel="0" collapsed="false">
      <c r="B1292" s="19" t="s">
        <v>29770</v>
      </c>
      <c r="C1292" s="20" t="n">
        <f aca="false">ROUND(3.34/FX,2)</f>
        <v>0.46</v>
      </c>
      <c r="D1292" s="21" t="s">
        <v>3317</v>
      </c>
      <c r="E1292" s="21" t="s">
        <v>714</v>
      </c>
      <c r="F1292" s="21" t="s">
        <v>784</v>
      </c>
    </row>
    <row r="1293" customFormat="false" ht="15" hidden="false" customHeight="false" outlineLevel="0" collapsed="false">
      <c r="B1293" s="19" t="s">
        <v>29771</v>
      </c>
      <c r="C1293" s="20" t="n">
        <f aca="false">ROUND(3.46/FX,2)</f>
        <v>0.48</v>
      </c>
      <c r="D1293" s="21" t="s">
        <v>784</v>
      </c>
      <c r="E1293" s="21" t="s">
        <v>714</v>
      </c>
      <c r="F1293" s="21" t="s">
        <v>784</v>
      </c>
    </row>
    <row r="1294" customFormat="false" ht="15" hidden="false" customHeight="false" outlineLevel="0" collapsed="false">
      <c r="B1294" s="19" t="s">
        <v>29772</v>
      </c>
      <c r="C1294" s="20" t="n">
        <f aca="false">ROUND(23.71/FX,2)</f>
        <v>3.29</v>
      </c>
      <c r="D1294" s="21" t="s">
        <v>1520</v>
      </c>
      <c r="E1294" s="21" t="s">
        <v>714</v>
      </c>
      <c r="F1294" s="21" t="s">
        <v>784</v>
      </c>
    </row>
    <row r="1295" customFormat="false" ht="15" hidden="false" customHeight="false" outlineLevel="0" collapsed="false">
      <c r="B1295" s="19" t="s">
        <v>29773</v>
      </c>
      <c r="C1295" s="20" t="n">
        <f aca="false">ROUND(3.71/FX,2)</f>
        <v>0.52</v>
      </c>
      <c r="D1295" s="21" t="s">
        <v>3328</v>
      </c>
      <c r="E1295" s="21" t="s">
        <v>714</v>
      </c>
      <c r="F1295" s="21" t="s">
        <v>784</v>
      </c>
    </row>
    <row r="1296" customFormat="false" ht="15" hidden="false" customHeight="false" outlineLevel="0" collapsed="false">
      <c r="B1296" s="19" t="s">
        <v>29774</v>
      </c>
      <c r="C1296" s="20" t="n">
        <f aca="false">ROUND(3.84/FX,2)</f>
        <v>0.53</v>
      </c>
      <c r="D1296" s="21" t="s">
        <v>6246</v>
      </c>
      <c r="E1296" s="21" t="s">
        <v>714</v>
      </c>
      <c r="F1296" s="21" t="s">
        <v>784</v>
      </c>
    </row>
    <row r="1297" customFormat="false" ht="15" hidden="false" customHeight="false" outlineLevel="0" collapsed="false">
      <c r="B1297" s="19" t="s">
        <v>29775</v>
      </c>
      <c r="C1297" s="20" t="n">
        <f aca="false">ROUND(3.95/FX,2)</f>
        <v>0.55</v>
      </c>
      <c r="D1297" s="21" t="s">
        <v>7358</v>
      </c>
      <c r="E1297" s="21" t="s">
        <v>714</v>
      </c>
      <c r="F1297" s="21" t="s">
        <v>784</v>
      </c>
    </row>
    <row r="1298" customFormat="false" ht="15" hidden="false" customHeight="false" outlineLevel="0" collapsed="false">
      <c r="B1298" s="19" t="s">
        <v>29776</v>
      </c>
      <c r="C1298" s="20" t="n">
        <f aca="false">ROUND(4.09/FX,2)</f>
        <v>0.57</v>
      </c>
      <c r="D1298" s="21" t="s">
        <v>2911</v>
      </c>
      <c r="E1298" s="21" t="s">
        <v>714</v>
      </c>
      <c r="F1298" s="21" t="s">
        <v>784</v>
      </c>
    </row>
    <row r="1299" customFormat="false" ht="15" hidden="false" customHeight="false" outlineLevel="0" collapsed="false">
      <c r="B1299" s="19" t="s">
        <v>29777</v>
      </c>
      <c r="C1299" s="20" t="n">
        <f aca="false">ROUND(4.2/FX,2)</f>
        <v>0.58</v>
      </c>
      <c r="D1299" s="21" t="s">
        <v>7275</v>
      </c>
      <c r="E1299" s="21" t="s">
        <v>714</v>
      </c>
      <c r="F1299" s="21" t="s">
        <v>784</v>
      </c>
    </row>
    <row r="1300" customFormat="false" ht="15" hidden="false" customHeight="false" outlineLevel="0" collapsed="false">
      <c r="B1300" s="19" t="s">
        <v>29778</v>
      </c>
      <c r="C1300" s="20" t="n">
        <f aca="false">ROUND(4.45/FX,2)</f>
        <v>0.62</v>
      </c>
      <c r="D1300" s="21" t="s">
        <v>2961</v>
      </c>
      <c r="E1300" s="21" t="s">
        <v>714</v>
      </c>
      <c r="F1300" s="21" t="s">
        <v>784</v>
      </c>
    </row>
    <row r="1301" customFormat="false" ht="15" hidden="false" customHeight="false" outlineLevel="0" collapsed="false">
      <c r="B1301" s="19" t="s">
        <v>29779</v>
      </c>
      <c r="C1301" s="20" t="n">
        <f aca="false">ROUND(4.58/FX,2)</f>
        <v>0.64</v>
      </c>
      <c r="D1301" s="21" t="s">
        <v>13817</v>
      </c>
      <c r="E1301" s="21" t="s">
        <v>714</v>
      </c>
      <c r="F1301" s="21" t="s">
        <v>784</v>
      </c>
    </row>
    <row r="1302" customFormat="false" ht="15" hidden="false" customHeight="false" outlineLevel="0" collapsed="false">
      <c r="B1302" s="19" t="s">
        <v>29780</v>
      </c>
      <c r="C1302" s="20" t="n">
        <f aca="false">ROUND(4.7/FX,2)</f>
        <v>0.65</v>
      </c>
      <c r="D1302" s="21" t="s">
        <v>3011</v>
      </c>
      <c r="E1302" s="21" t="s">
        <v>714</v>
      </c>
      <c r="F1302" s="21" t="s">
        <v>784</v>
      </c>
    </row>
    <row r="1303" customFormat="false" ht="15" hidden="false" customHeight="false" outlineLevel="0" collapsed="false">
      <c r="B1303" s="19" t="s">
        <v>29781</v>
      </c>
      <c r="C1303" s="20" t="n">
        <f aca="false">ROUND(4.82/FX,2)</f>
        <v>0.67</v>
      </c>
      <c r="D1303" s="21" t="s">
        <v>7396</v>
      </c>
      <c r="E1303" s="21" t="s">
        <v>714</v>
      </c>
      <c r="F1303" s="21" t="s">
        <v>784</v>
      </c>
    </row>
    <row r="1304" customFormat="false" ht="15" hidden="false" customHeight="false" outlineLevel="0" collapsed="false">
      <c r="B1304" s="19" t="s">
        <v>29782</v>
      </c>
      <c r="C1304" s="20" t="n">
        <f aca="false">ROUND(4.94/FX,2)</f>
        <v>0.69</v>
      </c>
      <c r="D1304" s="21" t="s">
        <v>3061</v>
      </c>
      <c r="E1304" s="21" t="s">
        <v>714</v>
      </c>
      <c r="F1304" s="21" t="s">
        <v>784</v>
      </c>
    </row>
    <row r="1305" customFormat="false" ht="15" hidden="false" customHeight="false" outlineLevel="0" collapsed="false">
      <c r="B1305" s="19" t="s">
        <v>29783</v>
      </c>
      <c r="C1305" s="20" t="n">
        <f aca="false">ROUND(5.07/FX,2)</f>
        <v>0.7</v>
      </c>
      <c r="D1305" s="21" t="s">
        <v>11870</v>
      </c>
      <c r="E1305" s="21" t="s">
        <v>714</v>
      </c>
      <c r="F1305" s="21" t="s">
        <v>784</v>
      </c>
    </row>
    <row r="1306" customFormat="false" ht="15" hidden="false" customHeight="false" outlineLevel="0" collapsed="false">
      <c r="B1306" s="19" t="s">
        <v>29784</v>
      </c>
      <c r="C1306" s="20" t="n">
        <f aca="false">ROUND(5.19/FX,2)</f>
        <v>0.72</v>
      </c>
      <c r="D1306" s="21" t="s">
        <v>3111</v>
      </c>
      <c r="E1306" s="21" t="s">
        <v>714</v>
      </c>
      <c r="F1306" s="21" t="s">
        <v>784</v>
      </c>
    </row>
    <row r="1307" customFormat="false" ht="15" hidden="false" customHeight="false" outlineLevel="0" collapsed="false">
      <c r="B1307" s="19" t="s">
        <v>29785</v>
      </c>
      <c r="C1307" s="20" t="n">
        <f aca="false">ROUND(5.44/FX,2)</f>
        <v>0.76</v>
      </c>
      <c r="D1307" s="21" t="s">
        <v>12306</v>
      </c>
      <c r="E1307" s="21" t="s">
        <v>714</v>
      </c>
      <c r="F1307" s="21" t="s">
        <v>784</v>
      </c>
    </row>
    <row r="1308" customFormat="false" ht="15" hidden="false" customHeight="false" outlineLevel="0" collapsed="false">
      <c r="B1308" s="19" t="s">
        <v>29786</v>
      </c>
      <c r="C1308" s="20" t="n">
        <f aca="false">ROUND(7.3/FX,2)</f>
        <v>1.01</v>
      </c>
      <c r="D1308" s="21" t="s">
        <v>2600</v>
      </c>
      <c r="E1308" s="21" t="s">
        <v>29787</v>
      </c>
      <c r="F1308" s="21" t="s">
        <v>3328</v>
      </c>
    </row>
    <row r="1309" customFormat="false" ht="15" hidden="false" customHeight="false" outlineLevel="0" collapsed="false">
      <c r="B1309" s="19" t="s">
        <v>29788</v>
      </c>
      <c r="C1309" s="20" t="n">
        <f aca="false">ROUND(8.03/FX,2)</f>
        <v>1.12</v>
      </c>
      <c r="D1309" s="21" t="s">
        <v>2651</v>
      </c>
      <c r="E1309" s="21" t="s">
        <v>29787</v>
      </c>
      <c r="F1309" s="21" t="s">
        <v>3328</v>
      </c>
    </row>
    <row r="1310" customFormat="false" ht="15" hidden="false" customHeight="false" outlineLevel="0" collapsed="false">
      <c r="B1310" s="19" t="s">
        <v>29789</v>
      </c>
      <c r="C1310" s="20" t="n">
        <f aca="false">ROUND(8.03/FX,2)</f>
        <v>1.12</v>
      </c>
      <c r="D1310" s="21" t="s">
        <v>2701</v>
      </c>
      <c r="E1310" s="21" t="s">
        <v>29787</v>
      </c>
      <c r="F1310" s="21" t="s">
        <v>3328</v>
      </c>
    </row>
    <row r="1311" customFormat="false" ht="15" hidden="false" customHeight="false" outlineLevel="0" collapsed="false">
      <c r="B1311" s="19" t="s">
        <v>29790</v>
      </c>
      <c r="C1311" s="20" t="n">
        <f aca="false">ROUND(8.03/FX,2)</f>
        <v>1.12</v>
      </c>
      <c r="D1311" s="21" t="s">
        <v>11968</v>
      </c>
      <c r="E1311" s="21" t="s">
        <v>29787</v>
      </c>
      <c r="F1311" s="21" t="s">
        <v>3328</v>
      </c>
    </row>
    <row r="1312" customFormat="false" ht="15" hidden="false" customHeight="false" outlineLevel="0" collapsed="false">
      <c r="B1312" s="19" t="s">
        <v>29791</v>
      </c>
      <c r="C1312" s="20" t="n">
        <f aca="false">ROUND(9.02/FX,2)</f>
        <v>1.25</v>
      </c>
      <c r="D1312" s="21" t="s">
        <v>2851</v>
      </c>
      <c r="E1312" s="21" t="s">
        <v>29787</v>
      </c>
      <c r="F1312" s="21" t="s">
        <v>3328</v>
      </c>
    </row>
    <row r="1313" customFormat="false" ht="15" hidden="false" customHeight="false" outlineLevel="0" collapsed="false">
      <c r="B1313" s="19" t="s">
        <v>29792</v>
      </c>
      <c r="C1313" s="20" t="n">
        <f aca="false">ROUND(10.13/FX,2)</f>
        <v>1.41</v>
      </c>
      <c r="D1313" s="21" t="s">
        <v>6497</v>
      </c>
      <c r="E1313" s="21" t="s">
        <v>29787</v>
      </c>
      <c r="F1313" s="21" t="s">
        <v>3328</v>
      </c>
    </row>
    <row r="1314" customFormat="false" ht="15" hidden="false" customHeight="false" outlineLevel="0" collapsed="false">
      <c r="B1314" s="19" t="s">
        <v>29793</v>
      </c>
      <c r="C1314" s="20" t="n">
        <f aca="false">ROUND(11.36/FX,2)</f>
        <v>1.58</v>
      </c>
      <c r="D1314" s="21" t="s">
        <v>1048</v>
      </c>
      <c r="E1314" s="21" t="s">
        <v>29787</v>
      </c>
      <c r="F1314" s="21" t="s">
        <v>3328</v>
      </c>
    </row>
    <row r="1315" customFormat="false" ht="15" hidden="false" customHeight="false" outlineLevel="0" collapsed="false">
      <c r="B1315" s="19" t="s">
        <v>29794</v>
      </c>
      <c r="C1315" s="20" t="n">
        <f aca="false">ROUND(14.99/FX,2)</f>
        <v>2.08</v>
      </c>
      <c r="D1315" s="21" t="s">
        <v>1323</v>
      </c>
      <c r="E1315" s="21" t="s">
        <v>29787</v>
      </c>
      <c r="F1315" s="21" t="s">
        <v>3328</v>
      </c>
    </row>
    <row r="1316" customFormat="false" ht="15" hidden="false" customHeight="false" outlineLevel="0" collapsed="false">
      <c r="B1316" s="19" t="s">
        <v>29795</v>
      </c>
      <c r="C1316" s="20" t="n">
        <f aca="false">ROUND(34.58/FX,2)</f>
        <v>4.8</v>
      </c>
      <c r="D1316" s="21" t="s">
        <v>1520</v>
      </c>
      <c r="E1316" s="21" t="s">
        <v>29787</v>
      </c>
      <c r="F1316" s="21" t="s">
        <v>3328</v>
      </c>
    </row>
    <row r="1317" customFormat="false" ht="15" hidden="false" customHeight="false" outlineLevel="0" collapsed="false">
      <c r="B1317" s="19" t="s">
        <v>29796</v>
      </c>
      <c r="C1317" s="20" t="n">
        <f aca="false">ROUND(4.33/FX,2)</f>
        <v>0.6</v>
      </c>
      <c r="D1317" s="21" t="s">
        <v>3328</v>
      </c>
      <c r="E1317" s="21" t="s">
        <v>29787</v>
      </c>
      <c r="F1317" s="21" t="s">
        <v>3328</v>
      </c>
    </row>
    <row r="1318" customFormat="false" ht="15" hidden="false" customHeight="false" outlineLevel="0" collapsed="false">
      <c r="B1318" s="19" t="s">
        <v>29797</v>
      </c>
      <c r="C1318" s="20" t="n">
        <f aca="false">ROUND(4.45/FX,2)</f>
        <v>0.62</v>
      </c>
      <c r="D1318" s="21" t="s">
        <v>6246</v>
      </c>
      <c r="E1318" s="21" t="s">
        <v>29787</v>
      </c>
      <c r="F1318" s="21" t="s">
        <v>3328</v>
      </c>
    </row>
    <row r="1319" customFormat="false" ht="15" hidden="false" customHeight="false" outlineLevel="0" collapsed="false">
      <c r="B1319" s="19" t="s">
        <v>29798</v>
      </c>
      <c r="C1319" s="20" t="n">
        <f aca="false">ROUND(4.58/FX,2)</f>
        <v>0.64</v>
      </c>
      <c r="D1319" s="21" t="s">
        <v>7358</v>
      </c>
      <c r="E1319" s="21" t="s">
        <v>29787</v>
      </c>
      <c r="F1319" s="21" t="s">
        <v>3328</v>
      </c>
    </row>
    <row r="1320" customFormat="false" ht="15" hidden="false" customHeight="false" outlineLevel="0" collapsed="false">
      <c r="B1320" s="19" t="s">
        <v>29799</v>
      </c>
      <c r="C1320" s="20" t="n">
        <f aca="false">ROUND(4.7/FX,2)</f>
        <v>0.65</v>
      </c>
      <c r="D1320" s="21" t="s">
        <v>2911</v>
      </c>
      <c r="E1320" s="21" t="s">
        <v>29787</v>
      </c>
      <c r="F1320" s="21" t="s">
        <v>3328</v>
      </c>
    </row>
    <row r="1321" customFormat="false" ht="15" hidden="false" customHeight="false" outlineLevel="0" collapsed="false">
      <c r="B1321" s="19" t="s">
        <v>29800</v>
      </c>
      <c r="C1321" s="20" t="n">
        <f aca="false">ROUND(4.82/FX,2)</f>
        <v>0.67</v>
      </c>
      <c r="D1321" s="21" t="s">
        <v>7275</v>
      </c>
      <c r="E1321" s="21" t="s">
        <v>29787</v>
      </c>
      <c r="F1321" s="21" t="s">
        <v>3328</v>
      </c>
    </row>
    <row r="1322" customFormat="false" ht="15" hidden="false" customHeight="false" outlineLevel="0" collapsed="false">
      <c r="B1322" s="19" t="s">
        <v>29801</v>
      </c>
      <c r="C1322" s="20" t="n">
        <f aca="false">ROUND(4.94/FX,2)</f>
        <v>0.69</v>
      </c>
      <c r="D1322" s="21" t="s">
        <v>2961</v>
      </c>
      <c r="E1322" s="21" t="s">
        <v>29787</v>
      </c>
      <c r="F1322" s="21" t="s">
        <v>3328</v>
      </c>
    </row>
    <row r="1323" customFormat="false" ht="15" hidden="false" customHeight="false" outlineLevel="0" collapsed="false">
      <c r="B1323" s="19" t="s">
        <v>29802</v>
      </c>
      <c r="C1323" s="20" t="n">
        <f aca="false">ROUND(5.19/FX,2)</f>
        <v>0.72</v>
      </c>
      <c r="D1323" s="21" t="s">
        <v>13817</v>
      </c>
      <c r="E1323" s="21" t="s">
        <v>29787</v>
      </c>
      <c r="F1323" s="21" t="s">
        <v>3328</v>
      </c>
    </row>
    <row r="1324" customFormat="false" ht="15" hidden="false" customHeight="false" outlineLevel="0" collapsed="false">
      <c r="B1324" s="19" t="s">
        <v>29803</v>
      </c>
      <c r="C1324" s="20" t="n">
        <f aca="false">ROUND(5.32/FX,2)</f>
        <v>0.74</v>
      </c>
      <c r="D1324" s="21" t="s">
        <v>3011</v>
      </c>
      <c r="E1324" s="21" t="s">
        <v>29787</v>
      </c>
      <c r="F1324" s="21" t="s">
        <v>3328</v>
      </c>
    </row>
    <row r="1325" customFormat="false" ht="15" hidden="false" customHeight="false" outlineLevel="0" collapsed="false">
      <c r="B1325" s="19" t="s">
        <v>29804</v>
      </c>
      <c r="C1325" s="20" t="n">
        <f aca="false">ROUND(5.32/FX,2)</f>
        <v>0.74</v>
      </c>
      <c r="D1325" s="21" t="s">
        <v>7396</v>
      </c>
      <c r="E1325" s="21" t="s">
        <v>29787</v>
      </c>
      <c r="F1325" s="21" t="s">
        <v>3328</v>
      </c>
    </row>
    <row r="1326" customFormat="false" ht="15" hidden="false" customHeight="false" outlineLevel="0" collapsed="false">
      <c r="B1326" s="19" t="s">
        <v>29805</v>
      </c>
      <c r="C1326" s="20" t="n">
        <f aca="false">ROUND(5.81/FX,2)</f>
        <v>0.81</v>
      </c>
      <c r="D1326" s="21" t="s">
        <v>3061</v>
      </c>
      <c r="E1326" s="21" t="s">
        <v>29787</v>
      </c>
      <c r="F1326" s="21" t="s">
        <v>3328</v>
      </c>
    </row>
    <row r="1327" customFormat="false" ht="15" hidden="false" customHeight="false" outlineLevel="0" collapsed="false">
      <c r="B1327" s="19" t="s">
        <v>29806</v>
      </c>
      <c r="C1327" s="20" t="n">
        <f aca="false">ROUND(6.18/FX,2)</f>
        <v>0.86</v>
      </c>
      <c r="D1327" s="21" t="s">
        <v>11870</v>
      </c>
      <c r="E1327" s="21" t="s">
        <v>29787</v>
      </c>
      <c r="F1327" s="21" t="s">
        <v>3328</v>
      </c>
    </row>
    <row r="1328" customFormat="false" ht="15" hidden="false" customHeight="false" outlineLevel="0" collapsed="false">
      <c r="B1328" s="19" t="s">
        <v>29807</v>
      </c>
      <c r="C1328" s="20" t="n">
        <f aca="false">ROUND(6.67/FX,2)</f>
        <v>0.93</v>
      </c>
      <c r="D1328" s="21" t="s">
        <v>3111</v>
      </c>
      <c r="E1328" s="21" t="s">
        <v>29787</v>
      </c>
      <c r="F1328" s="21" t="s">
        <v>3328</v>
      </c>
    </row>
    <row r="1329" customFormat="false" ht="15" hidden="false" customHeight="false" outlineLevel="0" collapsed="false">
      <c r="B1329" s="19" t="s">
        <v>29808</v>
      </c>
      <c r="C1329" s="20" t="n">
        <f aca="false">ROUND(7.3/FX,2)</f>
        <v>1.01</v>
      </c>
      <c r="D1329" s="21" t="s">
        <v>12306</v>
      </c>
      <c r="E1329" s="21" t="s">
        <v>29787</v>
      </c>
      <c r="F1329" s="21" t="s">
        <v>3328</v>
      </c>
    </row>
    <row r="1330" customFormat="false" ht="15" hidden="false" customHeight="false" outlineLevel="0" collapsed="false">
      <c r="B1330" s="19" t="s">
        <v>29809</v>
      </c>
      <c r="C1330" s="20" t="n">
        <f aca="false">ROUND(14.57/FX,2)</f>
        <v>2.02</v>
      </c>
      <c r="D1330" s="21" t="s">
        <v>2600</v>
      </c>
      <c r="E1330" s="21" t="s">
        <v>3247</v>
      </c>
      <c r="F1330" s="21" t="s">
        <v>6246</v>
      </c>
    </row>
    <row r="1331" customFormat="false" ht="15" hidden="false" customHeight="false" outlineLevel="0" collapsed="false">
      <c r="B1331" s="19" t="s">
        <v>29810</v>
      </c>
      <c r="C1331" s="20" t="n">
        <f aca="false">ROUND(15.45/FX,2)</f>
        <v>2.15</v>
      </c>
      <c r="D1331" s="21" t="s">
        <v>2651</v>
      </c>
      <c r="E1331" s="21" t="s">
        <v>3247</v>
      </c>
      <c r="F1331" s="21" t="s">
        <v>6246</v>
      </c>
    </row>
    <row r="1332" customFormat="false" ht="15" hidden="false" customHeight="false" outlineLevel="0" collapsed="false">
      <c r="B1332" s="19" t="s">
        <v>29811</v>
      </c>
      <c r="C1332" s="20" t="n">
        <f aca="false">ROUND(17.91/FX,2)</f>
        <v>2.49</v>
      </c>
      <c r="D1332" s="21" t="s">
        <v>2701</v>
      </c>
      <c r="E1332" s="21" t="s">
        <v>3247</v>
      </c>
      <c r="F1332" s="21" t="s">
        <v>6246</v>
      </c>
    </row>
    <row r="1333" customFormat="false" ht="15" hidden="false" customHeight="false" outlineLevel="0" collapsed="false">
      <c r="B1333" s="19" t="s">
        <v>29812</v>
      </c>
      <c r="C1333" s="20" t="n">
        <f aca="false">ROUND(16.06/FX,2)</f>
        <v>2.23</v>
      </c>
      <c r="D1333" s="21" t="s">
        <v>11968</v>
      </c>
      <c r="E1333" s="21" t="s">
        <v>3247</v>
      </c>
      <c r="F1333" s="21" t="s">
        <v>6246</v>
      </c>
    </row>
    <row r="1334" customFormat="false" ht="15" hidden="false" customHeight="false" outlineLevel="0" collapsed="false">
      <c r="B1334" s="19" t="s">
        <v>29813</v>
      </c>
      <c r="C1334" s="20" t="n">
        <f aca="false">ROUND(17.91/FX,2)</f>
        <v>2.49</v>
      </c>
      <c r="D1334" s="21" t="s">
        <v>2751</v>
      </c>
      <c r="E1334" s="21" t="s">
        <v>3247</v>
      </c>
      <c r="F1334" s="21" t="s">
        <v>6246</v>
      </c>
    </row>
    <row r="1335" customFormat="false" ht="15" hidden="false" customHeight="false" outlineLevel="0" collapsed="false">
      <c r="B1335" s="19" t="s">
        <v>29814</v>
      </c>
      <c r="C1335" s="20" t="n">
        <f aca="false">ROUND(17.91/FX,2)</f>
        <v>2.49</v>
      </c>
      <c r="D1335" s="21" t="s">
        <v>2801</v>
      </c>
      <c r="E1335" s="21" t="s">
        <v>3247</v>
      </c>
      <c r="F1335" s="21" t="s">
        <v>6246</v>
      </c>
    </row>
    <row r="1336" customFormat="false" ht="15" hidden="false" customHeight="false" outlineLevel="0" collapsed="false">
      <c r="B1336" s="19" t="s">
        <v>29815</v>
      </c>
      <c r="C1336" s="20" t="n">
        <f aca="false">ROUND(17.91/FX,2)</f>
        <v>2.49</v>
      </c>
      <c r="D1336" s="21" t="s">
        <v>2851</v>
      </c>
      <c r="E1336" s="21" t="s">
        <v>3247</v>
      </c>
      <c r="F1336" s="21" t="s">
        <v>6246</v>
      </c>
    </row>
    <row r="1337" customFormat="false" ht="15" hidden="false" customHeight="false" outlineLevel="0" collapsed="false">
      <c r="B1337" s="19" t="s">
        <v>29816</v>
      </c>
      <c r="C1337" s="20" t="n">
        <f aca="false">ROUND(19.76/FX,2)</f>
        <v>2.74</v>
      </c>
      <c r="D1337" s="21" t="s">
        <v>6497</v>
      </c>
      <c r="E1337" s="21" t="s">
        <v>3247</v>
      </c>
      <c r="F1337" s="21" t="s">
        <v>6246</v>
      </c>
    </row>
    <row r="1338" customFormat="false" ht="15" hidden="false" customHeight="false" outlineLevel="0" collapsed="false">
      <c r="B1338" s="19" t="s">
        <v>29817</v>
      </c>
      <c r="C1338" s="20" t="n">
        <f aca="false">ROUND(23.47/FX,2)</f>
        <v>3.26</v>
      </c>
      <c r="D1338" s="21" t="s">
        <v>1048</v>
      </c>
      <c r="E1338" s="21" t="s">
        <v>3247</v>
      </c>
      <c r="F1338" s="21" t="s">
        <v>6246</v>
      </c>
    </row>
    <row r="1339" customFormat="false" ht="15" hidden="false" customHeight="false" outlineLevel="0" collapsed="false">
      <c r="B1339" s="19" t="s">
        <v>29818</v>
      </c>
      <c r="C1339" s="20" t="n">
        <f aca="false">ROUND(34.75/FX,2)</f>
        <v>4.83</v>
      </c>
      <c r="D1339" s="21" t="s">
        <v>3991</v>
      </c>
      <c r="E1339" s="21" t="s">
        <v>3247</v>
      </c>
      <c r="F1339" s="21" t="s">
        <v>6246</v>
      </c>
    </row>
    <row r="1340" customFormat="false" ht="15" hidden="false" customHeight="false" outlineLevel="0" collapsed="false">
      <c r="B1340" s="19" t="s">
        <v>29819</v>
      </c>
      <c r="C1340" s="20" t="n">
        <f aca="false">ROUND(37.05/FX,2)</f>
        <v>5.15</v>
      </c>
      <c r="D1340" s="21" t="s">
        <v>1323</v>
      </c>
      <c r="E1340" s="21" t="s">
        <v>3247</v>
      </c>
      <c r="F1340" s="21" t="s">
        <v>6246</v>
      </c>
    </row>
    <row r="1341" customFormat="false" ht="15" hidden="false" customHeight="false" outlineLevel="0" collapsed="false">
      <c r="B1341" s="19" t="s">
        <v>29820</v>
      </c>
      <c r="C1341" s="20" t="n">
        <f aca="false">ROUND(39.33/FX,2)</f>
        <v>5.46</v>
      </c>
      <c r="D1341" s="21" t="s">
        <v>4883</v>
      </c>
      <c r="E1341" s="21" t="s">
        <v>3247</v>
      </c>
      <c r="F1341" s="21" t="s">
        <v>6246</v>
      </c>
    </row>
    <row r="1342" customFormat="false" ht="15" hidden="false" customHeight="false" outlineLevel="0" collapsed="false">
      <c r="B1342" s="19" t="s">
        <v>29821</v>
      </c>
      <c r="C1342" s="20" t="n">
        <f aca="false">ROUND(39.52/FX,2)</f>
        <v>5.49</v>
      </c>
      <c r="D1342" s="21" t="s">
        <v>1520</v>
      </c>
      <c r="E1342" s="21" t="s">
        <v>3247</v>
      </c>
      <c r="F1342" s="21" t="s">
        <v>6246</v>
      </c>
    </row>
    <row r="1343" customFormat="false" ht="15" hidden="false" customHeight="false" outlineLevel="0" collapsed="false">
      <c r="B1343" s="19" t="s">
        <v>29822</v>
      </c>
      <c r="C1343" s="20" t="n">
        <f aca="false">ROUND(6.8/FX,2)</f>
        <v>0.94</v>
      </c>
      <c r="D1343" s="21" t="s">
        <v>6246</v>
      </c>
      <c r="E1343" s="21" t="s">
        <v>3247</v>
      </c>
      <c r="F1343" s="21" t="s">
        <v>6246</v>
      </c>
    </row>
    <row r="1344" customFormat="false" ht="15" hidden="false" customHeight="false" outlineLevel="0" collapsed="false">
      <c r="B1344" s="19" t="s">
        <v>29823</v>
      </c>
      <c r="C1344" s="20" t="n">
        <f aca="false">ROUND(7.41/FX,2)</f>
        <v>1.03</v>
      </c>
      <c r="D1344" s="21" t="s">
        <v>7358</v>
      </c>
      <c r="E1344" s="21" t="s">
        <v>3247</v>
      </c>
      <c r="F1344" s="21" t="s">
        <v>6246</v>
      </c>
    </row>
    <row r="1345" customFormat="false" ht="15" hidden="false" customHeight="false" outlineLevel="0" collapsed="false">
      <c r="B1345" s="19" t="s">
        <v>29824</v>
      </c>
      <c r="C1345" s="20" t="n">
        <f aca="false">ROUND(8.03/FX,2)</f>
        <v>1.12</v>
      </c>
      <c r="D1345" s="21" t="s">
        <v>2911</v>
      </c>
      <c r="E1345" s="21" t="s">
        <v>3247</v>
      </c>
      <c r="F1345" s="21" t="s">
        <v>6246</v>
      </c>
    </row>
    <row r="1346" customFormat="false" ht="15" hidden="false" customHeight="false" outlineLevel="0" collapsed="false">
      <c r="B1346" s="19" t="s">
        <v>29825</v>
      </c>
      <c r="C1346" s="20" t="n">
        <f aca="false">ROUND(8.4/FX,2)</f>
        <v>1.17</v>
      </c>
      <c r="D1346" s="21" t="s">
        <v>7275</v>
      </c>
      <c r="E1346" s="21" t="s">
        <v>3247</v>
      </c>
      <c r="F1346" s="21" t="s">
        <v>6246</v>
      </c>
    </row>
    <row r="1347" customFormat="false" ht="15" hidden="false" customHeight="false" outlineLevel="0" collapsed="false">
      <c r="B1347" s="19" t="s">
        <v>29826</v>
      </c>
      <c r="C1347" s="20" t="n">
        <f aca="false">ROUND(8.65/FX,2)</f>
        <v>1.2</v>
      </c>
      <c r="D1347" s="21" t="s">
        <v>2961</v>
      </c>
      <c r="E1347" s="21" t="s">
        <v>3247</v>
      </c>
      <c r="F1347" s="21" t="s">
        <v>6246</v>
      </c>
    </row>
    <row r="1348" customFormat="false" ht="15" hidden="false" customHeight="false" outlineLevel="0" collapsed="false">
      <c r="B1348" s="19" t="s">
        <v>29827</v>
      </c>
      <c r="C1348" s="20" t="n">
        <f aca="false">ROUND(8.9/FX,2)</f>
        <v>1.24</v>
      </c>
      <c r="D1348" s="21" t="s">
        <v>13817</v>
      </c>
      <c r="E1348" s="21" t="s">
        <v>3247</v>
      </c>
      <c r="F1348" s="21" t="s">
        <v>6246</v>
      </c>
    </row>
    <row r="1349" customFormat="false" ht="15" hidden="false" customHeight="false" outlineLevel="0" collapsed="false">
      <c r="B1349" s="19" t="s">
        <v>29828</v>
      </c>
      <c r="C1349" s="20" t="n">
        <f aca="false">ROUND(9.88/FX,2)</f>
        <v>1.37</v>
      </c>
      <c r="D1349" s="21" t="s">
        <v>3011</v>
      </c>
      <c r="E1349" s="21" t="s">
        <v>3247</v>
      </c>
      <c r="F1349" s="21" t="s">
        <v>6246</v>
      </c>
    </row>
    <row r="1350" customFormat="false" ht="15" hidden="false" customHeight="false" outlineLevel="0" collapsed="false">
      <c r="B1350" s="19" t="s">
        <v>29829</v>
      </c>
      <c r="C1350" s="20" t="n">
        <f aca="false">ROUND(10.5/FX,2)</f>
        <v>1.46</v>
      </c>
      <c r="D1350" s="21" t="s">
        <v>7396</v>
      </c>
      <c r="E1350" s="21" t="s">
        <v>3247</v>
      </c>
      <c r="F1350" s="21" t="s">
        <v>6246</v>
      </c>
    </row>
    <row r="1351" customFormat="false" ht="15" hidden="false" customHeight="false" outlineLevel="0" collapsed="false">
      <c r="B1351" s="19" t="s">
        <v>29830</v>
      </c>
      <c r="C1351" s="20" t="n">
        <f aca="false">ROUND(11.12/FX,2)</f>
        <v>1.54</v>
      </c>
      <c r="D1351" s="21" t="s">
        <v>3061</v>
      </c>
      <c r="E1351" s="21" t="s">
        <v>3247</v>
      </c>
      <c r="F1351" s="21" t="s">
        <v>6246</v>
      </c>
    </row>
    <row r="1352" customFormat="false" ht="15" hidden="false" customHeight="false" outlineLevel="0" collapsed="false">
      <c r="B1352" s="19" t="s">
        <v>29831</v>
      </c>
      <c r="C1352" s="20" t="n">
        <f aca="false">ROUND(11.74/FX,2)</f>
        <v>1.63</v>
      </c>
      <c r="D1352" s="21" t="s">
        <v>11870</v>
      </c>
      <c r="E1352" s="21" t="s">
        <v>3247</v>
      </c>
      <c r="F1352" s="21" t="s">
        <v>6246</v>
      </c>
    </row>
    <row r="1353" customFormat="false" ht="15" hidden="false" customHeight="false" outlineLevel="0" collapsed="false">
      <c r="B1353" s="19" t="s">
        <v>29832</v>
      </c>
      <c r="C1353" s="20" t="n">
        <f aca="false">ROUND(13.59/FX,2)</f>
        <v>1.89</v>
      </c>
      <c r="D1353" s="21" t="s">
        <v>3111</v>
      </c>
      <c r="E1353" s="21" t="s">
        <v>3247</v>
      </c>
      <c r="F1353" s="21" t="s">
        <v>6246</v>
      </c>
    </row>
    <row r="1354" customFormat="false" ht="15" hidden="false" customHeight="false" outlineLevel="0" collapsed="false">
      <c r="B1354" s="19" t="s">
        <v>29833</v>
      </c>
      <c r="C1354" s="20" t="n">
        <f aca="false">ROUND(14.57/FX,2)</f>
        <v>2.02</v>
      </c>
      <c r="D1354" s="21" t="s">
        <v>12306</v>
      </c>
      <c r="E1354" s="21" t="s">
        <v>3247</v>
      </c>
      <c r="F1354" s="21" t="s">
        <v>6246</v>
      </c>
    </row>
    <row r="1355" customFormat="false" ht="15" hidden="false" customHeight="false" outlineLevel="0" collapsed="false">
      <c r="B1355" s="19" t="s">
        <v>29834</v>
      </c>
      <c r="C1355" s="20" t="n">
        <f aca="false">ROUND(27.05/FX,2)</f>
        <v>3.76</v>
      </c>
      <c r="D1355" s="21" t="s">
        <v>2600</v>
      </c>
      <c r="E1355" s="21" t="s">
        <v>3317</v>
      </c>
      <c r="F1355" s="21" t="s">
        <v>2911</v>
      </c>
    </row>
    <row r="1356" customFormat="false" ht="15" hidden="false" customHeight="false" outlineLevel="0" collapsed="false">
      <c r="B1356" s="19" t="s">
        <v>29835</v>
      </c>
      <c r="C1356" s="20" t="n">
        <f aca="false">ROUND(36.8/FX,2)</f>
        <v>5.11</v>
      </c>
      <c r="D1356" s="21" t="s">
        <v>25804</v>
      </c>
      <c r="E1356" s="21" t="s">
        <v>3317</v>
      </c>
      <c r="F1356" s="21" t="s">
        <v>2911</v>
      </c>
    </row>
    <row r="1357" customFormat="false" ht="15" hidden="false" customHeight="false" outlineLevel="0" collapsed="false">
      <c r="B1357" s="19" t="s">
        <v>29836</v>
      </c>
      <c r="C1357" s="20" t="n">
        <f aca="false">ROUND(28.63/FX,2)</f>
        <v>3.98</v>
      </c>
      <c r="D1357" s="21" t="s">
        <v>2701</v>
      </c>
      <c r="E1357" s="21" t="s">
        <v>3317</v>
      </c>
      <c r="F1357" s="21" t="s">
        <v>2911</v>
      </c>
    </row>
    <row r="1358" customFormat="false" ht="15" hidden="false" customHeight="false" outlineLevel="0" collapsed="false">
      <c r="B1358" s="19" t="s">
        <v>29837</v>
      </c>
      <c r="C1358" s="20" t="n">
        <f aca="false">ROUND(33.31/FX,2)</f>
        <v>4.63</v>
      </c>
      <c r="D1358" s="21" t="s">
        <v>11968</v>
      </c>
      <c r="E1358" s="21" t="s">
        <v>3317</v>
      </c>
      <c r="F1358" s="21" t="s">
        <v>2911</v>
      </c>
    </row>
    <row r="1359" customFormat="false" ht="15" hidden="false" customHeight="false" outlineLevel="0" collapsed="false">
      <c r="B1359" s="19" t="s">
        <v>29838</v>
      </c>
      <c r="C1359" s="20" t="n">
        <f aca="false">ROUND(41.16/FX,2)</f>
        <v>5.72</v>
      </c>
      <c r="D1359" s="21" t="s">
        <v>2751</v>
      </c>
      <c r="E1359" s="21" t="s">
        <v>3317</v>
      </c>
      <c r="F1359" s="21" t="s">
        <v>2911</v>
      </c>
    </row>
    <row r="1360" customFormat="false" ht="15" hidden="false" customHeight="false" outlineLevel="0" collapsed="false">
      <c r="B1360" s="19" t="s">
        <v>29839</v>
      </c>
      <c r="C1360" s="20" t="n">
        <f aca="false">ROUND(43.58/FX,2)</f>
        <v>6.05</v>
      </c>
      <c r="D1360" s="21" t="s">
        <v>2801</v>
      </c>
      <c r="E1360" s="21" t="s">
        <v>3317</v>
      </c>
      <c r="F1360" s="21" t="s">
        <v>2911</v>
      </c>
    </row>
    <row r="1361" customFormat="false" ht="15" hidden="false" customHeight="false" outlineLevel="0" collapsed="false">
      <c r="B1361" s="19" t="s">
        <v>29840</v>
      </c>
      <c r="C1361" s="20" t="n">
        <f aca="false">ROUND(48.41/FX,2)</f>
        <v>6.72</v>
      </c>
      <c r="D1361" s="21" t="s">
        <v>2851</v>
      </c>
      <c r="E1361" s="21" t="s">
        <v>3317</v>
      </c>
      <c r="F1361" s="21" t="s">
        <v>2911</v>
      </c>
    </row>
    <row r="1362" customFormat="false" ht="15" hidden="false" customHeight="false" outlineLevel="0" collapsed="false">
      <c r="B1362" s="19" t="s">
        <v>29841</v>
      </c>
      <c r="C1362" s="20" t="n">
        <f aca="false">ROUND(53.26/FX,2)</f>
        <v>7.4</v>
      </c>
      <c r="D1362" s="21" t="s">
        <v>6497</v>
      </c>
      <c r="E1362" s="21" t="s">
        <v>3317</v>
      </c>
      <c r="F1362" s="21" t="s">
        <v>2911</v>
      </c>
    </row>
    <row r="1363" customFormat="false" ht="15" hidden="false" customHeight="false" outlineLevel="0" collapsed="false">
      <c r="B1363" s="19" t="s">
        <v>29842</v>
      </c>
      <c r="C1363" s="20" t="n">
        <f aca="false">ROUND(58.1/FX,2)</f>
        <v>8.07</v>
      </c>
      <c r="D1363" s="21" t="s">
        <v>1048</v>
      </c>
      <c r="E1363" s="21" t="s">
        <v>3317</v>
      </c>
      <c r="F1363" s="21" t="s">
        <v>2911</v>
      </c>
    </row>
    <row r="1364" customFormat="false" ht="15" hidden="false" customHeight="false" outlineLevel="0" collapsed="false">
      <c r="B1364" s="19" t="s">
        <v>29843</v>
      </c>
      <c r="C1364" s="20" t="n">
        <f aca="false">ROUND(61.5/FX,2)</f>
        <v>8.54</v>
      </c>
      <c r="D1364" s="21" t="s">
        <v>3991</v>
      </c>
      <c r="E1364" s="21" t="s">
        <v>3317</v>
      </c>
      <c r="F1364" s="21" t="s">
        <v>2911</v>
      </c>
    </row>
    <row r="1365" customFormat="false" ht="15" hidden="false" customHeight="false" outlineLevel="0" collapsed="false">
      <c r="B1365" s="19" t="s">
        <v>29844</v>
      </c>
      <c r="C1365" s="20" t="n">
        <f aca="false">ROUND(72.62/FX,2)</f>
        <v>10.09</v>
      </c>
      <c r="D1365" s="21" t="s">
        <v>1323</v>
      </c>
      <c r="E1365" s="21" t="s">
        <v>3317</v>
      </c>
      <c r="F1365" s="21" t="s">
        <v>2911</v>
      </c>
    </row>
    <row r="1366" customFormat="false" ht="15" hidden="false" customHeight="false" outlineLevel="0" collapsed="false">
      <c r="B1366" s="19" t="s">
        <v>29845</v>
      </c>
      <c r="C1366" s="20" t="n">
        <f aca="false">ROUND(77.47/FX,2)</f>
        <v>10.76</v>
      </c>
      <c r="D1366" s="21" t="s">
        <v>4883</v>
      </c>
      <c r="E1366" s="21" t="s">
        <v>3317</v>
      </c>
      <c r="F1366" s="21" t="s">
        <v>2911</v>
      </c>
    </row>
    <row r="1367" customFormat="false" ht="15" hidden="false" customHeight="false" outlineLevel="0" collapsed="false">
      <c r="B1367" s="19" t="s">
        <v>29846</v>
      </c>
      <c r="C1367" s="20" t="n">
        <f aca="false">ROUND(84.97/FX,2)</f>
        <v>11.8</v>
      </c>
      <c r="D1367" s="21" t="s">
        <v>1520</v>
      </c>
      <c r="E1367" s="21" t="s">
        <v>3317</v>
      </c>
      <c r="F1367" s="21" t="s">
        <v>2911</v>
      </c>
    </row>
    <row r="1368" customFormat="false" ht="15" hidden="false" customHeight="false" outlineLevel="0" collapsed="false">
      <c r="B1368" s="19" t="s">
        <v>29847</v>
      </c>
      <c r="C1368" s="20" t="n">
        <f aca="false">ROUND(13.48/FX,2)</f>
        <v>1.87</v>
      </c>
      <c r="D1368" s="21" t="s">
        <v>2911</v>
      </c>
      <c r="E1368" s="21" t="s">
        <v>3317</v>
      </c>
      <c r="F1368" s="21" t="s">
        <v>2911</v>
      </c>
    </row>
    <row r="1369" customFormat="false" ht="15" hidden="false" customHeight="false" outlineLevel="0" collapsed="false">
      <c r="B1369" s="19" t="s">
        <v>29848</v>
      </c>
      <c r="C1369" s="20" t="n">
        <f aca="false">ROUND(14.07/FX,2)</f>
        <v>1.95</v>
      </c>
      <c r="D1369" s="21" t="s">
        <v>7275</v>
      </c>
      <c r="E1369" s="21" t="s">
        <v>3317</v>
      </c>
      <c r="F1369" s="21" t="s">
        <v>2911</v>
      </c>
    </row>
    <row r="1370" customFormat="false" ht="15" hidden="false" customHeight="false" outlineLevel="0" collapsed="false">
      <c r="B1370" s="19" t="s">
        <v>29849</v>
      </c>
      <c r="C1370" s="20" t="n">
        <f aca="false">ROUND(14.39/FX,2)</f>
        <v>2</v>
      </c>
      <c r="D1370" s="21" t="s">
        <v>2961</v>
      </c>
      <c r="E1370" s="21" t="s">
        <v>3317</v>
      </c>
      <c r="F1370" s="21" t="s">
        <v>2911</v>
      </c>
    </row>
    <row r="1371" customFormat="false" ht="15" hidden="false" customHeight="false" outlineLevel="0" collapsed="false">
      <c r="B1371" s="19" t="s">
        <v>29850</v>
      </c>
      <c r="C1371" s="20" t="n">
        <f aca="false">ROUND(14.56/FX,2)</f>
        <v>2.02</v>
      </c>
      <c r="D1371" s="21" t="s">
        <v>13817</v>
      </c>
      <c r="E1371" s="21" t="s">
        <v>3317</v>
      </c>
      <c r="F1371" s="21" t="s">
        <v>2911</v>
      </c>
    </row>
    <row r="1372" customFormat="false" ht="15" hidden="false" customHeight="false" outlineLevel="0" collapsed="false">
      <c r="B1372" s="19" t="s">
        <v>29851</v>
      </c>
      <c r="C1372" s="20" t="n">
        <f aca="false">ROUND(16.98/FX,2)</f>
        <v>2.36</v>
      </c>
      <c r="D1372" s="21" t="s">
        <v>3011</v>
      </c>
      <c r="E1372" s="21" t="s">
        <v>3317</v>
      </c>
      <c r="F1372" s="21" t="s">
        <v>2911</v>
      </c>
    </row>
    <row r="1373" customFormat="false" ht="15" hidden="false" customHeight="false" outlineLevel="0" collapsed="false">
      <c r="B1373" s="19" t="s">
        <v>29852</v>
      </c>
      <c r="C1373" s="20" t="n">
        <f aca="false">ROUND(17.55/FX,2)</f>
        <v>2.44</v>
      </c>
      <c r="D1373" s="21" t="s">
        <v>7396</v>
      </c>
      <c r="E1373" s="21" t="s">
        <v>3317</v>
      </c>
      <c r="F1373" s="21" t="s">
        <v>2911</v>
      </c>
    </row>
    <row r="1374" customFormat="false" ht="15" hidden="false" customHeight="false" outlineLevel="0" collapsed="false">
      <c r="B1374" s="19" t="s">
        <v>29853</v>
      </c>
      <c r="C1374" s="20" t="n">
        <f aca="false">ROUND(19.75/FX,2)</f>
        <v>2.74</v>
      </c>
      <c r="D1374" s="21" t="s">
        <v>3061</v>
      </c>
      <c r="E1374" s="21" t="s">
        <v>3317</v>
      </c>
      <c r="F1374" s="21" t="s">
        <v>2911</v>
      </c>
    </row>
    <row r="1375" customFormat="false" ht="15" hidden="false" customHeight="false" outlineLevel="0" collapsed="false">
      <c r="B1375" s="19" t="s">
        <v>29854</v>
      </c>
      <c r="C1375" s="20" t="n">
        <f aca="false">ROUND(21.52/FX,2)</f>
        <v>2.99</v>
      </c>
      <c r="D1375" s="21" t="s">
        <v>11870</v>
      </c>
      <c r="E1375" s="21" t="s">
        <v>3317</v>
      </c>
      <c r="F1375" s="21" t="s">
        <v>2911</v>
      </c>
    </row>
    <row r="1376" customFormat="false" ht="15" hidden="false" customHeight="false" outlineLevel="0" collapsed="false">
      <c r="B1376" s="19" t="s">
        <v>29855</v>
      </c>
      <c r="C1376" s="20" t="n">
        <f aca="false">ROUND(22.3/FX,2)</f>
        <v>3.1</v>
      </c>
      <c r="D1376" s="21" t="s">
        <v>3111</v>
      </c>
      <c r="E1376" s="21" t="s">
        <v>3317</v>
      </c>
      <c r="F1376" s="21" t="s">
        <v>2911</v>
      </c>
    </row>
    <row r="1377" customFormat="false" ht="15" hidden="false" customHeight="false" outlineLevel="0" collapsed="false">
      <c r="B1377" s="19" t="s">
        <v>29856</v>
      </c>
      <c r="C1377" s="20" t="n">
        <f aca="false">ROUND(25.06/FX,2)</f>
        <v>3.48</v>
      </c>
      <c r="D1377" s="21" t="s">
        <v>12306</v>
      </c>
      <c r="E1377" s="21" t="s">
        <v>3317</v>
      </c>
      <c r="F1377" s="21" t="s">
        <v>2911</v>
      </c>
    </row>
    <row r="1378" customFormat="false" ht="15" hidden="false" customHeight="false" outlineLevel="0" collapsed="false">
      <c r="B1378" s="19" t="s">
        <v>29857</v>
      </c>
      <c r="C1378" s="20" t="n">
        <f aca="false">ROUND(0.7/FX,2)</f>
        <v>0.1</v>
      </c>
      <c r="D1378" s="21" t="s">
        <v>3247</v>
      </c>
      <c r="E1378" s="21" t="s">
        <v>839</v>
      </c>
      <c r="F1378" s="21" t="s">
        <v>716</v>
      </c>
    </row>
    <row r="1379" customFormat="false" ht="15" hidden="false" customHeight="false" outlineLevel="0" collapsed="false">
      <c r="B1379" s="19" t="s">
        <v>29858</v>
      </c>
      <c r="C1379" s="20" t="n">
        <f aca="false">ROUND(0.7/FX,2)</f>
        <v>0.1</v>
      </c>
      <c r="D1379" s="21" t="s">
        <v>3317</v>
      </c>
      <c r="E1379" s="21" t="s">
        <v>839</v>
      </c>
      <c r="F1379" s="21" t="s">
        <v>716</v>
      </c>
    </row>
    <row r="1380" customFormat="false" ht="15" hidden="false" customHeight="false" outlineLevel="0" collapsed="false">
      <c r="B1380" s="19" t="s">
        <v>29859</v>
      </c>
      <c r="C1380" s="20" t="n">
        <f aca="false">ROUND(0.94/FX,2)</f>
        <v>0.13</v>
      </c>
      <c r="D1380" s="21" t="s">
        <v>784</v>
      </c>
      <c r="E1380" s="21" t="s">
        <v>839</v>
      </c>
      <c r="F1380" s="21" t="s">
        <v>716</v>
      </c>
    </row>
    <row r="1381" customFormat="false" ht="15" hidden="false" customHeight="false" outlineLevel="0" collapsed="false">
      <c r="B1381" s="19" t="s">
        <v>29860</v>
      </c>
      <c r="C1381" s="20" t="n">
        <f aca="false">ROUND(6.53/FX,2)</f>
        <v>0.91</v>
      </c>
      <c r="D1381" s="21" t="s">
        <v>1520</v>
      </c>
      <c r="E1381" s="21" t="s">
        <v>839</v>
      </c>
      <c r="F1381" s="21" t="s">
        <v>716</v>
      </c>
    </row>
    <row r="1382" customFormat="false" ht="15" hidden="false" customHeight="false" outlineLevel="0" collapsed="false">
      <c r="B1382" s="19" t="s">
        <v>29861</v>
      </c>
      <c r="C1382" s="20" t="n">
        <f aca="false">ROUND(1.02/FX,2)</f>
        <v>0.14</v>
      </c>
      <c r="D1382" s="21" t="s">
        <v>3328</v>
      </c>
      <c r="E1382" s="21" t="s">
        <v>839</v>
      </c>
      <c r="F1382" s="21" t="s">
        <v>716</v>
      </c>
    </row>
    <row r="1383" customFormat="false" ht="15" hidden="false" customHeight="false" outlineLevel="0" collapsed="false">
      <c r="B1383" s="19" t="s">
        <v>29862</v>
      </c>
      <c r="C1383" s="20" t="n">
        <f aca="false">ROUND(1.02/FX,2)</f>
        <v>0.14</v>
      </c>
      <c r="D1383" s="21" t="s">
        <v>6246</v>
      </c>
      <c r="E1383" s="21" t="s">
        <v>839</v>
      </c>
      <c r="F1383" s="21" t="s">
        <v>716</v>
      </c>
    </row>
    <row r="1384" customFormat="false" ht="15" hidden="false" customHeight="false" outlineLevel="0" collapsed="false">
      <c r="B1384" s="19" t="s">
        <v>29863</v>
      </c>
      <c r="C1384" s="20" t="n">
        <f aca="false">ROUND(1.02/FX,2)</f>
        <v>0.14</v>
      </c>
      <c r="D1384" s="21" t="s">
        <v>7358</v>
      </c>
      <c r="E1384" s="21" t="s">
        <v>839</v>
      </c>
      <c r="F1384" s="21" t="s">
        <v>716</v>
      </c>
    </row>
    <row r="1385" customFormat="false" ht="15" hidden="false" customHeight="false" outlineLevel="0" collapsed="false">
      <c r="B1385" s="19" t="s">
        <v>29864</v>
      </c>
      <c r="C1385" s="20" t="n">
        <f aca="false">ROUND(1.13/FX,2)</f>
        <v>0.16</v>
      </c>
      <c r="D1385" s="21" t="s">
        <v>2911</v>
      </c>
      <c r="E1385" s="21" t="s">
        <v>839</v>
      </c>
      <c r="F1385" s="21" t="s">
        <v>716</v>
      </c>
    </row>
    <row r="1386" customFormat="false" ht="15" hidden="false" customHeight="false" outlineLevel="0" collapsed="false">
      <c r="B1386" s="19" t="s">
        <v>29865</v>
      </c>
      <c r="C1386" s="20" t="n">
        <f aca="false">ROUND(1.2/FX,2)</f>
        <v>0.17</v>
      </c>
      <c r="D1386" s="21" t="s">
        <v>7275</v>
      </c>
      <c r="E1386" s="21" t="s">
        <v>839</v>
      </c>
      <c r="F1386" s="21" t="s">
        <v>716</v>
      </c>
    </row>
    <row r="1387" customFormat="false" ht="15" hidden="false" customHeight="false" outlineLevel="0" collapsed="false">
      <c r="B1387" s="19" t="s">
        <v>29866</v>
      </c>
      <c r="C1387" s="20" t="n">
        <f aca="false">ROUND(1.33/FX,2)</f>
        <v>0.18</v>
      </c>
      <c r="D1387" s="21" t="s">
        <v>2961</v>
      </c>
      <c r="E1387" s="21" t="s">
        <v>839</v>
      </c>
      <c r="F1387" s="21" t="s">
        <v>716</v>
      </c>
    </row>
    <row r="1388" customFormat="false" ht="15" hidden="false" customHeight="false" outlineLevel="0" collapsed="false">
      <c r="B1388" s="19" t="s">
        <v>29867</v>
      </c>
      <c r="C1388" s="20" t="n">
        <f aca="false">ROUND(1.4/FX,2)</f>
        <v>0.19</v>
      </c>
      <c r="D1388" s="21" t="s">
        <v>13817</v>
      </c>
      <c r="E1388" s="21" t="s">
        <v>839</v>
      </c>
      <c r="F1388" s="21" t="s">
        <v>716</v>
      </c>
    </row>
    <row r="1389" customFormat="false" ht="15" hidden="false" customHeight="false" outlineLevel="0" collapsed="false">
      <c r="B1389" s="19" t="s">
        <v>29868</v>
      </c>
      <c r="C1389" s="20" t="n">
        <f aca="false">ROUND(1.52/FX,2)</f>
        <v>0.21</v>
      </c>
      <c r="D1389" s="21" t="s">
        <v>3011</v>
      </c>
      <c r="E1389" s="21" t="s">
        <v>839</v>
      </c>
      <c r="F1389" s="21" t="s">
        <v>716</v>
      </c>
    </row>
    <row r="1390" customFormat="false" ht="15" hidden="false" customHeight="false" outlineLevel="0" collapsed="false">
      <c r="B1390" s="19" t="s">
        <v>29869</v>
      </c>
      <c r="C1390" s="20" t="n">
        <f aca="false">ROUND(50.64/FX,2)</f>
        <v>7.03</v>
      </c>
      <c r="D1390" s="21" t="s">
        <v>2600</v>
      </c>
      <c r="E1390" s="21" t="s">
        <v>784</v>
      </c>
      <c r="F1390" s="21" t="s">
        <v>2961</v>
      </c>
    </row>
    <row r="1391" customFormat="false" ht="15" hidden="false" customHeight="false" outlineLevel="0" collapsed="false">
      <c r="B1391" s="19" t="s">
        <v>29870</v>
      </c>
      <c r="C1391" s="20" t="n">
        <f aca="false">ROUND(53.11/FX,2)</f>
        <v>7.38</v>
      </c>
      <c r="D1391" s="21" t="s">
        <v>2651</v>
      </c>
      <c r="E1391" s="21" t="s">
        <v>784</v>
      </c>
      <c r="F1391" s="21" t="s">
        <v>2961</v>
      </c>
    </row>
    <row r="1392" customFormat="false" ht="15" hidden="false" customHeight="false" outlineLevel="0" collapsed="false">
      <c r="B1392" s="19" t="s">
        <v>29871</v>
      </c>
      <c r="C1392" s="20" t="n">
        <f aca="false">ROUND(54.34/FX,2)</f>
        <v>7.55</v>
      </c>
      <c r="D1392" s="21" t="s">
        <v>2701</v>
      </c>
      <c r="E1392" s="21" t="s">
        <v>784</v>
      </c>
      <c r="F1392" s="21" t="s">
        <v>2961</v>
      </c>
    </row>
    <row r="1393" customFormat="false" ht="15" hidden="false" customHeight="false" outlineLevel="0" collapsed="false">
      <c r="B1393" s="19" t="s">
        <v>29872</v>
      </c>
      <c r="C1393" s="20" t="n">
        <f aca="false">ROUND(55.58/FX,2)</f>
        <v>7.72</v>
      </c>
      <c r="D1393" s="21" t="s">
        <v>11968</v>
      </c>
      <c r="E1393" s="21" t="s">
        <v>784</v>
      </c>
      <c r="F1393" s="21" t="s">
        <v>2961</v>
      </c>
    </row>
    <row r="1394" customFormat="false" ht="15" hidden="false" customHeight="false" outlineLevel="0" collapsed="false">
      <c r="B1394" s="19" t="s">
        <v>29873</v>
      </c>
      <c r="C1394" s="20" t="n">
        <f aca="false">ROUND(58.05/FX,2)</f>
        <v>8.06</v>
      </c>
      <c r="D1394" s="21" t="s">
        <v>2751</v>
      </c>
      <c r="E1394" s="21" t="s">
        <v>784</v>
      </c>
      <c r="F1394" s="21" t="s">
        <v>2961</v>
      </c>
    </row>
    <row r="1395" customFormat="false" ht="15" hidden="false" customHeight="false" outlineLevel="0" collapsed="false">
      <c r="B1395" s="19" t="s">
        <v>29874</v>
      </c>
      <c r="C1395" s="20" t="n">
        <f aca="false">ROUND(60.52/FX,2)</f>
        <v>8.41</v>
      </c>
      <c r="D1395" s="21" t="s">
        <v>2801</v>
      </c>
      <c r="E1395" s="21" t="s">
        <v>784</v>
      </c>
      <c r="F1395" s="21" t="s">
        <v>2961</v>
      </c>
    </row>
    <row r="1396" customFormat="false" ht="15" hidden="false" customHeight="false" outlineLevel="0" collapsed="false">
      <c r="B1396" s="19" t="s">
        <v>29875</v>
      </c>
      <c r="C1396" s="20" t="n">
        <f aca="false">ROUND(67.93/FX,2)</f>
        <v>9.43</v>
      </c>
      <c r="D1396" s="21" t="s">
        <v>2851</v>
      </c>
      <c r="E1396" s="21" t="s">
        <v>784</v>
      </c>
      <c r="F1396" s="21" t="s">
        <v>2961</v>
      </c>
    </row>
    <row r="1397" customFormat="false" ht="15" hidden="false" customHeight="false" outlineLevel="0" collapsed="false">
      <c r="B1397" s="19" t="s">
        <v>29876</v>
      </c>
      <c r="C1397" s="20" t="n">
        <f aca="false">ROUND(83.98/FX,2)</f>
        <v>11.66</v>
      </c>
      <c r="D1397" s="21" t="s">
        <v>1048</v>
      </c>
      <c r="E1397" s="21" t="s">
        <v>784</v>
      </c>
      <c r="F1397" s="21" t="s">
        <v>2961</v>
      </c>
    </row>
    <row r="1398" customFormat="false" ht="15" hidden="false" customHeight="false" outlineLevel="0" collapsed="false">
      <c r="B1398" s="19" t="s">
        <v>29877</v>
      </c>
      <c r="C1398" s="20" t="n">
        <f aca="false">ROUND(85.22/FX,2)</f>
        <v>11.84</v>
      </c>
      <c r="D1398" s="21" t="s">
        <v>3991</v>
      </c>
      <c r="E1398" s="21" t="s">
        <v>784</v>
      </c>
      <c r="F1398" s="21" t="s">
        <v>2961</v>
      </c>
    </row>
    <row r="1399" customFormat="false" ht="15" hidden="false" customHeight="false" outlineLevel="0" collapsed="false">
      <c r="B1399" s="19" t="s">
        <v>29878</v>
      </c>
      <c r="C1399" s="20" t="n">
        <f aca="false">ROUND(92.63/FX,2)</f>
        <v>12.87</v>
      </c>
      <c r="D1399" s="21" t="s">
        <v>1323</v>
      </c>
      <c r="E1399" s="21" t="s">
        <v>784</v>
      </c>
      <c r="F1399" s="21" t="s">
        <v>2961</v>
      </c>
    </row>
    <row r="1400" customFormat="false" ht="15" hidden="false" customHeight="false" outlineLevel="0" collapsed="false">
      <c r="B1400" s="19" t="s">
        <v>29879</v>
      </c>
      <c r="C1400" s="20" t="n">
        <f aca="false">ROUND(95.1/FX,2)</f>
        <v>13.21</v>
      </c>
      <c r="D1400" s="21" t="s">
        <v>4883</v>
      </c>
      <c r="E1400" s="21" t="s">
        <v>784</v>
      </c>
      <c r="F1400" s="21" t="s">
        <v>2961</v>
      </c>
    </row>
    <row r="1401" customFormat="false" ht="15" hidden="false" customHeight="false" outlineLevel="0" collapsed="false">
      <c r="B1401" s="19" t="s">
        <v>29880</v>
      </c>
      <c r="C1401" s="20" t="n">
        <f aca="false">ROUND(116.09/FX,2)</f>
        <v>16.12</v>
      </c>
      <c r="D1401" s="21" t="s">
        <v>1520</v>
      </c>
      <c r="E1401" s="21" t="s">
        <v>784</v>
      </c>
      <c r="F1401" s="21" t="s">
        <v>2961</v>
      </c>
    </row>
    <row r="1402" customFormat="false" ht="15" hidden="false" customHeight="false" outlineLevel="0" collapsed="false">
      <c r="B1402" s="19" t="s">
        <v>29881</v>
      </c>
      <c r="C1402" s="20" t="n">
        <f aca="false">ROUND(29.4/FX,2)</f>
        <v>4.08</v>
      </c>
      <c r="D1402" s="21" t="s">
        <v>2961</v>
      </c>
      <c r="E1402" s="21" t="s">
        <v>784</v>
      </c>
      <c r="F1402" s="21" t="s">
        <v>2961</v>
      </c>
    </row>
    <row r="1403" customFormat="false" ht="15" hidden="false" customHeight="false" outlineLevel="0" collapsed="false">
      <c r="B1403" s="19" t="s">
        <v>29882</v>
      </c>
      <c r="C1403" s="20" t="n">
        <f aca="false">ROUND(30.88/FX,2)</f>
        <v>4.29</v>
      </c>
      <c r="D1403" s="21" t="s">
        <v>13817</v>
      </c>
      <c r="E1403" s="21" t="s">
        <v>784</v>
      </c>
      <c r="F1403" s="21" t="s">
        <v>2961</v>
      </c>
    </row>
    <row r="1404" customFormat="false" ht="15" hidden="false" customHeight="false" outlineLevel="0" collapsed="false">
      <c r="B1404" s="19" t="s">
        <v>29883</v>
      </c>
      <c r="C1404" s="20" t="n">
        <f aca="false">ROUND(33.35/FX,2)</f>
        <v>4.63</v>
      </c>
      <c r="D1404" s="21" t="s">
        <v>3011</v>
      </c>
      <c r="E1404" s="21" t="s">
        <v>784</v>
      </c>
      <c r="F1404" s="21" t="s">
        <v>2961</v>
      </c>
    </row>
    <row r="1405" customFormat="false" ht="15" hidden="false" customHeight="false" outlineLevel="0" collapsed="false">
      <c r="B1405" s="19" t="s">
        <v>29884</v>
      </c>
      <c r="C1405" s="20" t="n">
        <f aca="false">ROUND(35.82/FX,2)</f>
        <v>4.98</v>
      </c>
      <c r="D1405" s="21" t="s">
        <v>7396</v>
      </c>
      <c r="E1405" s="21" t="s">
        <v>784</v>
      </c>
      <c r="F1405" s="21" t="s">
        <v>2961</v>
      </c>
    </row>
    <row r="1406" customFormat="false" ht="15" hidden="false" customHeight="false" outlineLevel="0" collapsed="false">
      <c r="B1406" s="19" t="s">
        <v>29885</v>
      </c>
      <c r="C1406" s="20" t="n">
        <f aca="false">ROUND(38.29/FX,2)</f>
        <v>5.32</v>
      </c>
      <c r="D1406" s="21" t="s">
        <v>3061</v>
      </c>
      <c r="E1406" s="21" t="s">
        <v>784</v>
      </c>
      <c r="F1406" s="21" t="s">
        <v>2961</v>
      </c>
    </row>
    <row r="1407" customFormat="false" ht="15" hidden="false" customHeight="false" outlineLevel="0" collapsed="false">
      <c r="B1407" s="19" t="s">
        <v>29886</v>
      </c>
      <c r="C1407" s="20" t="n">
        <f aca="false">ROUND(40.76/FX,2)</f>
        <v>5.66</v>
      </c>
      <c r="D1407" s="21" t="s">
        <v>11870</v>
      </c>
      <c r="E1407" s="21" t="s">
        <v>784</v>
      </c>
      <c r="F1407" s="21" t="s">
        <v>2961</v>
      </c>
    </row>
    <row r="1408" customFormat="false" ht="15" hidden="false" customHeight="false" outlineLevel="0" collapsed="false">
      <c r="B1408" s="19" t="s">
        <v>29887</v>
      </c>
      <c r="C1408" s="20" t="n">
        <f aca="false">ROUND(45.7/FX,2)</f>
        <v>6.35</v>
      </c>
      <c r="D1408" s="21" t="s">
        <v>3111</v>
      </c>
      <c r="E1408" s="21" t="s">
        <v>784</v>
      </c>
      <c r="F1408" s="21" t="s">
        <v>2961</v>
      </c>
    </row>
    <row r="1409" customFormat="false" ht="15" hidden="false" customHeight="false" outlineLevel="0" collapsed="false">
      <c r="B1409" s="19" t="s">
        <v>29888</v>
      </c>
      <c r="C1409" s="20" t="n">
        <f aca="false">ROUND(48.17/FX,2)</f>
        <v>6.69</v>
      </c>
      <c r="D1409" s="21" t="s">
        <v>12306</v>
      </c>
      <c r="E1409" s="21" t="s">
        <v>784</v>
      </c>
      <c r="F1409" s="21" t="s">
        <v>2961</v>
      </c>
    </row>
    <row r="1410" customFormat="false" ht="15" hidden="false" customHeight="false" outlineLevel="0" collapsed="false">
      <c r="B1410" s="19" t="s">
        <v>29889</v>
      </c>
      <c r="C1410" s="20" t="n">
        <f aca="false">ROUND(123.5/FX,2)</f>
        <v>17.15</v>
      </c>
      <c r="D1410" s="21" t="s">
        <v>2600</v>
      </c>
      <c r="E1410" s="21" t="s">
        <v>6246</v>
      </c>
      <c r="F1410" s="21" t="s">
        <v>3011</v>
      </c>
    </row>
    <row r="1411" customFormat="false" ht="15" hidden="false" customHeight="false" outlineLevel="0" collapsed="false">
      <c r="B1411" s="19" t="s">
        <v>29890</v>
      </c>
      <c r="C1411" s="20" t="n">
        <f aca="false">ROUND(129.68/FX,2)</f>
        <v>18.01</v>
      </c>
      <c r="D1411" s="21" t="s">
        <v>11968</v>
      </c>
      <c r="E1411" s="21" t="s">
        <v>6246</v>
      </c>
      <c r="F1411" s="21" t="s">
        <v>3011</v>
      </c>
    </row>
    <row r="1412" customFormat="false" ht="15" hidden="false" customHeight="false" outlineLevel="0" collapsed="false">
      <c r="B1412" s="19" t="s">
        <v>29891</v>
      </c>
      <c r="C1412" s="20" t="n">
        <f aca="false">ROUND(135.85/FX,2)</f>
        <v>18.87</v>
      </c>
      <c r="D1412" s="21" t="s">
        <v>2851</v>
      </c>
      <c r="E1412" s="21" t="s">
        <v>6246</v>
      </c>
      <c r="F1412" s="21" t="s">
        <v>3011</v>
      </c>
    </row>
    <row r="1413" customFormat="false" ht="15" hidden="false" customHeight="false" outlineLevel="0" collapsed="false">
      <c r="B1413" s="19" t="s">
        <v>29892</v>
      </c>
      <c r="C1413" s="20" t="n">
        <f aca="false">ROUND(148.2/FX,2)</f>
        <v>20.58</v>
      </c>
      <c r="D1413" s="21" t="s">
        <v>6497</v>
      </c>
      <c r="E1413" s="21" t="s">
        <v>6246</v>
      </c>
      <c r="F1413" s="21" t="s">
        <v>3011</v>
      </c>
    </row>
    <row r="1414" customFormat="false" ht="15" hidden="false" customHeight="false" outlineLevel="0" collapsed="false">
      <c r="B1414" s="19" t="s">
        <v>29893</v>
      </c>
      <c r="C1414" s="20" t="n">
        <f aca="false">ROUND(166.73/FX,2)</f>
        <v>23.16</v>
      </c>
      <c r="D1414" s="21" t="s">
        <v>1048</v>
      </c>
      <c r="E1414" s="21" t="s">
        <v>6246</v>
      </c>
      <c r="F1414" s="21" t="s">
        <v>3011</v>
      </c>
    </row>
    <row r="1415" customFormat="false" ht="15" hidden="false" customHeight="false" outlineLevel="0" collapsed="false">
      <c r="B1415" s="19" t="s">
        <v>29894</v>
      </c>
      <c r="C1415" s="20" t="n">
        <f aca="false">ROUND(185.25/FX,2)</f>
        <v>25.73</v>
      </c>
      <c r="D1415" s="21" t="s">
        <v>1323</v>
      </c>
      <c r="E1415" s="21" t="s">
        <v>6246</v>
      </c>
      <c r="F1415" s="21" t="s">
        <v>3011</v>
      </c>
    </row>
    <row r="1416" customFormat="false" ht="15" hidden="false" customHeight="false" outlineLevel="0" collapsed="false">
      <c r="B1416" s="19" t="s">
        <v>29895</v>
      </c>
      <c r="C1416" s="20" t="n">
        <f aca="false">ROUND(209.95/FX,2)</f>
        <v>29.16</v>
      </c>
      <c r="D1416" s="21" t="s">
        <v>1520</v>
      </c>
      <c r="E1416" s="21" t="s">
        <v>6246</v>
      </c>
      <c r="F1416" s="21" t="s">
        <v>3011</v>
      </c>
    </row>
    <row r="1417" customFormat="false" ht="15" hidden="false" customHeight="false" outlineLevel="0" collapsed="false">
      <c r="B1417" s="19" t="s">
        <v>29896</v>
      </c>
      <c r="C1417" s="20" t="n">
        <f aca="false">ROUND(109.92/FX,2)</f>
        <v>15.27</v>
      </c>
      <c r="D1417" s="21" t="s">
        <v>3011</v>
      </c>
      <c r="E1417" s="21" t="s">
        <v>6246</v>
      </c>
      <c r="F1417" s="21" t="s">
        <v>3011</v>
      </c>
    </row>
    <row r="1418" customFormat="false" ht="15" hidden="false" customHeight="false" outlineLevel="0" collapsed="false">
      <c r="B1418" s="19" t="s">
        <v>29897</v>
      </c>
      <c r="C1418" s="20" t="n">
        <f aca="false">ROUND(116.09/FX,2)</f>
        <v>16.12</v>
      </c>
      <c r="D1418" s="21" t="s">
        <v>3061</v>
      </c>
      <c r="E1418" s="21" t="s">
        <v>6246</v>
      </c>
      <c r="F1418" s="21" t="s">
        <v>3011</v>
      </c>
    </row>
    <row r="1419" customFormat="false" ht="15" hidden="false" customHeight="false" outlineLevel="0" collapsed="false">
      <c r="B1419" s="19" t="s">
        <v>29898</v>
      </c>
      <c r="C1419" s="20" t="n">
        <f aca="false">ROUND(118.56/FX,2)</f>
        <v>16.47</v>
      </c>
      <c r="D1419" s="21" t="s">
        <v>3111</v>
      </c>
      <c r="E1419" s="21" t="s">
        <v>6246</v>
      </c>
      <c r="F1419" s="21" t="s">
        <v>3011</v>
      </c>
    </row>
    <row r="1420" customFormat="false" ht="15" hidden="false" customHeight="false" outlineLevel="0" collapsed="false">
      <c r="B1420" s="19" t="s">
        <v>29899</v>
      </c>
      <c r="C1420" s="20" t="n">
        <f aca="false">ROUND(1.98/FX,2)</f>
        <v>0.28</v>
      </c>
      <c r="D1420" s="21" t="s">
        <v>2600</v>
      </c>
      <c r="E1420" s="21" t="s">
        <v>841</v>
      </c>
      <c r="F1420" s="21" t="s">
        <v>847</v>
      </c>
    </row>
    <row r="1421" customFormat="false" ht="15" hidden="false" customHeight="false" outlineLevel="0" collapsed="false">
      <c r="B1421" s="19" t="s">
        <v>29900</v>
      </c>
      <c r="C1421" s="20" t="n">
        <f aca="false">ROUND(0.78/FX,2)</f>
        <v>0.11</v>
      </c>
      <c r="D1421" s="21" t="s">
        <v>3247</v>
      </c>
      <c r="E1421" s="21" t="s">
        <v>841</v>
      </c>
      <c r="F1421" s="21" t="s">
        <v>847</v>
      </c>
    </row>
    <row r="1422" customFormat="false" ht="15" hidden="false" customHeight="false" outlineLevel="0" collapsed="false">
      <c r="B1422" s="19" t="s">
        <v>29901</v>
      </c>
      <c r="C1422" s="20" t="n">
        <f aca="false">ROUND(0.91/FX,2)</f>
        <v>0.13</v>
      </c>
      <c r="D1422" s="21" t="s">
        <v>3317</v>
      </c>
      <c r="E1422" s="21" t="s">
        <v>841</v>
      </c>
      <c r="F1422" s="21" t="s">
        <v>847</v>
      </c>
    </row>
    <row r="1423" customFormat="false" ht="15" hidden="false" customHeight="false" outlineLevel="0" collapsed="false">
      <c r="B1423" s="19" t="s">
        <v>29902</v>
      </c>
      <c r="C1423" s="20" t="n">
        <f aca="false">ROUND(0.81/FX,2)</f>
        <v>0.11</v>
      </c>
      <c r="D1423" s="21" t="s">
        <v>784</v>
      </c>
      <c r="E1423" s="21" t="s">
        <v>841</v>
      </c>
      <c r="F1423" s="21" t="s">
        <v>847</v>
      </c>
    </row>
    <row r="1424" customFormat="false" ht="15" hidden="false" customHeight="false" outlineLevel="0" collapsed="false">
      <c r="B1424" s="19" t="s">
        <v>29903</v>
      </c>
      <c r="C1424" s="20" t="n">
        <f aca="false">ROUND(6.53/FX,2)</f>
        <v>0.91</v>
      </c>
      <c r="D1424" s="21" t="s">
        <v>1520</v>
      </c>
      <c r="E1424" s="21" t="s">
        <v>841</v>
      </c>
      <c r="F1424" s="21" t="s">
        <v>847</v>
      </c>
    </row>
    <row r="1425" customFormat="false" ht="15" hidden="false" customHeight="false" outlineLevel="0" collapsed="false">
      <c r="B1425" s="19" t="s">
        <v>29904</v>
      </c>
      <c r="C1425" s="20" t="n">
        <f aca="false">ROUND(0.87/FX,2)</f>
        <v>0.12</v>
      </c>
      <c r="D1425" s="21" t="s">
        <v>3328</v>
      </c>
      <c r="E1425" s="21" t="s">
        <v>841</v>
      </c>
      <c r="F1425" s="21" t="s">
        <v>847</v>
      </c>
    </row>
    <row r="1426" customFormat="false" ht="15" hidden="false" customHeight="false" outlineLevel="0" collapsed="false">
      <c r="B1426" s="19" t="s">
        <v>29905</v>
      </c>
      <c r="C1426" s="20" t="n">
        <f aca="false">ROUND(0.87/FX,2)</f>
        <v>0.12</v>
      </c>
      <c r="D1426" s="21" t="s">
        <v>6246</v>
      </c>
      <c r="E1426" s="21" t="s">
        <v>841</v>
      </c>
      <c r="F1426" s="21" t="s">
        <v>847</v>
      </c>
    </row>
    <row r="1427" customFormat="false" ht="15" hidden="false" customHeight="false" outlineLevel="0" collapsed="false">
      <c r="B1427" s="19" t="s">
        <v>29906</v>
      </c>
      <c r="C1427" s="20" t="n">
        <f aca="false">ROUND(0.87/FX,2)</f>
        <v>0.12</v>
      </c>
      <c r="D1427" s="21" t="s">
        <v>7358</v>
      </c>
      <c r="E1427" s="21" t="s">
        <v>841</v>
      </c>
      <c r="F1427" s="21" t="s">
        <v>847</v>
      </c>
    </row>
    <row r="1428" customFormat="false" ht="15" hidden="false" customHeight="false" outlineLevel="0" collapsed="false">
      <c r="B1428" s="19" t="s">
        <v>29907</v>
      </c>
      <c r="C1428" s="20" t="n">
        <f aca="false">ROUND(0.99/FX,2)</f>
        <v>0.14</v>
      </c>
      <c r="D1428" s="21" t="s">
        <v>2911</v>
      </c>
      <c r="E1428" s="21" t="s">
        <v>841</v>
      </c>
      <c r="F1428" s="21" t="s">
        <v>847</v>
      </c>
    </row>
    <row r="1429" customFormat="false" ht="15" hidden="false" customHeight="false" outlineLevel="0" collapsed="false">
      <c r="B1429" s="19" t="s">
        <v>29908</v>
      </c>
      <c r="C1429" s="20" t="n">
        <f aca="false">ROUND(1.03/FX,2)</f>
        <v>0.14</v>
      </c>
      <c r="D1429" s="21" t="s">
        <v>7275</v>
      </c>
      <c r="E1429" s="21" t="s">
        <v>841</v>
      </c>
      <c r="F1429" s="21" t="s">
        <v>847</v>
      </c>
    </row>
    <row r="1430" customFormat="false" ht="15" hidden="false" customHeight="false" outlineLevel="0" collapsed="false">
      <c r="B1430" s="19" t="s">
        <v>29909</v>
      </c>
      <c r="C1430" s="20" t="n">
        <f aca="false">ROUND(1.19/FX,2)</f>
        <v>0.17</v>
      </c>
      <c r="D1430" s="21" t="s">
        <v>2961</v>
      </c>
      <c r="E1430" s="21" t="s">
        <v>841</v>
      </c>
      <c r="F1430" s="21" t="s">
        <v>847</v>
      </c>
    </row>
    <row r="1431" customFormat="false" ht="15" hidden="false" customHeight="false" outlineLevel="0" collapsed="false">
      <c r="B1431" s="19" t="s">
        <v>29910</v>
      </c>
      <c r="C1431" s="20" t="n">
        <f aca="false">ROUND(1.24/FX,2)</f>
        <v>0.17</v>
      </c>
      <c r="D1431" s="21" t="s">
        <v>13817</v>
      </c>
      <c r="E1431" s="21" t="s">
        <v>841</v>
      </c>
      <c r="F1431" s="21" t="s">
        <v>847</v>
      </c>
    </row>
    <row r="1432" customFormat="false" ht="15" hidden="false" customHeight="false" outlineLevel="0" collapsed="false">
      <c r="B1432" s="19" t="s">
        <v>29911</v>
      </c>
      <c r="C1432" s="20" t="n">
        <f aca="false">ROUND(1.37/FX,2)</f>
        <v>0.19</v>
      </c>
      <c r="D1432" s="21" t="s">
        <v>3011</v>
      </c>
      <c r="E1432" s="21" t="s">
        <v>841</v>
      </c>
      <c r="F1432" s="21" t="s">
        <v>847</v>
      </c>
    </row>
    <row r="1433" customFormat="false" ht="15" hidden="false" customHeight="false" outlineLevel="0" collapsed="false">
      <c r="B1433" s="19" t="s">
        <v>29912</v>
      </c>
      <c r="C1433" s="20" t="n">
        <f aca="false">ROUND(1.48/FX,2)</f>
        <v>0.21</v>
      </c>
      <c r="D1433" s="21" t="s">
        <v>7396</v>
      </c>
      <c r="E1433" s="21" t="s">
        <v>841</v>
      </c>
      <c r="F1433" s="21" t="s">
        <v>847</v>
      </c>
    </row>
    <row r="1434" customFormat="false" ht="15" hidden="false" customHeight="false" outlineLevel="0" collapsed="false">
      <c r="B1434" s="19" t="s">
        <v>29913</v>
      </c>
      <c r="C1434" s="20" t="n">
        <f aca="false">ROUND(1.58/FX,2)</f>
        <v>0.22</v>
      </c>
      <c r="D1434" s="21" t="s">
        <v>3061</v>
      </c>
      <c r="E1434" s="21" t="s">
        <v>841</v>
      </c>
      <c r="F1434" s="21" t="s">
        <v>847</v>
      </c>
    </row>
    <row r="1435" customFormat="false" ht="15" hidden="false" customHeight="false" outlineLevel="0" collapsed="false">
      <c r="B1435" s="19" t="s">
        <v>29914</v>
      </c>
      <c r="C1435" s="20" t="n">
        <f aca="false">ROUND(1.86/FX,2)</f>
        <v>0.26</v>
      </c>
      <c r="D1435" s="21" t="s">
        <v>11870</v>
      </c>
      <c r="E1435" s="21" t="s">
        <v>841</v>
      </c>
      <c r="F1435" s="21" t="s">
        <v>847</v>
      </c>
    </row>
    <row r="1436" customFormat="false" ht="15" hidden="false" customHeight="false" outlineLevel="0" collapsed="false">
      <c r="B1436" s="19" t="s">
        <v>29915</v>
      </c>
      <c r="C1436" s="20" t="n">
        <f aca="false">ROUND(1.86/FX,2)</f>
        <v>0.26</v>
      </c>
      <c r="D1436" s="21" t="s">
        <v>3111</v>
      </c>
      <c r="E1436" s="21" t="s">
        <v>841</v>
      </c>
      <c r="F1436" s="21" t="s">
        <v>847</v>
      </c>
    </row>
    <row r="1437" customFormat="false" ht="15" hidden="false" customHeight="false" outlineLevel="0" collapsed="false">
      <c r="B1437" s="19" t="s">
        <v>29916</v>
      </c>
      <c r="C1437" s="20" t="n">
        <f aca="false">ROUND(1.98/FX,2)</f>
        <v>0.28</v>
      </c>
      <c r="D1437" s="21" t="s">
        <v>12306</v>
      </c>
      <c r="E1437" s="21" t="s">
        <v>841</v>
      </c>
      <c r="F1437" s="21" t="s">
        <v>847</v>
      </c>
    </row>
    <row r="1440" customFormat="false" ht="61.5" hidden="false" customHeight="true" outlineLevel="0" collapsed="false">
      <c r="A1440" s="9"/>
      <c r="B1440" s="10" t="s">
        <v>29917</v>
      </c>
      <c r="C1440" s="10"/>
      <c r="D1440" s="10"/>
      <c r="E1440" s="10"/>
      <c r="F1440" s="10"/>
    </row>
    <row r="1441" customFormat="false" ht="15" hidden="false" customHeight="false" outlineLevel="0" collapsed="false">
      <c r="A1441" s="12" t="s">
        <v>700</v>
      </c>
      <c r="B1441" s="13" t="s">
        <v>701</v>
      </c>
      <c r="C1441" s="13" t="s">
        <v>702</v>
      </c>
      <c r="D1441" s="13" t="s">
        <v>11716</v>
      </c>
      <c r="E1441" s="13" t="s">
        <v>7711</v>
      </c>
      <c r="F1441" s="13" t="s">
        <v>14350</v>
      </c>
    </row>
    <row r="1442" customFormat="false" ht="30" hidden="false" customHeight="true" outlineLevel="0" collapsed="false">
      <c r="A1442" s="14" t="s">
        <v>706</v>
      </c>
      <c r="B1442" s="15" t="str">
        <f aca="false">IF(COUNTIFS($D$1445:$D$1590,IF(D1442="","*",D1442),$E$1445:$E$1590,IF(E1442="","*",E1442),$F$1445:$F$1590,IF(F1442="","*",F1442))=1,INDEX($B:$B,SUMPRODUCT(((D1442="")+($D$1445:$D$1590=D1442)&gt;0)*((E1442="")+($E$1445:$E$1590=E1442)&gt;0)*((F1442="")+($F$1445:$F$1590=F1442)&gt;0)*ROW($B$1445:$B$1590))),IF(COUNTIFS($D$1445:$D$1590,IF(D1442="","*",D1442),$E$1445:$E$1590,IF(E1442="","*",E1442),$F$1445:$F$1590,IF(F1442="","*",F1442))=0,"Not available",COUNTIFS($D$1445:$D$1590,IF(D1442="","*",D1442),$E$1445:$E$1590,IF(E1442="","*",E1442),$F$1445:$F$1590,IF(F1442="","*",F1442))&amp;" match, keep choosing"))</f>
        <v>SPR-LG-11-7-100</v>
      </c>
      <c r="C1442" s="16" t="n">
        <f aca="false">IF(COUNTIFS($D$1445:$D$1590,IF(D1442="","*",D1442),$E$1445:$E$1590,IF(E1442="","*",E1442),$F$1445:$F$1590,IF(F1442="","*",F1442))=1,INDEX($C:$C,SUMPRODUCT(((D1442="")+($D$1445:$D$1590=D1442)&gt;0)*((E1442="")+($E$1445:$E$1590=E1442)&gt;0)*((F1442="")+($F$1445:$F$1590=F1442)&gt;0)*ROW($B$1445:$B$1590))),"")</f>
        <v>0.92</v>
      </c>
      <c r="D1442" s="17" t="s">
        <v>2600</v>
      </c>
      <c r="E1442" s="17" t="s">
        <v>845</v>
      </c>
      <c r="F1442" s="17" t="s">
        <v>5091</v>
      </c>
    </row>
    <row r="1444" customFormat="false" ht="15" hidden="false" customHeight="false" outlineLevel="0" collapsed="false">
      <c r="B1444" s="18" t="s">
        <v>701</v>
      </c>
      <c r="C1444" s="18" t="s">
        <v>702</v>
      </c>
      <c r="D1444" s="18" t="s">
        <v>11716</v>
      </c>
      <c r="E1444" s="18" t="s">
        <v>7711</v>
      </c>
      <c r="F1444" s="18" t="s">
        <v>14350</v>
      </c>
    </row>
    <row r="1445" customFormat="false" ht="15" hidden="false" customHeight="false" outlineLevel="0" collapsed="false">
      <c r="B1445" s="19" t="s">
        <v>29918</v>
      </c>
      <c r="C1445" s="20" t="n">
        <f aca="false">ROUND(6.6/FX,2)</f>
        <v>0.92</v>
      </c>
      <c r="D1445" s="21" t="s">
        <v>2600</v>
      </c>
      <c r="E1445" s="21" t="s">
        <v>845</v>
      </c>
      <c r="F1445" s="21" t="s">
        <v>5091</v>
      </c>
    </row>
    <row r="1446" customFormat="false" ht="15" hidden="false" customHeight="false" outlineLevel="0" collapsed="false">
      <c r="B1446" s="19" t="s">
        <v>29919</v>
      </c>
      <c r="C1446" s="20" t="n">
        <f aca="false">ROUND(2.82/FX,2)</f>
        <v>0.39</v>
      </c>
      <c r="D1446" s="21" t="s">
        <v>3247</v>
      </c>
      <c r="E1446" s="21" t="s">
        <v>845</v>
      </c>
      <c r="F1446" s="21" t="s">
        <v>5091</v>
      </c>
    </row>
    <row r="1447" customFormat="false" ht="15" hidden="false" customHeight="false" outlineLevel="0" collapsed="false">
      <c r="B1447" s="19" t="s">
        <v>29920</v>
      </c>
      <c r="C1447" s="20" t="n">
        <f aca="false">ROUND(3.19/FX,2)</f>
        <v>0.44</v>
      </c>
      <c r="D1447" s="21" t="s">
        <v>3317</v>
      </c>
      <c r="E1447" s="21" t="s">
        <v>845</v>
      </c>
      <c r="F1447" s="21" t="s">
        <v>5091</v>
      </c>
    </row>
    <row r="1448" customFormat="false" ht="15" hidden="false" customHeight="false" outlineLevel="0" collapsed="false">
      <c r="B1448" s="19" t="s">
        <v>29921</v>
      </c>
      <c r="C1448" s="20" t="n">
        <f aca="false">ROUND(3.32/FX,2)</f>
        <v>0.46</v>
      </c>
      <c r="D1448" s="21" t="s">
        <v>784</v>
      </c>
      <c r="E1448" s="21" t="s">
        <v>845</v>
      </c>
      <c r="F1448" s="21" t="s">
        <v>5091</v>
      </c>
    </row>
    <row r="1449" customFormat="false" ht="15" hidden="false" customHeight="false" outlineLevel="0" collapsed="false">
      <c r="B1449" s="19" t="s">
        <v>29922</v>
      </c>
      <c r="C1449" s="20" t="n">
        <f aca="false">ROUND(3.67/FX,2)</f>
        <v>0.51</v>
      </c>
      <c r="D1449" s="21" t="s">
        <v>3328</v>
      </c>
      <c r="E1449" s="21" t="s">
        <v>845</v>
      </c>
      <c r="F1449" s="21" t="s">
        <v>5091</v>
      </c>
    </row>
    <row r="1450" customFormat="false" ht="15" hidden="false" customHeight="false" outlineLevel="0" collapsed="false">
      <c r="B1450" s="19" t="s">
        <v>29923</v>
      </c>
      <c r="C1450" s="20" t="n">
        <f aca="false">ROUND(3.91/FX,2)</f>
        <v>0.54</v>
      </c>
      <c r="D1450" s="21" t="s">
        <v>6246</v>
      </c>
      <c r="E1450" s="21" t="s">
        <v>845</v>
      </c>
      <c r="F1450" s="21" t="s">
        <v>5091</v>
      </c>
    </row>
    <row r="1451" customFormat="false" ht="15" hidden="false" customHeight="false" outlineLevel="0" collapsed="false">
      <c r="B1451" s="19" t="s">
        <v>29924</v>
      </c>
      <c r="C1451" s="20" t="n">
        <f aca="false">ROUND(4.04/FX,2)</f>
        <v>0.56</v>
      </c>
      <c r="D1451" s="21" t="s">
        <v>7358</v>
      </c>
      <c r="E1451" s="21" t="s">
        <v>845</v>
      </c>
      <c r="F1451" s="21" t="s">
        <v>5091</v>
      </c>
    </row>
    <row r="1452" customFormat="false" ht="15" hidden="false" customHeight="false" outlineLevel="0" collapsed="false">
      <c r="B1452" s="19" t="s">
        <v>29925</v>
      </c>
      <c r="C1452" s="20" t="n">
        <f aca="false">ROUND(4.16/FX,2)</f>
        <v>0.58</v>
      </c>
      <c r="D1452" s="21" t="s">
        <v>2911</v>
      </c>
      <c r="E1452" s="21" t="s">
        <v>845</v>
      </c>
      <c r="F1452" s="21" t="s">
        <v>5091</v>
      </c>
    </row>
    <row r="1453" customFormat="false" ht="15" hidden="false" customHeight="false" outlineLevel="0" collapsed="false">
      <c r="B1453" s="19" t="s">
        <v>29926</v>
      </c>
      <c r="C1453" s="20" t="n">
        <f aca="false">ROUND(4.29/FX,2)</f>
        <v>0.6</v>
      </c>
      <c r="D1453" s="21" t="s">
        <v>7275</v>
      </c>
      <c r="E1453" s="21" t="s">
        <v>845</v>
      </c>
      <c r="F1453" s="21" t="s">
        <v>5091</v>
      </c>
    </row>
    <row r="1454" customFormat="false" ht="15" hidden="false" customHeight="false" outlineLevel="0" collapsed="false">
      <c r="B1454" s="19" t="s">
        <v>29927</v>
      </c>
      <c r="C1454" s="20" t="n">
        <f aca="false">ROUND(4.65/FX,2)</f>
        <v>0.65</v>
      </c>
      <c r="D1454" s="21" t="s">
        <v>2961</v>
      </c>
      <c r="E1454" s="21" t="s">
        <v>845</v>
      </c>
      <c r="F1454" s="21" t="s">
        <v>5091</v>
      </c>
    </row>
    <row r="1455" customFormat="false" ht="15" hidden="false" customHeight="false" outlineLevel="0" collapsed="false">
      <c r="B1455" s="19" t="s">
        <v>29928</v>
      </c>
      <c r="C1455" s="20" t="n">
        <f aca="false">ROUND(5.14/FX,2)</f>
        <v>0.71</v>
      </c>
      <c r="D1455" s="21" t="s">
        <v>13817</v>
      </c>
      <c r="E1455" s="21" t="s">
        <v>845</v>
      </c>
      <c r="F1455" s="21" t="s">
        <v>5091</v>
      </c>
    </row>
    <row r="1456" customFormat="false" ht="15" hidden="false" customHeight="false" outlineLevel="0" collapsed="false">
      <c r="B1456" s="19" t="s">
        <v>29929</v>
      </c>
      <c r="C1456" s="20" t="n">
        <f aca="false">ROUND(5.38/FX,2)</f>
        <v>0.75</v>
      </c>
      <c r="D1456" s="21" t="s">
        <v>3011</v>
      </c>
      <c r="E1456" s="21" t="s">
        <v>845</v>
      </c>
      <c r="F1456" s="21" t="s">
        <v>5091</v>
      </c>
    </row>
    <row r="1457" customFormat="false" ht="15" hidden="false" customHeight="false" outlineLevel="0" collapsed="false">
      <c r="B1457" s="19" t="s">
        <v>29930</v>
      </c>
      <c r="C1457" s="20" t="n">
        <f aca="false">ROUND(5.51/FX,2)</f>
        <v>0.77</v>
      </c>
      <c r="D1457" s="21" t="s">
        <v>7396</v>
      </c>
      <c r="E1457" s="21" t="s">
        <v>845</v>
      </c>
      <c r="F1457" s="21" t="s">
        <v>5091</v>
      </c>
    </row>
    <row r="1458" customFormat="false" ht="15" hidden="false" customHeight="false" outlineLevel="0" collapsed="false">
      <c r="B1458" s="19" t="s">
        <v>29931</v>
      </c>
      <c r="C1458" s="20" t="n">
        <f aca="false">ROUND(5.63/FX,2)</f>
        <v>0.78</v>
      </c>
      <c r="D1458" s="21" t="s">
        <v>3061</v>
      </c>
      <c r="E1458" s="21" t="s">
        <v>845</v>
      </c>
      <c r="F1458" s="21" t="s">
        <v>5091</v>
      </c>
    </row>
    <row r="1459" customFormat="false" ht="15" hidden="false" customHeight="false" outlineLevel="0" collapsed="false">
      <c r="B1459" s="19" t="s">
        <v>29932</v>
      </c>
      <c r="C1459" s="20" t="n">
        <f aca="false">ROUND(6.11/FX,2)</f>
        <v>0.85</v>
      </c>
      <c r="D1459" s="21" t="s">
        <v>3111</v>
      </c>
      <c r="E1459" s="21" t="s">
        <v>845</v>
      </c>
      <c r="F1459" s="21" t="s">
        <v>5091</v>
      </c>
    </row>
    <row r="1460" customFormat="false" ht="15" hidden="false" customHeight="false" outlineLevel="0" collapsed="false">
      <c r="B1460" s="19" t="s">
        <v>29933</v>
      </c>
      <c r="C1460" s="20" t="n">
        <f aca="false">ROUND(6.6/FX,2)</f>
        <v>0.92</v>
      </c>
      <c r="D1460" s="21" t="s">
        <v>2600</v>
      </c>
      <c r="E1460" s="21" t="s">
        <v>20199</v>
      </c>
      <c r="F1460" s="21" t="s">
        <v>20224</v>
      </c>
    </row>
    <row r="1461" customFormat="false" ht="15" hidden="false" customHeight="false" outlineLevel="0" collapsed="false">
      <c r="B1461" s="19" t="s">
        <v>29934</v>
      </c>
      <c r="C1461" s="20" t="n">
        <f aca="false">ROUND(7.58/FX,2)</f>
        <v>1.05</v>
      </c>
      <c r="D1461" s="21" t="s">
        <v>2651</v>
      </c>
      <c r="E1461" s="21" t="s">
        <v>20199</v>
      </c>
      <c r="F1461" s="21" t="s">
        <v>20224</v>
      </c>
    </row>
    <row r="1462" customFormat="false" ht="15" hidden="false" customHeight="false" outlineLevel="0" collapsed="false">
      <c r="B1462" s="19" t="s">
        <v>29935</v>
      </c>
      <c r="C1462" s="20" t="n">
        <f aca="false">ROUND(8.07/FX,2)</f>
        <v>1.12</v>
      </c>
      <c r="D1462" s="21" t="s">
        <v>2701</v>
      </c>
      <c r="E1462" s="21" t="s">
        <v>20199</v>
      </c>
      <c r="F1462" s="21" t="s">
        <v>20224</v>
      </c>
    </row>
    <row r="1463" customFormat="false" ht="15" hidden="false" customHeight="false" outlineLevel="0" collapsed="false">
      <c r="B1463" s="19" t="s">
        <v>29936</v>
      </c>
      <c r="C1463" s="20" t="n">
        <f aca="false">ROUND(8.56/FX,2)</f>
        <v>1.19</v>
      </c>
      <c r="D1463" s="21" t="s">
        <v>11968</v>
      </c>
      <c r="E1463" s="21" t="s">
        <v>20199</v>
      </c>
      <c r="F1463" s="21" t="s">
        <v>20224</v>
      </c>
    </row>
    <row r="1464" customFormat="false" ht="15" hidden="false" customHeight="false" outlineLevel="0" collapsed="false">
      <c r="B1464" s="19" t="s">
        <v>29937</v>
      </c>
      <c r="C1464" s="20" t="n">
        <f aca="false">ROUND(2.82/FX,2)</f>
        <v>0.39</v>
      </c>
      <c r="D1464" s="21" t="s">
        <v>3247</v>
      </c>
      <c r="E1464" s="21" t="s">
        <v>20199</v>
      </c>
      <c r="F1464" s="21" t="s">
        <v>20224</v>
      </c>
    </row>
    <row r="1465" customFormat="false" ht="15" hidden="false" customHeight="false" outlineLevel="0" collapsed="false">
      <c r="B1465" s="19" t="s">
        <v>29938</v>
      </c>
      <c r="C1465" s="20" t="n">
        <f aca="false">ROUND(3.19/FX,2)</f>
        <v>0.44</v>
      </c>
      <c r="D1465" s="21" t="s">
        <v>3317</v>
      </c>
      <c r="E1465" s="21" t="s">
        <v>20199</v>
      </c>
      <c r="F1465" s="21" t="s">
        <v>20224</v>
      </c>
    </row>
    <row r="1466" customFormat="false" ht="15" hidden="false" customHeight="false" outlineLevel="0" collapsed="false">
      <c r="B1466" s="19" t="s">
        <v>29939</v>
      </c>
      <c r="C1466" s="20" t="n">
        <f aca="false">ROUND(3.32/FX,2)</f>
        <v>0.46</v>
      </c>
      <c r="D1466" s="21" t="s">
        <v>784</v>
      </c>
      <c r="E1466" s="21" t="s">
        <v>20199</v>
      </c>
      <c r="F1466" s="21" t="s">
        <v>20224</v>
      </c>
    </row>
    <row r="1467" customFormat="false" ht="15" hidden="false" customHeight="false" outlineLevel="0" collapsed="false">
      <c r="B1467" s="19" t="s">
        <v>29940</v>
      </c>
      <c r="C1467" s="20" t="n">
        <f aca="false">ROUND(3.67/FX,2)</f>
        <v>0.51</v>
      </c>
      <c r="D1467" s="21" t="s">
        <v>3328</v>
      </c>
      <c r="E1467" s="21" t="s">
        <v>20199</v>
      </c>
      <c r="F1467" s="21" t="s">
        <v>20224</v>
      </c>
    </row>
    <row r="1468" customFormat="false" ht="15" hidden="false" customHeight="false" outlineLevel="0" collapsed="false">
      <c r="B1468" s="19" t="s">
        <v>29941</v>
      </c>
      <c r="C1468" s="20" t="n">
        <f aca="false">ROUND(3.91/FX,2)</f>
        <v>0.54</v>
      </c>
      <c r="D1468" s="21" t="s">
        <v>6246</v>
      </c>
      <c r="E1468" s="21" t="s">
        <v>20199</v>
      </c>
      <c r="F1468" s="21" t="s">
        <v>20224</v>
      </c>
    </row>
    <row r="1469" customFormat="false" ht="15" hidden="false" customHeight="false" outlineLevel="0" collapsed="false">
      <c r="B1469" s="19" t="s">
        <v>29942</v>
      </c>
      <c r="C1469" s="20" t="n">
        <f aca="false">ROUND(4.16/FX,2)</f>
        <v>0.58</v>
      </c>
      <c r="D1469" s="21" t="s">
        <v>7358</v>
      </c>
      <c r="E1469" s="21" t="s">
        <v>20199</v>
      </c>
      <c r="F1469" s="21" t="s">
        <v>20224</v>
      </c>
    </row>
    <row r="1470" customFormat="false" ht="15" hidden="false" customHeight="false" outlineLevel="0" collapsed="false">
      <c r="B1470" s="19" t="s">
        <v>29943</v>
      </c>
      <c r="C1470" s="20" t="n">
        <f aca="false">ROUND(4.41/FX,2)</f>
        <v>0.61</v>
      </c>
      <c r="D1470" s="21" t="s">
        <v>2911</v>
      </c>
      <c r="E1470" s="21" t="s">
        <v>20199</v>
      </c>
      <c r="F1470" s="21" t="s">
        <v>20224</v>
      </c>
    </row>
    <row r="1471" customFormat="false" ht="15" hidden="false" customHeight="false" outlineLevel="0" collapsed="false">
      <c r="B1471" s="19" t="s">
        <v>29944</v>
      </c>
      <c r="C1471" s="20" t="n">
        <f aca="false">ROUND(4.65/FX,2)</f>
        <v>0.65</v>
      </c>
      <c r="D1471" s="21" t="s">
        <v>7275</v>
      </c>
      <c r="E1471" s="21" t="s">
        <v>20199</v>
      </c>
      <c r="F1471" s="21" t="s">
        <v>20224</v>
      </c>
    </row>
    <row r="1472" customFormat="false" ht="15" hidden="false" customHeight="false" outlineLevel="0" collapsed="false">
      <c r="B1472" s="19" t="s">
        <v>29945</v>
      </c>
      <c r="C1472" s="20" t="n">
        <f aca="false">ROUND(4.89/FX,2)</f>
        <v>0.68</v>
      </c>
      <c r="D1472" s="21" t="s">
        <v>2961</v>
      </c>
      <c r="E1472" s="21" t="s">
        <v>20199</v>
      </c>
      <c r="F1472" s="21" t="s">
        <v>20224</v>
      </c>
    </row>
    <row r="1473" customFormat="false" ht="15" hidden="false" customHeight="false" outlineLevel="0" collapsed="false">
      <c r="B1473" s="19" t="s">
        <v>29946</v>
      </c>
      <c r="C1473" s="20" t="n">
        <f aca="false">ROUND(5.14/FX,2)</f>
        <v>0.71</v>
      </c>
      <c r="D1473" s="21" t="s">
        <v>13817</v>
      </c>
      <c r="E1473" s="21" t="s">
        <v>20199</v>
      </c>
      <c r="F1473" s="21" t="s">
        <v>20224</v>
      </c>
    </row>
    <row r="1474" customFormat="false" ht="15" hidden="false" customHeight="false" outlineLevel="0" collapsed="false">
      <c r="B1474" s="19" t="s">
        <v>29947</v>
      </c>
      <c r="C1474" s="20" t="n">
        <f aca="false">ROUND(5.38/FX,2)</f>
        <v>0.75</v>
      </c>
      <c r="D1474" s="21" t="s">
        <v>3011</v>
      </c>
      <c r="E1474" s="21" t="s">
        <v>20199</v>
      </c>
      <c r="F1474" s="21" t="s">
        <v>20224</v>
      </c>
    </row>
    <row r="1475" customFormat="false" ht="15" hidden="false" customHeight="false" outlineLevel="0" collapsed="false">
      <c r="B1475" s="19" t="s">
        <v>29948</v>
      </c>
      <c r="C1475" s="20" t="n">
        <f aca="false">ROUND(5.63/FX,2)</f>
        <v>0.78</v>
      </c>
      <c r="D1475" s="21" t="s">
        <v>7396</v>
      </c>
      <c r="E1475" s="21" t="s">
        <v>20199</v>
      </c>
      <c r="F1475" s="21" t="s">
        <v>20224</v>
      </c>
    </row>
    <row r="1476" customFormat="false" ht="15" hidden="false" customHeight="false" outlineLevel="0" collapsed="false">
      <c r="B1476" s="19" t="s">
        <v>29949</v>
      </c>
      <c r="C1476" s="20" t="n">
        <f aca="false">ROUND(5.88/FX,2)</f>
        <v>0.82</v>
      </c>
      <c r="D1476" s="21" t="s">
        <v>3061</v>
      </c>
      <c r="E1476" s="21" t="s">
        <v>20199</v>
      </c>
      <c r="F1476" s="21" t="s">
        <v>20224</v>
      </c>
    </row>
    <row r="1477" customFormat="false" ht="15" hidden="false" customHeight="false" outlineLevel="0" collapsed="false">
      <c r="B1477" s="19" t="s">
        <v>29950</v>
      </c>
      <c r="C1477" s="20" t="n">
        <f aca="false">ROUND(6.24/FX,2)</f>
        <v>0.87</v>
      </c>
      <c r="D1477" s="21" t="s">
        <v>3111</v>
      </c>
      <c r="E1477" s="21" t="s">
        <v>20199</v>
      </c>
      <c r="F1477" s="21" t="s">
        <v>20224</v>
      </c>
    </row>
    <row r="1478" customFormat="false" ht="15" hidden="false" customHeight="false" outlineLevel="0" collapsed="false">
      <c r="B1478" s="19" t="s">
        <v>29951</v>
      </c>
      <c r="C1478" s="20" t="n">
        <f aca="false">ROUND(11.74/FX,2)</f>
        <v>1.63</v>
      </c>
      <c r="D1478" s="21" t="s">
        <v>2600</v>
      </c>
      <c r="E1478" s="21" t="s">
        <v>20216</v>
      </c>
      <c r="F1478" s="21" t="s">
        <v>29952</v>
      </c>
    </row>
    <row r="1479" customFormat="false" ht="15" hidden="false" customHeight="false" outlineLevel="0" collapsed="false">
      <c r="B1479" s="19" t="s">
        <v>29953</v>
      </c>
      <c r="C1479" s="20" t="n">
        <f aca="false">ROUND(13.69/FX,2)</f>
        <v>1.9</v>
      </c>
      <c r="D1479" s="21" t="s">
        <v>2651</v>
      </c>
      <c r="E1479" s="21" t="s">
        <v>20216</v>
      </c>
      <c r="F1479" s="21" t="s">
        <v>29952</v>
      </c>
    </row>
    <row r="1480" customFormat="false" ht="15" hidden="false" customHeight="false" outlineLevel="0" collapsed="false">
      <c r="B1480" s="19" t="s">
        <v>29954</v>
      </c>
      <c r="C1480" s="20" t="n">
        <f aca="false">ROUND(14.18/FX,2)</f>
        <v>1.97</v>
      </c>
      <c r="D1480" s="21" t="s">
        <v>2701</v>
      </c>
      <c r="E1480" s="21" t="s">
        <v>20216</v>
      </c>
      <c r="F1480" s="21" t="s">
        <v>29952</v>
      </c>
    </row>
    <row r="1481" customFormat="false" ht="15" hidden="false" customHeight="false" outlineLevel="0" collapsed="false">
      <c r="B1481" s="19" t="s">
        <v>29955</v>
      </c>
      <c r="C1481" s="20" t="n">
        <f aca="false">ROUND(14.68/FX,2)</f>
        <v>2.04</v>
      </c>
      <c r="D1481" s="21" t="s">
        <v>11968</v>
      </c>
      <c r="E1481" s="21" t="s">
        <v>20216</v>
      </c>
      <c r="F1481" s="21" t="s">
        <v>29952</v>
      </c>
    </row>
    <row r="1482" customFormat="false" ht="15" hidden="false" customHeight="false" outlineLevel="0" collapsed="false">
      <c r="B1482" s="19" t="s">
        <v>29956</v>
      </c>
      <c r="C1482" s="20" t="n">
        <f aca="false">ROUND(15.41/FX,2)</f>
        <v>2.14</v>
      </c>
      <c r="D1482" s="21" t="s">
        <v>2851</v>
      </c>
      <c r="E1482" s="21" t="s">
        <v>20216</v>
      </c>
      <c r="F1482" s="21" t="s">
        <v>29952</v>
      </c>
    </row>
    <row r="1483" customFormat="false" ht="15" hidden="false" customHeight="false" outlineLevel="0" collapsed="false">
      <c r="B1483" s="19" t="s">
        <v>29957</v>
      </c>
      <c r="C1483" s="20" t="n">
        <f aca="false">ROUND(4.41/FX,2)</f>
        <v>0.61</v>
      </c>
      <c r="D1483" s="21" t="s">
        <v>3247</v>
      </c>
      <c r="E1483" s="21" t="s">
        <v>20216</v>
      </c>
      <c r="F1483" s="21" t="s">
        <v>29952</v>
      </c>
    </row>
    <row r="1484" customFormat="false" ht="15" hidden="false" customHeight="false" outlineLevel="0" collapsed="false">
      <c r="B1484" s="19" t="s">
        <v>29958</v>
      </c>
      <c r="C1484" s="20" t="n">
        <f aca="false">ROUND(4.65/FX,2)</f>
        <v>0.65</v>
      </c>
      <c r="D1484" s="21" t="s">
        <v>3317</v>
      </c>
      <c r="E1484" s="21" t="s">
        <v>20216</v>
      </c>
      <c r="F1484" s="21" t="s">
        <v>29952</v>
      </c>
    </row>
    <row r="1485" customFormat="false" ht="15" hidden="false" customHeight="false" outlineLevel="0" collapsed="false">
      <c r="B1485" s="19" t="s">
        <v>29959</v>
      </c>
      <c r="C1485" s="20" t="n">
        <f aca="false">ROUND(5.38/FX,2)</f>
        <v>0.75</v>
      </c>
      <c r="D1485" s="21" t="s">
        <v>784</v>
      </c>
      <c r="E1485" s="21" t="s">
        <v>20216</v>
      </c>
      <c r="F1485" s="21" t="s">
        <v>29952</v>
      </c>
    </row>
    <row r="1486" customFormat="false" ht="15" hidden="false" customHeight="false" outlineLevel="0" collapsed="false">
      <c r="B1486" s="19" t="s">
        <v>29960</v>
      </c>
      <c r="C1486" s="20" t="n">
        <f aca="false">ROUND(5.63/FX,2)</f>
        <v>0.78</v>
      </c>
      <c r="D1486" s="21" t="s">
        <v>3328</v>
      </c>
      <c r="E1486" s="21" t="s">
        <v>20216</v>
      </c>
      <c r="F1486" s="21" t="s">
        <v>29952</v>
      </c>
    </row>
    <row r="1487" customFormat="false" ht="15" hidden="false" customHeight="false" outlineLevel="0" collapsed="false">
      <c r="B1487" s="19" t="s">
        <v>29961</v>
      </c>
      <c r="C1487" s="20" t="n">
        <f aca="false">ROUND(5.88/FX,2)</f>
        <v>0.82</v>
      </c>
      <c r="D1487" s="21" t="s">
        <v>6246</v>
      </c>
      <c r="E1487" s="21" t="s">
        <v>20216</v>
      </c>
      <c r="F1487" s="21" t="s">
        <v>29952</v>
      </c>
    </row>
    <row r="1488" customFormat="false" ht="15" hidden="false" customHeight="false" outlineLevel="0" collapsed="false">
      <c r="B1488" s="19" t="s">
        <v>29962</v>
      </c>
      <c r="C1488" s="20" t="n">
        <f aca="false">ROUND(6.6/FX,2)</f>
        <v>0.92</v>
      </c>
      <c r="D1488" s="21" t="s">
        <v>7358</v>
      </c>
      <c r="E1488" s="21" t="s">
        <v>20216</v>
      </c>
      <c r="F1488" s="21" t="s">
        <v>29952</v>
      </c>
    </row>
    <row r="1489" customFormat="false" ht="15" hidden="false" customHeight="false" outlineLevel="0" collapsed="false">
      <c r="B1489" s="19" t="s">
        <v>29963</v>
      </c>
      <c r="C1489" s="20" t="n">
        <f aca="false">ROUND(7.1/FX,2)</f>
        <v>0.99</v>
      </c>
      <c r="D1489" s="21" t="s">
        <v>2911</v>
      </c>
      <c r="E1489" s="21" t="s">
        <v>20216</v>
      </c>
      <c r="F1489" s="21" t="s">
        <v>29952</v>
      </c>
    </row>
    <row r="1490" customFormat="false" ht="15" hidden="false" customHeight="false" outlineLevel="0" collapsed="false">
      <c r="B1490" s="19" t="s">
        <v>29964</v>
      </c>
      <c r="C1490" s="20" t="n">
        <f aca="false">ROUND(7.58/FX,2)</f>
        <v>1.05</v>
      </c>
      <c r="D1490" s="21" t="s">
        <v>7275</v>
      </c>
      <c r="E1490" s="21" t="s">
        <v>20216</v>
      </c>
      <c r="F1490" s="21" t="s">
        <v>29952</v>
      </c>
    </row>
    <row r="1491" customFormat="false" ht="15" hidden="false" customHeight="false" outlineLevel="0" collapsed="false">
      <c r="B1491" s="19" t="s">
        <v>29965</v>
      </c>
      <c r="C1491" s="20" t="n">
        <f aca="false">ROUND(8.07/FX,2)</f>
        <v>1.12</v>
      </c>
      <c r="D1491" s="21" t="s">
        <v>2961</v>
      </c>
      <c r="E1491" s="21" t="s">
        <v>20216</v>
      </c>
      <c r="F1491" s="21" t="s">
        <v>29952</v>
      </c>
    </row>
    <row r="1492" customFormat="false" ht="15" hidden="false" customHeight="false" outlineLevel="0" collapsed="false">
      <c r="B1492" s="19" t="s">
        <v>29966</v>
      </c>
      <c r="C1492" s="20" t="n">
        <f aca="false">ROUND(8.56/FX,2)</f>
        <v>1.19</v>
      </c>
      <c r="D1492" s="21" t="s">
        <v>13817</v>
      </c>
      <c r="E1492" s="21" t="s">
        <v>20216</v>
      </c>
      <c r="F1492" s="21" t="s">
        <v>29952</v>
      </c>
    </row>
    <row r="1493" customFormat="false" ht="15" hidden="false" customHeight="false" outlineLevel="0" collapsed="false">
      <c r="B1493" s="19" t="s">
        <v>29967</v>
      </c>
      <c r="C1493" s="20" t="n">
        <f aca="false">ROUND(9.3/FX,2)</f>
        <v>1.29</v>
      </c>
      <c r="D1493" s="21" t="s">
        <v>3011</v>
      </c>
      <c r="E1493" s="21" t="s">
        <v>20216</v>
      </c>
      <c r="F1493" s="21" t="s">
        <v>29952</v>
      </c>
    </row>
    <row r="1494" customFormat="false" ht="15" hidden="false" customHeight="false" outlineLevel="0" collapsed="false">
      <c r="B1494" s="19" t="s">
        <v>29968</v>
      </c>
      <c r="C1494" s="20" t="n">
        <f aca="false">ROUND(9.79/FX,2)</f>
        <v>1.36</v>
      </c>
      <c r="D1494" s="21" t="s">
        <v>7396</v>
      </c>
      <c r="E1494" s="21" t="s">
        <v>20216</v>
      </c>
      <c r="F1494" s="21" t="s">
        <v>29952</v>
      </c>
    </row>
    <row r="1495" customFormat="false" ht="15" hidden="false" customHeight="false" outlineLevel="0" collapsed="false">
      <c r="B1495" s="19" t="s">
        <v>29969</v>
      </c>
      <c r="C1495" s="20" t="n">
        <f aca="false">ROUND(10.27/FX,2)</f>
        <v>1.43</v>
      </c>
      <c r="D1495" s="21" t="s">
        <v>3061</v>
      </c>
      <c r="E1495" s="21" t="s">
        <v>20216</v>
      </c>
      <c r="F1495" s="21" t="s">
        <v>29952</v>
      </c>
    </row>
    <row r="1496" customFormat="false" ht="15" hidden="false" customHeight="false" outlineLevel="0" collapsed="false">
      <c r="B1496" s="19" t="s">
        <v>29970</v>
      </c>
      <c r="C1496" s="20" t="n">
        <f aca="false">ROUND(10.52/FX,2)</f>
        <v>1.46</v>
      </c>
      <c r="D1496" s="21" t="s">
        <v>3111</v>
      </c>
      <c r="E1496" s="21" t="s">
        <v>20216</v>
      </c>
      <c r="F1496" s="21" t="s">
        <v>29952</v>
      </c>
    </row>
    <row r="1497" customFormat="false" ht="15" hidden="false" customHeight="false" outlineLevel="0" collapsed="false">
      <c r="B1497" s="19" t="s">
        <v>29971</v>
      </c>
      <c r="C1497" s="20" t="n">
        <f aca="false">ROUND(14.68/FX,2)</f>
        <v>2.04</v>
      </c>
      <c r="D1497" s="21" t="s">
        <v>2600</v>
      </c>
      <c r="E1497" s="21" t="s">
        <v>29741</v>
      </c>
      <c r="F1497" s="21" t="s">
        <v>29972</v>
      </c>
    </row>
    <row r="1498" customFormat="false" ht="15" hidden="false" customHeight="false" outlineLevel="0" collapsed="false">
      <c r="B1498" s="19" t="s">
        <v>29973</v>
      </c>
      <c r="C1498" s="20" t="n">
        <f aca="false">ROUND(15.9/FX,2)</f>
        <v>2.21</v>
      </c>
      <c r="D1498" s="21" t="s">
        <v>2651</v>
      </c>
      <c r="E1498" s="21" t="s">
        <v>29741</v>
      </c>
      <c r="F1498" s="21" t="s">
        <v>29972</v>
      </c>
    </row>
    <row r="1499" customFormat="false" ht="15" hidden="false" customHeight="false" outlineLevel="0" collapsed="false">
      <c r="B1499" s="19" t="s">
        <v>29974</v>
      </c>
      <c r="C1499" s="20" t="n">
        <f aca="false">ROUND(16.15/FX,2)</f>
        <v>2.24</v>
      </c>
      <c r="D1499" s="21" t="s">
        <v>2701</v>
      </c>
      <c r="E1499" s="21" t="s">
        <v>29741</v>
      </c>
      <c r="F1499" s="21" t="s">
        <v>29972</v>
      </c>
    </row>
    <row r="1500" customFormat="false" ht="15" hidden="false" customHeight="false" outlineLevel="0" collapsed="false">
      <c r="B1500" s="19" t="s">
        <v>29975</v>
      </c>
      <c r="C1500" s="20" t="n">
        <f aca="false">ROUND(16.38/FX,2)</f>
        <v>2.28</v>
      </c>
      <c r="D1500" s="21" t="s">
        <v>11968</v>
      </c>
      <c r="E1500" s="21" t="s">
        <v>29741</v>
      </c>
      <c r="F1500" s="21" t="s">
        <v>29972</v>
      </c>
    </row>
    <row r="1501" customFormat="false" ht="15" hidden="false" customHeight="false" outlineLevel="0" collapsed="false">
      <c r="B1501" s="19" t="s">
        <v>29976</v>
      </c>
      <c r="C1501" s="20" t="n">
        <f aca="false">ROUND(17.12/FX,2)</f>
        <v>2.38</v>
      </c>
      <c r="D1501" s="21" t="s">
        <v>2751</v>
      </c>
      <c r="E1501" s="21" t="s">
        <v>29741</v>
      </c>
      <c r="F1501" s="21" t="s">
        <v>29972</v>
      </c>
    </row>
    <row r="1502" customFormat="false" ht="15" hidden="false" customHeight="false" outlineLevel="0" collapsed="false">
      <c r="B1502" s="19" t="s">
        <v>29977</v>
      </c>
      <c r="C1502" s="20" t="n">
        <f aca="false">ROUND(17.85/FX,2)</f>
        <v>2.48</v>
      </c>
      <c r="D1502" s="21" t="s">
        <v>2801</v>
      </c>
      <c r="E1502" s="21" t="s">
        <v>29741</v>
      </c>
      <c r="F1502" s="21" t="s">
        <v>29972</v>
      </c>
    </row>
    <row r="1503" customFormat="false" ht="15" hidden="false" customHeight="false" outlineLevel="0" collapsed="false">
      <c r="B1503" s="19" t="s">
        <v>29978</v>
      </c>
      <c r="C1503" s="20" t="n">
        <f aca="false">ROUND(18.34/FX,2)</f>
        <v>2.55</v>
      </c>
      <c r="D1503" s="21" t="s">
        <v>2851</v>
      </c>
      <c r="E1503" s="21" t="s">
        <v>29741</v>
      </c>
      <c r="F1503" s="21" t="s">
        <v>29972</v>
      </c>
    </row>
    <row r="1504" customFormat="false" ht="15" hidden="false" customHeight="false" outlineLevel="0" collapsed="false">
      <c r="B1504" s="19" t="s">
        <v>29979</v>
      </c>
      <c r="C1504" s="20" t="n">
        <f aca="false">ROUND(7.1/FX,2)</f>
        <v>0.99</v>
      </c>
      <c r="D1504" s="21" t="s">
        <v>3317</v>
      </c>
      <c r="E1504" s="21" t="s">
        <v>29741</v>
      </c>
      <c r="F1504" s="21" t="s">
        <v>29972</v>
      </c>
    </row>
    <row r="1505" customFormat="false" ht="15" hidden="false" customHeight="false" outlineLevel="0" collapsed="false">
      <c r="B1505" s="19" t="s">
        <v>29980</v>
      </c>
      <c r="C1505" s="20" t="n">
        <f aca="false">ROUND(7.58/FX,2)</f>
        <v>1.05</v>
      </c>
      <c r="D1505" s="21" t="s">
        <v>784</v>
      </c>
      <c r="E1505" s="21" t="s">
        <v>29741</v>
      </c>
      <c r="F1505" s="21" t="s">
        <v>29972</v>
      </c>
    </row>
    <row r="1506" customFormat="false" ht="15" hidden="false" customHeight="false" outlineLevel="0" collapsed="false">
      <c r="B1506" s="19" t="s">
        <v>29981</v>
      </c>
      <c r="C1506" s="20" t="n">
        <f aca="false">ROUND(8.07/FX,2)</f>
        <v>1.12</v>
      </c>
      <c r="D1506" s="21" t="s">
        <v>3328</v>
      </c>
      <c r="E1506" s="21" t="s">
        <v>29741</v>
      </c>
      <c r="F1506" s="21" t="s">
        <v>29972</v>
      </c>
    </row>
    <row r="1507" customFormat="false" ht="15" hidden="false" customHeight="false" outlineLevel="0" collapsed="false">
      <c r="B1507" s="19" t="s">
        <v>29982</v>
      </c>
      <c r="C1507" s="20" t="n">
        <f aca="false">ROUND(8.55/FX,2)</f>
        <v>1.19</v>
      </c>
      <c r="D1507" s="21" t="s">
        <v>6246</v>
      </c>
      <c r="E1507" s="21" t="s">
        <v>29741</v>
      </c>
      <c r="F1507" s="21" t="s">
        <v>29972</v>
      </c>
    </row>
    <row r="1508" customFormat="false" ht="15" hidden="false" customHeight="false" outlineLevel="0" collapsed="false">
      <c r="B1508" s="19" t="s">
        <v>29983</v>
      </c>
      <c r="C1508" s="20" t="n">
        <f aca="false">ROUND(9.05/FX,2)</f>
        <v>1.26</v>
      </c>
      <c r="D1508" s="21" t="s">
        <v>7358</v>
      </c>
      <c r="E1508" s="21" t="s">
        <v>29741</v>
      </c>
      <c r="F1508" s="21" t="s">
        <v>29972</v>
      </c>
    </row>
    <row r="1509" customFormat="false" ht="15" hidden="false" customHeight="false" outlineLevel="0" collapsed="false">
      <c r="B1509" s="19" t="s">
        <v>29984</v>
      </c>
      <c r="C1509" s="20" t="n">
        <f aca="false">ROUND(9.54/FX,2)</f>
        <v>1.33</v>
      </c>
      <c r="D1509" s="21" t="s">
        <v>2911</v>
      </c>
      <c r="E1509" s="21" t="s">
        <v>29741</v>
      </c>
      <c r="F1509" s="21" t="s">
        <v>29972</v>
      </c>
    </row>
    <row r="1510" customFormat="false" ht="15" hidden="false" customHeight="false" outlineLevel="0" collapsed="false">
      <c r="B1510" s="19" t="s">
        <v>29985</v>
      </c>
      <c r="C1510" s="20" t="n">
        <f aca="false">ROUND(10.27/FX,2)</f>
        <v>1.43</v>
      </c>
      <c r="D1510" s="21" t="s">
        <v>7275</v>
      </c>
      <c r="E1510" s="21" t="s">
        <v>29741</v>
      </c>
      <c r="F1510" s="21" t="s">
        <v>29972</v>
      </c>
    </row>
    <row r="1511" customFormat="false" ht="15" hidden="false" customHeight="false" outlineLevel="0" collapsed="false">
      <c r="B1511" s="19" t="s">
        <v>29986</v>
      </c>
      <c r="C1511" s="20" t="n">
        <f aca="false">ROUND(10.76/FX,2)</f>
        <v>1.49</v>
      </c>
      <c r="D1511" s="21" t="s">
        <v>2961</v>
      </c>
      <c r="E1511" s="21" t="s">
        <v>29741</v>
      </c>
      <c r="F1511" s="21" t="s">
        <v>29972</v>
      </c>
    </row>
    <row r="1512" customFormat="false" ht="15" hidden="false" customHeight="false" outlineLevel="0" collapsed="false">
      <c r="B1512" s="19" t="s">
        <v>29987</v>
      </c>
      <c r="C1512" s="20" t="n">
        <f aca="false">ROUND(11.25/FX,2)</f>
        <v>1.56</v>
      </c>
      <c r="D1512" s="21" t="s">
        <v>13817</v>
      </c>
      <c r="E1512" s="21" t="s">
        <v>29741</v>
      </c>
      <c r="F1512" s="21" t="s">
        <v>29972</v>
      </c>
    </row>
    <row r="1513" customFormat="false" ht="15" hidden="false" customHeight="false" outlineLevel="0" collapsed="false">
      <c r="B1513" s="19" t="s">
        <v>29988</v>
      </c>
      <c r="C1513" s="20" t="n">
        <f aca="false">ROUND(11.74/FX,2)</f>
        <v>1.63</v>
      </c>
      <c r="D1513" s="21" t="s">
        <v>3011</v>
      </c>
      <c r="E1513" s="21" t="s">
        <v>29741</v>
      </c>
      <c r="F1513" s="21" t="s">
        <v>29972</v>
      </c>
    </row>
    <row r="1514" customFormat="false" ht="15" hidden="false" customHeight="false" outlineLevel="0" collapsed="false">
      <c r="B1514" s="19" t="s">
        <v>29989</v>
      </c>
      <c r="C1514" s="20" t="n">
        <f aca="false">ROUND(11.99/FX,2)</f>
        <v>1.67</v>
      </c>
      <c r="D1514" s="21" t="s">
        <v>7396</v>
      </c>
      <c r="E1514" s="21" t="s">
        <v>29741</v>
      </c>
      <c r="F1514" s="21" t="s">
        <v>29972</v>
      </c>
    </row>
    <row r="1515" customFormat="false" ht="15" hidden="false" customHeight="false" outlineLevel="0" collapsed="false">
      <c r="B1515" s="19" t="s">
        <v>29990</v>
      </c>
      <c r="C1515" s="20" t="n">
        <f aca="false">ROUND(12.71/FX,2)</f>
        <v>1.77</v>
      </c>
      <c r="D1515" s="21" t="s">
        <v>3061</v>
      </c>
      <c r="E1515" s="21" t="s">
        <v>29741</v>
      </c>
      <c r="F1515" s="21" t="s">
        <v>29972</v>
      </c>
    </row>
    <row r="1516" customFormat="false" ht="15" hidden="false" customHeight="false" outlineLevel="0" collapsed="false">
      <c r="B1516" s="19" t="s">
        <v>29991</v>
      </c>
      <c r="C1516" s="20" t="n">
        <f aca="false">ROUND(13.69/FX,2)</f>
        <v>1.9</v>
      </c>
      <c r="D1516" s="21" t="s">
        <v>3111</v>
      </c>
      <c r="E1516" s="21" t="s">
        <v>29741</v>
      </c>
      <c r="F1516" s="21" t="s">
        <v>29972</v>
      </c>
    </row>
    <row r="1517" customFormat="false" ht="15" hidden="false" customHeight="false" outlineLevel="0" collapsed="false">
      <c r="B1517" s="19" t="s">
        <v>29992</v>
      </c>
      <c r="C1517" s="20" t="n">
        <f aca="false">ROUND(18.59/FX,2)</f>
        <v>2.58</v>
      </c>
      <c r="D1517" s="21" t="s">
        <v>2600</v>
      </c>
      <c r="E1517" s="21" t="s">
        <v>29952</v>
      </c>
      <c r="F1517" s="21" t="s">
        <v>29993</v>
      </c>
    </row>
    <row r="1518" customFormat="false" ht="15" hidden="false" customHeight="false" outlineLevel="0" collapsed="false">
      <c r="B1518" s="19" t="s">
        <v>29994</v>
      </c>
      <c r="C1518" s="20" t="n">
        <f aca="false">ROUND(19.07/FX,2)</f>
        <v>2.65</v>
      </c>
      <c r="D1518" s="21" t="s">
        <v>2651</v>
      </c>
      <c r="E1518" s="21" t="s">
        <v>29952</v>
      </c>
      <c r="F1518" s="21" t="s">
        <v>29993</v>
      </c>
    </row>
    <row r="1519" customFormat="false" ht="15" hidden="false" customHeight="false" outlineLevel="0" collapsed="false">
      <c r="B1519" s="19" t="s">
        <v>29995</v>
      </c>
      <c r="C1519" s="20" t="n">
        <f aca="false">ROUND(19.57/FX,2)</f>
        <v>2.72</v>
      </c>
      <c r="D1519" s="21" t="s">
        <v>2701</v>
      </c>
      <c r="E1519" s="21" t="s">
        <v>29952</v>
      </c>
      <c r="F1519" s="21" t="s">
        <v>29993</v>
      </c>
    </row>
    <row r="1520" customFormat="false" ht="15" hidden="false" customHeight="false" outlineLevel="0" collapsed="false">
      <c r="B1520" s="19" t="s">
        <v>29996</v>
      </c>
      <c r="C1520" s="20" t="n">
        <f aca="false">ROUND(20.06/FX,2)</f>
        <v>2.79</v>
      </c>
      <c r="D1520" s="21" t="s">
        <v>11968</v>
      </c>
      <c r="E1520" s="21" t="s">
        <v>29952</v>
      </c>
      <c r="F1520" s="21" t="s">
        <v>29993</v>
      </c>
    </row>
    <row r="1521" customFormat="false" ht="15" hidden="false" customHeight="false" outlineLevel="0" collapsed="false">
      <c r="B1521" s="19" t="s">
        <v>29997</v>
      </c>
      <c r="C1521" s="20" t="n">
        <f aca="false">ROUND(20.54/FX,2)</f>
        <v>2.85</v>
      </c>
      <c r="D1521" s="21" t="s">
        <v>2751</v>
      </c>
      <c r="E1521" s="21" t="s">
        <v>29952</v>
      </c>
      <c r="F1521" s="21" t="s">
        <v>29993</v>
      </c>
    </row>
    <row r="1522" customFormat="false" ht="15" hidden="false" customHeight="false" outlineLevel="0" collapsed="false">
      <c r="B1522" s="19" t="s">
        <v>29998</v>
      </c>
      <c r="C1522" s="20" t="n">
        <f aca="false">ROUND(21.03/FX,2)</f>
        <v>2.92</v>
      </c>
      <c r="D1522" s="21" t="s">
        <v>2801</v>
      </c>
      <c r="E1522" s="21" t="s">
        <v>29952</v>
      </c>
      <c r="F1522" s="21" t="s">
        <v>29993</v>
      </c>
    </row>
    <row r="1523" customFormat="false" ht="15" hidden="false" customHeight="false" outlineLevel="0" collapsed="false">
      <c r="B1523" s="19" t="s">
        <v>29999</v>
      </c>
      <c r="C1523" s="20" t="n">
        <f aca="false">ROUND(21.52/FX,2)</f>
        <v>2.99</v>
      </c>
      <c r="D1523" s="21" t="s">
        <v>2851</v>
      </c>
      <c r="E1523" s="21" t="s">
        <v>29952</v>
      </c>
      <c r="F1523" s="21" t="s">
        <v>29993</v>
      </c>
    </row>
    <row r="1524" customFormat="false" ht="15" hidden="false" customHeight="false" outlineLevel="0" collapsed="false">
      <c r="B1524" s="19" t="s">
        <v>30000</v>
      </c>
      <c r="C1524" s="20" t="n">
        <f aca="false">ROUND(24.96/FX,2)</f>
        <v>3.47</v>
      </c>
      <c r="D1524" s="21" t="s">
        <v>6497</v>
      </c>
      <c r="E1524" s="21" t="s">
        <v>29952</v>
      </c>
      <c r="F1524" s="21" t="s">
        <v>29993</v>
      </c>
    </row>
    <row r="1525" customFormat="false" ht="15" hidden="false" customHeight="false" outlineLevel="0" collapsed="false">
      <c r="B1525" s="19" t="s">
        <v>30001</v>
      </c>
      <c r="C1525" s="20" t="n">
        <f aca="false">ROUND(31.79/FX,2)</f>
        <v>4.42</v>
      </c>
      <c r="D1525" s="21" t="s">
        <v>1048</v>
      </c>
      <c r="E1525" s="21" t="s">
        <v>29952</v>
      </c>
      <c r="F1525" s="21" t="s">
        <v>29993</v>
      </c>
    </row>
    <row r="1526" customFormat="false" ht="15" hidden="false" customHeight="false" outlineLevel="0" collapsed="false">
      <c r="B1526" s="19" t="s">
        <v>30002</v>
      </c>
      <c r="C1526" s="20" t="n">
        <f aca="false">ROUND(10.52/FX,2)</f>
        <v>1.46</v>
      </c>
      <c r="D1526" s="21" t="s">
        <v>784</v>
      </c>
      <c r="E1526" s="21" t="s">
        <v>29952</v>
      </c>
      <c r="F1526" s="21" t="s">
        <v>29993</v>
      </c>
    </row>
    <row r="1527" customFormat="false" ht="15" hidden="false" customHeight="false" outlineLevel="0" collapsed="false">
      <c r="B1527" s="19" t="s">
        <v>30003</v>
      </c>
      <c r="C1527" s="20" t="n">
        <f aca="false">ROUND(11.01/FX,2)</f>
        <v>1.53</v>
      </c>
      <c r="D1527" s="21" t="s">
        <v>3328</v>
      </c>
      <c r="E1527" s="21" t="s">
        <v>29952</v>
      </c>
      <c r="F1527" s="21" t="s">
        <v>29993</v>
      </c>
    </row>
    <row r="1528" customFormat="false" ht="15" hidden="false" customHeight="false" outlineLevel="0" collapsed="false">
      <c r="B1528" s="19" t="s">
        <v>30004</v>
      </c>
      <c r="C1528" s="20" t="n">
        <f aca="false">ROUND(11.5/FX,2)</f>
        <v>1.6</v>
      </c>
      <c r="D1528" s="21" t="s">
        <v>6246</v>
      </c>
      <c r="E1528" s="21" t="s">
        <v>29952</v>
      </c>
      <c r="F1528" s="21" t="s">
        <v>29993</v>
      </c>
    </row>
    <row r="1529" customFormat="false" ht="15" hidden="false" customHeight="false" outlineLevel="0" collapsed="false">
      <c r="B1529" s="19" t="s">
        <v>30005</v>
      </c>
      <c r="C1529" s="20" t="n">
        <f aca="false">ROUND(11.74/FX,2)</f>
        <v>1.63</v>
      </c>
      <c r="D1529" s="21" t="s">
        <v>7358</v>
      </c>
      <c r="E1529" s="21" t="s">
        <v>29952</v>
      </c>
      <c r="F1529" s="21" t="s">
        <v>29993</v>
      </c>
    </row>
    <row r="1530" customFormat="false" ht="15" hidden="false" customHeight="false" outlineLevel="0" collapsed="false">
      <c r="B1530" s="19" t="s">
        <v>30006</v>
      </c>
      <c r="C1530" s="20" t="n">
        <f aca="false">ROUND(12.23/FX,2)</f>
        <v>1.7</v>
      </c>
      <c r="D1530" s="21" t="s">
        <v>2911</v>
      </c>
      <c r="E1530" s="21" t="s">
        <v>29952</v>
      </c>
      <c r="F1530" s="21" t="s">
        <v>29993</v>
      </c>
    </row>
    <row r="1531" customFormat="false" ht="15" hidden="false" customHeight="false" outlineLevel="0" collapsed="false">
      <c r="B1531" s="19" t="s">
        <v>30007</v>
      </c>
      <c r="C1531" s="20" t="n">
        <f aca="false">ROUND(12.71/FX,2)</f>
        <v>1.77</v>
      </c>
      <c r="D1531" s="21" t="s">
        <v>7275</v>
      </c>
      <c r="E1531" s="21" t="s">
        <v>29952</v>
      </c>
      <c r="F1531" s="21" t="s">
        <v>29993</v>
      </c>
    </row>
    <row r="1532" customFormat="false" ht="15" hidden="false" customHeight="false" outlineLevel="0" collapsed="false">
      <c r="B1532" s="19" t="s">
        <v>30008</v>
      </c>
      <c r="C1532" s="20" t="n">
        <f aca="false">ROUND(13.21/FX,2)</f>
        <v>1.83</v>
      </c>
      <c r="D1532" s="21" t="s">
        <v>2961</v>
      </c>
      <c r="E1532" s="21" t="s">
        <v>29952</v>
      </c>
      <c r="F1532" s="21" t="s">
        <v>29993</v>
      </c>
    </row>
    <row r="1533" customFormat="false" ht="15" hidden="false" customHeight="false" outlineLevel="0" collapsed="false">
      <c r="B1533" s="19" t="s">
        <v>30009</v>
      </c>
      <c r="C1533" s="20" t="n">
        <f aca="false">ROUND(13.69/FX,2)</f>
        <v>1.9</v>
      </c>
      <c r="D1533" s="21" t="s">
        <v>13817</v>
      </c>
      <c r="E1533" s="21" t="s">
        <v>29952</v>
      </c>
      <c r="F1533" s="21" t="s">
        <v>29993</v>
      </c>
    </row>
    <row r="1534" customFormat="false" ht="15" hidden="false" customHeight="false" outlineLevel="0" collapsed="false">
      <c r="B1534" s="19" t="s">
        <v>30010</v>
      </c>
      <c r="C1534" s="20" t="n">
        <f aca="false">ROUND(14.18/FX,2)</f>
        <v>1.97</v>
      </c>
      <c r="D1534" s="21" t="s">
        <v>3011</v>
      </c>
      <c r="E1534" s="21" t="s">
        <v>29952</v>
      </c>
      <c r="F1534" s="21" t="s">
        <v>29993</v>
      </c>
    </row>
    <row r="1535" customFormat="false" ht="15" hidden="false" customHeight="false" outlineLevel="0" collapsed="false">
      <c r="B1535" s="19" t="s">
        <v>30011</v>
      </c>
      <c r="C1535" s="20" t="n">
        <f aca="false">ROUND(14.68/FX,2)</f>
        <v>2.04</v>
      </c>
      <c r="D1535" s="21" t="s">
        <v>7396</v>
      </c>
      <c r="E1535" s="21" t="s">
        <v>29952</v>
      </c>
      <c r="F1535" s="21" t="s">
        <v>29993</v>
      </c>
    </row>
    <row r="1536" customFormat="false" ht="15" hidden="false" customHeight="false" outlineLevel="0" collapsed="false">
      <c r="B1536" s="19" t="s">
        <v>30012</v>
      </c>
      <c r="C1536" s="20" t="n">
        <f aca="false">ROUND(15.9/FX,2)</f>
        <v>2.21</v>
      </c>
      <c r="D1536" s="21" t="s">
        <v>3061</v>
      </c>
      <c r="E1536" s="21" t="s">
        <v>29952</v>
      </c>
      <c r="F1536" s="21" t="s">
        <v>29993</v>
      </c>
    </row>
    <row r="1537" customFormat="false" ht="15" hidden="false" customHeight="false" outlineLevel="0" collapsed="false">
      <c r="B1537" s="19" t="s">
        <v>30013</v>
      </c>
      <c r="C1537" s="20" t="n">
        <f aca="false">ROUND(17.37/FX,2)</f>
        <v>2.41</v>
      </c>
      <c r="D1537" s="21" t="s">
        <v>3111</v>
      </c>
      <c r="E1537" s="21" t="s">
        <v>29952</v>
      </c>
      <c r="F1537" s="21" t="s">
        <v>29993</v>
      </c>
    </row>
    <row r="1538" customFormat="false" ht="15" hidden="false" customHeight="false" outlineLevel="0" collapsed="false">
      <c r="B1538" s="19" t="s">
        <v>30014</v>
      </c>
      <c r="C1538" s="20" t="n">
        <f aca="false">ROUND(19.32/FX,2)</f>
        <v>2.68</v>
      </c>
      <c r="D1538" s="21" t="s">
        <v>2600</v>
      </c>
      <c r="E1538" s="21" t="s">
        <v>13852</v>
      </c>
      <c r="F1538" s="21" t="s">
        <v>784</v>
      </c>
    </row>
    <row r="1539" customFormat="false" ht="15" hidden="false" customHeight="false" outlineLevel="0" collapsed="false">
      <c r="B1539" s="19" t="s">
        <v>30015</v>
      </c>
      <c r="C1539" s="20" t="n">
        <f aca="false">ROUND(19.81/FX,2)</f>
        <v>2.75</v>
      </c>
      <c r="D1539" s="21" t="s">
        <v>2651</v>
      </c>
      <c r="E1539" s="21" t="s">
        <v>13852</v>
      </c>
      <c r="F1539" s="21" t="s">
        <v>784</v>
      </c>
    </row>
    <row r="1540" customFormat="false" ht="15" hidden="false" customHeight="false" outlineLevel="0" collapsed="false">
      <c r="B1540" s="19" t="s">
        <v>30016</v>
      </c>
      <c r="C1540" s="20" t="n">
        <f aca="false">ROUND(20.79/FX,2)</f>
        <v>2.89</v>
      </c>
      <c r="D1540" s="21" t="s">
        <v>2701</v>
      </c>
      <c r="E1540" s="21" t="s">
        <v>13852</v>
      </c>
      <c r="F1540" s="21" t="s">
        <v>784</v>
      </c>
    </row>
    <row r="1541" customFormat="false" ht="15" hidden="false" customHeight="false" outlineLevel="0" collapsed="false">
      <c r="B1541" s="19" t="s">
        <v>30017</v>
      </c>
      <c r="C1541" s="20" t="n">
        <f aca="false">ROUND(22/FX,2)</f>
        <v>3.06</v>
      </c>
      <c r="D1541" s="21" t="s">
        <v>11968</v>
      </c>
      <c r="E1541" s="21" t="s">
        <v>13852</v>
      </c>
      <c r="F1541" s="21" t="s">
        <v>784</v>
      </c>
    </row>
    <row r="1542" customFormat="false" ht="15" hidden="false" customHeight="false" outlineLevel="0" collapsed="false">
      <c r="B1542" s="19" t="s">
        <v>30018</v>
      </c>
      <c r="C1542" s="20" t="n">
        <f aca="false">ROUND(24.45/FX,2)</f>
        <v>3.4</v>
      </c>
      <c r="D1542" s="21" t="s">
        <v>2751</v>
      </c>
      <c r="E1542" s="21" t="s">
        <v>13852</v>
      </c>
      <c r="F1542" s="21" t="s">
        <v>784</v>
      </c>
    </row>
    <row r="1543" customFormat="false" ht="15" hidden="false" customHeight="false" outlineLevel="0" collapsed="false">
      <c r="B1543" s="19" t="s">
        <v>30019</v>
      </c>
      <c r="C1543" s="20" t="n">
        <f aca="false">ROUND(24.95/FX,2)</f>
        <v>3.47</v>
      </c>
      <c r="D1543" s="21" t="s">
        <v>2801</v>
      </c>
      <c r="E1543" s="21" t="s">
        <v>13852</v>
      </c>
      <c r="F1543" s="21" t="s">
        <v>784</v>
      </c>
    </row>
    <row r="1544" customFormat="false" ht="15" hidden="false" customHeight="false" outlineLevel="0" collapsed="false">
      <c r="B1544" s="19" t="s">
        <v>30020</v>
      </c>
      <c r="C1544" s="20" t="n">
        <f aca="false">ROUND(25.69/FX,2)</f>
        <v>3.57</v>
      </c>
      <c r="D1544" s="21" t="s">
        <v>2851</v>
      </c>
      <c r="E1544" s="21" t="s">
        <v>13852</v>
      </c>
      <c r="F1544" s="21" t="s">
        <v>784</v>
      </c>
    </row>
    <row r="1545" customFormat="false" ht="15" hidden="false" customHeight="false" outlineLevel="0" collapsed="false">
      <c r="B1545" s="19" t="s">
        <v>30021</v>
      </c>
      <c r="C1545" s="20" t="n">
        <f aca="false">ROUND(26.91/FX,2)</f>
        <v>3.74</v>
      </c>
      <c r="D1545" s="21" t="s">
        <v>2901</v>
      </c>
      <c r="E1545" s="21" t="s">
        <v>13852</v>
      </c>
      <c r="F1545" s="21" t="s">
        <v>784</v>
      </c>
    </row>
    <row r="1546" customFormat="false" ht="15" hidden="false" customHeight="false" outlineLevel="0" collapsed="false">
      <c r="B1546" s="19" t="s">
        <v>30022</v>
      </c>
      <c r="C1546" s="20" t="n">
        <f aca="false">ROUND(27.64/FX,2)</f>
        <v>3.84</v>
      </c>
      <c r="D1546" s="21" t="s">
        <v>883</v>
      </c>
      <c r="E1546" s="21" t="s">
        <v>13852</v>
      </c>
      <c r="F1546" s="21" t="s">
        <v>784</v>
      </c>
    </row>
    <row r="1547" customFormat="false" ht="15" hidden="false" customHeight="false" outlineLevel="0" collapsed="false">
      <c r="B1547" s="19" t="s">
        <v>30023</v>
      </c>
      <c r="C1547" s="20" t="n">
        <f aca="false">ROUND(28.37/FX,2)</f>
        <v>3.94</v>
      </c>
      <c r="D1547" s="21" t="s">
        <v>6497</v>
      </c>
      <c r="E1547" s="21" t="s">
        <v>13852</v>
      </c>
      <c r="F1547" s="21" t="s">
        <v>784</v>
      </c>
    </row>
    <row r="1548" customFormat="false" ht="15" hidden="false" customHeight="false" outlineLevel="0" collapsed="false">
      <c r="B1548" s="19" t="s">
        <v>30024</v>
      </c>
      <c r="C1548" s="20" t="n">
        <f aca="false">ROUND(29.35/FX,2)</f>
        <v>4.08</v>
      </c>
      <c r="D1548" s="21" t="s">
        <v>938</v>
      </c>
      <c r="E1548" s="21" t="s">
        <v>13852</v>
      </c>
      <c r="F1548" s="21" t="s">
        <v>784</v>
      </c>
    </row>
    <row r="1549" customFormat="false" ht="15" hidden="false" customHeight="false" outlineLevel="0" collapsed="false">
      <c r="B1549" s="19" t="s">
        <v>30025</v>
      </c>
      <c r="C1549" s="20" t="n">
        <f aca="false">ROUND(30.58/FX,2)</f>
        <v>4.25</v>
      </c>
      <c r="D1549" s="21" t="s">
        <v>993</v>
      </c>
      <c r="E1549" s="21" t="s">
        <v>13852</v>
      </c>
      <c r="F1549" s="21" t="s">
        <v>784</v>
      </c>
    </row>
    <row r="1550" customFormat="false" ht="15" hidden="false" customHeight="false" outlineLevel="0" collapsed="false">
      <c r="B1550" s="19" t="s">
        <v>30026</v>
      </c>
      <c r="C1550" s="20" t="n">
        <f aca="false">ROUND(31.8/FX,2)</f>
        <v>4.42</v>
      </c>
      <c r="D1550" s="21" t="s">
        <v>1048</v>
      </c>
      <c r="E1550" s="21" t="s">
        <v>13852</v>
      </c>
      <c r="F1550" s="21" t="s">
        <v>784</v>
      </c>
    </row>
    <row r="1551" customFormat="false" ht="15" hidden="false" customHeight="false" outlineLevel="0" collapsed="false">
      <c r="B1551" s="19" t="s">
        <v>30027</v>
      </c>
      <c r="C1551" s="20" t="n">
        <f aca="false">ROUND(36.69/FX,2)</f>
        <v>5.1</v>
      </c>
      <c r="D1551" s="21" t="s">
        <v>1323</v>
      </c>
      <c r="E1551" s="21" t="s">
        <v>13852</v>
      </c>
      <c r="F1551" s="21" t="s">
        <v>784</v>
      </c>
    </row>
    <row r="1552" customFormat="false" ht="15" hidden="false" customHeight="false" outlineLevel="0" collapsed="false">
      <c r="B1552" s="19" t="s">
        <v>30028</v>
      </c>
      <c r="C1552" s="20" t="n">
        <f aca="false">ROUND(44.02/FX,2)</f>
        <v>6.11</v>
      </c>
      <c r="D1552" s="21" t="s">
        <v>1520</v>
      </c>
      <c r="E1552" s="21" t="s">
        <v>13852</v>
      </c>
      <c r="F1552" s="21" t="s">
        <v>784</v>
      </c>
    </row>
    <row r="1553" customFormat="false" ht="15" hidden="false" customHeight="false" outlineLevel="0" collapsed="false">
      <c r="B1553" s="19" t="s">
        <v>30029</v>
      </c>
      <c r="C1553" s="20" t="n">
        <f aca="false">ROUND(11.74/FX,2)</f>
        <v>1.63</v>
      </c>
      <c r="D1553" s="21" t="s">
        <v>3328</v>
      </c>
      <c r="E1553" s="21" t="s">
        <v>13852</v>
      </c>
      <c r="F1553" s="21" t="s">
        <v>784</v>
      </c>
    </row>
    <row r="1554" customFormat="false" ht="15" hidden="false" customHeight="false" outlineLevel="0" collapsed="false">
      <c r="B1554" s="19" t="s">
        <v>30030</v>
      </c>
      <c r="C1554" s="20" t="n">
        <f aca="false">ROUND(12.73/FX,2)</f>
        <v>1.77</v>
      </c>
      <c r="D1554" s="21" t="s">
        <v>6246</v>
      </c>
      <c r="E1554" s="21" t="s">
        <v>13852</v>
      </c>
      <c r="F1554" s="21" t="s">
        <v>784</v>
      </c>
    </row>
    <row r="1555" customFormat="false" ht="15" hidden="false" customHeight="false" outlineLevel="0" collapsed="false">
      <c r="B1555" s="19" t="s">
        <v>30031</v>
      </c>
      <c r="C1555" s="20" t="n">
        <f aca="false">ROUND(13.21/FX,2)</f>
        <v>1.83</v>
      </c>
      <c r="D1555" s="21" t="s">
        <v>7358</v>
      </c>
      <c r="E1555" s="21" t="s">
        <v>13852</v>
      </c>
      <c r="F1555" s="21" t="s">
        <v>784</v>
      </c>
    </row>
    <row r="1556" customFormat="false" ht="15" hidden="false" customHeight="false" outlineLevel="0" collapsed="false">
      <c r="B1556" s="19" t="s">
        <v>30032</v>
      </c>
      <c r="C1556" s="20" t="n">
        <f aca="false">ROUND(13.7/FX,2)</f>
        <v>1.9</v>
      </c>
      <c r="D1556" s="21" t="s">
        <v>2911</v>
      </c>
      <c r="E1556" s="21" t="s">
        <v>13852</v>
      </c>
      <c r="F1556" s="21" t="s">
        <v>784</v>
      </c>
    </row>
    <row r="1557" customFormat="false" ht="15" hidden="false" customHeight="false" outlineLevel="0" collapsed="false">
      <c r="B1557" s="19" t="s">
        <v>30033</v>
      </c>
      <c r="C1557" s="20" t="n">
        <f aca="false">ROUND(14.18/FX,2)</f>
        <v>1.97</v>
      </c>
      <c r="D1557" s="21" t="s">
        <v>7275</v>
      </c>
      <c r="E1557" s="21" t="s">
        <v>13852</v>
      </c>
      <c r="F1557" s="21" t="s">
        <v>784</v>
      </c>
    </row>
    <row r="1558" customFormat="false" ht="15" hidden="false" customHeight="false" outlineLevel="0" collapsed="false">
      <c r="B1558" s="19" t="s">
        <v>30034</v>
      </c>
      <c r="C1558" s="20" t="n">
        <f aca="false">ROUND(15.17/FX,2)</f>
        <v>2.11</v>
      </c>
      <c r="D1558" s="21" t="s">
        <v>2961</v>
      </c>
      <c r="E1558" s="21" t="s">
        <v>13852</v>
      </c>
      <c r="F1558" s="21" t="s">
        <v>784</v>
      </c>
    </row>
    <row r="1559" customFormat="false" ht="15" hidden="false" customHeight="false" outlineLevel="0" collapsed="false">
      <c r="B1559" s="19" t="s">
        <v>30035</v>
      </c>
      <c r="C1559" s="20" t="n">
        <f aca="false">ROUND(15.42/FX,2)</f>
        <v>2.14</v>
      </c>
      <c r="D1559" s="21" t="s">
        <v>13817</v>
      </c>
      <c r="E1559" s="21" t="s">
        <v>13852</v>
      </c>
      <c r="F1559" s="21" t="s">
        <v>784</v>
      </c>
    </row>
    <row r="1560" customFormat="false" ht="15" hidden="false" customHeight="false" outlineLevel="0" collapsed="false">
      <c r="B1560" s="19" t="s">
        <v>30036</v>
      </c>
      <c r="C1560" s="20" t="n">
        <f aca="false">ROUND(15.65/FX,2)</f>
        <v>2.17</v>
      </c>
      <c r="D1560" s="21" t="s">
        <v>3011</v>
      </c>
      <c r="E1560" s="21" t="s">
        <v>13852</v>
      </c>
      <c r="F1560" s="21" t="s">
        <v>784</v>
      </c>
    </row>
    <row r="1561" customFormat="false" ht="15" hidden="false" customHeight="false" outlineLevel="0" collapsed="false">
      <c r="B1561" s="19" t="s">
        <v>30037</v>
      </c>
      <c r="C1561" s="20" t="n">
        <f aca="false">ROUND(16.15/FX,2)</f>
        <v>2.24</v>
      </c>
      <c r="D1561" s="21" t="s">
        <v>7396</v>
      </c>
      <c r="E1561" s="21" t="s">
        <v>13852</v>
      </c>
      <c r="F1561" s="21" t="s">
        <v>784</v>
      </c>
    </row>
    <row r="1562" customFormat="false" ht="15" hidden="false" customHeight="false" outlineLevel="0" collapsed="false">
      <c r="B1562" s="19" t="s">
        <v>30038</v>
      </c>
      <c r="C1562" s="20" t="n">
        <f aca="false">ROUND(16.64/FX,2)</f>
        <v>2.31</v>
      </c>
      <c r="D1562" s="21" t="s">
        <v>3061</v>
      </c>
      <c r="E1562" s="21" t="s">
        <v>13852</v>
      </c>
      <c r="F1562" s="21" t="s">
        <v>784</v>
      </c>
    </row>
    <row r="1563" customFormat="false" ht="15" hidden="false" customHeight="false" outlineLevel="0" collapsed="false">
      <c r="B1563" s="19" t="s">
        <v>30039</v>
      </c>
      <c r="C1563" s="20" t="n">
        <f aca="false">ROUND(18.1/FX,2)</f>
        <v>2.51</v>
      </c>
      <c r="D1563" s="21" t="s">
        <v>3111</v>
      </c>
      <c r="E1563" s="21" t="s">
        <v>13852</v>
      </c>
      <c r="F1563" s="21" t="s">
        <v>784</v>
      </c>
    </row>
    <row r="1564" customFormat="false" ht="15" hidden="false" customHeight="false" outlineLevel="0" collapsed="false">
      <c r="B1564" s="19" t="s">
        <v>30040</v>
      </c>
      <c r="C1564" s="20" t="n">
        <f aca="false">ROUND(23.96/FX,2)</f>
        <v>3.33</v>
      </c>
      <c r="D1564" s="21" t="s">
        <v>2600</v>
      </c>
      <c r="E1564" s="21" t="s">
        <v>7061</v>
      </c>
      <c r="F1564" s="21" t="s">
        <v>13791</v>
      </c>
    </row>
    <row r="1565" customFormat="false" ht="15" hidden="false" customHeight="false" outlineLevel="0" collapsed="false">
      <c r="B1565" s="19" t="s">
        <v>30041</v>
      </c>
      <c r="C1565" s="20" t="n">
        <f aca="false">ROUND(26.42/FX,2)</f>
        <v>3.67</v>
      </c>
      <c r="D1565" s="21" t="s">
        <v>2651</v>
      </c>
      <c r="E1565" s="21" t="s">
        <v>7061</v>
      </c>
      <c r="F1565" s="21" t="s">
        <v>13791</v>
      </c>
    </row>
    <row r="1566" customFormat="false" ht="15" hidden="false" customHeight="false" outlineLevel="0" collapsed="false">
      <c r="B1566" s="19" t="s">
        <v>30042</v>
      </c>
      <c r="C1566" s="20" t="n">
        <f aca="false">ROUND(27.64/FX,2)</f>
        <v>3.84</v>
      </c>
      <c r="D1566" s="21" t="s">
        <v>2701</v>
      </c>
      <c r="E1566" s="21" t="s">
        <v>7061</v>
      </c>
      <c r="F1566" s="21" t="s">
        <v>13791</v>
      </c>
    </row>
    <row r="1567" customFormat="false" ht="15" hidden="false" customHeight="false" outlineLevel="0" collapsed="false">
      <c r="B1567" s="19" t="s">
        <v>30043</v>
      </c>
      <c r="C1567" s="20" t="n">
        <f aca="false">ROUND(30.08/FX,2)</f>
        <v>4.18</v>
      </c>
      <c r="D1567" s="21" t="s">
        <v>2751</v>
      </c>
      <c r="E1567" s="21" t="s">
        <v>7061</v>
      </c>
      <c r="F1567" s="21" t="s">
        <v>13791</v>
      </c>
    </row>
    <row r="1568" customFormat="false" ht="15" hidden="false" customHeight="false" outlineLevel="0" collapsed="false">
      <c r="B1568" s="19" t="s">
        <v>30044</v>
      </c>
      <c r="C1568" s="20" t="n">
        <f aca="false">ROUND(30.56/FX,2)</f>
        <v>4.24</v>
      </c>
      <c r="D1568" s="21" t="s">
        <v>2801</v>
      </c>
      <c r="E1568" s="21" t="s">
        <v>7061</v>
      </c>
      <c r="F1568" s="21" t="s">
        <v>13791</v>
      </c>
    </row>
    <row r="1569" customFormat="false" ht="15" hidden="false" customHeight="false" outlineLevel="0" collapsed="false">
      <c r="B1569" s="19" t="s">
        <v>30045</v>
      </c>
      <c r="C1569" s="20" t="n">
        <f aca="false">ROUND(31.06/FX,2)</f>
        <v>4.31</v>
      </c>
      <c r="D1569" s="21" t="s">
        <v>2851</v>
      </c>
      <c r="E1569" s="21" t="s">
        <v>7061</v>
      </c>
      <c r="F1569" s="21" t="s">
        <v>13791</v>
      </c>
    </row>
    <row r="1570" customFormat="false" ht="15" hidden="false" customHeight="false" outlineLevel="0" collapsed="false">
      <c r="B1570" s="19" t="s">
        <v>30046</v>
      </c>
      <c r="C1570" s="20" t="n">
        <f aca="false">ROUND(31.3/FX,2)</f>
        <v>4.35</v>
      </c>
      <c r="D1570" s="21" t="s">
        <v>2901</v>
      </c>
      <c r="E1570" s="21" t="s">
        <v>7061</v>
      </c>
      <c r="F1570" s="21" t="s">
        <v>13791</v>
      </c>
    </row>
    <row r="1571" customFormat="false" ht="15" hidden="false" customHeight="false" outlineLevel="0" collapsed="false">
      <c r="B1571" s="19" t="s">
        <v>30047</v>
      </c>
      <c r="C1571" s="20" t="n">
        <f aca="false">ROUND(33.75/FX,2)</f>
        <v>4.69</v>
      </c>
      <c r="D1571" s="21" t="s">
        <v>883</v>
      </c>
      <c r="E1571" s="21" t="s">
        <v>7061</v>
      </c>
      <c r="F1571" s="21" t="s">
        <v>13791</v>
      </c>
    </row>
    <row r="1572" customFormat="false" ht="15" hidden="false" customHeight="false" outlineLevel="0" collapsed="false">
      <c r="B1572" s="19" t="s">
        <v>30048</v>
      </c>
      <c r="C1572" s="20" t="n">
        <f aca="false">ROUND(36.19/FX,2)</f>
        <v>5.03</v>
      </c>
      <c r="D1572" s="21" t="s">
        <v>938</v>
      </c>
      <c r="E1572" s="21" t="s">
        <v>7061</v>
      </c>
      <c r="F1572" s="21" t="s">
        <v>13791</v>
      </c>
    </row>
    <row r="1573" customFormat="false" ht="15" hidden="false" customHeight="false" outlineLevel="0" collapsed="false">
      <c r="B1573" s="19" t="s">
        <v>30049</v>
      </c>
      <c r="C1573" s="20" t="n">
        <f aca="false">ROUND(37.41/FX,2)</f>
        <v>5.2</v>
      </c>
      <c r="D1573" s="21" t="s">
        <v>993</v>
      </c>
      <c r="E1573" s="21" t="s">
        <v>7061</v>
      </c>
      <c r="F1573" s="21" t="s">
        <v>13791</v>
      </c>
    </row>
    <row r="1574" customFormat="false" ht="15" hidden="false" customHeight="false" outlineLevel="0" collapsed="false">
      <c r="B1574" s="19" t="s">
        <v>30050</v>
      </c>
      <c r="C1574" s="20" t="n">
        <f aca="false">ROUND(38.64/FX,2)</f>
        <v>5.37</v>
      </c>
      <c r="D1574" s="21" t="s">
        <v>1048</v>
      </c>
      <c r="E1574" s="21" t="s">
        <v>7061</v>
      </c>
      <c r="F1574" s="21" t="s">
        <v>13791</v>
      </c>
    </row>
    <row r="1575" customFormat="false" ht="15" hidden="false" customHeight="false" outlineLevel="0" collapsed="false">
      <c r="B1575" s="19" t="s">
        <v>30051</v>
      </c>
      <c r="C1575" s="20" t="n">
        <f aca="false">ROUND(41.08/FX,2)</f>
        <v>5.71</v>
      </c>
      <c r="D1575" s="21" t="s">
        <v>3991</v>
      </c>
      <c r="E1575" s="21" t="s">
        <v>7061</v>
      </c>
      <c r="F1575" s="21" t="s">
        <v>13791</v>
      </c>
    </row>
    <row r="1576" customFormat="false" ht="15" hidden="false" customHeight="false" outlineLevel="0" collapsed="false">
      <c r="B1576" s="19" t="s">
        <v>30052</v>
      </c>
      <c r="C1576" s="20" t="n">
        <f aca="false">ROUND(43.53/FX,2)</f>
        <v>6.05</v>
      </c>
      <c r="D1576" s="21" t="s">
        <v>1323</v>
      </c>
      <c r="E1576" s="21" t="s">
        <v>7061</v>
      </c>
      <c r="F1576" s="21" t="s">
        <v>13791</v>
      </c>
    </row>
    <row r="1577" customFormat="false" ht="15" hidden="false" customHeight="false" outlineLevel="0" collapsed="false">
      <c r="B1577" s="19" t="s">
        <v>30053</v>
      </c>
      <c r="C1577" s="20" t="n">
        <f aca="false">ROUND(45.97/FX,2)</f>
        <v>6.38</v>
      </c>
      <c r="D1577" s="21" t="s">
        <v>4883</v>
      </c>
      <c r="E1577" s="21" t="s">
        <v>7061</v>
      </c>
      <c r="F1577" s="21" t="s">
        <v>13791</v>
      </c>
    </row>
    <row r="1578" customFormat="false" ht="15" hidden="false" customHeight="false" outlineLevel="0" collapsed="false">
      <c r="B1578" s="19" t="s">
        <v>30054</v>
      </c>
      <c r="C1578" s="20" t="n">
        <f aca="false">ROUND(48.41/FX,2)</f>
        <v>6.72</v>
      </c>
      <c r="D1578" s="21" t="s">
        <v>1520</v>
      </c>
      <c r="E1578" s="21" t="s">
        <v>7061</v>
      </c>
      <c r="F1578" s="21" t="s">
        <v>13791</v>
      </c>
    </row>
    <row r="1579" customFormat="false" ht="15" hidden="false" customHeight="false" outlineLevel="0" collapsed="false">
      <c r="B1579" s="19" t="s">
        <v>30055</v>
      </c>
      <c r="C1579" s="20" t="n">
        <f aca="false">ROUND(18.1/FX,2)</f>
        <v>2.51</v>
      </c>
      <c r="D1579" s="21" t="s">
        <v>6246</v>
      </c>
      <c r="E1579" s="21" t="s">
        <v>7061</v>
      </c>
      <c r="F1579" s="21" t="s">
        <v>13791</v>
      </c>
    </row>
    <row r="1580" customFormat="false" ht="15" hidden="false" customHeight="false" outlineLevel="0" collapsed="false">
      <c r="B1580" s="19" t="s">
        <v>30056</v>
      </c>
      <c r="C1580" s="20" t="n">
        <f aca="false">ROUND(18.59/FX,2)</f>
        <v>2.58</v>
      </c>
      <c r="D1580" s="21" t="s">
        <v>7358</v>
      </c>
      <c r="E1580" s="21" t="s">
        <v>7061</v>
      </c>
      <c r="F1580" s="21" t="s">
        <v>13791</v>
      </c>
    </row>
    <row r="1581" customFormat="false" ht="15" hidden="false" customHeight="false" outlineLevel="0" collapsed="false">
      <c r="B1581" s="19" t="s">
        <v>30057</v>
      </c>
      <c r="C1581" s="20" t="n">
        <f aca="false">ROUND(19.07/FX,2)</f>
        <v>2.65</v>
      </c>
      <c r="D1581" s="21" t="s">
        <v>2911</v>
      </c>
      <c r="E1581" s="21" t="s">
        <v>7061</v>
      </c>
      <c r="F1581" s="21" t="s">
        <v>13791</v>
      </c>
    </row>
    <row r="1582" customFormat="false" ht="15" hidden="false" customHeight="false" outlineLevel="0" collapsed="false">
      <c r="B1582" s="19" t="s">
        <v>30058</v>
      </c>
      <c r="C1582" s="20" t="n">
        <f aca="false">ROUND(19.57/FX,2)</f>
        <v>2.72</v>
      </c>
      <c r="D1582" s="21" t="s">
        <v>7275</v>
      </c>
      <c r="E1582" s="21" t="s">
        <v>7061</v>
      </c>
      <c r="F1582" s="21" t="s">
        <v>13791</v>
      </c>
    </row>
    <row r="1583" customFormat="false" ht="15" hidden="false" customHeight="false" outlineLevel="0" collapsed="false">
      <c r="B1583" s="19" t="s">
        <v>30059</v>
      </c>
      <c r="C1583" s="20" t="n">
        <f aca="false">ROUND(20.06/FX,2)</f>
        <v>2.79</v>
      </c>
      <c r="D1583" s="21" t="s">
        <v>2961</v>
      </c>
      <c r="E1583" s="21" t="s">
        <v>7061</v>
      </c>
      <c r="F1583" s="21" t="s">
        <v>13791</v>
      </c>
    </row>
    <row r="1584" customFormat="false" ht="15" hidden="false" customHeight="false" outlineLevel="0" collapsed="false">
      <c r="B1584" s="19" t="s">
        <v>30060</v>
      </c>
      <c r="C1584" s="20" t="n">
        <f aca="false">ROUND(20.54/FX,2)</f>
        <v>2.85</v>
      </c>
      <c r="D1584" s="21" t="s">
        <v>13817</v>
      </c>
      <c r="E1584" s="21" t="s">
        <v>7061</v>
      </c>
      <c r="F1584" s="21" t="s">
        <v>13791</v>
      </c>
    </row>
    <row r="1585" customFormat="false" ht="15" hidden="false" customHeight="false" outlineLevel="0" collapsed="false">
      <c r="B1585" s="19" t="s">
        <v>30061</v>
      </c>
      <c r="C1585" s="20" t="n">
        <f aca="false">ROUND(21.03/FX,2)</f>
        <v>2.92</v>
      </c>
      <c r="D1585" s="21" t="s">
        <v>3011</v>
      </c>
      <c r="E1585" s="21" t="s">
        <v>7061</v>
      </c>
      <c r="F1585" s="21" t="s">
        <v>13791</v>
      </c>
    </row>
    <row r="1586" customFormat="false" ht="15" hidden="false" customHeight="false" outlineLevel="0" collapsed="false">
      <c r="B1586" s="19" t="s">
        <v>30062</v>
      </c>
      <c r="C1586" s="20" t="n">
        <f aca="false">ROUND(22/FX,2)</f>
        <v>3.06</v>
      </c>
      <c r="D1586" s="21" t="s">
        <v>7396</v>
      </c>
      <c r="E1586" s="21" t="s">
        <v>7061</v>
      </c>
      <c r="F1586" s="21" t="s">
        <v>13791</v>
      </c>
    </row>
    <row r="1587" customFormat="false" ht="15" hidden="false" customHeight="false" outlineLevel="0" collapsed="false">
      <c r="B1587" s="19" t="s">
        <v>30063</v>
      </c>
      <c r="C1587" s="20" t="n">
        <f aca="false">ROUND(22.26/FX,2)</f>
        <v>3.09</v>
      </c>
      <c r="D1587" s="21" t="s">
        <v>3061</v>
      </c>
      <c r="E1587" s="21" t="s">
        <v>7061</v>
      </c>
      <c r="F1587" s="21" t="s">
        <v>13791</v>
      </c>
    </row>
    <row r="1588" customFormat="false" ht="15" hidden="false" customHeight="false" outlineLevel="0" collapsed="false">
      <c r="B1588" s="19" t="s">
        <v>30064</v>
      </c>
      <c r="C1588" s="20" t="n">
        <f aca="false">ROUND(22.99/FX,2)</f>
        <v>3.19</v>
      </c>
      <c r="D1588" s="21" t="s">
        <v>3111</v>
      </c>
      <c r="E1588" s="21" t="s">
        <v>7061</v>
      </c>
      <c r="F1588" s="21" t="s">
        <v>13791</v>
      </c>
    </row>
    <row r="1589" customFormat="false" ht="15" hidden="false" customHeight="false" outlineLevel="0" collapsed="false">
      <c r="B1589" s="19" t="s">
        <v>30065</v>
      </c>
      <c r="C1589" s="20" t="n">
        <f aca="false">ROUND(20.3/FX,2)</f>
        <v>2.82</v>
      </c>
      <c r="D1589" s="21" t="s">
        <v>2911</v>
      </c>
      <c r="E1589" s="21" t="s">
        <v>14083</v>
      </c>
      <c r="F1589" s="21" t="s">
        <v>14100</v>
      </c>
    </row>
    <row r="1590" customFormat="false" ht="15" hidden="false" customHeight="false" outlineLevel="0" collapsed="false">
      <c r="B1590" s="19" t="s">
        <v>30066</v>
      </c>
      <c r="C1590" s="20" t="n">
        <f aca="false">ROUND(21.35/FX,2)</f>
        <v>2.97</v>
      </c>
      <c r="D1590" s="21" t="s">
        <v>2961</v>
      </c>
      <c r="E1590" s="21" t="s">
        <v>14083</v>
      </c>
      <c r="F1590" s="21" t="s">
        <v>14100</v>
      </c>
    </row>
    <row r="1593" customFormat="false" ht="61.5" hidden="false" customHeight="true" outlineLevel="0" collapsed="false">
      <c r="A1593" s="9"/>
      <c r="B1593" s="10" t="s">
        <v>30067</v>
      </c>
      <c r="C1593" s="10"/>
      <c r="D1593" s="10"/>
      <c r="E1593" s="10"/>
      <c r="F1593" s="10"/>
    </row>
    <row r="1594" customFormat="false" ht="15" hidden="false" customHeight="false" outlineLevel="0" collapsed="false">
      <c r="A1594" s="12" t="s">
        <v>700</v>
      </c>
      <c r="B1594" s="13" t="s">
        <v>701</v>
      </c>
      <c r="C1594" s="13" t="s">
        <v>702</v>
      </c>
      <c r="D1594" s="13" t="s">
        <v>11716</v>
      </c>
      <c r="E1594" s="13" t="s">
        <v>7711</v>
      </c>
      <c r="F1594" s="13" t="s">
        <v>14350</v>
      </c>
    </row>
    <row r="1595" customFormat="false" ht="30" hidden="false" customHeight="true" outlineLevel="0" collapsed="false">
      <c r="A1595" s="14" t="s">
        <v>706</v>
      </c>
      <c r="B1595" s="15" t="str">
        <f aca="false">IF(COUNTIFS($D$1598:$D$1940,IF(D1595="","*",D1595),$E$1598:$E$1940,IF(E1595="","*",E1595),$F$1598:$F$1940,IF(F1595="","*",F1595))=1,INDEX($B:$B,SUMPRODUCT(((D1595="")+($D$1598:$D$1940=D1595)&gt;0)*((E1595="")+($E$1598:$E$1940=E1595)&gt;0)*((F1595="")+($F$1598:$F$1940=F1595)&gt;0)*ROW($B$1598:$B$1940))),IF(COUNTIFS($D$1598:$D$1940,IF(D1595="","*",D1595),$E$1598:$E$1940,IF(E1595="","*",E1595),$F$1598:$F$1940,IF(F1595="","*",F1595))=0,"Not available",COUNTIFS($D$1598:$D$1940,IF(D1595="","*",D1595),$E$1598:$E$1940,IF(E1595="","*",E1595),$F$1598:$F$1940,IF(F1595="","*",F1595))&amp;" match, keep choosing"))</f>
        <v>SPR-RD-10-5-100</v>
      </c>
      <c r="C1595" s="16" t="n">
        <f aca="false">IF(COUNTIFS($D$1598:$D$1940,IF(D1595="","*",D1595),$E$1598:$E$1940,IF(E1595="","*",E1595),$F$1598:$F$1940,IF(F1595="","*",F1595))=1,INDEX($C:$C,SUMPRODUCT(((D1595="")+($D$1598:$D$1940=D1595)&gt;0)*((E1595="")+($E$1598:$E$1940=E1595)&gt;0)*((F1595="")+($F$1598:$F$1940=F1595)&gt;0)*ROW($B$1598:$B$1940))),"")</f>
        <v>0.2</v>
      </c>
      <c r="D1595" s="17" t="s">
        <v>2600</v>
      </c>
      <c r="E1595" s="17" t="s">
        <v>789</v>
      </c>
      <c r="F1595" s="17" t="s">
        <v>707</v>
      </c>
    </row>
    <row r="1597" customFormat="false" ht="15" hidden="false" customHeight="false" outlineLevel="0" collapsed="false">
      <c r="B1597" s="18" t="s">
        <v>701</v>
      </c>
      <c r="C1597" s="18" t="s">
        <v>702</v>
      </c>
      <c r="D1597" s="18" t="s">
        <v>11716</v>
      </c>
      <c r="E1597" s="18" t="s">
        <v>7711</v>
      </c>
      <c r="F1597" s="18" t="s">
        <v>14350</v>
      </c>
    </row>
    <row r="1598" customFormat="false" ht="15" hidden="false" customHeight="false" outlineLevel="0" collapsed="false">
      <c r="B1598" s="19" t="s">
        <v>30068</v>
      </c>
      <c r="C1598" s="20" t="n">
        <f aca="false">ROUND(1.42/FX,2)</f>
        <v>0.2</v>
      </c>
      <c r="D1598" s="21" t="s">
        <v>2600</v>
      </c>
      <c r="E1598" s="21" t="s">
        <v>789</v>
      </c>
      <c r="F1598" s="21" t="s">
        <v>707</v>
      </c>
    </row>
    <row r="1599" customFormat="false" ht="15" hidden="false" customHeight="false" outlineLevel="0" collapsed="false">
      <c r="B1599" s="19" t="s">
        <v>30069</v>
      </c>
      <c r="C1599" s="20" t="n">
        <f aca="false">ROUND(1.9/FX,2)</f>
        <v>0.26</v>
      </c>
      <c r="D1599" s="21" t="s">
        <v>2651</v>
      </c>
      <c r="E1599" s="21" t="s">
        <v>789</v>
      </c>
      <c r="F1599" s="21" t="s">
        <v>707</v>
      </c>
    </row>
    <row r="1600" customFormat="false" ht="15" hidden="false" customHeight="false" outlineLevel="0" collapsed="false">
      <c r="B1600" s="19" t="s">
        <v>30070</v>
      </c>
      <c r="C1600" s="20" t="n">
        <f aca="false">ROUND(1.94/FX,2)</f>
        <v>0.27</v>
      </c>
      <c r="D1600" s="21" t="s">
        <v>2701</v>
      </c>
      <c r="E1600" s="21" t="s">
        <v>789</v>
      </c>
      <c r="F1600" s="21" t="s">
        <v>707</v>
      </c>
    </row>
    <row r="1601" customFormat="false" ht="15" hidden="false" customHeight="false" outlineLevel="0" collapsed="false">
      <c r="B1601" s="19" t="s">
        <v>30071</v>
      </c>
      <c r="C1601" s="20" t="n">
        <f aca="false">ROUND(1.77/FX,2)</f>
        <v>0.25</v>
      </c>
      <c r="D1601" s="21" t="s">
        <v>11968</v>
      </c>
      <c r="E1601" s="21" t="s">
        <v>789</v>
      </c>
      <c r="F1601" s="21" t="s">
        <v>707</v>
      </c>
    </row>
    <row r="1602" customFormat="false" ht="15" hidden="false" customHeight="false" outlineLevel="0" collapsed="false">
      <c r="B1602" s="19" t="s">
        <v>30072</v>
      </c>
      <c r="C1602" s="20" t="n">
        <f aca="false">ROUND(0.48/FX,2)</f>
        <v>0.07</v>
      </c>
      <c r="D1602" s="21" t="s">
        <v>3247</v>
      </c>
      <c r="E1602" s="21" t="s">
        <v>789</v>
      </c>
      <c r="F1602" s="21" t="s">
        <v>707</v>
      </c>
    </row>
    <row r="1603" customFormat="false" ht="15" hidden="false" customHeight="false" outlineLevel="0" collapsed="false">
      <c r="B1603" s="19" t="s">
        <v>30073</v>
      </c>
      <c r="C1603" s="20" t="n">
        <f aca="false">ROUND(0.72/FX,2)</f>
        <v>0.1</v>
      </c>
      <c r="D1603" s="21" t="s">
        <v>3317</v>
      </c>
      <c r="E1603" s="21" t="s">
        <v>789</v>
      </c>
      <c r="F1603" s="21" t="s">
        <v>707</v>
      </c>
    </row>
    <row r="1604" customFormat="false" ht="15" hidden="false" customHeight="false" outlineLevel="0" collapsed="false">
      <c r="B1604" s="19" t="s">
        <v>30074</v>
      </c>
      <c r="C1604" s="20" t="n">
        <f aca="false">ROUND(0.54/FX,2)</f>
        <v>0.08</v>
      </c>
      <c r="D1604" s="21" t="s">
        <v>784</v>
      </c>
      <c r="E1604" s="21" t="s">
        <v>789</v>
      </c>
      <c r="F1604" s="21" t="s">
        <v>707</v>
      </c>
    </row>
    <row r="1605" customFormat="false" ht="15" hidden="false" customHeight="false" outlineLevel="0" collapsed="false">
      <c r="B1605" s="19" t="s">
        <v>30075</v>
      </c>
      <c r="C1605" s="20" t="n">
        <f aca="false">ROUND(5.45/FX,2)</f>
        <v>0.76</v>
      </c>
      <c r="D1605" s="21" t="s">
        <v>1520</v>
      </c>
      <c r="E1605" s="21" t="s">
        <v>789</v>
      </c>
      <c r="F1605" s="21" t="s">
        <v>707</v>
      </c>
    </row>
    <row r="1606" customFormat="false" ht="15" hidden="false" customHeight="false" outlineLevel="0" collapsed="false">
      <c r="B1606" s="19" t="s">
        <v>30076</v>
      </c>
      <c r="C1606" s="20" t="n">
        <f aca="false">ROUND(0.6/FX,2)</f>
        <v>0.08</v>
      </c>
      <c r="D1606" s="21" t="s">
        <v>3328</v>
      </c>
      <c r="E1606" s="21" t="s">
        <v>789</v>
      </c>
      <c r="F1606" s="21" t="s">
        <v>707</v>
      </c>
    </row>
    <row r="1607" customFormat="false" ht="15" hidden="false" customHeight="false" outlineLevel="0" collapsed="false">
      <c r="B1607" s="19" t="s">
        <v>30077</v>
      </c>
      <c r="C1607" s="20" t="n">
        <f aca="false">ROUND(0.65/FX,2)</f>
        <v>0.09</v>
      </c>
      <c r="D1607" s="21" t="s">
        <v>6246</v>
      </c>
      <c r="E1607" s="21" t="s">
        <v>789</v>
      </c>
      <c r="F1607" s="21" t="s">
        <v>707</v>
      </c>
    </row>
    <row r="1608" customFormat="false" ht="15" hidden="false" customHeight="false" outlineLevel="0" collapsed="false">
      <c r="B1608" s="19" t="s">
        <v>30078</v>
      </c>
      <c r="C1608" s="20" t="n">
        <f aca="false">ROUND(0.72/FX,2)</f>
        <v>0.1</v>
      </c>
      <c r="D1608" s="21" t="s">
        <v>7358</v>
      </c>
      <c r="E1608" s="21" t="s">
        <v>789</v>
      </c>
      <c r="F1608" s="21" t="s">
        <v>707</v>
      </c>
    </row>
    <row r="1609" customFormat="false" ht="15" hidden="false" customHeight="false" outlineLevel="0" collapsed="false">
      <c r="B1609" s="19" t="s">
        <v>30079</v>
      </c>
      <c r="C1609" s="20" t="n">
        <f aca="false">ROUND(0.77/FX,2)</f>
        <v>0.11</v>
      </c>
      <c r="D1609" s="21" t="s">
        <v>2911</v>
      </c>
      <c r="E1609" s="21" t="s">
        <v>789</v>
      </c>
      <c r="F1609" s="21" t="s">
        <v>707</v>
      </c>
    </row>
    <row r="1610" customFormat="false" ht="15" hidden="false" customHeight="false" outlineLevel="0" collapsed="false">
      <c r="B1610" s="19" t="s">
        <v>30080</v>
      </c>
      <c r="C1610" s="20" t="n">
        <f aca="false">ROUND(0.84/FX,2)</f>
        <v>0.12</v>
      </c>
      <c r="D1610" s="21" t="s">
        <v>7275</v>
      </c>
      <c r="E1610" s="21" t="s">
        <v>789</v>
      </c>
      <c r="F1610" s="21" t="s">
        <v>707</v>
      </c>
    </row>
    <row r="1611" customFormat="false" ht="15" hidden="false" customHeight="false" outlineLevel="0" collapsed="false">
      <c r="B1611" s="19" t="s">
        <v>30081</v>
      </c>
      <c r="C1611" s="20" t="n">
        <f aca="false">ROUND(0.89/FX,2)</f>
        <v>0.12</v>
      </c>
      <c r="D1611" s="21" t="s">
        <v>2961</v>
      </c>
      <c r="E1611" s="21" t="s">
        <v>789</v>
      </c>
      <c r="F1611" s="21" t="s">
        <v>707</v>
      </c>
    </row>
    <row r="1612" customFormat="false" ht="15" hidden="false" customHeight="false" outlineLevel="0" collapsed="false">
      <c r="B1612" s="19" t="s">
        <v>30082</v>
      </c>
      <c r="C1612" s="20" t="n">
        <f aca="false">ROUND(0.95/FX,2)</f>
        <v>0.13</v>
      </c>
      <c r="D1612" s="21" t="s">
        <v>13817</v>
      </c>
      <c r="E1612" s="21" t="s">
        <v>789</v>
      </c>
      <c r="F1612" s="21" t="s">
        <v>707</v>
      </c>
    </row>
    <row r="1613" customFormat="false" ht="15" hidden="false" customHeight="false" outlineLevel="0" collapsed="false">
      <c r="B1613" s="19" t="s">
        <v>30083</v>
      </c>
      <c r="C1613" s="20" t="n">
        <f aca="false">ROUND(1.07/FX,2)</f>
        <v>0.15</v>
      </c>
      <c r="D1613" s="21" t="s">
        <v>3011</v>
      </c>
      <c r="E1613" s="21" t="s">
        <v>789</v>
      </c>
      <c r="F1613" s="21" t="s">
        <v>707</v>
      </c>
    </row>
    <row r="1614" customFormat="false" ht="15" hidden="false" customHeight="false" outlineLevel="0" collapsed="false">
      <c r="B1614" s="19" t="s">
        <v>30084</v>
      </c>
      <c r="C1614" s="20" t="n">
        <f aca="false">ROUND(1.12/FX,2)</f>
        <v>0.16</v>
      </c>
      <c r="D1614" s="21" t="s">
        <v>7396</v>
      </c>
      <c r="E1614" s="21" t="s">
        <v>789</v>
      </c>
      <c r="F1614" s="21" t="s">
        <v>707</v>
      </c>
    </row>
    <row r="1615" customFormat="false" ht="15" hidden="false" customHeight="false" outlineLevel="0" collapsed="false">
      <c r="B1615" s="19" t="s">
        <v>30085</v>
      </c>
      <c r="C1615" s="20" t="n">
        <f aca="false">ROUND(1.12/FX,2)</f>
        <v>0.16</v>
      </c>
      <c r="D1615" s="21" t="s">
        <v>3061</v>
      </c>
      <c r="E1615" s="21" t="s">
        <v>789</v>
      </c>
      <c r="F1615" s="21" t="s">
        <v>707</v>
      </c>
    </row>
    <row r="1616" customFormat="false" ht="15" hidden="false" customHeight="false" outlineLevel="0" collapsed="false">
      <c r="B1616" s="19" t="s">
        <v>30086</v>
      </c>
      <c r="C1616" s="20" t="n">
        <f aca="false">ROUND(1.49/FX,2)</f>
        <v>0.21</v>
      </c>
      <c r="D1616" s="21" t="s">
        <v>11870</v>
      </c>
      <c r="E1616" s="21" t="s">
        <v>789</v>
      </c>
      <c r="F1616" s="21" t="s">
        <v>707</v>
      </c>
    </row>
    <row r="1617" customFormat="false" ht="15" hidden="false" customHeight="false" outlineLevel="0" collapsed="false">
      <c r="B1617" s="19" t="s">
        <v>30087</v>
      </c>
      <c r="C1617" s="20" t="n">
        <f aca="false">ROUND(1.49/FX,2)</f>
        <v>0.21</v>
      </c>
      <c r="D1617" s="21" t="s">
        <v>3111</v>
      </c>
      <c r="E1617" s="21" t="s">
        <v>789</v>
      </c>
      <c r="F1617" s="21" t="s">
        <v>707</v>
      </c>
    </row>
    <row r="1618" customFormat="false" ht="15" hidden="false" customHeight="false" outlineLevel="0" collapsed="false">
      <c r="B1618" s="19" t="s">
        <v>30088</v>
      </c>
      <c r="C1618" s="20" t="n">
        <f aca="false">ROUND(1.59/FX,2)</f>
        <v>0.22</v>
      </c>
      <c r="D1618" s="21" t="s">
        <v>12306</v>
      </c>
      <c r="E1618" s="21" t="s">
        <v>789</v>
      </c>
      <c r="F1618" s="21" t="s">
        <v>707</v>
      </c>
    </row>
    <row r="1619" customFormat="false" ht="15" hidden="false" customHeight="false" outlineLevel="0" collapsed="false">
      <c r="B1619" s="19" t="s">
        <v>30089</v>
      </c>
      <c r="C1619" s="20" t="n">
        <f aca="false">ROUND(1.65/FX,2)</f>
        <v>0.23</v>
      </c>
      <c r="D1619" s="21" t="s">
        <v>2600</v>
      </c>
      <c r="E1619" s="21" t="s">
        <v>716</v>
      </c>
      <c r="F1619" s="21" t="s">
        <v>761</v>
      </c>
    </row>
    <row r="1620" customFormat="false" ht="15" hidden="false" customHeight="false" outlineLevel="0" collapsed="false">
      <c r="B1620" s="19" t="s">
        <v>30090</v>
      </c>
      <c r="C1620" s="20" t="n">
        <f aca="false">ROUND(3.93/FX,2)</f>
        <v>0.55</v>
      </c>
      <c r="D1620" s="21" t="s">
        <v>11968</v>
      </c>
      <c r="E1620" s="21" t="s">
        <v>716</v>
      </c>
      <c r="F1620" s="21" t="s">
        <v>761</v>
      </c>
    </row>
    <row r="1621" customFormat="false" ht="15" hidden="false" customHeight="false" outlineLevel="0" collapsed="false">
      <c r="B1621" s="19" t="s">
        <v>30091</v>
      </c>
      <c r="C1621" s="20" t="n">
        <f aca="false">ROUND(0.48/FX,2)</f>
        <v>0.07</v>
      </c>
      <c r="D1621" s="21" t="s">
        <v>3247</v>
      </c>
      <c r="E1621" s="21" t="s">
        <v>716</v>
      </c>
      <c r="F1621" s="21" t="s">
        <v>761</v>
      </c>
    </row>
    <row r="1622" customFormat="false" ht="15" hidden="false" customHeight="false" outlineLevel="0" collapsed="false">
      <c r="B1622" s="19" t="s">
        <v>30092</v>
      </c>
      <c r="C1622" s="20" t="n">
        <f aca="false">ROUND(0.72/FX,2)</f>
        <v>0.1</v>
      </c>
      <c r="D1622" s="21" t="s">
        <v>3317</v>
      </c>
      <c r="E1622" s="21" t="s">
        <v>716</v>
      </c>
      <c r="F1622" s="21" t="s">
        <v>761</v>
      </c>
    </row>
    <row r="1623" customFormat="false" ht="15" hidden="false" customHeight="false" outlineLevel="0" collapsed="false">
      <c r="B1623" s="19" t="s">
        <v>30093</v>
      </c>
      <c r="C1623" s="20" t="n">
        <f aca="false">ROUND(0.6/FX,2)</f>
        <v>0.08</v>
      </c>
      <c r="D1623" s="21" t="s">
        <v>784</v>
      </c>
      <c r="E1623" s="21" t="s">
        <v>716</v>
      </c>
      <c r="F1623" s="21" t="s">
        <v>761</v>
      </c>
    </row>
    <row r="1624" customFormat="false" ht="15" hidden="false" customHeight="false" outlineLevel="0" collapsed="false">
      <c r="B1624" s="19" t="s">
        <v>30094</v>
      </c>
      <c r="C1624" s="20" t="n">
        <f aca="false">ROUND(5.64/FX,2)</f>
        <v>0.78</v>
      </c>
      <c r="D1624" s="21" t="s">
        <v>1520</v>
      </c>
      <c r="E1624" s="21" t="s">
        <v>716</v>
      </c>
      <c r="F1624" s="21" t="s">
        <v>761</v>
      </c>
    </row>
    <row r="1625" customFormat="false" ht="15" hidden="false" customHeight="false" outlineLevel="0" collapsed="false">
      <c r="B1625" s="19" t="s">
        <v>30095</v>
      </c>
      <c r="C1625" s="20" t="n">
        <f aca="false">ROUND(0.91/FX,2)</f>
        <v>0.13</v>
      </c>
      <c r="D1625" s="21" t="s">
        <v>3328</v>
      </c>
      <c r="E1625" s="21" t="s">
        <v>716</v>
      </c>
      <c r="F1625" s="21" t="s">
        <v>761</v>
      </c>
    </row>
    <row r="1626" customFormat="false" ht="15" hidden="false" customHeight="false" outlineLevel="0" collapsed="false">
      <c r="B1626" s="19" t="s">
        <v>30096</v>
      </c>
      <c r="C1626" s="20" t="n">
        <f aca="false">ROUND(0.72/FX,2)</f>
        <v>0.1</v>
      </c>
      <c r="D1626" s="21" t="s">
        <v>6246</v>
      </c>
      <c r="E1626" s="21" t="s">
        <v>716</v>
      </c>
      <c r="F1626" s="21" t="s">
        <v>761</v>
      </c>
    </row>
    <row r="1627" customFormat="false" ht="15" hidden="false" customHeight="false" outlineLevel="0" collapsed="false">
      <c r="B1627" s="19" t="s">
        <v>30097</v>
      </c>
      <c r="C1627" s="20" t="n">
        <f aca="false">ROUND(0.77/FX,2)</f>
        <v>0.11</v>
      </c>
      <c r="D1627" s="21" t="s">
        <v>7358</v>
      </c>
      <c r="E1627" s="21" t="s">
        <v>716</v>
      </c>
      <c r="F1627" s="21" t="s">
        <v>761</v>
      </c>
    </row>
    <row r="1628" customFormat="false" ht="15" hidden="false" customHeight="false" outlineLevel="0" collapsed="false">
      <c r="B1628" s="19" t="s">
        <v>30098</v>
      </c>
      <c r="C1628" s="20" t="n">
        <f aca="false">ROUND(0.83/FX,2)</f>
        <v>0.12</v>
      </c>
      <c r="D1628" s="21" t="s">
        <v>2911</v>
      </c>
      <c r="E1628" s="21" t="s">
        <v>716</v>
      </c>
      <c r="F1628" s="21" t="s">
        <v>761</v>
      </c>
    </row>
    <row r="1629" customFormat="false" ht="15" hidden="false" customHeight="false" outlineLevel="0" collapsed="false">
      <c r="B1629" s="19" t="s">
        <v>30099</v>
      </c>
      <c r="C1629" s="20" t="n">
        <f aca="false">ROUND(0.89/FX,2)</f>
        <v>0.12</v>
      </c>
      <c r="D1629" s="21" t="s">
        <v>7275</v>
      </c>
      <c r="E1629" s="21" t="s">
        <v>716</v>
      </c>
      <c r="F1629" s="21" t="s">
        <v>761</v>
      </c>
    </row>
    <row r="1630" customFormat="false" ht="15" hidden="false" customHeight="false" outlineLevel="0" collapsed="false">
      <c r="B1630" s="19" t="s">
        <v>30100</v>
      </c>
      <c r="C1630" s="20" t="n">
        <f aca="false">ROUND(0.95/FX,2)</f>
        <v>0.13</v>
      </c>
      <c r="D1630" s="21" t="s">
        <v>2961</v>
      </c>
      <c r="E1630" s="21" t="s">
        <v>716</v>
      </c>
      <c r="F1630" s="21" t="s">
        <v>761</v>
      </c>
    </row>
    <row r="1631" customFormat="false" ht="15" hidden="false" customHeight="false" outlineLevel="0" collapsed="false">
      <c r="B1631" s="19" t="s">
        <v>30101</v>
      </c>
      <c r="C1631" s="20" t="n">
        <f aca="false">ROUND(1/FX,2)</f>
        <v>0.14</v>
      </c>
      <c r="D1631" s="21" t="s">
        <v>13817</v>
      </c>
      <c r="E1631" s="21" t="s">
        <v>716</v>
      </c>
      <c r="F1631" s="21" t="s">
        <v>761</v>
      </c>
    </row>
    <row r="1632" customFormat="false" ht="15" hidden="false" customHeight="false" outlineLevel="0" collapsed="false">
      <c r="B1632" s="19" t="s">
        <v>30102</v>
      </c>
      <c r="C1632" s="20" t="n">
        <f aca="false">ROUND(1.07/FX,2)</f>
        <v>0.15</v>
      </c>
      <c r="D1632" s="21" t="s">
        <v>3011</v>
      </c>
      <c r="E1632" s="21" t="s">
        <v>716</v>
      </c>
      <c r="F1632" s="21" t="s">
        <v>761</v>
      </c>
    </row>
    <row r="1633" customFormat="false" ht="15" hidden="false" customHeight="false" outlineLevel="0" collapsed="false">
      <c r="B1633" s="19" t="s">
        <v>30103</v>
      </c>
      <c r="C1633" s="20" t="n">
        <f aca="false">ROUND(1.12/FX,2)</f>
        <v>0.16</v>
      </c>
      <c r="D1633" s="21" t="s">
        <v>7396</v>
      </c>
      <c r="E1633" s="21" t="s">
        <v>716</v>
      </c>
      <c r="F1633" s="21" t="s">
        <v>761</v>
      </c>
    </row>
    <row r="1634" customFormat="false" ht="15" hidden="false" customHeight="false" outlineLevel="0" collapsed="false">
      <c r="B1634" s="19" t="s">
        <v>30104</v>
      </c>
      <c r="C1634" s="20" t="n">
        <f aca="false">ROUND(1.19/FX,2)</f>
        <v>0.17</v>
      </c>
      <c r="D1634" s="21" t="s">
        <v>3061</v>
      </c>
      <c r="E1634" s="21" t="s">
        <v>716</v>
      </c>
      <c r="F1634" s="21" t="s">
        <v>761</v>
      </c>
    </row>
    <row r="1635" customFormat="false" ht="15" hidden="false" customHeight="false" outlineLevel="0" collapsed="false">
      <c r="B1635" s="19" t="s">
        <v>30105</v>
      </c>
      <c r="C1635" s="20" t="n">
        <f aca="false">ROUND(1.3/FX,2)</f>
        <v>0.18</v>
      </c>
      <c r="D1635" s="21" t="s">
        <v>11870</v>
      </c>
      <c r="E1635" s="21" t="s">
        <v>716</v>
      </c>
      <c r="F1635" s="21" t="s">
        <v>761</v>
      </c>
    </row>
    <row r="1636" customFormat="false" ht="15" hidden="false" customHeight="false" outlineLevel="0" collapsed="false">
      <c r="B1636" s="19" t="s">
        <v>30106</v>
      </c>
      <c r="C1636" s="20" t="n">
        <f aca="false">ROUND(1.42/FX,2)</f>
        <v>0.2</v>
      </c>
      <c r="D1636" s="21" t="s">
        <v>3111</v>
      </c>
      <c r="E1636" s="21" t="s">
        <v>716</v>
      </c>
      <c r="F1636" s="21" t="s">
        <v>761</v>
      </c>
    </row>
    <row r="1637" customFormat="false" ht="15" hidden="false" customHeight="false" outlineLevel="0" collapsed="false">
      <c r="B1637" s="19" t="s">
        <v>30107</v>
      </c>
      <c r="C1637" s="20" t="n">
        <f aca="false">ROUND(1.54/FX,2)</f>
        <v>0.21</v>
      </c>
      <c r="D1637" s="21" t="s">
        <v>2600</v>
      </c>
      <c r="E1637" s="21" t="s">
        <v>845</v>
      </c>
      <c r="F1637" s="21" t="s">
        <v>4721</v>
      </c>
    </row>
    <row r="1638" customFormat="false" ht="15" hidden="false" customHeight="false" outlineLevel="0" collapsed="false">
      <c r="B1638" s="19" t="s">
        <v>30108</v>
      </c>
      <c r="C1638" s="20" t="n">
        <f aca="false">ROUND(1.89/FX,2)</f>
        <v>0.26</v>
      </c>
      <c r="D1638" s="21" t="s">
        <v>11968</v>
      </c>
      <c r="E1638" s="21" t="s">
        <v>845</v>
      </c>
      <c r="F1638" s="21" t="s">
        <v>4721</v>
      </c>
    </row>
    <row r="1639" customFormat="false" ht="15" hidden="false" customHeight="false" outlineLevel="0" collapsed="false">
      <c r="B1639" s="19" t="s">
        <v>30109</v>
      </c>
      <c r="C1639" s="20" t="n">
        <f aca="false">ROUND(2.36/FX,2)</f>
        <v>0.33</v>
      </c>
      <c r="D1639" s="21" t="s">
        <v>2851</v>
      </c>
      <c r="E1639" s="21" t="s">
        <v>845</v>
      </c>
      <c r="F1639" s="21" t="s">
        <v>4721</v>
      </c>
    </row>
    <row r="1640" customFormat="false" ht="15" hidden="false" customHeight="false" outlineLevel="0" collapsed="false">
      <c r="B1640" s="19" t="s">
        <v>30110</v>
      </c>
      <c r="C1640" s="20" t="n">
        <f aca="false">ROUND(0.6/FX,2)</f>
        <v>0.08</v>
      </c>
      <c r="D1640" s="21" t="s">
        <v>3247</v>
      </c>
      <c r="E1640" s="21" t="s">
        <v>845</v>
      </c>
      <c r="F1640" s="21" t="s">
        <v>4721</v>
      </c>
    </row>
    <row r="1641" customFormat="false" ht="15" hidden="false" customHeight="false" outlineLevel="0" collapsed="false">
      <c r="B1641" s="19" t="s">
        <v>30111</v>
      </c>
      <c r="C1641" s="20" t="n">
        <f aca="false">ROUND(0.6/FX,2)</f>
        <v>0.08</v>
      </c>
      <c r="D1641" s="21" t="s">
        <v>3317</v>
      </c>
      <c r="E1641" s="21" t="s">
        <v>845</v>
      </c>
      <c r="F1641" s="21" t="s">
        <v>4721</v>
      </c>
    </row>
    <row r="1642" customFormat="false" ht="15" hidden="false" customHeight="false" outlineLevel="0" collapsed="false">
      <c r="B1642" s="19" t="s">
        <v>30112</v>
      </c>
      <c r="C1642" s="20" t="n">
        <f aca="false">ROUND(0.65/FX,2)</f>
        <v>0.09</v>
      </c>
      <c r="D1642" s="21" t="s">
        <v>784</v>
      </c>
      <c r="E1642" s="21" t="s">
        <v>845</v>
      </c>
      <c r="F1642" s="21" t="s">
        <v>4721</v>
      </c>
    </row>
    <row r="1643" customFormat="false" ht="15" hidden="false" customHeight="false" outlineLevel="0" collapsed="false">
      <c r="B1643" s="19" t="s">
        <v>30113</v>
      </c>
      <c r="C1643" s="20" t="n">
        <f aca="false">ROUND(7.15/FX,2)</f>
        <v>0.99</v>
      </c>
      <c r="D1643" s="21" t="s">
        <v>1520</v>
      </c>
      <c r="E1643" s="21" t="s">
        <v>845</v>
      </c>
      <c r="F1643" s="21" t="s">
        <v>4721</v>
      </c>
    </row>
    <row r="1644" customFormat="false" ht="15" hidden="false" customHeight="false" outlineLevel="0" collapsed="false">
      <c r="B1644" s="19" t="s">
        <v>30114</v>
      </c>
      <c r="C1644" s="20" t="n">
        <f aca="false">ROUND(0.72/FX,2)</f>
        <v>0.1</v>
      </c>
      <c r="D1644" s="21" t="s">
        <v>3328</v>
      </c>
      <c r="E1644" s="21" t="s">
        <v>845</v>
      </c>
      <c r="F1644" s="21" t="s">
        <v>4721</v>
      </c>
    </row>
    <row r="1645" customFormat="false" ht="15" hidden="false" customHeight="false" outlineLevel="0" collapsed="false">
      <c r="B1645" s="19" t="s">
        <v>30115</v>
      </c>
      <c r="C1645" s="20" t="n">
        <f aca="false">ROUND(0.77/FX,2)</f>
        <v>0.11</v>
      </c>
      <c r="D1645" s="21" t="s">
        <v>6246</v>
      </c>
      <c r="E1645" s="21" t="s">
        <v>845</v>
      </c>
      <c r="F1645" s="21" t="s">
        <v>4721</v>
      </c>
    </row>
    <row r="1646" customFormat="false" ht="15" hidden="false" customHeight="false" outlineLevel="0" collapsed="false">
      <c r="B1646" s="19" t="s">
        <v>30116</v>
      </c>
      <c r="C1646" s="20" t="n">
        <f aca="false">ROUND(0.83/FX,2)</f>
        <v>0.12</v>
      </c>
      <c r="D1646" s="21" t="s">
        <v>7358</v>
      </c>
      <c r="E1646" s="21" t="s">
        <v>845</v>
      </c>
      <c r="F1646" s="21" t="s">
        <v>4721</v>
      </c>
    </row>
    <row r="1647" customFormat="false" ht="15" hidden="false" customHeight="false" outlineLevel="0" collapsed="false">
      <c r="B1647" s="19" t="s">
        <v>30117</v>
      </c>
      <c r="C1647" s="20" t="n">
        <f aca="false">ROUND(0.89/FX,2)</f>
        <v>0.12</v>
      </c>
      <c r="D1647" s="21" t="s">
        <v>2911</v>
      </c>
      <c r="E1647" s="21" t="s">
        <v>845</v>
      </c>
      <c r="F1647" s="21" t="s">
        <v>4721</v>
      </c>
    </row>
    <row r="1648" customFormat="false" ht="15" hidden="false" customHeight="false" outlineLevel="0" collapsed="false">
      <c r="B1648" s="19" t="s">
        <v>30118</v>
      </c>
      <c r="C1648" s="20" t="n">
        <f aca="false">ROUND(0.95/FX,2)</f>
        <v>0.13</v>
      </c>
      <c r="D1648" s="21" t="s">
        <v>7275</v>
      </c>
      <c r="E1648" s="21" t="s">
        <v>845</v>
      </c>
      <c r="F1648" s="21" t="s">
        <v>4721</v>
      </c>
    </row>
    <row r="1649" customFormat="false" ht="15" hidden="false" customHeight="false" outlineLevel="0" collapsed="false">
      <c r="B1649" s="19" t="s">
        <v>30119</v>
      </c>
      <c r="C1649" s="20" t="n">
        <f aca="false">ROUND(1.07/FX,2)</f>
        <v>0.15</v>
      </c>
      <c r="D1649" s="21" t="s">
        <v>2961</v>
      </c>
      <c r="E1649" s="21" t="s">
        <v>845</v>
      </c>
      <c r="F1649" s="21" t="s">
        <v>4721</v>
      </c>
    </row>
    <row r="1650" customFormat="false" ht="15" hidden="false" customHeight="false" outlineLevel="0" collapsed="false">
      <c r="B1650" s="19" t="s">
        <v>30120</v>
      </c>
      <c r="C1650" s="20" t="n">
        <f aca="false">ROUND(0.77/FX,2)</f>
        <v>0.11</v>
      </c>
      <c r="D1650" s="21" t="s">
        <v>13817</v>
      </c>
      <c r="E1650" s="21" t="s">
        <v>845</v>
      </c>
      <c r="F1650" s="21" t="s">
        <v>4721</v>
      </c>
    </row>
    <row r="1651" customFormat="false" ht="15" hidden="false" customHeight="false" outlineLevel="0" collapsed="false">
      <c r="B1651" s="19" t="s">
        <v>30121</v>
      </c>
      <c r="C1651" s="20" t="n">
        <f aca="false">ROUND(1.19/FX,2)</f>
        <v>0.17</v>
      </c>
      <c r="D1651" s="21" t="s">
        <v>3011</v>
      </c>
      <c r="E1651" s="21" t="s">
        <v>845</v>
      </c>
      <c r="F1651" s="21" t="s">
        <v>4721</v>
      </c>
    </row>
    <row r="1652" customFormat="false" ht="15" hidden="false" customHeight="false" outlineLevel="0" collapsed="false">
      <c r="B1652" s="19" t="s">
        <v>30122</v>
      </c>
      <c r="C1652" s="20" t="n">
        <f aca="false">ROUND(1.24/FX,2)</f>
        <v>0.17</v>
      </c>
      <c r="D1652" s="21" t="s">
        <v>7396</v>
      </c>
      <c r="E1652" s="21" t="s">
        <v>845</v>
      </c>
      <c r="F1652" s="21" t="s">
        <v>4721</v>
      </c>
    </row>
    <row r="1653" customFormat="false" ht="15" hidden="false" customHeight="false" outlineLevel="0" collapsed="false">
      <c r="B1653" s="19" t="s">
        <v>30123</v>
      </c>
      <c r="C1653" s="20" t="n">
        <f aca="false">ROUND(1.3/FX,2)</f>
        <v>0.18</v>
      </c>
      <c r="D1653" s="21" t="s">
        <v>3061</v>
      </c>
      <c r="E1653" s="21" t="s">
        <v>845</v>
      </c>
      <c r="F1653" s="21" t="s">
        <v>4721</v>
      </c>
    </row>
    <row r="1654" customFormat="false" ht="15" hidden="false" customHeight="false" outlineLevel="0" collapsed="false">
      <c r="B1654" s="19" t="s">
        <v>30124</v>
      </c>
      <c r="C1654" s="20" t="n">
        <f aca="false">ROUND(1.36/FX,2)</f>
        <v>0.19</v>
      </c>
      <c r="D1654" s="21" t="s">
        <v>11870</v>
      </c>
      <c r="E1654" s="21" t="s">
        <v>845</v>
      </c>
      <c r="F1654" s="21" t="s">
        <v>4721</v>
      </c>
    </row>
    <row r="1655" customFormat="false" ht="15" hidden="false" customHeight="false" outlineLevel="0" collapsed="false">
      <c r="B1655" s="19" t="s">
        <v>30125</v>
      </c>
      <c r="C1655" s="20" t="n">
        <f aca="false">ROUND(1.36/FX,2)</f>
        <v>0.19</v>
      </c>
      <c r="D1655" s="21" t="s">
        <v>3111</v>
      </c>
      <c r="E1655" s="21" t="s">
        <v>845</v>
      </c>
      <c r="F1655" s="21" t="s">
        <v>4721</v>
      </c>
    </row>
    <row r="1656" customFormat="false" ht="15" hidden="false" customHeight="false" outlineLevel="0" collapsed="false">
      <c r="B1656" s="19" t="s">
        <v>30126</v>
      </c>
      <c r="C1656" s="20" t="n">
        <f aca="false">ROUND(2.24/FX,2)</f>
        <v>0.31</v>
      </c>
      <c r="D1656" s="21" t="s">
        <v>2600</v>
      </c>
      <c r="E1656" s="21" t="s">
        <v>847</v>
      </c>
      <c r="F1656" s="21" t="s">
        <v>3833</v>
      </c>
    </row>
    <row r="1657" customFormat="false" ht="15" hidden="false" customHeight="false" outlineLevel="0" collapsed="false">
      <c r="B1657" s="19" t="s">
        <v>30127</v>
      </c>
      <c r="C1657" s="20" t="n">
        <f aca="false">ROUND(2.72/FX,2)</f>
        <v>0.38</v>
      </c>
      <c r="D1657" s="21" t="s">
        <v>2651</v>
      </c>
      <c r="E1657" s="21" t="s">
        <v>847</v>
      </c>
      <c r="F1657" s="21" t="s">
        <v>3833</v>
      </c>
    </row>
    <row r="1658" customFormat="false" ht="15" hidden="false" customHeight="false" outlineLevel="0" collapsed="false">
      <c r="B1658" s="19" t="s">
        <v>30128</v>
      </c>
      <c r="C1658" s="20" t="n">
        <f aca="false">ROUND(2.72/FX,2)</f>
        <v>0.38</v>
      </c>
      <c r="D1658" s="21" t="s">
        <v>2701</v>
      </c>
      <c r="E1658" s="21" t="s">
        <v>847</v>
      </c>
      <c r="F1658" s="21" t="s">
        <v>3833</v>
      </c>
    </row>
    <row r="1659" customFormat="false" ht="15" hidden="false" customHeight="false" outlineLevel="0" collapsed="false">
      <c r="B1659" s="19" t="s">
        <v>30129</v>
      </c>
      <c r="C1659" s="20" t="n">
        <f aca="false">ROUND(2.72/FX,2)</f>
        <v>0.38</v>
      </c>
      <c r="D1659" s="21" t="s">
        <v>11968</v>
      </c>
      <c r="E1659" s="21" t="s">
        <v>847</v>
      </c>
      <c r="F1659" s="21" t="s">
        <v>3833</v>
      </c>
    </row>
    <row r="1660" customFormat="false" ht="15" hidden="false" customHeight="false" outlineLevel="0" collapsed="false">
      <c r="B1660" s="19" t="s">
        <v>30130</v>
      </c>
      <c r="C1660" s="20" t="n">
        <f aca="false">ROUND(2.72/FX,2)</f>
        <v>0.38</v>
      </c>
      <c r="D1660" s="21" t="s">
        <v>2851</v>
      </c>
      <c r="E1660" s="21" t="s">
        <v>847</v>
      </c>
      <c r="F1660" s="21" t="s">
        <v>3833</v>
      </c>
    </row>
    <row r="1661" customFormat="false" ht="15" hidden="false" customHeight="false" outlineLevel="0" collapsed="false">
      <c r="B1661" s="19" t="s">
        <v>30131</v>
      </c>
      <c r="C1661" s="20" t="n">
        <f aca="false">ROUND(0.78/FX,2)</f>
        <v>0.11</v>
      </c>
      <c r="D1661" s="21" t="s">
        <v>3247</v>
      </c>
      <c r="E1661" s="21" t="s">
        <v>847</v>
      </c>
      <c r="F1661" s="21" t="s">
        <v>3833</v>
      </c>
    </row>
    <row r="1662" customFormat="false" ht="15" hidden="false" customHeight="false" outlineLevel="0" collapsed="false">
      <c r="B1662" s="19" t="s">
        <v>30132</v>
      </c>
      <c r="C1662" s="20" t="n">
        <f aca="false">ROUND(0.72/FX,2)</f>
        <v>0.1</v>
      </c>
      <c r="D1662" s="21" t="s">
        <v>3317</v>
      </c>
      <c r="E1662" s="21" t="s">
        <v>847</v>
      </c>
      <c r="F1662" s="21" t="s">
        <v>3833</v>
      </c>
    </row>
    <row r="1663" customFormat="false" ht="15" hidden="false" customHeight="false" outlineLevel="0" collapsed="false">
      <c r="B1663" s="19" t="s">
        <v>30133</v>
      </c>
      <c r="C1663" s="20" t="n">
        <f aca="false">ROUND(0.83/FX,2)</f>
        <v>0.12</v>
      </c>
      <c r="D1663" s="21" t="s">
        <v>784</v>
      </c>
      <c r="E1663" s="21" t="s">
        <v>847</v>
      </c>
      <c r="F1663" s="21" t="s">
        <v>3833</v>
      </c>
    </row>
    <row r="1664" customFormat="false" ht="15" hidden="false" customHeight="false" outlineLevel="0" collapsed="false">
      <c r="B1664" s="19" t="s">
        <v>30134</v>
      </c>
      <c r="C1664" s="20" t="n">
        <f aca="false">ROUND(7.52/FX,2)</f>
        <v>1.04</v>
      </c>
      <c r="D1664" s="21" t="s">
        <v>1520</v>
      </c>
      <c r="E1664" s="21" t="s">
        <v>847</v>
      </c>
      <c r="F1664" s="21" t="s">
        <v>3833</v>
      </c>
    </row>
    <row r="1665" customFormat="false" ht="15" hidden="false" customHeight="false" outlineLevel="0" collapsed="false">
      <c r="B1665" s="19" t="s">
        <v>30135</v>
      </c>
      <c r="C1665" s="20" t="n">
        <f aca="false">ROUND(0.95/FX,2)</f>
        <v>0.13</v>
      </c>
      <c r="D1665" s="21" t="s">
        <v>3328</v>
      </c>
      <c r="E1665" s="21" t="s">
        <v>847</v>
      </c>
      <c r="F1665" s="21" t="s">
        <v>3833</v>
      </c>
    </row>
    <row r="1666" customFormat="false" ht="15" hidden="false" customHeight="false" outlineLevel="0" collapsed="false">
      <c r="B1666" s="19" t="s">
        <v>30136</v>
      </c>
      <c r="C1666" s="20" t="n">
        <f aca="false">ROUND(1.07/FX,2)</f>
        <v>0.15</v>
      </c>
      <c r="D1666" s="21" t="s">
        <v>6246</v>
      </c>
      <c r="E1666" s="21" t="s">
        <v>847</v>
      </c>
      <c r="F1666" s="21" t="s">
        <v>3833</v>
      </c>
    </row>
    <row r="1667" customFormat="false" ht="15" hidden="false" customHeight="false" outlineLevel="0" collapsed="false">
      <c r="B1667" s="19" t="s">
        <v>30137</v>
      </c>
      <c r="C1667" s="20" t="n">
        <f aca="false">ROUND(1.19/FX,2)</f>
        <v>0.17</v>
      </c>
      <c r="D1667" s="21" t="s">
        <v>7358</v>
      </c>
      <c r="E1667" s="21" t="s">
        <v>847</v>
      </c>
      <c r="F1667" s="21" t="s">
        <v>3833</v>
      </c>
    </row>
    <row r="1668" customFormat="false" ht="15" hidden="false" customHeight="false" outlineLevel="0" collapsed="false">
      <c r="B1668" s="19" t="s">
        <v>30138</v>
      </c>
      <c r="C1668" s="20" t="n">
        <f aca="false">ROUND(1.3/FX,2)</f>
        <v>0.18</v>
      </c>
      <c r="D1668" s="21" t="s">
        <v>2911</v>
      </c>
      <c r="E1668" s="21" t="s">
        <v>847</v>
      </c>
      <c r="F1668" s="21" t="s">
        <v>3833</v>
      </c>
    </row>
    <row r="1669" customFormat="false" ht="15" hidden="false" customHeight="false" outlineLevel="0" collapsed="false">
      <c r="B1669" s="19" t="s">
        <v>30139</v>
      </c>
      <c r="C1669" s="20" t="n">
        <f aca="false">ROUND(1.42/FX,2)</f>
        <v>0.2</v>
      </c>
      <c r="D1669" s="21" t="s">
        <v>7275</v>
      </c>
      <c r="E1669" s="21" t="s">
        <v>847</v>
      </c>
      <c r="F1669" s="21" t="s">
        <v>3833</v>
      </c>
    </row>
    <row r="1670" customFormat="false" ht="15" hidden="false" customHeight="false" outlineLevel="0" collapsed="false">
      <c r="B1670" s="19" t="s">
        <v>30140</v>
      </c>
      <c r="C1670" s="20" t="n">
        <f aca="false">ROUND(1.54/FX,2)</f>
        <v>0.21</v>
      </c>
      <c r="D1670" s="21" t="s">
        <v>2961</v>
      </c>
      <c r="E1670" s="21" t="s">
        <v>847</v>
      </c>
      <c r="F1670" s="21" t="s">
        <v>3833</v>
      </c>
    </row>
    <row r="1671" customFormat="false" ht="15" hidden="false" customHeight="false" outlineLevel="0" collapsed="false">
      <c r="B1671" s="19" t="s">
        <v>30141</v>
      </c>
      <c r="C1671" s="20" t="n">
        <f aca="false">ROUND(1.65/FX,2)</f>
        <v>0.23</v>
      </c>
      <c r="D1671" s="21" t="s">
        <v>13817</v>
      </c>
      <c r="E1671" s="21" t="s">
        <v>847</v>
      </c>
      <c r="F1671" s="21" t="s">
        <v>3833</v>
      </c>
    </row>
    <row r="1672" customFormat="false" ht="15" hidden="false" customHeight="false" outlineLevel="0" collapsed="false">
      <c r="B1672" s="19" t="s">
        <v>30142</v>
      </c>
      <c r="C1672" s="20" t="n">
        <f aca="false">ROUND(1.77/FX,2)</f>
        <v>0.25</v>
      </c>
      <c r="D1672" s="21" t="s">
        <v>3011</v>
      </c>
      <c r="E1672" s="21" t="s">
        <v>847</v>
      </c>
      <c r="F1672" s="21" t="s">
        <v>3833</v>
      </c>
    </row>
    <row r="1673" customFormat="false" ht="15" hidden="false" customHeight="false" outlineLevel="0" collapsed="false">
      <c r="B1673" s="19" t="s">
        <v>30143</v>
      </c>
      <c r="C1673" s="20" t="n">
        <f aca="false">ROUND(1.89/FX,2)</f>
        <v>0.26</v>
      </c>
      <c r="D1673" s="21" t="s">
        <v>7396</v>
      </c>
      <c r="E1673" s="21" t="s">
        <v>847</v>
      </c>
      <c r="F1673" s="21" t="s">
        <v>3833</v>
      </c>
    </row>
    <row r="1674" customFormat="false" ht="15" hidden="false" customHeight="false" outlineLevel="0" collapsed="false">
      <c r="B1674" s="19" t="s">
        <v>30144</v>
      </c>
      <c r="C1674" s="20" t="n">
        <f aca="false">ROUND(2/FX,2)</f>
        <v>0.28</v>
      </c>
      <c r="D1674" s="21" t="s">
        <v>3061</v>
      </c>
      <c r="E1674" s="21" t="s">
        <v>847</v>
      </c>
      <c r="F1674" s="21" t="s">
        <v>3833</v>
      </c>
    </row>
    <row r="1675" customFormat="false" ht="15" hidden="false" customHeight="false" outlineLevel="0" collapsed="false">
      <c r="B1675" s="19" t="s">
        <v>30145</v>
      </c>
      <c r="C1675" s="20" t="n">
        <f aca="false">ROUND(2.06/FX,2)</f>
        <v>0.29</v>
      </c>
      <c r="D1675" s="21" t="s">
        <v>11870</v>
      </c>
      <c r="E1675" s="21" t="s">
        <v>847</v>
      </c>
      <c r="F1675" s="21" t="s">
        <v>3833</v>
      </c>
    </row>
    <row r="1676" customFormat="false" ht="15" hidden="false" customHeight="false" outlineLevel="0" collapsed="false">
      <c r="B1676" s="19" t="s">
        <v>30146</v>
      </c>
      <c r="C1676" s="20" t="n">
        <f aca="false">ROUND(2.12/FX,2)</f>
        <v>0.29</v>
      </c>
      <c r="D1676" s="21" t="s">
        <v>3111</v>
      </c>
      <c r="E1676" s="21" t="s">
        <v>847</v>
      </c>
      <c r="F1676" s="21" t="s">
        <v>3833</v>
      </c>
    </row>
    <row r="1677" customFormat="false" ht="15" hidden="false" customHeight="false" outlineLevel="0" collapsed="false">
      <c r="B1677" s="19" t="s">
        <v>30147</v>
      </c>
      <c r="C1677" s="20" t="n">
        <f aca="false">ROUND(2.59/FX,2)</f>
        <v>0.36</v>
      </c>
      <c r="D1677" s="21" t="s">
        <v>2600</v>
      </c>
      <c r="E1677" s="21" t="s">
        <v>719</v>
      </c>
      <c r="F1677" s="21" t="s">
        <v>4000</v>
      </c>
    </row>
    <row r="1678" customFormat="false" ht="15" hidden="false" customHeight="false" outlineLevel="0" collapsed="false">
      <c r="B1678" s="19" t="s">
        <v>30148</v>
      </c>
      <c r="C1678" s="20" t="n">
        <f aca="false">ROUND(2.82/FX,2)</f>
        <v>0.39</v>
      </c>
      <c r="D1678" s="21" t="s">
        <v>2651</v>
      </c>
      <c r="E1678" s="21" t="s">
        <v>719</v>
      </c>
      <c r="F1678" s="21" t="s">
        <v>4000</v>
      </c>
    </row>
    <row r="1679" customFormat="false" ht="15" hidden="false" customHeight="false" outlineLevel="0" collapsed="false">
      <c r="B1679" s="19" t="s">
        <v>30149</v>
      </c>
      <c r="C1679" s="20" t="n">
        <f aca="false">ROUND(3.19/FX,2)</f>
        <v>0.44</v>
      </c>
      <c r="D1679" s="21" t="s">
        <v>11968</v>
      </c>
      <c r="E1679" s="21" t="s">
        <v>719</v>
      </c>
      <c r="F1679" s="21" t="s">
        <v>4000</v>
      </c>
    </row>
    <row r="1680" customFormat="false" ht="15" hidden="false" customHeight="false" outlineLevel="0" collapsed="false">
      <c r="B1680" s="19" t="s">
        <v>30150</v>
      </c>
      <c r="C1680" s="20" t="n">
        <f aca="false">ROUND(3.89/FX,2)</f>
        <v>0.54</v>
      </c>
      <c r="D1680" s="21" t="s">
        <v>2851</v>
      </c>
      <c r="E1680" s="21" t="s">
        <v>719</v>
      </c>
      <c r="F1680" s="21" t="s">
        <v>4000</v>
      </c>
    </row>
    <row r="1681" customFormat="false" ht="15" hidden="false" customHeight="false" outlineLevel="0" collapsed="false">
      <c r="B1681" s="19" t="s">
        <v>30151</v>
      </c>
      <c r="C1681" s="20" t="n">
        <f aca="false">ROUND(1.08/FX,2)</f>
        <v>0.15</v>
      </c>
      <c r="D1681" s="21" t="s">
        <v>3247</v>
      </c>
      <c r="E1681" s="21" t="s">
        <v>719</v>
      </c>
      <c r="F1681" s="21" t="s">
        <v>4000</v>
      </c>
    </row>
    <row r="1682" customFormat="false" ht="15" hidden="false" customHeight="false" outlineLevel="0" collapsed="false">
      <c r="B1682" s="19" t="s">
        <v>30152</v>
      </c>
      <c r="C1682" s="20" t="n">
        <f aca="false">ROUND(1.07/FX,2)</f>
        <v>0.15</v>
      </c>
      <c r="D1682" s="21" t="s">
        <v>3317</v>
      </c>
      <c r="E1682" s="21" t="s">
        <v>719</v>
      </c>
      <c r="F1682" s="21" t="s">
        <v>4000</v>
      </c>
    </row>
    <row r="1683" customFormat="false" ht="15" hidden="false" customHeight="false" outlineLevel="0" collapsed="false">
      <c r="B1683" s="19" t="s">
        <v>30153</v>
      </c>
      <c r="C1683" s="20" t="n">
        <f aca="false">ROUND(1.19/FX,2)</f>
        <v>0.17</v>
      </c>
      <c r="D1683" s="21" t="s">
        <v>784</v>
      </c>
      <c r="E1683" s="21" t="s">
        <v>719</v>
      </c>
      <c r="F1683" s="21" t="s">
        <v>4000</v>
      </c>
    </row>
    <row r="1684" customFormat="false" ht="15" hidden="false" customHeight="false" outlineLevel="0" collapsed="false">
      <c r="B1684" s="19" t="s">
        <v>30154</v>
      </c>
      <c r="C1684" s="20" t="n">
        <f aca="false">ROUND(8.09/FX,2)</f>
        <v>1.12</v>
      </c>
      <c r="D1684" s="21" t="s">
        <v>1520</v>
      </c>
      <c r="E1684" s="21" t="s">
        <v>719</v>
      </c>
      <c r="F1684" s="21" t="s">
        <v>4000</v>
      </c>
    </row>
    <row r="1685" customFormat="false" ht="15" hidden="false" customHeight="false" outlineLevel="0" collapsed="false">
      <c r="B1685" s="19" t="s">
        <v>30155</v>
      </c>
      <c r="C1685" s="20" t="n">
        <f aca="false">ROUND(1.3/FX,2)</f>
        <v>0.18</v>
      </c>
      <c r="D1685" s="21" t="s">
        <v>3328</v>
      </c>
      <c r="E1685" s="21" t="s">
        <v>719</v>
      </c>
      <c r="F1685" s="21" t="s">
        <v>4000</v>
      </c>
    </row>
    <row r="1686" customFormat="false" ht="15" hidden="false" customHeight="false" outlineLevel="0" collapsed="false">
      <c r="B1686" s="19" t="s">
        <v>30156</v>
      </c>
      <c r="C1686" s="20" t="n">
        <f aca="false">ROUND(1.42/FX,2)</f>
        <v>0.2</v>
      </c>
      <c r="D1686" s="21" t="s">
        <v>6246</v>
      </c>
      <c r="E1686" s="21" t="s">
        <v>719</v>
      </c>
      <c r="F1686" s="21" t="s">
        <v>4000</v>
      </c>
    </row>
    <row r="1687" customFormat="false" ht="15" hidden="false" customHeight="false" outlineLevel="0" collapsed="false">
      <c r="B1687" s="19" t="s">
        <v>30157</v>
      </c>
      <c r="C1687" s="20" t="n">
        <f aca="false">ROUND(1.54/FX,2)</f>
        <v>0.21</v>
      </c>
      <c r="D1687" s="21" t="s">
        <v>7358</v>
      </c>
      <c r="E1687" s="21" t="s">
        <v>719</v>
      </c>
      <c r="F1687" s="21" t="s">
        <v>4000</v>
      </c>
    </row>
    <row r="1688" customFormat="false" ht="15" hidden="false" customHeight="false" outlineLevel="0" collapsed="false">
      <c r="B1688" s="19" t="s">
        <v>30158</v>
      </c>
      <c r="C1688" s="20" t="n">
        <f aca="false">ROUND(1.65/FX,2)</f>
        <v>0.23</v>
      </c>
      <c r="D1688" s="21" t="s">
        <v>2911</v>
      </c>
      <c r="E1688" s="21" t="s">
        <v>719</v>
      </c>
      <c r="F1688" s="21" t="s">
        <v>4000</v>
      </c>
    </row>
    <row r="1689" customFormat="false" ht="15" hidden="false" customHeight="false" outlineLevel="0" collapsed="false">
      <c r="B1689" s="19" t="s">
        <v>30159</v>
      </c>
      <c r="C1689" s="20" t="n">
        <f aca="false">ROUND(1.77/FX,2)</f>
        <v>0.25</v>
      </c>
      <c r="D1689" s="21" t="s">
        <v>7275</v>
      </c>
      <c r="E1689" s="21" t="s">
        <v>719</v>
      </c>
      <c r="F1689" s="21" t="s">
        <v>4000</v>
      </c>
    </row>
    <row r="1690" customFormat="false" ht="15" hidden="false" customHeight="false" outlineLevel="0" collapsed="false">
      <c r="B1690" s="19" t="s">
        <v>30160</v>
      </c>
      <c r="C1690" s="20" t="n">
        <f aca="false">ROUND(1.89/FX,2)</f>
        <v>0.26</v>
      </c>
      <c r="D1690" s="21" t="s">
        <v>2961</v>
      </c>
      <c r="E1690" s="21" t="s">
        <v>719</v>
      </c>
      <c r="F1690" s="21" t="s">
        <v>4000</v>
      </c>
    </row>
    <row r="1691" customFormat="false" ht="15" hidden="false" customHeight="false" outlineLevel="0" collapsed="false">
      <c r="B1691" s="19" t="s">
        <v>30161</v>
      </c>
      <c r="C1691" s="20" t="n">
        <f aca="false">ROUND(2/FX,2)</f>
        <v>0.28</v>
      </c>
      <c r="D1691" s="21" t="s">
        <v>13817</v>
      </c>
      <c r="E1691" s="21" t="s">
        <v>719</v>
      </c>
      <c r="F1691" s="21" t="s">
        <v>4000</v>
      </c>
    </row>
    <row r="1692" customFormat="false" ht="15" hidden="false" customHeight="false" outlineLevel="0" collapsed="false">
      <c r="B1692" s="19" t="s">
        <v>30162</v>
      </c>
      <c r="C1692" s="20" t="n">
        <f aca="false">ROUND(2.12/FX,2)</f>
        <v>0.29</v>
      </c>
      <c r="D1692" s="21" t="s">
        <v>3011</v>
      </c>
      <c r="E1692" s="21" t="s">
        <v>719</v>
      </c>
      <c r="F1692" s="21" t="s">
        <v>4000</v>
      </c>
    </row>
    <row r="1693" customFormat="false" ht="15" hidden="false" customHeight="false" outlineLevel="0" collapsed="false">
      <c r="B1693" s="19" t="s">
        <v>30163</v>
      </c>
      <c r="C1693" s="20" t="n">
        <f aca="false">ROUND(2.24/FX,2)</f>
        <v>0.31</v>
      </c>
      <c r="D1693" s="21" t="s">
        <v>7396</v>
      </c>
      <c r="E1693" s="21" t="s">
        <v>719</v>
      </c>
      <c r="F1693" s="21" t="s">
        <v>4000</v>
      </c>
    </row>
    <row r="1694" customFormat="false" ht="15" hidden="false" customHeight="false" outlineLevel="0" collapsed="false">
      <c r="B1694" s="19" t="s">
        <v>30164</v>
      </c>
      <c r="C1694" s="20" t="n">
        <f aca="false">ROUND(2.35/FX,2)</f>
        <v>0.33</v>
      </c>
      <c r="D1694" s="21" t="s">
        <v>3061</v>
      </c>
      <c r="E1694" s="21" t="s">
        <v>719</v>
      </c>
      <c r="F1694" s="21" t="s">
        <v>4000</v>
      </c>
    </row>
    <row r="1695" customFormat="false" ht="15" hidden="false" customHeight="false" outlineLevel="0" collapsed="false">
      <c r="B1695" s="19" t="s">
        <v>30165</v>
      </c>
      <c r="C1695" s="20" t="n">
        <f aca="false">ROUND(2.47/FX,2)</f>
        <v>0.34</v>
      </c>
      <c r="D1695" s="21" t="s">
        <v>11870</v>
      </c>
      <c r="E1695" s="21" t="s">
        <v>719</v>
      </c>
      <c r="F1695" s="21" t="s">
        <v>4000</v>
      </c>
    </row>
    <row r="1696" customFormat="false" ht="15" hidden="false" customHeight="false" outlineLevel="0" collapsed="false">
      <c r="B1696" s="19" t="s">
        <v>30166</v>
      </c>
      <c r="C1696" s="20" t="n">
        <f aca="false">ROUND(2.47/FX,2)</f>
        <v>0.34</v>
      </c>
      <c r="D1696" s="21" t="s">
        <v>3111</v>
      </c>
      <c r="E1696" s="21" t="s">
        <v>719</v>
      </c>
      <c r="F1696" s="21" t="s">
        <v>4000</v>
      </c>
    </row>
    <row r="1697" customFormat="false" ht="15" hidden="false" customHeight="false" outlineLevel="0" collapsed="false">
      <c r="B1697" s="19" t="s">
        <v>30167</v>
      </c>
      <c r="C1697" s="20" t="n">
        <f aca="false">ROUND(2.82/FX,2)</f>
        <v>0.39</v>
      </c>
      <c r="D1697" s="21" t="s">
        <v>2600</v>
      </c>
      <c r="E1697" s="21" t="s">
        <v>707</v>
      </c>
      <c r="F1697" s="21" t="s">
        <v>3247</v>
      </c>
    </row>
    <row r="1698" customFormat="false" ht="15" hidden="false" customHeight="false" outlineLevel="0" collapsed="false">
      <c r="B1698" s="19" t="s">
        <v>30168</v>
      </c>
      <c r="C1698" s="20" t="n">
        <f aca="false">ROUND(3.06/FX,2)</f>
        <v>0.43</v>
      </c>
      <c r="D1698" s="21" t="s">
        <v>2651</v>
      </c>
      <c r="E1698" s="21" t="s">
        <v>707</v>
      </c>
      <c r="F1698" s="21" t="s">
        <v>3247</v>
      </c>
    </row>
    <row r="1699" customFormat="false" ht="15" hidden="false" customHeight="false" outlineLevel="0" collapsed="false">
      <c r="B1699" s="19" t="s">
        <v>30169</v>
      </c>
      <c r="C1699" s="20" t="n">
        <f aca="false">ROUND(3.06/FX,2)</f>
        <v>0.43</v>
      </c>
      <c r="D1699" s="21" t="s">
        <v>2701</v>
      </c>
      <c r="E1699" s="21" t="s">
        <v>707</v>
      </c>
      <c r="F1699" s="21" t="s">
        <v>3247</v>
      </c>
    </row>
    <row r="1700" customFormat="false" ht="15" hidden="false" customHeight="false" outlineLevel="0" collapsed="false">
      <c r="B1700" s="19" t="s">
        <v>30170</v>
      </c>
      <c r="C1700" s="20" t="n">
        <f aca="false">ROUND(3.06/FX,2)</f>
        <v>0.43</v>
      </c>
      <c r="D1700" s="21" t="s">
        <v>11968</v>
      </c>
      <c r="E1700" s="21" t="s">
        <v>707</v>
      </c>
      <c r="F1700" s="21" t="s">
        <v>3247</v>
      </c>
    </row>
    <row r="1701" customFormat="false" ht="15" hidden="false" customHeight="false" outlineLevel="0" collapsed="false">
      <c r="B1701" s="19" t="s">
        <v>30171</v>
      </c>
      <c r="C1701" s="20" t="n">
        <f aca="false">ROUND(3.29/FX,2)</f>
        <v>0.46</v>
      </c>
      <c r="D1701" s="21" t="s">
        <v>2851</v>
      </c>
      <c r="E1701" s="21" t="s">
        <v>707</v>
      </c>
      <c r="F1701" s="21" t="s">
        <v>3247</v>
      </c>
    </row>
    <row r="1702" customFormat="false" ht="15" hidden="false" customHeight="false" outlineLevel="0" collapsed="false">
      <c r="B1702" s="19" t="s">
        <v>30172</v>
      </c>
      <c r="C1702" s="20" t="n">
        <f aca="false">ROUND(3.52/FX,2)</f>
        <v>0.49</v>
      </c>
      <c r="D1702" s="21" t="s">
        <v>6497</v>
      </c>
      <c r="E1702" s="21" t="s">
        <v>707</v>
      </c>
      <c r="F1702" s="21" t="s">
        <v>3247</v>
      </c>
    </row>
    <row r="1703" customFormat="false" ht="15" hidden="false" customHeight="false" outlineLevel="0" collapsed="false">
      <c r="B1703" s="19" t="s">
        <v>30173</v>
      </c>
      <c r="C1703" s="20" t="n">
        <f aca="false">ROUND(1.24/FX,2)</f>
        <v>0.17</v>
      </c>
      <c r="D1703" s="21" t="s">
        <v>3247</v>
      </c>
      <c r="E1703" s="21" t="s">
        <v>707</v>
      </c>
      <c r="F1703" s="21" t="s">
        <v>3247</v>
      </c>
    </row>
    <row r="1704" customFormat="false" ht="15" hidden="false" customHeight="false" outlineLevel="0" collapsed="false">
      <c r="B1704" s="19" t="s">
        <v>30174</v>
      </c>
      <c r="C1704" s="20" t="n">
        <f aca="false">ROUND(4.59/FX,2)</f>
        <v>0.64</v>
      </c>
      <c r="D1704" s="21" t="s">
        <v>1048</v>
      </c>
      <c r="E1704" s="21" t="s">
        <v>707</v>
      </c>
      <c r="F1704" s="21" t="s">
        <v>3247</v>
      </c>
    </row>
    <row r="1705" customFormat="false" ht="15" hidden="false" customHeight="false" outlineLevel="0" collapsed="false">
      <c r="B1705" s="19" t="s">
        <v>30175</v>
      </c>
      <c r="C1705" s="20" t="n">
        <f aca="false">ROUND(1.3/FX,2)</f>
        <v>0.18</v>
      </c>
      <c r="D1705" s="21" t="s">
        <v>3317</v>
      </c>
      <c r="E1705" s="21" t="s">
        <v>707</v>
      </c>
      <c r="F1705" s="21" t="s">
        <v>3247</v>
      </c>
    </row>
    <row r="1706" customFormat="false" ht="15" hidden="false" customHeight="false" outlineLevel="0" collapsed="false">
      <c r="B1706" s="19" t="s">
        <v>30176</v>
      </c>
      <c r="C1706" s="20" t="n">
        <f aca="false">ROUND(1.56/FX,2)</f>
        <v>0.22</v>
      </c>
      <c r="D1706" s="21" t="s">
        <v>784</v>
      </c>
      <c r="E1706" s="21" t="s">
        <v>707</v>
      </c>
      <c r="F1706" s="21" t="s">
        <v>3247</v>
      </c>
    </row>
    <row r="1707" customFormat="false" ht="15" hidden="false" customHeight="false" outlineLevel="0" collapsed="false">
      <c r="B1707" s="19" t="s">
        <v>30177</v>
      </c>
      <c r="C1707" s="20" t="n">
        <f aca="false">ROUND(9.03/FX,2)</f>
        <v>1.25</v>
      </c>
      <c r="D1707" s="21" t="s">
        <v>1520</v>
      </c>
      <c r="E1707" s="21" t="s">
        <v>707</v>
      </c>
      <c r="F1707" s="21" t="s">
        <v>3247</v>
      </c>
    </row>
    <row r="1708" customFormat="false" ht="15" hidden="false" customHeight="false" outlineLevel="0" collapsed="false">
      <c r="B1708" s="19" t="s">
        <v>30178</v>
      </c>
      <c r="C1708" s="20" t="n">
        <f aca="false">ROUND(1.54/FX,2)</f>
        <v>0.21</v>
      </c>
      <c r="D1708" s="21" t="s">
        <v>3328</v>
      </c>
      <c r="E1708" s="21" t="s">
        <v>707</v>
      </c>
      <c r="F1708" s="21" t="s">
        <v>3247</v>
      </c>
    </row>
    <row r="1709" customFormat="false" ht="15" hidden="false" customHeight="false" outlineLevel="0" collapsed="false">
      <c r="B1709" s="19" t="s">
        <v>30179</v>
      </c>
      <c r="C1709" s="20" t="n">
        <f aca="false">ROUND(1.65/FX,2)</f>
        <v>0.23</v>
      </c>
      <c r="D1709" s="21" t="s">
        <v>6246</v>
      </c>
      <c r="E1709" s="21" t="s">
        <v>707</v>
      </c>
      <c r="F1709" s="21" t="s">
        <v>3247</v>
      </c>
    </row>
    <row r="1710" customFormat="false" ht="15" hidden="false" customHeight="false" outlineLevel="0" collapsed="false">
      <c r="B1710" s="19" t="s">
        <v>30180</v>
      </c>
      <c r="C1710" s="20" t="n">
        <f aca="false">ROUND(1.77/FX,2)</f>
        <v>0.25</v>
      </c>
      <c r="D1710" s="21" t="s">
        <v>7358</v>
      </c>
      <c r="E1710" s="21" t="s">
        <v>707</v>
      </c>
      <c r="F1710" s="21" t="s">
        <v>3247</v>
      </c>
    </row>
    <row r="1711" customFormat="false" ht="15" hidden="false" customHeight="false" outlineLevel="0" collapsed="false">
      <c r="B1711" s="19" t="s">
        <v>30181</v>
      </c>
      <c r="C1711" s="20" t="n">
        <f aca="false">ROUND(1.89/FX,2)</f>
        <v>0.26</v>
      </c>
      <c r="D1711" s="21" t="s">
        <v>2911</v>
      </c>
      <c r="E1711" s="21" t="s">
        <v>707</v>
      </c>
      <c r="F1711" s="21" t="s">
        <v>3247</v>
      </c>
    </row>
    <row r="1712" customFormat="false" ht="15" hidden="false" customHeight="false" outlineLevel="0" collapsed="false">
      <c r="B1712" s="19" t="s">
        <v>30182</v>
      </c>
      <c r="C1712" s="20" t="n">
        <f aca="false">ROUND(2/FX,2)</f>
        <v>0.28</v>
      </c>
      <c r="D1712" s="21" t="s">
        <v>7275</v>
      </c>
      <c r="E1712" s="21" t="s">
        <v>707</v>
      </c>
      <c r="F1712" s="21" t="s">
        <v>3247</v>
      </c>
    </row>
    <row r="1713" customFormat="false" ht="15" hidden="false" customHeight="false" outlineLevel="0" collapsed="false">
      <c r="B1713" s="19" t="s">
        <v>30183</v>
      </c>
      <c r="C1713" s="20" t="n">
        <f aca="false">ROUND(2.12/FX,2)</f>
        <v>0.29</v>
      </c>
      <c r="D1713" s="21" t="s">
        <v>2961</v>
      </c>
      <c r="E1713" s="21" t="s">
        <v>707</v>
      </c>
      <c r="F1713" s="21" t="s">
        <v>3247</v>
      </c>
    </row>
    <row r="1714" customFormat="false" ht="15" hidden="false" customHeight="false" outlineLevel="0" collapsed="false">
      <c r="B1714" s="19" t="s">
        <v>30184</v>
      </c>
      <c r="C1714" s="20" t="n">
        <f aca="false">ROUND(2.24/FX,2)</f>
        <v>0.31</v>
      </c>
      <c r="D1714" s="21" t="s">
        <v>13817</v>
      </c>
      <c r="E1714" s="21" t="s">
        <v>707</v>
      </c>
      <c r="F1714" s="21" t="s">
        <v>3247</v>
      </c>
    </row>
    <row r="1715" customFormat="false" ht="15" hidden="false" customHeight="false" outlineLevel="0" collapsed="false">
      <c r="B1715" s="19" t="s">
        <v>30185</v>
      </c>
      <c r="C1715" s="20" t="n">
        <f aca="false">ROUND(2.35/FX,2)</f>
        <v>0.33</v>
      </c>
      <c r="D1715" s="21" t="s">
        <v>3011</v>
      </c>
      <c r="E1715" s="21" t="s">
        <v>707</v>
      </c>
      <c r="F1715" s="21" t="s">
        <v>3247</v>
      </c>
    </row>
    <row r="1716" customFormat="false" ht="15" hidden="false" customHeight="false" outlineLevel="0" collapsed="false">
      <c r="B1716" s="19" t="s">
        <v>30186</v>
      </c>
      <c r="C1716" s="20" t="n">
        <f aca="false">ROUND(2.47/FX,2)</f>
        <v>0.34</v>
      </c>
      <c r="D1716" s="21" t="s">
        <v>7396</v>
      </c>
      <c r="E1716" s="21" t="s">
        <v>707</v>
      </c>
      <c r="F1716" s="21" t="s">
        <v>3247</v>
      </c>
    </row>
    <row r="1717" customFormat="false" ht="15" hidden="false" customHeight="false" outlineLevel="0" collapsed="false">
      <c r="B1717" s="19" t="s">
        <v>30187</v>
      </c>
      <c r="C1717" s="20" t="n">
        <f aca="false">ROUND(2.59/FX,2)</f>
        <v>0.36</v>
      </c>
      <c r="D1717" s="21" t="s">
        <v>3061</v>
      </c>
      <c r="E1717" s="21" t="s">
        <v>707</v>
      </c>
      <c r="F1717" s="21" t="s">
        <v>3247</v>
      </c>
    </row>
    <row r="1718" customFormat="false" ht="15" hidden="false" customHeight="false" outlineLevel="0" collapsed="false">
      <c r="B1718" s="19" t="s">
        <v>30188</v>
      </c>
      <c r="C1718" s="20" t="n">
        <f aca="false">ROUND(2.65/FX,2)</f>
        <v>0.37</v>
      </c>
      <c r="D1718" s="21" t="s">
        <v>11870</v>
      </c>
      <c r="E1718" s="21" t="s">
        <v>707</v>
      </c>
      <c r="F1718" s="21" t="s">
        <v>3247</v>
      </c>
    </row>
    <row r="1719" customFormat="false" ht="15" hidden="false" customHeight="false" outlineLevel="0" collapsed="false">
      <c r="B1719" s="19" t="s">
        <v>30189</v>
      </c>
      <c r="C1719" s="20" t="n">
        <f aca="false">ROUND(2.72/FX,2)</f>
        <v>0.38</v>
      </c>
      <c r="D1719" s="21" t="s">
        <v>3111</v>
      </c>
      <c r="E1719" s="21" t="s">
        <v>707</v>
      </c>
      <c r="F1719" s="21" t="s">
        <v>3247</v>
      </c>
    </row>
    <row r="1720" customFormat="false" ht="15" hidden="false" customHeight="false" outlineLevel="0" collapsed="false">
      <c r="B1720" s="19" t="s">
        <v>30190</v>
      </c>
      <c r="C1720" s="20" t="n">
        <f aca="false">ROUND(2.82/FX,2)</f>
        <v>0.39</v>
      </c>
      <c r="D1720" s="21" t="s">
        <v>12306</v>
      </c>
      <c r="E1720" s="21" t="s">
        <v>707</v>
      </c>
      <c r="F1720" s="21" t="s">
        <v>3247</v>
      </c>
    </row>
    <row r="1721" customFormat="false" ht="15" hidden="false" customHeight="false" outlineLevel="0" collapsed="false">
      <c r="B1721" s="19" t="s">
        <v>30191</v>
      </c>
      <c r="C1721" s="20" t="n">
        <f aca="false">ROUND(3.42/FX,2)</f>
        <v>0.48</v>
      </c>
      <c r="D1721" s="21" t="s">
        <v>2600</v>
      </c>
      <c r="E1721" s="21" t="s">
        <v>5091</v>
      </c>
      <c r="F1721" s="21" t="s">
        <v>5097</v>
      </c>
    </row>
    <row r="1722" customFormat="false" ht="15" hidden="false" customHeight="false" outlineLevel="0" collapsed="false">
      <c r="B1722" s="19" t="s">
        <v>30192</v>
      </c>
      <c r="C1722" s="20" t="n">
        <f aca="false">ROUND(3.65/FX,2)</f>
        <v>0.51</v>
      </c>
      <c r="D1722" s="21" t="s">
        <v>2651</v>
      </c>
      <c r="E1722" s="21" t="s">
        <v>5091</v>
      </c>
      <c r="F1722" s="21" t="s">
        <v>5097</v>
      </c>
    </row>
    <row r="1723" customFormat="false" ht="15" hidden="false" customHeight="false" outlineLevel="0" collapsed="false">
      <c r="B1723" s="19" t="s">
        <v>30193</v>
      </c>
      <c r="C1723" s="20" t="n">
        <f aca="false">ROUND(3.65/FX,2)</f>
        <v>0.51</v>
      </c>
      <c r="D1723" s="21" t="s">
        <v>2701</v>
      </c>
      <c r="E1723" s="21" t="s">
        <v>5091</v>
      </c>
      <c r="F1723" s="21" t="s">
        <v>5097</v>
      </c>
    </row>
    <row r="1724" customFormat="false" ht="15" hidden="false" customHeight="false" outlineLevel="0" collapsed="false">
      <c r="B1724" s="19" t="s">
        <v>30194</v>
      </c>
      <c r="C1724" s="20" t="n">
        <f aca="false">ROUND(3.65/FX,2)</f>
        <v>0.51</v>
      </c>
      <c r="D1724" s="21" t="s">
        <v>11968</v>
      </c>
      <c r="E1724" s="21" t="s">
        <v>5091</v>
      </c>
      <c r="F1724" s="21" t="s">
        <v>5097</v>
      </c>
    </row>
    <row r="1725" customFormat="false" ht="15" hidden="false" customHeight="false" outlineLevel="0" collapsed="false">
      <c r="B1725" s="19" t="s">
        <v>30195</v>
      </c>
      <c r="C1725" s="20" t="n">
        <f aca="false">ROUND(3.76/FX,2)</f>
        <v>0.52</v>
      </c>
      <c r="D1725" s="21" t="s">
        <v>2751</v>
      </c>
      <c r="E1725" s="21" t="s">
        <v>5091</v>
      </c>
      <c r="F1725" s="21" t="s">
        <v>5097</v>
      </c>
    </row>
    <row r="1726" customFormat="false" ht="15" hidden="false" customHeight="false" outlineLevel="0" collapsed="false">
      <c r="B1726" s="19" t="s">
        <v>30196</v>
      </c>
      <c r="C1726" s="20" t="n">
        <f aca="false">ROUND(4.12/FX,2)</f>
        <v>0.57</v>
      </c>
      <c r="D1726" s="21" t="s">
        <v>2851</v>
      </c>
      <c r="E1726" s="21" t="s">
        <v>5091</v>
      </c>
      <c r="F1726" s="21" t="s">
        <v>5097</v>
      </c>
    </row>
    <row r="1727" customFormat="false" ht="15" hidden="false" customHeight="false" outlineLevel="0" collapsed="false">
      <c r="B1727" s="19" t="s">
        <v>30197</v>
      </c>
      <c r="C1727" s="20" t="n">
        <f aca="false">ROUND(4.36/FX,2)</f>
        <v>0.61</v>
      </c>
      <c r="D1727" s="21" t="s">
        <v>6497</v>
      </c>
      <c r="E1727" s="21" t="s">
        <v>5091</v>
      </c>
      <c r="F1727" s="21" t="s">
        <v>5097</v>
      </c>
    </row>
    <row r="1728" customFormat="false" ht="15" hidden="false" customHeight="false" outlineLevel="0" collapsed="false">
      <c r="B1728" s="19" t="s">
        <v>30198</v>
      </c>
      <c r="C1728" s="20" t="n">
        <f aca="false">ROUND(1.65/FX,2)</f>
        <v>0.23</v>
      </c>
      <c r="D1728" s="21" t="s">
        <v>3317</v>
      </c>
      <c r="E1728" s="21" t="s">
        <v>5091</v>
      </c>
      <c r="F1728" s="21" t="s">
        <v>5097</v>
      </c>
    </row>
    <row r="1729" customFormat="false" ht="15" hidden="false" customHeight="false" outlineLevel="0" collapsed="false">
      <c r="B1729" s="19" t="s">
        <v>30199</v>
      </c>
      <c r="C1729" s="20" t="n">
        <f aca="false">ROUND(1.77/FX,2)</f>
        <v>0.25</v>
      </c>
      <c r="D1729" s="21" t="s">
        <v>784</v>
      </c>
      <c r="E1729" s="21" t="s">
        <v>5091</v>
      </c>
      <c r="F1729" s="21" t="s">
        <v>5097</v>
      </c>
    </row>
    <row r="1730" customFormat="false" ht="15" hidden="false" customHeight="false" outlineLevel="0" collapsed="false">
      <c r="B1730" s="19" t="s">
        <v>30200</v>
      </c>
      <c r="C1730" s="20" t="n">
        <f aca="false">ROUND(10.34/FX,2)</f>
        <v>1.44</v>
      </c>
      <c r="D1730" s="21" t="s">
        <v>1520</v>
      </c>
      <c r="E1730" s="21" t="s">
        <v>5091</v>
      </c>
      <c r="F1730" s="21" t="s">
        <v>5097</v>
      </c>
    </row>
    <row r="1731" customFormat="false" ht="15" hidden="false" customHeight="false" outlineLevel="0" collapsed="false">
      <c r="B1731" s="19" t="s">
        <v>30201</v>
      </c>
      <c r="C1731" s="20" t="n">
        <f aca="false">ROUND(1.89/FX,2)</f>
        <v>0.26</v>
      </c>
      <c r="D1731" s="21" t="s">
        <v>3328</v>
      </c>
      <c r="E1731" s="21" t="s">
        <v>5091</v>
      </c>
      <c r="F1731" s="21" t="s">
        <v>5097</v>
      </c>
    </row>
    <row r="1732" customFormat="false" ht="15" hidden="false" customHeight="false" outlineLevel="0" collapsed="false">
      <c r="B1732" s="19" t="s">
        <v>30202</v>
      </c>
      <c r="C1732" s="20" t="n">
        <f aca="false">ROUND(2/FX,2)</f>
        <v>0.28</v>
      </c>
      <c r="D1732" s="21" t="s">
        <v>6246</v>
      </c>
      <c r="E1732" s="21" t="s">
        <v>5091</v>
      </c>
      <c r="F1732" s="21" t="s">
        <v>5097</v>
      </c>
    </row>
    <row r="1733" customFormat="false" ht="15" hidden="false" customHeight="false" outlineLevel="0" collapsed="false">
      <c r="B1733" s="19" t="s">
        <v>30203</v>
      </c>
      <c r="C1733" s="20" t="n">
        <f aca="false">ROUND(2.12/FX,2)</f>
        <v>0.29</v>
      </c>
      <c r="D1733" s="21" t="s">
        <v>7358</v>
      </c>
      <c r="E1733" s="21" t="s">
        <v>5091</v>
      </c>
      <c r="F1733" s="21" t="s">
        <v>5097</v>
      </c>
    </row>
    <row r="1734" customFormat="false" ht="15" hidden="false" customHeight="false" outlineLevel="0" collapsed="false">
      <c r="B1734" s="19" t="s">
        <v>30204</v>
      </c>
      <c r="C1734" s="20" t="n">
        <f aca="false">ROUND(2.24/FX,2)</f>
        <v>0.31</v>
      </c>
      <c r="D1734" s="21" t="s">
        <v>2911</v>
      </c>
      <c r="E1734" s="21" t="s">
        <v>5091</v>
      </c>
      <c r="F1734" s="21" t="s">
        <v>5097</v>
      </c>
    </row>
    <row r="1735" customFormat="false" ht="15" hidden="false" customHeight="false" outlineLevel="0" collapsed="false">
      <c r="B1735" s="19" t="s">
        <v>30205</v>
      </c>
      <c r="C1735" s="20" t="n">
        <f aca="false">ROUND(2.35/FX,2)</f>
        <v>0.33</v>
      </c>
      <c r="D1735" s="21" t="s">
        <v>7275</v>
      </c>
      <c r="E1735" s="21" t="s">
        <v>5091</v>
      </c>
      <c r="F1735" s="21" t="s">
        <v>5097</v>
      </c>
    </row>
    <row r="1736" customFormat="false" ht="15" hidden="false" customHeight="false" outlineLevel="0" collapsed="false">
      <c r="B1736" s="19" t="s">
        <v>30206</v>
      </c>
      <c r="C1736" s="20" t="n">
        <f aca="false">ROUND(2.47/FX,2)</f>
        <v>0.34</v>
      </c>
      <c r="D1736" s="21" t="s">
        <v>2961</v>
      </c>
      <c r="E1736" s="21" t="s">
        <v>5091</v>
      </c>
      <c r="F1736" s="21" t="s">
        <v>5097</v>
      </c>
    </row>
    <row r="1737" customFormat="false" ht="15" hidden="false" customHeight="false" outlineLevel="0" collapsed="false">
      <c r="B1737" s="19" t="s">
        <v>30207</v>
      </c>
      <c r="C1737" s="20" t="n">
        <f aca="false">ROUND(2.59/FX,2)</f>
        <v>0.36</v>
      </c>
      <c r="D1737" s="21" t="s">
        <v>13817</v>
      </c>
      <c r="E1737" s="21" t="s">
        <v>5091</v>
      </c>
      <c r="F1737" s="21" t="s">
        <v>5097</v>
      </c>
    </row>
    <row r="1738" customFormat="false" ht="15" hidden="false" customHeight="false" outlineLevel="0" collapsed="false">
      <c r="B1738" s="19" t="s">
        <v>30208</v>
      </c>
      <c r="C1738" s="20" t="n">
        <f aca="false">ROUND(2.72/FX,2)</f>
        <v>0.38</v>
      </c>
      <c r="D1738" s="21" t="s">
        <v>3011</v>
      </c>
      <c r="E1738" s="21" t="s">
        <v>5091</v>
      </c>
      <c r="F1738" s="21" t="s">
        <v>5097</v>
      </c>
    </row>
    <row r="1739" customFormat="false" ht="15" hidden="false" customHeight="false" outlineLevel="0" collapsed="false">
      <c r="B1739" s="19" t="s">
        <v>30209</v>
      </c>
      <c r="C1739" s="20" t="n">
        <f aca="false">ROUND(2.82/FX,2)</f>
        <v>0.39</v>
      </c>
      <c r="D1739" s="21" t="s">
        <v>7396</v>
      </c>
      <c r="E1739" s="21" t="s">
        <v>5091</v>
      </c>
      <c r="F1739" s="21" t="s">
        <v>5097</v>
      </c>
    </row>
    <row r="1740" customFormat="false" ht="15" hidden="false" customHeight="false" outlineLevel="0" collapsed="false">
      <c r="B1740" s="19" t="s">
        <v>30210</v>
      </c>
      <c r="C1740" s="20" t="n">
        <f aca="false">ROUND(2.95/FX,2)</f>
        <v>0.41</v>
      </c>
      <c r="D1740" s="21" t="s">
        <v>3061</v>
      </c>
      <c r="E1740" s="21" t="s">
        <v>5091</v>
      </c>
      <c r="F1740" s="21" t="s">
        <v>5097</v>
      </c>
    </row>
    <row r="1741" customFormat="false" ht="15" hidden="false" customHeight="false" outlineLevel="0" collapsed="false">
      <c r="B1741" s="19" t="s">
        <v>30211</v>
      </c>
      <c r="C1741" s="20" t="n">
        <f aca="false">ROUND(3.19/FX,2)</f>
        <v>0.44</v>
      </c>
      <c r="D1741" s="21" t="s">
        <v>11870</v>
      </c>
      <c r="E1741" s="21" t="s">
        <v>5091</v>
      </c>
      <c r="F1741" s="21" t="s">
        <v>5097</v>
      </c>
    </row>
    <row r="1742" customFormat="false" ht="15" hidden="false" customHeight="false" outlineLevel="0" collapsed="false">
      <c r="B1742" s="19" t="s">
        <v>30212</v>
      </c>
      <c r="C1742" s="20" t="n">
        <f aca="false">ROUND(3.42/FX,2)</f>
        <v>0.48</v>
      </c>
      <c r="D1742" s="21" t="s">
        <v>3111</v>
      </c>
      <c r="E1742" s="21" t="s">
        <v>5091</v>
      </c>
      <c r="F1742" s="21" t="s">
        <v>5097</v>
      </c>
    </row>
    <row r="1743" customFormat="false" ht="15" hidden="false" customHeight="false" outlineLevel="0" collapsed="false">
      <c r="B1743" s="19" t="s">
        <v>30213</v>
      </c>
      <c r="C1743" s="20" t="n">
        <f aca="false">ROUND(4.32/FX,2)</f>
        <v>0.6</v>
      </c>
      <c r="D1743" s="21" t="s">
        <v>12306</v>
      </c>
      <c r="E1743" s="21" t="s">
        <v>5091</v>
      </c>
      <c r="F1743" s="21" t="s">
        <v>5097</v>
      </c>
    </row>
    <row r="1744" customFormat="false" ht="15" hidden="false" customHeight="false" outlineLevel="0" collapsed="false">
      <c r="B1744" s="19" t="s">
        <v>30214</v>
      </c>
      <c r="C1744" s="20" t="n">
        <f aca="false">ROUND(3.89/FX,2)</f>
        <v>0.54</v>
      </c>
      <c r="D1744" s="21" t="s">
        <v>2600</v>
      </c>
      <c r="E1744" s="21" t="s">
        <v>20224</v>
      </c>
      <c r="F1744" s="21" t="s">
        <v>3317</v>
      </c>
    </row>
    <row r="1745" customFormat="false" ht="15" hidden="false" customHeight="false" outlineLevel="0" collapsed="false">
      <c r="B1745" s="19" t="s">
        <v>30215</v>
      </c>
      <c r="C1745" s="20" t="n">
        <f aca="false">ROUND(4.36/FX,2)</f>
        <v>0.61</v>
      </c>
      <c r="D1745" s="21" t="s">
        <v>2651</v>
      </c>
      <c r="E1745" s="21" t="s">
        <v>20224</v>
      </c>
      <c r="F1745" s="21" t="s">
        <v>3317</v>
      </c>
    </row>
    <row r="1746" customFormat="false" ht="15" hidden="false" customHeight="false" outlineLevel="0" collapsed="false">
      <c r="B1746" s="19" t="s">
        <v>30216</v>
      </c>
      <c r="C1746" s="20" t="n">
        <f aca="false">ROUND(4.36/FX,2)</f>
        <v>0.61</v>
      </c>
      <c r="D1746" s="21" t="s">
        <v>11968</v>
      </c>
      <c r="E1746" s="21" t="s">
        <v>20224</v>
      </c>
      <c r="F1746" s="21" t="s">
        <v>3317</v>
      </c>
    </row>
    <row r="1747" customFormat="false" ht="15" hidden="false" customHeight="false" outlineLevel="0" collapsed="false">
      <c r="B1747" s="19" t="s">
        <v>30217</v>
      </c>
      <c r="C1747" s="20" t="n">
        <f aca="false">ROUND(4.59/FX,2)</f>
        <v>0.64</v>
      </c>
      <c r="D1747" s="21" t="s">
        <v>2751</v>
      </c>
      <c r="E1747" s="21" t="s">
        <v>20224</v>
      </c>
      <c r="F1747" s="21" t="s">
        <v>3317</v>
      </c>
    </row>
    <row r="1748" customFormat="false" ht="15" hidden="false" customHeight="false" outlineLevel="0" collapsed="false">
      <c r="B1748" s="19" t="s">
        <v>30218</v>
      </c>
      <c r="C1748" s="20" t="n">
        <f aca="false">ROUND(4.59/FX,2)</f>
        <v>0.64</v>
      </c>
      <c r="D1748" s="21" t="s">
        <v>2851</v>
      </c>
      <c r="E1748" s="21" t="s">
        <v>20224</v>
      </c>
      <c r="F1748" s="21" t="s">
        <v>3317</v>
      </c>
    </row>
    <row r="1749" customFormat="false" ht="15" hidden="false" customHeight="false" outlineLevel="0" collapsed="false">
      <c r="B1749" s="19" t="s">
        <v>30219</v>
      </c>
      <c r="C1749" s="20" t="n">
        <f aca="false">ROUND(4.82/FX,2)</f>
        <v>0.67</v>
      </c>
      <c r="D1749" s="21" t="s">
        <v>6497</v>
      </c>
      <c r="E1749" s="21" t="s">
        <v>20224</v>
      </c>
      <c r="F1749" s="21" t="s">
        <v>3317</v>
      </c>
    </row>
    <row r="1750" customFormat="false" ht="15" hidden="false" customHeight="false" outlineLevel="0" collapsed="false">
      <c r="B1750" s="19" t="s">
        <v>30220</v>
      </c>
      <c r="C1750" s="20" t="n">
        <f aca="false">ROUND(5.06/FX,2)</f>
        <v>0.7</v>
      </c>
      <c r="D1750" s="21" t="s">
        <v>1048</v>
      </c>
      <c r="E1750" s="21" t="s">
        <v>20224</v>
      </c>
      <c r="F1750" s="21" t="s">
        <v>3317</v>
      </c>
    </row>
    <row r="1751" customFormat="false" ht="15" hidden="false" customHeight="false" outlineLevel="0" collapsed="false">
      <c r="B1751" s="19" t="s">
        <v>30221</v>
      </c>
      <c r="C1751" s="20" t="n">
        <f aca="false">ROUND(2/FX,2)</f>
        <v>0.28</v>
      </c>
      <c r="D1751" s="21" t="s">
        <v>3317</v>
      </c>
      <c r="E1751" s="21" t="s">
        <v>20224</v>
      </c>
      <c r="F1751" s="21" t="s">
        <v>3317</v>
      </c>
    </row>
    <row r="1752" customFormat="false" ht="15" hidden="false" customHeight="false" outlineLevel="0" collapsed="false">
      <c r="B1752" s="19" t="s">
        <v>30222</v>
      </c>
      <c r="C1752" s="20" t="n">
        <f aca="false">ROUND(2.12/FX,2)</f>
        <v>0.29</v>
      </c>
      <c r="D1752" s="21" t="s">
        <v>784</v>
      </c>
      <c r="E1752" s="21" t="s">
        <v>20224</v>
      </c>
      <c r="F1752" s="21" t="s">
        <v>3317</v>
      </c>
    </row>
    <row r="1753" customFormat="false" ht="15" hidden="false" customHeight="false" outlineLevel="0" collapsed="false">
      <c r="B1753" s="19" t="s">
        <v>30223</v>
      </c>
      <c r="C1753" s="20" t="n">
        <f aca="false">ROUND(11.27/FX,2)</f>
        <v>1.57</v>
      </c>
      <c r="D1753" s="21" t="s">
        <v>1520</v>
      </c>
      <c r="E1753" s="21" t="s">
        <v>20224</v>
      </c>
      <c r="F1753" s="21" t="s">
        <v>3317</v>
      </c>
    </row>
    <row r="1754" customFormat="false" ht="15" hidden="false" customHeight="false" outlineLevel="0" collapsed="false">
      <c r="B1754" s="19" t="s">
        <v>30224</v>
      </c>
      <c r="C1754" s="20" t="n">
        <f aca="false">ROUND(2.24/FX,2)</f>
        <v>0.31</v>
      </c>
      <c r="D1754" s="21" t="s">
        <v>3328</v>
      </c>
      <c r="E1754" s="21" t="s">
        <v>20224</v>
      </c>
      <c r="F1754" s="21" t="s">
        <v>3317</v>
      </c>
    </row>
    <row r="1755" customFormat="false" ht="15" hidden="false" customHeight="false" outlineLevel="0" collapsed="false">
      <c r="B1755" s="19" t="s">
        <v>30225</v>
      </c>
      <c r="C1755" s="20" t="n">
        <f aca="false">ROUND(2.36/FX,2)</f>
        <v>0.33</v>
      </c>
      <c r="D1755" s="21" t="s">
        <v>6246</v>
      </c>
      <c r="E1755" s="21" t="s">
        <v>20224</v>
      </c>
      <c r="F1755" s="21" t="s">
        <v>3317</v>
      </c>
    </row>
    <row r="1756" customFormat="false" ht="15" hidden="false" customHeight="false" outlineLevel="0" collapsed="false">
      <c r="B1756" s="19" t="s">
        <v>30226</v>
      </c>
      <c r="C1756" s="20" t="n">
        <f aca="false">ROUND(2.47/FX,2)</f>
        <v>0.34</v>
      </c>
      <c r="D1756" s="21" t="s">
        <v>7358</v>
      </c>
      <c r="E1756" s="21" t="s">
        <v>20224</v>
      </c>
      <c r="F1756" s="21" t="s">
        <v>3317</v>
      </c>
    </row>
    <row r="1757" customFormat="false" ht="15" hidden="false" customHeight="false" outlineLevel="0" collapsed="false">
      <c r="B1757" s="19" t="s">
        <v>30227</v>
      </c>
      <c r="C1757" s="20" t="n">
        <f aca="false">ROUND(2.59/FX,2)</f>
        <v>0.36</v>
      </c>
      <c r="D1757" s="21" t="s">
        <v>2911</v>
      </c>
      <c r="E1757" s="21" t="s">
        <v>20224</v>
      </c>
      <c r="F1757" s="21" t="s">
        <v>3317</v>
      </c>
    </row>
    <row r="1758" customFormat="false" ht="15" hidden="false" customHeight="false" outlineLevel="0" collapsed="false">
      <c r="B1758" s="19" t="s">
        <v>30228</v>
      </c>
      <c r="C1758" s="20" t="n">
        <f aca="false">ROUND(2.72/FX,2)</f>
        <v>0.38</v>
      </c>
      <c r="D1758" s="21" t="s">
        <v>7275</v>
      </c>
      <c r="E1758" s="21" t="s">
        <v>20224</v>
      </c>
      <c r="F1758" s="21" t="s">
        <v>3317</v>
      </c>
    </row>
    <row r="1759" customFormat="false" ht="15" hidden="false" customHeight="false" outlineLevel="0" collapsed="false">
      <c r="B1759" s="19" t="s">
        <v>30229</v>
      </c>
      <c r="C1759" s="20" t="n">
        <f aca="false">ROUND(2.95/FX,2)</f>
        <v>0.41</v>
      </c>
      <c r="D1759" s="21" t="s">
        <v>2961</v>
      </c>
      <c r="E1759" s="21" t="s">
        <v>20224</v>
      </c>
      <c r="F1759" s="21" t="s">
        <v>3317</v>
      </c>
    </row>
    <row r="1760" customFormat="false" ht="15" hidden="false" customHeight="false" outlineLevel="0" collapsed="false">
      <c r="B1760" s="19" t="s">
        <v>30230</v>
      </c>
      <c r="C1760" s="20" t="n">
        <f aca="false">ROUND(3.19/FX,2)</f>
        <v>0.44</v>
      </c>
      <c r="D1760" s="21" t="s">
        <v>13817</v>
      </c>
      <c r="E1760" s="21" t="s">
        <v>20224</v>
      </c>
      <c r="F1760" s="21" t="s">
        <v>3317</v>
      </c>
    </row>
    <row r="1761" customFormat="false" ht="15" hidden="false" customHeight="false" outlineLevel="0" collapsed="false">
      <c r="B1761" s="19" t="s">
        <v>30231</v>
      </c>
      <c r="C1761" s="20" t="n">
        <f aca="false">ROUND(3.19/FX,2)</f>
        <v>0.44</v>
      </c>
      <c r="D1761" s="21" t="s">
        <v>3011</v>
      </c>
      <c r="E1761" s="21" t="s">
        <v>20224</v>
      </c>
      <c r="F1761" s="21" t="s">
        <v>3317</v>
      </c>
    </row>
    <row r="1762" customFormat="false" ht="15" hidden="false" customHeight="false" outlineLevel="0" collapsed="false">
      <c r="B1762" s="19" t="s">
        <v>30232</v>
      </c>
      <c r="C1762" s="20" t="n">
        <f aca="false">ROUND(3.29/FX,2)</f>
        <v>0.46</v>
      </c>
      <c r="D1762" s="21" t="s">
        <v>7396</v>
      </c>
      <c r="E1762" s="21" t="s">
        <v>20224</v>
      </c>
      <c r="F1762" s="21" t="s">
        <v>3317</v>
      </c>
    </row>
    <row r="1763" customFormat="false" ht="15" hidden="false" customHeight="false" outlineLevel="0" collapsed="false">
      <c r="B1763" s="19" t="s">
        <v>30233</v>
      </c>
      <c r="C1763" s="20" t="n">
        <f aca="false">ROUND(3.42/FX,2)</f>
        <v>0.48</v>
      </c>
      <c r="D1763" s="21" t="s">
        <v>3061</v>
      </c>
      <c r="E1763" s="21" t="s">
        <v>20224</v>
      </c>
      <c r="F1763" s="21" t="s">
        <v>3317</v>
      </c>
    </row>
    <row r="1764" customFormat="false" ht="15" hidden="false" customHeight="false" outlineLevel="0" collapsed="false">
      <c r="B1764" s="19" t="s">
        <v>30234</v>
      </c>
      <c r="C1764" s="20" t="n">
        <f aca="false">ROUND(3.42/FX,2)</f>
        <v>0.48</v>
      </c>
      <c r="D1764" s="21" t="s">
        <v>11870</v>
      </c>
      <c r="E1764" s="21" t="s">
        <v>20224</v>
      </c>
      <c r="F1764" s="21" t="s">
        <v>3317</v>
      </c>
    </row>
    <row r="1765" customFormat="false" ht="15" hidden="false" customHeight="false" outlineLevel="0" collapsed="false">
      <c r="B1765" s="19" t="s">
        <v>30235</v>
      </c>
      <c r="C1765" s="20" t="n">
        <f aca="false">ROUND(3.52/FX,2)</f>
        <v>0.49</v>
      </c>
      <c r="D1765" s="21" t="s">
        <v>3111</v>
      </c>
      <c r="E1765" s="21" t="s">
        <v>20224</v>
      </c>
      <c r="F1765" s="21" t="s">
        <v>3317</v>
      </c>
    </row>
    <row r="1766" customFormat="false" ht="15" hidden="false" customHeight="false" outlineLevel="0" collapsed="false">
      <c r="B1766" s="19" t="s">
        <v>30236</v>
      </c>
      <c r="C1766" s="20" t="n">
        <f aca="false">ROUND(3.89/FX,2)</f>
        <v>0.54</v>
      </c>
      <c r="D1766" s="21" t="s">
        <v>12306</v>
      </c>
      <c r="E1766" s="21" t="s">
        <v>20224</v>
      </c>
      <c r="F1766" s="21" t="s">
        <v>3317</v>
      </c>
    </row>
    <row r="1767" customFormat="false" ht="15" hidden="false" customHeight="false" outlineLevel="0" collapsed="false">
      <c r="B1767" s="19" t="s">
        <v>30237</v>
      </c>
      <c r="C1767" s="20" t="n">
        <f aca="false">ROUND(4.37/FX,2)</f>
        <v>0.61</v>
      </c>
      <c r="D1767" s="21" t="s">
        <v>2600</v>
      </c>
      <c r="E1767" s="21" t="s">
        <v>29741</v>
      </c>
      <c r="F1767" s="21" t="s">
        <v>13774</v>
      </c>
    </row>
    <row r="1768" customFormat="false" ht="15" hidden="false" customHeight="false" outlineLevel="0" collapsed="false">
      <c r="B1768" s="19" t="s">
        <v>30238</v>
      </c>
      <c r="C1768" s="20" t="n">
        <f aca="false">ROUND(14.08/FX,2)</f>
        <v>1.96</v>
      </c>
      <c r="D1768" s="21" t="s">
        <v>2651</v>
      </c>
      <c r="E1768" s="21" t="s">
        <v>29741</v>
      </c>
      <c r="F1768" s="21" t="s">
        <v>13774</v>
      </c>
    </row>
    <row r="1769" customFormat="false" ht="15" hidden="false" customHeight="false" outlineLevel="0" collapsed="false">
      <c r="B1769" s="19" t="s">
        <v>30239</v>
      </c>
      <c r="C1769" s="20" t="n">
        <f aca="false">ROUND(4.84/FX,2)</f>
        <v>0.67</v>
      </c>
      <c r="D1769" s="21" t="s">
        <v>11968</v>
      </c>
      <c r="E1769" s="21" t="s">
        <v>29741</v>
      </c>
      <c r="F1769" s="21" t="s">
        <v>13774</v>
      </c>
    </row>
    <row r="1770" customFormat="false" ht="15" hidden="false" customHeight="false" outlineLevel="0" collapsed="false">
      <c r="B1770" s="19" t="s">
        <v>30240</v>
      </c>
      <c r="C1770" s="20" t="n">
        <f aca="false">ROUND(5.19/FX,2)</f>
        <v>0.72</v>
      </c>
      <c r="D1770" s="21" t="s">
        <v>2851</v>
      </c>
      <c r="E1770" s="21" t="s">
        <v>29741</v>
      </c>
      <c r="F1770" s="21" t="s">
        <v>13774</v>
      </c>
    </row>
    <row r="1771" customFormat="false" ht="15" hidden="false" customHeight="false" outlineLevel="0" collapsed="false">
      <c r="B1771" s="19" t="s">
        <v>30241</v>
      </c>
      <c r="C1771" s="20" t="n">
        <f aca="false">ROUND(5.55/FX,2)</f>
        <v>0.77</v>
      </c>
      <c r="D1771" s="21" t="s">
        <v>6497</v>
      </c>
      <c r="E1771" s="21" t="s">
        <v>29741</v>
      </c>
      <c r="F1771" s="21" t="s">
        <v>13774</v>
      </c>
    </row>
    <row r="1772" customFormat="false" ht="15" hidden="false" customHeight="false" outlineLevel="0" collapsed="false">
      <c r="B1772" s="19" t="s">
        <v>30242</v>
      </c>
      <c r="C1772" s="20" t="n">
        <f aca="false">ROUND(5.9/FX,2)</f>
        <v>0.82</v>
      </c>
      <c r="D1772" s="21" t="s">
        <v>1048</v>
      </c>
      <c r="E1772" s="21" t="s">
        <v>29741</v>
      </c>
      <c r="F1772" s="21" t="s">
        <v>13774</v>
      </c>
    </row>
    <row r="1773" customFormat="false" ht="15" hidden="false" customHeight="false" outlineLevel="0" collapsed="false">
      <c r="B1773" s="19" t="s">
        <v>30243</v>
      </c>
      <c r="C1773" s="20" t="n">
        <f aca="false">ROUND(2.35/FX,2)</f>
        <v>0.33</v>
      </c>
      <c r="D1773" s="21" t="s">
        <v>3317</v>
      </c>
      <c r="E1773" s="21" t="s">
        <v>29741</v>
      </c>
      <c r="F1773" s="21" t="s">
        <v>13774</v>
      </c>
    </row>
    <row r="1774" customFormat="false" ht="15" hidden="false" customHeight="false" outlineLevel="0" collapsed="false">
      <c r="B1774" s="19" t="s">
        <v>30244</v>
      </c>
      <c r="C1774" s="20" t="n">
        <f aca="false">ROUND(2.47/FX,2)</f>
        <v>0.34</v>
      </c>
      <c r="D1774" s="21" t="s">
        <v>784</v>
      </c>
      <c r="E1774" s="21" t="s">
        <v>29741</v>
      </c>
      <c r="F1774" s="21" t="s">
        <v>13774</v>
      </c>
    </row>
    <row r="1775" customFormat="false" ht="15" hidden="false" customHeight="false" outlineLevel="0" collapsed="false">
      <c r="B1775" s="19" t="s">
        <v>30245</v>
      </c>
      <c r="C1775" s="20" t="n">
        <f aca="false">ROUND(11.85/FX,2)</f>
        <v>1.65</v>
      </c>
      <c r="D1775" s="21" t="s">
        <v>1520</v>
      </c>
      <c r="E1775" s="21" t="s">
        <v>29741</v>
      </c>
      <c r="F1775" s="21" t="s">
        <v>13774</v>
      </c>
    </row>
    <row r="1776" customFormat="false" ht="15" hidden="false" customHeight="false" outlineLevel="0" collapsed="false">
      <c r="B1776" s="19" t="s">
        <v>30246</v>
      </c>
      <c r="C1776" s="20" t="n">
        <f aca="false">ROUND(2.64/FX,2)</f>
        <v>0.37</v>
      </c>
      <c r="D1776" s="21" t="s">
        <v>3328</v>
      </c>
      <c r="E1776" s="21" t="s">
        <v>29741</v>
      </c>
      <c r="F1776" s="21" t="s">
        <v>13774</v>
      </c>
    </row>
    <row r="1777" customFormat="false" ht="15" hidden="false" customHeight="false" outlineLevel="0" collapsed="false">
      <c r="B1777" s="19" t="s">
        <v>30247</v>
      </c>
      <c r="C1777" s="20" t="n">
        <f aca="false">ROUND(2.72/FX,2)</f>
        <v>0.38</v>
      </c>
      <c r="D1777" s="21" t="s">
        <v>6246</v>
      </c>
      <c r="E1777" s="21" t="s">
        <v>29741</v>
      </c>
      <c r="F1777" s="21" t="s">
        <v>13774</v>
      </c>
    </row>
    <row r="1778" customFormat="false" ht="15" hidden="false" customHeight="false" outlineLevel="0" collapsed="false">
      <c r="B1778" s="19" t="s">
        <v>30248</v>
      </c>
      <c r="C1778" s="20" t="n">
        <f aca="false">ROUND(2.82/FX,2)</f>
        <v>0.39</v>
      </c>
      <c r="D1778" s="21" t="s">
        <v>7358</v>
      </c>
      <c r="E1778" s="21" t="s">
        <v>29741</v>
      </c>
      <c r="F1778" s="21" t="s">
        <v>13774</v>
      </c>
    </row>
    <row r="1779" customFormat="false" ht="15" hidden="false" customHeight="false" outlineLevel="0" collapsed="false">
      <c r="B1779" s="19" t="s">
        <v>30249</v>
      </c>
      <c r="C1779" s="20" t="n">
        <f aca="false">ROUND(3.07/FX,2)</f>
        <v>0.43</v>
      </c>
      <c r="D1779" s="21" t="s">
        <v>2911</v>
      </c>
      <c r="E1779" s="21" t="s">
        <v>29741</v>
      </c>
      <c r="F1779" s="21" t="s">
        <v>13774</v>
      </c>
    </row>
    <row r="1780" customFormat="false" ht="15" hidden="false" customHeight="false" outlineLevel="0" collapsed="false">
      <c r="B1780" s="19" t="s">
        <v>30250</v>
      </c>
      <c r="C1780" s="20" t="n">
        <f aca="false">ROUND(3.2/FX,2)</f>
        <v>0.44</v>
      </c>
      <c r="D1780" s="21" t="s">
        <v>7275</v>
      </c>
      <c r="E1780" s="21" t="s">
        <v>29741</v>
      </c>
      <c r="F1780" s="21" t="s">
        <v>13774</v>
      </c>
    </row>
    <row r="1781" customFormat="false" ht="15" hidden="false" customHeight="false" outlineLevel="0" collapsed="false">
      <c r="B1781" s="19" t="s">
        <v>30251</v>
      </c>
      <c r="C1781" s="20" t="n">
        <f aca="false">ROUND(3.43/FX,2)</f>
        <v>0.48</v>
      </c>
      <c r="D1781" s="21" t="s">
        <v>2961</v>
      </c>
      <c r="E1781" s="21" t="s">
        <v>29741</v>
      </c>
      <c r="F1781" s="21" t="s">
        <v>13774</v>
      </c>
    </row>
    <row r="1782" customFormat="false" ht="15" hidden="false" customHeight="false" outlineLevel="0" collapsed="false">
      <c r="B1782" s="19" t="s">
        <v>30252</v>
      </c>
      <c r="C1782" s="20" t="n">
        <f aca="false">ROUND(3.54/FX,2)</f>
        <v>0.49</v>
      </c>
      <c r="D1782" s="21" t="s">
        <v>13817</v>
      </c>
      <c r="E1782" s="21" t="s">
        <v>29741</v>
      </c>
      <c r="F1782" s="21" t="s">
        <v>13774</v>
      </c>
    </row>
    <row r="1783" customFormat="false" ht="15" hidden="false" customHeight="false" outlineLevel="0" collapsed="false">
      <c r="B1783" s="19" t="s">
        <v>30253</v>
      </c>
      <c r="C1783" s="20" t="n">
        <f aca="false">ROUND(3.67/FX,2)</f>
        <v>0.51</v>
      </c>
      <c r="D1783" s="21" t="s">
        <v>3011</v>
      </c>
      <c r="E1783" s="21" t="s">
        <v>29741</v>
      </c>
      <c r="F1783" s="21" t="s">
        <v>13774</v>
      </c>
    </row>
    <row r="1784" customFormat="false" ht="15" hidden="false" customHeight="false" outlineLevel="0" collapsed="false">
      <c r="B1784" s="19" t="s">
        <v>30254</v>
      </c>
      <c r="C1784" s="20" t="n">
        <f aca="false">ROUND(4.02/FX,2)</f>
        <v>0.56</v>
      </c>
      <c r="D1784" s="21" t="s">
        <v>7396</v>
      </c>
      <c r="E1784" s="21" t="s">
        <v>29741</v>
      </c>
      <c r="F1784" s="21" t="s">
        <v>13774</v>
      </c>
    </row>
    <row r="1785" customFormat="false" ht="15" hidden="false" customHeight="false" outlineLevel="0" collapsed="false">
      <c r="B1785" s="19" t="s">
        <v>30255</v>
      </c>
      <c r="C1785" s="20" t="n">
        <f aca="false">ROUND(4.14/FX,2)</f>
        <v>0.58</v>
      </c>
      <c r="D1785" s="21" t="s">
        <v>3061</v>
      </c>
      <c r="E1785" s="21" t="s">
        <v>29741</v>
      </c>
      <c r="F1785" s="21" t="s">
        <v>13774</v>
      </c>
    </row>
    <row r="1786" customFormat="false" ht="15" hidden="false" customHeight="false" outlineLevel="0" collapsed="false">
      <c r="B1786" s="19" t="s">
        <v>30256</v>
      </c>
      <c r="C1786" s="20" t="n">
        <f aca="false">ROUND(4.25/FX,2)</f>
        <v>0.59</v>
      </c>
      <c r="D1786" s="21" t="s">
        <v>11870</v>
      </c>
      <c r="E1786" s="21" t="s">
        <v>29741</v>
      </c>
      <c r="F1786" s="21" t="s">
        <v>13774</v>
      </c>
    </row>
    <row r="1787" customFormat="false" ht="15" hidden="false" customHeight="false" outlineLevel="0" collapsed="false">
      <c r="B1787" s="19" t="s">
        <v>30257</v>
      </c>
      <c r="C1787" s="20" t="n">
        <f aca="false">ROUND(4.25/FX,2)</f>
        <v>0.59</v>
      </c>
      <c r="D1787" s="21" t="s">
        <v>3111</v>
      </c>
      <c r="E1787" s="21" t="s">
        <v>29741</v>
      </c>
      <c r="F1787" s="21" t="s">
        <v>13774</v>
      </c>
    </row>
    <row r="1788" customFormat="false" ht="15" hidden="false" customHeight="false" outlineLevel="0" collapsed="false">
      <c r="B1788" s="19" t="s">
        <v>30258</v>
      </c>
      <c r="C1788" s="20" t="n">
        <f aca="false">ROUND(4.37/FX,2)</f>
        <v>0.61</v>
      </c>
      <c r="D1788" s="21" t="s">
        <v>12306</v>
      </c>
      <c r="E1788" s="21" t="s">
        <v>29741</v>
      </c>
      <c r="F1788" s="21" t="s">
        <v>13774</v>
      </c>
    </row>
    <row r="1789" customFormat="false" ht="15" hidden="false" customHeight="false" outlineLevel="0" collapsed="false">
      <c r="B1789" s="19" t="s">
        <v>30259</v>
      </c>
      <c r="C1789" s="20" t="n">
        <f aca="false">ROUND(4.36/FX,2)</f>
        <v>0.61</v>
      </c>
      <c r="D1789" s="21" t="s">
        <v>2600</v>
      </c>
      <c r="E1789" s="21" t="s">
        <v>714</v>
      </c>
      <c r="F1789" s="21" t="s">
        <v>784</v>
      </c>
    </row>
    <row r="1790" customFormat="false" ht="15" hidden="false" customHeight="false" outlineLevel="0" collapsed="false">
      <c r="B1790" s="19" t="s">
        <v>30260</v>
      </c>
      <c r="C1790" s="20" t="n">
        <f aca="false">ROUND(4.46/FX,2)</f>
        <v>0.62</v>
      </c>
      <c r="D1790" s="21" t="s">
        <v>2651</v>
      </c>
      <c r="E1790" s="21" t="s">
        <v>714</v>
      </c>
      <c r="F1790" s="21" t="s">
        <v>784</v>
      </c>
    </row>
    <row r="1791" customFormat="false" ht="15" hidden="false" customHeight="false" outlineLevel="0" collapsed="false">
      <c r="B1791" s="19" t="s">
        <v>30261</v>
      </c>
      <c r="C1791" s="20" t="n">
        <f aca="false">ROUND(4.59/FX,2)</f>
        <v>0.64</v>
      </c>
      <c r="D1791" s="21" t="s">
        <v>2701</v>
      </c>
      <c r="E1791" s="21" t="s">
        <v>714</v>
      </c>
      <c r="F1791" s="21" t="s">
        <v>784</v>
      </c>
    </row>
    <row r="1792" customFormat="false" ht="15" hidden="false" customHeight="false" outlineLevel="0" collapsed="false">
      <c r="B1792" s="19" t="s">
        <v>30262</v>
      </c>
      <c r="C1792" s="20" t="n">
        <f aca="false">ROUND(4.59/FX,2)</f>
        <v>0.64</v>
      </c>
      <c r="D1792" s="21" t="s">
        <v>11968</v>
      </c>
      <c r="E1792" s="21" t="s">
        <v>714</v>
      </c>
      <c r="F1792" s="21" t="s">
        <v>784</v>
      </c>
    </row>
    <row r="1793" customFormat="false" ht="15" hidden="false" customHeight="false" outlineLevel="0" collapsed="false">
      <c r="B1793" s="19" t="s">
        <v>30263</v>
      </c>
      <c r="C1793" s="20" t="n">
        <f aca="false">ROUND(4.82/FX,2)</f>
        <v>0.67</v>
      </c>
      <c r="D1793" s="21" t="s">
        <v>2851</v>
      </c>
      <c r="E1793" s="21" t="s">
        <v>714</v>
      </c>
      <c r="F1793" s="21" t="s">
        <v>784</v>
      </c>
    </row>
    <row r="1794" customFormat="false" ht="15" hidden="false" customHeight="false" outlineLevel="0" collapsed="false">
      <c r="B1794" s="19" t="s">
        <v>30264</v>
      </c>
      <c r="C1794" s="20" t="n">
        <f aca="false">ROUND(5.29/FX,2)</f>
        <v>0.73</v>
      </c>
      <c r="D1794" s="21" t="s">
        <v>6497</v>
      </c>
      <c r="E1794" s="21" t="s">
        <v>714</v>
      </c>
      <c r="F1794" s="21" t="s">
        <v>784</v>
      </c>
    </row>
    <row r="1795" customFormat="false" ht="15" hidden="false" customHeight="false" outlineLevel="0" collapsed="false">
      <c r="B1795" s="19" t="s">
        <v>30265</v>
      </c>
      <c r="C1795" s="20" t="n">
        <f aca="false">ROUND(5.29/FX,2)</f>
        <v>0.73</v>
      </c>
      <c r="D1795" s="21" t="s">
        <v>1048</v>
      </c>
      <c r="E1795" s="21" t="s">
        <v>714</v>
      </c>
      <c r="F1795" s="21" t="s">
        <v>784</v>
      </c>
    </row>
    <row r="1796" customFormat="false" ht="15" hidden="false" customHeight="false" outlineLevel="0" collapsed="false">
      <c r="B1796" s="19" t="s">
        <v>30266</v>
      </c>
      <c r="C1796" s="20" t="n">
        <f aca="false">ROUND(2.59/FX,2)</f>
        <v>0.36</v>
      </c>
      <c r="D1796" s="21" t="s">
        <v>3317</v>
      </c>
      <c r="E1796" s="21" t="s">
        <v>714</v>
      </c>
      <c r="F1796" s="21" t="s">
        <v>784</v>
      </c>
    </row>
    <row r="1797" customFormat="false" ht="15" hidden="false" customHeight="false" outlineLevel="0" collapsed="false">
      <c r="B1797" s="19" t="s">
        <v>30267</v>
      </c>
      <c r="C1797" s="20" t="n">
        <f aca="false">ROUND(2.72/FX,2)</f>
        <v>0.38</v>
      </c>
      <c r="D1797" s="21" t="s">
        <v>784</v>
      </c>
      <c r="E1797" s="21" t="s">
        <v>714</v>
      </c>
      <c r="F1797" s="21" t="s">
        <v>784</v>
      </c>
    </row>
    <row r="1798" customFormat="false" ht="15" hidden="false" customHeight="false" outlineLevel="0" collapsed="false">
      <c r="B1798" s="19" t="s">
        <v>30268</v>
      </c>
      <c r="C1798" s="20" t="n">
        <f aca="false">ROUND(15.03/FX,2)</f>
        <v>2.09</v>
      </c>
      <c r="D1798" s="21" t="s">
        <v>1520</v>
      </c>
      <c r="E1798" s="21" t="s">
        <v>714</v>
      </c>
      <c r="F1798" s="21" t="s">
        <v>784</v>
      </c>
    </row>
    <row r="1799" customFormat="false" ht="15" hidden="false" customHeight="false" outlineLevel="0" collapsed="false">
      <c r="B1799" s="19" t="s">
        <v>30269</v>
      </c>
      <c r="C1799" s="20" t="n">
        <f aca="false">ROUND(2.82/FX,2)</f>
        <v>0.39</v>
      </c>
      <c r="D1799" s="21" t="s">
        <v>3328</v>
      </c>
      <c r="E1799" s="21" t="s">
        <v>714</v>
      </c>
      <c r="F1799" s="21" t="s">
        <v>784</v>
      </c>
    </row>
    <row r="1800" customFormat="false" ht="15" hidden="false" customHeight="false" outlineLevel="0" collapsed="false">
      <c r="B1800" s="19" t="s">
        <v>30270</v>
      </c>
      <c r="C1800" s="20" t="n">
        <f aca="false">ROUND(2.95/FX,2)</f>
        <v>0.41</v>
      </c>
      <c r="D1800" s="21" t="s">
        <v>6246</v>
      </c>
      <c r="E1800" s="21" t="s">
        <v>714</v>
      </c>
      <c r="F1800" s="21" t="s">
        <v>784</v>
      </c>
    </row>
    <row r="1801" customFormat="false" ht="15" hidden="false" customHeight="false" outlineLevel="0" collapsed="false">
      <c r="B1801" s="19" t="s">
        <v>30271</v>
      </c>
      <c r="C1801" s="20" t="n">
        <f aca="false">ROUND(3.06/FX,2)</f>
        <v>0.43</v>
      </c>
      <c r="D1801" s="21" t="s">
        <v>7358</v>
      </c>
      <c r="E1801" s="21" t="s">
        <v>714</v>
      </c>
      <c r="F1801" s="21" t="s">
        <v>784</v>
      </c>
    </row>
    <row r="1802" customFormat="false" ht="15" hidden="false" customHeight="false" outlineLevel="0" collapsed="false">
      <c r="B1802" s="19" t="s">
        <v>30272</v>
      </c>
      <c r="C1802" s="20" t="n">
        <f aca="false">ROUND(3.19/FX,2)</f>
        <v>0.44</v>
      </c>
      <c r="D1802" s="21" t="s">
        <v>2911</v>
      </c>
      <c r="E1802" s="21" t="s">
        <v>714</v>
      </c>
      <c r="F1802" s="21" t="s">
        <v>784</v>
      </c>
    </row>
    <row r="1803" customFormat="false" ht="15" hidden="false" customHeight="false" outlineLevel="0" collapsed="false">
      <c r="B1803" s="19" t="s">
        <v>30273</v>
      </c>
      <c r="C1803" s="20" t="n">
        <f aca="false">ROUND(3.29/FX,2)</f>
        <v>0.46</v>
      </c>
      <c r="D1803" s="21" t="s">
        <v>7275</v>
      </c>
      <c r="E1803" s="21" t="s">
        <v>714</v>
      </c>
      <c r="F1803" s="21" t="s">
        <v>784</v>
      </c>
    </row>
    <row r="1804" customFormat="false" ht="15" hidden="false" customHeight="false" outlineLevel="0" collapsed="false">
      <c r="B1804" s="19" t="s">
        <v>30274</v>
      </c>
      <c r="C1804" s="20" t="n">
        <f aca="false">ROUND(3.42/FX,2)</f>
        <v>0.48</v>
      </c>
      <c r="D1804" s="21" t="s">
        <v>2961</v>
      </c>
      <c r="E1804" s="21" t="s">
        <v>714</v>
      </c>
      <c r="F1804" s="21" t="s">
        <v>784</v>
      </c>
    </row>
    <row r="1805" customFormat="false" ht="15" hidden="false" customHeight="false" outlineLevel="0" collapsed="false">
      <c r="B1805" s="19" t="s">
        <v>30275</v>
      </c>
      <c r="C1805" s="20" t="n">
        <f aca="false">ROUND(3.52/FX,2)</f>
        <v>0.49</v>
      </c>
      <c r="D1805" s="21" t="s">
        <v>13817</v>
      </c>
      <c r="E1805" s="21" t="s">
        <v>714</v>
      </c>
      <c r="F1805" s="21" t="s">
        <v>784</v>
      </c>
    </row>
    <row r="1806" customFormat="false" ht="15" hidden="false" customHeight="false" outlineLevel="0" collapsed="false">
      <c r="B1806" s="19" t="s">
        <v>30276</v>
      </c>
      <c r="C1806" s="20" t="n">
        <f aca="false">ROUND(3.65/FX,2)</f>
        <v>0.51</v>
      </c>
      <c r="D1806" s="21" t="s">
        <v>3011</v>
      </c>
      <c r="E1806" s="21" t="s">
        <v>714</v>
      </c>
      <c r="F1806" s="21" t="s">
        <v>784</v>
      </c>
    </row>
    <row r="1807" customFormat="false" ht="15" hidden="false" customHeight="false" outlineLevel="0" collapsed="false">
      <c r="B1807" s="19" t="s">
        <v>30277</v>
      </c>
      <c r="C1807" s="20" t="n">
        <f aca="false">ROUND(3.76/FX,2)</f>
        <v>0.52</v>
      </c>
      <c r="D1807" s="21" t="s">
        <v>7396</v>
      </c>
      <c r="E1807" s="21" t="s">
        <v>714</v>
      </c>
      <c r="F1807" s="21" t="s">
        <v>784</v>
      </c>
    </row>
    <row r="1808" customFormat="false" ht="15" hidden="false" customHeight="false" outlineLevel="0" collapsed="false">
      <c r="B1808" s="19" t="s">
        <v>30278</v>
      </c>
      <c r="C1808" s="20" t="n">
        <f aca="false">ROUND(3.89/FX,2)</f>
        <v>0.54</v>
      </c>
      <c r="D1808" s="21" t="s">
        <v>3061</v>
      </c>
      <c r="E1808" s="21" t="s">
        <v>714</v>
      </c>
      <c r="F1808" s="21" t="s">
        <v>784</v>
      </c>
    </row>
    <row r="1809" customFormat="false" ht="15" hidden="false" customHeight="false" outlineLevel="0" collapsed="false">
      <c r="B1809" s="19" t="s">
        <v>30279</v>
      </c>
      <c r="C1809" s="20" t="n">
        <f aca="false">ROUND(4.12/FX,2)</f>
        <v>0.57</v>
      </c>
      <c r="D1809" s="21" t="s">
        <v>11870</v>
      </c>
      <c r="E1809" s="21" t="s">
        <v>714</v>
      </c>
      <c r="F1809" s="21" t="s">
        <v>784</v>
      </c>
    </row>
    <row r="1810" customFormat="false" ht="15" hidden="false" customHeight="false" outlineLevel="0" collapsed="false">
      <c r="B1810" s="19" t="s">
        <v>30280</v>
      </c>
      <c r="C1810" s="20" t="n">
        <f aca="false">ROUND(4.23/FX,2)</f>
        <v>0.59</v>
      </c>
      <c r="D1810" s="21" t="s">
        <v>3111</v>
      </c>
      <c r="E1810" s="21" t="s">
        <v>714</v>
      </c>
      <c r="F1810" s="21" t="s">
        <v>784</v>
      </c>
    </row>
    <row r="1811" customFormat="false" ht="15" hidden="false" customHeight="false" outlineLevel="0" collapsed="false">
      <c r="B1811" s="19" t="s">
        <v>30281</v>
      </c>
      <c r="C1811" s="20" t="n">
        <f aca="false">ROUND(4.36/FX,2)</f>
        <v>0.61</v>
      </c>
      <c r="D1811" s="21" t="s">
        <v>12306</v>
      </c>
      <c r="E1811" s="21" t="s">
        <v>714</v>
      </c>
      <c r="F1811" s="21" t="s">
        <v>784</v>
      </c>
    </row>
    <row r="1812" customFormat="false" ht="15" hidden="false" customHeight="false" outlineLevel="0" collapsed="false">
      <c r="B1812" s="19" t="s">
        <v>30282</v>
      </c>
      <c r="C1812" s="20" t="n">
        <f aca="false">ROUND(5.53/FX,2)</f>
        <v>0.77</v>
      </c>
      <c r="D1812" s="21" t="s">
        <v>2600</v>
      </c>
      <c r="E1812" s="21" t="s">
        <v>29787</v>
      </c>
      <c r="F1812" s="21" t="s">
        <v>3328</v>
      </c>
    </row>
    <row r="1813" customFormat="false" ht="15" hidden="false" customHeight="false" outlineLevel="0" collapsed="false">
      <c r="B1813" s="19" t="s">
        <v>30283</v>
      </c>
      <c r="C1813" s="20" t="n">
        <f aca="false">ROUND(5.64/FX,2)</f>
        <v>0.78</v>
      </c>
      <c r="D1813" s="21" t="s">
        <v>2651</v>
      </c>
      <c r="E1813" s="21" t="s">
        <v>29787</v>
      </c>
      <c r="F1813" s="21" t="s">
        <v>3328</v>
      </c>
    </row>
    <row r="1814" customFormat="false" ht="15" hidden="false" customHeight="false" outlineLevel="0" collapsed="false">
      <c r="B1814" s="19" t="s">
        <v>30284</v>
      </c>
      <c r="C1814" s="20" t="n">
        <f aca="false">ROUND(6.46/FX,2)</f>
        <v>0.9</v>
      </c>
      <c r="D1814" s="21" t="s">
        <v>2701</v>
      </c>
      <c r="E1814" s="21" t="s">
        <v>29787</v>
      </c>
      <c r="F1814" s="21" t="s">
        <v>3328</v>
      </c>
    </row>
    <row r="1815" customFormat="false" ht="15" hidden="false" customHeight="false" outlineLevel="0" collapsed="false">
      <c r="B1815" s="19" t="s">
        <v>30285</v>
      </c>
      <c r="C1815" s="20" t="n">
        <f aca="false">ROUND(6.46/FX,2)</f>
        <v>0.9</v>
      </c>
      <c r="D1815" s="21" t="s">
        <v>11968</v>
      </c>
      <c r="E1815" s="21" t="s">
        <v>29787</v>
      </c>
      <c r="F1815" s="21" t="s">
        <v>3328</v>
      </c>
    </row>
    <row r="1816" customFormat="false" ht="15" hidden="false" customHeight="false" outlineLevel="0" collapsed="false">
      <c r="B1816" s="19" t="s">
        <v>30286</v>
      </c>
      <c r="C1816" s="20" t="n">
        <f aca="false">ROUND(7.28/FX,2)</f>
        <v>1.01</v>
      </c>
      <c r="D1816" s="21" t="s">
        <v>2851</v>
      </c>
      <c r="E1816" s="21" t="s">
        <v>29787</v>
      </c>
      <c r="F1816" s="21" t="s">
        <v>3328</v>
      </c>
    </row>
    <row r="1817" customFormat="false" ht="15" hidden="false" customHeight="false" outlineLevel="0" collapsed="false">
      <c r="B1817" s="19" t="s">
        <v>30287</v>
      </c>
      <c r="C1817" s="20" t="n">
        <f aca="false">ROUND(8.35/FX,2)</f>
        <v>1.16</v>
      </c>
      <c r="D1817" s="21" t="s">
        <v>6497</v>
      </c>
      <c r="E1817" s="21" t="s">
        <v>29787</v>
      </c>
      <c r="F1817" s="21" t="s">
        <v>3328</v>
      </c>
    </row>
    <row r="1818" customFormat="false" ht="15" hidden="false" customHeight="false" outlineLevel="0" collapsed="false">
      <c r="B1818" s="19" t="s">
        <v>30288</v>
      </c>
      <c r="C1818" s="20" t="n">
        <f aca="false">ROUND(9.39/FX,2)</f>
        <v>1.3</v>
      </c>
      <c r="D1818" s="21" t="s">
        <v>1048</v>
      </c>
      <c r="E1818" s="21" t="s">
        <v>29787</v>
      </c>
      <c r="F1818" s="21" t="s">
        <v>3328</v>
      </c>
    </row>
    <row r="1819" customFormat="false" ht="15" hidden="false" customHeight="false" outlineLevel="0" collapsed="false">
      <c r="B1819" s="19" t="s">
        <v>30289</v>
      </c>
      <c r="C1819" s="20" t="n">
        <f aca="false">ROUND(12.34/FX,2)</f>
        <v>1.71</v>
      </c>
      <c r="D1819" s="21" t="s">
        <v>1323</v>
      </c>
      <c r="E1819" s="21" t="s">
        <v>29787</v>
      </c>
      <c r="F1819" s="21" t="s">
        <v>3328</v>
      </c>
    </row>
    <row r="1820" customFormat="false" ht="15" hidden="false" customHeight="false" outlineLevel="0" collapsed="false">
      <c r="B1820" s="19" t="s">
        <v>30290</v>
      </c>
      <c r="C1820" s="20" t="n">
        <f aca="false">ROUND(18.77/FX,2)</f>
        <v>2.61</v>
      </c>
      <c r="D1820" s="21" t="s">
        <v>1520</v>
      </c>
      <c r="E1820" s="21" t="s">
        <v>29787</v>
      </c>
      <c r="F1820" s="21" t="s">
        <v>3328</v>
      </c>
    </row>
    <row r="1821" customFormat="false" ht="15" hidden="false" customHeight="false" outlineLevel="0" collapsed="false">
      <c r="B1821" s="19" t="s">
        <v>30291</v>
      </c>
      <c r="C1821" s="20" t="n">
        <f aca="false">ROUND(3.06/FX,2)</f>
        <v>0.43</v>
      </c>
      <c r="D1821" s="21" t="s">
        <v>3328</v>
      </c>
      <c r="E1821" s="21" t="s">
        <v>29787</v>
      </c>
      <c r="F1821" s="21" t="s">
        <v>3328</v>
      </c>
    </row>
    <row r="1822" customFormat="false" ht="15" hidden="false" customHeight="false" outlineLevel="0" collapsed="false">
      <c r="B1822" s="19" t="s">
        <v>30292</v>
      </c>
      <c r="C1822" s="20" t="n">
        <f aca="false">ROUND(3.19/FX,2)</f>
        <v>0.44</v>
      </c>
      <c r="D1822" s="21" t="s">
        <v>6246</v>
      </c>
      <c r="E1822" s="21" t="s">
        <v>29787</v>
      </c>
      <c r="F1822" s="21" t="s">
        <v>3328</v>
      </c>
    </row>
    <row r="1823" customFormat="false" ht="15" hidden="false" customHeight="false" outlineLevel="0" collapsed="false">
      <c r="B1823" s="19" t="s">
        <v>30293</v>
      </c>
      <c r="C1823" s="20" t="n">
        <f aca="false">ROUND(3.29/FX,2)</f>
        <v>0.46</v>
      </c>
      <c r="D1823" s="21" t="s">
        <v>7358</v>
      </c>
      <c r="E1823" s="21" t="s">
        <v>29787</v>
      </c>
      <c r="F1823" s="21" t="s">
        <v>3328</v>
      </c>
    </row>
    <row r="1824" customFormat="false" ht="15" hidden="false" customHeight="false" outlineLevel="0" collapsed="false">
      <c r="B1824" s="19" t="s">
        <v>30294</v>
      </c>
      <c r="C1824" s="20" t="n">
        <f aca="false">ROUND(3.42/FX,2)</f>
        <v>0.48</v>
      </c>
      <c r="D1824" s="21" t="s">
        <v>2911</v>
      </c>
      <c r="E1824" s="21" t="s">
        <v>29787</v>
      </c>
      <c r="F1824" s="21" t="s">
        <v>3328</v>
      </c>
    </row>
    <row r="1825" customFormat="false" ht="15" hidden="false" customHeight="false" outlineLevel="0" collapsed="false">
      <c r="B1825" s="19" t="s">
        <v>30295</v>
      </c>
      <c r="C1825" s="20" t="n">
        <f aca="false">ROUND(3.52/FX,2)</f>
        <v>0.49</v>
      </c>
      <c r="D1825" s="21" t="s">
        <v>7275</v>
      </c>
      <c r="E1825" s="21" t="s">
        <v>29787</v>
      </c>
      <c r="F1825" s="21" t="s">
        <v>3328</v>
      </c>
    </row>
    <row r="1826" customFormat="false" ht="15" hidden="false" customHeight="false" outlineLevel="0" collapsed="false">
      <c r="B1826" s="19" t="s">
        <v>30296</v>
      </c>
      <c r="C1826" s="20" t="n">
        <f aca="false">ROUND(3.76/FX,2)</f>
        <v>0.52</v>
      </c>
      <c r="D1826" s="21" t="s">
        <v>2961</v>
      </c>
      <c r="E1826" s="21" t="s">
        <v>29787</v>
      </c>
      <c r="F1826" s="21" t="s">
        <v>3328</v>
      </c>
    </row>
    <row r="1827" customFormat="false" ht="15" hidden="false" customHeight="false" outlineLevel="0" collapsed="false">
      <c r="B1827" s="19" t="s">
        <v>30297</v>
      </c>
      <c r="C1827" s="20" t="n">
        <f aca="false">ROUND(3.89/FX,2)</f>
        <v>0.54</v>
      </c>
      <c r="D1827" s="21" t="s">
        <v>13817</v>
      </c>
      <c r="E1827" s="21" t="s">
        <v>29787</v>
      </c>
      <c r="F1827" s="21" t="s">
        <v>3328</v>
      </c>
    </row>
    <row r="1828" customFormat="false" ht="15" hidden="false" customHeight="false" outlineLevel="0" collapsed="false">
      <c r="B1828" s="19" t="s">
        <v>30298</v>
      </c>
      <c r="C1828" s="20" t="n">
        <f aca="false">ROUND(4.12/FX,2)</f>
        <v>0.57</v>
      </c>
      <c r="D1828" s="21" t="s">
        <v>3011</v>
      </c>
      <c r="E1828" s="21" t="s">
        <v>29787</v>
      </c>
      <c r="F1828" s="21" t="s">
        <v>3328</v>
      </c>
    </row>
    <row r="1829" customFormat="false" ht="15" hidden="false" customHeight="false" outlineLevel="0" collapsed="false">
      <c r="B1829" s="19" t="s">
        <v>30299</v>
      </c>
      <c r="C1829" s="20" t="n">
        <f aca="false">ROUND(4.36/FX,2)</f>
        <v>0.61</v>
      </c>
      <c r="D1829" s="21" t="s">
        <v>7396</v>
      </c>
      <c r="E1829" s="21" t="s">
        <v>29787</v>
      </c>
      <c r="F1829" s="21" t="s">
        <v>3328</v>
      </c>
    </row>
    <row r="1830" customFormat="false" ht="15" hidden="false" customHeight="false" outlineLevel="0" collapsed="false">
      <c r="B1830" s="19" t="s">
        <v>30300</v>
      </c>
      <c r="C1830" s="20" t="n">
        <f aca="false">ROUND(4.59/FX,2)</f>
        <v>0.64</v>
      </c>
      <c r="D1830" s="21" t="s">
        <v>3061</v>
      </c>
      <c r="E1830" s="21" t="s">
        <v>29787</v>
      </c>
      <c r="F1830" s="21" t="s">
        <v>3328</v>
      </c>
    </row>
    <row r="1831" customFormat="false" ht="15" hidden="false" customHeight="false" outlineLevel="0" collapsed="false">
      <c r="B1831" s="19" t="s">
        <v>30301</v>
      </c>
      <c r="C1831" s="20" t="n">
        <f aca="false">ROUND(4.82/FX,2)</f>
        <v>0.67</v>
      </c>
      <c r="D1831" s="21" t="s">
        <v>11870</v>
      </c>
      <c r="E1831" s="21" t="s">
        <v>29787</v>
      </c>
      <c r="F1831" s="21" t="s">
        <v>3328</v>
      </c>
    </row>
    <row r="1832" customFormat="false" ht="15" hidden="false" customHeight="false" outlineLevel="0" collapsed="false">
      <c r="B1832" s="19" t="s">
        <v>30302</v>
      </c>
      <c r="C1832" s="20" t="n">
        <f aca="false">ROUND(5.06/FX,2)</f>
        <v>0.7</v>
      </c>
      <c r="D1832" s="21" t="s">
        <v>3111</v>
      </c>
      <c r="E1832" s="21" t="s">
        <v>29787</v>
      </c>
      <c r="F1832" s="21" t="s">
        <v>3328</v>
      </c>
    </row>
    <row r="1833" customFormat="false" ht="15" hidden="false" customHeight="false" outlineLevel="0" collapsed="false">
      <c r="B1833" s="19" t="s">
        <v>30303</v>
      </c>
      <c r="C1833" s="20" t="n">
        <f aca="false">ROUND(5.53/FX,2)</f>
        <v>0.77</v>
      </c>
      <c r="D1833" s="21" t="s">
        <v>12306</v>
      </c>
      <c r="E1833" s="21" t="s">
        <v>29787</v>
      </c>
      <c r="F1833" s="21" t="s">
        <v>3328</v>
      </c>
    </row>
    <row r="1834" customFormat="false" ht="15" hidden="false" customHeight="false" outlineLevel="0" collapsed="false">
      <c r="B1834" s="19" t="s">
        <v>30304</v>
      </c>
      <c r="C1834" s="20" t="n">
        <f aca="false">ROUND(6.93/FX,2)</f>
        <v>0.96</v>
      </c>
      <c r="D1834" s="21" t="s">
        <v>2600</v>
      </c>
      <c r="E1834" s="21" t="s">
        <v>3247</v>
      </c>
      <c r="F1834" s="21" t="s">
        <v>6246</v>
      </c>
    </row>
    <row r="1835" customFormat="false" ht="15" hidden="false" customHeight="false" outlineLevel="0" collapsed="false">
      <c r="B1835" s="19" t="s">
        <v>30305</v>
      </c>
      <c r="C1835" s="20" t="n">
        <f aca="false">ROUND(8.68/FX,2)</f>
        <v>1.21</v>
      </c>
      <c r="D1835" s="21" t="s">
        <v>2651</v>
      </c>
      <c r="E1835" s="21" t="s">
        <v>3247</v>
      </c>
      <c r="F1835" s="21" t="s">
        <v>6246</v>
      </c>
    </row>
    <row r="1836" customFormat="false" ht="15" hidden="false" customHeight="false" outlineLevel="0" collapsed="false">
      <c r="B1836" s="19" t="s">
        <v>30306</v>
      </c>
      <c r="C1836" s="20" t="n">
        <f aca="false">ROUND(15.24/FX,2)</f>
        <v>2.12</v>
      </c>
      <c r="D1836" s="21" t="s">
        <v>2701</v>
      </c>
      <c r="E1836" s="21" t="s">
        <v>3247</v>
      </c>
      <c r="F1836" s="21" t="s">
        <v>6246</v>
      </c>
    </row>
    <row r="1837" customFormat="false" ht="15" hidden="false" customHeight="false" outlineLevel="0" collapsed="false">
      <c r="B1837" s="19" t="s">
        <v>30307</v>
      </c>
      <c r="C1837" s="20" t="n">
        <f aca="false">ROUND(8.68/FX,2)</f>
        <v>1.21</v>
      </c>
      <c r="D1837" s="21" t="s">
        <v>11968</v>
      </c>
      <c r="E1837" s="21" t="s">
        <v>3247</v>
      </c>
      <c r="F1837" s="21" t="s">
        <v>6246</v>
      </c>
    </row>
    <row r="1838" customFormat="false" ht="15" hidden="false" customHeight="false" outlineLevel="0" collapsed="false">
      <c r="B1838" s="19" t="s">
        <v>30308</v>
      </c>
      <c r="C1838" s="20" t="n">
        <f aca="false">ROUND(10.34/FX,2)</f>
        <v>1.44</v>
      </c>
      <c r="D1838" s="21" t="s">
        <v>2751</v>
      </c>
      <c r="E1838" s="21" t="s">
        <v>3247</v>
      </c>
      <c r="F1838" s="21" t="s">
        <v>6246</v>
      </c>
    </row>
    <row r="1839" customFormat="false" ht="15" hidden="false" customHeight="false" outlineLevel="0" collapsed="false">
      <c r="B1839" s="19" t="s">
        <v>30309</v>
      </c>
      <c r="C1839" s="20" t="n">
        <f aca="false">ROUND(10.34/FX,2)</f>
        <v>1.44</v>
      </c>
      <c r="D1839" s="21" t="s">
        <v>2801</v>
      </c>
      <c r="E1839" s="21" t="s">
        <v>3247</v>
      </c>
      <c r="F1839" s="21" t="s">
        <v>6246</v>
      </c>
    </row>
    <row r="1840" customFormat="false" ht="15" hidden="false" customHeight="false" outlineLevel="0" collapsed="false">
      <c r="B1840" s="19" t="s">
        <v>30310</v>
      </c>
      <c r="C1840" s="20" t="n">
        <f aca="false">ROUND(10.34/FX,2)</f>
        <v>1.44</v>
      </c>
      <c r="D1840" s="21" t="s">
        <v>2851</v>
      </c>
      <c r="E1840" s="21" t="s">
        <v>3247</v>
      </c>
      <c r="F1840" s="21" t="s">
        <v>6246</v>
      </c>
    </row>
    <row r="1841" customFormat="false" ht="15" hidden="false" customHeight="false" outlineLevel="0" collapsed="false">
      <c r="B1841" s="19" t="s">
        <v>30311</v>
      </c>
      <c r="C1841" s="20" t="n">
        <f aca="false">ROUND(11.74/FX,2)</f>
        <v>1.63</v>
      </c>
      <c r="D1841" s="21" t="s">
        <v>6497</v>
      </c>
      <c r="E1841" s="21" t="s">
        <v>3247</v>
      </c>
      <c r="F1841" s="21" t="s">
        <v>6246</v>
      </c>
    </row>
    <row r="1842" customFormat="false" ht="15" hidden="false" customHeight="false" outlineLevel="0" collapsed="false">
      <c r="B1842" s="19" t="s">
        <v>30312</v>
      </c>
      <c r="C1842" s="20" t="n">
        <f aca="false">ROUND(13.27/FX,2)</f>
        <v>1.84</v>
      </c>
      <c r="D1842" s="21" t="s">
        <v>1048</v>
      </c>
      <c r="E1842" s="21" t="s">
        <v>3247</v>
      </c>
      <c r="F1842" s="21" t="s">
        <v>6246</v>
      </c>
    </row>
    <row r="1843" customFormat="false" ht="15" hidden="false" customHeight="false" outlineLevel="0" collapsed="false">
      <c r="B1843" s="19" t="s">
        <v>30313</v>
      </c>
      <c r="C1843" s="20" t="n">
        <f aca="false">ROUND(18.28/FX,2)</f>
        <v>2.54</v>
      </c>
      <c r="D1843" s="21" t="s">
        <v>3991</v>
      </c>
      <c r="E1843" s="21" t="s">
        <v>3247</v>
      </c>
      <c r="F1843" s="21" t="s">
        <v>6246</v>
      </c>
    </row>
    <row r="1844" customFormat="false" ht="15" hidden="false" customHeight="false" outlineLevel="0" collapsed="false">
      <c r="B1844" s="19" t="s">
        <v>30314</v>
      </c>
      <c r="C1844" s="20" t="n">
        <f aca="false">ROUND(14.56/FX,2)</f>
        <v>2.02</v>
      </c>
      <c r="D1844" s="21" t="s">
        <v>1323</v>
      </c>
      <c r="E1844" s="21" t="s">
        <v>3247</v>
      </c>
      <c r="F1844" s="21" t="s">
        <v>6246</v>
      </c>
    </row>
    <row r="1845" customFormat="false" ht="15" hidden="false" customHeight="false" outlineLevel="0" collapsed="false">
      <c r="B1845" s="19" t="s">
        <v>30315</v>
      </c>
      <c r="C1845" s="20" t="n">
        <f aca="false">ROUND(22.88/FX,2)</f>
        <v>3.18</v>
      </c>
      <c r="D1845" s="21" t="s">
        <v>4883</v>
      </c>
      <c r="E1845" s="21" t="s">
        <v>3247</v>
      </c>
      <c r="F1845" s="21" t="s">
        <v>6246</v>
      </c>
    </row>
    <row r="1846" customFormat="false" ht="15" hidden="false" customHeight="false" outlineLevel="0" collapsed="false">
      <c r="B1846" s="19" t="s">
        <v>30316</v>
      </c>
      <c r="C1846" s="20" t="n">
        <f aca="false">ROUND(30.05/FX,2)</f>
        <v>4.17</v>
      </c>
      <c r="D1846" s="21" t="s">
        <v>1520</v>
      </c>
      <c r="E1846" s="21" t="s">
        <v>3247</v>
      </c>
      <c r="F1846" s="21" t="s">
        <v>6246</v>
      </c>
    </row>
    <row r="1847" customFormat="false" ht="15" hidden="false" customHeight="false" outlineLevel="0" collapsed="false">
      <c r="B1847" s="19" t="s">
        <v>30317</v>
      </c>
      <c r="C1847" s="20" t="n">
        <f aca="false">ROUND(4.93/FX,2)</f>
        <v>0.68</v>
      </c>
      <c r="D1847" s="21" t="s">
        <v>6246</v>
      </c>
      <c r="E1847" s="21" t="s">
        <v>3247</v>
      </c>
      <c r="F1847" s="21" t="s">
        <v>6246</v>
      </c>
    </row>
    <row r="1848" customFormat="false" ht="15" hidden="false" customHeight="false" outlineLevel="0" collapsed="false">
      <c r="B1848" s="19" t="s">
        <v>30318</v>
      </c>
      <c r="C1848" s="20" t="n">
        <f aca="false">ROUND(5.18/FX,2)</f>
        <v>0.72</v>
      </c>
      <c r="D1848" s="21" t="s">
        <v>7358</v>
      </c>
      <c r="E1848" s="21" t="s">
        <v>3247</v>
      </c>
      <c r="F1848" s="21" t="s">
        <v>6246</v>
      </c>
    </row>
    <row r="1849" customFormat="false" ht="15" hidden="false" customHeight="false" outlineLevel="0" collapsed="false">
      <c r="B1849" s="19" t="s">
        <v>30319</v>
      </c>
      <c r="C1849" s="20" t="n">
        <f aca="false">ROUND(5.29/FX,2)</f>
        <v>0.73</v>
      </c>
      <c r="D1849" s="21" t="s">
        <v>2911</v>
      </c>
      <c r="E1849" s="21" t="s">
        <v>3247</v>
      </c>
      <c r="F1849" s="21" t="s">
        <v>6246</v>
      </c>
    </row>
    <row r="1850" customFormat="false" ht="15" hidden="false" customHeight="false" outlineLevel="0" collapsed="false">
      <c r="B1850" s="19" t="s">
        <v>30320</v>
      </c>
      <c r="C1850" s="20" t="n">
        <f aca="false">ROUND(5.41/FX,2)</f>
        <v>0.75</v>
      </c>
      <c r="D1850" s="21" t="s">
        <v>7275</v>
      </c>
      <c r="E1850" s="21" t="s">
        <v>3247</v>
      </c>
      <c r="F1850" s="21" t="s">
        <v>6246</v>
      </c>
    </row>
    <row r="1851" customFormat="false" ht="15" hidden="false" customHeight="false" outlineLevel="0" collapsed="false">
      <c r="B1851" s="19" t="s">
        <v>30321</v>
      </c>
      <c r="C1851" s="20" t="n">
        <f aca="false">ROUND(5.64/FX,2)</f>
        <v>0.78</v>
      </c>
      <c r="D1851" s="21" t="s">
        <v>2961</v>
      </c>
      <c r="E1851" s="21" t="s">
        <v>3247</v>
      </c>
      <c r="F1851" s="21" t="s">
        <v>6246</v>
      </c>
    </row>
    <row r="1852" customFormat="false" ht="15" hidden="false" customHeight="false" outlineLevel="0" collapsed="false">
      <c r="B1852" s="19" t="s">
        <v>30322</v>
      </c>
      <c r="C1852" s="20" t="n">
        <f aca="false">ROUND(5.76/FX,2)</f>
        <v>0.8</v>
      </c>
      <c r="D1852" s="21" t="s">
        <v>13817</v>
      </c>
      <c r="E1852" s="21" t="s">
        <v>3247</v>
      </c>
      <c r="F1852" s="21" t="s">
        <v>6246</v>
      </c>
    </row>
    <row r="1853" customFormat="false" ht="15" hidden="false" customHeight="false" outlineLevel="0" collapsed="false">
      <c r="B1853" s="19" t="s">
        <v>30323</v>
      </c>
      <c r="C1853" s="20" t="n">
        <f aca="false">ROUND(5.88/FX,2)</f>
        <v>0.82</v>
      </c>
      <c r="D1853" s="21" t="s">
        <v>3011</v>
      </c>
      <c r="E1853" s="21" t="s">
        <v>3247</v>
      </c>
      <c r="F1853" s="21" t="s">
        <v>6246</v>
      </c>
    </row>
    <row r="1854" customFormat="false" ht="15" hidden="false" customHeight="false" outlineLevel="0" collapsed="false">
      <c r="B1854" s="19" t="s">
        <v>30324</v>
      </c>
      <c r="C1854" s="20" t="n">
        <f aca="false">ROUND(6.23/FX,2)</f>
        <v>0.87</v>
      </c>
      <c r="D1854" s="21" t="s">
        <v>7396</v>
      </c>
      <c r="E1854" s="21" t="s">
        <v>3247</v>
      </c>
      <c r="F1854" s="21" t="s">
        <v>6246</v>
      </c>
    </row>
    <row r="1855" customFormat="false" ht="15" hidden="false" customHeight="false" outlineLevel="0" collapsed="false">
      <c r="B1855" s="19" t="s">
        <v>30325</v>
      </c>
      <c r="C1855" s="20" t="n">
        <f aca="false">ROUND(6.46/FX,2)</f>
        <v>0.9</v>
      </c>
      <c r="D1855" s="21" t="s">
        <v>3061</v>
      </c>
      <c r="E1855" s="21" t="s">
        <v>3247</v>
      </c>
      <c r="F1855" s="21" t="s">
        <v>6246</v>
      </c>
    </row>
    <row r="1856" customFormat="false" ht="15" hidden="false" customHeight="false" outlineLevel="0" collapsed="false">
      <c r="B1856" s="19" t="s">
        <v>30326</v>
      </c>
      <c r="C1856" s="20" t="n">
        <f aca="false">ROUND(6.58/FX,2)</f>
        <v>0.91</v>
      </c>
      <c r="D1856" s="21" t="s">
        <v>11870</v>
      </c>
      <c r="E1856" s="21" t="s">
        <v>3247</v>
      </c>
      <c r="F1856" s="21" t="s">
        <v>6246</v>
      </c>
    </row>
    <row r="1857" customFormat="false" ht="15" hidden="false" customHeight="false" outlineLevel="0" collapsed="false">
      <c r="B1857" s="19" t="s">
        <v>30327</v>
      </c>
      <c r="C1857" s="20" t="n">
        <f aca="false">ROUND(6.7/FX,2)</f>
        <v>0.93</v>
      </c>
      <c r="D1857" s="21" t="s">
        <v>3111</v>
      </c>
      <c r="E1857" s="21" t="s">
        <v>3247</v>
      </c>
      <c r="F1857" s="21" t="s">
        <v>6246</v>
      </c>
    </row>
    <row r="1858" customFormat="false" ht="15" hidden="false" customHeight="false" outlineLevel="0" collapsed="false">
      <c r="B1858" s="19" t="s">
        <v>30328</v>
      </c>
      <c r="C1858" s="20" t="n">
        <f aca="false">ROUND(6.93/FX,2)</f>
        <v>0.96</v>
      </c>
      <c r="D1858" s="21" t="s">
        <v>12306</v>
      </c>
      <c r="E1858" s="21" t="s">
        <v>3247</v>
      </c>
      <c r="F1858" s="21" t="s">
        <v>6246</v>
      </c>
    </row>
    <row r="1859" customFormat="false" ht="15" hidden="false" customHeight="false" outlineLevel="0" collapsed="false">
      <c r="B1859" s="19" t="s">
        <v>30329</v>
      </c>
      <c r="C1859" s="20" t="n">
        <f aca="false">ROUND(12.3/FX,2)</f>
        <v>1.71</v>
      </c>
      <c r="D1859" s="21" t="s">
        <v>2600</v>
      </c>
      <c r="E1859" s="21" t="s">
        <v>3317</v>
      </c>
      <c r="F1859" s="21" t="s">
        <v>2911</v>
      </c>
    </row>
    <row r="1860" customFormat="false" ht="15" hidden="false" customHeight="false" outlineLevel="0" collapsed="false">
      <c r="B1860" s="19" t="s">
        <v>30330</v>
      </c>
      <c r="C1860" s="20" t="n">
        <f aca="false">ROUND(18.77/FX,2)</f>
        <v>2.61</v>
      </c>
      <c r="D1860" s="21" t="s">
        <v>2651</v>
      </c>
      <c r="E1860" s="21" t="s">
        <v>3317</v>
      </c>
      <c r="F1860" s="21" t="s">
        <v>2911</v>
      </c>
    </row>
    <row r="1861" customFormat="false" ht="15" hidden="false" customHeight="false" outlineLevel="0" collapsed="false">
      <c r="B1861" s="19" t="s">
        <v>30331</v>
      </c>
      <c r="C1861" s="20" t="n">
        <f aca="false">ROUND(21.74/FX,2)</f>
        <v>3.02</v>
      </c>
      <c r="D1861" s="21" t="s">
        <v>2701</v>
      </c>
      <c r="E1861" s="21" t="s">
        <v>3317</v>
      </c>
      <c r="F1861" s="21" t="s">
        <v>2911</v>
      </c>
    </row>
    <row r="1862" customFormat="false" ht="15" hidden="false" customHeight="false" outlineLevel="0" collapsed="false">
      <c r="B1862" s="19" t="s">
        <v>30332</v>
      </c>
      <c r="C1862" s="20" t="n">
        <f aca="false">ROUND(23.06/FX,2)</f>
        <v>3.2</v>
      </c>
      <c r="D1862" s="21" t="s">
        <v>11968</v>
      </c>
      <c r="E1862" s="21" t="s">
        <v>3317</v>
      </c>
      <c r="F1862" s="21" t="s">
        <v>2911</v>
      </c>
    </row>
    <row r="1863" customFormat="false" ht="15" hidden="false" customHeight="false" outlineLevel="0" collapsed="false">
      <c r="B1863" s="19" t="s">
        <v>30333</v>
      </c>
      <c r="C1863" s="20" t="n">
        <f aca="false">ROUND(24.2/FX,2)</f>
        <v>3.36</v>
      </c>
      <c r="D1863" s="21" t="s">
        <v>2751</v>
      </c>
      <c r="E1863" s="21" t="s">
        <v>3317</v>
      </c>
      <c r="F1863" s="21" t="s">
        <v>2911</v>
      </c>
    </row>
    <row r="1864" customFormat="false" ht="15" hidden="false" customHeight="false" outlineLevel="0" collapsed="false">
      <c r="B1864" s="19" t="s">
        <v>30334</v>
      </c>
      <c r="C1864" s="20" t="n">
        <f aca="false">ROUND(24.42/FX,2)</f>
        <v>3.39</v>
      </c>
      <c r="D1864" s="21" t="s">
        <v>2801</v>
      </c>
      <c r="E1864" s="21" t="s">
        <v>3317</v>
      </c>
      <c r="F1864" s="21" t="s">
        <v>2911</v>
      </c>
    </row>
    <row r="1865" customFormat="false" ht="15" hidden="false" customHeight="false" outlineLevel="0" collapsed="false">
      <c r="B1865" s="19" t="s">
        <v>30335</v>
      </c>
      <c r="C1865" s="20" t="n">
        <f aca="false">ROUND(26.29/FX,2)</f>
        <v>3.65</v>
      </c>
      <c r="D1865" s="21" t="s">
        <v>2851</v>
      </c>
      <c r="E1865" s="21" t="s">
        <v>3317</v>
      </c>
      <c r="F1865" s="21" t="s">
        <v>2911</v>
      </c>
    </row>
    <row r="1866" customFormat="false" ht="15" hidden="false" customHeight="false" outlineLevel="0" collapsed="false">
      <c r="B1866" s="19" t="s">
        <v>30336</v>
      </c>
      <c r="C1866" s="20" t="n">
        <f aca="false">ROUND(28.16/FX,2)</f>
        <v>3.91</v>
      </c>
      <c r="D1866" s="21" t="s">
        <v>6497</v>
      </c>
      <c r="E1866" s="21" t="s">
        <v>3317</v>
      </c>
      <c r="F1866" s="21" t="s">
        <v>2911</v>
      </c>
    </row>
    <row r="1867" customFormat="false" ht="15" hidden="false" customHeight="false" outlineLevel="0" collapsed="false">
      <c r="B1867" s="19" t="s">
        <v>30337</v>
      </c>
      <c r="C1867" s="20" t="n">
        <f aca="false">ROUND(30.05/FX,2)</f>
        <v>4.17</v>
      </c>
      <c r="D1867" s="21" t="s">
        <v>1048</v>
      </c>
      <c r="E1867" s="21" t="s">
        <v>3317</v>
      </c>
      <c r="F1867" s="21" t="s">
        <v>2911</v>
      </c>
    </row>
    <row r="1868" customFormat="false" ht="15" hidden="false" customHeight="false" outlineLevel="0" collapsed="false">
      <c r="B1868" s="19" t="s">
        <v>30338</v>
      </c>
      <c r="C1868" s="20" t="n">
        <f aca="false">ROUND(31.92/FX,2)</f>
        <v>4.43</v>
      </c>
      <c r="D1868" s="21" t="s">
        <v>3991</v>
      </c>
      <c r="E1868" s="21" t="s">
        <v>3317</v>
      </c>
      <c r="F1868" s="21" t="s">
        <v>2911</v>
      </c>
    </row>
    <row r="1869" customFormat="false" ht="15" hidden="false" customHeight="false" outlineLevel="0" collapsed="false">
      <c r="B1869" s="19" t="s">
        <v>30339</v>
      </c>
      <c r="C1869" s="20" t="n">
        <f aca="false">ROUND(33.8/FX,2)</f>
        <v>4.69</v>
      </c>
      <c r="D1869" s="21" t="s">
        <v>1323</v>
      </c>
      <c r="E1869" s="21" t="s">
        <v>3317</v>
      </c>
      <c r="F1869" s="21" t="s">
        <v>2911</v>
      </c>
    </row>
    <row r="1870" customFormat="false" ht="15" hidden="false" customHeight="false" outlineLevel="0" collapsed="false">
      <c r="B1870" s="19" t="s">
        <v>30340</v>
      </c>
      <c r="C1870" s="20" t="n">
        <f aca="false">ROUND(37.55/FX,2)</f>
        <v>5.22</v>
      </c>
      <c r="D1870" s="21" t="s">
        <v>4883</v>
      </c>
      <c r="E1870" s="21" t="s">
        <v>3317</v>
      </c>
      <c r="F1870" s="21" t="s">
        <v>2911</v>
      </c>
    </row>
    <row r="1871" customFormat="false" ht="15" hidden="false" customHeight="false" outlineLevel="0" collapsed="false">
      <c r="B1871" s="19" t="s">
        <v>30341</v>
      </c>
      <c r="C1871" s="20" t="n">
        <f aca="false">ROUND(45.06/FX,2)</f>
        <v>6.26</v>
      </c>
      <c r="D1871" s="21" t="s">
        <v>1520</v>
      </c>
      <c r="E1871" s="21" t="s">
        <v>3317</v>
      </c>
      <c r="F1871" s="21" t="s">
        <v>2911</v>
      </c>
    </row>
    <row r="1872" customFormat="false" ht="15" hidden="false" customHeight="false" outlineLevel="0" collapsed="false">
      <c r="B1872" s="19" t="s">
        <v>30342</v>
      </c>
      <c r="C1872" s="20" t="n">
        <f aca="false">ROUND(8.63/FX,2)</f>
        <v>1.2</v>
      </c>
      <c r="D1872" s="21" t="s">
        <v>2911</v>
      </c>
      <c r="E1872" s="21" t="s">
        <v>3317</v>
      </c>
      <c r="F1872" s="21" t="s">
        <v>2911</v>
      </c>
    </row>
    <row r="1873" customFormat="false" ht="15" hidden="false" customHeight="false" outlineLevel="0" collapsed="false">
      <c r="B1873" s="19" t="s">
        <v>30343</v>
      </c>
      <c r="C1873" s="20" t="n">
        <f aca="false">ROUND(8.52/FX,2)</f>
        <v>1.18</v>
      </c>
      <c r="D1873" s="21" t="s">
        <v>7275</v>
      </c>
      <c r="E1873" s="21" t="s">
        <v>3317</v>
      </c>
      <c r="F1873" s="21" t="s">
        <v>2911</v>
      </c>
    </row>
    <row r="1874" customFormat="false" ht="15" hidden="false" customHeight="false" outlineLevel="0" collapsed="false">
      <c r="B1874" s="19" t="s">
        <v>30344</v>
      </c>
      <c r="C1874" s="20" t="n">
        <f aca="false">ROUND(9.22/FX,2)</f>
        <v>1.28</v>
      </c>
      <c r="D1874" s="21" t="s">
        <v>2961</v>
      </c>
      <c r="E1874" s="21" t="s">
        <v>3317</v>
      </c>
      <c r="F1874" s="21" t="s">
        <v>2911</v>
      </c>
    </row>
    <row r="1875" customFormat="false" ht="15" hidden="false" customHeight="false" outlineLevel="0" collapsed="false">
      <c r="B1875" s="19" t="s">
        <v>30345</v>
      </c>
      <c r="C1875" s="20" t="n">
        <f aca="false">ROUND(9.7/FX,2)</f>
        <v>1.35</v>
      </c>
      <c r="D1875" s="21" t="s">
        <v>13817</v>
      </c>
      <c r="E1875" s="21" t="s">
        <v>3317</v>
      </c>
      <c r="F1875" s="21" t="s">
        <v>2911</v>
      </c>
    </row>
    <row r="1876" customFormat="false" ht="15" hidden="false" customHeight="false" outlineLevel="0" collapsed="false">
      <c r="B1876" s="19" t="s">
        <v>30346</v>
      </c>
      <c r="C1876" s="20" t="n">
        <f aca="false">ROUND(9.7/FX,2)</f>
        <v>1.35</v>
      </c>
      <c r="D1876" s="21" t="s">
        <v>3011</v>
      </c>
      <c r="E1876" s="21" t="s">
        <v>3317</v>
      </c>
      <c r="F1876" s="21" t="s">
        <v>2911</v>
      </c>
    </row>
    <row r="1877" customFormat="false" ht="15" hidden="false" customHeight="false" outlineLevel="0" collapsed="false">
      <c r="B1877" s="19" t="s">
        <v>30347</v>
      </c>
      <c r="C1877" s="20" t="n">
        <f aca="false">ROUND(9.82/FX,2)</f>
        <v>1.36</v>
      </c>
      <c r="D1877" s="21" t="s">
        <v>7396</v>
      </c>
      <c r="E1877" s="21" t="s">
        <v>3317</v>
      </c>
      <c r="F1877" s="21" t="s">
        <v>2911</v>
      </c>
    </row>
    <row r="1878" customFormat="false" ht="15" hidden="false" customHeight="false" outlineLevel="0" collapsed="false">
      <c r="B1878" s="19" t="s">
        <v>30348</v>
      </c>
      <c r="C1878" s="20" t="n">
        <f aca="false">ROUND(10.4/FX,2)</f>
        <v>1.44</v>
      </c>
      <c r="D1878" s="21" t="s">
        <v>3061</v>
      </c>
      <c r="E1878" s="21" t="s">
        <v>3317</v>
      </c>
      <c r="F1878" s="21" t="s">
        <v>2911</v>
      </c>
    </row>
    <row r="1879" customFormat="false" ht="15" hidden="false" customHeight="false" outlineLevel="0" collapsed="false">
      <c r="B1879" s="19" t="s">
        <v>30349</v>
      </c>
      <c r="C1879" s="20" t="n">
        <f aca="false">ROUND(11.36/FX,2)</f>
        <v>1.58</v>
      </c>
      <c r="D1879" s="21" t="s">
        <v>11870</v>
      </c>
      <c r="E1879" s="21" t="s">
        <v>3317</v>
      </c>
      <c r="F1879" s="21" t="s">
        <v>2911</v>
      </c>
    </row>
    <row r="1880" customFormat="false" ht="15" hidden="false" customHeight="false" outlineLevel="0" collapsed="false">
      <c r="B1880" s="19" t="s">
        <v>30350</v>
      </c>
      <c r="C1880" s="20" t="n">
        <f aca="false">ROUND(11.36/FX,2)</f>
        <v>1.58</v>
      </c>
      <c r="D1880" s="21" t="s">
        <v>3111</v>
      </c>
      <c r="E1880" s="21" t="s">
        <v>3317</v>
      </c>
      <c r="F1880" s="21" t="s">
        <v>2911</v>
      </c>
    </row>
    <row r="1881" customFormat="false" ht="15" hidden="false" customHeight="false" outlineLevel="0" collapsed="false">
      <c r="B1881" s="19" t="s">
        <v>30351</v>
      </c>
      <c r="C1881" s="20" t="n">
        <f aca="false">ROUND(12.3/FX,2)</f>
        <v>1.71</v>
      </c>
      <c r="D1881" s="21" t="s">
        <v>12306</v>
      </c>
      <c r="E1881" s="21" t="s">
        <v>3317</v>
      </c>
      <c r="F1881" s="21" t="s">
        <v>2911</v>
      </c>
    </row>
    <row r="1882" customFormat="false" ht="15" hidden="false" customHeight="false" outlineLevel="0" collapsed="false">
      <c r="B1882" s="19" t="s">
        <v>30352</v>
      </c>
      <c r="C1882" s="20" t="n">
        <f aca="false">ROUND(0.63/FX,2)</f>
        <v>0.09</v>
      </c>
      <c r="D1882" s="21" t="s">
        <v>3247</v>
      </c>
      <c r="E1882" s="21" t="s">
        <v>839</v>
      </c>
      <c r="F1882" s="21" t="s">
        <v>716</v>
      </c>
    </row>
    <row r="1883" customFormat="false" ht="15" hidden="false" customHeight="false" outlineLevel="0" collapsed="false">
      <c r="B1883" s="19" t="s">
        <v>30353</v>
      </c>
      <c r="C1883" s="20" t="n">
        <f aca="false">ROUND(0.63/FX,2)</f>
        <v>0.09</v>
      </c>
      <c r="D1883" s="21" t="s">
        <v>3317</v>
      </c>
      <c r="E1883" s="21" t="s">
        <v>839</v>
      </c>
      <c r="F1883" s="21" t="s">
        <v>716</v>
      </c>
    </row>
    <row r="1884" customFormat="false" ht="15" hidden="false" customHeight="false" outlineLevel="0" collapsed="false">
      <c r="B1884" s="19" t="s">
        <v>30354</v>
      </c>
      <c r="C1884" s="20" t="n">
        <f aca="false">ROUND(0.76/FX,2)</f>
        <v>0.11</v>
      </c>
      <c r="D1884" s="21" t="s">
        <v>784</v>
      </c>
      <c r="E1884" s="21" t="s">
        <v>839</v>
      </c>
      <c r="F1884" s="21" t="s">
        <v>716</v>
      </c>
    </row>
    <row r="1885" customFormat="false" ht="15" hidden="false" customHeight="false" outlineLevel="0" collapsed="false">
      <c r="B1885" s="19" t="s">
        <v>30355</v>
      </c>
      <c r="C1885" s="20" t="n">
        <f aca="false">ROUND(5.27/FX,2)</f>
        <v>0.73</v>
      </c>
      <c r="D1885" s="21" t="s">
        <v>1520</v>
      </c>
      <c r="E1885" s="21" t="s">
        <v>839</v>
      </c>
      <c r="F1885" s="21" t="s">
        <v>716</v>
      </c>
    </row>
    <row r="1886" customFormat="false" ht="15" hidden="false" customHeight="false" outlineLevel="0" collapsed="false">
      <c r="B1886" s="19" t="s">
        <v>30356</v>
      </c>
      <c r="C1886" s="20" t="n">
        <f aca="false">ROUND(0.81/FX,2)</f>
        <v>0.11</v>
      </c>
      <c r="D1886" s="21" t="s">
        <v>3328</v>
      </c>
      <c r="E1886" s="21" t="s">
        <v>839</v>
      </c>
      <c r="F1886" s="21" t="s">
        <v>716</v>
      </c>
    </row>
    <row r="1887" customFormat="false" ht="15" hidden="false" customHeight="false" outlineLevel="0" collapsed="false">
      <c r="B1887" s="19" t="s">
        <v>30357</v>
      </c>
      <c r="C1887" s="20" t="n">
        <f aca="false">ROUND(0.81/FX,2)</f>
        <v>0.11</v>
      </c>
      <c r="D1887" s="21" t="s">
        <v>6246</v>
      </c>
      <c r="E1887" s="21" t="s">
        <v>839</v>
      </c>
      <c r="F1887" s="21" t="s">
        <v>716</v>
      </c>
    </row>
    <row r="1888" customFormat="false" ht="15" hidden="false" customHeight="false" outlineLevel="0" collapsed="false">
      <c r="B1888" s="19" t="s">
        <v>30358</v>
      </c>
      <c r="C1888" s="20" t="n">
        <f aca="false">ROUND(0.81/FX,2)</f>
        <v>0.11</v>
      </c>
      <c r="D1888" s="21" t="s">
        <v>7358</v>
      </c>
      <c r="E1888" s="21" t="s">
        <v>839</v>
      </c>
      <c r="F1888" s="21" t="s">
        <v>716</v>
      </c>
    </row>
    <row r="1889" customFormat="false" ht="15" hidden="false" customHeight="false" outlineLevel="0" collapsed="false">
      <c r="B1889" s="19" t="s">
        <v>30359</v>
      </c>
      <c r="C1889" s="20" t="n">
        <f aca="false">ROUND(0.95/FX,2)</f>
        <v>0.13</v>
      </c>
      <c r="D1889" s="21" t="s">
        <v>2911</v>
      </c>
      <c r="E1889" s="21" t="s">
        <v>839</v>
      </c>
      <c r="F1889" s="21" t="s">
        <v>716</v>
      </c>
    </row>
    <row r="1890" customFormat="false" ht="15" hidden="false" customHeight="false" outlineLevel="0" collapsed="false">
      <c r="B1890" s="19" t="s">
        <v>30360</v>
      </c>
      <c r="C1890" s="20" t="n">
        <f aca="false">ROUND(1.04/FX,2)</f>
        <v>0.14</v>
      </c>
      <c r="D1890" s="21" t="s">
        <v>7275</v>
      </c>
      <c r="E1890" s="21" t="s">
        <v>839</v>
      </c>
      <c r="F1890" s="21" t="s">
        <v>716</v>
      </c>
    </row>
    <row r="1891" customFormat="false" ht="15" hidden="false" customHeight="false" outlineLevel="0" collapsed="false">
      <c r="B1891" s="19" t="s">
        <v>30361</v>
      </c>
      <c r="C1891" s="20" t="n">
        <f aca="false">ROUND(1.12/FX,2)</f>
        <v>0.16</v>
      </c>
      <c r="D1891" s="21" t="s">
        <v>2961</v>
      </c>
      <c r="E1891" s="21" t="s">
        <v>839</v>
      </c>
      <c r="F1891" s="21" t="s">
        <v>716</v>
      </c>
    </row>
    <row r="1892" customFormat="false" ht="15" hidden="false" customHeight="false" outlineLevel="0" collapsed="false">
      <c r="B1892" s="19" t="s">
        <v>30362</v>
      </c>
      <c r="C1892" s="20" t="n">
        <f aca="false">ROUND(1.12/FX,2)</f>
        <v>0.16</v>
      </c>
      <c r="D1892" s="21" t="s">
        <v>13817</v>
      </c>
      <c r="E1892" s="21" t="s">
        <v>839</v>
      </c>
      <c r="F1892" s="21" t="s">
        <v>716</v>
      </c>
    </row>
    <row r="1893" customFormat="false" ht="15" hidden="false" customHeight="false" outlineLevel="0" collapsed="false">
      <c r="B1893" s="19" t="s">
        <v>30363</v>
      </c>
      <c r="C1893" s="20" t="n">
        <f aca="false">ROUND(1.28/FX,2)</f>
        <v>0.18</v>
      </c>
      <c r="D1893" s="21" t="s">
        <v>3011</v>
      </c>
      <c r="E1893" s="21" t="s">
        <v>839</v>
      </c>
      <c r="F1893" s="21" t="s">
        <v>716</v>
      </c>
    </row>
    <row r="1894" customFormat="false" ht="15" hidden="false" customHeight="false" outlineLevel="0" collapsed="false">
      <c r="B1894" s="19" t="s">
        <v>30364</v>
      </c>
      <c r="C1894" s="20" t="n">
        <f aca="false">ROUND(34.58/FX,2)</f>
        <v>4.8</v>
      </c>
      <c r="D1894" s="21" t="s">
        <v>2600</v>
      </c>
      <c r="E1894" s="21" t="s">
        <v>784</v>
      </c>
      <c r="F1894" s="21" t="s">
        <v>2961</v>
      </c>
    </row>
    <row r="1895" customFormat="false" ht="15" hidden="false" customHeight="false" outlineLevel="0" collapsed="false">
      <c r="B1895" s="19" t="s">
        <v>30365</v>
      </c>
      <c r="C1895" s="20" t="n">
        <f aca="false">ROUND(34.58/FX,2)</f>
        <v>4.8</v>
      </c>
      <c r="D1895" s="21" t="s">
        <v>2651</v>
      </c>
      <c r="E1895" s="21" t="s">
        <v>784</v>
      </c>
      <c r="F1895" s="21" t="s">
        <v>2961</v>
      </c>
    </row>
    <row r="1896" customFormat="false" ht="15" hidden="false" customHeight="false" outlineLevel="0" collapsed="false">
      <c r="B1896" s="19" t="s">
        <v>30366</v>
      </c>
      <c r="C1896" s="20" t="n">
        <f aca="false">ROUND(37.05/FX,2)</f>
        <v>5.15</v>
      </c>
      <c r="D1896" s="21" t="s">
        <v>2701</v>
      </c>
      <c r="E1896" s="21" t="s">
        <v>784</v>
      </c>
      <c r="F1896" s="21" t="s">
        <v>2961</v>
      </c>
    </row>
    <row r="1897" customFormat="false" ht="15" hidden="false" customHeight="false" outlineLevel="0" collapsed="false">
      <c r="B1897" s="19" t="s">
        <v>30367</v>
      </c>
      <c r="C1897" s="20" t="n">
        <f aca="false">ROUND(39.52/FX,2)</f>
        <v>5.49</v>
      </c>
      <c r="D1897" s="21" t="s">
        <v>11968</v>
      </c>
      <c r="E1897" s="21" t="s">
        <v>784</v>
      </c>
      <c r="F1897" s="21" t="s">
        <v>2961</v>
      </c>
    </row>
    <row r="1898" customFormat="false" ht="15" hidden="false" customHeight="false" outlineLevel="0" collapsed="false">
      <c r="B1898" s="19" t="s">
        <v>30368</v>
      </c>
      <c r="C1898" s="20" t="n">
        <f aca="false">ROUND(48.17/FX,2)</f>
        <v>6.69</v>
      </c>
      <c r="D1898" s="21" t="s">
        <v>2851</v>
      </c>
      <c r="E1898" s="21" t="s">
        <v>784</v>
      </c>
      <c r="F1898" s="21" t="s">
        <v>2961</v>
      </c>
    </row>
    <row r="1899" customFormat="false" ht="15" hidden="false" customHeight="false" outlineLevel="0" collapsed="false">
      <c r="B1899" s="19" t="s">
        <v>30369</v>
      </c>
      <c r="C1899" s="20" t="n">
        <f aca="false">ROUND(55.58/FX,2)</f>
        <v>7.72</v>
      </c>
      <c r="D1899" s="21" t="s">
        <v>6497</v>
      </c>
      <c r="E1899" s="21" t="s">
        <v>784</v>
      </c>
      <c r="F1899" s="21" t="s">
        <v>2961</v>
      </c>
    </row>
    <row r="1900" customFormat="false" ht="15" hidden="false" customHeight="false" outlineLevel="0" collapsed="false">
      <c r="B1900" s="19" t="s">
        <v>30370</v>
      </c>
      <c r="C1900" s="20" t="n">
        <f aca="false">ROUND(66.69/FX,2)</f>
        <v>9.26</v>
      </c>
      <c r="D1900" s="21" t="s">
        <v>1048</v>
      </c>
      <c r="E1900" s="21" t="s">
        <v>784</v>
      </c>
      <c r="F1900" s="21" t="s">
        <v>2961</v>
      </c>
    </row>
    <row r="1901" customFormat="false" ht="15" hidden="false" customHeight="false" outlineLevel="0" collapsed="false">
      <c r="B1901" s="19" t="s">
        <v>30371</v>
      </c>
      <c r="C1901" s="20" t="n">
        <f aca="false">ROUND(71.63/FX,2)</f>
        <v>9.95</v>
      </c>
      <c r="D1901" s="21" t="s">
        <v>3991</v>
      </c>
      <c r="E1901" s="21" t="s">
        <v>784</v>
      </c>
      <c r="F1901" s="21" t="s">
        <v>2961</v>
      </c>
    </row>
    <row r="1902" customFormat="false" ht="15" hidden="false" customHeight="false" outlineLevel="0" collapsed="false">
      <c r="B1902" s="19" t="s">
        <v>30372</v>
      </c>
      <c r="C1902" s="20" t="n">
        <f aca="false">ROUND(76.57/FX,2)</f>
        <v>10.63</v>
      </c>
      <c r="D1902" s="21" t="s">
        <v>1323</v>
      </c>
      <c r="E1902" s="21" t="s">
        <v>784</v>
      </c>
      <c r="F1902" s="21" t="s">
        <v>2961</v>
      </c>
    </row>
    <row r="1903" customFormat="false" ht="15" hidden="false" customHeight="false" outlineLevel="0" collapsed="false">
      <c r="B1903" s="19" t="s">
        <v>30373</v>
      </c>
      <c r="C1903" s="20" t="n">
        <f aca="false">ROUND(85.22/FX,2)</f>
        <v>11.84</v>
      </c>
      <c r="D1903" s="21" t="s">
        <v>4883</v>
      </c>
      <c r="E1903" s="21" t="s">
        <v>784</v>
      </c>
      <c r="F1903" s="21" t="s">
        <v>2961</v>
      </c>
    </row>
    <row r="1904" customFormat="false" ht="15" hidden="false" customHeight="false" outlineLevel="0" collapsed="false">
      <c r="B1904" s="19" t="s">
        <v>30374</v>
      </c>
      <c r="C1904" s="20" t="n">
        <f aca="false">ROUND(87.69/FX,2)</f>
        <v>12.18</v>
      </c>
      <c r="D1904" s="21" t="s">
        <v>1520</v>
      </c>
      <c r="E1904" s="21" t="s">
        <v>784</v>
      </c>
      <c r="F1904" s="21" t="s">
        <v>2961</v>
      </c>
    </row>
    <row r="1905" customFormat="false" ht="15" hidden="false" customHeight="false" outlineLevel="0" collapsed="false">
      <c r="B1905" s="19" t="s">
        <v>30375</v>
      </c>
      <c r="C1905" s="20" t="n">
        <f aca="false">ROUND(21/FX,2)</f>
        <v>2.92</v>
      </c>
      <c r="D1905" s="21" t="s">
        <v>2961</v>
      </c>
      <c r="E1905" s="21" t="s">
        <v>784</v>
      </c>
      <c r="F1905" s="21" t="s">
        <v>2961</v>
      </c>
    </row>
    <row r="1906" customFormat="false" ht="15" hidden="false" customHeight="false" outlineLevel="0" collapsed="false">
      <c r="B1906" s="19" t="s">
        <v>30376</v>
      </c>
      <c r="C1906" s="20" t="n">
        <f aca="false">ROUND(22.23/FX,2)</f>
        <v>3.09</v>
      </c>
      <c r="D1906" s="21" t="s">
        <v>13817</v>
      </c>
      <c r="E1906" s="21" t="s">
        <v>784</v>
      </c>
      <c r="F1906" s="21" t="s">
        <v>2961</v>
      </c>
    </row>
    <row r="1907" customFormat="false" ht="15" hidden="false" customHeight="false" outlineLevel="0" collapsed="false">
      <c r="B1907" s="19" t="s">
        <v>30377</v>
      </c>
      <c r="C1907" s="20" t="n">
        <f aca="false">ROUND(23.47/FX,2)</f>
        <v>3.26</v>
      </c>
      <c r="D1907" s="21" t="s">
        <v>3011</v>
      </c>
      <c r="E1907" s="21" t="s">
        <v>784</v>
      </c>
      <c r="F1907" s="21" t="s">
        <v>2961</v>
      </c>
    </row>
    <row r="1908" customFormat="false" ht="15" hidden="false" customHeight="false" outlineLevel="0" collapsed="false">
      <c r="B1908" s="19" t="s">
        <v>30378</v>
      </c>
      <c r="C1908" s="20" t="n">
        <f aca="false">ROUND(24.7/FX,2)</f>
        <v>3.43</v>
      </c>
      <c r="D1908" s="21" t="s">
        <v>7396</v>
      </c>
      <c r="E1908" s="21" t="s">
        <v>784</v>
      </c>
      <c r="F1908" s="21" t="s">
        <v>2961</v>
      </c>
    </row>
    <row r="1909" customFormat="false" ht="15" hidden="false" customHeight="false" outlineLevel="0" collapsed="false">
      <c r="B1909" s="19" t="s">
        <v>30379</v>
      </c>
      <c r="C1909" s="20" t="n">
        <f aca="false">ROUND(25.94/FX,2)</f>
        <v>3.6</v>
      </c>
      <c r="D1909" s="21" t="s">
        <v>3061</v>
      </c>
      <c r="E1909" s="21" t="s">
        <v>784</v>
      </c>
      <c r="F1909" s="21" t="s">
        <v>2961</v>
      </c>
    </row>
    <row r="1910" customFormat="false" ht="15" hidden="false" customHeight="false" outlineLevel="0" collapsed="false">
      <c r="B1910" s="19" t="s">
        <v>30380</v>
      </c>
      <c r="C1910" s="20" t="n">
        <f aca="false">ROUND(28.41/FX,2)</f>
        <v>3.95</v>
      </c>
      <c r="D1910" s="21" t="s">
        <v>11870</v>
      </c>
      <c r="E1910" s="21" t="s">
        <v>784</v>
      </c>
      <c r="F1910" s="21" t="s">
        <v>2961</v>
      </c>
    </row>
    <row r="1911" customFormat="false" ht="15" hidden="false" customHeight="false" outlineLevel="0" collapsed="false">
      <c r="B1911" s="19" t="s">
        <v>30381</v>
      </c>
      <c r="C1911" s="20" t="n">
        <f aca="false">ROUND(30.88/FX,2)</f>
        <v>4.29</v>
      </c>
      <c r="D1911" s="21" t="s">
        <v>3111</v>
      </c>
      <c r="E1911" s="21" t="s">
        <v>784</v>
      </c>
      <c r="F1911" s="21" t="s">
        <v>2961</v>
      </c>
    </row>
    <row r="1912" customFormat="false" ht="15" hidden="false" customHeight="false" outlineLevel="0" collapsed="false">
      <c r="B1912" s="19" t="s">
        <v>30382</v>
      </c>
      <c r="C1912" s="20" t="n">
        <f aca="false">ROUND(32.11/FX,2)</f>
        <v>4.46</v>
      </c>
      <c r="D1912" s="21" t="s">
        <v>12306</v>
      </c>
      <c r="E1912" s="21" t="s">
        <v>784</v>
      </c>
      <c r="F1912" s="21" t="s">
        <v>2961</v>
      </c>
    </row>
    <row r="1913" customFormat="false" ht="15" hidden="false" customHeight="false" outlineLevel="0" collapsed="false">
      <c r="B1913" s="19" t="s">
        <v>30383</v>
      </c>
      <c r="C1913" s="20" t="n">
        <f aca="false">ROUND(102.51/FX,2)</f>
        <v>14.24</v>
      </c>
      <c r="D1913" s="21" t="s">
        <v>2600</v>
      </c>
      <c r="E1913" s="21" t="s">
        <v>6246</v>
      </c>
      <c r="F1913" s="21" t="s">
        <v>3011</v>
      </c>
    </row>
    <row r="1914" customFormat="false" ht="15" hidden="false" customHeight="false" outlineLevel="0" collapsed="false">
      <c r="B1914" s="19" t="s">
        <v>30384</v>
      </c>
      <c r="C1914" s="20" t="n">
        <f aca="false">ROUND(114.86/FX,2)</f>
        <v>15.95</v>
      </c>
      <c r="D1914" s="21" t="s">
        <v>11968</v>
      </c>
      <c r="E1914" s="21" t="s">
        <v>6246</v>
      </c>
      <c r="F1914" s="21" t="s">
        <v>3011</v>
      </c>
    </row>
    <row r="1915" customFormat="false" ht="15" hidden="false" customHeight="false" outlineLevel="0" collapsed="false">
      <c r="B1915" s="19" t="s">
        <v>30385</v>
      </c>
      <c r="C1915" s="20" t="n">
        <f aca="false">ROUND(118.56/FX,2)</f>
        <v>16.47</v>
      </c>
      <c r="D1915" s="21" t="s">
        <v>2851</v>
      </c>
      <c r="E1915" s="21" t="s">
        <v>6246</v>
      </c>
      <c r="F1915" s="21" t="s">
        <v>3011</v>
      </c>
    </row>
    <row r="1916" customFormat="false" ht="15" hidden="false" customHeight="false" outlineLevel="0" collapsed="false">
      <c r="B1916" s="19" t="s">
        <v>30386</v>
      </c>
      <c r="C1916" s="20" t="n">
        <f aca="false">ROUND(123.5/FX,2)</f>
        <v>17.15</v>
      </c>
      <c r="D1916" s="21" t="s">
        <v>6497</v>
      </c>
      <c r="E1916" s="21" t="s">
        <v>6246</v>
      </c>
      <c r="F1916" s="21" t="s">
        <v>3011</v>
      </c>
    </row>
    <row r="1917" customFormat="false" ht="15" hidden="false" customHeight="false" outlineLevel="0" collapsed="false">
      <c r="B1917" s="19" t="s">
        <v>30387</v>
      </c>
      <c r="C1917" s="20" t="n">
        <f aca="false">ROUND(142.03/FX,2)</f>
        <v>19.73</v>
      </c>
      <c r="D1917" s="21" t="s">
        <v>1048</v>
      </c>
      <c r="E1917" s="21" t="s">
        <v>6246</v>
      </c>
      <c r="F1917" s="21" t="s">
        <v>3011</v>
      </c>
    </row>
    <row r="1918" customFormat="false" ht="15" hidden="false" customHeight="false" outlineLevel="0" collapsed="false">
      <c r="B1918" s="19" t="s">
        <v>30388</v>
      </c>
      <c r="C1918" s="20" t="n">
        <f aca="false">ROUND(160.55/FX,2)</f>
        <v>22.3</v>
      </c>
      <c r="D1918" s="21" t="s">
        <v>1323</v>
      </c>
      <c r="E1918" s="21" t="s">
        <v>6246</v>
      </c>
      <c r="F1918" s="21" t="s">
        <v>3011</v>
      </c>
    </row>
    <row r="1919" customFormat="false" ht="15" hidden="false" customHeight="false" outlineLevel="0" collapsed="false">
      <c r="B1919" s="19" t="s">
        <v>30389</v>
      </c>
      <c r="C1919" s="20" t="n">
        <f aca="false">ROUND(179.08/FX,2)</f>
        <v>24.87</v>
      </c>
      <c r="D1919" s="21" t="s">
        <v>1520</v>
      </c>
      <c r="E1919" s="21" t="s">
        <v>6246</v>
      </c>
      <c r="F1919" s="21" t="s">
        <v>3011</v>
      </c>
    </row>
    <row r="1920" customFormat="false" ht="15" hidden="false" customHeight="false" outlineLevel="0" collapsed="false">
      <c r="B1920" s="19" t="s">
        <v>30390</v>
      </c>
      <c r="C1920" s="20" t="n">
        <f aca="false">ROUND(85.22/FX,2)</f>
        <v>11.84</v>
      </c>
      <c r="D1920" s="21" t="s">
        <v>3011</v>
      </c>
      <c r="E1920" s="21" t="s">
        <v>6246</v>
      </c>
      <c r="F1920" s="21" t="s">
        <v>3011</v>
      </c>
    </row>
    <row r="1921" customFormat="false" ht="15" hidden="false" customHeight="false" outlineLevel="0" collapsed="false">
      <c r="B1921" s="19" t="s">
        <v>30391</v>
      </c>
      <c r="C1921" s="20" t="n">
        <f aca="false">ROUND(91.39/FX,2)</f>
        <v>12.69</v>
      </c>
      <c r="D1921" s="21" t="s">
        <v>3061</v>
      </c>
      <c r="E1921" s="21" t="s">
        <v>6246</v>
      </c>
      <c r="F1921" s="21" t="s">
        <v>3011</v>
      </c>
    </row>
    <row r="1922" customFormat="false" ht="15" hidden="false" customHeight="false" outlineLevel="0" collapsed="false">
      <c r="B1922" s="19" t="s">
        <v>30392</v>
      </c>
      <c r="C1922" s="20" t="n">
        <f aca="false">ROUND(96.33/FX,2)</f>
        <v>13.38</v>
      </c>
      <c r="D1922" s="21" t="s">
        <v>3111</v>
      </c>
      <c r="E1922" s="21" t="s">
        <v>6246</v>
      </c>
      <c r="F1922" s="21" t="s">
        <v>3011</v>
      </c>
    </row>
    <row r="1923" customFormat="false" ht="15" hidden="false" customHeight="false" outlineLevel="0" collapsed="false">
      <c r="B1923" s="19" t="s">
        <v>30393</v>
      </c>
      <c r="C1923" s="20" t="n">
        <f aca="false">ROUND(1.54/FX,2)</f>
        <v>0.21</v>
      </c>
      <c r="D1923" s="21" t="s">
        <v>2600</v>
      </c>
      <c r="E1923" s="21" t="s">
        <v>841</v>
      </c>
      <c r="F1923" s="21" t="s">
        <v>847</v>
      </c>
    </row>
    <row r="1924" customFormat="false" ht="15" hidden="false" customHeight="false" outlineLevel="0" collapsed="false">
      <c r="B1924" s="19" t="s">
        <v>30394</v>
      </c>
      <c r="C1924" s="20" t="n">
        <f aca="false">ROUND(0.48/FX,2)</f>
        <v>0.07</v>
      </c>
      <c r="D1924" s="21" t="s">
        <v>3247</v>
      </c>
      <c r="E1924" s="21" t="s">
        <v>841</v>
      </c>
      <c r="F1924" s="21" t="s">
        <v>847</v>
      </c>
    </row>
    <row r="1925" customFormat="false" ht="15" hidden="false" customHeight="false" outlineLevel="0" collapsed="false">
      <c r="B1925" s="19" t="s">
        <v>30395</v>
      </c>
      <c r="C1925" s="20" t="n">
        <f aca="false">ROUND(0.72/FX,2)</f>
        <v>0.1</v>
      </c>
      <c r="D1925" s="21" t="s">
        <v>3317</v>
      </c>
      <c r="E1925" s="21" t="s">
        <v>841</v>
      </c>
      <c r="F1925" s="21" t="s">
        <v>847</v>
      </c>
    </row>
    <row r="1926" customFormat="false" ht="15" hidden="false" customHeight="false" outlineLevel="0" collapsed="false">
      <c r="B1926" s="19" t="s">
        <v>30396</v>
      </c>
      <c r="C1926" s="20" t="n">
        <f aca="false">ROUND(0.54/FX,2)</f>
        <v>0.08</v>
      </c>
      <c r="D1926" s="21" t="s">
        <v>784</v>
      </c>
      <c r="E1926" s="21" t="s">
        <v>841</v>
      </c>
      <c r="F1926" s="21" t="s">
        <v>847</v>
      </c>
    </row>
    <row r="1927" customFormat="false" ht="15" hidden="false" customHeight="false" outlineLevel="0" collapsed="false">
      <c r="B1927" s="19" t="s">
        <v>30397</v>
      </c>
      <c r="C1927" s="20" t="n">
        <f aca="false">ROUND(5.27/FX,2)</f>
        <v>0.73</v>
      </c>
      <c r="D1927" s="21" t="s">
        <v>1520</v>
      </c>
      <c r="E1927" s="21" t="s">
        <v>841</v>
      </c>
      <c r="F1927" s="21" t="s">
        <v>847</v>
      </c>
    </row>
    <row r="1928" customFormat="false" ht="15" hidden="false" customHeight="false" outlineLevel="0" collapsed="false">
      <c r="B1928" s="19" t="s">
        <v>30398</v>
      </c>
      <c r="C1928" s="20" t="n">
        <f aca="false">ROUND(0.65/FX,2)</f>
        <v>0.09</v>
      </c>
      <c r="D1928" s="21" t="s">
        <v>3328</v>
      </c>
      <c r="E1928" s="21" t="s">
        <v>841</v>
      </c>
      <c r="F1928" s="21" t="s">
        <v>847</v>
      </c>
    </row>
    <row r="1929" customFormat="false" ht="15" hidden="false" customHeight="false" outlineLevel="0" collapsed="false">
      <c r="B1929" s="19" t="s">
        <v>30399</v>
      </c>
      <c r="C1929" s="20" t="n">
        <f aca="false">ROUND(0.67/FX,2)</f>
        <v>0.09</v>
      </c>
      <c r="D1929" s="21" t="s">
        <v>6246</v>
      </c>
      <c r="E1929" s="21" t="s">
        <v>841</v>
      </c>
      <c r="F1929" s="21" t="s">
        <v>847</v>
      </c>
    </row>
    <row r="1930" customFormat="false" ht="15" hidden="false" customHeight="false" outlineLevel="0" collapsed="false">
      <c r="B1930" s="19" t="s">
        <v>30400</v>
      </c>
      <c r="C1930" s="20" t="n">
        <f aca="false">ROUND(0.72/FX,2)</f>
        <v>0.1</v>
      </c>
      <c r="D1930" s="21" t="s">
        <v>7358</v>
      </c>
      <c r="E1930" s="21" t="s">
        <v>841</v>
      </c>
      <c r="F1930" s="21" t="s">
        <v>847</v>
      </c>
    </row>
    <row r="1931" customFormat="false" ht="15" hidden="false" customHeight="false" outlineLevel="0" collapsed="false">
      <c r="B1931" s="19" t="s">
        <v>30401</v>
      </c>
      <c r="C1931" s="20" t="n">
        <f aca="false">ROUND(0.83/FX,2)</f>
        <v>0.12</v>
      </c>
      <c r="D1931" s="21" t="s">
        <v>2911</v>
      </c>
      <c r="E1931" s="21" t="s">
        <v>841</v>
      </c>
      <c r="F1931" s="21" t="s">
        <v>847</v>
      </c>
    </row>
    <row r="1932" customFormat="false" ht="15" hidden="false" customHeight="false" outlineLevel="0" collapsed="false">
      <c r="B1932" s="19" t="s">
        <v>30402</v>
      </c>
      <c r="C1932" s="20" t="n">
        <f aca="false">ROUND(0.89/FX,2)</f>
        <v>0.12</v>
      </c>
      <c r="D1932" s="21" t="s">
        <v>7275</v>
      </c>
      <c r="E1932" s="21" t="s">
        <v>841</v>
      </c>
      <c r="F1932" s="21" t="s">
        <v>847</v>
      </c>
    </row>
    <row r="1933" customFormat="false" ht="15" hidden="false" customHeight="false" outlineLevel="0" collapsed="false">
      <c r="B1933" s="19" t="s">
        <v>30403</v>
      </c>
      <c r="C1933" s="20" t="n">
        <f aca="false">ROUND(0.89/FX,2)</f>
        <v>0.12</v>
      </c>
      <c r="D1933" s="21" t="s">
        <v>2961</v>
      </c>
      <c r="E1933" s="21" t="s">
        <v>841</v>
      </c>
      <c r="F1933" s="21" t="s">
        <v>847</v>
      </c>
    </row>
    <row r="1934" customFormat="false" ht="15" hidden="false" customHeight="false" outlineLevel="0" collapsed="false">
      <c r="B1934" s="19" t="s">
        <v>30404</v>
      </c>
      <c r="C1934" s="20" t="n">
        <f aca="false">ROUND(0.89/FX,2)</f>
        <v>0.12</v>
      </c>
      <c r="D1934" s="21" t="s">
        <v>13817</v>
      </c>
      <c r="E1934" s="21" t="s">
        <v>841</v>
      </c>
      <c r="F1934" s="21" t="s">
        <v>847</v>
      </c>
    </row>
    <row r="1935" customFormat="false" ht="15" hidden="false" customHeight="false" outlineLevel="0" collapsed="false">
      <c r="B1935" s="19" t="s">
        <v>30405</v>
      </c>
      <c r="C1935" s="20" t="n">
        <f aca="false">ROUND(1.07/FX,2)</f>
        <v>0.15</v>
      </c>
      <c r="D1935" s="21" t="s">
        <v>3011</v>
      </c>
      <c r="E1935" s="21" t="s">
        <v>841</v>
      </c>
      <c r="F1935" s="21" t="s">
        <v>847</v>
      </c>
    </row>
    <row r="1936" customFormat="false" ht="15" hidden="false" customHeight="false" outlineLevel="0" collapsed="false">
      <c r="B1936" s="19" t="s">
        <v>30406</v>
      </c>
      <c r="C1936" s="20" t="n">
        <f aca="false">ROUND(1.19/FX,2)</f>
        <v>0.17</v>
      </c>
      <c r="D1936" s="21" t="s">
        <v>7396</v>
      </c>
      <c r="E1936" s="21" t="s">
        <v>841</v>
      </c>
      <c r="F1936" s="21" t="s">
        <v>847</v>
      </c>
    </row>
    <row r="1937" customFormat="false" ht="15" hidden="false" customHeight="false" outlineLevel="0" collapsed="false">
      <c r="B1937" s="19" t="s">
        <v>30407</v>
      </c>
      <c r="C1937" s="20" t="n">
        <f aca="false">ROUND(1.3/FX,2)</f>
        <v>0.18</v>
      </c>
      <c r="D1937" s="21" t="s">
        <v>3061</v>
      </c>
      <c r="E1937" s="21" t="s">
        <v>841</v>
      </c>
      <c r="F1937" s="21" t="s">
        <v>847</v>
      </c>
    </row>
    <row r="1938" customFormat="false" ht="15" hidden="false" customHeight="false" outlineLevel="0" collapsed="false">
      <c r="B1938" s="19" t="s">
        <v>30408</v>
      </c>
      <c r="C1938" s="20" t="n">
        <f aca="false">ROUND(1.42/FX,2)</f>
        <v>0.2</v>
      </c>
      <c r="D1938" s="21" t="s">
        <v>11870</v>
      </c>
      <c r="E1938" s="21" t="s">
        <v>841</v>
      </c>
      <c r="F1938" s="21" t="s">
        <v>847</v>
      </c>
    </row>
    <row r="1939" customFormat="false" ht="15" hidden="false" customHeight="false" outlineLevel="0" collapsed="false">
      <c r="B1939" s="19" t="s">
        <v>30409</v>
      </c>
      <c r="C1939" s="20" t="n">
        <f aca="false">ROUND(1.42/FX,2)</f>
        <v>0.2</v>
      </c>
      <c r="D1939" s="21" t="s">
        <v>3111</v>
      </c>
      <c r="E1939" s="21" t="s">
        <v>841</v>
      </c>
      <c r="F1939" s="21" t="s">
        <v>847</v>
      </c>
    </row>
    <row r="1940" customFormat="false" ht="15" hidden="false" customHeight="false" outlineLevel="0" collapsed="false">
      <c r="B1940" s="19" t="s">
        <v>30410</v>
      </c>
      <c r="C1940" s="20" t="n">
        <f aca="false">ROUND(1.54/FX,2)</f>
        <v>0.21</v>
      </c>
      <c r="D1940" s="21" t="s">
        <v>12306</v>
      </c>
      <c r="E1940" s="21" t="s">
        <v>841</v>
      </c>
      <c r="F1940" s="21" t="s">
        <v>847</v>
      </c>
    </row>
    <row r="1943" customFormat="false" ht="61.5" hidden="false" customHeight="true" outlineLevel="0" collapsed="false">
      <c r="A1943" s="9"/>
      <c r="B1943" s="10" t="s">
        <v>30411</v>
      </c>
      <c r="C1943" s="10"/>
      <c r="D1943" s="10"/>
      <c r="E1943" s="10"/>
      <c r="F1943" s="10"/>
    </row>
    <row r="1944" customFormat="false" ht="15" hidden="false" customHeight="false" outlineLevel="0" collapsed="false">
      <c r="A1944" s="12" t="s">
        <v>700</v>
      </c>
      <c r="B1944" s="13" t="s">
        <v>701</v>
      </c>
      <c r="C1944" s="13" t="s">
        <v>702</v>
      </c>
      <c r="D1944" s="13" t="s">
        <v>11716</v>
      </c>
      <c r="E1944" s="13" t="s">
        <v>7711</v>
      </c>
      <c r="F1944" s="13" t="s">
        <v>14350</v>
      </c>
    </row>
    <row r="1945" customFormat="false" ht="30" hidden="false" customHeight="true" outlineLevel="0" collapsed="false">
      <c r="A1945" s="14" t="s">
        <v>706</v>
      </c>
      <c r="B1945" s="15" t="str">
        <f aca="false">IF(COUNTIFS($D$1948:$D$2289,IF(D1945="","*",D1945),$E$1948:$E$2289,IF(E1945="","*",E1945),$F$1948:$F$2289,IF(F1945="","*",F1945))=1,INDEX($B:$B,SUMPRODUCT(((D1945="")+($D$1948:$D$2289=D1945)&gt;0)*((E1945="")+($E$1948:$E$2289=E1945)&gt;0)*((F1945="")+($F$1948:$F$2289=F1945)&gt;0)*ROW($B$1948:$B$2289))),IF(COUNTIFS($D$1948:$D$2289,IF(D1945="","*",D1945),$E$1948:$E$2289,IF(E1945="","*",E1945),$F$1948:$F$2289,IF(F1945="","*",F1945))=0,"Not available",COUNTIFS($D$1948:$D$2289,IF(D1945="","*",D1945),$E$1948:$E$2289,IF(E1945="","*",E1945),$F$1948:$F$2289,IF(F1945="","*",F1945))&amp;" match, keep choosing"))</f>
        <v>SPR-GN-10-5-100</v>
      </c>
      <c r="C1945" s="16" t="n">
        <f aca="false">IF(COUNTIFS($D$1948:$D$2289,IF(D1945="","*",D1945),$E$1948:$E$2289,IF(E1945="","*",E1945),$F$1948:$F$2289,IF(F1945="","*",F1945))=1,INDEX($C:$C,SUMPRODUCT(((D1945="")+($D$1948:$D$2289=D1945)&gt;0)*((E1945="")+($E$1948:$E$2289=E1945)&gt;0)*((F1945="")+($F$1948:$F$2289=F1945)&gt;0)*ROW($B$1948:$B$2289))),"")</f>
        <v>0.26</v>
      </c>
      <c r="D1945" s="17" t="s">
        <v>2600</v>
      </c>
      <c r="E1945" s="17" t="s">
        <v>789</v>
      </c>
      <c r="F1945" s="17" t="s">
        <v>707</v>
      </c>
    </row>
    <row r="1947" customFormat="false" ht="15" hidden="false" customHeight="false" outlineLevel="0" collapsed="false">
      <c r="B1947" s="18" t="s">
        <v>701</v>
      </c>
      <c r="C1947" s="18" t="s">
        <v>702</v>
      </c>
      <c r="D1947" s="18" t="s">
        <v>11716</v>
      </c>
      <c r="E1947" s="18" t="s">
        <v>7711</v>
      </c>
      <c r="F1947" s="18" t="s">
        <v>14350</v>
      </c>
    </row>
    <row r="1948" customFormat="false" ht="15" hidden="false" customHeight="false" outlineLevel="0" collapsed="false">
      <c r="B1948" s="19" t="s">
        <v>30412</v>
      </c>
      <c r="C1948" s="20" t="n">
        <f aca="false">ROUND(1.86/FX,2)</f>
        <v>0.26</v>
      </c>
      <c r="D1948" s="21" t="s">
        <v>2600</v>
      </c>
      <c r="E1948" s="21" t="s">
        <v>789</v>
      </c>
      <c r="F1948" s="21" t="s">
        <v>707</v>
      </c>
    </row>
    <row r="1949" customFormat="false" ht="15" hidden="false" customHeight="false" outlineLevel="0" collapsed="false">
      <c r="B1949" s="19" t="s">
        <v>30413</v>
      </c>
      <c r="C1949" s="20" t="n">
        <f aca="false">ROUND(1.95/FX,2)</f>
        <v>0.27</v>
      </c>
      <c r="D1949" s="21" t="s">
        <v>2651</v>
      </c>
      <c r="E1949" s="21" t="s">
        <v>789</v>
      </c>
      <c r="F1949" s="21" t="s">
        <v>707</v>
      </c>
    </row>
    <row r="1950" customFormat="false" ht="15" hidden="false" customHeight="false" outlineLevel="0" collapsed="false">
      <c r="B1950" s="19" t="s">
        <v>30414</v>
      </c>
      <c r="C1950" s="20" t="n">
        <f aca="false">ROUND(1.97/FX,2)</f>
        <v>0.27</v>
      </c>
      <c r="D1950" s="21" t="s">
        <v>2701</v>
      </c>
      <c r="E1950" s="21" t="s">
        <v>789</v>
      </c>
      <c r="F1950" s="21" t="s">
        <v>707</v>
      </c>
    </row>
    <row r="1951" customFormat="false" ht="15" hidden="false" customHeight="false" outlineLevel="0" collapsed="false">
      <c r="B1951" s="19" t="s">
        <v>30415</v>
      </c>
      <c r="C1951" s="20" t="n">
        <f aca="false">ROUND(1.98/FX,2)</f>
        <v>0.28</v>
      </c>
      <c r="D1951" s="21" t="s">
        <v>11968</v>
      </c>
      <c r="E1951" s="21" t="s">
        <v>789</v>
      </c>
      <c r="F1951" s="21" t="s">
        <v>707</v>
      </c>
    </row>
    <row r="1952" customFormat="false" ht="15" hidden="false" customHeight="false" outlineLevel="0" collapsed="false">
      <c r="B1952" s="19" t="s">
        <v>30416</v>
      </c>
      <c r="C1952" s="20" t="n">
        <f aca="false">ROUND(0.5/FX,2)</f>
        <v>0.07</v>
      </c>
      <c r="D1952" s="21" t="s">
        <v>3247</v>
      </c>
      <c r="E1952" s="21" t="s">
        <v>789</v>
      </c>
      <c r="F1952" s="21" t="s">
        <v>707</v>
      </c>
    </row>
    <row r="1953" customFormat="false" ht="15" hidden="false" customHeight="false" outlineLevel="0" collapsed="false">
      <c r="B1953" s="19" t="s">
        <v>30417</v>
      </c>
      <c r="C1953" s="20" t="n">
        <f aca="false">ROUND(0.78/FX,2)</f>
        <v>0.11</v>
      </c>
      <c r="D1953" s="21" t="s">
        <v>3317</v>
      </c>
      <c r="E1953" s="21" t="s">
        <v>789</v>
      </c>
      <c r="F1953" s="21" t="s">
        <v>707</v>
      </c>
    </row>
    <row r="1954" customFormat="false" ht="15" hidden="false" customHeight="false" outlineLevel="0" collapsed="false">
      <c r="B1954" s="19" t="s">
        <v>30418</v>
      </c>
      <c r="C1954" s="20" t="n">
        <f aca="false">ROUND(0.69/FX,2)</f>
        <v>0.1</v>
      </c>
      <c r="D1954" s="21" t="s">
        <v>784</v>
      </c>
      <c r="E1954" s="21" t="s">
        <v>789</v>
      </c>
      <c r="F1954" s="21" t="s">
        <v>707</v>
      </c>
    </row>
    <row r="1955" customFormat="false" ht="15" hidden="false" customHeight="false" outlineLevel="0" collapsed="false">
      <c r="B1955" s="19" t="s">
        <v>30419</v>
      </c>
      <c r="C1955" s="20" t="n">
        <f aca="false">ROUND(6.53/FX,2)</f>
        <v>0.91</v>
      </c>
      <c r="D1955" s="21" t="s">
        <v>1520</v>
      </c>
      <c r="E1955" s="21" t="s">
        <v>789</v>
      </c>
      <c r="F1955" s="21" t="s">
        <v>707</v>
      </c>
    </row>
    <row r="1956" customFormat="false" ht="15" hidden="false" customHeight="false" outlineLevel="0" collapsed="false">
      <c r="B1956" s="19" t="s">
        <v>30420</v>
      </c>
      <c r="C1956" s="20" t="n">
        <f aca="false">ROUND(0.74/FX,2)</f>
        <v>0.1</v>
      </c>
      <c r="D1956" s="21" t="s">
        <v>3328</v>
      </c>
      <c r="E1956" s="21" t="s">
        <v>789</v>
      </c>
      <c r="F1956" s="21" t="s">
        <v>707</v>
      </c>
    </row>
    <row r="1957" customFormat="false" ht="15" hidden="false" customHeight="false" outlineLevel="0" collapsed="false">
      <c r="B1957" s="19" t="s">
        <v>30421</v>
      </c>
      <c r="C1957" s="20" t="n">
        <f aca="false">ROUND(0.81/FX,2)</f>
        <v>0.11</v>
      </c>
      <c r="D1957" s="21" t="s">
        <v>6246</v>
      </c>
      <c r="E1957" s="21" t="s">
        <v>789</v>
      </c>
      <c r="F1957" s="21" t="s">
        <v>707</v>
      </c>
    </row>
    <row r="1958" customFormat="false" ht="15" hidden="false" customHeight="false" outlineLevel="0" collapsed="false">
      <c r="B1958" s="19" t="s">
        <v>30422</v>
      </c>
      <c r="C1958" s="20" t="n">
        <f aca="false">ROUND(0.87/FX,2)</f>
        <v>0.12</v>
      </c>
      <c r="D1958" s="21" t="s">
        <v>7358</v>
      </c>
      <c r="E1958" s="21" t="s">
        <v>789</v>
      </c>
      <c r="F1958" s="21" t="s">
        <v>707</v>
      </c>
    </row>
    <row r="1959" customFormat="false" ht="15" hidden="false" customHeight="false" outlineLevel="0" collapsed="false">
      <c r="B1959" s="19" t="s">
        <v>30423</v>
      </c>
      <c r="C1959" s="20" t="n">
        <f aca="false">ROUND(0.93/FX,2)</f>
        <v>0.13</v>
      </c>
      <c r="D1959" s="21" t="s">
        <v>2911</v>
      </c>
      <c r="E1959" s="21" t="s">
        <v>789</v>
      </c>
      <c r="F1959" s="21" t="s">
        <v>707</v>
      </c>
    </row>
    <row r="1960" customFormat="false" ht="15" hidden="false" customHeight="false" outlineLevel="0" collapsed="false">
      <c r="B1960" s="19" t="s">
        <v>30424</v>
      </c>
      <c r="C1960" s="20" t="n">
        <f aca="false">ROUND(0.99/FX,2)</f>
        <v>0.14</v>
      </c>
      <c r="D1960" s="21" t="s">
        <v>7275</v>
      </c>
      <c r="E1960" s="21" t="s">
        <v>789</v>
      </c>
      <c r="F1960" s="21" t="s">
        <v>707</v>
      </c>
    </row>
    <row r="1961" customFormat="false" ht="15" hidden="false" customHeight="false" outlineLevel="0" collapsed="false">
      <c r="B1961" s="19" t="s">
        <v>30425</v>
      </c>
      <c r="C1961" s="20" t="n">
        <f aca="false">ROUND(1.05/FX,2)</f>
        <v>0.15</v>
      </c>
      <c r="D1961" s="21" t="s">
        <v>2961</v>
      </c>
      <c r="E1961" s="21" t="s">
        <v>789</v>
      </c>
      <c r="F1961" s="21" t="s">
        <v>707</v>
      </c>
    </row>
    <row r="1962" customFormat="false" ht="15" hidden="false" customHeight="false" outlineLevel="0" collapsed="false">
      <c r="B1962" s="19" t="s">
        <v>30426</v>
      </c>
      <c r="C1962" s="20" t="n">
        <f aca="false">ROUND(1.12/FX,2)</f>
        <v>0.16</v>
      </c>
      <c r="D1962" s="21" t="s">
        <v>13817</v>
      </c>
      <c r="E1962" s="21" t="s">
        <v>789</v>
      </c>
      <c r="F1962" s="21" t="s">
        <v>707</v>
      </c>
    </row>
    <row r="1963" customFormat="false" ht="15" hidden="false" customHeight="false" outlineLevel="0" collapsed="false">
      <c r="B1963" s="19" t="s">
        <v>30427</v>
      </c>
      <c r="C1963" s="20" t="n">
        <f aca="false">ROUND(1.24/FX,2)</f>
        <v>0.17</v>
      </c>
      <c r="D1963" s="21" t="s">
        <v>3011</v>
      </c>
      <c r="E1963" s="21" t="s">
        <v>789</v>
      </c>
      <c r="F1963" s="21" t="s">
        <v>707</v>
      </c>
    </row>
    <row r="1964" customFormat="false" ht="15" hidden="false" customHeight="false" outlineLevel="0" collapsed="false">
      <c r="B1964" s="19" t="s">
        <v>30428</v>
      </c>
      <c r="C1964" s="20" t="n">
        <f aca="false">ROUND(1.3/FX,2)</f>
        <v>0.18</v>
      </c>
      <c r="D1964" s="21" t="s">
        <v>7396</v>
      </c>
      <c r="E1964" s="21" t="s">
        <v>789</v>
      </c>
      <c r="F1964" s="21" t="s">
        <v>707</v>
      </c>
    </row>
    <row r="1965" customFormat="false" ht="15" hidden="false" customHeight="false" outlineLevel="0" collapsed="false">
      <c r="B1965" s="19" t="s">
        <v>30429</v>
      </c>
      <c r="C1965" s="20" t="n">
        <f aca="false">ROUND(1.3/FX,2)</f>
        <v>0.18</v>
      </c>
      <c r="D1965" s="21" t="s">
        <v>3061</v>
      </c>
      <c r="E1965" s="21" t="s">
        <v>789</v>
      </c>
      <c r="F1965" s="21" t="s">
        <v>707</v>
      </c>
    </row>
    <row r="1966" customFormat="false" ht="15" hidden="false" customHeight="false" outlineLevel="0" collapsed="false">
      <c r="B1966" s="19" t="s">
        <v>30430</v>
      </c>
      <c r="C1966" s="20" t="n">
        <f aca="false">ROUND(1.37/FX,2)</f>
        <v>0.19</v>
      </c>
      <c r="D1966" s="21" t="s">
        <v>11870</v>
      </c>
      <c r="E1966" s="21" t="s">
        <v>789</v>
      </c>
      <c r="F1966" s="21" t="s">
        <v>707</v>
      </c>
    </row>
    <row r="1967" customFormat="false" ht="15" hidden="false" customHeight="false" outlineLevel="0" collapsed="false">
      <c r="B1967" s="19" t="s">
        <v>30431</v>
      </c>
      <c r="C1967" s="20" t="n">
        <f aca="false">ROUND(1.43/FX,2)</f>
        <v>0.2</v>
      </c>
      <c r="D1967" s="21" t="s">
        <v>3111</v>
      </c>
      <c r="E1967" s="21" t="s">
        <v>789</v>
      </c>
      <c r="F1967" s="21" t="s">
        <v>707</v>
      </c>
    </row>
    <row r="1968" customFormat="false" ht="15" hidden="false" customHeight="false" outlineLevel="0" collapsed="false">
      <c r="B1968" s="19" t="s">
        <v>30432</v>
      </c>
      <c r="C1968" s="20" t="n">
        <f aca="false">ROUND(1.73/FX,2)</f>
        <v>0.24</v>
      </c>
      <c r="D1968" s="21" t="s">
        <v>2600</v>
      </c>
      <c r="E1968" s="21" t="s">
        <v>716</v>
      </c>
      <c r="F1968" s="21" t="s">
        <v>761</v>
      </c>
    </row>
    <row r="1969" customFormat="false" ht="15" hidden="false" customHeight="false" outlineLevel="0" collapsed="false">
      <c r="B1969" s="19" t="s">
        <v>30433</v>
      </c>
      <c r="C1969" s="20" t="n">
        <f aca="false">ROUND(2.22/FX,2)</f>
        <v>0.31</v>
      </c>
      <c r="D1969" s="21" t="s">
        <v>11968</v>
      </c>
      <c r="E1969" s="21" t="s">
        <v>716</v>
      </c>
      <c r="F1969" s="21" t="s">
        <v>761</v>
      </c>
    </row>
    <row r="1970" customFormat="false" ht="15" hidden="false" customHeight="false" outlineLevel="0" collapsed="false">
      <c r="B1970" s="19" t="s">
        <v>30434</v>
      </c>
      <c r="C1970" s="20" t="n">
        <f aca="false">ROUND(0.56/FX,2)</f>
        <v>0.08</v>
      </c>
      <c r="D1970" s="21" t="s">
        <v>3247</v>
      </c>
      <c r="E1970" s="21" t="s">
        <v>716</v>
      </c>
      <c r="F1970" s="21" t="s">
        <v>761</v>
      </c>
    </row>
    <row r="1971" customFormat="false" ht="15" hidden="false" customHeight="false" outlineLevel="0" collapsed="false">
      <c r="B1971" s="19" t="s">
        <v>30435</v>
      </c>
      <c r="C1971" s="20" t="n">
        <f aca="false">ROUND(0.78/FX,2)</f>
        <v>0.11</v>
      </c>
      <c r="D1971" s="21" t="s">
        <v>3317</v>
      </c>
      <c r="E1971" s="21" t="s">
        <v>716</v>
      </c>
      <c r="F1971" s="21" t="s">
        <v>761</v>
      </c>
    </row>
    <row r="1972" customFormat="false" ht="15" hidden="false" customHeight="false" outlineLevel="0" collapsed="false">
      <c r="B1972" s="19" t="s">
        <v>30436</v>
      </c>
      <c r="C1972" s="20" t="n">
        <f aca="false">ROUND(0.74/FX,2)</f>
        <v>0.1</v>
      </c>
      <c r="D1972" s="21" t="s">
        <v>784</v>
      </c>
      <c r="E1972" s="21" t="s">
        <v>716</v>
      </c>
      <c r="F1972" s="21" t="s">
        <v>761</v>
      </c>
    </row>
    <row r="1973" customFormat="false" ht="15" hidden="false" customHeight="false" outlineLevel="0" collapsed="false">
      <c r="B1973" s="19" t="s">
        <v>30437</v>
      </c>
      <c r="C1973" s="20" t="n">
        <f aca="false">ROUND(6.92/FX,2)</f>
        <v>0.96</v>
      </c>
      <c r="D1973" s="21" t="s">
        <v>1520</v>
      </c>
      <c r="E1973" s="21" t="s">
        <v>716</v>
      </c>
      <c r="F1973" s="21" t="s">
        <v>761</v>
      </c>
    </row>
    <row r="1974" customFormat="false" ht="15" hidden="false" customHeight="false" outlineLevel="0" collapsed="false">
      <c r="B1974" s="19" t="s">
        <v>30438</v>
      </c>
      <c r="C1974" s="20" t="n">
        <f aca="false">ROUND(0.81/FX,2)</f>
        <v>0.11</v>
      </c>
      <c r="D1974" s="21" t="s">
        <v>3328</v>
      </c>
      <c r="E1974" s="21" t="s">
        <v>716</v>
      </c>
      <c r="F1974" s="21" t="s">
        <v>761</v>
      </c>
    </row>
    <row r="1975" customFormat="false" ht="15" hidden="false" customHeight="false" outlineLevel="0" collapsed="false">
      <c r="B1975" s="19" t="s">
        <v>30439</v>
      </c>
      <c r="C1975" s="20" t="n">
        <f aca="false">ROUND(0.87/FX,2)</f>
        <v>0.12</v>
      </c>
      <c r="D1975" s="21" t="s">
        <v>6246</v>
      </c>
      <c r="E1975" s="21" t="s">
        <v>716</v>
      </c>
      <c r="F1975" s="21" t="s">
        <v>761</v>
      </c>
    </row>
    <row r="1976" customFormat="false" ht="15" hidden="false" customHeight="false" outlineLevel="0" collapsed="false">
      <c r="B1976" s="19" t="s">
        <v>30440</v>
      </c>
      <c r="C1976" s="20" t="n">
        <f aca="false">ROUND(0.94/FX,2)</f>
        <v>0.13</v>
      </c>
      <c r="D1976" s="21" t="s">
        <v>7358</v>
      </c>
      <c r="E1976" s="21" t="s">
        <v>716</v>
      </c>
      <c r="F1976" s="21" t="s">
        <v>761</v>
      </c>
    </row>
    <row r="1977" customFormat="false" ht="15" hidden="false" customHeight="false" outlineLevel="0" collapsed="false">
      <c r="B1977" s="19" t="s">
        <v>30441</v>
      </c>
      <c r="C1977" s="20" t="n">
        <f aca="false">ROUND(0.99/FX,2)</f>
        <v>0.14</v>
      </c>
      <c r="D1977" s="21" t="s">
        <v>2911</v>
      </c>
      <c r="E1977" s="21" t="s">
        <v>716</v>
      </c>
      <c r="F1977" s="21" t="s">
        <v>761</v>
      </c>
    </row>
    <row r="1978" customFormat="false" ht="15" hidden="false" customHeight="false" outlineLevel="0" collapsed="false">
      <c r="B1978" s="19" t="s">
        <v>30442</v>
      </c>
      <c r="C1978" s="20" t="n">
        <f aca="false">ROUND(1.05/FX,2)</f>
        <v>0.15</v>
      </c>
      <c r="D1978" s="21" t="s">
        <v>7275</v>
      </c>
      <c r="E1978" s="21" t="s">
        <v>716</v>
      </c>
      <c r="F1978" s="21" t="s">
        <v>761</v>
      </c>
    </row>
    <row r="1979" customFormat="false" ht="15" hidden="false" customHeight="false" outlineLevel="0" collapsed="false">
      <c r="B1979" s="19" t="s">
        <v>30443</v>
      </c>
      <c r="C1979" s="20" t="n">
        <f aca="false">ROUND(1.12/FX,2)</f>
        <v>0.16</v>
      </c>
      <c r="D1979" s="21" t="s">
        <v>2961</v>
      </c>
      <c r="E1979" s="21" t="s">
        <v>716</v>
      </c>
      <c r="F1979" s="21" t="s">
        <v>761</v>
      </c>
    </row>
    <row r="1980" customFormat="false" ht="15" hidden="false" customHeight="false" outlineLevel="0" collapsed="false">
      <c r="B1980" s="19" t="s">
        <v>30444</v>
      </c>
      <c r="C1980" s="20" t="n">
        <f aca="false">ROUND(1.18/FX,2)</f>
        <v>0.16</v>
      </c>
      <c r="D1980" s="21" t="s">
        <v>13817</v>
      </c>
      <c r="E1980" s="21" t="s">
        <v>716</v>
      </c>
      <c r="F1980" s="21" t="s">
        <v>761</v>
      </c>
    </row>
    <row r="1981" customFormat="false" ht="15" hidden="false" customHeight="false" outlineLevel="0" collapsed="false">
      <c r="B1981" s="19" t="s">
        <v>30445</v>
      </c>
      <c r="C1981" s="20" t="n">
        <f aca="false">ROUND(1.24/FX,2)</f>
        <v>0.17</v>
      </c>
      <c r="D1981" s="21" t="s">
        <v>3011</v>
      </c>
      <c r="E1981" s="21" t="s">
        <v>716</v>
      </c>
      <c r="F1981" s="21" t="s">
        <v>761</v>
      </c>
    </row>
    <row r="1982" customFormat="false" ht="15" hidden="false" customHeight="false" outlineLevel="0" collapsed="false">
      <c r="B1982" s="19" t="s">
        <v>30446</v>
      </c>
      <c r="C1982" s="20" t="n">
        <f aca="false">ROUND(1.3/FX,2)</f>
        <v>0.18</v>
      </c>
      <c r="D1982" s="21" t="s">
        <v>7396</v>
      </c>
      <c r="E1982" s="21" t="s">
        <v>716</v>
      </c>
      <c r="F1982" s="21" t="s">
        <v>761</v>
      </c>
    </row>
    <row r="1983" customFormat="false" ht="15" hidden="false" customHeight="false" outlineLevel="0" collapsed="false">
      <c r="B1983" s="19" t="s">
        <v>30447</v>
      </c>
      <c r="C1983" s="20" t="n">
        <f aca="false">ROUND(1.37/FX,2)</f>
        <v>0.19</v>
      </c>
      <c r="D1983" s="21" t="s">
        <v>3061</v>
      </c>
      <c r="E1983" s="21" t="s">
        <v>716</v>
      </c>
      <c r="F1983" s="21" t="s">
        <v>761</v>
      </c>
    </row>
    <row r="1984" customFormat="false" ht="15" hidden="false" customHeight="false" outlineLevel="0" collapsed="false">
      <c r="B1984" s="19" t="s">
        <v>30448</v>
      </c>
      <c r="C1984" s="20" t="n">
        <f aca="false">ROUND(1.48/FX,2)</f>
        <v>0.21</v>
      </c>
      <c r="D1984" s="21" t="s">
        <v>11870</v>
      </c>
      <c r="E1984" s="21" t="s">
        <v>716</v>
      </c>
      <c r="F1984" s="21" t="s">
        <v>761</v>
      </c>
    </row>
    <row r="1985" customFormat="false" ht="15" hidden="false" customHeight="false" outlineLevel="0" collapsed="false">
      <c r="B1985" s="19" t="s">
        <v>30449</v>
      </c>
      <c r="C1985" s="20" t="n">
        <f aca="false">ROUND(1.61/FX,2)</f>
        <v>0.22</v>
      </c>
      <c r="D1985" s="21" t="s">
        <v>3111</v>
      </c>
      <c r="E1985" s="21" t="s">
        <v>716</v>
      </c>
      <c r="F1985" s="21" t="s">
        <v>761</v>
      </c>
    </row>
    <row r="1986" customFormat="false" ht="15" hidden="false" customHeight="false" outlineLevel="0" collapsed="false">
      <c r="B1986" s="19" t="s">
        <v>30450</v>
      </c>
      <c r="C1986" s="20" t="n">
        <f aca="false">ROUND(1.86/FX,2)</f>
        <v>0.26</v>
      </c>
      <c r="D1986" s="21" t="s">
        <v>2600</v>
      </c>
      <c r="E1986" s="21" t="s">
        <v>845</v>
      </c>
      <c r="F1986" s="21" t="s">
        <v>4721</v>
      </c>
    </row>
    <row r="1987" customFormat="false" ht="15" hidden="false" customHeight="false" outlineLevel="0" collapsed="false">
      <c r="B1987" s="19" t="s">
        <v>30451</v>
      </c>
      <c r="C1987" s="20" t="n">
        <f aca="false">ROUND(2.35/FX,2)</f>
        <v>0.33</v>
      </c>
      <c r="D1987" s="21" t="s">
        <v>11968</v>
      </c>
      <c r="E1987" s="21" t="s">
        <v>845</v>
      </c>
      <c r="F1987" s="21" t="s">
        <v>4721</v>
      </c>
    </row>
    <row r="1988" customFormat="false" ht="15" hidden="false" customHeight="false" outlineLevel="0" collapsed="false">
      <c r="B1988" s="19" t="s">
        <v>30452</v>
      </c>
      <c r="C1988" s="20" t="n">
        <f aca="false">ROUND(2.72/FX,2)</f>
        <v>0.38</v>
      </c>
      <c r="D1988" s="21" t="s">
        <v>2851</v>
      </c>
      <c r="E1988" s="21" t="s">
        <v>845</v>
      </c>
      <c r="F1988" s="21" t="s">
        <v>4721</v>
      </c>
    </row>
    <row r="1989" customFormat="false" ht="15" hidden="false" customHeight="false" outlineLevel="0" collapsed="false">
      <c r="B1989" s="19" t="s">
        <v>30453</v>
      </c>
      <c r="C1989" s="20" t="n">
        <f aca="false">ROUND(0.74/FX,2)</f>
        <v>0.1</v>
      </c>
      <c r="D1989" s="21" t="s">
        <v>3247</v>
      </c>
      <c r="E1989" s="21" t="s">
        <v>845</v>
      </c>
      <c r="F1989" s="21" t="s">
        <v>4721</v>
      </c>
    </row>
    <row r="1990" customFormat="false" ht="15" hidden="false" customHeight="false" outlineLevel="0" collapsed="false">
      <c r="B1990" s="19" t="s">
        <v>30454</v>
      </c>
      <c r="C1990" s="20" t="n">
        <f aca="false">ROUND(0.74/FX,2)</f>
        <v>0.1</v>
      </c>
      <c r="D1990" s="21" t="s">
        <v>3317</v>
      </c>
      <c r="E1990" s="21" t="s">
        <v>845</v>
      </c>
      <c r="F1990" s="21" t="s">
        <v>4721</v>
      </c>
    </row>
    <row r="1991" customFormat="false" ht="15" hidden="false" customHeight="false" outlineLevel="0" collapsed="false">
      <c r="B1991" s="19" t="s">
        <v>30455</v>
      </c>
      <c r="C1991" s="20" t="n">
        <f aca="false">ROUND(0.81/FX,2)</f>
        <v>0.11</v>
      </c>
      <c r="D1991" s="21" t="s">
        <v>784</v>
      </c>
      <c r="E1991" s="21" t="s">
        <v>845</v>
      </c>
      <c r="F1991" s="21" t="s">
        <v>4721</v>
      </c>
    </row>
    <row r="1992" customFormat="false" ht="15" hidden="false" customHeight="false" outlineLevel="0" collapsed="false">
      <c r="B1992" s="19" t="s">
        <v>30456</v>
      </c>
      <c r="C1992" s="20" t="n">
        <f aca="false">ROUND(7.9/FX,2)</f>
        <v>1.1</v>
      </c>
      <c r="D1992" s="21" t="s">
        <v>1520</v>
      </c>
      <c r="E1992" s="21" t="s">
        <v>845</v>
      </c>
      <c r="F1992" s="21" t="s">
        <v>4721</v>
      </c>
    </row>
    <row r="1993" customFormat="false" ht="15" hidden="false" customHeight="false" outlineLevel="0" collapsed="false">
      <c r="B1993" s="19" t="s">
        <v>30457</v>
      </c>
      <c r="C1993" s="20" t="n">
        <f aca="false">ROUND(0.87/FX,2)</f>
        <v>0.12</v>
      </c>
      <c r="D1993" s="21" t="s">
        <v>3328</v>
      </c>
      <c r="E1993" s="21" t="s">
        <v>845</v>
      </c>
      <c r="F1993" s="21" t="s">
        <v>4721</v>
      </c>
    </row>
    <row r="1994" customFormat="false" ht="15" hidden="false" customHeight="false" outlineLevel="0" collapsed="false">
      <c r="B1994" s="19" t="s">
        <v>30458</v>
      </c>
      <c r="C1994" s="20" t="n">
        <f aca="false">ROUND(0.94/FX,2)</f>
        <v>0.13</v>
      </c>
      <c r="D1994" s="21" t="s">
        <v>6246</v>
      </c>
      <c r="E1994" s="21" t="s">
        <v>845</v>
      </c>
      <c r="F1994" s="21" t="s">
        <v>4721</v>
      </c>
    </row>
    <row r="1995" customFormat="false" ht="15" hidden="false" customHeight="false" outlineLevel="0" collapsed="false">
      <c r="B1995" s="19" t="s">
        <v>30459</v>
      </c>
      <c r="C1995" s="20" t="n">
        <f aca="false">ROUND(0.99/FX,2)</f>
        <v>0.14</v>
      </c>
      <c r="D1995" s="21" t="s">
        <v>7358</v>
      </c>
      <c r="E1995" s="21" t="s">
        <v>845</v>
      </c>
      <c r="F1995" s="21" t="s">
        <v>4721</v>
      </c>
    </row>
    <row r="1996" customFormat="false" ht="15" hidden="false" customHeight="false" outlineLevel="0" collapsed="false">
      <c r="B1996" s="19" t="s">
        <v>30460</v>
      </c>
      <c r="C1996" s="20" t="n">
        <f aca="false">ROUND(1.05/FX,2)</f>
        <v>0.15</v>
      </c>
      <c r="D1996" s="21" t="s">
        <v>2911</v>
      </c>
      <c r="E1996" s="21" t="s">
        <v>845</v>
      </c>
      <c r="F1996" s="21" t="s">
        <v>4721</v>
      </c>
    </row>
    <row r="1997" customFormat="false" ht="15" hidden="false" customHeight="false" outlineLevel="0" collapsed="false">
      <c r="B1997" s="19" t="s">
        <v>30461</v>
      </c>
      <c r="C1997" s="20" t="n">
        <f aca="false">ROUND(1.12/FX,2)</f>
        <v>0.16</v>
      </c>
      <c r="D1997" s="21" t="s">
        <v>7275</v>
      </c>
      <c r="E1997" s="21" t="s">
        <v>845</v>
      </c>
      <c r="F1997" s="21" t="s">
        <v>4721</v>
      </c>
    </row>
    <row r="1998" customFormat="false" ht="15" hidden="false" customHeight="false" outlineLevel="0" collapsed="false">
      <c r="B1998" s="19" t="s">
        <v>30462</v>
      </c>
      <c r="C1998" s="20" t="n">
        <f aca="false">ROUND(1.24/FX,2)</f>
        <v>0.17</v>
      </c>
      <c r="D1998" s="21" t="s">
        <v>2961</v>
      </c>
      <c r="E1998" s="21" t="s">
        <v>845</v>
      </c>
      <c r="F1998" s="21" t="s">
        <v>4721</v>
      </c>
    </row>
    <row r="1999" customFormat="false" ht="15" hidden="false" customHeight="false" outlineLevel="0" collapsed="false">
      <c r="B1999" s="19" t="s">
        <v>30463</v>
      </c>
      <c r="C1999" s="20" t="n">
        <f aca="false">ROUND(1.3/FX,2)</f>
        <v>0.18</v>
      </c>
      <c r="D1999" s="21" t="s">
        <v>13817</v>
      </c>
      <c r="E1999" s="21" t="s">
        <v>845</v>
      </c>
      <c r="F1999" s="21" t="s">
        <v>4721</v>
      </c>
    </row>
    <row r="2000" customFormat="false" ht="15" hidden="false" customHeight="false" outlineLevel="0" collapsed="false">
      <c r="B2000" s="19" t="s">
        <v>30464</v>
      </c>
      <c r="C2000" s="20" t="n">
        <f aca="false">ROUND(1.37/FX,2)</f>
        <v>0.19</v>
      </c>
      <c r="D2000" s="21" t="s">
        <v>3011</v>
      </c>
      <c r="E2000" s="21" t="s">
        <v>845</v>
      </c>
      <c r="F2000" s="21" t="s">
        <v>4721</v>
      </c>
    </row>
    <row r="2001" customFormat="false" ht="15" hidden="false" customHeight="false" outlineLevel="0" collapsed="false">
      <c r="B2001" s="19" t="s">
        <v>30465</v>
      </c>
      <c r="C2001" s="20" t="n">
        <f aca="false">ROUND(1.43/FX,2)</f>
        <v>0.2</v>
      </c>
      <c r="D2001" s="21" t="s">
        <v>7396</v>
      </c>
      <c r="E2001" s="21" t="s">
        <v>845</v>
      </c>
      <c r="F2001" s="21" t="s">
        <v>4721</v>
      </c>
    </row>
    <row r="2002" customFormat="false" ht="15" hidden="false" customHeight="false" outlineLevel="0" collapsed="false">
      <c r="B2002" s="19" t="s">
        <v>30466</v>
      </c>
      <c r="C2002" s="20" t="n">
        <f aca="false">ROUND(1.48/FX,2)</f>
        <v>0.21</v>
      </c>
      <c r="D2002" s="21" t="s">
        <v>3061</v>
      </c>
      <c r="E2002" s="21" t="s">
        <v>845</v>
      </c>
      <c r="F2002" s="21" t="s">
        <v>4721</v>
      </c>
    </row>
    <row r="2003" customFormat="false" ht="15" hidden="false" customHeight="false" outlineLevel="0" collapsed="false">
      <c r="B2003" s="19" t="s">
        <v>30467</v>
      </c>
      <c r="C2003" s="20" t="n">
        <f aca="false">ROUND(1.55/FX,2)</f>
        <v>0.22</v>
      </c>
      <c r="D2003" s="21" t="s">
        <v>11870</v>
      </c>
      <c r="E2003" s="21" t="s">
        <v>845</v>
      </c>
      <c r="F2003" s="21" t="s">
        <v>4721</v>
      </c>
    </row>
    <row r="2004" customFormat="false" ht="15" hidden="false" customHeight="false" outlineLevel="0" collapsed="false">
      <c r="B2004" s="19" t="s">
        <v>30468</v>
      </c>
      <c r="C2004" s="20" t="n">
        <f aca="false">ROUND(1.55/FX,2)</f>
        <v>0.22</v>
      </c>
      <c r="D2004" s="21" t="s">
        <v>3111</v>
      </c>
      <c r="E2004" s="21" t="s">
        <v>845</v>
      </c>
      <c r="F2004" s="21" t="s">
        <v>4721</v>
      </c>
    </row>
    <row r="2005" customFormat="false" ht="15" hidden="false" customHeight="false" outlineLevel="0" collapsed="false">
      <c r="B2005" s="19" t="s">
        <v>30469</v>
      </c>
      <c r="C2005" s="20" t="n">
        <f aca="false">ROUND(2.47/FX,2)</f>
        <v>0.34</v>
      </c>
      <c r="D2005" s="21" t="s">
        <v>2600</v>
      </c>
      <c r="E2005" s="21" t="s">
        <v>847</v>
      </c>
      <c r="F2005" s="21" t="s">
        <v>3833</v>
      </c>
    </row>
    <row r="2006" customFormat="false" ht="15" hidden="false" customHeight="false" outlineLevel="0" collapsed="false">
      <c r="B2006" s="19" t="s">
        <v>30470</v>
      </c>
      <c r="C2006" s="20" t="n">
        <f aca="false">ROUND(2.6/FX,2)</f>
        <v>0.36</v>
      </c>
      <c r="D2006" s="21" t="s">
        <v>2651</v>
      </c>
      <c r="E2006" s="21" t="s">
        <v>847</v>
      </c>
      <c r="F2006" s="21" t="s">
        <v>3833</v>
      </c>
    </row>
    <row r="2007" customFormat="false" ht="15" hidden="false" customHeight="false" outlineLevel="0" collapsed="false">
      <c r="B2007" s="19" t="s">
        <v>30471</v>
      </c>
      <c r="C2007" s="20" t="n">
        <f aca="false">ROUND(2.85/FX,2)</f>
        <v>0.4</v>
      </c>
      <c r="D2007" s="21" t="s">
        <v>2701</v>
      </c>
      <c r="E2007" s="21" t="s">
        <v>847</v>
      </c>
      <c r="F2007" s="21" t="s">
        <v>3833</v>
      </c>
    </row>
    <row r="2008" customFormat="false" ht="15" hidden="false" customHeight="false" outlineLevel="0" collapsed="false">
      <c r="B2008" s="19" t="s">
        <v>30472</v>
      </c>
      <c r="C2008" s="20" t="n">
        <f aca="false">ROUND(2.85/FX,2)</f>
        <v>0.4</v>
      </c>
      <c r="D2008" s="21" t="s">
        <v>11968</v>
      </c>
      <c r="E2008" s="21" t="s">
        <v>847</v>
      </c>
      <c r="F2008" s="21" t="s">
        <v>3833</v>
      </c>
    </row>
    <row r="2009" customFormat="false" ht="15" hidden="false" customHeight="false" outlineLevel="0" collapsed="false">
      <c r="B2009" s="19" t="s">
        <v>30473</v>
      </c>
      <c r="C2009" s="20" t="n">
        <f aca="false">ROUND(3.46/FX,2)</f>
        <v>0.48</v>
      </c>
      <c r="D2009" s="21" t="s">
        <v>2851</v>
      </c>
      <c r="E2009" s="21" t="s">
        <v>847</v>
      </c>
      <c r="F2009" s="21" t="s">
        <v>3833</v>
      </c>
    </row>
    <row r="2010" customFormat="false" ht="15" hidden="false" customHeight="false" outlineLevel="0" collapsed="false">
      <c r="B2010" s="19" t="s">
        <v>30474</v>
      </c>
      <c r="C2010" s="20" t="n">
        <f aca="false">ROUND(0.83/FX,2)</f>
        <v>0.12</v>
      </c>
      <c r="D2010" s="21" t="s">
        <v>3247</v>
      </c>
      <c r="E2010" s="21" t="s">
        <v>847</v>
      </c>
      <c r="F2010" s="21" t="s">
        <v>3833</v>
      </c>
    </row>
    <row r="2011" customFormat="false" ht="15" hidden="false" customHeight="false" outlineLevel="0" collapsed="false">
      <c r="B2011" s="19" t="s">
        <v>30475</v>
      </c>
      <c r="C2011" s="20" t="n">
        <f aca="false">ROUND(0.87/FX,2)</f>
        <v>0.12</v>
      </c>
      <c r="D2011" s="21" t="s">
        <v>3317</v>
      </c>
      <c r="E2011" s="21" t="s">
        <v>847</v>
      </c>
      <c r="F2011" s="21" t="s">
        <v>3833</v>
      </c>
    </row>
    <row r="2012" customFormat="false" ht="15" hidden="false" customHeight="false" outlineLevel="0" collapsed="false">
      <c r="B2012" s="19" t="s">
        <v>30476</v>
      </c>
      <c r="C2012" s="20" t="n">
        <f aca="false">ROUND(0.91/FX,2)</f>
        <v>0.13</v>
      </c>
      <c r="D2012" s="21" t="s">
        <v>784</v>
      </c>
      <c r="E2012" s="21" t="s">
        <v>847</v>
      </c>
      <c r="F2012" s="21" t="s">
        <v>3833</v>
      </c>
    </row>
    <row r="2013" customFormat="false" ht="15" hidden="false" customHeight="false" outlineLevel="0" collapsed="false">
      <c r="B2013" s="19" t="s">
        <v>30477</v>
      </c>
      <c r="C2013" s="20" t="n">
        <f aca="false">ROUND(9.49/FX,2)</f>
        <v>1.32</v>
      </c>
      <c r="D2013" s="21" t="s">
        <v>1520</v>
      </c>
      <c r="E2013" s="21" t="s">
        <v>847</v>
      </c>
      <c r="F2013" s="21" t="s">
        <v>3833</v>
      </c>
    </row>
    <row r="2014" customFormat="false" ht="15" hidden="false" customHeight="false" outlineLevel="0" collapsed="false">
      <c r="B2014" s="19" t="s">
        <v>30478</v>
      </c>
      <c r="C2014" s="20" t="n">
        <f aca="false">ROUND(1.12/FX,2)</f>
        <v>0.16</v>
      </c>
      <c r="D2014" s="21" t="s">
        <v>3328</v>
      </c>
      <c r="E2014" s="21" t="s">
        <v>847</v>
      </c>
      <c r="F2014" s="21" t="s">
        <v>3833</v>
      </c>
    </row>
    <row r="2015" customFormat="false" ht="15" hidden="false" customHeight="false" outlineLevel="0" collapsed="false">
      <c r="B2015" s="19" t="s">
        <v>30479</v>
      </c>
      <c r="C2015" s="20" t="n">
        <f aca="false">ROUND(0.74/FX,2)</f>
        <v>0.1</v>
      </c>
      <c r="D2015" s="21" t="s">
        <v>6246</v>
      </c>
      <c r="E2015" s="21" t="s">
        <v>847</v>
      </c>
      <c r="F2015" s="21" t="s">
        <v>3833</v>
      </c>
    </row>
    <row r="2016" customFormat="false" ht="15" hidden="false" customHeight="false" outlineLevel="0" collapsed="false">
      <c r="B2016" s="19" t="s">
        <v>30480</v>
      </c>
      <c r="C2016" s="20" t="n">
        <f aca="false">ROUND(1.37/FX,2)</f>
        <v>0.19</v>
      </c>
      <c r="D2016" s="21" t="s">
        <v>7358</v>
      </c>
      <c r="E2016" s="21" t="s">
        <v>847</v>
      </c>
      <c r="F2016" s="21" t="s">
        <v>3833</v>
      </c>
    </row>
    <row r="2017" customFormat="false" ht="15" hidden="false" customHeight="false" outlineLevel="0" collapsed="false">
      <c r="B2017" s="19" t="s">
        <v>30481</v>
      </c>
      <c r="C2017" s="20" t="n">
        <f aca="false">ROUND(1.48/FX,2)</f>
        <v>0.21</v>
      </c>
      <c r="D2017" s="21" t="s">
        <v>2911</v>
      </c>
      <c r="E2017" s="21" t="s">
        <v>847</v>
      </c>
      <c r="F2017" s="21" t="s">
        <v>3833</v>
      </c>
    </row>
    <row r="2018" customFormat="false" ht="15" hidden="false" customHeight="false" outlineLevel="0" collapsed="false">
      <c r="B2018" s="19" t="s">
        <v>30482</v>
      </c>
      <c r="C2018" s="20" t="n">
        <f aca="false">ROUND(1.61/FX,2)</f>
        <v>0.22</v>
      </c>
      <c r="D2018" s="21" t="s">
        <v>7275</v>
      </c>
      <c r="E2018" s="21" t="s">
        <v>847</v>
      </c>
      <c r="F2018" s="21" t="s">
        <v>3833</v>
      </c>
    </row>
    <row r="2019" customFormat="false" ht="15" hidden="false" customHeight="false" outlineLevel="0" collapsed="false">
      <c r="B2019" s="19" t="s">
        <v>30483</v>
      </c>
      <c r="C2019" s="20" t="n">
        <f aca="false">ROUND(1.73/FX,2)</f>
        <v>0.24</v>
      </c>
      <c r="D2019" s="21" t="s">
        <v>2961</v>
      </c>
      <c r="E2019" s="21" t="s">
        <v>847</v>
      </c>
      <c r="F2019" s="21" t="s">
        <v>3833</v>
      </c>
    </row>
    <row r="2020" customFormat="false" ht="15" hidden="false" customHeight="false" outlineLevel="0" collapsed="false">
      <c r="B2020" s="19" t="s">
        <v>30484</v>
      </c>
      <c r="C2020" s="20" t="n">
        <f aca="false">ROUND(1.86/FX,2)</f>
        <v>0.26</v>
      </c>
      <c r="D2020" s="21" t="s">
        <v>13817</v>
      </c>
      <c r="E2020" s="21" t="s">
        <v>847</v>
      </c>
      <c r="F2020" s="21" t="s">
        <v>3833</v>
      </c>
    </row>
    <row r="2021" customFormat="false" ht="15" hidden="false" customHeight="false" outlineLevel="0" collapsed="false">
      <c r="B2021" s="19" t="s">
        <v>30485</v>
      </c>
      <c r="C2021" s="20" t="n">
        <f aca="false">ROUND(1.98/FX,2)</f>
        <v>0.28</v>
      </c>
      <c r="D2021" s="21" t="s">
        <v>3011</v>
      </c>
      <c r="E2021" s="21" t="s">
        <v>847</v>
      </c>
      <c r="F2021" s="21" t="s">
        <v>3833</v>
      </c>
    </row>
    <row r="2022" customFormat="false" ht="15" hidden="false" customHeight="false" outlineLevel="0" collapsed="false">
      <c r="B2022" s="19" t="s">
        <v>30486</v>
      </c>
      <c r="C2022" s="20" t="n">
        <f aca="false">ROUND(2.11/FX,2)</f>
        <v>0.29</v>
      </c>
      <c r="D2022" s="21" t="s">
        <v>7396</v>
      </c>
      <c r="E2022" s="21" t="s">
        <v>847</v>
      </c>
      <c r="F2022" s="21" t="s">
        <v>3833</v>
      </c>
    </row>
    <row r="2023" customFormat="false" ht="15" hidden="false" customHeight="false" outlineLevel="0" collapsed="false">
      <c r="B2023" s="19" t="s">
        <v>30487</v>
      </c>
      <c r="C2023" s="20" t="n">
        <f aca="false">ROUND(2.22/FX,2)</f>
        <v>0.31</v>
      </c>
      <c r="D2023" s="21" t="s">
        <v>3061</v>
      </c>
      <c r="E2023" s="21" t="s">
        <v>847</v>
      </c>
      <c r="F2023" s="21" t="s">
        <v>3833</v>
      </c>
    </row>
    <row r="2024" customFormat="false" ht="15" hidden="false" customHeight="false" outlineLevel="0" collapsed="false">
      <c r="B2024" s="19" t="s">
        <v>30488</v>
      </c>
      <c r="C2024" s="20" t="n">
        <f aca="false">ROUND(2.29/FX,2)</f>
        <v>0.32</v>
      </c>
      <c r="D2024" s="21" t="s">
        <v>11870</v>
      </c>
      <c r="E2024" s="21" t="s">
        <v>847</v>
      </c>
      <c r="F2024" s="21" t="s">
        <v>3833</v>
      </c>
    </row>
    <row r="2025" customFormat="false" ht="15" hidden="false" customHeight="false" outlineLevel="0" collapsed="false">
      <c r="B2025" s="19" t="s">
        <v>30489</v>
      </c>
      <c r="C2025" s="20" t="n">
        <f aca="false">ROUND(2.35/FX,2)</f>
        <v>0.33</v>
      </c>
      <c r="D2025" s="21" t="s">
        <v>3111</v>
      </c>
      <c r="E2025" s="21" t="s">
        <v>847</v>
      </c>
      <c r="F2025" s="21" t="s">
        <v>3833</v>
      </c>
    </row>
    <row r="2026" customFormat="false" ht="15" hidden="false" customHeight="false" outlineLevel="0" collapsed="false">
      <c r="B2026" s="19" t="s">
        <v>30490</v>
      </c>
      <c r="C2026" s="20" t="n">
        <f aca="false">ROUND(2.96/FX,2)</f>
        <v>0.41</v>
      </c>
      <c r="D2026" s="21" t="s">
        <v>2600</v>
      </c>
      <c r="E2026" s="21" t="s">
        <v>719</v>
      </c>
      <c r="F2026" s="21" t="s">
        <v>4000</v>
      </c>
    </row>
    <row r="2027" customFormat="false" ht="15" hidden="false" customHeight="false" outlineLevel="0" collapsed="false">
      <c r="B2027" s="19" t="s">
        <v>30491</v>
      </c>
      <c r="C2027" s="20" t="n">
        <f aca="false">ROUND(3.21/FX,2)</f>
        <v>0.45</v>
      </c>
      <c r="D2027" s="21" t="s">
        <v>2651</v>
      </c>
      <c r="E2027" s="21" t="s">
        <v>719</v>
      </c>
      <c r="F2027" s="21" t="s">
        <v>4000</v>
      </c>
    </row>
    <row r="2028" customFormat="false" ht="15" hidden="false" customHeight="false" outlineLevel="0" collapsed="false">
      <c r="B2028" s="19" t="s">
        <v>30492</v>
      </c>
      <c r="C2028" s="20" t="n">
        <f aca="false">ROUND(3.34/FX,2)</f>
        <v>0.46</v>
      </c>
      <c r="D2028" s="21" t="s">
        <v>11968</v>
      </c>
      <c r="E2028" s="21" t="s">
        <v>719</v>
      </c>
      <c r="F2028" s="21" t="s">
        <v>4000</v>
      </c>
    </row>
    <row r="2029" customFormat="false" ht="15" hidden="false" customHeight="false" outlineLevel="0" collapsed="false">
      <c r="B2029" s="19" t="s">
        <v>30493</v>
      </c>
      <c r="C2029" s="20" t="n">
        <f aca="false">ROUND(4.33/FX,2)</f>
        <v>0.6</v>
      </c>
      <c r="D2029" s="21" t="s">
        <v>2851</v>
      </c>
      <c r="E2029" s="21" t="s">
        <v>719</v>
      </c>
      <c r="F2029" s="21" t="s">
        <v>4000</v>
      </c>
    </row>
    <row r="2030" customFormat="false" ht="15" hidden="false" customHeight="false" outlineLevel="0" collapsed="false">
      <c r="B2030" s="19" t="s">
        <v>30494</v>
      </c>
      <c r="C2030" s="20" t="n">
        <f aca="false">ROUND(1.2/FX,2)</f>
        <v>0.17</v>
      </c>
      <c r="D2030" s="21" t="s">
        <v>3247</v>
      </c>
      <c r="E2030" s="21" t="s">
        <v>719</v>
      </c>
      <c r="F2030" s="21" t="s">
        <v>4000</v>
      </c>
    </row>
    <row r="2031" customFormat="false" ht="15" hidden="false" customHeight="false" outlineLevel="0" collapsed="false">
      <c r="B2031" s="19" t="s">
        <v>30495</v>
      </c>
      <c r="C2031" s="20" t="n">
        <f aca="false">ROUND(1.24/FX,2)</f>
        <v>0.17</v>
      </c>
      <c r="D2031" s="21" t="s">
        <v>3317</v>
      </c>
      <c r="E2031" s="21" t="s">
        <v>719</v>
      </c>
      <c r="F2031" s="21" t="s">
        <v>4000</v>
      </c>
    </row>
    <row r="2032" customFormat="false" ht="15" hidden="false" customHeight="false" outlineLevel="0" collapsed="false">
      <c r="B2032" s="19" t="s">
        <v>30496</v>
      </c>
      <c r="C2032" s="20" t="n">
        <f aca="false">ROUND(1.37/FX,2)</f>
        <v>0.19</v>
      </c>
      <c r="D2032" s="21" t="s">
        <v>784</v>
      </c>
      <c r="E2032" s="21" t="s">
        <v>719</v>
      </c>
      <c r="F2032" s="21" t="s">
        <v>4000</v>
      </c>
    </row>
    <row r="2033" customFormat="false" ht="15" hidden="false" customHeight="false" outlineLevel="0" collapsed="false">
      <c r="B2033" s="19" t="s">
        <v>30497</v>
      </c>
      <c r="C2033" s="20" t="n">
        <f aca="false">ROUND(9.88/FX,2)</f>
        <v>1.37</v>
      </c>
      <c r="D2033" s="21" t="s">
        <v>1520</v>
      </c>
      <c r="E2033" s="21" t="s">
        <v>719</v>
      </c>
      <c r="F2033" s="21" t="s">
        <v>4000</v>
      </c>
    </row>
    <row r="2034" customFormat="false" ht="15" hidden="false" customHeight="false" outlineLevel="0" collapsed="false">
      <c r="B2034" s="19" t="s">
        <v>30498</v>
      </c>
      <c r="C2034" s="20" t="n">
        <f aca="false">ROUND(1.48/FX,2)</f>
        <v>0.21</v>
      </c>
      <c r="D2034" s="21" t="s">
        <v>3328</v>
      </c>
      <c r="E2034" s="21" t="s">
        <v>719</v>
      </c>
      <c r="F2034" s="21" t="s">
        <v>4000</v>
      </c>
    </row>
    <row r="2035" customFormat="false" ht="15" hidden="false" customHeight="false" outlineLevel="0" collapsed="false">
      <c r="B2035" s="19" t="s">
        <v>30499</v>
      </c>
      <c r="C2035" s="20" t="n">
        <f aca="false">ROUND(1.61/FX,2)</f>
        <v>0.22</v>
      </c>
      <c r="D2035" s="21" t="s">
        <v>6246</v>
      </c>
      <c r="E2035" s="21" t="s">
        <v>719</v>
      </c>
      <c r="F2035" s="21" t="s">
        <v>4000</v>
      </c>
    </row>
    <row r="2036" customFormat="false" ht="15" hidden="false" customHeight="false" outlineLevel="0" collapsed="false">
      <c r="B2036" s="19" t="s">
        <v>30500</v>
      </c>
      <c r="C2036" s="20" t="n">
        <f aca="false">ROUND(1.73/FX,2)</f>
        <v>0.24</v>
      </c>
      <c r="D2036" s="21" t="s">
        <v>7358</v>
      </c>
      <c r="E2036" s="21" t="s">
        <v>719</v>
      </c>
      <c r="F2036" s="21" t="s">
        <v>4000</v>
      </c>
    </row>
    <row r="2037" customFormat="false" ht="15" hidden="false" customHeight="false" outlineLevel="0" collapsed="false">
      <c r="B2037" s="19" t="s">
        <v>30501</v>
      </c>
      <c r="C2037" s="20" t="n">
        <f aca="false">ROUND(1.86/FX,2)</f>
        <v>0.26</v>
      </c>
      <c r="D2037" s="21" t="s">
        <v>2911</v>
      </c>
      <c r="E2037" s="21" t="s">
        <v>719</v>
      </c>
      <c r="F2037" s="21" t="s">
        <v>4000</v>
      </c>
    </row>
    <row r="2038" customFormat="false" ht="15" hidden="false" customHeight="false" outlineLevel="0" collapsed="false">
      <c r="B2038" s="19" t="s">
        <v>30502</v>
      </c>
      <c r="C2038" s="20" t="n">
        <f aca="false">ROUND(1.98/FX,2)</f>
        <v>0.28</v>
      </c>
      <c r="D2038" s="21" t="s">
        <v>7275</v>
      </c>
      <c r="E2038" s="21" t="s">
        <v>719</v>
      </c>
      <c r="F2038" s="21" t="s">
        <v>4000</v>
      </c>
    </row>
    <row r="2039" customFormat="false" ht="15" hidden="false" customHeight="false" outlineLevel="0" collapsed="false">
      <c r="B2039" s="19" t="s">
        <v>30503</v>
      </c>
      <c r="C2039" s="20" t="n">
        <f aca="false">ROUND(2.11/FX,2)</f>
        <v>0.29</v>
      </c>
      <c r="D2039" s="21" t="s">
        <v>2961</v>
      </c>
      <c r="E2039" s="21" t="s">
        <v>719</v>
      </c>
      <c r="F2039" s="21" t="s">
        <v>4000</v>
      </c>
    </row>
    <row r="2040" customFormat="false" ht="15" hidden="false" customHeight="false" outlineLevel="0" collapsed="false">
      <c r="B2040" s="19" t="s">
        <v>30504</v>
      </c>
      <c r="C2040" s="20" t="n">
        <f aca="false">ROUND(2.23/FX,2)</f>
        <v>0.31</v>
      </c>
      <c r="D2040" s="21" t="s">
        <v>13817</v>
      </c>
      <c r="E2040" s="21" t="s">
        <v>719</v>
      </c>
      <c r="F2040" s="21" t="s">
        <v>4000</v>
      </c>
    </row>
    <row r="2041" customFormat="false" ht="15" hidden="false" customHeight="false" outlineLevel="0" collapsed="false">
      <c r="B2041" s="19" t="s">
        <v>30505</v>
      </c>
      <c r="C2041" s="20" t="n">
        <f aca="false">ROUND(2.35/FX,2)</f>
        <v>0.33</v>
      </c>
      <c r="D2041" s="21" t="s">
        <v>3011</v>
      </c>
      <c r="E2041" s="21" t="s">
        <v>719</v>
      </c>
      <c r="F2041" s="21" t="s">
        <v>4000</v>
      </c>
    </row>
    <row r="2042" customFormat="false" ht="15" hidden="false" customHeight="false" outlineLevel="0" collapsed="false">
      <c r="B2042" s="19" t="s">
        <v>30506</v>
      </c>
      <c r="C2042" s="20" t="n">
        <f aca="false">ROUND(2.47/FX,2)</f>
        <v>0.34</v>
      </c>
      <c r="D2042" s="21" t="s">
        <v>7396</v>
      </c>
      <c r="E2042" s="21" t="s">
        <v>719</v>
      </c>
      <c r="F2042" s="21" t="s">
        <v>4000</v>
      </c>
    </row>
    <row r="2043" customFormat="false" ht="15" hidden="false" customHeight="false" outlineLevel="0" collapsed="false">
      <c r="B2043" s="19" t="s">
        <v>30507</v>
      </c>
      <c r="C2043" s="20" t="n">
        <f aca="false">ROUND(2.6/FX,2)</f>
        <v>0.36</v>
      </c>
      <c r="D2043" s="21" t="s">
        <v>3061</v>
      </c>
      <c r="E2043" s="21" t="s">
        <v>719</v>
      </c>
      <c r="F2043" s="21" t="s">
        <v>4000</v>
      </c>
    </row>
    <row r="2044" customFormat="false" ht="15" hidden="false" customHeight="false" outlineLevel="0" collapsed="false">
      <c r="B2044" s="19" t="s">
        <v>30508</v>
      </c>
      <c r="C2044" s="20" t="n">
        <f aca="false">ROUND(2.72/FX,2)</f>
        <v>0.38</v>
      </c>
      <c r="D2044" s="21" t="s">
        <v>11870</v>
      </c>
      <c r="E2044" s="21" t="s">
        <v>719</v>
      </c>
      <c r="F2044" s="21" t="s">
        <v>4000</v>
      </c>
    </row>
    <row r="2045" customFormat="false" ht="15" hidden="false" customHeight="false" outlineLevel="0" collapsed="false">
      <c r="B2045" s="19" t="s">
        <v>30509</v>
      </c>
      <c r="C2045" s="20" t="n">
        <f aca="false">ROUND(2.72/FX,2)</f>
        <v>0.38</v>
      </c>
      <c r="D2045" s="21" t="s">
        <v>3111</v>
      </c>
      <c r="E2045" s="21" t="s">
        <v>719</v>
      </c>
      <c r="F2045" s="21" t="s">
        <v>4000</v>
      </c>
    </row>
    <row r="2046" customFormat="false" ht="15" hidden="false" customHeight="false" outlineLevel="0" collapsed="false">
      <c r="B2046" s="19" t="s">
        <v>30510</v>
      </c>
      <c r="C2046" s="20" t="n">
        <f aca="false">ROUND(3.1/FX,2)</f>
        <v>0.43</v>
      </c>
      <c r="D2046" s="21" t="s">
        <v>2600</v>
      </c>
      <c r="E2046" s="21" t="s">
        <v>707</v>
      </c>
      <c r="F2046" s="21" t="s">
        <v>3247</v>
      </c>
    </row>
    <row r="2047" customFormat="false" ht="15" hidden="false" customHeight="false" outlineLevel="0" collapsed="false">
      <c r="B2047" s="19" t="s">
        <v>30511</v>
      </c>
      <c r="C2047" s="20" t="n">
        <f aca="false">ROUND(3.34/FX,2)</f>
        <v>0.46</v>
      </c>
      <c r="D2047" s="21" t="s">
        <v>2651</v>
      </c>
      <c r="E2047" s="21" t="s">
        <v>707</v>
      </c>
      <c r="F2047" s="21" t="s">
        <v>3247</v>
      </c>
    </row>
    <row r="2048" customFormat="false" ht="15" hidden="false" customHeight="false" outlineLevel="0" collapsed="false">
      <c r="B2048" s="19" t="s">
        <v>30512</v>
      </c>
      <c r="C2048" s="20" t="n">
        <f aca="false">ROUND(3.34/FX,2)</f>
        <v>0.46</v>
      </c>
      <c r="D2048" s="21" t="s">
        <v>2701</v>
      </c>
      <c r="E2048" s="21" t="s">
        <v>707</v>
      </c>
      <c r="F2048" s="21" t="s">
        <v>3247</v>
      </c>
    </row>
    <row r="2049" customFormat="false" ht="15" hidden="false" customHeight="false" outlineLevel="0" collapsed="false">
      <c r="B2049" s="19" t="s">
        <v>30513</v>
      </c>
      <c r="C2049" s="20" t="n">
        <f aca="false">ROUND(3.34/FX,2)</f>
        <v>0.46</v>
      </c>
      <c r="D2049" s="21" t="s">
        <v>11968</v>
      </c>
      <c r="E2049" s="21" t="s">
        <v>707</v>
      </c>
      <c r="F2049" s="21" t="s">
        <v>3247</v>
      </c>
    </row>
    <row r="2050" customFormat="false" ht="15" hidden="false" customHeight="false" outlineLevel="0" collapsed="false">
      <c r="B2050" s="19" t="s">
        <v>30514</v>
      </c>
      <c r="C2050" s="20" t="n">
        <f aca="false">ROUND(3.59/FX,2)</f>
        <v>0.5</v>
      </c>
      <c r="D2050" s="21" t="s">
        <v>2851</v>
      </c>
      <c r="E2050" s="21" t="s">
        <v>707</v>
      </c>
      <c r="F2050" s="21" t="s">
        <v>3247</v>
      </c>
    </row>
    <row r="2051" customFormat="false" ht="15" hidden="false" customHeight="false" outlineLevel="0" collapsed="false">
      <c r="B2051" s="19" t="s">
        <v>30515</v>
      </c>
      <c r="C2051" s="20" t="n">
        <f aca="false">ROUND(4.94/FX,2)</f>
        <v>0.69</v>
      </c>
      <c r="D2051" s="21" t="s">
        <v>6497</v>
      </c>
      <c r="E2051" s="21" t="s">
        <v>707</v>
      </c>
      <c r="F2051" s="21" t="s">
        <v>3247</v>
      </c>
    </row>
    <row r="2052" customFormat="false" ht="15" hidden="false" customHeight="false" outlineLevel="0" collapsed="false">
      <c r="B2052" s="19" t="s">
        <v>30516</v>
      </c>
      <c r="C2052" s="20" t="n">
        <f aca="false">ROUND(1.48/FX,2)</f>
        <v>0.21</v>
      </c>
      <c r="D2052" s="21" t="s">
        <v>3247</v>
      </c>
      <c r="E2052" s="21" t="s">
        <v>707</v>
      </c>
      <c r="F2052" s="21" t="s">
        <v>3247</v>
      </c>
    </row>
    <row r="2053" customFormat="false" ht="15" hidden="false" customHeight="false" outlineLevel="0" collapsed="false">
      <c r="B2053" s="19" t="s">
        <v>30517</v>
      </c>
      <c r="C2053" s="20" t="n">
        <f aca="false">ROUND(1.48/FX,2)</f>
        <v>0.21</v>
      </c>
      <c r="D2053" s="21" t="s">
        <v>3317</v>
      </c>
      <c r="E2053" s="21" t="s">
        <v>707</v>
      </c>
      <c r="F2053" s="21" t="s">
        <v>3247</v>
      </c>
    </row>
    <row r="2054" customFormat="false" ht="15" hidden="false" customHeight="false" outlineLevel="0" collapsed="false">
      <c r="B2054" s="19" t="s">
        <v>30518</v>
      </c>
      <c r="C2054" s="20" t="n">
        <f aca="false">ROUND(1.61/FX,2)</f>
        <v>0.22</v>
      </c>
      <c r="D2054" s="21" t="s">
        <v>784</v>
      </c>
      <c r="E2054" s="21" t="s">
        <v>707</v>
      </c>
      <c r="F2054" s="21" t="s">
        <v>3247</v>
      </c>
    </row>
    <row r="2055" customFormat="false" ht="15" hidden="false" customHeight="false" outlineLevel="0" collapsed="false">
      <c r="B2055" s="19" t="s">
        <v>30519</v>
      </c>
      <c r="C2055" s="20" t="n">
        <f aca="false">ROUND(8.82/FX,2)</f>
        <v>1.23</v>
      </c>
      <c r="D2055" s="21" t="s">
        <v>1520</v>
      </c>
      <c r="E2055" s="21" t="s">
        <v>707</v>
      </c>
      <c r="F2055" s="21" t="s">
        <v>3247</v>
      </c>
    </row>
    <row r="2056" customFormat="false" ht="15" hidden="false" customHeight="false" outlineLevel="0" collapsed="false">
      <c r="B2056" s="19" t="s">
        <v>30520</v>
      </c>
      <c r="C2056" s="20" t="n">
        <f aca="false">ROUND(1.73/FX,2)</f>
        <v>0.24</v>
      </c>
      <c r="D2056" s="21" t="s">
        <v>3328</v>
      </c>
      <c r="E2056" s="21" t="s">
        <v>707</v>
      </c>
      <c r="F2056" s="21" t="s">
        <v>3247</v>
      </c>
    </row>
    <row r="2057" customFormat="false" ht="15" hidden="false" customHeight="false" outlineLevel="0" collapsed="false">
      <c r="B2057" s="19" t="s">
        <v>30521</v>
      </c>
      <c r="C2057" s="20" t="n">
        <f aca="false">ROUND(1.86/FX,2)</f>
        <v>0.26</v>
      </c>
      <c r="D2057" s="21" t="s">
        <v>6246</v>
      </c>
      <c r="E2057" s="21" t="s">
        <v>707</v>
      </c>
      <c r="F2057" s="21" t="s">
        <v>3247</v>
      </c>
    </row>
    <row r="2058" customFormat="false" ht="15" hidden="false" customHeight="false" outlineLevel="0" collapsed="false">
      <c r="B2058" s="19" t="s">
        <v>30522</v>
      </c>
      <c r="C2058" s="20" t="n">
        <f aca="false">ROUND(1.98/FX,2)</f>
        <v>0.28</v>
      </c>
      <c r="D2058" s="21" t="s">
        <v>7358</v>
      </c>
      <c r="E2058" s="21" t="s">
        <v>707</v>
      </c>
      <c r="F2058" s="21" t="s">
        <v>3247</v>
      </c>
    </row>
    <row r="2059" customFormat="false" ht="15" hidden="false" customHeight="false" outlineLevel="0" collapsed="false">
      <c r="B2059" s="19" t="s">
        <v>30523</v>
      </c>
      <c r="C2059" s="20" t="n">
        <f aca="false">ROUND(2.11/FX,2)</f>
        <v>0.29</v>
      </c>
      <c r="D2059" s="21" t="s">
        <v>2911</v>
      </c>
      <c r="E2059" s="21" t="s">
        <v>707</v>
      </c>
      <c r="F2059" s="21" t="s">
        <v>3247</v>
      </c>
    </row>
    <row r="2060" customFormat="false" ht="15" hidden="false" customHeight="false" outlineLevel="0" collapsed="false">
      <c r="B2060" s="19" t="s">
        <v>30524</v>
      </c>
      <c r="C2060" s="20" t="n">
        <f aca="false">ROUND(2.23/FX,2)</f>
        <v>0.31</v>
      </c>
      <c r="D2060" s="21" t="s">
        <v>7275</v>
      </c>
      <c r="E2060" s="21" t="s">
        <v>707</v>
      </c>
      <c r="F2060" s="21" t="s">
        <v>3247</v>
      </c>
    </row>
    <row r="2061" customFormat="false" ht="15" hidden="false" customHeight="false" outlineLevel="0" collapsed="false">
      <c r="B2061" s="19" t="s">
        <v>30525</v>
      </c>
      <c r="C2061" s="20" t="n">
        <f aca="false">ROUND(2.35/FX,2)</f>
        <v>0.33</v>
      </c>
      <c r="D2061" s="21" t="s">
        <v>2961</v>
      </c>
      <c r="E2061" s="21" t="s">
        <v>707</v>
      </c>
      <c r="F2061" s="21" t="s">
        <v>3247</v>
      </c>
    </row>
    <row r="2062" customFormat="false" ht="15" hidden="false" customHeight="false" outlineLevel="0" collapsed="false">
      <c r="B2062" s="19" t="s">
        <v>30526</v>
      </c>
      <c r="C2062" s="20" t="n">
        <f aca="false">ROUND(2.47/FX,2)</f>
        <v>0.34</v>
      </c>
      <c r="D2062" s="21" t="s">
        <v>13817</v>
      </c>
      <c r="E2062" s="21" t="s">
        <v>707</v>
      </c>
      <c r="F2062" s="21" t="s">
        <v>3247</v>
      </c>
    </row>
    <row r="2063" customFormat="false" ht="15" hidden="false" customHeight="false" outlineLevel="0" collapsed="false">
      <c r="B2063" s="19" t="s">
        <v>30527</v>
      </c>
      <c r="C2063" s="20" t="n">
        <f aca="false">ROUND(2.6/FX,2)</f>
        <v>0.36</v>
      </c>
      <c r="D2063" s="21" t="s">
        <v>3011</v>
      </c>
      <c r="E2063" s="21" t="s">
        <v>707</v>
      </c>
      <c r="F2063" s="21" t="s">
        <v>3247</v>
      </c>
    </row>
    <row r="2064" customFormat="false" ht="15" hidden="false" customHeight="false" outlineLevel="0" collapsed="false">
      <c r="B2064" s="19" t="s">
        <v>30528</v>
      </c>
      <c r="C2064" s="20" t="n">
        <f aca="false">ROUND(2.72/FX,2)</f>
        <v>0.38</v>
      </c>
      <c r="D2064" s="21" t="s">
        <v>7396</v>
      </c>
      <c r="E2064" s="21" t="s">
        <v>707</v>
      </c>
      <c r="F2064" s="21" t="s">
        <v>3247</v>
      </c>
    </row>
    <row r="2065" customFormat="false" ht="15" hidden="false" customHeight="false" outlineLevel="0" collapsed="false">
      <c r="B2065" s="19" t="s">
        <v>30529</v>
      </c>
      <c r="C2065" s="20" t="n">
        <f aca="false">ROUND(2.85/FX,2)</f>
        <v>0.4</v>
      </c>
      <c r="D2065" s="21" t="s">
        <v>3061</v>
      </c>
      <c r="E2065" s="21" t="s">
        <v>707</v>
      </c>
      <c r="F2065" s="21" t="s">
        <v>3247</v>
      </c>
    </row>
    <row r="2066" customFormat="false" ht="15" hidden="false" customHeight="false" outlineLevel="0" collapsed="false">
      <c r="B2066" s="19" t="s">
        <v>30530</v>
      </c>
      <c r="C2066" s="20" t="n">
        <f aca="false">ROUND(2.92/FX,2)</f>
        <v>0.41</v>
      </c>
      <c r="D2066" s="21" t="s">
        <v>11870</v>
      </c>
      <c r="E2066" s="21" t="s">
        <v>707</v>
      </c>
      <c r="F2066" s="21" t="s">
        <v>3247</v>
      </c>
    </row>
    <row r="2067" customFormat="false" ht="15" hidden="false" customHeight="false" outlineLevel="0" collapsed="false">
      <c r="B2067" s="19" t="s">
        <v>30531</v>
      </c>
      <c r="C2067" s="20" t="n">
        <f aca="false">ROUND(2.97/FX,2)</f>
        <v>0.41</v>
      </c>
      <c r="D2067" s="21" t="s">
        <v>3111</v>
      </c>
      <c r="E2067" s="21" t="s">
        <v>707</v>
      </c>
      <c r="F2067" s="21" t="s">
        <v>3247</v>
      </c>
    </row>
    <row r="2068" customFormat="false" ht="15" hidden="false" customHeight="false" outlineLevel="0" collapsed="false">
      <c r="B2068" s="19" t="s">
        <v>30532</v>
      </c>
      <c r="C2068" s="20" t="n">
        <f aca="false">ROUND(3.1/FX,2)</f>
        <v>0.43</v>
      </c>
      <c r="D2068" s="21" t="s">
        <v>12306</v>
      </c>
      <c r="E2068" s="21" t="s">
        <v>707</v>
      </c>
      <c r="F2068" s="21" t="s">
        <v>3247</v>
      </c>
    </row>
    <row r="2069" customFormat="false" ht="15" hidden="false" customHeight="false" outlineLevel="0" collapsed="false">
      <c r="B2069" s="19" t="s">
        <v>30533</v>
      </c>
      <c r="C2069" s="20" t="n">
        <f aca="false">ROUND(3.95/FX,2)</f>
        <v>0.55</v>
      </c>
      <c r="D2069" s="21" t="s">
        <v>2600</v>
      </c>
      <c r="E2069" s="21" t="s">
        <v>5091</v>
      </c>
      <c r="F2069" s="21" t="s">
        <v>5097</v>
      </c>
    </row>
    <row r="2070" customFormat="false" ht="15" hidden="false" customHeight="false" outlineLevel="0" collapsed="false">
      <c r="B2070" s="19" t="s">
        <v>30534</v>
      </c>
      <c r="C2070" s="20" t="n">
        <f aca="false">ROUND(4.2/FX,2)</f>
        <v>0.58</v>
      </c>
      <c r="D2070" s="21" t="s">
        <v>2651</v>
      </c>
      <c r="E2070" s="21" t="s">
        <v>5091</v>
      </c>
      <c r="F2070" s="21" t="s">
        <v>5097</v>
      </c>
    </row>
    <row r="2071" customFormat="false" ht="15" hidden="false" customHeight="false" outlineLevel="0" collapsed="false">
      <c r="B2071" s="19" t="s">
        <v>30535</v>
      </c>
      <c r="C2071" s="20" t="n">
        <f aca="false">ROUND(4.45/FX,2)</f>
        <v>0.62</v>
      </c>
      <c r="D2071" s="21" t="s">
        <v>2701</v>
      </c>
      <c r="E2071" s="21" t="s">
        <v>5091</v>
      </c>
      <c r="F2071" s="21" t="s">
        <v>5097</v>
      </c>
    </row>
    <row r="2072" customFormat="false" ht="15" hidden="false" customHeight="false" outlineLevel="0" collapsed="false">
      <c r="B2072" s="19" t="s">
        <v>30536</v>
      </c>
      <c r="C2072" s="20" t="n">
        <f aca="false">ROUND(4.45/FX,2)</f>
        <v>0.62</v>
      </c>
      <c r="D2072" s="21" t="s">
        <v>11968</v>
      </c>
      <c r="E2072" s="21" t="s">
        <v>5091</v>
      </c>
      <c r="F2072" s="21" t="s">
        <v>5097</v>
      </c>
    </row>
    <row r="2073" customFormat="false" ht="15" hidden="false" customHeight="false" outlineLevel="0" collapsed="false">
      <c r="B2073" s="19" t="s">
        <v>30537</v>
      </c>
      <c r="C2073" s="20" t="n">
        <f aca="false">ROUND(5.19/FX,2)</f>
        <v>0.72</v>
      </c>
      <c r="D2073" s="21" t="s">
        <v>2751</v>
      </c>
      <c r="E2073" s="21" t="s">
        <v>5091</v>
      </c>
      <c r="F2073" s="21" t="s">
        <v>5097</v>
      </c>
    </row>
    <row r="2074" customFormat="false" ht="15" hidden="false" customHeight="false" outlineLevel="0" collapsed="false">
      <c r="B2074" s="19" t="s">
        <v>30538</v>
      </c>
      <c r="C2074" s="20" t="n">
        <f aca="false">ROUND(4.7/FX,2)</f>
        <v>0.65</v>
      </c>
      <c r="D2074" s="21" t="s">
        <v>2851</v>
      </c>
      <c r="E2074" s="21" t="s">
        <v>5091</v>
      </c>
      <c r="F2074" s="21" t="s">
        <v>5097</v>
      </c>
    </row>
    <row r="2075" customFormat="false" ht="15" hidden="false" customHeight="false" outlineLevel="0" collapsed="false">
      <c r="B2075" s="19" t="s">
        <v>30539</v>
      </c>
      <c r="C2075" s="20" t="n">
        <f aca="false">ROUND(5.07/FX,2)</f>
        <v>0.7</v>
      </c>
      <c r="D2075" s="21" t="s">
        <v>6497</v>
      </c>
      <c r="E2075" s="21" t="s">
        <v>5091</v>
      </c>
      <c r="F2075" s="21" t="s">
        <v>5097</v>
      </c>
    </row>
    <row r="2076" customFormat="false" ht="15" hidden="false" customHeight="false" outlineLevel="0" collapsed="false">
      <c r="B2076" s="19" t="s">
        <v>30540</v>
      </c>
      <c r="C2076" s="20" t="n">
        <f aca="false">ROUND(1.98/FX,2)</f>
        <v>0.28</v>
      </c>
      <c r="D2076" s="21" t="s">
        <v>3317</v>
      </c>
      <c r="E2076" s="21" t="s">
        <v>5091</v>
      </c>
      <c r="F2076" s="21" t="s">
        <v>5097</v>
      </c>
    </row>
    <row r="2077" customFormat="false" ht="15" hidden="false" customHeight="false" outlineLevel="0" collapsed="false">
      <c r="B2077" s="19" t="s">
        <v>30541</v>
      </c>
      <c r="C2077" s="20" t="n">
        <f aca="false">ROUND(2.11/FX,2)</f>
        <v>0.29</v>
      </c>
      <c r="D2077" s="21" t="s">
        <v>784</v>
      </c>
      <c r="E2077" s="21" t="s">
        <v>5091</v>
      </c>
      <c r="F2077" s="21" t="s">
        <v>5097</v>
      </c>
    </row>
    <row r="2078" customFormat="false" ht="15" hidden="false" customHeight="false" outlineLevel="0" collapsed="false">
      <c r="B2078" s="19" t="s">
        <v>30542</v>
      </c>
      <c r="C2078" s="20" t="n">
        <f aca="false">ROUND(11.86/FX,2)</f>
        <v>1.65</v>
      </c>
      <c r="D2078" s="21" t="s">
        <v>1520</v>
      </c>
      <c r="E2078" s="21" t="s">
        <v>5091</v>
      </c>
      <c r="F2078" s="21" t="s">
        <v>5097</v>
      </c>
    </row>
    <row r="2079" customFormat="false" ht="15" hidden="false" customHeight="false" outlineLevel="0" collapsed="false">
      <c r="B2079" s="19" t="s">
        <v>30543</v>
      </c>
      <c r="C2079" s="20" t="n">
        <f aca="false">ROUND(2.23/FX,2)</f>
        <v>0.31</v>
      </c>
      <c r="D2079" s="21" t="s">
        <v>3328</v>
      </c>
      <c r="E2079" s="21" t="s">
        <v>5091</v>
      </c>
      <c r="F2079" s="21" t="s">
        <v>5097</v>
      </c>
    </row>
    <row r="2080" customFormat="false" ht="15" hidden="false" customHeight="false" outlineLevel="0" collapsed="false">
      <c r="B2080" s="19" t="s">
        <v>30544</v>
      </c>
      <c r="C2080" s="20" t="n">
        <f aca="false">ROUND(2.36/FX,2)</f>
        <v>0.33</v>
      </c>
      <c r="D2080" s="21" t="s">
        <v>6246</v>
      </c>
      <c r="E2080" s="21" t="s">
        <v>5091</v>
      </c>
      <c r="F2080" s="21" t="s">
        <v>5097</v>
      </c>
    </row>
    <row r="2081" customFormat="false" ht="15" hidden="false" customHeight="false" outlineLevel="0" collapsed="false">
      <c r="B2081" s="19" t="s">
        <v>30545</v>
      </c>
      <c r="C2081" s="20" t="n">
        <f aca="false">ROUND(2.47/FX,2)</f>
        <v>0.34</v>
      </c>
      <c r="D2081" s="21" t="s">
        <v>7358</v>
      </c>
      <c r="E2081" s="21" t="s">
        <v>5091</v>
      </c>
      <c r="F2081" s="21" t="s">
        <v>5097</v>
      </c>
    </row>
    <row r="2082" customFormat="false" ht="15" hidden="false" customHeight="false" outlineLevel="0" collapsed="false">
      <c r="B2082" s="19" t="s">
        <v>30546</v>
      </c>
      <c r="C2082" s="20" t="n">
        <f aca="false">ROUND(2.6/FX,2)</f>
        <v>0.36</v>
      </c>
      <c r="D2082" s="21" t="s">
        <v>2911</v>
      </c>
      <c r="E2082" s="21" t="s">
        <v>5091</v>
      </c>
      <c r="F2082" s="21" t="s">
        <v>5097</v>
      </c>
    </row>
    <row r="2083" customFormat="false" ht="15" hidden="false" customHeight="false" outlineLevel="0" collapsed="false">
      <c r="B2083" s="19" t="s">
        <v>30547</v>
      </c>
      <c r="C2083" s="20" t="n">
        <f aca="false">ROUND(2.72/FX,2)</f>
        <v>0.38</v>
      </c>
      <c r="D2083" s="21" t="s">
        <v>7275</v>
      </c>
      <c r="E2083" s="21" t="s">
        <v>5091</v>
      </c>
      <c r="F2083" s="21" t="s">
        <v>5097</v>
      </c>
    </row>
    <row r="2084" customFormat="false" ht="15" hidden="false" customHeight="false" outlineLevel="0" collapsed="false">
      <c r="B2084" s="19" t="s">
        <v>30548</v>
      </c>
      <c r="C2084" s="20" t="n">
        <f aca="false">ROUND(2.85/FX,2)</f>
        <v>0.4</v>
      </c>
      <c r="D2084" s="21" t="s">
        <v>2961</v>
      </c>
      <c r="E2084" s="21" t="s">
        <v>5091</v>
      </c>
      <c r="F2084" s="21" t="s">
        <v>5097</v>
      </c>
    </row>
    <row r="2085" customFormat="false" ht="15" hidden="false" customHeight="false" outlineLevel="0" collapsed="false">
      <c r="B2085" s="19" t="s">
        <v>30549</v>
      </c>
      <c r="C2085" s="20" t="n">
        <f aca="false">ROUND(2.97/FX,2)</f>
        <v>0.41</v>
      </c>
      <c r="D2085" s="21" t="s">
        <v>13817</v>
      </c>
      <c r="E2085" s="21" t="s">
        <v>5091</v>
      </c>
      <c r="F2085" s="21" t="s">
        <v>5097</v>
      </c>
    </row>
    <row r="2086" customFormat="false" ht="15" hidden="false" customHeight="false" outlineLevel="0" collapsed="false">
      <c r="B2086" s="19" t="s">
        <v>30550</v>
      </c>
      <c r="C2086" s="20" t="n">
        <f aca="false">ROUND(3.1/FX,2)</f>
        <v>0.43</v>
      </c>
      <c r="D2086" s="21" t="s">
        <v>3011</v>
      </c>
      <c r="E2086" s="21" t="s">
        <v>5091</v>
      </c>
      <c r="F2086" s="21" t="s">
        <v>5097</v>
      </c>
    </row>
    <row r="2087" customFormat="false" ht="15" hidden="false" customHeight="false" outlineLevel="0" collapsed="false">
      <c r="B2087" s="19" t="s">
        <v>30551</v>
      </c>
      <c r="C2087" s="20" t="n">
        <f aca="false">ROUND(3.21/FX,2)</f>
        <v>0.45</v>
      </c>
      <c r="D2087" s="21" t="s">
        <v>7396</v>
      </c>
      <c r="E2087" s="21" t="s">
        <v>5091</v>
      </c>
      <c r="F2087" s="21" t="s">
        <v>5097</v>
      </c>
    </row>
    <row r="2088" customFormat="false" ht="15" hidden="false" customHeight="false" outlineLevel="0" collapsed="false">
      <c r="B2088" s="19" t="s">
        <v>30552</v>
      </c>
      <c r="C2088" s="20" t="n">
        <f aca="false">ROUND(3.34/FX,2)</f>
        <v>0.46</v>
      </c>
      <c r="D2088" s="21" t="s">
        <v>3061</v>
      </c>
      <c r="E2088" s="21" t="s">
        <v>5091</v>
      </c>
      <c r="F2088" s="21" t="s">
        <v>5097</v>
      </c>
    </row>
    <row r="2089" customFormat="false" ht="15" hidden="false" customHeight="false" outlineLevel="0" collapsed="false">
      <c r="B2089" s="19" t="s">
        <v>30553</v>
      </c>
      <c r="C2089" s="20" t="n">
        <f aca="false">ROUND(3.46/FX,2)</f>
        <v>0.48</v>
      </c>
      <c r="D2089" s="21" t="s">
        <v>11870</v>
      </c>
      <c r="E2089" s="21" t="s">
        <v>5091</v>
      </c>
      <c r="F2089" s="21" t="s">
        <v>5097</v>
      </c>
    </row>
    <row r="2090" customFormat="false" ht="15" hidden="false" customHeight="false" outlineLevel="0" collapsed="false">
      <c r="B2090" s="19" t="s">
        <v>30554</v>
      </c>
      <c r="C2090" s="20" t="n">
        <f aca="false">ROUND(3.59/FX,2)</f>
        <v>0.5</v>
      </c>
      <c r="D2090" s="21" t="s">
        <v>3111</v>
      </c>
      <c r="E2090" s="21" t="s">
        <v>5091</v>
      </c>
      <c r="F2090" s="21" t="s">
        <v>5097</v>
      </c>
    </row>
    <row r="2091" customFormat="false" ht="15" hidden="false" customHeight="false" outlineLevel="0" collapsed="false">
      <c r="B2091" s="19" t="s">
        <v>30555</v>
      </c>
      <c r="C2091" s="20" t="n">
        <f aca="false">ROUND(3.95/FX,2)</f>
        <v>0.55</v>
      </c>
      <c r="D2091" s="21" t="s">
        <v>12306</v>
      </c>
      <c r="E2091" s="21" t="s">
        <v>5091</v>
      </c>
      <c r="F2091" s="21" t="s">
        <v>5097</v>
      </c>
    </row>
    <row r="2092" customFormat="false" ht="15" hidden="false" customHeight="false" outlineLevel="0" collapsed="false">
      <c r="B2092" s="19" t="s">
        <v>30556</v>
      </c>
      <c r="C2092" s="20" t="n">
        <f aca="false">ROUND(4.2/FX,2)</f>
        <v>0.58</v>
      </c>
      <c r="D2092" s="21" t="s">
        <v>2600</v>
      </c>
      <c r="E2092" s="21" t="s">
        <v>20224</v>
      </c>
      <c r="F2092" s="21" t="s">
        <v>3317</v>
      </c>
    </row>
    <row r="2093" customFormat="false" ht="15" hidden="false" customHeight="false" outlineLevel="0" collapsed="false">
      <c r="B2093" s="19" t="s">
        <v>30557</v>
      </c>
      <c r="C2093" s="20" t="n">
        <f aca="false">ROUND(4.7/FX,2)</f>
        <v>0.65</v>
      </c>
      <c r="D2093" s="21" t="s">
        <v>2651</v>
      </c>
      <c r="E2093" s="21" t="s">
        <v>20224</v>
      </c>
      <c r="F2093" s="21" t="s">
        <v>3317</v>
      </c>
    </row>
    <row r="2094" customFormat="false" ht="15" hidden="false" customHeight="false" outlineLevel="0" collapsed="false">
      <c r="B2094" s="19" t="s">
        <v>30558</v>
      </c>
      <c r="C2094" s="20" t="n">
        <f aca="false">ROUND(4.7/FX,2)</f>
        <v>0.65</v>
      </c>
      <c r="D2094" s="21" t="s">
        <v>11968</v>
      </c>
      <c r="E2094" s="21" t="s">
        <v>20224</v>
      </c>
      <c r="F2094" s="21" t="s">
        <v>3317</v>
      </c>
    </row>
    <row r="2095" customFormat="false" ht="15" hidden="false" customHeight="false" outlineLevel="0" collapsed="false">
      <c r="B2095" s="19" t="s">
        <v>30559</v>
      </c>
      <c r="C2095" s="20" t="n">
        <f aca="false">ROUND(4.94/FX,2)</f>
        <v>0.69</v>
      </c>
      <c r="D2095" s="21" t="s">
        <v>2751</v>
      </c>
      <c r="E2095" s="21" t="s">
        <v>20224</v>
      </c>
      <c r="F2095" s="21" t="s">
        <v>3317</v>
      </c>
    </row>
    <row r="2096" customFormat="false" ht="15" hidden="false" customHeight="false" outlineLevel="0" collapsed="false">
      <c r="B2096" s="19" t="s">
        <v>30560</v>
      </c>
      <c r="C2096" s="20" t="n">
        <f aca="false">ROUND(4.94/FX,2)</f>
        <v>0.69</v>
      </c>
      <c r="D2096" s="21" t="s">
        <v>2851</v>
      </c>
      <c r="E2096" s="21" t="s">
        <v>20224</v>
      </c>
      <c r="F2096" s="21" t="s">
        <v>3317</v>
      </c>
    </row>
    <row r="2097" customFormat="false" ht="15" hidden="false" customHeight="false" outlineLevel="0" collapsed="false">
      <c r="B2097" s="19" t="s">
        <v>30561</v>
      </c>
      <c r="C2097" s="20" t="n">
        <f aca="false">ROUND(5.32/FX,2)</f>
        <v>0.74</v>
      </c>
      <c r="D2097" s="21" t="s">
        <v>6497</v>
      </c>
      <c r="E2097" s="21" t="s">
        <v>20224</v>
      </c>
      <c r="F2097" s="21" t="s">
        <v>3317</v>
      </c>
    </row>
    <row r="2098" customFormat="false" ht="15" hidden="false" customHeight="false" outlineLevel="0" collapsed="false">
      <c r="B2098" s="19" t="s">
        <v>30562</v>
      </c>
      <c r="C2098" s="20" t="n">
        <f aca="false">ROUND(5.57/FX,2)</f>
        <v>0.77</v>
      </c>
      <c r="D2098" s="21" t="s">
        <v>1048</v>
      </c>
      <c r="E2098" s="21" t="s">
        <v>20224</v>
      </c>
      <c r="F2098" s="21" t="s">
        <v>3317</v>
      </c>
    </row>
    <row r="2099" customFormat="false" ht="15" hidden="false" customHeight="false" outlineLevel="0" collapsed="false">
      <c r="B2099" s="19" t="s">
        <v>30563</v>
      </c>
      <c r="C2099" s="20" t="n">
        <f aca="false">ROUND(2.36/FX,2)</f>
        <v>0.33</v>
      </c>
      <c r="D2099" s="21" t="s">
        <v>3317</v>
      </c>
      <c r="E2099" s="21" t="s">
        <v>20224</v>
      </c>
      <c r="F2099" s="21" t="s">
        <v>3317</v>
      </c>
    </row>
    <row r="2100" customFormat="false" ht="15" hidden="false" customHeight="false" outlineLevel="0" collapsed="false">
      <c r="B2100" s="19" t="s">
        <v>30564</v>
      </c>
      <c r="C2100" s="20" t="n">
        <f aca="false">ROUND(2.47/FX,2)</f>
        <v>0.34</v>
      </c>
      <c r="D2100" s="21" t="s">
        <v>784</v>
      </c>
      <c r="E2100" s="21" t="s">
        <v>20224</v>
      </c>
      <c r="F2100" s="21" t="s">
        <v>3317</v>
      </c>
    </row>
    <row r="2101" customFormat="false" ht="15" hidden="false" customHeight="false" outlineLevel="0" collapsed="false">
      <c r="B2101" s="19" t="s">
        <v>30565</v>
      </c>
      <c r="C2101" s="20" t="n">
        <f aca="false">ROUND(13.83/FX,2)</f>
        <v>1.92</v>
      </c>
      <c r="D2101" s="21" t="s">
        <v>1520</v>
      </c>
      <c r="E2101" s="21" t="s">
        <v>20224</v>
      </c>
      <c r="F2101" s="21" t="s">
        <v>3317</v>
      </c>
    </row>
    <row r="2102" customFormat="false" ht="15" hidden="false" customHeight="false" outlineLevel="0" collapsed="false">
      <c r="B2102" s="19" t="s">
        <v>30566</v>
      </c>
      <c r="C2102" s="20" t="n">
        <f aca="false">ROUND(2.6/FX,2)</f>
        <v>0.36</v>
      </c>
      <c r="D2102" s="21" t="s">
        <v>3328</v>
      </c>
      <c r="E2102" s="21" t="s">
        <v>20224</v>
      </c>
      <c r="F2102" s="21" t="s">
        <v>3317</v>
      </c>
    </row>
    <row r="2103" customFormat="false" ht="15" hidden="false" customHeight="false" outlineLevel="0" collapsed="false">
      <c r="B2103" s="19" t="s">
        <v>30567</v>
      </c>
      <c r="C2103" s="20" t="n">
        <f aca="false">ROUND(2.72/FX,2)</f>
        <v>0.38</v>
      </c>
      <c r="D2103" s="21" t="s">
        <v>6246</v>
      </c>
      <c r="E2103" s="21" t="s">
        <v>20224</v>
      </c>
      <c r="F2103" s="21" t="s">
        <v>3317</v>
      </c>
    </row>
    <row r="2104" customFormat="false" ht="15" hidden="false" customHeight="false" outlineLevel="0" collapsed="false">
      <c r="B2104" s="19" t="s">
        <v>30568</v>
      </c>
      <c r="C2104" s="20" t="n">
        <f aca="false">ROUND(2.85/FX,2)</f>
        <v>0.4</v>
      </c>
      <c r="D2104" s="21" t="s">
        <v>7358</v>
      </c>
      <c r="E2104" s="21" t="s">
        <v>20224</v>
      </c>
      <c r="F2104" s="21" t="s">
        <v>3317</v>
      </c>
    </row>
    <row r="2105" customFormat="false" ht="15" hidden="false" customHeight="false" outlineLevel="0" collapsed="false">
      <c r="B2105" s="19" t="s">
        <v>30569</v>
      </c>
      <c r="C2105" s="20" t="n">
        <f aca="false">ROUND(2.97/FX,2)</f>
        <v>0.41</v>
      </c>
      <c r="D2105" s="21" t="s">
        <v>2911</v>
      </c>
      <c r="E2105" s="21" t="s">
        <v>20224</v>
      </c>
      <c r="F2105" s="21" t="s">
        <v>3317</v>
      </c>
    </row>
    <row r="2106" customFormat="false" ht="15" hidden="false" customHeight="false" outlineLevel="0" collapsed="false">
      <c r="B2106" s="19" t="s">
        <v>30570</v>
      </c>
      <c r="C2106" s="20" t="n">
        <f aca="false">ROUND(3.1/FX,2)</f>
        <v>0.43</v>
      </c>
      <c r="D2106" s="21" t="s">
        <v>7275</v>
      </c>
      <c r="E2106" s="21" t="s">
        <v>20224</v>
      </c>
      <c r="F2106" s="21" t="s">
        <v>3317</v>
      </c>
    </row>
    <row r="2107" customFormat="false" ht="15" hidden="false" customHeight="false" outlineLevel="0" collapsed="false">
      <c r="B2107" s="19" t="s">
        <v>30571</v>
      </c>
      <c r="C2107" s="20" t="n">
        <f aca="false">ROUND(3.21/FX,2)</f>
        <v>0.45</v>
      </c>
      <c r="D2107" s="21" t="s">
        <v>2961</v>
      </c>
      <c r="E2107" s="21" t="s">
        <v>20224</v>
      </c>
      <c r="F2107" s="21" t="s">
        <v>3317</v>
      </c>
    </row>
    <row r="2108" customFormat="false" ht="15" hidden="false" customHeight="false" outlineLevel="0" collapsed="false">
      <c r="B2108" s="19" t="s">
        <v>30572</v>
      </c>
      <c r="C2108" s="20" t="n">
        <f aca="false">ROUND(3.46/FX,2)</f>
        <v>0.48</v>
      </c>
      <c r="D2108" s="21" t="s">
        <v>13817</v>
      </c>
      <c r="E2108" s="21" t="s">
        <v>20224</v>
      </c>
      <c r="F2108" s="21" t="s">
        <v>3317</v>
      </c>
    </row>
    <row r="2109" customFormat="false" ht="15" hidden="false" customHeight="false" outlineLevel="0" collapsed="false">
      <c r="B2109" s="19" t="s">
        <v>30573</v>
      </c>
      <c r="C2109" s="20" t="n">
        <f aca="false">ROUND(3.59/FX,2)</f>
        <v>0.5</v>
      </c>
      <c r="D2109" s="21" t="s">
        <v>3011</v>
      </c>
      <c r="E2109" s="21" t="s">
        <v>20224</v>
      </c>
      <c r="F2109" s="21" t="s">
        <v>3317</v>
      </c>
    </row>
    <row r="2110" customFormat="false" ht="15" hidden="false" customHeight="false" outlineLevel="0" collapsed="false">
      <c r="B2110" s="19" t="s">
        <v>30574</v>
      </c>
      <c r="C2110" s="20" t="n">
        <f aca="false">ROUND(3.71/FX,2)</f>
        <v>0.52</v>
      </c>
      <c r="D2110" s="21" t="s">
        <v>7396</v>
      </c>
      <c r="E2110" s="21" t="s">
        <v>20224</v>
      </c>
      <c r="F2110" s="21" t="s">
        <v>3317</v>
      </c>
    </row>
    <row r="2111" customFormat="false" ht="15" hidden="false" customHeight="false" outlineLevel="0" collapsed="false">
      <c r="B2111" s="19" t="s">
        <v>30575</v>
      </c>
      <c r="C2111" s="20" t="n">
        <f aca="false">ROUND(3.84/FX,2)</f>
        <v>0.53</v>
      </c>
      <c r="D2111" s="21" t="s">
        <v>3061</v>
      </c>
      <c r="E2111" s="21" t="s">
        <v>20224</v>
      </c>
      <c r="F2111" s="21" t="s">
        <v>3317</v>
      </c>
    </row>
    <row r="2112" customFormat="false" ht="15" hidden="false" customHeight="false" outlineLevel="0" collapsed="false">
      <c r="B2112" s="19" t="s">
        <v>30576</v>
      </c>
      <c r="C2112" s="20" t="n">
        <f aca="false">ROUND(3.84/FX,2)</f>
        <v>0.53</v>
      </c>
      <c r="D2112" s="21" t="s">
        <v>11870</v>
      </c>
      <c r="E2112" s="21" t="s">
        <v>20224</v>
      </c>
      <c r="F2112" s="21" t="s">
        <v>3317</v>
      </c>
    </row>
    <row r="2113" customFormat="false" ht="15" hidden="false" customHeight="false" outlineLevel="0" collapsed="false">
      <c r="B2113" s="19" t="s">
        <v>30577</v>
      </c>
      <c r="C2113" s="20" t="n">
        <f aca="false">ROUND(3.95/FX,2)</f>
        <v>0.55</v>
      </c>
      <c r="D2113" s="21" t="s">
        <v>3111</v>
      </c>
      <c r="E2113" s="21" t="s">
        <v>20224</v>
      </c>
      <c r="F2113" s="21" t="s">
        <v>3317</v>
      </c>
    </row>
    <row r="2114" customFormat="false" ht="15" hidden="false" customHeight="false" outlineLevel="0" collapsed="false">
      <c r="B2114" s="19" t="s">
        <v>30578</v>
      </c>
      <c r="C2114" s="20" t="n">
        <f aca="false">ROUND(4.2/FX,2)</f>
        <v>0.58</v>
      </c>
      <c r="D2114" s="21" t="s">
        <v>12306</v>
      </c>
      <c r="E2114" s="21" t="s">
        <v>20224</v>
      </c>
      <c r="F2114" s="21" t="s">
        <v>3317</v>
      </c>
    </row>
    <row r="2115" customFormat="false" ht="15" hidden="false" customHeight="false" outlineLevel="0" collapsed="false">
      <c r="B2115" s="19" t="s">
        <v>30579</v>
      </c>
      <c r="C2115" s="20" t="n">
        <f aca="false">ROUND(4.97/FX,2)</f>
        <v>0.69</v>
      </c>
      <c r="D2115" s="21" t="s">
        <v>2600</v>
      </c>
      <c r="E2115" s="21" t="s">
        <v>29741</v>
      </c>
      <c r="F2115" s="21" t="s">
        <v>13774</v>
      </c>
    </row>
    <row r="2116" customFormat="false" ht="15" hidden="false" customHeight="false" outlineLevel="0" collapsed="false">
      <c r="B2116" s="19" t="s">
        <v>30580</v>
      </c>
      <c r="C2116" s="20" t="n">
        <f aca="false">ROUND(10.62/FX,2)</f>
        <v>1.48</v>
      </c>
      <c r="D2116" s="21" t="s">
        <v>2651</v>
      </c>
      <c r="E2116" s="21" t="s">
        <v>29741</v>
      </c>
      <c r="F2116" s="21" t="s">
        <v>13774</v>
      </c>
    </row>
    <row r="2117" customFormat="false" ht="15" hidden="false" customHeight="false" outlineLevel="0" collapsed="false">
      <c r="B2117" s="19" t="s">
        <v>30581</v>
      </c>
      <c r="C2117" s="20" t="n">
        <f aca="false">ROUND(5.59/FX,2)</f>
        <v>0.78</v>
      </c>
      <c r="D2117" s="21" t="s">
        <v>11968</v>
      </c>
      <c r="E2117" s="21" t="s">
        <v>29741</v>
      </c>
      <c r="F2117" s="21" t="s">
        <v>13774</v>
      </c>
    </row>
    <row r="2118" customFormat="false" ht="15" hidden="false" customHeight="false" outlineLevel="0" collapsed="false">
      <c r="B2118" s="19" t="s">
        <v>30582</v>
      </c>
      <c r="C2118" s="20" t="n">
        <f aca="false">ROUND(5.84/FX,2)</f>
        <v>0.81</v>
      </c>
      <c r="D2118" s="21" t="s">
        <v>2851</v>
      </c>
      <c r="E2118" s="21" t="s">
        <v>29741</v>
      </c>
      <c r="F2118" s="21" t="s">
        <v>13774</v>
      </c>
    </row>
    <row r="2119" customFormat="false" ht="15" hidden="false" customHeight="false" outlineLevel="0" collapsed="false">
      <c r="B2119" s="19" t="s">
        <v>30583</v>
      </c>
      <c r="C2119" s="20" t="n">
        <f aca="false">ROUND(6.45/FX,2)</f>
        <v>0.9</v>
      </c>
      <c r="D2119" s="21" t="s">
        <v>6497</v>
      </c>
      <c r="E2119" s="21" t="s">
        <v>29741</v>
      </c>
      <c r="F2119" s="21" t="s">
        <v>13774</v>
      </c>
    </row>
    <row r="2120" customFormat="false" ht="15" hidden="false" customHeight="false" outlineLevel="0" collapsed="false">
      <c r="B2120" s="19" t="s">
        <v>30584</v>
      </c>
      <c r="C2120" s="20" t="n">
        <f aca="false">ROUND(7.83/FX,2)</f>
        <v>1.09</v>
      </c>
      <c r="D2120" s="21" t="s">
        <v>1048</v>
      </c>
      <c r="E2120" s="21" t="s">
        <v>29741</v>
      </c>
      <c r="F2120" s="21" t="s">
        <v>13774</v>
      </c>
    </row>
    <row r="2121" customFormat="false" ht="15" hidden="false" customHeight="false" outlineLevel="0" collapsed="false">
      <c r="B2121" s="19" t="s">
        <v>30585</v>
      </c>
      <c r="C2121" s="20" t="n">
        <f aca="false">ROUND(2.58/FX,2)</f>
        <v>0.36</v>
      </c>
      <c r="D2121" s="21" t="s">
        <v>3317</v>
      </c>
      <c r="E2121" s="21" t="s">
        <v>29741</v>
      </c>
      <c r="F2121" s="21" t="s">
        <v>13774</v>
      </c>
    </row>
    <row r="2122" customFormat="false" ht="15" hidden="false" customHeight="false" outlineLevel="0" collapsed="false">
      <c r="B2122" s="19" t="s">
        <v>30586</v>
      </c>
      <c r="C2122" s="20" t="n">
        <f aca="false">ROUND(2.68/FX,2)</f>
        <v>0.37</v>
      </c>
      <c r="D2122" s="21" t="s">
        <v>784</v>
      </c>
      <c r="E2122" s="21" t="s">
        <v>29741</v>
      </c>
      <c r="F2122" s="21" t="s">
        <v>13774</v>
      </c>
    </row>
    <row r="2123" customFormat="false" ht="15" hidden="false" customHeight="false" outlineLevel="0" collapsed="false">
      <c r="B2123" s="19" t="s">
        <v>30587</v>
      </c>
      <c r="C2123" s="20" t="n">
        <f aca="false">ROUND(14.82/FX,2)</f>
        <v>2.06</v>
      </c>
      <c r="D2123" s="21" t="s">
        <v>1520</v>
      </c>
      <c r="E2123" s="21" t="s">
        <v>29741</v>
      </c>
      <c r="F2123" s="21" t="s">
        <v>13774</v>
      </c>
    </row>
    <row r="2124" customFormat="false" ht="15" hidden="false" customHeight="false" outlineLevel="0" collapsed="false">
      <c r="B2124" s="19" t="s">
        <v>30588</v>
      </c>
      <c r="C2124" s="20" t="n">
        <f aca="false">ROUND(2.75/FX,2)</f>
        <v>0.38</v>
      </c>
      <c r="D2124" s="21" t="s">
        <v>3328</v>
      </c>
      <c r="E2124" s="21" t="s">
        <v>29741</v>
      </c>
      <c r="F2124" s="21" t="s">
        <v>13774</v>
      </c>
    </row>
    <row r="2125" customFormat="false" ht="15" hidden="false" customHeight="false" outlineLevel="0" collapsed="false">
      <c r="B2125" s="19" t="s">
        <v>30589</v>
      </c>
      <c r="C2125" s="20" t="n">
        <f aca="false">ROUND(2.99/FX,2)</f>
        <v>0.42</v>
      </c>
      <c r="D2125" s="21" t="s">
        <v>6246</v>
      </c>
      <c r="E2125" s="21" t="s">
        <v>29741</v>
      </c>
      <c r="F2125" s="21" t="s">
        <v>13774</v>
      </c>
    </row>
    <row r="2126" customFormat="false" ht="15" hidden="false" customHeight="false" outlineLevel="0" collapsed="false">
      <c r="B2126" s="19" t="s">
        <v>30590</v>
      </c>
      <c r="C2126" s="20" t="n">
        <f aca="false">ROUND(3.11/FX,2)</f>
        <v>0.43</v>
      </c>
      <c r="D2126" s="21" t="s">
        <v>7358</v>
      </c>
      <c r="E2126" s="21" t="s">
        <v>29741</v>
      </c>
      <c r="F2126" s="21" t="s">
        <v>13774</v>
      </c>
    </row>
    <row r="2127" customFormat="false" ht="15" hidden="false" customHeight="false" outlineLevel="0" collapsed="false">
      <c r="B2127" s="19" t="s">
        <v>30591</v>
      </c>
      <c r="C2127" s="20" t="n">
        <f aca="false">ROUND(3.21/FX,2)</f>
        <v>0.45</v>
      </c>
      <c r="D2127" s="21" t="s">
        <v>2911</v>
      </c>
      <c r="E2127" s="21" t="s">
        <v>29741</v>
      </c>
      <c r="F2127" s="21" t="s">
        <v>13774</v>
      </c>
    </row>
    <row r="2128" customFormat="false" ht="15" hidden="false" customHeight="false" outlineLevel="0" collapsed="false">
      <c r="B2128" s="19" t="s">
        <v>30592</v>
      </c>
      <c r="C2128" s="20" t="n">
        <f aca="false">ROUND(3.78/FX,2)</f>
        <v>0.53</v>
      </c>
      <c r="D2128" s="21" t="s">
        <v>7275</v>
      </c>
      <c r="E2128" s="21" t="s">
        <v>29741</v>
      </c>
      <c r="F2128" s="21" t="s">
        <v>13774</v>
      </c>
    </row>
    <row r="2129" customFormat="false" ht="15" hidden="false" customHeight="false" outlineLevel="0" collapsed="false">
      <c r="B2129" s="19" t="s">
        <v>30593</v>
      </c>
      <c r="C2129" s="20" t="n">
        <f aca="false">ROUND(3.85/FX,2)</f>
        <v>0.53</v>
      </c>
      <c r="D2129" s="21" t="s">
        <v>2961</v>
      </c>
      <c r="E2129" s="21" t="s">
        <v>29741</v>
      </c>
      <c r="F2129" s="21" t="s">
        <v>13774</v>
      </c>
    </row>
    <row r="2130" customFormat="false" ht="15" hidden="false" customHeight="false" outlineLevel="0" collapsed="false">
      <c r="B2130" s="19" t="s">
        <v>30594</v>
      </c>
      <c r="C2130" s="20" t="n">
        <f aca="false">ROUND(4.11/FX,2)</f>
        <v>0.57</v>
      </c>
      <c r="D2130" s="21" t="s">
        <v>13817</v>
      </c>
      <c r="E2130" s="21" t="s">
        <v>29741</v>
      </c>
      <c r="F2130" s="21" t="s">
        <v>13774</v>
      </c>
    </row>
    <row r="2131" customFormat="false" ht="15" hidden="false" customHeight="false" outlineLevel="0" collapsed="false">
      <c r="B2131" s="19" t="s">
        <v>30595</v>
      </c>
      <c r="C2131" s="20" t="n">
        <f aca="false">ROUND(4.23/FX,2)</f>
        <v>0.59</v>
      </c>
      <c r="D2131" s="21" t="s">
        <v>3011</v>
      </c>
      <c r="E2131" s="21" t="s">
        <v>29741</v>
      </c>
      <c r="F2131" s="21" t="s">
        <v>13774</v>
      </c>
    </row>
    <row r="2132" customFormat="false" ht="15" hidden="false" customHeight="false" outlineLevel="0" collapsed="false">
      <c r="B2132" s="19" t="s">
        <v>30596</v>
      </c>
      <c r="C2132" s="20" t="n">
        <f aca="false">ROUND(4.47/FX,2)</f>
        <v>0.62</v>
      </c>
      <c r="D2132" s="21" t="s">
        <v>7396</v>
      </c>
      <c r="E2132" s="21" t="s">
        <v>29741</v>
      </c>
      <c r="F2132" s="21" t="s">
        <v>13774</v>
      </c>
    </row>
    <row r="2133" customFormat="false" ht="15" hidden="false" customHeight="false" outlineLevel="0" collapsed="false">
      <c r="B2133" s="19" t="s">
        <v>30597</v>
      </c>
      <c r="C2133" s="20" t="n">
        <f aca="false">ROUND(4.6/FX,2)</f>
        <v>0.64</v>
      </c>
      <c r="D2133" s="21" t="s">
        <v>3061</v>
      </c>
      <c r="E2133" s="21" t="s">
        <v>29741</v>
      </c>
      <c r="F2133" s="21" t="s">
        <v>13774</v>
      </c>
    </row>
    <row r="2134" customFormat="false" ht="15" hidden="false" customHeight="false" outlineLevel="0" collapsed="false">
      <c r="B2134" s="19" t="s">
        <v>30598</v>
      </c>
      <c r="C2134" s="20" t="n">
        <f aca="false">ROUND(4.72/FX,2)</f>
        <v>0.66</v>
      </c>
      <c r="D2134" s="21" t="s">
        <v>11870</v>
      </c>
      <c r="E2134" s="21" t="s">
        <v>29741</v>
      </c>
      <c r="F2134" s="21" t="s">
        <v>13774</v>
      </c>
    </row>
    <row r="2135" customFormat="false" ht="15" hidden="false" customHeight="false" outlineLevel="0" collapsed="false">
      <c r="B2135" s="19" t="s">
        <v>30599</v>
      </c>
      <c r="C2135" s="20" t="n">
        <f aca="false">ROUND(4.85/FX,2)</f>
        <v>0.67</v>
      </c>
      <c r="D2135" s="21" t="s">
        <v>3111</v>
      </c>
      <c r="E2135" s="21" t="s">
        <v>29741</v>
      </c>
      <c r="F2135" s="21" t="s">
        <v>13774</v>
      </c>
    </row>
    <row r="2136" customFormat="false" ht="15" hidden="false" customHeight="false" outlineLevel="0" collapsed="false">
      <c r="B2136" s="19" t="s">
        <v>30600</v>
      </c>
      <c r="C2136" s="20" t="n">
        <f aca="false">ROUND(4.97/FX,2)</f>
        <v>0.69</v>
      </c>
      <c r="D2136" s="21" t="s">
        <v>12306</v>
      </c>
      <c r="E2136" s="21" t="s">
        <v>29741</v>
      </c>
      <c r="F2136" s="21" t="s">
        <v>13774</v>
      </c>
    </row>
    <row r="2137" customFormat="false" ht="15" hidden="false" customHeight="false" outlineLevel="0" collapsed="false">
      <c r="B2137" s="19" t="s">
        <v>30601</v>
      </c>
      <c r="C2137" s="20" t="n">
        <f aca="false">ROUND(4.82/FX,2)</f>
        <v>0.67</v>
      </c>
      <c r="D2137" s="21" t="s">
        <v>2600</v>
      </c>
      <c r="E2137" s="21" t="s">
        <v>714</v>
      </c>
      <c r="F2137" s="21" t="s">
        <v>784</v>
      </c>
    </row>
    <row r="2138" customFormat="false" ht="15" hidden="false" customHeight="false" outlineLevel="0" collapsed="false">
      <c r="B2138" s="19" t="s">
        <v>30602</v>
      </c>
      <c r="C2138" s="20" t="n">
        <f aca="false">ROUND(5.07/FX,2)</f>
        <v>0.7</v>
      </c>
      <c r="D2138" s="21" t="s">
        <v>2651</v>
      </c>
      <c r="E2138" s="21" t="s">
        <v>714</v>
      </c>
      <c r="F2138" s="21" t="s">
        <v>784</v>
      </c>
    </row>
    <row r="2139" customFormat="false" ht="15" hidden="false" customHeight="false" outlineLevel="0" collapsed="false">
      <c r="B2139" s="19" t="s">
        <v>30603</v>
      </c>
      <c r="C2139" s="20" t="n">
        <f aca="false">ROUND(5.07/FX,2)</f>
        <v>0.7</v>
      </c>
      <c r="D2139" s="21" t="s">
        <v>2701</v>
      </c>
      <c r="E2139" s="21" t="s">
        <v>714</v>
      </c>
      <c r="F2139" s="21" t="s">
        <v>784</v>
      </c>
    </row>
    <row r="2140" customFormat="false" ht="15" hidden="false" customHeight="false" outlineLevel="0" collapsed="false">
      <c r="B2140" s="19" t="s">
        <v>30604</v>
      </c>
      <c r="C2140" s="20" t="n">
        <f aca="false">ROUND(5.07/FX,2)</f>
        <v>0.7</v>
      </c>
      <c r="D2140" s="21" t="s">
        <v>11968</v>
      </c>
      <c r="E2140" s="21" t="s">
        <v>714</v>
      </c>
      <c r="F2140" s="21" t="s">
        <v>784</v>
      </c>
    </row>
    <row r="2141" customFormat="false" ht="15" hidden="false" customHeight="false" outlineLevel="0" collapsed="false">
      <c r="B2141" s="19" t="s">
        <v>30605</v>
      </c>
      <c r="C2141" s="20" t="n">
        <f aca="false">ROUND(5.32/FX,2)</f>
        <v>0.74</v>
      </c>
      <c r="D2141" s="21" t="s">
        <v>2851</v>
      </c>
      <c r="E2141" s="21" t="s">
        <v>714</v>
      </c>
      <c r="F2141" s="21" t="s">
        <v>784</v>
      </c>
    </row>
    <row r="2142" customFormat="false" ht="15" hidden="false" customHeight="false" outlineLevel="0" collapsed="false">
      <c r="B2142" s="19" t="s">
        <v>30606</v>
      </c>
      <c r="C2142" s="20" t="n">
        <f aca="false">ROUND(5.56/FX,2)</f>
        <v>0.77</v>
      </c>
      <c r="D2142" s="21" t="s">
        <v>6497</v>
      </c>
      <c r="E2142" s="21" t="s">
        <v>714</v>
      </c>
      <c r="F2142" s="21" t="s">
        <v>784</v>
      </c>
    </row>
    <row r="2143" customFormat="false" ht="15" hidden="false" customHeight="false" outlineLevel="0" collapsed="false">
      <c r="B2143" s="19" t="s">
        <v>30607</v>
      </c>
      <c r="C2143" s="20" t="n">
        <f aca="false">ROUND(5.81/FX,2)</f>
        <v>0.81</v>
      </c>
      <c r="D2143" s="21" t="s">
        <v>1048</v>
      </c>
      <c r="E2143" s="21" t="s">
        <v>714</v>
      </c>
      <c r="F2143" s="21" t="s">
        <v>784</v>
      </c>
    </row>
    <row r="2144" customFormat="false" ht="15" hidden="false" customHeight="false" outlineLevel="0" collapsed="false">
      <c r="B2144" s="19" t="s">
        <v>30608</v>
      </c>
      <c r="C2144" s="20" t="n">
        <f aca="false">ROUND(2.47/FX,2)</f>
        <v>0.34</v>
      </c>
      <c r="D2144" s="21" t="s">
        <v>3317</v>
      </c>
      <c r="E2144" s="21" t="s">
        <v>714</v>
      </c>
      <c r="F2144" s="21" t="s">
        <v>784</v>
      </c>
    </row>
    <row r="2145" customFormat="false" ht="15" hidden="false" customHeight="false" outlineLevel="0" collapsed="false">
      <c r="B2145" s="19" t="s">
        <v>30609</v>
      </c>
      <c r="C2145" s="20" t="n">
        <f aca="false">ROUND(3.1/FX,2)</f>
        <v>0.43</v>
      </c>
      <c r="D2145" s="21" t="s">
        <v>784</v>
      </c>
      <c r="E2145" s="21" t="s">
        <v>714</v>
      </c>
      <c r="F2145" s="21" t="s">
        <v>784</v>
      </c>
    </row>
    <row r="2146" customFormat="false" ht="15" hidden="false" customHeight="false" outlineLevel="0" collapsed="false">
      <c r="B2146" s="19" t="s">
        <v>30610</v>
      </c>
      <c r="C2146" s="20" t="n">
        <f aca="false">ROUND(19.76/FX,2)</f>
        <v>2.74</v>
      </c>
      <c r="D2146" s="21" t="s">
        <v>1520</v>
      </c>
      <c r="E2146" s="21" t="s">
        <v>714</v>
      </c>
      <c r="F2146" s="21" t="s">
        <v>784</v>
      </c>
    </row>
    <row r="2147" customFormat="false" ht="15" hidden="false" customHeight="false" outlineLevel="0" collapsed="false">
      <c r="B2147" s="19" t="s">
        <v>30611</v>
      </c>
      <c r="C2147" s="20" t="n">
        <f aca="false">ROUND(3.21/FX,2)</f>
        <v>0.45</v>
      </c>
      <c r="D2147" s="21" t="s">
        <v>3328</v>
      </c>
      <c r="E2147" s="21" t="s">
        <v>714</v>
      </c>
      <c r="F2147" s="21" t="s">
        <v>784</v>
      </c>
    </row>
    <row r="2148" customFormat="false" ht="15" hidden="false" customHeight="false" outlineLevel="0" collapsed="false">
      <c r="B2148" s="19" t="s">
        <v>30612</v>
      </c>
      <c r="C2148" s="20" t="n">
        <f aca="false">ROUND(3.34/FX,2)</f>
        <v>0.46</v>
      </c>
      <c r="D2148" s="21" t="s">
        <v>6246</v>
      </c>
      <c r="E2148" s="21" t="s">
        <v>714</v>
      </c>
      <c r="F2148" s="21" t="s">
        <v>784</v>
      </c>
    </row>
    <row r="2149" customFormat="false" ht="15" hidden="false" customHeight="false" outlineLevel="0" collapsed="false">
      <c r="B2149" s="19" t="s">
        <v>30613</v>
      </c>
      <c r="C2149" s="20" t="n">
        <f aca="false">ROUND(3.46/FX,2)</f>
        <v>0.48</v>
      </c>
      <c r="D2149" s="21" t="s">
        <v>7358</v>
      </c>
      <c r="E2149" s="21" t="s">
        <v>714</v>
      </c>
      <c r="F2149" s="21" t="s">
        <v>784</v>
      </c>
    </row>
    <row r="2150" customFormat="false" ht="15" hidden="false" customHeight="false" outlineLevel="0" collapsed="false">
      <c r="B2150" s="19" t="s">
        <v>30614</v>
      </c>
      <c r="C2150" s="20" t="n">
        <f aca="false">ROUND(3.59/FX,2)</f>
        <v>0.5</v>
      </c>
      <c r="D2150" s="21" t="s">
        <v>2911</v>
      </c>
      <c r="E2150" s="21" t="s">
        <v>714</v>
      </c>
      <c r="F2150" s="21" t="s">
        <v>784</v>
      </c>
    </row>
    <row r="2151" customFormat="false" ht="15" hidden="false" customHeight="false" outlineLevel="0" collapsed="false">
      <c r="B2151" s="19" t="s">
        <v>30615</v>
      </c>
      <c r="C2151" s="20" t="n">
        <f aca="false">ROUND(3.71/FX,2)</f>
        <v>0.52</v>
      </c>
      <c r="D2151" s="21" t="s">
        <v>7275</v>
      </c>
      <c r="E2151" s="21" t="s">
        <v>714</v>
      </c>
      <c r="F2151" s="21" t="s">
        <v>784</v>
      </c>
    </row>
    <row r="2152" customFormat="false" ht="15" hidden="false" customHeight="false" outlineLevel="0" collapsed="false">
      <c r="B2152" s="19" t="s">
        <v>30616</v>
      </c>
      <c r="C2152" s="20" t="n">
        <f aca="false">ROUND(3.95/FX,2)</f>
        <v>0.55</v>
      </c>
      <c r="D2152" s="21" t="s">
        <v>2961</v>
      </c>
      <c r="E2152" s="21" t="s">
        <v>714</v>
      </c>
      <c r="F2152" s="21" t="s">
        <v>784</v>
      </c>
    </row>
    <row r="2153" customFormat="false" ht="15" hidden="false" customHeight="false" outlineLevel="0" collapsed="false">
      <c r="B2153" s="19" t="s">
        <v>30617</v>
      </c>
      <c r="C2153" s="20" t="n">
        <f aca="false">ROUND(4.08/FX,2)</f>
        <v>0.57</v>
      </c>
      <c r="D2153" s="21" t="s">
        <v>13817</v>
      </c>
      <c r="E2153" s="21" t="s">
        <v>714</v>
      </c>
      <c r="F2153" s="21" t="s">
        <v>784</v>
      </c>
    </row>
    <row r="2154" customFormat="false" ht="15" hidden="false" customHeight="false" outlineLevel="0" collapsed="false">
      <c r="B2154" s="19" t="s">
        <v>30618</v>
      </c>
      <c r="C2154" s="20" t="n">
        <f aca="false">ROUND(4.2/FX,2)</f>
        <v>0.58</v>
      </c>
      <c r="D2154" s="21" t="s">
        <v>3011</v>
      </c>
      <c r="E2154" s="21" t="s">
        <v>714</v>
      </c>
      <c r="F2154" s="21" t="s">
        <v>784</v>
      </c>
    </row>
    <row r="2155" customFormat="false" ht="15" hidden="false" customHeight="false" outlineLevel="0" collapsed="false">
      <c r="B2155" s="19" t="s">
        <v>30619</v>
      </c>
      <c r="C2155" s="20" t="n">
        <f aca="false">ROUND(4.82/FX,2)</f>
        <v>0.67</v>
      </c>
      <c r="D2155" s="21" t="s">
        <v>7396</v>
      </c>
      <c r="E2155" s="21" t="s">
        <v>714</v>
      </c>
      <c r="F2155" s="21" t="s">
        <v>784</v>
      </c>
    </row>
    <row r="2156" customFormat="false" ht="15" hidden="false" customHeight="false" outlineLevel="0" collapsed="false">
      <c r="B2156" s="19" t="s">
        <v>30620</v>
      </c>
      <c r="C2156" s="20" t="n">
        <f aca="false">ROUND(4.45/FX,2)</f>
        <v>0.62</v>
      </c>
      <c r="D2156" s="21" t="s">
        <v>3061</v>
      </c>
      <c r="E2156" s="21" t="s">
        <v>714</v>
      </c>
      <c r="F2156" s="21" t="s">
        <v>784</v>
      </c>
    </row>
    <row r="2157" customFormat="false" ht="15" hidden="false" customHeight="false" outlineLevel="0" collapsed="false">
      <c r="B2157" s="19" t="s">
        <v>30621</v>
      </c>
      <c r="C2157" s="20" t="n">
        <f aca="false">ROUND(4.58/FX,2)</f>
        <v>0.64</v>
      </c>
      <c r="D2157" s="21" t="s">
        <v>11870</v>
      </c>
      <c r="E2157" s="21" t="s">
        <v>714</v>
      </c>
      <c r="F2157" s="21" t="s">
        <v>784</v>
      </c>
    </row>
    <row r="2158" customFormat="false" ht="15" hidden="false" customHeight="false" outlineLevel="0" collapsed="false">
      <c r="B2158" s="19" t="s">
        <v>30622</v>
      </c>
      <c r="C2158" s="20" t="n">
        <f aca="false">ROUND(4.7/FX,2)</f>
        <v>0.65</v>
      </c>
      <c r="D2158" s="21" t="s">
        <v>3111</v>
      </c>
      <c r="E2158" s="21" t="s">
        <v>714</v>
      </c>
      <c r="F2158" s="21" t="s">
        <v>784</v>
      </c>
    </row>
    <row r="2159" customFormat="false" ht="15" hidden="false" customHeight="false" outlineLevel="0" collapsed="false">
      <c r="B2159" s="19" t="s">
        <v>30623</v>
      </c>
      <c r="C2159" s="20" t="n">
        <f aca="false">ROUND(4.82/FX,2)</f>
        <v>0.67</v>
      </c>
      <c r="D2159" s="21" t="s">
        <v>12306</v>
      </c>
      <c r="E2159" s="21" t="s">
        <v>714</v>
      </c>
      <c r="F2159" s="21" t="s">
        <v>784</v>
      </c>
    </row>
    <row r="2160" customFormat="false" ht="15" hidden="false" customHeight="false" outlineLevel="0" collapsed="false">
      <c r="B2160" s="19" t="s">
        <v>30624</v>
      </c>
      <c r="C2160" s="20" t="n">
        <f aca="false">ROUND(6.06/FX,2)</f>
        <v>0.84</v>
      </c>
      <c r="D2160" s="21" t="s">
        <v>2600</v>
      </c>
      <c r="E2160" s="21" t="s">
        <v>29787</v>
      </c>
      <c r="F2160" s="21" t="s">
        <v>3328</v>
      </c>
    </row>
    <row r="2161" customFormat="false" ht="15" hidden="false" customHeight="false" outlineLevel="0" collapsed="false">
      <c r="B2161" s="19" t="s">
        <v>30625</v>
      </c>
      <c r="C2161" s="20" t="n">
        <f aca="false">ROUND(6.18/FX,2)</f>
        <v>0.86</v>
      </c>
      <c r="D2161" s="21" t="s">
        <v>2651</v>
      </c>
      <c r="E2161" s="21" t="s">
        <v>29787</v>
      </c>
      <c r="F2161" s="21" t="s">
        <v>3328</v>
      </c>
    </row>
    <row r="2162" customFormat="false" ht="15" hidden="false" customHeight="false" outlineLevel="0" collapsed="false">
      <c r="B2162" s="19" t="s">
        <v>30626</v>
      </c>
      <c r="C2162" s="20" t="n">
        <f aca="false">ROUND(9.32/FX,2)</f>
        <v>1.29</v>
      </c>
      <c r="D2162" s="21" t="s">
        <v>2701</v>
      </c>
      <c r="E2162" s="21" t="s">
        <v>29787</v>
      </c>
      <c r="F2162" s="21" t="s">
        <v>3328</v>
      </c>
    </row>
    <row r="2163" customFormat="false" ht="15" hidden="false" customHeight="false" outlineLevel="0" collapsed="false">
      <c r="B2163" s="19" t="s">
        <v>30627</v>
      </c>
      <c r="C2163" s="20" t="n">
        <f aca="false">ROUND(7.17/FX,2)</f>
        <v>1</v>
      </c>
      <c r="D2163" s="21" t="s">
        <v>11968</v>
      </c>
      <c r="E2163" s="21" t="s">
        <v>29787</v>
      </c>
      <c r="F2163" s="21" t="s">
        <v>3328</v>
      </c>
    </row>
    <row r="2164" customFormat="false" ht="15" hidden="false" customHeight="false" outlineLevel="0" collapsed="false">
      <c r="B2164" s="19" t="s">
        <v>30628</v>
      </c>
      <c r="C2164" s="20" t="n">
        <f aca="false">ROUND(8.15/FX,2)</f>
        <v>1.13</v>
      </c>
      <c r="D2164" s="21" t="s">
        <v>2851</v>
      </c>
      <c r="E2164" s="21" t="s">
        <v>29787</v>
      </c>
      <c r="F2164" s="21" t="s">
        <v>3328</v>
      </c>
    </row>
    <row r="2165" customFormat="false" ht="15" hidden="false" customHeight="false" outlineLevel="0" collapsed="false">
      <c r="B2165" s="19" t="s">
        <v>30629</v>
      </c>
      <c r="C2165" s="20" t="n">
        <f aca="false">ROUND(9.27/FX,2)</f>
        <v>1.29</v>
      </c>
      <c r="D2165" s="21" t="s">
        <v>6497</v>
      </c>
      <c r="E2165" s="21" t="s">
        <v>29787</v>
      </c>
      <c r="F2165" s="21" t="s">
        <v>3328</v>
      </c>
    </row>
    <row r="2166" customFormat="false" ht="15" hidden="false" customHeight="false" outlineLevel="0" collapsed="false">
      <c r="B2166" s="19" t="s">
        <v>30630</v>
      </c>
      <c r="C2166" s="20" t="n">
        <f aca="false">ROUND(10.37/FX,2)</f>
        <v>1.44</v>
      </c>
      <c r="D2166" s="21" t="s">
        <v>1048</v>
      </c>
      <c r="E2166" s="21" t="s">
        <v>29787</v>
      </c>
      <c r="F2166" s="21" t="s">
        <v>3328</v>
      </c>
    </row>
    <row r="2167" customFormat="false" ht="15" hidden="false" customHeight="false" outlineLevel="0" collapsed="false">
      <c r="B2167" s="19" t="s">
        <v>30631</v>
      </c>
      <c r="C2167" s="20" t="n">
        <f aca="false">ROUND(14.33/FX,2)</f>
        <v>1.99</v>
      </c>
      <c r="D2167" s="21" t="s">
        <v>1323</v>
      </c>
      <c r="E2167" s="21" t="s">
        <v>29787</v>
      </c>
      <c r="F2167" s="21" t="s">
        <v>3328</v>
      </c>
    </row>
    <row r="2168" customFormat="false" ht="15" hidden="false" customHeight="false" outlineLevel="0" collapsed="false">
      <c r="B2168" s="19" t="s">
        <v>30632</v>
      </c>
      <c r="C2168" s="20" t="n">
        <f aca="false">ROUND(29.64/FX,2)</f>
        <v>4.12</v>
      </c>
      <c r="D2168" s="21" t="s">
        <v>1520</v>
      </c>
      <c r="E2168" s="21" t="s">
        <v>29787</v>
      </c>
      <c r="F2168" s="21" t="s">
        <v>3328</v>
      </c>
    </row>
    <row r="2169" customFormat="false" ht="15" hidden="false" customHeight="false" outlineLevel="0" collapsed="false">
      <c r="B2169" s="19" t="s">
        <v>30633</v>
      </c>
      <c r="C2169" s="20" t="n">
        <f aca="false">ROUND(3.46/FX,2)</f>
        <v>0.48</v>
      </c>
      <c r="D2169" s="21" t="s">
        <v>3328</v>
      </c>
      <c r="E2169" s="21" t="s">
        <v>29787</v>
      </c>
      <c r="F2169" s="21" t="s">
        <v>3328</v>
      </c>
    </row>
    <row r="2170" customFormat="false" ht="15" hidden="false" customHeight="false" outlineLevel="0" collapsed="false">
      <c r="B2170" s="19" t="s">
        <v>30634</v>
      </c>
      <c r="C2170" s="20" t="n">
        <f aca="false">ROUND(3.59/FX,2)</f>
        <v>0.5</v>
      </c>
      <c r="D2170" s="21" t="s">
        <v>6246</v>
      </c>
      <c r="E2170" s="21" t="s">
        <v>29787</v>
      </c>
      <c r="F2170" s="21" t="s">
        <v>3328</v>
      </c>
    </row>
    <row r="2171" customFormat="false" ht="15" hidden="false" customHeight="false" outlineLevel="0" collapsed="false">
      <c r="B2171" s="19" t="s">
        <v>30635</v>
      </c>
      <c r="C2171" s="20" t="n">
        <f aca="false">ROUND(3.71/FX,2)</f>
        <v>0.52</v>
      </c>
      <c r="D2171" s="21" t="s">
        <v>7358</v>
      </c>
      <c r="E2171" s="21" t="s">
        <v>29787</v>
      </c>
      <c r="F2171" s="21" t="s">
        <v>3328</v>
      </c>
    </row>
    <row r="2172" customFormat="false" ht="15" hidden="false" customHeight="false" outlineLevel="0" collapsed="false">
      <c r="B2172" s="19" t="s">
        <v>30636</v>
      </c>
      <c r="C2172" s="20" t="n">
        <f aca="false">ROUND(3.95/FX,2)</f>
        <v>0.55</v>
      </c>
      <c r="D2172" s="21" t="s">
        <v>2911</v>
      </c>
      <c r="E2172" s="21" t="s">
        <v>29787</v>
      </c>
      <c r="F2172" s="21" t="s">
        <v>3328</v>
      </c>
    </row>
    <row r="2173" customFormat="false" ht="15" hidden="false" customHeight="false" outlineLevel="0" collapsed="false">
      <c r="B2173" s="19" t="s">
        <v>30637</v>
      </c>
      <c r="C2173" s="20" t="n">
        <f aca="false">ROUND(4.08/FX,2)</f>
        <v>0.57</v>
      </c>
      <c r="D2173" s="21" t="s">
        <v>7275</v>
      </c>
      <c r="E2173" s="21" t="s">
        <v>29787</v>
      </c>
      <c r="F2173" s="21" t="s">
        <v>3328</v>
      </c>
    </row>
    <row r="2174" customFormat="false" ht="15" hidden="false" customHeight="false" outlineLevel="0" collapsed="false">
      <c r="B2174" s="19" t="s">
        <v>30638</v>
      </c>
      <c r="C2174" s="20" t="n">
        <f aca="false">ROUND(4.2/FX,2)</f>
        <v>0.58</v>
      </c>
      <c r="D2174" s="21" t="s">
        <v>2961</v>
      </c>
      <c r="E2174" s="21" t="s">
        <v>29787</v>
      </c>
      <c r="F2174" s="21" t="s">
        <v>3328</v>
      </c>
    </row>
    <row r="2175" customFormat="false" ht="15" hidden="false" customHeight="false" outlineLevel="0" collapsed="false">
      <c r="B2175" s="19" t="s">
        <v>30639</v>
      </c>
      <c r="C2175" s="20" t="n">
        <f aca="false">ROUND(4.33/FX,2)</f>
        <v>0.6</v>
      </c>
      <c r="D2175" s="21" t="s">
        <v>13817</v>
      </c>
      <c r="E2175" s="21" t="s">
        <v>29787</v>
      </c>
      <c r="F2175" s="21" t="s">
        <v>3328</v>
      </c>
    </row>
    <row r="2176" customFormat="false" ht="15" hidden="false" customHeight="false" outlineLevel="0" collapsed="false">
      <c r="B2176" s="19" t="s">
        <v>30640</v>
      </c>
      <c r="C2176" s="20" t="n">
        <f aca="false">ROUND(4.45/FX,2)</f>
        <v>0.62</v>
      </c>
      <c r="D2176" s="21" t="s">
        <v>3011</v>
      </c>
      <c r="E2176" s="21" t="s">
        <v>29787</v>
      </c>
      <c r="F2176" s="21" t="s">
        <v>3328</v>
      </c>
    </row>
    <row r="2177" customFormat="false" ht="15" hidden="false" customHeight="false" outlineLevel="0" collapsed="false">
      <c r="B2177" s="19" t="s">
        <v>30641</v>
      </c>
      <c r="C2177" s="20" t="n">
        <f aca="false">ROUND(4.7/FX,2)</f>
        <v>0.65</v>
      </c>
      <c r="D2177" s="21" t="s">
        <v>7396</v>
      </c>
      <c r="E2177" s="21" t="s">
        <v>29787</v>
      </c>
      <c r="F2177" s="21" t="s">
        <v>3328</v>
      </c>
    </row>
    <row r="2178" customFormat="false" ht="15" hidden="false" customHeight="false" outlineLevel="0" collapsed="false">
      <c r="B2178" s="19" t="s">
        <v>30642</v>
      </c>
      <c r="C2178" s="20" t="n">
        <f aca="false">ROUND(5.07/FX,2)</f>
        <v>0.7</v>
      </c>
      <c r="D2178" s="21" t="s">
        <v>3061</v>
      </c>
      <c r="E2178" s="21" t="s">
        <v>29787</v>
      </c>
      <c r="F2178" s="21" t="s">
        <v>3328</v>
      </c>
    </row>
    <row r="2179" customFormat="false" ht="15" hidden="false" customHeight="false" outlineLevel="0" collapsed="false">
      <c r="B2179" s="19" t="s">
        <v>30643</v>
      </c>
      <c r="C2179" s="20" t="n">
        <f aca="false">ROUND(5.32/FX,2)</f>
        <v>0.74</v>
      </c>
      <c r="D2179" s="21" t="s">
        <v>11870</v>
      </c>
      <c r="E2179" s="21" t="s">
        <v>29787</v>
      </c>
      <c r="F2179" s="21" t="s">
        <v>3328</v>
      </c>
    </row>
    <row r="2180" customFormat="false" ht="15" hidden="false" customHeight="false" outlineLevel="0" collapsed="false">
      <c r="B2180" s="19" t="s">
        <v>30644</v>
      </c>
      <c r="C2180" s="20" t="n">
        <f aca="false">ROUND(5.57/FX,2)</f>
        <v>0.77</v>
      </c>
      <c r="D2180" s="21" t="s">
        <v>3111</v>
      </c>
      <c r="E2180" s="21" t="s">
        <v>29787</v>
      </c>
      <c r="F2180" s="21" t="s">
        <v>3328</v>
      </c>
    </row>
    <row r="2181" customFormat="false" ht="15" hidden="false" customHeight="false" outlineLevel="0" collapsed="false">
      <c r="B2181" s="19" t="s">
        <v>30645</v>
      </c>
      <c r="C2181" s="20" t="n">
        <f aca="false">ROUND(6.06/FX,2)</f>
        <v>0.84</v>
      </c>
      <c r="D2181" s="21" t="s">
        <v>12306</v>
      </c>
      <c r="E2181" s="21" t="s">
        <v>29787</v>
      </c>
      <c r="F2181" s="21" t="s">
        <v>3328</v>
      </c>
    </row>
    <row r="2182" customFormat="false" ht="15" hidden="false" customHeight="false" outlineLevel="0" collapsed="false">
      <c r="B2182" s="19" t="s">
        <v>30646</v>
      </c>
      <c r="C2182" s="20" t="n">
        <f aca="false">ROUND(7.79/FX,2)</f>
        <v>1.08</v>
      </c>
      <c r="D2182" s="21" t="s">
        <v>2600</v>
      </c>
      <c r="E2182" s="21" t="s">
        <v>3247</v>
      </c>
      <c r="F2182" s="21" t="s">
        <v>6246</v>
      </c>
    </row>
    <row r="2183" customFormat="false" ht="15" hidden="false" customHeight="false" outlineLevel="0" collapsed="false">
      <c r="B2183" s="19" t="s">
        <v>30647</v>
      </c>
      <c r="C2183" s="20" t="n">
        <f aca="false">ROUND(7.9/FX,2)</f>
        <v>1.1</v>
      </c>
      <c r="D2183" s="21" t="s">
        <v>2651</v>
      </c>
      <c r="E2183" s="21" t="s">
        <v>3247</v>
      </c>
      <c r="F2183" s="21" t="s">
        <v>6246</v>
      </c>
    </row>
    <row r="2184" customFormat="false" ht="15" hidden="false" customHeight="false" outlineLevel="0" collapsed="false">
      <c r="B2184" s="19" t="s">
        <v>30648</v>
      </c>
      <c r="C2184" s="20" t="n">
        <f aca="false">ROUND(9.76/FX,2)</f>
        <v>1.36</v>
      </c>
      <c r="D2184" s="21" t="s">
        <v>2701</v>
      </c>
      <c r="E2184" s="21" t="s">
        <v>3247</v>
      </c>
      <c r="F2184" s="21" t="s">
        <v>6246</v>
      </c>
    </row>
    <row r="2185" customFormat="false" ht="15" hidden="false" customHeight="false" outlineLevel="0" collapsed="false">
      <c r="B2185" s="19" t="s">
        <v>30649</v>
      </c>
      <c r="C2185" s="20" t="n">
        <f aca="false">ROUND(9.76/FX,2)</f>
        <v>1.36</v>
      </c>
      <c r="D2185" s="21" t="s">
        <v>11968</v>
      </c>
      <c r="E2185" s="21" t="s">
        <v>3247</v>
      </c>
      <c r="F2185" s="21" t="s">
        <v>6246</v>
      </c>
    </row>
    <row r="2186" customFormat="false" ht="15" hidden="false" customHeight="false" outlineLevel="0" collapsed="false">
      <c r="B2186" s="19" t="s">
        <v>30650</v>
      </c>
      <c r="C2186" s="20" t="n">
        <f aca="false">ROUND(11.36/FX,2)</f>
        <v>1.58</v>
      </c>
      <c r="D2186" s="21" t="s">
        <v>2751</v>
      </c>
      <c r="E2186" s="21" t="s">
        <v>3247</v>
      </c>
      <c r="F2186" s="21" t="s">
        <v>6246</v>
      </c>
    </row>
    <row r="2187" customFormat="false" ht="15" hidden="false" customHeight="false" outlineLevel="0" collapsed="false">
      <c r="B2187" s="19" t="s">
        <v>30651</v>
      </c>
      <c r="C2187" s="20" t="n">
        <f aca="false">ROUND(11.36/FX,2)</f>
        <v>1.58</v>
      </c>
      <c r="D2187" s="21" t="s">
        <v>2801</v>
      </c>
      <c r="E2187" s="21" t="s">
        <v>3247</v>
      </c>
      <c r="F2187" s="21" t="s">
        <v>6246</v>
      </c>
    </row>
    <row r="2188" customFormat="false" ht="15" hidden="false" customHeight="false" outlineLevel="0" collapsed="false">
      <c r="B2188" s="19" t="s">
        <v>30652</v>
      </c>
      <c r="C2188" s="20" t="n">
        <f aca="false">ROUND(11.36/FX,2)</f>
        <v>1.58</v>
      </c>
      <c r="D2188" s="21" t="s">
        <v>2851</v>
      </c>
      <c r="E2188" s="21" t="s">
        <v>3247</v>
      </c>
      <c r="F2188" s="21" t="s">
        <v>6246</v>
      </c>
    </row>
    <row r="2189" customFormat="false" ht="15" hidden="false" customHeight="false" outlineLevel="0" collapsed="false">
      <c r="B2189" s="19" t="s">
        <v>30653</v>
      </c>
      <c r="C2189" s="20" t="n">
        <f aca="false">ROUND(13.22/FX,2)</f>
        <v>1.84</v>
      </c>
      <c r="D2189" s="21" t="s">
        <v>6497</v>
      </c>
      <c r="E2189" s="21" t="s">
        <v>3247</v>
      </c>
      <c r="F2189" s="21" t="s">
        <v>6246</v>
      </c>
    </row>
    <row r="2190" customFormat="false" ht="15" hidden="false" customHeight="false" outlineLevel="0" collapsed="false">
      <c r="B2190" s="19" t="s">
        <v>30654</v>
      </c>
      <c r="C2190" s="20" t="n">
        <f aca="false">ROUND(14.82/FX,2)</f>
        <v>2.06</v>
      </c>
      <c r="D2190" s="21" t="s">
        <v>1048</v>
      </c>
      <c r="E2190" s="21" t="s">
        <v>3247</v>
      </c>
      <c r="F2190" s="21" t="s">
        <v>6246</v>
      </c>
    </row>
    <row r="2191" customFormat="false" ht="15" hidden="false" customHeight="false" outlineLevel="0" collapsed="false">
      <c r="B2191" s="19" t="s">
        <v>30655</v>
      </c>
      <c r="C2191" s="20" t="n">
        <f aca="false">ROUND(22.35/FX,2)</f>
        <v>3.1</v>
      </c>
      <c r="D2191" s="21" t="s">
        <v>3991</v>
      </c>
      <c r="E2191" s="21" t="s">
        <v>3247</v>
      </c>
      <c r="F2191" s="21" t="s">
        <v>6246</v>
      </c>
    </row>
    <row r="2192" customFormat="false" ht="15" hidden="false" customHeight="false" outlineLevel="0" collapsed="false">
      <c r="B2192" s="19" t="s">
        <v>30656</v>
      </c>
      <c r="C2192" s="20" t="n">
        <f aca="false">ROUND(16.06/FX,2)</f>
        <v>2.23</v>
      </c>
      <c r="D2192" s="21" t="s">
        <v>1323</v>
      </c>
      <c r="E2192" s="21" t="s">
        <v>3247</v>
      </c>
      <c r="F2192" s="21" t="s">
        <v>6246</v>
      </c>
    </row>
    <row r="2193" customFormat="false" ht="15" hidden="false" customHeight="false" outlineLevel="0" collapsed="false">
      <c r="B2193" s="19" t="s">
        <v>30657</v>
      </c>
      <c r="C2193" s="20" t="n">
        <f aca="false">ROUND(25.69/FX,2)</f>
        <v>3.57</v>
      </c>
      <c r="D2193" s="21" t="s">
        <v>4883</v>
      </c>
      <c r="E2193" s="21" t="s">
        <v>3247</v>
      </c>
      <c r="F2193" s="21" t="s">
        <v>6246</v>
      </c>
    </row>
    <row r="2194" customFormat="false" ht="15" hidden="false" customHeight="false" outlineLevel="0" collapsed="false">
      <c r="B2194" s="19" t="s">
        <v>30658</v>
      </c>
      <c r="C2194" s="20" t="n">
        <f aca="false">ROUND(37.55/FX,2)</f>
        <v>5.22</v>
      </c>
      <c r="D2194" s="21" t="s">
        <v>1520</v>
      </c>
      <c r="E2194" s="21" t="s">
        <v>3247</v>
      </c>
      <c r="F2194" s="21" t="s">
        <v>6246</v>
      </c>
    </row>
    <row r="2195" customFormat="false" ht="15" hidden="false" customHeight="false" outlineLevel="0" collapsed="false">
      <c r="B2195" s="19" t="s">
        <v>30659</v>
      </c>
      <c r="C2195" s="20" t="n">
        <f aca="false">ROUND(5.68/FX,2)</f>
        <v>0.79</v>
      </c>
      <c r="D2195" s="21" t="s">
        <v>6246</v>
      </c>
      <c r="E2195" s="21" t="s">
        <v>3247</v>
      </c>
      <c r="F2195" s="21" t="s">
        <v>6246</v>
      </c>
    </row>
    <row r="2196" customFormat="false" ht="15" hidden="false" customHeight="false" outlineLevel="0" collapsed="false">
      <c r="B2196" s="19" t="s">
        <v>30660</v>
      </c>
      <c r="C2196" s="20" t="n">
        <f aca="false">ROUND(5.93/FX,2)</f>
        <v>0.82</v>
      </c>
      <c r="D2196" s="21" t="s">
        <v>7358</v>
      </c>
      <c r="E2196" s="21" t="s">
        <v>3247</v>
      </c>
      <c r="F2196" s="21" t="s">
        <v>6246</v>
      </c>
    </row>
    <row r="2197" customFormat="false" ht="15" hidden="false" customHeight="false" outlineLevel="0" collapsed="false">
      <c r="B2197" s="19" t="s">
        <v>30661</v>
      </c>
      <c r="C2197" s="20" t="n">
        <f aca="false">ROUND(6.18/FX,2)</f>
        <v>0.86</v>
      </c>
      <c r="D2197" s="21" t="s">
        <v>2911</v>
      </c>
      <c r="E2197" s="21" t="s">
        <v>3247</v>
      </c>
      <c r="F2197" s="21" t="s">
        <v>6246</v>
      </c>
    </row>
    <row r="2198" customFormat="false" ht="15" hidden="false" customHeight="false" outlineLevel="0" collapsed="false">
      <c r="B2198" s="19" t="s">
        <v>30662</v>
      </c>
      <c r="C2198" s="20" t="n">
        <f aca="false">ROUND(6.31/FX,2)</f>
        <v>0.88</v>
      </c>
      <c r="D2198" s="21" t="s">
        <v>7275</v>
      </c>
      <c r="E2198" s="21" t="s">
        <v>3247</v>
      </c>
      <c r="F2198" s="21" t="s">
        <v>6246</v>
      </c>
    </row>
    <row r="2199" customFormat="false" ht="15" hidden="false" customHeight="false" outlineLevel="0" collapsed="false">
      <c r="B2199" s="19" t="s">
        <v>30663</v>
      </c>
      <c r="C2199" s="20" t="n">
        <f aca="false">ROUND(6.55/FX,2)</f>
        <v>0.91</v>
      </c>
      <c r="D2199" s="21" t="s">
        <v>2961</v>
      </c>
      <c r="E2199" s="21" t="s">
        <v>3247</v>
      </c>
      <c r="F2199" s="21" t="s">
        <v>6246</v>
      </c>
    </row>
    <row r="2200" customFormat="false" ht="15" hidden="false" customHeight="false" outlineLevel="0" collapsed="false">
      <c r="B2200" s="19" t="s">
        <v>30664</v>
      </c>
      <c r="C2200" s="20" t="n">
        <f aca="false">ROUND(6.67/FX,2)</f>
        <v>0.93</v>
      </c>
      <c r="D2200" s="21" t="s">
        <v>13817</v>
      </c>
      <c r="E2200" s="21" t="s">
        <v>3247</v>
      </c>
      <c r="F2200" s="21" t="s">
        <v>6246</v>
      </c>
    </row>
    <row r="2201" customFormat="false" ht="15" hidden="false" customHeight="false" outlineLevel="0" collapsed="false">
      <c r="B2201" s="19" t="s">
        <v>30665</v>
      </c>
      <c r="C2201" s="20" t="n">
        <f aca="false">ROUND(6.8/FX,2)</f>
        <v>0.94</v>
      </c>
      <c r="D2201" s="21" t="s">
        <v>3011</v>
      </c>
      <c r="E2201" s="21" t="s">
        <v>3247</v>
      </c>
      <c r="F2201" s="21" t="s">
        <v>6246</v>
      </c>
    </row>
    <row r="2202" customFormat="false" ht="15" hidden="false" customHeight="false" outlineLevel="0" collapsed="false">
      <c r="B2202" s="19" t="s">
        <v>30666</v>
      </c>
      <c r="C2202" s="20" t="n">
        <f aca="false">ROUND(6.92/FX,2)</f>
        <v>0.96</v>
      </c>
      <c r="D2202" s="21" t="s">
        <v>7396</v>
      </c>
      <c r="E2202" s="21" t="s">
        <v>3247</v>
      </c>
      <c r="F2202" s="21" t="s">
        <v>6246</v>
      </c>
    </row>
    <row r="2203" customFormat="false" ht="15" hidden="false" customHeight="false" outlineLevel="0" collapsed="false">
      <c r="B2203" s="19" t="s">
        <v>30667</v>
      </c>
      <c r="C2203" s="20" t="n">
        <f aca="false">ROUND(7.17/FX,2)</f>
        <v>1</v>
      </c>
      <c r="D2203" s="21" t="s">
        <v>3061</v>
      </c>
      <c r="E2203" s="21" t="s">
        <v>3247</v>
      </c>
      <c r="F2203" s="21" t="s">
        <v>6246</v>
      </c>
    </row>
    <row r="2204" customFormat="false" ht="15" hidden="false" customHeight="false" outlineLevel="0" collapsed="false">
      <c r="B2204" s="19" t="s">
        <v>30668</v>
      </c>
      <c r="C2204" s="20" t="n">
        <f aca="false">ROUND(7.3/FX,2)</f>
        <v>1.01</v>
      </c>
      <c r="D2204" s="21" t="s">
        <v>11870</v>
      </c>
      <c r="E2204" s="21" t="s">
        <v>3247</v>
      </c>
      <c r="F2204" s="21" t="s">
        <v>6246</v>
      </c>
    </row>
    <row r="2205" customFormat="false" ht="15" hidden="false" customHeight="false" outlineLevel="0" collapsed="false">
      <c r="B2205" s="19" t="s">
        <v>30669</v>
      </c>
      <c r="C2205" s="20" t="n">
        <f aca="false">ROUND(7.54/FX,2)</f>
        <v>1.05</v>
      </c>
      <c r="D2205" s="21" t="s">
        <v>3111</v>
      </c>
      <c r="E2205" s="21" t="s">
        <v>3247</v>
      </c>
      <c r="F2205" s="21" t="s">
        <v>6246</v>
      </c>
    </row>
    <row r="2206" customFormat="false" ht="15" hidden="false" customHeight="false" outlineLevel="0" collapsed="false">
      <c r="B2206" s="19" t="s">
        <v>30670</v>
      </c>
      <c r="C2206" s="20" t="n">
        <f aca="false">ROUND(7.54/FX,2)</f>
        <v>1.05</v>
      </c>
      <c r="D2206" s="21" t="s">
        <v>12306</v>
      </c>
      <c r="E2206" s="21" t="s">
        <v>3247</v>
      </c>
      <c r="F2206" s="21" t="s">
        <v>6246</v>
      </c>
    </row>
    <row r="2207" customFormat="false" ht="15" hidden="false" customHeight="false" outlineLevel="0" collapsed="false">
      <c r="B2207" s="19" t="s">
        <v>30671</v>
      </c>
      <c r="C2207" s="20" t="n">
        <f aca="false">ROUND(24.7/FX,2)</f>
        <v>3.43</v>
      </c>
      <c r="D2207" s="21" t="s">
        <v>2600</v>
      </c>
      <c r="E2207" s="21" t="s">
        <v>3317</v>
      </c>
      <c r="F2207" s="21" t="s">
        <v>2911</v>
      </c>
    </row>
    <row r="2208" customFormat="false" ht="15" hidden="false" customHeight="false" outlineLevel="0" collapsed="false">
      <c r="B2208" s="19" t="s">
        <v>30672</v>
      </c>
      <c r="C2208" s="20" t="n">
        <f aca="false">ROUND(25.69/FX,2)</f>
        <v>3.57</v>
      </c>
      <c r="D2208" s="21" t="s">
        <v>2651</v>
      </c>
      <c r="E2208" s="21" t="s">
        <v>3317</v>
      </c>
      <c r="F2208" s="21" t="s">
        <v>2911</v>
      </c>
    </row>
    <row r="2209" customFormat="false" ht="15" hidden="false" customHeight="false" outlineLevel="0" collapsed="false">
      <c r="B2209" s="19" t="s">
        <v>30673</v>
      </c>
      <c r="C2209" s="20" t="n">
        <f aca="false">ROUND(26.55/FX,2)</f>
        <v>3.69</v>
      </c>
      <c r="D2209" s="21" t="s">
        <v>2701</v>
      </c>
      <c r="E2209" s="21" t="s">
        <v>3317</v>
      </c>
      <c r="F2209" s="21" t="s">
        <v>2911</v>
      </c>
    </row>
    <row r="2210" customFormat="false" ht="15" hidden="false" customHeight="false" outlineLevel="0" collapsed="false">
      <c r="B2210" s="19" t="s">
        <v>30674</v>
      </c>
      <c r="C2210" s="20" t="n">
        <f aca="false">ROUND(28.03/FX,2)</f>
        <v>3.89</v>
      </c>
      <c r="D2210" s="21" t="s">
        <v>11968</v>
      </c>
      <c r="E2210" s="21" t="s">
        <v>3317</v>
      </c>
      <c r="F2210" s="21" t="s">
        <v>2911</v>
      </c>
    </row>
    <row r="2211" customFormat="false" ht="15" hidden="false" customHeight="false" outlineLevel="0" collapsed="false">
      <c r="B2211" s="19" t="s">
        <v>30675</v>
      </c>
      <c r="C2211" s="20" t="n">
        <f aca="false">ROUND(36.31/FX,2)</f>
        <v>5.04</v>
      </c>
      <c r="D2211" s="21" t="s">
        <v>2751</v>
      </c>
      <c r="E2211" s="21" t="s">
        <v>3317</v>
      </c>
      <c r="F2211" s="21" t="s">
        <v>2911</v>
      </c>
    </row>
    <row r="2212" customFormat="false" ht="15" hidden="false" customHeight="false" outlineLevel="0" collapsed="false">
      <c r="B2212" s="19" t="s">
        <v>30676</v>
      </c>
      <c r="C2212" s="20" t="n">
        <f aca="false">ROUND(38.74/FX,2)</f>
        <v>5.38</v>
      </c>
      <c r="D2212" s="21" t="s">
        <v>2801</v>
      </c>
      <c r="E2212" s="21" t="s">
        <v>3317</v>
      </c>
      <c r="F2212" s="21" t="s">
        <v>2911</v>
      </c>
    </row>
    <row r="2213" customFormat="false" ht="15" hidden="false" customHeight="false" outlineLevel="0" collapsed="false">
      <c r="B2213" s="19" t="s">
        <v>30677</v>
      </c>
      <c r="C2213" s="20" t="n">
        <f aca="false">ROUND(39.95/FX,2)</f>
        <v>5.55</v>
      </c>
      <c r="D2213" s="21" t="s">
        <v>2851</v>
      </c>
      <c r="E2213" s="21" t="s">
        <v>3317</v>
      </c>
      <c r="F2213" s="21" t="s">
        <v>2911</v>
      </c>
    </row>
    <row r="2214" customFormat="false" ht="15" hidden="false" customHeight="false" outlineLevel="0" collapsed="false">
      <c r="B2214" s="19" t="s">
        <v>30678</v>
      </c>
      <c r="C2214" s="20" t="n">
        <f aca="false">ROUND(43.58/FX,2)</f>
        <v>6.05</v>
      </c>
      <c r="D2214" s="21" t="s">
        <v>6497</v>
      </c>
      <c r="E2214" s="21" t="s">
        <v>3317</v>
      </c>
      <c r="F2214" s="21" t="s">
        <v>2911</v>
      </c>
    </row>
    <row r="2215" customFormat="false" ht="15" hidden="false" customHeight="false" outlineLevel="0" collapsed="false">
      <c r="B2215" s="19" t="s">
        <v>30679</v>
      </c>
      <c r="C2215" s="20" t="n">
        <f aca="false">ROUND(50.85/FX,2)</f>
        <v>7.06</v>
      </c>
      <c r="D2215" s="21" t="s">
        <v>1048</v>
      </c>
      <c r="E2215" s="21" t="s">
        <v>3317</v>
      </c>
      <c r="F2215" s="21" t="s">
        <v>2911</v>
      </c>
    </row>
    <row r="2216" customFormat="false" ht="15" hidden="false" customHeight="false" outlineLevel="0" collapsed="false">
      <c r="B2216" s="19" t="s">
        <v>30680</v>
      </c>
      <c r="C2216" s="20" t="n">
        <f aca="false">ROUND(55.68/FX,2)</f>
        <v>7.73</v>
      </c>
      <c r="D2216" s="21" t="s">
        <v>3991</v>
      </c>
      <c r="E2216" s="21" t="s">
        <v>3317</v>
      </c>
      <c r="F2216" s="21" t="s">
        <v>2911</v>
      </c>
    </row>
    <row r="2217" customFormat="false" ht="15" hidden="false" customHeight="false" outlineLevel="0" collapsed="false">
      <c r="B2217" s="19" t="s">
        <v>30681</v>
      </c>
      <c r="C2217" s="20" t="n">
        <f aca="false">ROUND(60.52/FX,2)</f>
        <v>8.41</v>
      </c>
      <c r="D2217" s="21" t="s">
        <v>1323</v>
      </c>
      <c r="E2217" s="21" t="s">
        <v>3317</v>
      </c>
      <c r="F2217" s="21" t="s">
        <v>2911</v>
      </c>
    </row>
    <row r="2218" customFormat="false" ht="15" hidden="false" customHeight="false" outlineLevel="0" collapsed="false">
      <c r="B2218" s="19" t="s">
        <v>30682</v>
      </c>
      <c r="C2218" s="20" t="n">
        <f aca="false">ROUND(65.46/FX,2)</f>
        <v>9.09</v>
      </c>
      <c r="D2218" s="21" t="s">
        <v>4883</v>
      </c>
      <c r="E2218" s="21" t="s">
        <v>3317</v>
      </c>
      <c r="F2218" s="21" t="s">
        <v>2911</v>
      </c>
    </row>
    <row r="2219" customFormat="false" ht="15" hidden="false" customHeight="false" outlineLevel="0" collapsed="false">
      <c r="B2219" s="19" t="s">
        <v>30683</v>
      </c>
      <c r="C2219" s="20" t="n">
        <f aca="false">ROUND(69.16/FX,2)</f>
        <v>9.61</v>
      </c>
      <c r="D2219" s="21" t="s">
        <v>1520</v>
      </c>
      <c r="E2219" s="21" t="s">
        <v>3317</v>
      </c>
      <c r="F2219" s="21" t="s">
        <v>2911</v>
      </c>
    </row>
    <row r="2220" customFormat="false" ht="15" hidden="false" customHeight="false" outlineLevel="0" collapsed="false">
      <c r="B2220" s="19" t="s">
        <v>30684</v>
      </c>
      <c r="C2220" s="20" t="n">
        <f aca="false">ROUND(11.23/FX,2)</f>
        <v>1.56</v>
      </c>
      <c r="D2220" s="21" t="s">
        <v>2911</v>
      </c>
      <c r="E2220" s="21" t="s">
        <v>3317</v>
      </c>
      <c r="F2220" s="21" t="s">
        <v>2911</v>
      </c>
    </row>
    <row r="2221" customFormat="false" ht="15" hidden="false" customHeight="false" outlineLevel="0" collapsed="false">
      <c r="B2221" s="19" t="s">
        <v>30685</v>
      </c>
      <c r="C2221" s="20" t="n">
        <f aca="false">ROUND(12.22/FX,2)</f>
        <v>1.7</v>
      </c>
      <c r="D2221" s="21" t="s">
        <v>7275</v>
      </c>
      <c r="E2221" s="21" t="s">
        <v>3317</v>
      </c>
      <c r="F2221" s="21" t="s">
        <v>2911</v>
      </c>
    </row>
    <row r="2222" customFormat="false" ht="15" hidden="false" customHeight="false" outlineLevel="0" collapsed="false">
      <c r="B2222" s="19" t="s">
        <v>30686</v>
      </c>
      <c r="C2222" s="20" t="n">
        <f aca="false">ROUND(12.65/FX,2)</f>
        <v>1.76</v>
      </c>
      <c r="D2222" s="21" t="s">
        <v>2961</v>
      </c>
      <c r="E2222" s="21" t="s">
        <v>3317</v>
      </c>
      <c r="F2222" s="21" t="s">
        <v>2911</v>
      </c>
    </row>
    <row r="2223" customFormat="false" ht="15" hidden="false" customHeight="false" outlineLevel="0" collapsed="false">
      <c r="B2223" s="19" t="s">
        <v>30687</v>
      </c>
      <c r="C2223" s="20" t="n">
        <f aca="false">ROUND(14.21/FX,2)</f>
        <v>1.97</v>
      </c>
      <c r="D2223" s="21" t="s">
        <v>13817</v>
      </c>
      <c r="E2223" s="21" t="s">
        <v>3317</v>
      </c>
      <c r="F2223" s="21" t="s">
        <v>2911</v>
      </c>
    </row>
    <row r="2224" customFormat="false" ht="15" hidden="false" customHeight="false" outlineLevel="0" collapsed="false">
      <c r="B2224" s="19" t="s">
        <v>30688</v>
      </c>
      <c r="C2224" s="20" t="n">
        <f aca="false">ROUND(14.59/FX,2)</f>
        <v>2.03</v>
      </c>
      <c r="D2224" s="21" t="s">
        <v>3011</v>
      </c>
      <c r="E2224" s="21" t="s">
        <v>3317</v>
      </c>
      <c r="F2224" s="21" t="s">
        <v>2911</v>
      </c>
    </row>
    <row r="2225" customFormat="false" ht="15" hidden="false" customHeight="false" outlineLevel="0" collapsed="false">
      <c r="B2225" s="19" t="s">
        <v>30689</v>
      </c>
      <c r="C2225" s="20" t="n">
        <f aca="false">ROUND(15.2/FX,2)</f>
        <v>2.11</v>
      </c>
      <c r="D2225" s="21" t="s">
        <v>7396</v>
      </c>
      <c r="E2225" s="21" t="s">
        <v>3317</v>
      </c>
      <c r="F2225" s="21" t="s">
        <v>2911</v>
      </c>
    </row>
    <row r="2226" customFormat="false" ht="15" hidden="false" customHeight="false" outlineLevel="0" collapsed="false">
      <c r="B2226" s="19" t="s">
        <v>30690</v>
      </c>
      <c r="C2226" s="20" t="n">
        <f aca="false">ROUND(16.58/FX,2)</f>
        <v>2.3</v>
      </c>
      <c r="D2226" s="21" t="s">
        <v>3061</v>
      </c>
      <c r="E2226" s="21" t="s">
        <v>3317</v>
      </c>
      <c r="F2226" s="21" t="s">
        <v>2911</v>
      </c>
    </row>
    <row r="2227" customFormat="false" ht="15" hidden="false" customHeight="false" outlineLevel="0" collapsed="false">
      <c r="B2227" s="19" t="s">
        <v>30691</v>
      </c>
      <c r="C2227" s="20" t="n">
        <f aca="false">ROUND(16.71/FX,2)</f>
        <v>2.32</v>
      </c>
      <c r="D2227" s="21" t="s">
        <v>11870</v>
      </c>
      <c r="E2227" s="21" t="s">
        <v>3317</v>
      </c>
      <c r="F2227" s="21" t="s">
        <v>2911</v>
      </c>
    </row>
    <row r="2228" customFormat="false" ht="15" hidden="false" customHeight="false" outlineLevel="0" collapsed="false">
      <c r="B2228" s="19" t="s">
        <v>30692</v>
      </c>
      <c r="C2228" s="20" t="n">
        <f aca="false">ROUND(19.14/FX,2)</f>
        <v>2.66</v>
      </c>
      <c r="D2228" s="21" t="s">
        <v>3111</v>
      </c>
      <c r="E2228" s="21" t="s">
        <v>3317</v>
      </c>
      <c r="F2228" s="21" t="s">
        <v>2911</v>
      </c>
    </row>
    <row r="2229" customFormat="false" ht="15" hidden="false" customHeight="false" outlineLevel="0" collapsed="false">
      <c r="B2229" s="19" t="s">
        <v>30693</v>
      </c>
      <c r="C2229" s="20" t="n">
        <f aca="false">ROUND(19.75/FX,2)</f>
        <v>2.74</v>
      </c>
      <c r="D2229" s="21" t="s">
        <v>12306</v>
      </c>
      <c r="E2229" s="21" t="s">
        <v>3317</v>
      </c>
      <c r="F2229" s="21" t="s">
        <v>2911</v>
      </c>
    </row>
    <row r="2230" customFormat="false" ht="15" hidden="false" customHeight="false" outlineLevel="0" collapsed="false">
      <c r="B2230" s="19" t="s">
        <v>30694</v>
      </c>
      <c r="C2230" s="20" t="n">
        <f aca="false">ROUND(0.68/FX,2)</f>
        <v>0.09</v>
      </c>
      <c r="D2230" s="21" t="s">
        <v>3247</v>
      </c>
      <c r="E2230" s="21" t="s">
        <v>839</v>
      </c>
      <c r="F2230" s="21" t="s">
        <v>716</v>
      </c>
    </row>
    <row r="2231" customFormat="false" ht="15" hidden="false" customHeight="false" outlineLevel="0" collapsed="false">
      <c r="B2231" s="19" t="s">
        <v>30695</v>
      </c>
      <c r="C2231" s="20" t="n">
        <f aca="false">ROUND(0.68/FX,2)</f>
        <v>0.09</v>
      </c>
      <c r="D2231" s="21" t="s">
        <v>3317</v>
      </c>
      <c r="E2231" s="21" t="s">
        <v>839</v>
      </c>
      <c r="F2231" s="21" t="s">
        <v>716</v>
      </c>
    </row>
    <row r="2232" customFormat="false" ht="15" hidden="false" customHeight="false" outlineLevel="0" collapsed="false">
      <c r="B2232" s="19" t="s">
        <v>30696</v>
      </c>
      <c r="C2232" s="20" t="n">
        <f aca="false">ROUND(0.82/FX,2)</f>
        <v>0.11</v>
      </c>
      <c r="D2232" s="21" t="s">
        <v>784</v>
      </c>
      <c r="E2232" s="21" t="s">
        <v>839</v>
      </c>
      <c r="F2232" s="21" t="s">
        <v>716</v>
      </c>
    </row>
    <row r="2233" customFormat="false" ht="15" hidden="false" customHeight="false" outlineLevel="0" collapsed="false">
      <c r="B2233" s="19" t="s">
        <v>30697</v>
      </c>
      <c r="C2233" s="20" t="n">
        <f aca="false">ROUND(5.93/FX,2)</f>
        <v>0.82</v>
      </c>
      <c r="D2233" s="21" t="s">
        <v>1520</v>
      </c>
      <c r="E2233" s="21" t="s">
        <v>839</v>
      </c>
      <c r="F2233" s="21" t="s">
        <v>716</v>
      </c>
    </row>
    <row r="2234" customFormat="false" ht="15" hidden="false" customHeight="false" outlineLevel="0" collapsed="false">
      <c r="B2234" s="19" t="s">
        <v>30698</v>
      </c>
      <c r="C2234" s="20" t="n">
        <f aca="false">ROUND(0.87/FX,2)</f>
        <v>0.12</v>
      </c>
      <c r="D2234" s="21" t="s">
        <v>3328</v>
      </c>
      <c r="E2234" s="21" t="s">
        <v>839</v>
      </c>
      <c r="F2234" s="21" t="s">
        <v>716</v>
      </c>
    </row>
    <row r="2235" customFormat="false" ht="15" hidden="false" customHeight="false" outlineLevel="0" collapsed="false">
      <c r="B2235" s="19" t="s">
        <v>30699</v>
      </c>
      <c r="C2235" s="20" t="n">
        <f aca="false">ROUND(0.87/FX,2)</f>
        <v>0.12</v>
      </c>
      <c r="D2235" s="21" t="s">
        <v>6246</v>
      </c>
      <c r="E2235" s="21" t="s">
        <v>839</v>
      </c>
      <c r="F2235" s="21" t="s">
        <v>716</v>
      </c>
    </row>
    <row r="2236" customFormat="false" ht="15" hidden="false" customHeight="false" outlineLevel="0" collapsed="false">
      <c r="B2236" s="19" t="s">
        <v>30700</v>
      </c>
      <c r="C2236" s="20" t="n">
        <f aca="false">ROUND(0.94/FX,2)</f>
        <v>0.13</v>
      </c>
      <c r="D2236" s="21" t="s">
        <v>7358</v>
      </c>
      <c r="E2236" s="21" t="s">
        <v>839</v>
      </c>
      <c r="F2236" s="21" t="s">
        <v>716</v>
      </c>
    </row>
    <row r="2237" customFormat="false" ht="15" hidden="false" customHeight="false" outlineLevel="0" collapsed="false">
      <c r="B2237" s="19" t="s">
        <v>30701</v>
      </c>
      <c r="C2237" s="20" t="n">
        <f aca="false">ROUND(1.12/FX,2)</f>
        <v>0.16</v>
      </c>
      <c r="D2237" s="21" t="s">
        <v>7275</v>
      </c>
      <c r="E2237" s="21" t="s">
        <v>839</v>
      </c>
      <c r="F2237" s="21" t="s">
        <v>716</v>
      </c>
    </row>
    <row r="2238" customFormat="false" ht="15" hidden="false" customHeight="false" outlineLevel="0" collapsed="false">
      <c r="B2238" s="19" t="s">
        <v>30702</v>
      </c>
      <c r="C2238" s="20" t="n">
        <f aca="false">ROUND(1.23/FX,2)</f>
        <v>0.17</v>
      </c>
      <c r="D2238" s="21" t="s">
        <v>2961</v>
      </c>
      <c r="E2238" s="21" t="s">
        <v>839</v>
      </c>
      <c r="F2238" s="21" t="s">
        <v>716</v>
      </c>
    </row>
    <row r="2239" customFormat="false" ht="15" hidden="false" customHeight="false" outlineLevel="0" collapsed="false">
      <c r="B2239" s="19" t="s">
        <v>30703</v>
      </c>
      <c r="C2239" s="20" t="n">
        <f aca="false">ROUND(1.23/FX,2)</f>
        <v>0.17</v>
      </c>
      <c r="D2239" s="21" t="s">
        <v>13817</v>
      </c>
      <c r="E2239" s="21" t="s">
        <v>839</v>
      </c>
      <c r="F2239" s="21" t="s">
        <v>716</v>
      </c>
    </row>
    <row r="2240" customFormat="false" ht="15" hidden="false" customHeight="false" outlineLevel="0" collapsed="false">
      <c r="B2240" s="19" t="s">
        <v>30704</v>
      </c>
      <c r="C2240" s="20" t="n">
        <f aca="false">ROUND(1.39/FX,2)</f>
        <v>0.19</v>
      </c>
      <c r="D2240" s="21" t="s">
        <v>3011</v>
      </c>
      <c r="E2240" s="21" t="s">
        <v>839</v>
      </c>
      <c r="F2240" s="21" t="s">
        <v>716</v>
      </c>
    </row>
    <row r="2241" customFormat="false" ht="15" hidden="false" customHeight="false" outlineLevel="0" collapsed="false">
      <c r="B2241" s="19" t="s">
        <v>30705</v>
      </c>
      <c r="C2241" s="20" t="n">
        <f aca="false">ROUND(46.93/FX,2)</f>
        <v>6.52</v>
      </c>
      <c r="D2241" s="21" t="s">
        <v>2600</v>
      </c>
      <c r="E2241" s="21" t="s">
        <v>784</v>
      </c>
      <c r="F2241" s="21" t="s">
        <v>2961</v>
      </c>
    </row>
    <row r="2242" customFormat="false" ht="15" hidden="false" customHeight="false" outlineLevel="0" collapsed="false">
      <c r="B2242" s="19" t="s">
        <v>30706</v>
      </c>
      <c r="C2242" s="20" t="n">
        <f aca="false">ROUND(49.4/FX,2)</f>
        <v>6.86</v>
      </c>
      <c r="D2242" s="21" t="s">
        <v>2651</v>
      </c>
      <c r="E2242" s="21" t="s">
        <v>784</v>
      </c>
      <c r="F2242" s="21" t="s">
        <v>2961</v>
      </c>
    </row>
    <row r="2243" customFormat="false" ht="15" hidden="false" customHeight="false" outlineLevel="0" collapsed="false">
      <c r="B2243" s="19" t="s">
        <v>30707</v>
      </c>
      <c r="C2243" s="20" t="n">
        <f aca="false">ROUND(51.87/FX,2)</f>
        <v>7.2</v>
      </c>
      <c r="D2243" s="21" t="s">
        <v>2701</v>
      </c>
      <c r="E2243" s="21" t="s">
        <v>784</v>
      </c>
      <c r="F2243" s="21" t="s">
        <v>2961</v>
      </c>
    </row>
    <row r="2244" customFormat="false" ht="15" hidden="false" customHeight="false" outlineLevel="0" collapsed="false">
      <c r="B2244" s="19" t="s">
        <v>30708</v>
      </c>
      <c r="C2244" s="20" t="n">
        <f aca="false">ROUND(54.34/FX,2)</f>
        <v>7.55</v>
      </c>
      <c r="D2244" s="21" t="s">
        <v>11968</v>
      </c>
      <c r="E2244" s="21" t="s">
        <v>784</v>
      </c>
      <c r="F2244" s="21" t="s">
        <v>2961</v>
      </c>
    </row>
    <row r="2245" customFormat="false" ht="15" hidden="false" customHeight="false" outlineLevel="0" collapsed="false">
      <c r="B2245" s="19" t="s">
        <v>30709</v>
      </c>
      <c r="C2245" s="20" t="n">
        <f aca="false">ROUND(56.81/FX,2)</f>
        <v>7.89</v>
      </c>
      <c r="D2245" s="21" t="s">
        <v>2751</v>
      </c>
      <c r="E2245" s="21" t="s">
        <v>784</v>
      </c>
      <c r="F2245" s="21" t="s">
        <v>2961</v>
      </c>
    </row>
    <row r="2246" customFormat="false" ht="15" hidden="false" customHeight="false" outlineLevel="0" collapsed="false">
      <c r="B2246" s="19" t="s">
        <v>30710</v>
      </c>
      <c r="C2246" s="20" t="n">
        <f aca="false">ROUND(59.28/FX,2)</f>
        <v>8.23</v>
      </c>
      <c r="D2246" s="21" t="s">
        <v>2801</v>
      </c>
      <c r="E2246" s="21" t="s">
        <v>784</v>
      </c>
      <c r="F2246" s="21" t="s">
        <v>2961</v>
      </c>
    </row>
    <row r="2247" customFormat="false" ht="15" hidden="false" customHeight="false" outlineLevel="0" collapsed="false">
      <c r="B2247" s="19" t="s">
        <v>30711</v>
      </c>
      <c r="C2247" s="20" t="n">
        <f aca="false">ROUND(61.75/FX,2)</f>
        <v>8.58</v>
      </c>
      <c r="D2247" s="21" t="s">
        <v>2851</v>
      </c>
      <c r="E2247" s="21" t="s">
        <v>784</v>
      </c>
      <c r="F2247" s="21" t="s">
        <v>2961</v>
      </c>
    </row>
    <row r="2248" customFormat="false" ht="15" hidden="false" customHeight="false" outlineLevel="0" collapsed="false">
      <c r="B2248" s="19" t="s">
        <v>30712</v>
      </c>
      <c r="C2248" s="20" t="n">
        <f aca="false">ROUND(66.69/FX,2)</f>
        <v>9.26</v>
      </c>
      <c r="D2248" s="21" t="s">
        <v>6497</v>
      </c>
      <c r="E2248" s="21" t="s">
        <v>784</v>
      </c>
      <c r="F2248" s="21" t="s">
        <v>2961</v>
      </c>
    </row>
    <row r="2249" customFormat="false" ht="15" hidden="false" customHeight="false" outlineLevel="0" collapsed="false">
      <c r="B2249" s="19" t="s">
        <v>30713</v>
      </c>
      <c r="C2249" s="20" t="n">
        <f aca="false">ROUND(71.63/FX,2)</f>
        <v>9.95</v>
      </c>
      <c r="D2249" s="21" t="s">
        <v>1048</v>
      </c>
      <c r="E2249" s="21" t="s">
        <v>784</v>
      </c>
      <c r="F2249" s="21" t="s">
        <v>2961</v>
      </c>
    </row>
    <row r="2250" customFormat="false" ht="15" hidden="false" customHeight="false" outlineLevel="0" collapsed="false">
      <c r="B2250" s="19" t="s">
        <v>30714</v>
      </c>
      <c r="C2250" s="20" t="n">
        <f aca="false">ROUND(76.57/FX,2)</f>
        <v>10.63</v>
      </c>
      <c r="D2250" s="21" t="s">
        <v>3991</v>
      </c>
      <c r="E2250" s="21" t="s">
        <v>784</v>
      </c>
      <c r="F2250" s="21" t="s">
        <v>2961</v>
      </c>
    </row>
    <row r="2251" customFormat="false" ht="15" hidden="false" customHeight="false" outlineLevel="0" collapsed="false">
      <c r="B2251" s="19" t="s">
        <v>30715</v>
      </c>
      <c r="C2251" s="20" t="n">
        <f aca="false">ROUND(83.98/FX,2)</f>
        <v>11.66</v>
      </c>
      <c r="D2251" s="21" t="s">
        <v>1323</v>
      </c>
      <c r="E2251" s="21" t="s">
        <v>784</v>
      </c>
      <c r="F2251" s="21" t="s">
        <v>2961</v>
      </c>
    </row>
    <row r="2252" customFormat="false" ht="15" hidden="false" customHeight="false" outlineLevel="0" collapsed="false">
      <c r="B2252" s="19" t="s">
        <v>30716</v>
      </c>
      <c r="C2252" s="20" t="n">
        <f aca="false">ROUND(91.39/FX,2)</f>
        <v>12.69</v>
      </c>
      <c r="D2252" s="21" t="s">
        <v>4883</v>
      </c>
      <c r="E2252" s="21" t="s">
        <v>784</v>
      </c>
      <c r="F2252" s="21" t="s">
        <v>2961</v>
      </c>
    </row>
    <row r="2253" customFormat="false" ht="15" hidden="false" customHeight="false" outlineLevel="0" collapsed="false">
      <c r="B2253" s="19" t="s">
        <v>30717</v>
      </c>
      <c r="C2253" s="20" t="n">
        <f aca="false">ROUND(123.5/FX,2)</f>
        <v>17.15</v>
      </c>
      <c r="D2253" s="21" t="s">
        <v>1520</v>
      </c>
      <c r="E2253" s="21" t="s">
        <v>784</v>
      </c>
      <c r="F2253" s="21" t="s">
        <v>2961</v>
      </c>
    </row>
    <row r="2254" customFormat="false" ht="15" hidden="false" customHeight="false" outlineLevel="0" collapsed="false">
      <c r="B2254" s="19" t="s">
        <v>30718</v>
      </c>
      <c r="C2254" s="20" t="n">
        <f aca="false">ROUND(24.7/FX,2)</f>
        <v>3.43</v>
      </c>
      <c r="D2254" s="21" t="s">
        <v>2961</v>
      </c>
      <c r="E2254" s="21" t="s">
        <v>784</v>
      </c>
      <c r="F2254" s="21" t="s">
        <v>2961</v>
      </c>
    </row>
    <row r="2255" customFormat="false" ht="15" hidden="false" customHeight="false" outlineLevel="0" collapsed="false">
      <c r="B2255" s="19" t="s">
        <v>30719</v>
      </c>
      <c r="C2255" s="20" t="n">
        <f aca="false">ROUND(27.17/FX,2)</f>
        <v>3.77</v>
      </c>
      <c r="D2255" s="21" t="s">
        <v>13817</v>
      </c>
      <c r="E2255" s="21" t="s">
        <v>784</v>
      </c>
      <c r="F2255" s="21" t="s">
        <v>2961</v>
      </c>
    </row>
    <row r="2256" customFormat="false" ht="15" hidden="false" customHeight="false" outlineLevel="0" collapsed="false">
      <c r="B2256" s="19" t="s">
        <v>30720</v>
      </c>
      <c r="C2256" s="20" t="n">
        <f aca="false">ROUND(29.64/FX,2)</f>
        <v>4.12</v>
      </c>
      <c r="D2256" s="21" t="s">
        <v>3011</v>
      </c>
      <c r="E2256" s="21" t="s">
        <v>784</v>
      </c>
      <c r="F2256" s="21" t="s">
        <v>2961</v>
      </c>
    </row>
    <row r="2257" customFormat="false" ht="15" hidden="false" customHeight="false" outlineLevel="0" collapsed="false">
      <c r="B2257" s="19" t="s">
        <v>30721</v>
      </c>
      <c r="C2257" s="20" t="n">
        <f aca="false">ROUND(32.11/FX,2)</f>
        <v>4.46</v>
      </c>
      <c r="D2257" s="21" t="s">
        <v>7396</v>
      </c>
      <c r="E2257" s="21" t="s">
        <v>784</v>
      </c>
      <c r="F2257" s="21" t="s">
        <v>2961</v>
      </c>
    </row>
    <row r="2258" customFormat="false" ht="15" hidden="false" customHeight="false" outlineLevel="0" collapsed="false">
      <c r="B2258" s="19" t="s">
        <v>30722</v>
      </c>
      <c r="C2258" s="20" t="n">
        <f aca="false">ROUND(34.58/FX,2)</f>
        <v>4.8</v>
      </c>
      <c r="D2258" s="21" t="s">
        <v>3061</v>
      </c>
      <c r="E2258" s="21" t="s">
        <v>784</v>
      </c>
      <c r="F2258" s="21" t="s">
        <v>2961</v>
      </c>
    </row>
    <row r="2259" customFormat="false" ht="15" hidden="false" customHeight="false" outlineLevel="0" collapsed="false">
      <c r="B2259" s="19" t="s">
        <v>30723</v>
      </c>
      <c r="C2259" s="20" t="n">
        <f aca="false">ROUND(37.05/FX,2)</f>
        <v>5.15</v>
      </c>
      <c r="D2259" s="21" t="s">
        <v>11870</v>
      </c>
      <c r="E2259" s="21" t="s">
        <v>784</v>
      </c>
      <c r="F2259" s="21" t="s">
        <v>2961</v>
      </c>
    </row>
    <row r="2260" customFormat="false" ht="15" hidden="false" customHeight="false" outlineLevel="0" collapsed="false">
      <c r="B2260" s="19" t="s">
        <v>30724</v>
      </c>
      <c r="C2260" s="20" t="n">
        <f aca="false">ROUND(39.52/FX,2)</f>
        <v>5.49</v>
      </c>
      <c r="D2260" s="21" t="s">
        <v>3111</v>
      </c>
      <c r="E2260" s="21" t="s">
        <v>784</v>
      </c>
      <c r="F2260" s="21" t="s">
        <v>2961</v>
      </c>
    </row>
    <row r="2261" customFormat="false" ht="15" hidden="false" customHeight="false" outlineLevel="0" collapsed="false">
      <c r="B2261" s="19" t="s">
        <v>30725</v>
      </c>
      <c r="C2261" s="20" t="n">
        <f aca="false">ROUND(41.99/FX,2)</f>
        <v>5.83</v>
      </c>
      <c r="D2261" s="21" t="s">
        <v>12306</v>
      </c>
      <c r="E2261" s="21" t="s">
        <v>784</v>
      </c>
      <c r="F2261" s="21" t="s">
        <v>2961</v>
      </c>
    </row>
    <row r="2262" customFormat="false" ht="15" hidden="false" customHeight="false" outlineLevel="0" collapsed="false">
      <c r="B2262" s="19" t="s">
        <v>30726</v>
      </c>
      <c r="C2262" s="20" t="n">
        <f aca="false">ROUND(114.86/FX,2)</f>
        <v>15.95</v>
      </c>
      <c r="D2262" s="21" t="s">
        <v>2600</v>
      </c>
      <c r="E2262" s="21" t="s">
        <v>6246</v>
      </c>
      <c r="F2262" s="21" t="s">
        <v>3011</v>
      </c>
    </row>
    <row r="2263" customFormat="false" ht="15" hidden="false" customHeight="false" outlineLevel="0" collapsed="false">
      <c r="B2263" s="19" t="s">
        <v>30727</v>
      </c>
      <c r="C2263" s="20" t="n">
        <f aca="false">ROUND(123.5/FX,2)</f>
        <v>17.15</v>
      </c>
      <c r="D2263" s="21" t="s">
        <v>11968</v>
      </c>
      <c r="E2263" s="21" t="s">
        <v>6246</v>
      </c>
      <c r="F2263" s="21" t="s">
        <v>3011</v>
      </c>
    </row>
    <row r="2264" customFormat="false" ht="15" hidden="false" customHeight="false" outlineLevel="0" collapsed="false">
      <c r="B2264" s="19" t="s">
        <v>30728</v>
      </c>
      <c r="C2264" s="20" t="n">
        <f aca="false">ROUND(129.68/FX,2)</f>
        <v>18.01</v>
      </c>
      <c r="D2264" s="21" t="s">
        <v>2851</v>
      </c>
      <c r="E2264" s="21" t="s">
        <v>6246</v>
      </c>
      <c r="F2264" s="21" t="s">
        <v>3011</v>
      </c>
    </row>
    <row r="2265" customFormat="false" ht="15" hidden="false" customHeight="false" outlineLevel="0" collapsed="false">
      <c r="B2265" s="19" t="s">
        <v>30729</v>
      </c>
      <c r="C2265" s="20" t="n">
        <f aca="false">ROUND(135.85/FX,2)</f>
        <v>18.87</v>
      </c>
      <c r="D2265" s="21" t="s">
        <v>6497</v>
      </c>
      <c r="E2265" s="21" t="s">
        <v>6246</v>
      </c>
      <c r="F2265" s="21" t="s">
        <v>3011</v>
      </c>
    </row>
    <row r="2266" customFormat="false" ht="15" hidden="false" customHeight="false" outlineLevel="0" collapsed="false">
      <c r="B2266" s="19" t="s">
        <v>30730</v>
      </c>
      <c r="C2266" s="20" t="n">
        <f aca="false">ROUND(154.38/FX,2)</f>
        <v>21.44</v>
      </c>
      <c r="D2266" s="21" t="s">
        <v>1048</v>
      </c>
      <c r="E2266" s="21" t="s">
        <v>6246</v>
      </c>
      <c r="F2266" s="21" t="s">
        <v>3011</v>
      </c>
    </row>
    <row r="2267" customFormat="false" ht="15" hidden="false" customHeight="false" outlineLevel="0" collapsed="false">
      <c r="B2267" s="19" t="s">
        <v>30731</v>
      </c>
      <c r="C2267" s="20" t="n">
        <f aca="false">ROUND(172.9/FX,2)</f>
        <v>24.01</v>
      </c>
      <c r="D2267" s="21" t="s">
        <v>1323</v>
      </c>
      <c r="E2267" s="21" t="s">
        <v>6246</v>
      </c>
      <c r="F2267" s="21" t="s">
        <v>3011</v>
      </c>
    </row>
    <row r="2268" customFormat="false" ht="15" hidden="false" customHeight="false" outlineLevel="0" collapsed="false">
      <c r="B2268" s="19" t="s">
        <v>30732</v>
      </c>
      <c r="C2268" s="20" t="n">
        <f aca="false">ROUND(197.6/FX,2)</f>
        <v>27.44</v>
      </c>
      <c r="D2268" s="21" t="s">
        <v>1520</v>
      </c>
      <c r="E2268" s="21" t="s">
        <v>6246</v>
      </c>
      <c r="F2268" s="21" t="s">
        <v>3011</v>
      </c>
    </row>
    <row r="2269" customFormat="false" ht="15" hidden="false" customHeight="false" outlineLevel="0" collapsed="false">
      <c r="B2269" s="19" t="s">
        <v>30733</v>
      </c>
      <c r="C2269" s="20" t="n">
        <f aca="false">ROUND(96.33/FX,2)</f>
        <v>13.38</v>
      </c>
      <c r="D2269" s="21" t="s">
        <v>3011</v>
      </c>
      <c r="E2269" s="21" t="s">
        <v>6246</v>
      </c>
      <c r="F2269" s="21" t="s">
        <v>3011</v>
      </c>
    </row>
    <row r="2270" customFormat="false" ht="15" hidden="false" customHeight="false" outlineLevel="0" collapsed="false">
      <c r="B2270" s="19" t="s">
        <v>30734</v>
      </c>
      <c r="C2270" s="20" t="n">
        <f aca="false">ROUND(102.51/FX,2)</f>
        <v>14.24</v>
      </c>
      <c r="D2270" s="21" t="s">
        <v>3061</v>
      </c>
      <c r="E2270" s="21" t="s">
        <v>6246</v>
      </c>
      <c r="F2270" s="21" t="s">
        <v>3011</v>
      </c>
    </row>
    <row r="2271" customFormat="false" ht="15" hidden="false" customHeight="false" outlineLevel="0" collapsed="false">
      <c r="B2271" s="19" t="s">
        <v>30735</v>
      </c>
      <c r="C2271" s="20" t="n">
        <f aca="false">ROUND(108.68/FX,2)</f>
        <v>15.09</v>
      </c>
      <c r="D2271" s="21" t="s">
        <v>3111</v>
      </c>
      <c r="E2271" s="21" t="s">
        <v>6246</v>
      </c>
      <c r="F2271" s="21" t="s">
        <v>3011</v>
      </c>
    </row>
    <row r="2272" customFormat="false" ht="15" hidden="false" customHeight="false" outlineLevel="0" collapsed="false">
      <c r="B2272" s="19" t="s">
        <v>30736</v>
      </c>
      <c r="C2272" s="20" t="n">
        <f aca="false">ROUND(1.73/FX,2)</f>
        <v>0.24</v>
      </c>
      <c r="D2272" s="21" t="s">
        <v>2600</v>
      </c>
      <c r="E2272" s="21" t="s">
        <v>841</v>
      </c>
      <c r="F2272" s="21" t="s">
        <v>847</v>
      </c>
    </row>
    <row r="2273" customFormat="false" ht="15" hidden="false" customHeight="false" outlineLevel="0" collapsed="false">
      <c r="B2273" s="19" t="s">
        <v>30737</v>
      </c>
      <c r="C2273" s="20" t="n">
        <f aca="false">ROUND(0.5/FX,2)</f>
        <v>0.07</v>
      </c>
      <c r="D2273" s="21" t="s">
        <v>3247</v>
      </c>
      <c r="E2273" s="21" t="s">
        <v>841</v>
      </c>
      <c r="F2273" s="21" t="s">
        <v>847</v>
      </c>
    </row>
    <row r="2274" customFormat="false" ht="15" hidden="false" customHeight="false" outlineLevel="0" collapsed="false">
      <c r="B2274" s="19" t="s">
        <v>30738</v>
      </c>
      <c r="C2274" s="20" t="n">
        <f aca="false">ROUND(0.5/FX,2)</f>
        <v>0.07</v>
      </c>
      <c r="D2274" s="21" t="s">
        <v>3317</v>
      </c>
      <c r="E2274" s="21" t="s">
        <v>841</v>
      </c>
      <c r="F2274" s="21" t="s">
        <v>847</v>
      </c>
    </row>
    <row r="2275" customFormat="false" ht="15" hidden="false" customHeight="false" outlineLevel="0" collapsed="false">
      <c r="B2275" s="19" t="s">
        <v>30739</v>
      </c>
      <c r="C2275" s="20" t="n">
        <f aca="false">ROUND(0.69/FX,2)</f>
        <v>0.1</v>
      </c>
      <c r="D2275" s="21" t="s">
        <v>784</v>
      </c>
      <c r="E2275" s="21" t="s">
        <v>841</v>
      </c>
      <c r="F2275" s="21" t="s">
        <v>847</v>
      </c>
    </row>
    <row r="2276" customFormat="false" ht="15" hidden="false" customHeight="false" outlineLevel="0" collapsed="false">
      <c r="B2276" s="19" t="s">
        <v>30740</v>
      </c>
      <c r="C2276" s="20" t="n">
        <f aca="false">ROUND(5.93/FX,2)</f>
        <v>0.82</v>
      </c>
      <c r="D2276" s="21" t="s">
        <v>1520</v>
      </c>
      <c r="E2276" s="21" t="s">
        <v>841</v>
      </c>
      <c r="F2276" s="21" t="s">
        <v>847</v>
      </c>
    </row>
    <row r="2277" customFormat="false" ht="15" hidden="false" customHeight="false" outlineLevel="0" collapsed="false">
      <c r="B2277" s="19" t="s">
        <v>30741</v>
      </c>
      <c r="C2277" s="20" t="n">
        <f aca="false">ROUND(0.74/FX,2)</f>
        <v>0.1</v>
      </c>
      <c r="D2277" s="21" t="s">
        <v>3328</v>
      </c>
      <c r="E2277" s="21" t="s">
        <v>841</v>
      </c>
      <c r="F2277" s="21" t="s">
        <v>847</v>
      </c>
    </row>
    <row r="2278" customFormat="false" ht="15" hidden="false" customHeight="false" outlineLevel="0" collapsed="false">
      <c r="B2278" s="19" t="s">
        <v>30742</v>
      </c>
      <c r="C2278" s="20" t="n">
        <f aca="false">ROUND(0.74/FX,2)</f>
        <v>0.1</v>
      </c>
      <c r="D2278" s="21" t="s">
        <v>6246</v>
      </c>
      <c r="E2278" s="21" t="s">
        <v>841</v>
      </c>
      <c r="F2278" s="21" t="s">
        <v>847</v>
      </c>
    </row>
    <row r="2279" customFormat="false" ht="15" hidden="false" customHeight="false" outlineLevel="0" collapsed="false">
      <c r="B2279" s="19" t="s">
        <v>30743</v>
      </c>
      <c r="C2279" s="20" t="n">
        <f aca="false">ROUND(0.74/FX,2)</f>
        <v>0.1</v>
      </c>
      <c r="D2279" s="21" t="s">
        <v>7358</v>
      </c>
      <c r="E2279" s="21" t="s">
        <v>841</v>
      </c>
      <c r="F2279" s="21" t="s">
        <v>847</v>
      </c>
    </row>
    <row r="2280" customFormat="false" ht="15" hidden="false" customHeight="false" outlineLevel="0" collapsed="false">
      <c r="B2280" s="19" t="s">
        <v>30744</v>
      </c>
      <c r="C2280" s="20" t="n">
        <f aca="false">ROUND(0.99/FX,2)</f>
        <v>0.14</v>
      </c>
      <c r="D2280" s="21" t="s">
        <v>2911</v>
      </c>
      <c r="E2280" s="21" t="s">
        <v>841</v>
      </c>
      <c r="F2280" s="21" t="s">
        <v>847</v>
      </c>
    </row>
    <row r="2281" customFormat="false" ht="15" hidden="false" customHeight="false" outlineLevel="0" collapsed="false">
      <c r="B2281" s="19" t="s">
        <v>30745</v>
      </c>
      <c r="C2281" s="20" t="n">
        <f aca="false">ROUND(0.99/FX,2)</f>
        <v>0.14</v>
      </c>
      <c r="D2281" s="21" t="s">
        <v>7275</v>
      </c>
      <c r="E2281" s="21" t="s">
        <v>841</v>
      </c>
      <c r="F2281" s="21" t="s">
        <v>847</v>
      </c>
    </row>
    <row r="2282" customFormat="false" ht="15" hidden="false" customHeight="false" outlineLevel="0" collapsed="false">
      <c r="B2282" s="19" t="s">
        <v>30746</v>
      </c>
      <c r="C2282" s="20" t="n">
        <f aca="false">ROUND(1.05/FX,2)</f>
        <v>0.15</v>
      </c>
      <c r="D2282" s="21" t="s">
        <v>2961</v>
      </c>
      <c r="E2282" s="21" t="s">
        <v>841</v>
      </c>
      <c r="F2282" s="21" t="s">
        <v>847</v>
      </c>
    </row>
    <row r="2283" customFormat="false" ht="15" hidden="false" customHeight="false" outlineLevel="0" collapsed="false">
      <c r="B2283" s="19" t="s">
        <v>30747</v>
      </c>
      <c r="C2283" s="20" t="n">
        <f aca="false">ROUND(1.05/FX,2)</f>
        <v>0.15</v>
      </c>
      <c r="D2283" s="21" t="s">
        <v>13817</v>
      </c>
      <c r="E2283" s="21" t="s">
        <v>841</v>
      </c>
      <c r="F2283" s="21" t="s">
        <v>847</v>
      </c>
    </row>
    <row r="2284" customFormat="false" ht="15" hidden="false" customHeight="false" outlineLevel="0" collapsed="false">
      <c r="B2284" s="19" t="s">
        <v>30748</v>
      </c>
      <c r="C2284" s="20" t="n">
        <f aca="false">ROUND(1.24/FX,2)</f>
        <v>0.17</v>
      </c>
      <c r="D2284" s="21" t="s">
        <v>3011</v>
      </c>
      <c r="E2284" s="21" t="s">
        <v>841</v>
      </c>
      <c r="F2284" s="21" t="s">
        <v>847</v>
      </c>
    </row>
    <row r="2285" customFormat="false" ht="15" hidden="false" customHeight="false" outlineLevel="0" collapsed="false">
      <c r="B2285" s="19" t="s">
        <v>30749</v>
      </c>
      <c r="C2285" s="20" t="n">
        <f aca="false">ROUND(1.37/FX,2)</f>
        <v>0.19</v>
      </c>
      <c r="D2285" s="21" t="s">
        <v>7396</v>
      </c>
      <c r="E2285" s="21" t="s">
        <v>841</v>
      </c>
      <c r="F2285" s="21" t="s">
        <v>847</v>
      </c>
    </row>
    <row r="2286" customFormat="false" ht="15" hidden="false" customHeight="false" outlineLevel="0" collapsed="false">
      <c r="B2286" s="19" t="s">
        <v>30750</v>
      </c>
      <c r="C2286" s="20" t="n">
        <f aca="false">ROUND(1.48/FX,2)</f>
        <v>0.21</v>
      </c>
      <c r="D2286" s="21" t="s">
        <v>3061</v>
      </c>
      <c r="E2286" s="21" t="s">
        <v>841</v>
      </c>
      <c r="F2286" s="21" t="s">
        <v>847</v>
      </c>
    </row>
    <row r="2287" customFormat="false" ht="15" hidden="false" customHeight="false" outlineLevel="0" collapsed="false">
      <c r="B2287" s="19" t="s">
        <v>30751</v>
      </c>
      <c r="C2287" s="20" t="n">
        <f aca="false">ROUND(1.55/FX,2)</f>
        <v>0.22</v>
      </c>
      <c r="D2287" s="21" t="s">
        <v>11870</v>
      </c>
      <c r="E2287" s="21" t="s">
        <v>841</v>
      </c>
      <c r="F2287" s="21" t="s">
        <v>847</v>
      </c>
    </row>
    <row r="2288" customFormat="false" ht="15" hidden="false" customHeight="false" outlineLevel="0" collapsed="false">
      <c r="B2288" s="19" t="s">
        <v>30752</v>
      </c>
      <c r="C2288" s="20" t="n">
        <f aca="false">ROUND(1.61/FX,2)</f>
        <v>0.22</v>
      </c>
      <c r="D2288" s="21" t="s">
        <v>3111</v>
      </c>
      <c r="E2288" s="21" t="s">
        <v>841</v>
      </c>
      <c r="F2288" s="21" t="s">
        <v>847</v>
      </c>
    </row>
    <row r="2289" customFormat="false" ht="15" hidden="false" customHeight="false" outlineLevel="0" collapsed="false">
      <c r="B2289" s="19" t="s">
        <v>30753</v>
      </c>
      <c r="C2289" s="20" t="n">
        <f aca="false">ROUND(1.73/FX,2)</f>
        <v>0.24</v>
      </c>
      <c r="D2289" s="21" t="s">
        <v>12306</v>
      </c>
      <c r="E2289" s="21" t="s">
        <v>841</v>
      </c>
      <c r="F2289" s="21" t="s">
        <v>847</v>
      </c>
    </row>
    <row r="2292" customFormat="false" ht="61.5" hidden="false" customHeight="true" outlineLevel="0" collapsed="false">
      <c r="A2292" s="9"/>
      <c r="B2292" s="10" t="s">
        <v>30754</v>
      </c>
      <c r="C2292" s="10"/>
      <c r="D2292" s="10"/>
      <c r="E2292" s="10"/>
      <c r="F2292" s="10"/>
    </row>
    <row r="2293" customFormat="false" ht="15" hidden="false" customHeight="false" outlineLevel="0" collapsed="false">
      <c r="A2293" s="12" t="s">
        <v>700</v>
      </c>
      <c r="B2293" s="13" t="s">
        <v>701</v>
      </c>
      <c r="C2293" s="13" t="s">
        <v>702</v>
      </c>
      <c r="D2293" s="13" t="s">
        <v>11716</v>
      </c>
      <c r="E2293" s="13" t="s">
        <v>7711</v>
      </c>
      <c r="F2293" s="13" t="s">
        <v>14350</v>
      </c>
    </row>
    <row r="2294" customFormat="false" ht="30" hidden="false" customHeight="true" outlineLevel="0" collapsed="false">
      <c r="A2294" s="14" t="s">
        <v>706</v>
      </c>
      <c r="B2294" s="15" t="str">
        <f aca="false">IF(COUNTIFS($D$2297:$D$2637,IF(D2294="","*",D2294),$E$2297:$E$2637,IF(E2294="","*",E2294),$F$2297:$F$2637,IF(F2294="","*",F2294))=1,INDEX($B:$B,SUMPRODUCT(((D2294="")+($D$2297:$D$2637=D2294)&gt;0)*((E2294="")+($E$2297:$E$2637=E2294)&gt;0)*((F2294="")+($F$2297:$F$2637=F2294)&gt;0)*ROW($B$2297:$B$2637))),IF(COUNTIFS($D$2297:$D$2637,IF(D2294="","*",D2294),$E$2297:$E$2637,IF(E2294="","*",E2294),$F$2297:$F$2637,IF(F2294="","*",F2294))=0,"Not available",COUNTIFS($D$2297:$D$2637,IF(D2294="","*",D2294),$E$2297:$E$2637,IF(E2294="","*",E2294),$F$2297:$F$2637,IF(F2294="","*",F2294))&amp;" match, keep choosing"))</f>
        <v>SPR-BL-10-5-100</v>
      </c>
      <c r="C2294" s="16" t="n">
        <f aca="false">IF(COUNTIFS($D$2297:$D$2637,IF(D2294="","*",D2294),$E$2297:$E$2637,IF(E2294="","*",E2294),$F$2297:$F$2637,IF(F2294="","*",F2294))=1,INDEX($C:$C,SUMPRODUCT(((D2294="")+($D$2297:$D$2637=D2294)&gt;0)*((E2294="")+($E$2297:$E$2637=E2294)&gt;0)*((F2294="")+($F$2297:$F$2637=F2294)&gt;0)*ROW($B$2297:$B$2637))),"")</f>
        <v>0.21</v>
      </c>
      <c r="D2294" s="17" t="s">
        <v>2600</v>
      </c>
      <c r="E2294" s="17" t="s">
        <v>789</v>
      </c>
      <c r="F2294" s="17" t="s">
        <v>707</v>
      </c>
    </row>
    <row r="2296" customFormat="false" ht="15" hidden="false" customHeight="false" outlineLevel="0" collapsed="false">
      <c r="B2296" s="18" t="s">
        <v>701</v>
      </c>
      <c r="C2296" s="18" t="s">
        <v>702</v>
      </c>
      <c r="D2296" s="18" t="s">
        <v>11716</v>
      </c>
      <c r="E2296" s="18" t="s">
        <v>7711</v>
      </c>
      <c r="F2296" s="18" t="s">
        <v>14350</v>
      </c>
    </row>
    <row r="2297" customFormat="false" ht="15" hidden="false" customHeight="false" outlineLevel="0" collapsed="false">
      <c r="B2297" s="19" t="s">
        <v>30755</v>
      </c>
      <c r="C2297" s="20" t="n">
        <f aca="false">ROUND(1.54/FX,2)</f>
        <v>0.21</v>
      </c>
      <c r="D2297" s="21" t="s">
        <v>2600</v>
      </c>
      <c r="E2297" s="21" t="s">
        <v>789</v>
      </c>
      <c r="F2297" s="21" t="s">
        <v>707</v>
      </c>
    </row>
    <row r="2298" customFormat="false" ht="15" hidden="false" customHeight="false" outlineLevel="0" collapsed="false">
      <c r="B2298" s="19" t="s">
        <v>30756</v>
      </c>
      <c r="C2298" s="20" t="n">
        <f aca="false">ROUND(1.67/FX,2)</f>
        <v>0.23</v>
      </c>
      <c r="D2298" s="21" t="s">
        <v>2651</v>
      </c>
      <c r="E2298" s="21" t="s">
        <v>789</v>
      </c>
      <c r="F2298" s="21" t="s">
        <v>707</v>
      </c>
    </row>
    <row r="2299" customFormat="false" ht="15" hidden="false" customHeight="false" outlineLevel="0" collapsed="false">
      <c r="B2299" s="19" t="s">
        <v>30757</v>
      </c>
      <c r="C2299" s="20" t="n">
        <f aca="false">ROUND(1.73/FX,2)</f>
        <v>0.24</v>
      </c>
      <c r="D2299" s="21" t="s">
        <v>2701</v>
      </c>
      <c r="E2299" s="21" t="s">
        <v>789</v>
      </c>
      <c r="F2299" s="21" t="s">
        <v>707</v>
      </c>
    </row>
    <row r="2300" customFormat="false" ht="15" hidden="false" customHeight="false" outlineLevel="0" collapsed="false">
      <c r="B2300" s="19" t="s">
        <v>30758</v>
      </c>
      <c r="C2300" s="20" t="n">
        <f aca="false">ROUND(1.97/FX,2)</f>
        <v>0.27</v>
      </c>
      <c r="D2300" s="21" t="s">
        <v>11968</v>
      </c>
      <c r="E2300" s="21" t="s">
        <v>789</v>
      </c>
      <c r="F2300" s="21" t="s">
        <v>707</v>
      </c>
    </row>
    <row r="2301" customFormat="false" ht="15" hidden="false" customHeight="false" outlineLevel="0" collapsed="false">
      <c r="B2301" s="19" t="s">
        <v>30759</v>
      </c>
      <c r="C2301" s="20" t="n">
        <f aca="false">ROUND(0.48/FX,2)</f>
        <v>0.07</v>
      </c>
      <c r="D2301" s="21" t="s">
        <v>3247</v>
      </c>
      <c r="E2301" s="21" t="s">
        <v>789</v>
      </c>
      <c r="F2301" s="21" t="s">
        <v>707</v>
      </c>
    </row>
    <row r="2302" customFormat="false" ht="15" hidden="false" customHeight="false" outlineLevel="0" collapsed="false">
      <c r="B2302" s="19" t="s">
        <v>30760</v>
      </c>
      <c r="C2302" s="20" t="n">
        <f aca="false">ROUND(0.72/FX,2)</f>
        <v>0.1</v>
      </c>
      <c r="D2302" s="21" t="s">
        <v>3317</v>
      </c>
      <c r="E2302" s="21" t="s">
        <v>789</v>
      </c>
      <c r="F2302" s="21" t="s">
        <v>707</v>
      </c>
    </row>
    <row r="2303" customFormat="false" ht="15" hidden="false" customHeight="false" outlineLevel="0" collapsed="false">
      <c r="B2303" s="19" t="s">
        <v>30761</v>
      </c>
      <c r="C2303" s="20" t="n">
        <f aca="false">ROUND(0.48/FX,2)</f>
        <v>0.07</v>
      </c>
      <c r="D2303" s="21" t="s">
        <v>784</v>
      </c>
      <c r="E2303" s="21" t="s">
        <v>789</v>
      </c>
      <c r="F2303" s="21" t="s">
        <v>707</v>
      </c>
    </row>
    <row r="2304" customFormat="false" ht="15" hidden="false" customHeight="false" outlineLevel="0" collapsed="false">
      <c r="B2304" s="19" t="s">
        <v>30762</v>
      </c>
      <c r="C2304" s="20" t="n">
        <f aca="false">ROUND(4.89/FX,2)</f>
        <v>0.68</v>
      </c>
      <c r="D2304" s="21" t="s">
        <v>1520</v>
      </c>
      <c r="E2304" s="21" t="s">
        <v>789</v>
      </c>
      <c r="F2304" s="21" t="s">
        <v>707</v>
      </c>
    </row>
    <row r="2305" customFormat="false" ht="15" hidden="false" customHeight="false" outlineLevel="0" collapsed="false">
      <c r="B2305" s="19" t="s">
        <v>30763</v>
      </c>
      <c r="C2305" s="20" t="n">
        <f aca="false">ROUND(0.53/FX,2)</f>
        <v>0.07</v>
      </c>
      <c r="D2305" s="21" t="s">
        <v>3328</v>
      </c>
      <c r="E2305" s="21" t="s">
        <v>789</v>
      </c>
      <c r="F2305" s="21" t="s">
        <v>707</v>
      </c>
    </row>
    <row r="2306" customFormat="false" ht="15" hidden="false" customHeight="false" outlineLevel="0" collapsed="false">
      <c r="B2306" s="19" t="s">
        <v>30764</v>
      </c>
      <c r="C2306" s="20" t="n">
        <f aca="false">ROUND(0.6/FX,2)</f>
        <v>0.08</v>
      </c>
      <c r="D2306" s="21" t="s">
        <v>6246</v>
      </c>
      <c r="E2306" s="21" t="s">
        <v>789</v>
      </c>
      <c r="F2306" s="21" t="s">
        <v>707</v>
      </c>
    </row>
    <row r="2307" customFormat="false" ht="15" hidden="false" customHeight="false" outlineLevel="0" collapsed="false">
      <c r="B2307" s="19" t="s">
        <v>30765</v>
      </c>
      <c r="C2307" s="20" t="n">
        <f aca="false">ROUND(0.65/FX,2)</f>
        <v>0.09</v>
      </c>
      <c r="D2307" s="21" t="s">
        <v>7358</v>
      </c>
      <c r="E2307" s="21" t="s">
        <v>789</v>
      </c>
      <c r="F2307" s="21" t="s">
        <v>707</v>
      </c>
    </row>
    <row r="2308" customFormat="false" ht="15" hidden="false" customHeight="false" outlineLevel="0" collapsed="false">
      <c r="B2308" s="19" t="s">
        <v>30766</v>
      </c>
      <c r="C2308" s="20" t="n">
        <f aca="false">ROUND(0.7/FX,2)</f>
        <v>0.1</v>
      </c>
      <c r="D2308" s="21" t="s">
        <v>2911</v>
      </c>
      <c r="E2308" s="21" t="s">
        <v>789</v>
      </c>
      <c r="F2308" s="21" t="s">
        <v>707</v>
      </c>
    </row>
    <row r="2309" customFormat="false" ht="15" hidden="false" customHeight="false" outlineLevel="0" collapsed="false">
      <c r="B2309" s="19" t="s">
        <v>30767</v>
      </c>
      <c r="C2309" s="20" t="n">
        <f aca="false">ROUND(0.77/FX,2)</f>
        <v>0.11</v>
      </c>
      <c r="D2309" s="21" t="s">
        <v>7275</v>
      </c>
      <c r="E2309" s="21" t="s">
        <v>789</v>
      </c>
      <c r="F2309" s="21" t="s">
        <v>707</v>
      </c>
    </row>
    <row r="2310" customFormat="false" ht="15" hidden="false" customHeight="false" outlineLevel="0" collapsed="false">
      <c r="B2310" s="19" t="s">
        <v>30768</v>
      </c>
      <c r="C2310" s="20" t="n">
        <f aca="false">ROUND(0.83/FX,2)</f>
        <v>0.12</v>
      </c>
      <c r="D2310" s="21" t="s">
        <v>2961</v>
      </c>
      <c r="E2310" s="21" t="s">
        <v>789</v>
      </c>
      <c r="F2310" s="21" t="s">
        <v>707</v>
      </c>
    </row>
    <row r="2311" customFormat="false" ht="15" hidden="false" customHeight="false" outlineLevel="0" collapsed="false">
      <c r="B2311" s="19" t="s">
        <v>30769</v>
      </c>
      <c r="C2311" s="20" t="n">
        <f aca="false">ROUND(0.88/FX,2)</f>
        <v>0.12</v>
      </c>
      <c r="D2311" s="21" t="s">
        <v>13817</v>
      </c>
      <c r="E2311" s="21" t="s">
        <v>789</v>
      </c>
      <c r="F2311" s="21" t="s">
        <v>707</v>
      </c>
    </row>
    <row r="2312" customFormat="false" ht="15" hidden="false" customHeight="false" outlineLevel="0" collapsed="false">
      <c r="B2312" s="19" t="s">
        <v>30770</v>
      </c>
      <c r="C2312" s="20" t="n">
        <f aca="false">ROUND(0.95/FX,2)</f>
        <v>0.13</v>
      </c>
      <c r="D2312" s="21" t="s">
        <v>3011</v>
      </c>
      <c r="E2312" s="21" t="s">
        <v>789</v>
      </c>
      <c r="F2312" s="21" t="s">
        <v>707</v>
      </c>
    </row>
    <row r="2313" customFormat="false" ht="15" hidden="false" customHeight="false" outlineLevel="0" collapsed="false">
      <c r="B2313" s="19" t="s">
        <v>30771</v>
      </c>
      <c r="C2313" s="20" t="n">
        <f aca="false">ROUND(1/FX,2)</f>
        <v>0.14</v>
      </c>
      <c r="D2313" s="21" t="s">
        <v>7396</v>
      </c>
      <c r="E2313" s="21" t="s">
        <v>789</v>
      </c>
      <c r="F2313" s="21" t="s">
        <v>707</v>
      </c>
    </row>
    <row r="2314" customFormat="false" ht="15" hidden="false" customHeight="false" outlineLevel="0" collapsed="false">
      <c r="B2314" s="19" t="s">
        <v>30772</v>
      </c>
      <c r="C2314" s="20" t="n">
        <f aca="false">ROUND(1.01/FX,2)</f>
        <v>0.14</v>
      </c>
      <c r="D2314" s="21" t="s">
        <v>3061</v>
      </c>
      <c r="E2314" s="21" t="s">
        <v>789</v>
      </c>
      <c r="F2314" s="21" t="s">
        <v>707</v>
      </c>
    </row>
    <row r="2315" customFormat="false" ht="15" hidden="false" customHeight="false" outlineLevel="0" collapsed="false">
      <c r="B2315" s="19" t="s">
        <v>30773</v>
      </c>
      <c r="C2315" s="20" t="n">
        <f aca="false">ROUND(1.42/FX,2)</f>
        <v>0.2</v>
      </c>
      <c r="D2315" s="21" t="s">
        <v>3111</v>
      </c>
      <c r="E2315" s="21" t="s">
        <v>789</v>
      </c>
      <c r="F2315" s="21" t="s">
        <v>707</v>
      </c>
    </row>
    <row r="2316" customFormat="false" ht="15" hidden="false" customHeight="false" outlineLevel="0" collapsed="false">
      <c r="B2316" s="19" t="s">
        <v>30774</v>
      </c>
      <c r="C2316" s="20" t="n">
        <f aca="false">ROUND(1.54/FX,2)</f>
        <v>0.21</v>
      </c>
      <c r="D2316" s="21" t="s">
        <v>12306</v>
      </c>
      <c r="E2316" s="21" t="s">
        <v>789</v>
      </c>
      <c r="F2316" s="21" t="s">
        <v>707</v>
      </c>
    </row>
    <row r="2317" customFormat="false" ht="15" hidden="false" customHeight="false" outlineLevel="0" collapsed="false">
      <c r="B2317" s="19" t="s">
        <v>30775</v>
      </c>
      <c r="C2317" s="20" t="n">
        <f aca="false">ROUND(1.54/FX,2)</f>
        <v>0.21</v>
      </c>
      <c r="D2317" s="21" t="s">
        <v>2600</v>
      </c>
      <c r="E2317" s="21" t="s">
        <v>716</v>
      </c>
      <c r="F2317" s="21" t="s">
        <v>761</v>
      </c>
    </row>
    <row r="2318" customFormat="false" ht="15" hidden="false" customHeight="false" outlineLevel="0" collapsed="false">
      <c r="B2318" s="19" t="s">
        <v>30776</v>
      </c>
      <c r="C2318" s="20" t="n">
        <f aca="false">ROUND(1.89/FX,2)</f>
        <v>0.26</v>
      </c>
      <c r="D2318" s="21" t="s">
        <v>11968</v>
      </c>
      <c r="E2318" s="21" t="s">
        <v>716</v>
      </c>
      <c r="F2318" s="21" t="s">
        <v>761</v>
      </c>
    </row>
    <row r="2319" customFormat="false" ht="15" hidden="false" customHeight="false" outlineLevel="0" collapsed="false">
      <c r="B2319" s="19" t="s">
        <v>30777</v>
      </c>
      <c r="C2319" s="20" t="n">
        <f aca="false">ROUND(0.48/FX,2)</f>
        <v>0.07</v>
      </c>
      <c r="D2319" s="21" t="s">
        <v>3247</v>
      </c>
      <c r="E2319" s="21" t="s">
        <v>716</v>
      </c>
      <c r="F2319" s="21" t="s">
        <v>761</v>
      </c>
    </row>
    <row r="2320" customFormat="false" ht="15" hidden="false" customHeight="false" outlineLevel="0" collapsed="false">
      <c r="B2320" s="19" t="s">
        <v>30778</v>
      </c>
      <c r="C2320" s="20" t="n">
        <f aca="false">ROUND(0.47/FX,2)</f>
        <v>0.07</v>
      </c>
      <c r="D2320" s="21" t="s">
        <v>3317</v>
      </c>
      <c r="E2320" s="21" t="s">
        <v>716</v>
      </c>
      <c r="F2320" s="21" t="s">
        <v>761</v>
      </c>
    </row>
    <row r="2321" customFormat="false" ht="15" hidden="false" customHeight="false" outlineLevel="0" collapsed="false">
      <c r="B2321" s="19" t="s">
        <v>30779</v>
      </c>
      <c r="C2321" s="20" t="n">
        <f aca="false">ROUND(0.54/FX,2)</f>
        <v>0.08</v>
      </c>
      <c r="D2321" s="21" t="s">
        <v>784</v>
      </c>
      <c r="E2321" s="21" t="s">
        <v>716</v>
      </c>
      <c r="F2321" s="21" t="s">
        <v>761</v>
      </c>
    </row>
    <row r="2322" customFormat="false" ht="15" hidden="false" customHeight="false" outlineLevel="0" collapsed="false">
      <c r="B2322" s="19" t="s">
        <v>30780</v>
      </c>
      <c r="C2322" s="20" t="n">
        <f aca="false">ROUND(4.89/FX,2)</f>
        <v>0.68</v>
      </c>
      <c r="D2322" s="21" t="s">
        <v>1520</v>
      </c>
      <c r="E2322" s="21" t="s">
        <v>716</v>
      </c>
      <c r="F2322" s="21" t="s">
        <v>761</v>
      </c>
    </row>
    <row r="2323" customFormat="false" ht="15" hidden="false" customHeight="false" outlineLevel="0" collapsed="false">
      <c r="B2323" s="19" t="s">
        <v>30781</v>
      </c>
      <c r="C2323" s="20" t="n">
        <f aca="false">ROUND(0.6/FX,2)</f>
        <v>0.08</v>
      </c>
      <c r="D2323" s="21" t="s">
        <v>3328</v>
      </c>
      <c r="E2323" s="21" t="s">
        <v>716</v>
      </c>
      <c r="F2323" s="21" t="s">
        <v>761</v>
      </c>
    </row>
    <row r="2324" customFormat="false" ht="15" hidden="false" customHeight="false" outlineLevel="0" collapsed="false">
      <c r="B2324" s="19" t="s">
        <v>30782</v>
      </c>
      <c r="C2324" s="20" t="n">
        <f aca="false">ROUND(0.65/FX,2)</f>
        <v>0.09</v>
      </c>
      <c r="D2324" s="21" t="s">
        <v>6246</v>
      </c>
      <c r="E2324" s="21" t="s">
        <v>716</v>
      </c>
      <c r="F2324" s="21" t="s">
        <v>761</v>
      </c>
    </row>
    <row r="2325" customFormat="false" ht="15" hidden="false" customHeight="false" outlineLevel="0" collapsed="false">
      <c r="B2325" s="19" t="s">
        <v>30783</v>
      </c>
      <c r="C2325" s="20" t="n">
        <f aca="false">ROUND(0.72/FX,2)</f>
        <v>0.1</v>
      </c>
      <c r="D2325" s="21" t="s">
        <v>7358</v>
      </c>
      <c r="E2325" s="21" t="s">
        <v>716</v>
      </c>
      <c r="F2325" s="21" t="s">
        <v>761</v>
      </c>
    </row>
    <row r="2326" customFormat="false" ht="15" hidden="false" customHeight="false" outlineLevel="0" collapsed="false">
      <c r="B2326" s="19" t="s">
        <v>30784</v>
      </c>
      <c r="C2326" s="20" t="n">
        <f aca="false">ROUND(0.77/FX,2)</f>
        <v>0.11</v>
      </c>
      <c r="D2326" s="21" t="s">
        <v>2911</v>
      </c>
      <c r="E2326" s="21" t="s">
        <v>716</v>
      </c>
      <c r="F2326" s="21" t="s">
        <v>761</v>
      </c>
    </row>
    <row r="2327" customFormat="false" ht="15" hidden="false" customHeight="false" outlineLevel="0" collapsed="false">
      <c r="B2327" s="19" t="s">
        <v>30785</v>
      </c>
      <c r="C2327" s="20" t="n">
        <f aca="false">ROUND(0.83/FX,2)</f>
        <v>0.12</v>
      </c>
      <c r="D2327" s="21" t="s">
        <v>7275</v>
      </c>
      <c r="E2327" s="21" t="s">
        <v>716</v>
      </c>
      <c r="F2327" s="21" t="s">
        <v>761</v>
      </c>
    </row>
    <row r="2328" customFormat="false" ht="15" hidden="false" customHeight="false" outlineLevel="0" collapsed="false">
      <c r="B2328" s="19" t="s">
        <v>30786</v>
      </c>
      <c r="C2328" s="20" t="n">
        <f aca="false">ROUND(0.89/FX,2)</f>
        <v>0.12</v>
      </c>
      <c r="D2328" s="21" t="s">
        <v>2961</v>
      </c>
      <c r="E2328" s="21" t="s">
        <v>716</v>
      </c>
      <c r="F2328" s="21" t="s">
        <v>761</v>
      </c>
    </row>
    <row r="2329" customFormat="false" ht="15" hidden="false" customHeight="false" outlineLevel="0" collapsed="false">
      <c r="B2329" s="19" t="s">
        <v>30787</v>
      </c>
      <c r="C2329" s="20" t="n">
        <f aca="false">ROUND(0.95/FX,2)</f>
        <v>0.13</v>
      </c>
      <c r="D2329" s="21" t="s">
        <v>13817</v>
      </c>
      <c r="E2329" s="21" t="s">
        <v>716</v>
      </c>
      <c r="F2329" s="21" t="s">
        <v>761</v>
      </c>
    </row>
    <row r="2330" customFormat="false" ht="15" hidden="false" customHeight="false" outlineLevel="0" collapsed="false">
      <c r="B2330" s="19" t="s">
        <v>30788</v>
      </c>
      <c r="C2330" s="20" t="n">
        <f aca="false">ROUND(1/FX,2)</f>
        <v>0.14</v>
      </c>
      <c r="D2330" s="21" t="s">
        <v>3011</v>
      </c>
      <c r="E2330" s="21" t="s">
        <v>716</v>
      </c>
      <c r="F2330" s="21" t="s">
        <v>761</v>
      </c>
    </row>
    <row r="2331" customFormat="false" ht="15" hidden="false" customHeight="false" outlineLevel="0" collapsed="false">
      <c r="B2331" s="19" t="s">
        <v>30789</v>
      </c>
      <c r="C2331" s="20" t="n">
        <f aca="false">ROUND(1.07/FX,2)</f>
        <v>0.15</v>
      </c>
      <c r="D2331" s="21" t="s">
        <v>7396</v>
      </c>
      <c r="E2331" s="21" t="s">
        <v>716</v>
      </c>
      <c r="F2331" s="21" t="s">
        <v>761</v>
      </c>
    </row>
    <row r="2332" customFormat="false" ht="15" hidden="false" customHeight="false" outlineLevel="0" collapsed="false">
      <c r="B2332" s="19" t="s">
        <v>30790</v>
      </c>
      <c r="C2332" s="20" t="n">
        <f aca="false">ROUND(1.12/FX,2)</f>
        <v>0.16</v>
      </c>
      <c r="D2332" s="21" t="s">
        <v>3061</v>
      </c>
      <c r="E2332" s="21" t="s">
        <v>716</v>
      </c>
      <c r="F2332" s="21" t="s">
        <v>761</v>
      </c>
    </row>
    <row r="2333" customFormat="false" ht="15" hidden="false" customHeight="false" outlineLevel="0" collapsed="false">
      <c r="B2333" s="19" t="s">
        <v>30791</v>
      </c>
      <c r="C2333" s="20" t="n">
        <f aca="false">ROUND(1.42/FX,2)</f>
        <v>0.2</v>
      </c>
      <c r="D2333" s="21" t="s">
        <v>11870</v>
      </c>
      <c r="E2333" s="21" t="s">
        <v>716</v>
      </c>
      <c r="F2333" s="21" t="s">
        <v>761</v>
      </c>
    </row>
    <row r="2334" customFormat="false" ht="15" hidden="false" customHeight="false" outlineLevel="0" collapsed="false">
      <c r="B2334" s="19" t="s">
        <v>30792</v>
      </c>
      <c r="C2334" s="20" t="n">
        <f aca="false">ROUND(1.42/FX,2)</f>
        <v>0.2</v>
      </c>
      <c r="D2334" s="21" t="s">
        <v>3111</v>
      </c>
      <c r="E2334" s="21" t="s">
        <v>716</v>
      </c>
      <c r="F2334" s="21" t="s">
        <v>761</v>
      </c>
    </row>
    <row r="2335" customFormat="false" ht="15" hidden="false" customHeight="false" outlineLevel="0" collapsed="false">
      <c r="B2335" s="19" t="s">
        <v>30793</v>
      </c>
      <c r="C2335" s="20" t="n">
        <f aca="false">ROUND(1.42/FX,2)</f>
        <v>0.2</v>
      </c>
      <c r="D2335" s="21" t="s">
        <v>2600</v>
      </c>
      <c r="E2335" s="21" t="s">
        <v>845</v>
      </c>
      <c r="F2335" s="21" t="s">
        <v>4721</v>
      </c>
    </row>
    <row r="2336" customFormat="false" ht="15" hidden="false" customHeight="false" outlineLevel="0" collapsed="false">
      <c r="B2336" s="19" t="s">
        <v>30794</v>
      </c>
      <c r="C2336" s="20" t="n">
        <f aca="false">ROUND(0.48/FX,2)</f>
        <v>0.07</v>
      </c>
      <c r="D2336" s="21" t="s">
        <v>3247</v>
      </c>
      <c r="E2336" s="21" t="s">
        <v>845</v>
      </c>
      <c r="F2336" s="21" t="s">
        <v>4721</v>
      </c>
    </row>
    <row r="2337" customFormat="false" ht="15" hidden="false" customHeight="false" outlineLevel="0" collapsed="false">
      <c r="B2337" s="19" t="s">
        <v>30795</v>
      </c>
      <c r="C2337" s="20" t="n">
        <f aca="false">ROUND(0.48/FX,2)</f>
        <v>0.07</v>
      </c>
      <c r="D2337" s="21" t="s">
        <v>3317</v>
      </c>
      <c r="E2337" s="21" t="s">
        <v>845</v>
      </c>
      <c r="F2337" s="21" t="s">
        <v>4721</v>
      </c>
    </row>
    <row r="2338" customFormat="false" ht="15" hidden="false" customHeight="false" outlineLevel="0" collapsed="false">
      <c r="B2338" s="19" t="s">
        <v>30796</v>
      </c>
      <c r="C2338" s="20" t="n">
        <f aca="false">ROUND(0.53/FX,2)</f>
        <v>0.07</v>
      </c>
      <c r="D2338" s="21" t="s">
        <v>784</v>
      </c>
      <c r="E2338" s="21" t="s">
        <v>845</v>
      </c>
      <c r="F2338" s="21" t="s">
        <v>4721</v>
      </c>
    </row>
    <row r="2339" customFormat="false" ht="15" hidden="false" customHeight="false" outlineLevel="0" collapsed="false">
      <c r="B2339" s="19" t="s">
        <v>30797</v>
      </c>
      <c r="C2339" s="20" t="n">
        <f aca="false">ROUND(5.83/FX,2)</f>
        <v>0.81</v>
      </c>
      <c r="D2339" s="21" t="s">
        <v>1520</v>
      </c>
      <c r="E2339" s="21" t="s">
        <v>845</v>
      </c>
      <c r="F2339" s="21" t="s">
        <v>4721</v>
      </c>
    </row>
    <row r="2340" customFormat="false" ht="15" hidden="false" customHeight="false" outlineLevel="0" collapsed="false">
      <c r="B2340" s="19" t="s">
        <v>30798</v>
      </c>
      <c r="C2340" s="20" t="n">
        <f aca="false">ROUND(0.6/FX,2)</f>
        <v>0.08</v>
      </c>
      <c r="D2340" s="21" t="s">
        <v>3328</v>
      </c>
      <c r="E2340" s="21" t="s">
        <v>845</v>
      </c>
      <c r="F2340" s="21" t="s">
        <v>4721</v>
      </c>
    </row>
    <row r="2341" customFormat="false" ht="15" hidden="false" customHeight="false" outlineLevel="0" collapsed="false">
      <c r="B2341" s="19" t="s">
        <v>30799</v>
      </c>
      <c r="C2341" s="20" t="n">
        <f aca="false">ROUND(0.65/FX,2)</f>
        <v>0.09</v>
      </c>
      <c r="D2341" s="21" t="s">
        <v>6246</v>
      </c>
      <c r="E2341" s="21" t="s">
        <v>845</v>
      </c>
      <c r="F2341" s="21" t="s">
        <v>4721</v>
      </c>
    </row>
    <row r="2342" customFormat="false" ht="15" hidden="false" customHeight="false" outlineLevel="0" collapsed="false">
      <c r="B2342" s="19" t="s">
        <v>30800</v>
      </c>
      <c r="C2342" s="20" t="n">
        <f aca="false">ROUND(0.72/FX,2)</f>
        <v>0.1</v>
      </c>
      <c r="D2342" s="21" t="s">
        <v>7358</v>
      </c>
      <c r="E2342" s="21" t="s">
        <v>845</v>
      </c>
      <c r="F2342" s="21" t="s">
        <v>4721</v>
      </c>
    </row>
    <row r="2343" customFormat="false" ht="15" hidden="false" customHeight="false" outlineLevel="0" collapsed="false">
      <c r="B2343" s="19" t="s">
        <v>30801</v>
      </c>
      <c r="C2343" s="20" t="n">
        <f aca="false">ROUND(0.77/FX,2)</f>
        <v>0.11</v>
      </c>
      <c r="D2343" s="21" t="s">
        <v>2911</v>
      </c>
      <c r="E2343" s="21" t="s">
        <v>845</v>
      </c>
      <c r="F2343" s="21" t="s">
        <v>4721</v>
      </c>
    </row>
    <row r="2344" customFormat="false" ht="15" hidden="false" customHeight="false" outlineLevel="0" collapsed="false">
      <c r="B2344" s="19" t="s">
        <v>30802</v>
      </c>
      <c r="C2344" s="20" t="n">
        <f aca="false">ROUND(0.83/FX,2)</f>
        <v>0.12</v>
      </c>
      <c r="D2344" s="21" t="s">
        <v>7275</v>
      </c>
      <c r="E2344" s="21" t="s">
        <v>845</v>
      </c>
      <c r="F2344" s="21" t="s">
        <v>4721</v>
      </c>
    </row>
    <row r="2345" customFormat="false" ht="15" hidden="false" customHeight="false" outlineLevel="0" collapsed="false">
      <c r="B2345" s="19" t="s">
        <v>30803</v>
      </c>
      <c r="C2345" s="20" t="n">
        <f aca="false">ROUND(0.89/FX,2)</f>
        <v>0.12</v>
      </c>
      <c r="D2345" s="21" t="s">
        <v>2961</v>
      </c>
      <c r="E2345" s="21" t="s">
        <v>845</v>
      </c>
      <c r="F2345" s="21" t="s">
        <v>4721</v>
      </c>
    </row>
    <row r="2346" customFormat="false" ht="15" hidden="false" customHeight="false" outlineLevel="0" collapsed="false">
      <c r="B2346" s="19" t="s">
        <v>30804</v>
      </c>
      <c r="C2346" s="20" t="n">
        <f aca="false">ROUND(0.95/FX,2)</f>
        <v>0.13</v>
      </c>
      <c r="D2346" s="21" t="s">
        <v>13817</v>
      </c>
      <c r="E2346" s="21" t="s">
        <v>845</v>
      </c>
      <c r="F2346" s="21" t="s">
        <v>4721</v>
      </c>
    </row>
    <row r="2347" customFormat="false" ht="15" hidden="false" customHeight="false" outlineLevel="0" collapsed="false">
      <c r="B2347" s="19" t="s">
        <v>30805</v>
      </c>
      <c r="C2347" s="20" t="n">
        <f aca="false">ROUND(1/FX,2)</f>
        <v>0.14</v>
      </c>
      <c r="D2347" s="21" t="s">
        <v>3011</v>
      </c>
      <c r="E2347" s="21" t="s">
        <v>845</v>
      </c>
      <c r="F2347" s="21" t="s">
        <v>4721</v>
      </c>
    </row>
    <row r="2348" customFormat="false" ht="15" hidden="false" customHeight="false" outlineLevel="0" collapsed="false">
      <c r="B2348" s="19" t="s">
        <v>30806</v>
      </c>
      <c r="C2348" s="20" t="n">
        <f aca="false">ROUND(1.07/FX,2)</f>
        <v>0.15</v>
      </c>
      <c r="D2348" s="21" t="s">
        <v>7396</v>
      </c>
      <c r="E2348" s="21" t="s">
        <v>845</v>
      </c>
      <c r="F2348" s="21" t="s">
        <v>4721</v>
      </c>
    </row>
    <row r="2349" customFormat="false" ht="15" hidden="false" customHeight="false" outlineLevel="0" collapsed="false">
      <c r="B2349" s="19" t="s">
        <v>30807</v>
      </c>
      <c r="C2349" s="20" t="n">
        <f aca="false">ROUND(1.12/FX,2)</f>
        <v>0.16</v>
      </c>
      <c r="D2349" s="21" t="s">
        <v>3061</v>
      </c>
      <c r="E2349" s="21" t="s">
        <v>845</v>
      </c>
      <c r="F2349" s="21" t="s">
        <v>4721</v>
      </c>
    </row>
    <row r="2350" customFormat="false" ht="15" hidden="false" customHeight="false" outlineLevel="0" collapsed="false">
      <c r="B2350" s="19" t="s">
        <v>30808</v>
      </c>
      <c r="C2350" s="20" t="n">
        <f aca="false">ROUND(1.19/FX,2)</f>
        <v>0.17</v>
      </c>
      <c r="D2350" s="21" t="s">
        <v>3111</v>
      </c>
      <c r="E2350" s="21" t="s">
        <v>845</v>
      </c>
      <c r="F2350" s="21" t="s">
        <v>4721</v>
      </c>
    </row>
    <row r="2351" customFormat="false" ht="15" hidden="false" customHeight="false" outlineLevel="0" collapsed="false">
      <c r="B2351" s="19" t="s">
        <v>30809</v>
      </c>
      <c r="C2351" s="20" t="n">
        <f aca="false">ROUND(2.12/FX,2)</f>
        <v>0.29</v>
      </c>
      <c r="D2351" s="21" t="s">
        <v>2600</v>
      </c>
      <c r="E2351" s="21" t="s">
        <v>847</v>
      </c>
      <c r="F2351" s="21" t="s">
        <v>3833</v>
      </c>
    </row>
    <row r="2352" customFormat="false" ht="15" hidden="false" customHeight="false" outlineLevel="0" collapsed="false">
      <c r="B2352" s="19" t="s">
        <v>30810</v>
      </c>
      <c r="C2352" s="20" t="n">
        <f aca="false">ROUND(2.95/FX,2)</f>
        <v>0.41</v>
      </c>
      <c r="D2352" s="21" t="s">
        <v>2651</v>
      </c>
      <c r="E2352" s="21" t="s">
        <v>847</v>
      </c>
      <c r="F2352" s="21" t="s">
        <v>3833</v>
      </c>
    </row>
    <row r="2353" customFormat="false" ht="15" hidden="false" customHeight="false" outlineLevel="0" collapsed="false">
      <c r="B2353" s="19" t="s">
        <v>30811</v>
      </c>
      <c r="C2353" s="20" t="n">
        <f aca="false">ROUND(2.95/FX,2)</f>
        <v>0.41</v>
      </c>
      <c r="D2353" s="21" t="s">
        <v>2701</v>
      </c>
      <c r="E2353" s="21" t="s">
        <v>847</v>
      </c>
      <c r="F2353" s="21" t="s">
        <v>3833</v>
      </c>
    </row>
    <row r="2354" customFormat="false" ht="15" hidden="false" customHeight="false" outlineLevel="0" collapsed="false">
      <c r="B2354" s="19" t="s">
        <v>30812</v>
      </c>
      <c r="C2354" s="20" t="n">
        <f aca="false">ROUND(3.25/FX,2)</f>
        <v>0.45</v>
      </c>
      <c r="D2354" s="21" t="s">
        <v>11968</v>
      </c>
      <c r="E2354" s="21" t="s">
        <v>847</v>
      </c>
      <c r="F2354" s="21" t="s">
        <v>3833</v>
      </c>
    </row>
    <row r="2355" customFormat="false" ht="15" hidden="false" customHeight="false" outlineLevel="0" collapsed="false">
      <c r="B2355" s="19" t="s">
        <v>30813</v>
      </c>
      <c r="C2355" s="20" t="n">
        <f aca="false">ROUND(4.08/FX,2)</f>
        <v>0.57</v>
      </c>
      <c r="D2355" s="21" t="s">
        <v>2851</v>
      </c>
      <c r="E2355" s="21" t="s">
        <v>847</v>
      </c>
      <c r="F2355" s="21" t="s">
        <v>3833</v>
      </c>
    </row>
    <row r="2356" customFormat="false" ht="15" hidden="false" customHeight="false" outlineLevel="0" collapsed="false">
      <c r="B2356" s="19" t="s">
        <v>30814</v>
      </c>
      <c r="C2356" s="20" t="n">
        <f aca="false">ROUND(0.72/FX,2)</f>
        <v>0.1</v>
      </c>
      <c r="D2356" s="21" t="s">
        <v>3247</v>
      </c>
      <c r="E2356" s="21" t="s">
        <v>847</v>
      </c>
      <c r="F2356" s="21" t="s">
        <v>3833</v>
      </c>
    </row>
    <row r="2357" customFormat="false" ht="15" hidden="false" customHeight="false" outlineLevel="0" collapsed="false">
      <c r="B2357" s="19" t="s">
        <v>30815</v>
      </c>
      <c r="C2357" s="20" t="n">
        <f aca="false">ROUND(0.65/FX,2)</f>
        <v>0.09</v>
      </c>
      <c r="D2357" s="21" t="s">
        <v>3317</v>
      </c>
      <c r="E2357" s="21" t="s">
        <v>847</v>
      </c>
      <c r="F2357" s="21" t="s">
        <v>3833</v>
      </c>
    </row>
    <row r="2358" customFormat="false" ht="15" hidden="false" customHeight="false" outlineLevel="0" collapsed="false">
      <c r="B2358" s="19" t="s">
        <v>30816</v>
      </c>
      <c r="C2358" s="20" t="n">
        <f aca="false">ROUND(0.72/FX,2)</f>
        <v>0.1</v>
      </c>
      <c r="D2358" s="21" t="s">
        <v>784</v>
      </c>
      <c r="E2358" s="21" t="s">
        <v>847</v>
      </c>
      <c r="F2358" s="21" t="s">
        <v>3833</v>
      </c>
    </row>
    <row r="2359" customFormat="false" ht="15" hidden="false" customHeight="false" outlineLevel="0" collapsed="false">
      <c r="B2359" s="19" t="s">
        <v>30817</v>
      </c>
      <c r="C2359" s="20" t="n">
        <f aca="false">ROUND(6.76/FX,2)</f>
        <v>0.94</v>
      </c>
      <c r="D2359" s="21" t="s">
        <v>1520</v>
      </c>
      <c r="E2359" s="21" t="s">
        <v>847</v>
      </c>
      <c r="F2359" s="21" t="s">
        <v>3833</v>
      </c>
    </row>
    <row r="2360" customFormat="false" ht="15" hidden="false" customHeight="false" outlineLevel="0" collapsed="false">
      <c r="B2360" s="19" t="s">
        <v>30818</v>
      </c>
      <c r="C2360" s="20" t="n">
        <f aca="false">ROUND(0.84/FX,2)</f>
        <v>0.12</v>
      </c>
      <c r="D2360" s="21" t="s">
        <v>3328</v>
      </c>
      <c r="E2360" s="21" t="s">
        <v>847</v>
      </c>
      <c r="F2360" s="21" t="s">
        <v>3833</v>
      </c>
    </row>
    <row r="2361" customFormat="false" ht="15" hidden="false" customHeight="false" outlineLevel="0" collapsed="false">
      <c r="B2361" s="19" t="s">
        <v>30819</v>
      </c>
      <c r="C2361" s="20" t="n">
        <f aca="false">ROUND(0.95/FX,2)</f>
        <v>0.13</v>
      </c>
      <c r="D2361" s="21" t="s">
        <v>6246</v>
      </c>
      <c r="E2361" s="21" t="s">
        <v>847</v>
      </c>
      <c r="F2361" s="21" t="s">
        <v>3833</v>
      </c>
    </row>
    <row r="2362" customFormat="false" ht="15" hidden="false" customHeight="false" outlineLevel="0" collapsed="false">
      <c r="B2362" s="19" t="s">
        <v>30820</v>
      </c>
      <c r="C2362" s="20" t="n">
        <f aca="false">ROUND(1.07/FX,2)</f>
        <v>0.15</v>
      </c>
      <c r="D2362" s="21" t="s">
        <v>7358</v>
      </c>
      <c r="E2362" s="21" t="s">
        <v>847</v>
      </c>
      <c r="F2362" s="21" t="s">
        <v>3833</v>
      </c>
    </row>
    <row r="2363" customFormat="false" ht="15" hidden="false" customHeight="false" outlineLevel="0" collapsed="false">
      <c r="B2363" s="19" t="s">
        <v>30821</v>
      </c>
      <c r="C2363" s="20" t="n">
        <f aca="false">ROUND(1.19/FX,2)</f>
        <v>0.17</v>
      </c>
      <c r="D2363" s="21" t="s">
        <v>2911</v>
      </c>
      <c r="E2363" s="21" t="s">
        <v>847</v>
      </c>
      <c r="F2363" s="21" t="s">
        <v>3833</v>
      </c>
    </row>
    <row r="2364" customFormat="false" ht="15" hidden="false" customHeight="false" outlineLevel="0" collapsed="false">
      <c r="B2364" s="19" t="s">
        <v>30822</v>
      </c>
      <c r="C2364" s="20" t="n">
        <f aca="false">ROUND(1.3/FX,2)</f>
        <v>0.18</v>
      </c>
      <c r="D2364" s="21" t="s">
        <v>7275</v>
      </c>
      <c r="E2364" s="21" t="s">
        <v>847</v>
      </c>
      <c r="F2364" s="21" t="s">
        <v>3833</v>
      </c>
    </row>
    <row r="2365" customFormat="false" ht="15" hidden="false" customHeight="false" outlineLevel="0" collapsed="false">
      <c r="B2365" s="19" t="s">
        <v>30823</v>
      </c>
      <c r="C2365" s="20" t="n">
        <f aca="false">ROUND(1.42/FX,2)</f>
        <v>0.2</v>
      </c>
      <c r="D2365" s="21" t="s">
        <v>2961</v>
      </c>
      <c r="E2365" s="21" t="s">
        <v>847</v>
      </c>
      <c r="F2365" s="21" t="s">
        <v>3833</v>
      </c>
    </row>
    <row r="2366" customFormat="false" ht="15" hidden="false" customHeight="false" outlineLevel="0" collapsed="false">
      <c r="B2366" s="19" t="s">
        <v>30824</v>
      </c>
      <c r="C2366" s="20" t="n">
        <f aca="false">ROUND(1.54/FX,2)</f>
        <v>0.21</v>
      </c>
      <c r="D2366" s="21" t="s">
        <v>13817</v>
      </c>
      <c r="E2366" s="21" t="s">
        <v>847</v>
      </c>
      <c r="F2366" s="21" t="s">
        <v>3833</v>
      </c>
    </row>
    <row r="2367" customFormat="false" ht="15" hidden="false" customHeight="false" outlineLevel="0" collapsed="false">
      <c r="B2367" s="19" t="s">
        <v>30825</v>
      </c>
      <c r="C2367" s="20" t="n">
        <f aca="false">ROUND(1.65/FX,2)</f>
        <v>0.23</v>
      </c>
      <c r="D2367" s="21" t="s">
        <v>3011</v>
      </c>
      <c r="E2367" s="21" t="s">
        <v>847</v>
      </c>
      <c r="F2367" s="21" t="s">
        <v>3833</v>
      </c>
    </row>
    <row r="2368" customFormat="false" ht="15" hidden="false" customHeight="false" outlineLevel="0" collapsed="false">
      <c r="B2368" s="19" t="s">
        <v>30826</v>
      </c>
      <c r="C2368" s="20" t="n">
        <f aca="false">ROUND(1.77/FX,2)</f>
        <v>0.25</v>
      </c>
      <c r="D2368" s="21" t="s">
        <v>7396</v>
      </c>
      <c r="E2368" s="21" t="s">
        <v>847</v>
      </c>
      <c r="F2368" s="21" t="s">
        <v>3833</v>
      </c>
    </row>
    <row r="2369" customFormat="false" ht="15" hidden="false" customHeight="false" outlineLevel="0" collapsed="false">
      <c r="B2369" s="19" t="s">
        <v>30827</v>
      </c>
      <c r="C2369" s="20" t="n">
        <f aca="false">ROUND(1.89/FX,2)</f>
        <v>0.26</v>
      </c>
      <c r="D2369" s="21" t="s">
        <v>3061</v>
      </c>
      <c r="E2369" s="21" t="s">
        <v>847</v>
      </c>
      <c r="F2369" s="21" t="s">
        <v>3833</v>
      </c>
    </row>
    <row r="2370" customFormat="false" ht="15" hidden="false" customHeight="false" outlineLevel="0" collapsed="false">
      <c r="B2370" s="19" t="s">
        <v>30828</v>
      </c>
      <c r="C2370" s="20" t="n">
        <f aca="false">ROUND(1.95/FX,2)</f>
        <v>0.27</v>
      </c>
      <c r="D2370" s="21" t="s">
        <v>11870</v>
      </c>
      <c r="E2370" s="21" t="s">
        <v>847</v>
      </c>
      <c r="F2370" s="21" t="s">
        <v>3833</v>
      </c>
    </row>
    <row r="2371" customFormat="false" ht="15" hidden="false" customHeight="false" outlineLevel="0" collapsed="false">
      <c r="B2371" s="19" t="s">
        <v>30829</v>
      </c>
      <c r="C2371" s="20" t="n">
        <f aca="false">ROUND(2/FX,2)</f>
        <v>0.28</v>
      </c>
      <c r="D2371" s="21" t="s">
        <v>3111</v>
      </c>
      <c r="E2371" s="21" t="s">
        <v>847</v>
      </c>
      <c r="F2371" s="21" t="s">
        <v>3833</v>
      </c>
    </row>
    <row r="2372" customFormat="false" ht="15" hidden="false" customHeight="false" outlineLevel="0" collapsed="false">
      <c r="B2372" s="19" t="s">
        <v>30830</v>
      </c>
      <c r="C2372" s="20" t="n">
        <f aca="false">ROUND(2.36/FX,2)</f>
        <v>0.33</v>
      </c>
      <c r="D2372" s="21" t="s">
        <v>2600</v>
      </c>
      <c r="E2372" s="21" t="s">
        <v>719</v>
      </c>
      <c r="F2372" s="21" t="s">
        <v>4000</v>
      </c>
    </row>
    <row r="2373" customFormat="false" ht="15" hidden="false" customHeight="false" outlineLevel="0" collapsed="false">
      <c r="B2373" s="19" t="s">
        <v>30831</v>
      </c>
      <c r="C2373" s="20" t="n">
        <f aca="false">ROUND(2.59/FX,2)</f>
        <v>0.36</v>
      </c>
      <c r="D2373" s="21" t="s">
        <v>2651</v>
      </c>
      <c r="E2373" s="21" t="s">
        <v>719</v>
      </c>
      <c r="F2373" s="21" t="s">
        <v>4000</v>
      </c>
    </row>
    <row r="2374" customFormat="false" ht="15" hidden="false" customHeight="false" outlineLevel="0" collapsed="false">
      <c r="B2374" s="19" t="s">
        <v>30832</v>
      </c>
      <c r="C2374" s="20" t="n">
        <f aca="false">ROUND(2.72/FX,2)</f>
        <v>0.38</v>
      </c>
      <c r="D2374" s="21" t="s">
        <v>11968</v>
      </c>
      <c r="E2374" s="21" t="s">
        <v>719</v>
      </c>
      <c r="F2374" s="21" t="s">
        <v>4000</v>
      </c>
    </row>
    <row r="2375" customFormat="false" ht="15" hidden="false" customHeight="false" outlineLevel="0" collapsed="false">
      <c r="B2375" s="19" t="s">
        <v>30833</v>
      </c>
      <c r="C2375" s="20" t="n">
        <f aca="false">ROUND(3.89/FX,2)</f>
        <v>0.54</v>
      </c>
      <c r="D2375" s="21" t="s">
        <v>2851</v>
      </c>
      <c r="E2375" s="21" t="s">
        <v>719</v>
      </c>
      <c r="F2375" s="21" t="s">
        <v>4000</v>
      </c>
    </row>
    <row r="2376" customFormat="false" ht="15" hidden="false" customHeight="false" outlineLevel="0" collapsed="false">
      <c r="B2376" s="19" t="s">
        <v>30834</v>
      </c>
      <c r="C2376" s="20" t="n">
        <f aca="false">ROUND(0.83/FX,2)</f>
        <v>0.12</v>
      </c>
      <c r="D2376" s="21" t="s">
        <v>3247</v>
      </c>
      <c r="E2376" s="21" t="s">
        <v>719</v>
      </c>
      <c r="F2376" s="21" t="s">
        <v>4000</v>
      </c>
    </row>
    <row r="2377" customFormat="false" ht="15" hidden="false" customHeight="false" outlineLevel="0" collapsed="false">
      <c r="B2377" s="19" t="s">
        <v>30835</v>
      </c>
      <c r="C2377" s="20" t="n">
        <f aca="false">ROUND(0.84/FX,2)</f>
        <v>0.12</v>
      </c>
      <c r="D2377" s="21" t="s">
        <v>3317</v>
      </c>
      <c r="E2377" s="21" t="s">
        <v>719</v>
      </c>
      <c r="F2377" s="21" t="s">
        <v>4000</v>
      </c>
    </row>
    <row r="2378" customFormat="false" ht="15" hidden="false" customHeight="false" outlineLevel="0" collapsed="false">
      <c r="B2378" s="19" t="s">
        <v>30836</v>
      </c>
      <c r="C2378" s="20" t="n">
        <f aca="false">ROUND(0.95/FX,2)</f>
        <v>0.13</v>
      </c>
      <c r="D2378" s="21" t="s">
        <v>784</v>
      </c>
      <c r="E2378" s="21" t="s">
        <v>719</v>
      </c>
      <c r="F2378" s="21" t="s">
        <v>4000</v>
      </c>
    </row>
    <row r="2379" customFormat="false" ht="15" hidden="false" customHeight="false" outlineLevel="0" collapsed="false">
      <c r="B2379" s="19" t="s">
        <v>30837</v>
      </c>
      <c r="C2379" s="20" t="n">
        <f aca="false">ROUND(7.52/FX,2)</f>
        <v>1.04</v>
      </c>
      <c r="D2379" s="21" t="s">
        <v>1520</v>
      </c>
      <c r="E2379" s="21" t="s">
        <v>719</v>
      </c>
      <c r="F2379" s="21" t="s">
        <v>4000</v>
      </c>
    </row>
    <row r="2380" customFormat="false" ht="15" hidden="false" customHeight="false" outlineLevel="0" collapsed="false">
      <c r="B2380" s="19" t="s">
        <v>30838</v>
      </c>
      <c r="C2380" s="20" t="n">
        <f aca="false">ROUND(1.07/FX,2)</f>
        <v>0.15</v>
      </c>
      <c r="D2380" s="21" t="s">
        <v>3328</v>
      </c>
      <c r="E2380" s="21" t="s">
        <v>719</v>
      </c>
      <c r="F2380" s="21" t="s">
        <v>4000</v>
      </c>
    </row>
    <row r="2381" customFormat="false" ht="15" hidden="false" customHeight="false" outlineLevel="0" collapsed="false">
      <c r="B2381" s="19" t="s">
        <v>30839</v>
      </c>
      <c r="C2381" s="20" t="n">
        <f aca="false">ROUND(1.19/FX,2)</f>
        <v>0.17</v>
      </c>
      <c r="D2381" s="21" t="s">
        <v>6246</v>
      </c>
      <c r="E2381" s="21" t="s">
        <v>719</v>
      </c>
      <c r="F2381" s="21" t="s">
        <v>4000</v>
      </c>
    </row>
    <row r="2382" customFormat="false" ht="15" hidden="false" customHeight="false" outlineLevel="0" collapsed="false">
      <c r="B2382" s="19" t="s">
        <v>30840</v>
      </c>
      <c r="C2382" s="20" t="n">
        <f aca="false">ROUND(1.3/FX,2)</f>
        <v>0.18</v>
      </c>
      <c r="D2382" s="21" t="s">
        <v>7358</v>
      </c>
      <c r="E2382" s="21" t="s">
        <v>719</v>
      </c>
      <c r="F2382" s="21" t="s">
        <v>4000</v>
      </c>
    </row>
    <row r="2383" customFormat="false" ht="15" hidden="false" customHeight="false" outlineLevel="0" collapsed="false">
      <c r="B2383" s="19" t="s">
        <v>30841</v>
      </c>
      <c r="C2383" s="20" t="n">
        <f aca="false">ROUND(1.42/FX,2)</f>
        <v>0.2</v>
      </c>
      <c r="D2383" s="21" t="s">
        <v>2911</v>
      </c>
      <c r="E2383" s="21" t="s">
        <v>719</v>
      </c>
      <c r="F2383" s="21" t="s">
        <v>4000</v>
      </c>
    </row>
    <row r="2384" customFormat="false" ht="15" hidden="false" customHeight="false" outlineLevel="0" collapsed="false">
      <c r="B2384" s="19" t="s">
        <v>30842</v>
      </c>
      <c r="C2384" s="20" t="n">
        <f aca="false">ROUND(1.54/FX,2)</f>
        <v>0.21</v>
      </c>
      <c r="D2384" s="21" t="s">
        <v>7275</v>
      </c>
      <c r="E2384" s="21" t="s">
        <v>719</v>
      </c>
      <c r="F2384" s="21" t="s">
        <v>4000</v>
      </c>
    </row>
    <row r="2385" customFormat="false" ht="15" hidden="false" customHeight="false" outlineLevel="0" collapsed="false">
      <c r="B2385" s="19" t="s">
        <v>30843</v>
      </c>
      <c r="C2385" s="20" t="n">
        <f aca="false">ROUND(1.65/FX,2)</f>
        <v>0.23</v>
      </c>
      <c r="D2385" s="21" t="s">
        <v>2961</v>
      </c>
      <c r="E2385" s="21" t="s">
        <v>719</v>
      </c>
      <c r="F2385" s="21" t="s">
        <v>4000</v>
      </c>
    </row>
    <row r="2386" customFormat="false" ht="15" hidden="false" customHeight="false" outlineLevel="0" collapsed="false">
      <c r="B2386" s="19" t="s">
        <v>30844</v>
      </c>
      <c r="C2386" s="20" t="n">
        <f aca="false">ROUND(1.77/FX,2)</f>
        <v>0.25</v>
      </c>
      <c r="D2386" s="21" t="s">
        <v>13817</v>
      </c>
      <c r="E2386" s="21" t="s">
        <v>719</v>
      </c>
      <c r="F2386" s="21" t="s">
        <v>4000</v>
      </c>
    </row>
    <row r="2387" customFormat="false" ht="15" hidden="false" customHeight="false" outlineLevel="0" collapsed="false">
      <c r="B2387" s="19" t="s">
        <v>30845</v>
      </c>
      <c r="C2387" s="20" t="n">
        <f aca="false">ROUND(1.89/FX,2)</f>
        <v>0.26</v>
      </c>
      <c r="D2387" s="21" t="s">
        <v>3011</v>
      </c>
      <c r="E2387" s="21" t="s">
        <v>719</v>
      </c>
      <c r="F2387" s="21" t="s">
        <v>4000</v>
      </c>
    </row>
    <row r="2388" customFormat="false" ht="15" hidden="false" customHeight="false" outlineLevel="0" collapsed="false">
      <c r="B2388" s="19" t="s">
        <v>30846</v>
      </c>
      <c r="C2388" s="20" t="n">
        <f aca="false">ROUND(2/FX,2)</f>
        <v>0.28</v>
      </c>
      <c r="D2388" s="21" t="s">
        <v>7396</v>
      </c>
      <c r="E2388" s="21" t="s">
        <v>719</v>
      </c>
      <c r="F2388" s="21" t="s">
        <v>4000</v>
      </c>
    </row>
    <row r="2389" customFormat="false" ht="15" hidden="false" customHeight="false" outlineLevel="0" collapsed="false">
      <c r="B2389" s="19" t="s">
        <v>30847</v>
      </c>
      <c r="C2389" s="20" t="n">
        <f aca="false">ROUND(2.12/FX,2)</f>
        <v>0.29</v>
      </c>
      <c r="D2389" s="21" t="s">
        <v>3061</v>
      </c>
      <c r="E2389" s="21" t="s">
        <v>719</v>
      </c>
      <c r="F2389" s="21" t="s">
        <v>4000</v>
      </c>
    </row>
    <row r="2390" customFormat="false" ht="15" hidden="false" customHeight="false" outlineLevel="0" collapsed="false">
      <c r="B2390" s="19" t="s">
        <v>30848</v>
      </c>
      <c r="C2390" s="20" t="n">
        <f aca="false">ROUND(2.24/FX,2)</f>
        <v>0.31</v>
      </c>
      <c r="D2390" s="21" t="s">
        <v>11870</v>
      </c>
      <c r="E2390" s="21" t="s">
        <v>719</v>
      </c>
      <c r="F2390" s="21" t="s">
        <v>4000</v>
      </c>
    </row>
    <row r="2391" customFormat="false" ht="15" hidden="false" customHeight="false" outlineLevel="0" collapsed="false">
      <c r="B2391" s="19" t="s">
        <v>30849</v>
      </c>
      <c r="C2391" s="20" t="n">
        <f aca="false">ROUND(2.24/FX,2)</f>
        <v>0.31</v>
      </c>
      <c r="D2391" s="21" t="s">
        <v>3111</v>
      </c>
      <c r="E2391" s="21" t="s">
        <v>719</v>
      </c>
      <c r="F2391" s="21" t="s">
        <v>4000</v>
      </c>
    </row>
    <row r="2392" customFormat="false" ht="15" hidden="false" customHeight="false" outlineLevel="0" collapsed="false">
      <c r="B2392" s="19" t="s">
        <v>30850</v>
      </c>
      <c r="C2392" s="20" t="n">
        <f aca="false">ROUND(2.72/FX,2)</f>
        <v>0.38</v>
      </c>
      <c r="D2392" s="21" t="s">
        <v>2600</v>
      </c>
      <c r="E2392" s="21" t="s">
        <v>707</v>
      </c>
      <c r="F2392" s="21" t="s">
        <v>3247</v>
      </c>
    </row>
    <row r="2393" customFormat="false" ht="15" hidden="false" customHeight="false" outlineLevel="0" collapsed="false">
      <c r="B2393" s="19" t="s">
        <v>30851</v>
      </c>
      <c r="C2393" s="20" t="n">
        <f aca="false">ROUND(2.95/FX,2)</f>
        <v>0.41</v>
      </c>
      <c r="D2393" s="21" t="s">
        <v>2651</v>
      </c>
      <c r="E2393" s="21" t="s">
        <v>707</v>
      </c>
      <c r="F2393" s="21" t="s">
        <v>3247</v>
      </c>
    </row>
    <row r="2394" customFormat="false" ht="15" hidden="false" customHeight="false" outlineLevel="0" collapsed="false">
      <c r="B2394" s="19" t="s">
        <v>30852</v>
      </c>
      <c r="C2394" s="20" t="n">
        <f aca="false">ROUND(2.95/FX,2)</f>
        <v>0.41</v>
      </c>
      <c r="D2394" s="21" t="s">
        <v>2701</v>
      </c>
      <c r="E2394" s="21" t="s">
        <v>707</v>
      </c>
      <c r="F2394" s="21" t="s">
        <v>3247</v>
      </c>
    </row>
    <row r="2395" customFormat="false" ht="15" hidden="false" customHeight="false" outlineLevel="0" collapsed="false">
      <c r="B2395" s="19" t="s">
        <v>30853</v>
      </c>
      <c r="C2395" s="20" t="n">
        <f aca="false">ROUND(2.95/FX,2)</f>
        <v>0.41</v>
      </c>
      <c r="D2395" s="21" t="s">
        <v>11968</v>
      </c>
      <c r="E2395" s="21" t="s">
        <v>707</v>
      </c>
      <c r="F2395" s="21" t="s">
        <v>3247</v>
      </c>
    </row>
    <row r="2396" customFormat="false" ht="15" hidden="false" customHeight="false" outlineLevel="0" collapsed="false">
      <c r="B2396" s="19" t="s">
        <v>30854</v>
      </c>
      <c r="C2396" s="20" t="n">
        <f aca="false">ROUND(3.19/FX,2)</f>
        <v>0.44</v>
      </c>
      <c r="D2396" s="21" t="s">
        <v>2851</v>
      </c>
      <c r="E2396" s="21" t="s">
        <v>707</v>
      </c>
      <c r="F2396" s="21" t="s">
        <v>3247</v>
      </c>
    </row>
    <row r="2397" customFormat="false" ht="15" hidden="false" customHeight="false" outlineLevel="0" collapsed="false">
      <c r="B2397" s="19" t="s">
        <v>30855</v>
      </c>
      <c r="C2397" s="20" t="n">
        <f aca="false">ROUND(3.53/FX,2)</f>
        <v>0.49</v>
      </c>
      <c r="D2397" s="21" t="s">
        <v>6497</v>
      </c>
      <c r="E2397" s="21" t="s">
        <v>707</v>
      </c>
      <c r="F2397" s="21" t="s">
        <v>3247</v>
      </c>
    </row>
    <row r="2398" customFormat="false" ht="15" hidden="false" customHeight="false" outlineLevel="0" collapsed="false">
      <c r="B2398" s="19" t="s">
        <v>30856</v>
      </c>
      <c r="C2398" s="20" t="n">
        <f aca="false">ROUND(1.07/FX,2)</f>
        <v>0.15</v>
      </c>
      <c r="D2398" s="21" t="s">
        <v>3247</v>
      </c>
      <c r="E2398" s="21" t="s">
        <v>707</v>
      </c>
      <c r="F2398" s="21" t="s">
        <v>3247</v>
      </c>
    </row>
    <row r="2399" customFormat="false" ht="15" hidden="false" customHeight="false" outlineLevel="0" collapsed="false">
      <c r="B2399" s="19" t="s">
        <v>30857</v>
      </c>
      <c r="C2399" s="20" t="n">
        <f aca="false">ROUND(4.7/FX,2)</f>
        <v>0.65</v>
      </c>
      <c r="D2399" s="21" t="s">
        <v>1048</v>
      </c>
      <c r="E2399" s="21" t="s">
        <v>707</v>
      </c>
      <c r="F2399" s="21" t="s">
        <v>3247</v>
      </c>
    </row>
    <row r="2400" customFormat="false" ht="15" hidden="false" customHeight="false" outlineLevel="0" collapsed="false">
      <c r="B2400" s="19" t="s">
        <v>30858</v>
      </c>
      <c r="C2400" s="20" t="n">
        <f aca="false">ROUND(1.07/FX,2)</f>
        <v>0.15</v>
      </c>
      <c r="D2400" s="21" t="s">
        <v>3317</v>
      </c>
      <c r="E2400" s="21" t="s">
        <v>707</v>
      </c>
      <c r="F2400" s="21" t="s">
        <v>3247</v>
      </c>
    </row>
    <row r="2401" customFormat="false" ht="15" hidden="false" customHeight="false" outlineLevel="0" collapsed="false">
      <c r="B2401" s="19" t="s">
        <v>30859</v>
      </c>
      <c r="C2401" s="20" t="n">
        <f aca="false">ROUND(1.21/FX,2)</f>
        <v>0.17</v>
      </c>
      <c r="D2401" s="21" t="s">
        <v>784</v>
      </c>
      <c r="E2401" s="21" t="s">
        <v>707</v>
      </c>
      <c r="F2401" s="21" t="s">
        <v>3247</v>
      </c>
    </row>
    <row r="2402" customFormat="false" ht="15" hidden="false" customHeight="false" outlineLevel="0" collapsed="false">
      <c r="B2402" s="19" t="s">
        <v>30860</v>
      </c>
      <c r="C2402" s="20" t="n">
        <f aca="false">ROUND(8.09/FX,2)</f>
        <v>1.12</v>
      </c>
      <c r="D2402" s="21" t="s">
        <v>1520</v>
      </c>
      <c r="E2402" s="21" t="s">
        <v>707</v>
      </c>
      <c r="F2402" s="21" t="s">
        <v>3247</v>
      </c>
    </row>
    <row r="2403" customFormat="false" ht="15" hidden="false" customHeight="false" outlineLevel="0" collapsed="false">
      <c r="B2403" s="19" t="s">
        <v>30861</v>
      </c>
      <c r="C2403" s="20" t="n">
        <f aca="false">ROUND(1.3/FX,2)</f>
        <v>0.18</v>
      </c>
      <c r="D2403" s="21" t="s">
        <v>3328</v>
      </c>
      <c r="E2403" s="21" t="s">
        <v>707</v>
      </c>
      <c r="F2403" s="21" t="s">
        <v>3247</v>
      </c>
    </row>
    <row r="2404" customFormat="false" ht="15" hidden="false" customHeight="false" outlineLevel="0" collapsed="false">
      <c r="B2404" s="19" t="s">
        <v>30862</v>
      </c>
      <c r="C2404" s="20" t="n">
        <f aca="false">ROUND(1.42/FX,2)</f>
        <v>0.2</v>
      </c>
      <c r="D2404" s="21" t="s">
        <v>6246</v>
      </c>
      <c r="E2404" s="21" t="s">
        <v>707</v>
      </c>
      <c r="F2404" s="21" t="s">
        <v>3247</v>
      </c>
    </row>
    <row r="2405" customFormat="false" ht="15" hidden="false" customHeight="false" outlineLevel="0" collapsed="false">
      <c r="B2405" s="19" t="s">
        <v>30863</v>
      </c>
      <c r="C2405" s="20" t="n">
        <f aca="false">ROUND(1.54/FX,2)</f>
        <v>0.21</v>
      </c>
      <c r="D2405" s="21" t="s">
        <v>7358</v>
      </c>
      <c r="E2405" s="21" t="s">
        <v>707</v>
      </c>
      <c r="F2405" s="21" t="s">
        <v>3247</v>
      </c>
    </row>
    <row r="2406" customFormat="false" ht="15" hidden="false" customHeight="false" outlineLevel="0" collapsed="false">
      <c r="B2406" s="19" t="s">
        <v>30864</v>
      </c>
      <c r="C2406" s="20" t="n">
        <f aca="false">ROUND(1.65/FX,2)</f>
        <v>0.23</v>
      </c>
      <c r="D2406" s="21" t="s">
        <v>2911</v>
      </c>
      <c r="E2406" s="21" t="s">
        <v>707</v>
      </c>
      <c r="F2406" s="21" t="s">
        <v>3247</v>
      </c>
    </row>
    <row r="2407" customFormat="false" ht="15" hidden="false" customHeight="false" outlineLevel="0" collapsed="false">
      <c r="B2407" s="19" t="s">
        <v>30865</v>
      </c>
      <c r="C2407" s="20" t="n">
        <f aca="false">ROUND(1.77/FX,2)</f>
        <v>0.25</v>
      </c>
      <c r="D2407" s="21" t="s">
        <v>7275</v>
      </c>
      <c r="E2407" s="21" t="s">
        <v>707</v>
      </c>
      <c r="F2407" s="21" t="s">
        <v>3247</v>
      </c>
    </row>
    <row r="2408" customFormat="false" ht="15" hidden="false" customHeight="false" outlineLevel="0" collapsed="false">
      <c r="B2408" s="19" t="s">
        <v>30866</v>
      </c>
      <c r="C2408" s="20" t="n">
        <f aca="false">ROUND(1.89/FX,2)</f>
        <v>0.26</v>
      </c>
      <c r="D2408" s="21" t="s">
        <v>2961</v>
      </c>
      <c r="E2408" s="21" t="s">
        <v>707</v>
      </c>
      <c r="F2408" s="21" t="s">
        <v>3247</v>
      </c>
    </row>
    <row r="2409" customFormat="false" ht="15" hidden="false" customHeight="false" outlineLevel="0" collapsed="false">
      <c r="B2409" s="19" t="s">
        <v>30867</v>
      </c>
      <c r="C2409" s="20" t="n">
        <f aca="false">ROUND(2/FX,2)</f>
        <v>0.28</v>
      </c>
      <c r="D2409" s="21" t="s">
        <v>13817</v>
      </c>
      <c r="E2409" s="21" t="s">
        <v>707</v>
      </c>
      <c r="F2409" s="21" t="s">
        <v>3247</v>
      </c>
    </row>
    <row r="2410" customFormat="false" ht="15" hidden="false" customHeight="false" outlineLevel="0" collapsed="false">
      <c r="B2410" s="19" t="s">
        <v>30868</v>
      </c>
      <c r="C2410" s="20" t="n">
        <f aca="false">ROUND(2.12/FX,2)</f>
        <v>0.29</v>
      </c>
      <c r="D2410" s="21" t="s">
        <v>3011</v>
      </c>
      <c r="E2410" s="21" t="s">
        <v>707</v>
      </c>
      <c r="F2410" s="21" t="s">
        <v>3247</v>
      </c>
    </row>
    <row r="2411" customFormat="false" ht="15" hidden="false" customHeight="false" outlineLevel="0" collapsed="false">
      <c r="B2411" s="19" t="s">
        <v>30869</v>
      </c>
      <c r="C2411" s="20" t="n">
        <f aca="false">ROUND(2.24/FX,2)</f>
        <v>0.31</v>
      </c>
      <c r="D2411" s="21" t="s">
        <v>7396</v>
      </c>
      <c r="E2411" s="21" t="s">
        <v>707</v>
      </c>
      <c r="F2411" s="21" t="s">
        <v>3247</v>
      </c>
    </row>
    <row r="2412" customFormat="false" ht="15" hidden="false" customHeight="false" outlineLevel="0" collapsed="false">
      <c r="B2412" s="19" t="s">
        <v>30870</v>
      </c>
      <c r="C2412" s="20" t="n">
        <f aca="false">ROUND(2.36/FX,2)</f>
        <v>0.33</v>
      </c>
      <c r="D2412" s="21" t="s">
        <v>3061</v>
      </c>
      <c r="E2412" s="21" t="s">
        <v>707</v>
      </c>
      <c r="F2412" s="21" t="s">
        <v>3247</v>
      </c>
    </row>
    <row r="2413" customFormat="false" ht="15" hidden="false" customHeight="false" outlineLevel="0" collapsed="false">
      <c r="B2413" s="19" t="s">
        <v>30871</v>
      </c>
      <c r="C2413" s="20" t="n">
        <f aca="false">ROUND(2.42/FX,2)</f>
        <v>0.34</v>
      </c>
      <c r="D2413" s="21" t="s">
        <v>11870</v>
      </c>
      <c r="E2413" s="21" t="s">
        <v>707</v>
      </c>
      <c r="F2413" s="21" t="s">
        <v>3247</v>
      </c>
    </row>
    <row r="2414" customFormat="false" ht="15" hidden="false" customHeight="false" outlineLevel="0" collapsed="false">
      <c r="B2414" s="19" t="s">
        <v>30872</v>
      </c>
      <c r="C2414" s="20" t="n">
        <f aca="false">ROUND(2.42/FX,2)</f>
        <v>0.34</v>
      </c>
      <c r="D2414" s="21" t="s">
        <v>3111</v>
      </c>
      <c r="E2414" s="21" t="s">
        <v>707</v>
      </c>
      <c r="F2414" s="21" t="s">
        <v>3247</v>
      </c>
    </row>
    <row r="2415" customFormat="false" ht="15" hidden="false" customHeight="false" outlineLevel="0" collapsed="false">
      <c r="B2415" s="19" t="s">
        <v>30873</v>
      </c>
      <c r="C2415" s="20" t="n">
        <f aca="false">ROUND(2.72/FX,2)</f>
        <v>0.38</v>
      </c>
      <c r="D2415" s="21" t="s">
        <v>12306</v>
      </c>
      <c r="E2415" s="21" t="s">
        <v>707</v>
      </c>
      <c r="F2415" s="21" t="s">
        <v>3247</v>
      </c>
    </row>
    <row r="2416" customFormat="false" ht="15" hidden="false" customHeight="false" outlineLevel="0" collapsed="false">
      <c r="B2416" s="19" t="s">
        <v>30874</v>
      </c>
      <c r="C2416" s="20" t="n">
        <f aca="false">ROUND(3.29/FX,2)</f>
        <v>0.46</v>
      </c>
      <c r="D2416" s="21" t="s">
        <v>2600</v>
      </c>
      <c r="E2416" s="21" t="s">
        <v>5091</v>
      </c>
      <c r="F2416" s="21" t="s">
        <v>5097</v>
      </c>
    </row>
    <row r="2417" customFormat="false" ht="15" hidden="false" customHeight="false" outlineLevel="0" collapsed="false">
      <c r="B2417" s="19" t="s">
        <v>30875</v>
      </c>
      <c r="C2417" s="20" t="n">
        <f aca="false">ROUND(3.42/FX,2)</f>
        <v>0.48</v>
      </c>
      <c r="D2417" s="21" t="s">
        <v>2651</v>
      </c>
      <c r="E2417" s="21" t="s">
        <v>5091</v>
      </c>
      <c r="F2417" s="21" t="s">
        <v>5097</v>
      </c>
    </row>
    <row r="2418" customFormat="false" ht="15" hidden="false" customHeight="false" outlineLevel="0" collapsed="false">
      <c r="B2418" s="19" t="s">
        <v>30876</v>
      </c>
      <c r="C2418" s="20" t="n">
        <f aca="false">ROUND(3.53/FX,2)</f>
        <v>0.49</v>
      </c>
      <c r="D2418" s="21" t="s">
        <v>11968</v>
      </c>
      <c r="E2418" s="21" t="s">
        <v>5091</v>
      </c>
      <c r="F2418" s="21" t="s">
        <v>5097</v>
      </c>
    </row>
    <row r="2419" customFormat="false" ht="15" hidden="false" customHeight="false" outlineLevel="0" collapsed="false">
      <c r="B2419" s="19" t="s">
        <v>30877</v>
      </c>
      <c r="C2419" s="20" t="n">
        <f aca="false">ROUND(3.76/FX,2)</f>
        <v>0.52</v>
      </c>
      <c r="D2419" s="21" t="s">
        <v>2851</v>
      </c>
      <c r="E2419" s="21" t="s">
        <v>5091</v>
      </c>
      <c r="F2419" s="21" t="s">
        <v>5097</v>
      </c>
    </row>
    <row r="2420" customFormat="false" ht="15" hidden="false" customHeight="false" outlineLevel="0" collapsed="false">
      <c r="B2420" s="19" t="s">
        <v>30878</v>
      </c>
      <c r="C2420" s="20" t="n">
        <f aca="false">ROUND(4.55/FX,2)</f>
        <v>0.63</v>
      </c>
      <c r="D2420" s="21" t="s">
        <v>6497</v>
      </c>
      <c r="E2420" s="21" t="s">
        <v>5091</v>
      </c>
      <c r="F2420" s="21" t="s">
        <v>5097</v>
      </c>
    </row>
    <row r="2421" customFormat="false" ht="15" hidden="false" customHeight="false" outlineLevel="0" collapsed="false">
      <c r="B2421" s="19" t="s">
        <v>30879</v>
      </c>
      <c r="C2421" s="20" t="n">
        <f aca="false">ROUND(1.65/FX,2)</f>
        <v>0.23</v>
      </c>
      <c r="D2421" s="21" t="s">
        <v>3317</v>
      </c>
      <c r="E2421" s="21" t="s">
        <v>5091</v>
      </c>
      <c r="F2421" s="21" t="s">
        <v>5097</v>
      </c>
    </row>
    <row r="2422" customFormat="false" ht="15" hidden="false" customHeight="false" outlineLevel="0" collapsed="false">
      <c r="B2422" s="19" t="s">
        <v>30880</v>
      </c>
      <c r="C2422" s="20" t="n">
        <f aca="false">ROUND(1.65/FX,2)</f>
        <v>0.23</v>
      </c>
      <c r="D2422" s="21" t="s">
        <v>784</v>
      </c>
      <c r="E2422" s="21" t="s">
        <v>5091</v>
      </c>
      <c r="F2422" s="21" t="s">
        <v>5097</v>
      </c>
    </row>
    <row r="2423" customFormat="false" ht="15" hidden="false" customHeight="false" outlineLevel="0" collapsed="false">
      <c r="B2423" s="19" t="s">
        <v>30881</v>
      </c>
      <c r="C2423" s="20" t="n">
        <f aca="false">ROUND(9.03/FX,2)</f>
        <v>1.25</v>
      </c>
      <c r="D2423" s="21" t="s">
        <v>1520</v>
      </c>
      <c r="E2423" s="21" t="s">
        <v>5091</v>
      </c>
      <c r="F2423" s="21" t="s">
        <v>5097</v>
      </c>
    </row>
    <row r="2424" customFormat="false" ht="15" hidden="false" customHeight="false" outlineLevel="0" collapsed="false">
      <c r="B2424" s="19" t="s">
        <v>30882</v>
      </c>
      <c r="C2424" s="20" t="n">
        <f aca="false">ROUND(1.77/FX,2)</f>
        <v>0.25</v>
      </c>
      <c r="D2424" s="21" t="s">
        <v>3328</v>
      </c>
      <c r="E2424" s="21" t="s">
        <v>5091</v>
      </c>
      <c r="F2424" s="21" t="s">
        <v>5097</v>
      </c>
    </row>
    <row r="2425" customFormat="false" ht="15" hidden="false" customHeight="false" outlineLevel="0" collapsed="false">
      <c r="B2425" s="19" t="s">
        <v>30883</v>
      </c>
      <c r="C2425" s="20" t="n">
        <f aca="false">ROUND(1.89/FX,2)</f>
        <v>0.26</v>
      </c>
      <c r="D2425" s="21" t="s">
        <v>6246</v>
      </c>
      <c r="E2425" s="21" t="s">
        <v>5091</v>
      </c>
      <c r="F2425" s="21" t="s">
        <v>5097</v>
      </c>
    </row>
    <row r="2426" customFormat="false" ht="15" hidden="false" customHeight="false" outlineLevel="0" collapsed="false">
      <c r="B2426" s="19" t="s">
        <v>30884</v>
      </c>
      <c r="C2426" s="20" t="n">
        <f aca="false">ROUND(2/FX,2)</f>
        <v>0.28</v>
      </c>
      <c r="D2426" s="21" t="s">
        <v>7358</v>
      </c>
      <c r="E2426" s="21" t="s">
        <v>5091</v>
      </c>
      <c r="F2426" s="21" t="s">
        <v>5097</v>
      </c>
    </row>
    <row r="2427" customFormat="false" ht="15" hidden="false" customHeight="false" outlineLevel="0" collapsed="false">
      <c r="B2427" s="19" t="s">
        <v>30885</v>
      </c>
      <c r="C2427" s="20" t="n">
        <f aca="false">ROUND(2.12/FX,2)</f>
        <v>0.29</v>
      </c>
      <c r="D2427" s="21" t="s">
        <v>2911</v>
      </c>
      <c r="E2427" s="21" t="s">
        <v>5091</v>
      </c>
      <c r="F2427" s="21" t="s">
        <v>5097</v>
      </c>
    </row>
    <row r="2428" customFormat="false" ht="15" hidden="false" customHeight="false" outlineLevel="0" collapsed="false">
      <c r="B2428" s="19" t="s">
        <v>30886</v>
      </c>
      <c r="C2428" s="20" t="n">
        <f aca="false">ROUND(2.24/FX,2)</f>
        <v>0.31</v>
      </c>
      <c r="D2428" s="21" t="s">
        <v>7275</v>
      </c>
      <c r="E2428" s="21" t="s">
        <v>5091</v>
      </c>
      <c r="F2428" s="21" t="s">
        <v>5097</v>
      </c>
    </row>
    <row r="2429" customFormat="false" ht="15" hidden="false" customHeight="false" outlineLevel="0" collapsed="false">
      <c r="B2429" s="19" t="s">
        <v>30887</v>
      </c>
      <c r="C2429" s="20" t="n">
        <f aca="false">ROUND(2.36/FX,2)</f>
        <v>0.33</v>
      </c>
      <c r="D2429" s="21" t="s">
        <v>2961</v>
      </c>
      <c r="E2429" s="21" t="s">
        <v>5091</v>
      </c>
      <c r="F2429" s="21" t="s">
        <v>5097</v>
      </c>
    </row>
    <row r="2430" customFormat="false" ht="15" hidden="false" customHeight="false" outlineLevel="0" collapsed="false">
      <c r="B2430" s="19" t="s">
        <v>30888</v>
      </c>
      <c r="C2430" s="20" t="n">
        <f aca="false">ROUND(2.47/FX,2)</f>
        <v>0.34</v>
      </c>
      <c r="D2430" s="21" t="s">
        <v>13817</v>
      </c>
      <c r="E2430" s="21" t="s">
        <v>5091</v>
      </c>
      <c r="F2430" s="21" t="s">
        <v>5097</v>
      </c>
    </row>
    <row r="2431" customFormat="false" ht="15" hidden="false" customHeight="false" outlineLevel="0" collapsed="false">
      <c r="B2431" s="19" t="s">
        <v>30889</v>
      </c>
      <c r="C2431" s="20" t="n">
        <f aca="false">ROUND(2.59/FX,2)</f>
        <v>0.36</v>
      </c>
      <c r="D2431" s="21" t="s">
        <v>3011</v>
      </c>
      <c r="E2431" s="21" t="s">
        <v>5091</v>
      </c>
      <c r="F2431" s="21" t="s">
        <v>5097</v>
      </c>
    </row>
    <row r="2432" customFormat="false" ht="15" hidden="false" customHeight="false" outlineLevel="0" collapsed="false">
      <c r="B2432" s="19" t="s">
        <v>30890</v>
      </c>
      <c r="C2432" s="20" t="n">
        <f aca="false">ROUND(2.72/FX,2)</f>
        <v>0.38</v>
      </c>
      <c r="D2432" s="21" t="s">
        <v>7396</v>
      </c>
      <c r="E2432" s="21" t="s">
        <v>5091</v>
      </c>
      <c r="F2432" s="21" t="s">
        <v>5097</v>
      </c>
    </row>
    <row r="2433" customFormat="false" ht="15" hidden="false" customHeight="false" outlineLevel="0" collapsed="false">
      <c r="B2433" s="19" t="s">
        <v>30891</v>
      </c>
      <c r="C2433" s="20" t="n">
        <f aca="false">ROUND(2.82/FX,2)</f>
        <v>0.39</v>
      </c>
      <c r="D2433" s="21" t="s">
        <v>3061</v>
      </c>
      <c r="E2433" s="21" t="s">
        <v>5091</v>
      </c>
      <c r="F2433" s="21" t="s">
        <v>5097</v>
      </c>
    </row>
    <row r="2434" customFormat="false" ht="15" hidden="false" customHeight="false" outlineLevel="0" collapsed="false">
      <c r="B2434" s="19" t="s">
        <v>30892</v>
      </c>
      <c r="C2434" s="20" t="n">
        <f aca="false">ROUND(3.06/FX,2)</f>
        <v>0.43</v>
      </c>
      <c r="D2434" s="21" t="s">
        <v>11870</v>
      </c>
      <c r="E2434" s="21" t="s">
        <v>5091</v>
      </c>
      <c r="F2434" s="21" t="s">
        <v>5097</v>
      </c>
    </row>
    <row r="2435" customFormat="false" ht="15" hidden="false" customHeight="false" outlineLevel="0" collapsed="false">
      <c r="B2435" s="19" t="s">
        <v>30893</v>
      </c>
      <c r="C2435" s="20" t="n">
        <f aca="false">ROUND(3.06/FX,2)</f>
        <v>0.43</v>
      </c>
      <c r="D2435" s="21" t="s">
        <v>3111</v>
      </c>
      <c r="E2435" s="21" t="s">
        <v>5091</v>
      </c>
      <c r="F2435" s="21" t="s">
        <v>5097</v>
      </c>
    </row>
    <row r="2436" customFormat="false" ht="15" hidden="false" customHeight="false" outlineLevel="0" collapsed="false">
      <c r="B2436" s="19" t="s">
        <v>30894</v>
      </c>
      <c r="C2436" s="20" t="n">
        <f aca="false">ROUND(4.97/FX,2)</f>
        <v>0.69</v>
      </c>
      <c r="D2436" s="21" t="s">
        <v>12306</v>
      </c>
      <c r="E2436" s="21" t="s">
        <v>5091</v>
      </c>
      <c r="F2436" s="21" t="s">
        <v>5097</v>
      </c>
    </row>
    <row r="2437" customFormat="false" ht="15" hidden="false" customHeight="false" outlineLevel="0" collapsed="false">
      <c r="B2437" s="19" t="s">
        <v>30895</v>
      </c>
      <c r="C2437" s="20" t="n">
        <f aca="false">ROUND(3.66/FX,2)</f>
        <v>0.51</v>
      </c>
      <c r="D2437" s="21" t="s">
        <v>2600</v>
      </c>
      <c r="E2437" s="21" t="s">
        <v>20224</v>
      </c>
      <c r="F2437" s="21" t="s">
        <v>3317</v>
      </c>
    </row>
    <row r="2438" customFormat="false" ht="15" hidden="false" customHeight="false" outlineLevel="0" collapsed="false">
      <c r="B2438" s="19" t="s">
        <v>30896</v>
      </c>
      <c r="C2438" s="20" t="n">
        <f aca="false">ROUND(4.12/FX,2)</f>
        <v>0.57</v>
      </c>
      <c r="D2438" s="21" t="s">
        <v>2651</v>
      </c>
      <c r="E2438" s="21" t="s">
        <v>20224</v>
      </c>
      <c r="F2438" s="21" t="s">
        <v>3317</v>
      </c>
    </row>
    <row r="2439" customFormat="false" ht="15" hidden="false" customHeight="false" outlineLevel="0" collapsed="false">
      <c r="B2439" s="19" t="s">
        <v>30897</v>
      </c>
      <c r="C2439" s="20" t="n">
        <f aca="false">ROUND(4.12/FX,2)</f>
        <v>0.57</v>
      </c>
      <c r="D2439" s="21" t="s">
        <v>11968</v>
      </c>
      <c r="E2439" s="21" t="s">
        <v>20224</v>
      </c>
      <c r="F2439" s="21" t="s">
        <v>3317</v>
      </c>
    </row>
    <row r="2440" customFormat="false" ht="15" hidden="false" customHeight="false" outlineLevel="0" collapsed="false">
      <c r="B2440" s="19" t="s">
        <v>30898</v>
      </c>
      <c r="C2440" s="20" t="n">
        <f aca="false">ROUND(4.3/FX,2)</f>
        <v>0.6</v>
      </c>
      <c r="D2440" s="21" t="s">
        <v>2751</v>
      </c>
      <c r="E2440" s="21" t="s">
        <v>20224</v>
      </c>
      <c r="F2440" s="21" t="s">
        <v>3317</v>
      </c>
    </row>
    <row r="2441" customFormat="false" ht="15" hidden="false" customHeight="false" outlineLevel="0" collapsed="false">
      <c r="B2441" s="19" t="s">
        <v>30899</v>
      </c>
      <c r="C2441" s="20" t="n">
        <f aca="false">ROUND(4.36/FX,2)</f>
        <v>0.61</v>
      </c>
      <c r="D2441" s="21" t="s">
        <v>2851</v>
      </c>
      <c r="E2441" s="21" t="s">
        <v>20224</v>
      </c>
      <c r="F2441" s="21" t="s">
        <v>3317</v>
      </c>
    </row>
    <row r="2442" customFormat="false" ht="15" hidden="false" customHeight="false" outlineLevel="0" collapsed="false">
      <c r="B2442" s="19" t="s">
        <v>30900</v>
      </c>
      <c r="C2442" s="20" t="n">
        <f aca="false">ROUND(4.59/FX,2)</f>
        <v>0.64</v>
      </c>
      <c r="D2442" s="21" t="s">
        <v>6497</v>
      </c>
      <c r="E2442" s="21" t="s">
        <v>20224</v>
      </c>
      <c r="F2442" s="21" t="s">
        <v>3317</v>
      </c>
    </row>
    <row r="2443" customFormat="false" ht="15" hidden="false" customHeight="false" outlineLevel="0" collapsed="false">
      <c r="B2443" s="19" t="s">
        <v>30901</v>
      </c>
      <c r="C2443" s="20" t="n">
        <f aca="false">ROUND(4.83/FX,2)</f>
        <v>0.67</v>
      </c>
      <c r="D2443" s="21" t="s">
        <v>1048</v>
      </c>
      <c r="E2443" s="21" t="s">
        <v>20224</v>
      </c>
      <c r="F2443" s="21" t="s">
        <v>3317</v>
      </c>
    </row>
    <row r="2444" customFormat="false" ht="15" hidden="false" customHeight="false" outlineLevel="0" collapsed="false">
      <c r="B2444" s="19" t="s">
        <v>30902</v>
      </c>
      <c r="C2444" s="20" t="n">
        <f aca="false">ROUND(1.77/FX,2)</f>
        <v>0.25</v>
      </c>
      <c r="D2444" s="21" t="s">
        <v>3317</v>
      </c>
      <c r="E2444" s="21" t="s">
        <v>20224</v>
      </c>
      <c r="F2444" s="21" t="s">
        <v>3317</v>
      </c>
    </row>
    <row r="2445" customFormat="false" ht="15" hidden="false" customHeight="false" outlineLevel="0" collapsed="false">
      <c r="B2445" s="19" t="s">
        <v>30903</v>
      </c>
      <c r="C2445" s="20" t="n">
        <f aca="false">ROUND(1.89/FX,2)</f>
        <v>0.26</v>
      </c>
      <c r="D2445" s="21" t="s">
        <v>784</v>
      </c>
      <c r="E2445" s="21" t="s">
        <v>20224</v>
      </c>
      <c r="F2445" s="21" t="s">
        <v>3317</v>
      </c>
    </row>
    <row r="2446" customFormat="false" ht="15" hidden="false" customHeight="false" outlineLevel="0" collapsed="false">
      <c r="B2446" s="19" t="s">
        <v>30904</v>
      </c>
      <c r="C2446" s="20" t="n">
        <f aca="false">ROUND(10.9/FX,2)</f>
        <v>1.51</v>
      </c>
      <c r="D2446" s="21" t="s">
        <v>1520</v>
      </c>
      <c r="E2446" s="21" t="s">
        <v>20224</v>
      </c>
      <c r="F2446" s="21" t="s">
        <v>3317</v>
      </c>
    </row>
    <row r="2447" customFormat="false" ht="15" hidden="false" customHeight="false" outlineLevel="0" collapsed="false">
      <c r="B2447" s="19" t="s">
        <v>30905</v>
      </c>
      <c r="C2447" s="20" t="n">
        <f aca="false">ROUND(2/FX,2)</f>
        <v>0.28</v>
      </c>
      <c r="D2447" s="21" t="s">
        <v>3328</v>
      </c>
      <c r="E2447" s="21" t="s">
        <v>20224</v>
      </c>
      <c r="F2447" s="21" t="s">
        <v>3317</v>
      </c>
    </row>
    <row r="2448" customFormat="false" ht="15" hidden="false" customHeight="false" outlineLevel="0" collapsed="false">
      <c r="B2448" s="19" t="s">
        <v>30906</v>
      </c>
      <c r="C2448" s="20" t="n">
        <f aca="false">ROUND(2.12/FX,2)</f>
        <v>0.29</v>
      </c>
      <c r="D2448" s="21" t="s">
        <v>6246</v>
      </c>
      <c r="E2448" s="21" t="s">
        <v>20224</v>
      </c>
      <c r="F2448" s="21" t="s">
        <v>3317</v>
      </c>
    </row>
    <row r="2449" customFormat="false" ht="15" hidden="false" customHeight="false" outlineLevel="0" collapsed="false">
      <c r="B2449" s="19" t="s">
        <v>30907</v>
      </c>
      <c r="C2449" s="20" t="n">
        <f aca="false">ROUND(2.24/FX,2)</f>
        <v>0.31</v>
      </c>
      <c r="D2449" s="21" t="s">
        <v>7358</v>
      </c>
      <c r="E2449" s="21" t="s">
        <v>20224</v>
      </c>
      <c r="F2449" s="21" t="s">
        <v>3317</v>
      </c>
    </row>
    <row r="2450" customFormat="false" ht="15" hidden="false" customHeight="false" outlineLevel="0" collapsed="false">
      <c r="B2450" s="19" t="s">
        <v>30908</v>
      </c>
      <c r="C2450" s="20" t="n">
        <f aca="false">ROUND(2.36/FX,2)</f>
        <v>0.33</v>
      </c>
      <c r="D2450" s="21" t="s">
        <v>2911</v>
      </c>
      <c r="E2450" s="21" t="s">
        <v>20224</v>
      </c>
      <c r="F2450" s="21" t="s">
        <v>3317</v>
      </c>
    </row>
    <row r="2451" customFormat="false" ht="15" hidden="false" customHeight="false" outlineLevel="0" collapsed="false">
      <c r="B2451" s="19" t="s">
        <v>30909</v>
      </c>
      <c r="C2451" s="20" t="n">
        <f aca="false">ROUND(2.47/FX,2)</f>
        <v>0.34</v>
      </c>
      <c r="D2451" s="21" t="s">
        <v>7275</v>
      </c>
      <c r="E2451" s="21" t="s">
        <v>20224</v>
      </c>
      <c r="F2451" s="21" t="s">
        <v>3317</v>
      </c>
    </row>
    <row r="2452" customFormat="false" ht="15" hidden="false" customHeight="false" outlineLevel="0" collapsed="false">
      <c r="B2452" s="19" t="s">
        <v>30910</v>
      </c>
      <c r="C2452" s="20" t="n">
        <f aca="false">ROUND(2.72/FX,2)</f>
        <v>0.38</v>
      </c>
      <c r="D2452" s="21" t="s">
        <v>2961</v>
      </c>
      <c r="E2452" s="21" t="s">
        <v>20224</v>
      </c>
      <c r="F2452" s="21" t="s">
        <v>3317</v>
      </c>
    </row>
    <row r="2453" customFormat="false" ht="15" hidden="false" customHeight="false" outlineLevel="0" collapsed="false">
      <c r="B2453" s="19" t="s">
        <v>30911</v>
      </c>
      <c r="C2453" s="20" t="n">
        <f aca="false">ROUND(2.95/FX,2)</f>
        <v>0.41</v>
      </c>
      <c r="D2453" s="21" t="s">
        <v>13817</v>
      </c>
      <c r="E2453" s="21" t="s">
        <v>20224</v>
      </c>
      <c r="F2453" s="21" t="s">
        <v>3317</v>
      </c>
    </row>
    <row r="2454" customFormat="false" ht="15" hidden="false" customHeight="false" outlineLevel="0" collapsed="false">
      <c r="B2454" s="19" t="s">
        <v>30912</v>
      </c>
      <c r="C2454" s="20" t="n">
        <f aca="false">ROUND(2.95/FX,2)</f>
        <v>0.41</v>
      </c>
      <c r="D2454" s="21" t="s">
        <v>3011</v>
      </c>
      <c r="E2454" s="21" t="s">
        <v>20224</v>
      </c>
      <c r="F2454" s="21" t="s">
        <v>3317</v>
      </c>
    </row>
    <row r="2455" customFormat="false" ht="15" hidden="false" customHeight="false" outlineLevel="0" collapsed="false">
      <c r="B2455" s="19" t="s">
        <v>30913</v>
      </c>
      <c r="C2455" s="20" t="n">
        <f aca="false">ROUND(3.06/FX,2)</f>
        <v>0.43</v>
      </c>
      <c r="D2455" s="21" t="s">
        <v>7396</v>
      </c>
      <c r="E2455" s="21" t="s">
        <v>20224</v>
      </c>
      <c r="F2455" s="21" t="s">
        <v>3317</v>
      </c>
    </row>
    <row r="2456" customFormat="false" ht="15" hidden="false" customHeight="false" outlineLevel="0" collapsed="false">
      <c r="B2456" s="19" t="s">
        <v>30914</v>
      </c>
      <c r="C2456" s="20" t="n">
        <f aca="false">ROUND(3.19/FX,2)</f>
        <v>0.44</v>
      </c>
      <c r="D2456" s="21" t="s">
        <v>3061</v>
      </c>
      <c r="E2456" s="21" t="s">
        <v>20224</v>
      </c>
      <c r="F2456" s="21" t="s">
        <v>3317</v>
      </c>
    </row>
    <row r="2457" customFormat="false" ht="15" hidden="false" customHeight="false" outlineLevel="0" collapsed="false">
      <c r="B2457" s="19" t="s">
        <v>30915</v>
      </c>
      <c r="C2457" s="20" t="n">
        <f aca="false">ROUND(3.29/FX,2)</f>
        <v>0.46</v>
      </c>
      <c r="D2457" s="21" t="s">
        <v>11870</v>
      </c>
      <c r="E2457" s="21" t="s">
        <v>20224</v>
      </c>
      <c r="F2457" s="21" t="s">
        <v>3317</v>
      </c>
    </row>
    <row r="2458" customFormat="false" ht="15" hidden="false" customHeight="false" outlineLevel="0" collapsed="false">
      <c r="B2458" s="19" t="s">
        <v>30916</v>
      </c>
      <c r="C2458" s="20" t="n">
        <f aca="false">ROUND(3.42/FX,2)</f>
        <v>0.48</v>
      </c>
      <c r="D2458" s="21" t="s">
        <v>3111</v>
      </c>
      <c r="E2458" s="21" t="s">
        <v>20224</v>
      </c>
      <c r="F2458" s="21" t="s">
        <v>3317</v>
      </c>
    </row>
    <row r="2459" customFormat="false" ht="15" hidden="false" customHeight="false" outlineLevel="0" collapsed="false">
      <c r="B2459" s="19" t="s">
        <v>30917</v>
      </c>
      <c r="C2459" s="20" t="n">
        <f aca="false">ROUND(3.66/FX,2)</f>
        <v>0.51</v>
      </c>
      <c r="D2459" s="21" t="s">
        <v>12306</v>
      </c>
      <c r="E2459" s="21" t="s">
        <v>20224</v>
      </c>
      <c r="F2459" s="21" t="s">
        <v>3317</v>
      </c>
    </row>
    <row r="2460" customFormat="false" ht="15" hidden="false" customHeight="false" outlineLevel="0" collapsed="false">
      <c r="B2460" s="19" t="s">
        <v>30918</v>
      </c>
      <c r="C2460" s="20" t="n">
        <f aca="false">ROUND(4.02/FX,2)</f>
        <v>0.56</v>
      </c>
      <c r="D2460" s="21" t="s">
        <v>2600</v>
      </c>
      <c r="E2460" s="21" t="s">
        <v>29741</v>
      </c>
      <c r="F2460" s="21" t="s">
        <v>13774</v>
      </c>
    </row>
    <row r="2461" customFormat="false" ht="15" hidden="false" customHeight="false" outlineLevel="0" collapsed="false">
      <c r="B2461" s="19" t="s">
        <v>30919</v>
      </c>
      <c r="C2461" s="20" t="n">
        <f aca="false">ROUND(13.09/FX,2)</f>
        <v>1.82</v>
      </c>
      <c r="D2461" s="21" t="s">
        <v>2651</v>
      </c>
      <c r="E2461" s="21" t="s">
        <v>29741</v>
      </c>
      <c r="F2461" s="21" t="s">
        <v>13774</v>
      </c>
    </row>
    <row r="2462" customFormat="false" ht="15" hidden="false" customHeight="false" outlineLevel="0" collapsed="false">
      <c r="B2462" s="19" t="s">
        <v>30920</v>
      </c>
      <c r="C2462" s="20" t="n">
        <f aca="false">ROUND(4.37/FX,2)</f>
        <v>0.61</v>
      </c>
      <c r="D2462" s="21" t="s">
        <v>11968</v>
      </c>
      <c r="E2462" s="21" t="s">
        <v>29741</v>
      </c>
      <c r="F2462" s="21" t="s">
        <v>13774</v>
      </c>
    </row>
    <row r="2463" customFormat="false" ht="15" hidden="false" customHeight="false" outlineLevel="0" collapsed="false">
      <c r="B2463" s="19" t="s">
        <v>30921</v>
      </c>
      <c r="C2463" s="20" t="n">
        <f aca="false">ROUND(4.72/FX,2)</f>
        <v>0.66</v>
      </c>
      <c r="D2463" s="21" t="s">
        <v>2851</v>
      </c>
      <c r="E2463" s="21" t="s">
        <v>29741</v>
      </c>
      <c r="F2463" s="21" t="s">
        <v>13774</v>
      </c>
    </row>
    <row r="2464" customFormat="false" ht="15" hidden="false" customHeight="false" outlineLevel="0" collapsed="false">
      <c r="B2464" s="19" t="s">
        <v>30922</v>
      </c>
      <c r="C2464" s="20" t="n">
        <f aca="false">ROUND(5.07/FX,2)</f>
        <v>0.7</v>
      </c>
      <c r="D2464" s="21" t="s">
        <v>6497</v>
      </c>
      <c r="E2464" s="21" t="s">
        <v>29741</v>
      </c>
      <c r="F2464" s="21" t="s">
        <v>13774</v>
      </c>
    </row>
    <row r="2465" customFormat="false" ht="15" hidden="false" customHeight="false" outlineLevel="0" collapsed="false">
      <c r="B2465" s="19" t="s">
        <v>30923</v>
      </c>
      <c r="C2465" s="20" t="n">
        <f aca="false">ROUND(5.44/FX,2)</f>
        <v>0.76</v>
      </c>
      <c r="D2465" s="21" t="s">
        <v>1048</v>
      </c>
      <c r="E2465" s="21" t="s">
        <v>29741</v>
      </c>
      <c r="F2465" s="21" t="s">
        <v>13774</v>
      </c>
    </row>
    <row r="2466" customFormat="false" ht="15" hidden="false" customHeight="false" outlineLevel="0" collapsed="false">
      <c r="B2466" s="19" t="s">
        <v>30924</v>
      </c>
      <c r="C2466" s="20" t="n">
        <f aca="false">ROUND(2.24/FX,2)</f>
        <v>0.31</v>
      </c>
      <c r="D2466" s="21" t="s">
        <v>3317</v>
      </c>
      <c r="E2466" s="21" t="s">
        <v>29741</v>
      </c>
      <c r="F2466" s="21" t="s">
        <v>13774</v>
      </c>
    </row>
    <row r="2467" customFormat="false" ht="15" hidden="false" customHeight="false" outlineLevel="0" collapsed="false">
      <c r="B2467" s="19" t="s">
        <v>30925</v>
      </c>
      <c r="C2467" s="20" t="n">
        <f aca="false">ROUND(2.24/FX,2)</f>
        <v>0.31</v>
      </c>
      <c r="D2467" s="21" t="s">
        <v>784</v>
      </c>
      <c r="E2467" s="21" t="s">
        <v>29741</v>
      </c>
      <c r="F2467" s="21" t="s">
        <v>13774</v>
      </c>
    </row>
    <row r="2468" customFormat="false" ht="15" hidden="false" customHeight="false" outlineLevel="0" collapsed="false">
      <c r="B2468" s="19" t="s">
        <v>30926</v>
      </c>
      <c r="C2468" s="20" t="n">
        <f aca="false">ROUND(10.99/FX,2)</f>
        <v>1.53</v>
      </c>
      <c r="D2468" s="21" t="s">
        <v>1520</v>
      </c>
      <c r="E2468" s="21" t="s">
        <v>29741</v>
      </c>
      <c r="F2468" s="21" t="s">
        <v>13774</v>
      </c>
    </row>
    <row r="2469" customFormat="false" ht="15" hidden="false" customHeight="false" outlineLevel="0" collapsed="false">
      <c r="B2469" s="19" t="s">
        <v>30927</v>
      </c>
      <c r="C2469" s="20" t="n">
        <f aca="false">ROUND(2.33/FX,2)</f>
        <v>0.32</v>
      </c>
      <c r="D2469" s="21" t="s">
        <v>3328</v>
      </c>
      <c r="E2469" s="21" t="s">
        <v>29741</v>
      </c>
      <c r="F2469" s="21" t="s">
        <v>13774</v>
      </c>
    </row>
    <row r="2470" customFormat="false" ht="15" hidden="false" customHeight="false" outlineLevel="0" collapsed="false">
      <c r="B2470" s="19" t="s">
        <v>30928</v>
      </c>
      <c r="C2470" s="20" t="n">
        <f aca="false">ROUND(2.43/FX,2)</f>
        <v>0.34</v>
      </c>
      <c r="D2470" s="21" t="s">
        <v>6246</v>
      </c>
      <c r="E2470" s="21" t="s">
        <v>29741</v>
      </c>
      <c r="F2470" s="21" t="s">
        <v>13774</v>
      </c>
    </row>
    <row r="2471" customFormat="false" ht="15" hidden="false" customHeight="false" outlineLevel="0" collapsed="false">
      <c r="B2471" s="19" t="s">
        <v>30929</v>
      </c>
      <c r="C2471" s="20" t="n">
        <f aca="false">ROUND(2.54/FX,2)</f>
        <v>0.35</v>
      </c>
      <c r="D2471" s="21" t="s">
        <v>7358</v>
      </c>
      <c r="E2471" s="21" t="s">
        <v>29741</v>
      </c>
      <c r="F2471" s="21" t="s">
        <v>13774</v>
      </c>
    </row>
    <row r="2472" customFormat="false" ht="15" hidden="false" customHeight="false" outlineLevel="0" collapsed="false">
      <c r="B2472" s="19" t="s">
        <v>30930</v>
      </c>
      <c r="C2472" s="20" t="n">
        <f aca="false">ROUND(2.72/FX,2)</f>
        <v>0.38</v>
      </c>
      <c r="D2472" s="21" t="s">
        <v>2911</v>
      </c>
      <c r="E2472" s="21" t="s">
        <v>29741</v>
      </c>
      <c r="F2472" s="21" t="s">
        <v>13774</v>
      </c>
    </row>
    <row r="2473" customFormat="false" ht="15" hidden="false" customHeight="false" outlineLevel="0" collapsed="false">
      <c r="B2473" s="19" t="s">
        <v>30931</v>
      </c>
      <c r="C2473" s="20" t="n">
        <f aca="false">ROUND(2.84/FX,2)</f>
        <v>0.39</v>
      </c>
      <c r="D2473" s="21" t="s">
        <v>7275</v>
      </c>
      <c r="E2473" s="21" t="s">
        <v>29741</v>
      </c>
      <c r="F2473" s="21" t="s">
        <v>13774</v>
      </c>
    </row>
    <row r="2474" customFormat="false" ht="15" hidden="false" customHeight="false" outlineLevel="0" collapsed="false">
      <c r="B2474" s="19" t="s">
        <v>30932</v>
      </c>
      <c r="C2474" s="20" t="n">
        <f aca="false">ROUND(2.97/FX,2)</f>
        <v>0.41</v>
      </c>
      <c r="D2474" s="21" t="s">
        <v>2961</v>
      </c>
      <c r="E2474" s="21" t="s">
        <v>29741</v>
      </c>
      <c r="F2474" s="21" t="s">
        <v>13774</v>
      </c>
    </row>
    <row r="2475" customFormat="false" ht="15" hidden="false" customHeight="false" outlineLevel="0" collapsed="false">
      <c r="B2475" s="19" t="s">
        <v>30933</v>
      </c>
      <c r="C2475" s="20" t="n">
        <f aca="false">ROUND(3.2/FX,2)</f>
        <v>0.44</v>
      </c>
      <c r="D2475" s="21" t="s">
        <v>13817</v>
      </c>
      <c r="E2475" s="21" t="s">
        <v>29741</v>
      </c>
      <c r="F2475" s="21" t="s">
        <v>13774</v>
      </c>
    </row>
    <row r="2476" customFormat="false" ht="15" hidden="false" customHeight="false" outlineLevel="0" collapsed="false">
      <c r="B2476" s="19" t="s">
        <v>30934</v>
      </c>
      <c r="C2476" s="20" t="n">
        <f aca="false">ROUND(3.3/FX,2)</f>
        <v>0.46</v>
      </c>
      <c r="D2476" s="21" t="s">
        <v>3011</v>
      </c>
      <c r="E2476" s="21" t="s">
        <v>29741</v>
      </c>
      <c r="F2476" s="21" t="s">
        <v>13774</v>
      </c>
    </row>
    <row r="2477" customFormat="false" ht="15" hidden="false" customHeight="false" outlineLevel="0" collapsed="false">
      <c r="B2477" s="19" t="s">
        <v>30935</v>
      </c>
      <c r="C2477" s="20" t="n">
        <f aca="false">ROUND(3.43/FX,2)</f>
        <v>0.48</v>
      </c>
      <c r="D2477" s="21" t="s">
        <v>7396</v>
      </c>
      <c r="E2477" s="21" t="s">
        <v>29741</v>
      </c>
      <c r="F2477" s="21" t="s">
        <v>13774</v>
      </c>
    </row>
    <row r="2478" customFormat="false" ht="15" hidden="false" customHeight="false" outlineLevel="0" collapsed="false">
      <c r="B2478" s="19" t="s">
        <v>30936</v>
      </c>
      <c r="C2478" s="20" t="n">
        <f aca="false">ROUND(3.54/FX,2)</f>
        <v>0.49</v>
      </c>
      <c r="D2478" s="21" t="s">
        <v>3061</v>
      </c>
      <c r="E2478" s="21" t="s">
        <v>29741</v>
      </c>
      <c r="F2478" s="21" t="s">
        <v>13774</v>
      </c>
    </row>
    <row r="2479" customFormat="false" ht="15" hidden="false" customHeight="false" outlineLevel="0" collapsed="false">
      <c r="B2479" s="19" t="s">
        <v>30937</v>
      </c>
      <c r="C2479" s="20" t="n">
        <f aca="false">ROUND(3.67/FX,2)</f>
        <v>0.51</v>
      </c>
      <c r="D2479" s="21" t="s">
        <v>11870</v>
      </c>
      <c r="E2479" s="21" t="s">
        <v>29741</v>
      </c>
      <c r="F2479" s="21" t="s">
        <v>13774</v>
      </c>
    </row>
    <row r="2480" customFormat="false" ht="15" hidden="false" customHeight="false" outlineLevel="0" collapsed="false">
      <c r="B2480" s="19" t="s">
        <v>30938</v>
      </c>
      <c r="C2480" s="20" t="n">
        <f aca="false">ROUND(3.77/FX,2)</f>
        <v>0.52</v>
      </c>
      <c r="D2480" s="21" t="s">
        <v>3111</v>
      </c>
      <c r="E2480" s="21" t="s">
        <v>29741</v>
      </c>
      <c r="F2480" s="21" t="s">
        <v>13774</v>
      </c>
    </row>
    <row r="2481" customFormat="false" ht="15" hidden="false" customHeight="false" outlineLevel="0" collapsed="false">
      <c r="B2481" s="19" t="s">
        <v>30939</v>
      </c>
      <c r="C2481" s="20" t="n">
        <f aca="false">ROUND(4.02/FX,2)</f>
        <v>0.56</v>
      </c>
      <c r="D2481" s="21" t="s">
        <v>12306</v>
      </c>
      <c r="E2481" s="21" t="s">
        <v>29741</v>
      </c>
      <c r="F2481" s="21" t="s">
        <v>13774</v>
      </c>
    </row>
    <row r="2482" customFormat="false" ht="15" hidden="false" customHeight="false" outlineLevel="0" collapsed="false">
      <c r="B2482" s="19" t="s">
        <v>30940</v>
      </c>
      <c r="C2482" s="20" t="n">
        <f aca="false">ROUND(4/FX,2)</f>
        <v>0.56</v>
      </c>
      <c r="D2482" s="21" t="s">
        <v>2600</v>
      </c>
      <c r="E2482" s="21" t="s">
        <v>714</v>
      </c>
      <c r="F2482" s="21" t="s">
        <v>784</v>
      </c>
    </row>
    <row r="2483" customFormat="false" ht="15" hidden="false" customHeight="false" outlineLevel="0" collapsed="false">
      <c r="B2483" s="19" t="s">
        <v>30941</v>
      </c>
      <c r="C2483" s="20" t="n">
        <f aca="false">ROUND(4.36/FX,2)</f>
        <v>0.61</v>
      </c>
      <c r="D2483" s="21" t="s">
        <v>2651</v>
      </c>
      <c r="E2483" s="21" t="s">
        <v>714</v>
      </c>
      <c r="F2483" s="21" t="s">
        <v>784</v>
      </c>
    </row>
    <row r="2484" customFormat="false" ht="15" hidden="false" customHeight="false" outlineLevel="0" collapsed="false">
      <c r="B2484" s="19" t="s">
        <v>30942</v>
      </c>
      <c r="C2484" s="20" t="n">
        <f aca="false">ROUND(4.36/FX,2)</f>
        <v>0.61</v>
      </c>
      <c r="D2484" s="21" t="s">
        <v>11968</v>
      </c>
      <c r="E2484" s="21" t="s">
        <v>714</v>
      </c>
      <c r="F2484" s="21" t="s">
        <v>784</v>
      </c>
    </row>
    <row r="2485" customFormat="false" ht="15" hidden="false" customHeight="false" outlineLevel="0" collapsed="false">
      <c r="B2485" s="19" t="s">
        <v>30943</v>
      </c>
      <c r="C2485" s="20" t="n">
        <f aca="false">ROUND(4.59/FX,2)</f>
        <v>0.64</v>
      </c>
      <c r="D2485" s="21" t="s">
        <v>2851</v>
      </c>
      <c r="E2485" s="21" t="s">
        <v>714</v>
      </c>
      <c r="F2485" s="21" t="s">
        <v>784</v>
      </c>
    </row>
    <row r="2486" customFormat="false" ht="15" hidden="false" customHeight="false" outlineLevel="0" collapsed="false">
      <c r="B2486" s="19" t="s">
        <v>30944</v>
      </c>
      <c r="C2486" s="20" t="n">
        <f aca="false">ROUND(4.7/FX,2)</f>
        <v>0.65</v>
      </c>
      <c r="D2486" s="21" t="s">
        <v>6497</v>
      </c>
      <c r="E2486" s="21" t="s">
        <v>714</v>
      </c>
      <c r="F2486" s="21" t="s">
        <v>784</v>
      </c>
    </row>
    <row r="2487" customFormat="false" ht="15" hidden="false" customHeight="false" outlineLevel="0" collapsed="false">
      <c r="B2487" s="19" t="s">
        <v>30945</v>
      </c>
      <c r="C2487" s="20" t="n">
        <f aca="false">ROUND(4.94/FX,2)</f>
        <v>0.69</v>
      </c>
      <c r="D2487" s="21" t="s">
        <v>1048</v>
      </c>
      <c r="E2487" s="21" t="s">
        <v>714</v>
      </c>
      <c r="F2487" s="21" t="s">
        <v>784</v>
      </c>
    </row>
    <row r="2488" customFormat="false" ht="15" hidden="false" customHeight="false" outlineLevel="0" collapsed="false">
      <c r="B2488" s="19" t="s">
        <v>30946</v>
      </c>
      <c r="C2488" s="20" t="n">
        <f aca="false">ROUND(2.47/FX,2)</f>
        <v>0.34</v>
      </c>
      <c r="D2488" s="21" t="s">
        <v>3317</v>
      </c>
      <c r="E2488" s="21" t="s">
        <v>714</v>
      </c>
      <c r="F2488" s="21" t="s">
        <v>784</v>
      </c>
    </row>
    <row r="2489" customFormat="false" ht="15" hidden="false" customHeight="false" outlineLevel="0" collapsed="false">
      <c r="B2489" s="19" t="s">
        <v>30947</v>
      </c>
      <c r="C2489" s="20" t="n">
        <f aca="false">ROUND(2.47/FX,2)</f>
        <v>0.34</v>
      </c>
      <c r="D2489" s="21" t="s">
        <v>784</v>
      </c>
      <c r="E2489" s="21" t="s">
        <v>714</v>
      </c>
      <c r="F2489" s="21" t="s">
        <v>784</v>
      </c>
    </row>
    <row r="2490" customFormat="false" ht="15" hidden="false" customHeight="false" outlineLevel="0" collapsed="false">
      <c r="B2490" s="19" t="s">
        <v>30948</v>
      </c>
      <c r="C2490" s="20" t="n">
        <f aca="false">ROUND(13.15/FX,2)</f>
        <v>1.83</v>
      </c>
      <c r="D2490" s="21" t="s">
        <v>1520</v>
      </c>
      <c r="E2490" s="21" t="s">
        <v>714</v>
      </c>
      <c r="F2490" s="21" t="s">
        <v>784</v>
      </c>
    </row>
    <row r="2491" customFormat="false" ht="15" hidden="false" customHeight="false" outlineLevel="0" collapsed="false">
      <c r="B2491" s="19" t="s">
        <v>30949</v>
      </c>
      <c r="C2491" s="20" t="n">
        <f aca="false">ROUND(2.59/FX,2)</f>
        <v>0.36</v>
      </c>
      <c r="D2491" s="21" t="s">
        <v>3328</v>
      </c>
      <c r="E2491" s="21" t="s">
        <v>714</v>
      </c>
      <c r="F2491" s="21" t="s">
        <v>784</v>
      </c>
    </row>
    <row r="2492" customFormat="false" ht="15" hidden="false" customHeight="false" outlineLevel="0" collapsed="false">
      <c r="B2492" s="19" t="s">
        <v>30950</v>
      </c>
      <c r="C2492" s="20" t="n">
        <f aca="false">ROUND(2.72/FX,2)</f>
        <v>0.38</v>
      </c>
      <c r="D2492" s="21" t="s">
        <v>6246</v>
      </c>
      <c r="E2492" s="21" t="s">
        <v>714</v>
      </c>
      <c r="F2492" s="21" t="s">
        <v>784</v>
      </c>
    </row>
    <row r="2493" customFormat="false" ht="15" hidden="false" customHeight="false" outlineLevel="0" collapsed="false">
      <c r="B2493" s="19" t="s">
        <v>30951</v>
      </c>
      <c r="C2493" s="20" t="n">
        <f aca="false">ROUND(2.82/FX,2)</f>
        <v>0.39</v>
      </c>
      <c r="D2493" s="21" t="s">
        <v>7358</v>
      </c>
      <c r="E2493" s="21" t="s">
        <v>714</v>
      </c>
      <c r="F2493" s="21" t="s">
        <v>784</v>
      </c>
    </row>
    <row r="2494" customFormat="false" ht="15" hidden="false" customHeight="false" outlineLevel="0" collapsed="false">
      <c r="B2494" s="19" t="s">
        <v>30952</v>
      </c>
      <c r="C2494" s="20" t="n">
        <f aca="false">ROUND(2.95/FX,2)</f>
        <v>0.41</v>
      </c>
      <c r="D2494" s="21" t="s">
        <v>2911</v>
      </c>
      <c r="E2494" s="21" t="s">
        <v>714</v>
      </c>
      <c r="F2494" s="21" t="s">
        <v>784</v>
      </c>
    </row>
    <row r="2495" customFormat="false" ht="15" hidden="false" customHeight="false" outlineLevel="0" collapsed="false">
      <c r="B2495" s="19" t="s">
        <v>30953</v>
      </c>
      <c r="C2495" s="20" t="n">
        <f aca="false">ROUND(3.06/FX,2)</f>
        <v>0.43</v>
      </c>
      <c r="D2495" s="21" t="s">
        <v>7275</v>
      </c>
      <c r="E2495" s="21" t="s">
        <v>714</v>
      </c>
      <c r="F2495" s="21" t="s">
        <v>784</v>
      </c>
    </row>
    <row r="2496" customFormat="false" ht="15" hidden="false" customHeight="false" outlineLevel="0" collapsed="false">
      <c r="B2496" s="19" t="s">
        <v>30954</v>
      </c>
      <c r="C2496" s="20" t="n">
        <f aca="false">ROUND(3.19/FX,2)</f>
        <v>0.44</v>
      </c>
      <c r="D2496" s="21" t="s">
        <v>2961</v>
      </c>
      <c r="E2496" s="21" t="s">
        <v>714</v>
      </c>
      <c r="F2496" s="21" t="s">
        <v>784</v>
      </c>
    </row>
    <row r="2497" customFormat="false" ht="15" hidden="false" customHeight="false" outlineLevel="0" collapsed="false">
      <c r="B2497" s="19" t="s">
        <v>30955</v>
      </c>
      <c r="C2497" s="20" t="n">
        <f aca="false">ROUND(3.19/FX,2)</f>
        <v>0.44</v>
      </c>
      <c r="D2497" s="21" t="s">
        <v>13817</v>
      </c>
      <c r="E2497" s="21" t="s">
        <v>714</v>
      </c>
      <c r="F2497" s="21" t="s">
        <v>784</v>
      </c>
    </row>
    <row r="2498" customFormat="false" ht="15" hidden="false" customHeight="false" outlineLevel="0" collapsed="false">
      <c r="B2498" s="19" t="s">
        <v>30956</v>
      </c>
      <c r="C2498" s="20" t="n">
        <f aca="false">ROUND(3.29/FX,2)</f>
        <v>0.46</v>
      </c>
      <c r="D2498" s="21" t="s">
        <v>3011</v>
      </c>
      <c r="E2498" s="21" t="s">
        <v>714</v>
      </c>
      <c r="F2498" s="21" t="s">
        <v>784</v>
      </c>
    </row>
    <row r="2499" customFormat="false" ht="15" hidden="false" customHeight="false" outlineLevel="0" collapsed="false">
      <c r="B2499" s="19" t="s">
        <v>30957</v>
      </c>
      <c r="C2499" s="20" t="n">
        <f aca="false">ROUND(3.42/FX,2)</f>
        <v>0.48</v>
      </c>
      <c r="D2499" s="21" t="s">
        <v>7396</v>
      </c>
      <c r="E2499" s="21" t="s">
        <v>714</v>
      </c>
      <c r="F2499" s="21" t="s">
        <v>784</v>
      </c>
    </row>
    <row r="2500" customFormat="false" ht="15" hidden="false" customHeight="false" outlineLevel="0" collapsed="false">
      <c r="B2500" s="19" t="s">
        <v>30958</v>
      </c>
      <c r="C2500" s="20" t="n">
        <f aca="false">ROUND(3.52/FX,2)</f>
        <v>0.49</v>
      </c>
      <c r="D2500" s="21" t="s">
        <v>3061</v>
      </c>
      <c r="E2500" s="21" t="s">
        <v>714</v>
      </c>
      <c r="F2500" s="21" t="s">
        <v>784</v>
      </c>
    </row>
    <row r="2501" customFormat="false" ht="15" hidden="false" customHeight="false" outlineLevel="0" collapsed="false">
      <c r="B2501" s="19" t="s">
        <v>30959</v>
      </c>
      <c r="C2501" s="20" t="n">
        <f aca="false">ROUND(3.76/FX,2)</f>
        <v>0.52</v>
      </c>
      <c r="D2501" s="21" t="s">
        <v>11870</v>
      </c>
      <c r="E2501" s="21" t="s">
        <v>714</v>
      </c>
      <c r="F2501" s="21" t="s">
        <v>784</v>
      </c>
    </row>
    <row r="2502" customFormat="false" ht="15" hidden="false" customHeight="false" outlineLevel="0" collapsed="false">
      <c r="B2502" s="19" t="s">
        <v>30960</v>
      </c>
      <c r="C2502" s="20" t="n">
        <f aca="false">ROUND(3.76/FX,2)</f>
        <v>0.52</v>
      </c>
      <c r="D2502" s="21" t="s">
        <v>3111</v>
      </c>
      <c r="E2502" s="21" t="s">
        <v>714</v>
      </c>
      <c r="F2502" s="21" t="s">
        <v>784</v>
      </c>
    </row>
    <row r="2503" customFormat="false" ht="15" hidden="false" customHeight="false" outlineLevel="0" collapsed="false">
      <c r="B2503" s="19" t="s">
        <v>30961</v>
      </c>
      <c r="C2503" s="20" t="n">
        <f aca="false">ROUND(4/FX,2)</f>
        <v>0.56</v>
      </c>
      <c r="D2503" s="21" t="s">
        <v>12306</v>
      </c>
      <c r="E2503" s="21" t="s">
        <v>714</v>
      </c>
      <c r="F2503" s="21" t="s">
        <v>784</v>
      </c>
    </row>
    <row r="2504" customFormat="false" ht="15" hidden="false" customHeight="false" outlineLevel="0" collapsed="false">
      <c r="B2504" s="19" t="s">
        <v>30962</v>
      </c>
      <c r="C2504" s="20" t="n">
        <f aca="false">ROUND(5.57/FX,2)</f>
        <v>0.77</v>
      </c>
      <c r="D2504" s="21" t="s">
        <v>2600</v>
      </c>
      <c r="E2504" s="21" t="s">
        <v>29787</v>
      </c>
      <c r="F2504" s="21" t="s">
        <v>3328</v>
      </c>
    </row>
    <row r="2505" customFormat="false" ht="15" hidden="false" customHeight="false" outlineLevel="0" collapsed="false">
      <c r="B2505" s="19" t="s">
        <v>30963</v>
      </c>
      <c r="C2505" s="20" t="n">
        <f aca="false">ROUND(6.23/FX,2)</f>
        <v>0.87</v>
      </c>
      <c r="D2505" s="21" t="s">
        <v>2651</v>
      </c>
      <c r="E2505" s="21" t="s">
        <v>29787</v>
      </c>
      <c r="F2505" s="21" t="s">
        <v>3328</v>
      </c>
    </row>
    <row r="2506" customFormat="false" ht="15" hidden="false" customHeight="false" outlineLevel="0" collapsed="false">
      <c r="B2506" s="19" t="s">
        <v>30964</v>
      </c>
      <c r="C2506" s="20" t="n">
        <f aca="false">ROUND(6.23/FX,2)</f>
        <v>0.87</v>
      </c>
      <c r="D2506" s="21" t="s">
        <v>2701</v>
      </c>
      <c r="E2506" s="21" t="s">
        <v>29787</v>
      </c>
      <c r="F2506" s="21" t="s">
        <v>3328</v>
      </c>
    </row>
    <row r="2507" customFormat="false" ht="15" hidden="false" customHeight="false" outlineLevel="0" collapsed="false">
      <c r="B2507" s="19" t="s">
        <v>30965</v>
      </c>
      <c r="C2507" s="20" t="n">
        <f aca="false">ROUND(6.23/FX,2)</f>
        <v>0.87</v>
      </c>
      <c r="D2507" s="21" t="s">
        <v>11968</v>
      </c>
      <c r="E2507" s="21" t="s">
        <v>29787</v>
      </c>
      <c r="F2507" s="21" t="s">
        <v>3328</v>
      </c>
    </row>
    <row r="2508" customFormat="false" ht="15" hidden="false" customHeight="false" outlineLevel="0" collapsed="false">
      <c r="B2508" s="19" t="s">
        <v>30966</v>
      </c>
      <c r="C2508" s="20" t="n">
        <f aca="false">ROUND(7.05/FX,2)</f>
        <v>0.98</v>
      </c>
      <c r="D2508" s="21" t="s">
        <v>2851</v>
      </c>
      <c r="E2508" s="21" t="s">
        <v>29787</v>
      </c>
      <c r="F2508" s="21" t="s">
        <v>3328</v>
      </c>
    </row>
    <row r="2509" customFormat="false" ht="15" hidden="false" customHeight="false" outlineLevel="0" collapsed="false">
      <c r="B2509" s="19" t="s">
        <v>30967</v>
      </c>
      <c r="C2509" s="20" t="n">
        <f aca="false">ROUND(8.22/FX,2)</f>
        <v>1.14</v>
      </c>
      <c r="D2509" s="21" t="s">
        <v>6497</v>
      </c>
      <c r="E2509" s="21" t="s">
        <v>29787</v>
      </c>
      <c r="F2509" s="21" t="s">
        <v>3328</v>
      </c>
    </row>
    <row r="2510" customFormat="false" ht="15" hidden="false" customHeight="false" outlineLevel="0" collapsed="false">
      <c r="B2510" s="19" t="s">
        <v>30968</v>
      </c>
      <c r="C2510" s="20" t="n">
        <f aca="false">ROUND(8.82/FX,2)</f>
        <v>1.23</v>
      </c>
      <c r="D2510" s="21" t="s">
        <v>1048</v>
      </c>
      <c r="E2510" s="21" t="s">
        <v>29787</v>
      </c>
      <c r="F2510" s="21" t="s">
        <v>3328</v>
      </c>
    </row>
    <row r="2511" customFormat="false" ht="15" hidden="false" customHeight="false" outlineLevel="0" collapsed="false">
      <c r="B2511" s="19" t="s">
        <v>30969</v>
      </c>
      <c r="C2511" s="20" t="n">
        <f aca="false">ROUND(15.03/FX,2)</f>
        <v>2.09</v>
      </c>
      <c r="D2511" s="21" t="s">
        <v>1520</v>
      </c>
      <c r="E2511" s="21" t="s">
        <v>29787</v>
      </c>
      <c r="F2511" s="21" t="s">
        <v>3328</v>
      </c>
    </row>
    <row r="2512" customFormat="false" ht="15" hidden="false" customHeight="false" outlineLevel="0" collapsed="false">
      <c r="B2512" s="19" t="s">
        <v>30970</v>
      </c>
      <c r="C2512" s="20" t="n">
        <f aca="false">ROUND(2.82/FX,2)</f>
        <v>0.39</v>
      </c>
      <c r="D2512" s="21" t="s">
        <v>3328</v>
      </c>
      <c r="E2512" s="21" t="s">
        <v>29787</v>
      </c>
      <c r="F2512" s="21" t="s">
        <v>3328</v>
      </c>
    </row>
    <row r="2513" customFormat="false" ht="15" hidden="false" customHeight="false" outlineLevel="0" collapsed="false">
      <c r="B2513" s="19" t="s">
        <v>30971</v>
      </c>
      <c r="C2513" s="20" t="n">
        <f aca="false">ROUND(2.95/FX,2)</f>
        <v>0.41</v>
      </c>
      <c r="D2513" s="21" t="s">
        <v>6246</v>
      </c>
      <c r="E2513" s="21" t="s">
        <v>29787</v>
      </c>
      <c r="F2513" s="21" t="s">
        <v>3328</v>
      </c>
    </row>
    <row r="2514" customFormat="false" ht="15" hidden="false" customHeight="false" outlineLevel="0" collapsed="false">
      <c r="B2514" s="19" t="s">
        <v>30972</v>
      </c>
      <c r="C2514" s="20" t="n">
        <f aca="false">ROUND(3.06/FX,2)</f>
        <v>0.43</v>
      </c>
      <c r="D2514" s="21" t="s">
        <v>7358</v>
      </c>
      <c r="E2514" s="21" t="s">
        <v>29787</v>
      </c>
      <c r="F2514" s="21" t="s">
        <v>3328</v>
      </c>
    </row>
    <row r="2515" customFormat="false" ht="15" hidden="false" customHeight="false" outlineLevel="0" collapsed="false">
      <c r="B2515" s="19" t="s">
        <v>30973</v>
      </c>
      <c r="C2515" s="20" t="n">
        <f aca="false">ROUND(3.19/FX,2)</f>
        <v>0.44</v>
      </c>
      <c r="D2515" s="21" t="s">
        <v>2911</v>
      </c>
      <c r="E2515" s="21" t="s">
        <v>29787</v>
      </c>
      <c r="F2515" s="21" t="s">
        <v>3328</v>
      </c>
    </row>
    <row r="2516" customFormat="false" ht="15" hidden="false" customHeight="false" outlineLevel="0" collapsed="false">
      <c r="B2516" s="19" t="s">
        <v>30974</v>
      </c>
      <c r="C2516" s="20" t="n">
        <f aca="false">ROUND(3.29/FX,2)</f>
        <v>0.46</v>
      </c>
      <c r="D2516" s="21" t="s">
        <v>7275</v>
      </c>
      <c r="E2516" s="21" t="s">
        <v>29787</v>
      </c>
      <c r="F2516" s="21" t="s">
        <v>3328</v>
      </c>
    </row>
    <row r="2517" customFormat="false" ht="15" hidden="false" customHeight="false" outlineLevel="0" collapsed="false">
      <c r="B2517" s="19" t="s">
        <v>30975</v>
      </c>
      <c r="C2517" s="20" t="n">
        <f aca="false">ROUND(3.42/FX,2)</f>
        <v>0.48</v>
      </c>
      <c r="D2517" s="21" t="s">
        <v>2961</v>
      </c>
      <c r="E2517" s="21" t="s">
        <v>29787</v>
      </c>
      <c r="F2517" s="21" t="s">
        <v>3328</v>
      </c>
    </row>
    <row r="2518" customFormat="false" ht="15" hidden="false" customHeight="false" outlineLevel="0" collapsed="false">
      <c r="B2518" s="19" t="s">
        <v>30976</v>
      </c>
      <c r="C2518" s="20" t="n">
        <f aca="false">ROUND(3.66/FX,2)</f>
        <v>0.51</v>
      </c>
      <c r="D2518" s="21" t="s">
        <v>13817</v>
      </c>
      <c r="E2518" s="21" t="s">
        <v>29787</v>
      </c>
      <c r="F2518" s="21" t="s">
        <v>3328</v>
      </c>
    </row>
    <row r="2519" customFormat="false" ht="15" hidden="false" customHeight="false" outlineLevel="0" collapsed="false">
      <c r="B2519" s="19" t="s">
        <v>30977</v>
      </c>
      <c r="C2519" s="20" t="n">
        <f aca="false">ROUND(3.76/FX,2)</f>
        <v>0.52</v>
      </c>
      <c r="D2519" s="21" t="s">
        <v>3011</v>
      </c>
      <c r="E2519" s="21" t="s">
        <v>29787</v>
      </c>
      <c r="F2519" s="21" t="s">
        <v>3328</v>
      </c>
    </row>
    <row r="2520" customFormat="false" ht="15" hidden="false" customHeight="false" outlineLevel="0" collapsed="false">
      <c r="B2520" s="19" t="s">
        <v>30978</v>
      </c>
      <c r="C2520" s="20" t="n">
        <f aca="false">ROUND(4/FX,2)</f>
        <v>0.56</v>
      </c>
      <c r="D2520" s="21" t="s">
        <v>7396</v>
      </c>
      <c r="E2520" s="21" t="s">
        <v>29787</v>
      </c>
      <c r="F2520" s="21" t="s">
        <v>3328</v>
      </c>
    </row>
    <row r="2521" customFormat="false" ht="15" hidden="false" customHeight="false" outlineLevel="0" collapsed="false">
      <c r="B2521" s="19" t="s">
        <v>30979</v>
      </c>
      <c r="C2521" s="20" t="n">
        <f aca="false">ROUND(4.36/FX,2)</f>
        <v>0.61</v>
      </c>
      <c r="D2521" s="21" t="s">
        <v>3061</v>
      </c>
      <c r="E2521" s="21" t="s">
        <v>29787</v>
      </c>
      <c r="F2521" s="21" t="s">
        <v>3328</v>
      </c>
    </row>
    <row r="2522" customFormat="false" ht="15" hidden="false" customHeight="false" outlineLevel="0" collapsed="false">
      <c r="B2522" s="19" t="s">
        <v>30980</v>
      </c>
      <c r="C2522" s="20" t="n">
        <f aca="false">ROUND(4.59/FX,2)</f>
        <v>0.64</v>
      </c>
      <c r="D2522" s="21" t="s">
        <v>11870</v>
      </c>
      <c r="E2522" s="21" t="s">
        <v>29787</v>
      </c>
      <c r="F2522" s="21" t="s">
        <v>3328</v>
      </c>
    </row>
    <row r="2523" customFormat="false" ht="15" hidden="false" customHeight="false" outlineLevel="0" collapsed="false">
      <c r="B2523" s="19" t="s">
        <v>30981</v>
      </c>
      <c r="C2523" s="20" t="n">
        <f aca="false">ROUND(4.83/FX,2)</f>
        <v>0.67</v>
      </c>
      <c r="D2523" s="21" t="s">
        <v>3111</v>
      </c>
      <c r="E2523" s="21" t="s">
        <v>29787</v>
      </c>
      <c r="F2523" s="21" t="s">
        <v>3328</v>
      </c>
    </row>
    <row r="2524" customFormat="false" ht="15" hidden="false" customHeight="false" outlineLevel="0" collapsed="false">
      <c r="B2524" s="19" t="s">
        <v>30982</v>
      </c>
      <c r="C2524" s="20" t="n">
        <f aca="false">ROUND(5.29/FX,2)</f>
        <v>0.73</v>
      </c>
      <c r="D2524" s="21" t="s">
        <v>12306</v>
      </c>
      <c r="E2524" s="21" t="s">
        <v>29787</v>
      </c>
      <c r="F2524" s="21" t="s">
        <v>3328</v>
      </c>
    </row>
    <row r="2525" customFormat="false" ht="15" hidden="false" customHeight="false" outlineLevel="0" collapsed="false">
      <c r="B2525" s="19" t="s">
        <v>30983</v>
      </c>
      <c r="C2525" s="20" t="n">
        <f aca="false">ROUND(6.46/FX,2)</f>
        <v>0.9</v>
      </c>
      <c r="D2525" s="21" t="s">
        <v>2600</v>
      </c>
      <c r="E2525" s="21" t="s">
        <v>3247</v>
      </c>
      <c r="F2525" s="21" t="s">
        <v>6246</v>
      </c>
    </row>
    <row r="2526" customFormat="false" ht="15" hidden="false" customHeight="false" outlineLevel="0" collapsed="false">
      <c r="B2526" s="19" t="s">
        <v>30984</v>
      </c>
      <c r="C2526" s="20" t="n">
        <f aca="false">ROUND(8/FX,2)</f>
        <v>1.11</v>
      </c>
      <c r="D2526" s="21" t="s">
        <v>2651</v>
      </c>
      <c r="E2526" s="21" t="s">
        <v>3247</v>
      </c>
      <c r="F2526" s="21" t="s">
        <v>6246</v>
      </c>
    </row>
    <row r="2527" customFormat="false" ht="15" hidden="false" customHeight="false" outlineLevel="0" collapsed="false">
      <c r="B2527" s="19" t="s">
        <v>30985</v>
      </c>
      <c r="C2527" s="20" t="n">
        <f aca="false">ROUND(8/FX,2)</f>
        <v>1.11</v>
      </c>
      <c r="D2527" s="21" t="s">
        <v>2701</v>
      </c>
      <c r="E2527" s="21" t="s">
        <v>3247</v>
      </c>
      <c r="F2527" s="21" t="s">
        <v>6246</v>
      </c>
    </row>
    <row r="2528" customFormat="false" ht="15" hidden="false" customHeight="false" outlineLevel="0" collapsed="false">
      <c r="B2528" s="19" t="s">
        <v>30986</v>
      </c>
      <c r="C2528" s="20" t="n">
        <f aca="false">ROUND(8/FX,2)</f>
        <v>1.11</v>
      </c>
      <c r="D2528" s="21" t="s">
        <v>11968</v>
      </c>
      <c r="E2528" s="21" t="s">
        <v>3247</v>
      </c>
      <c r="F2528" s="21" t="s">
        <v>6246</v>
      </c>
    </row>
    <row r="2529" customFormat="false" ht="15" hidden="false" customHeight="false" outlineLevel="0" collapsed="false">
      <c r="B2529" s="19" t="s">
        <v>30987</v>
      </c>
      <c r="C2529" s="20" t="n">
        <f aca="false">ROUND(10.64/FX,2)</f>
        <v>1.48</v>
      </c>
      <c r="D2529" s="21" t="s">
        <v>2751</v>
      </c>
      <c r="E2529" s="21" t="s">
        <v>3247</v>
      </c>
      <c r="F2529" s="21" t="s">
        <v>6246</v>
      </c>
    </row>
    <row r="2530" customFormat="false" ht="15" hidden="false" customHeight="false" outlineLevel="0" collapsed="false">
      <c r="B2530" s="19" t="s">
        <v>30988</v>
      </c>
      <c r="C2530" s="20" t="n">
        <f aca="false">ROUND(10.64/FX,2)</f>
        <v>1.48</v>
      </c>
      <c r="D2530" s="21" t="s">
        <v>2801</v>
      </c>
      <c r="E2530" s="21" t="s">
        <v>3247</v>
      </c>
      <c r="F2530" s="21" t="s">
        <v>6246</v>
      </c>
    </row>
    <row r="2531" customFormat="false" ht="15" hidden="false" customHeight="false" outlineLevel="0" collapsed="false">
      <c r="B2531" s="19" t="s">
        <v>30989</v>
      </c>
      <c r="C2531" s="20" t="n">
        <f aca="false">ROUND(9.64/FX,2)</f>
        <v>1.34</v>
      </c>
      <c r="D2531" s="21" t="s">
        <v>2851</v>
      </c>
      <c r="E2531" s="21" t="s">
        <v>3247</v>
      </c>
      <c r="F2531" s="21" t="s">
        <v>6246</v>
      </c>
    </row>
    <row r="2532" customFormat="false" ht="15" hidden="false" customHeight="false" outlineLevel="0" collapsed="false">
      <c r="B2532" s="19" t="s">
        <v>30990</v>
      </c>
      <c r="C2532" s="20" t="n">
        <f aca="false">ROUND(9.64/FX,2)</f>
        <v>1.34</v>
      </c>
      <c r="D2532" s="21" t="s">
        <v>6497</v>
      </c>
      <c r="E2532" s="21" t="s">
        <v>3247</v>
      </c>
      <c r="F2532" s="21" t="s">
        <v>6246</v>
      </c>
    </row>
    <row r="2533" customFormat="false" ht="15" hidden="false" customHeight="false" outlineLevel="0" collapsed="false">
      <c r="B2533" s="19" t="s">
        <v>30991</v>
      </c>
      <c r="C2533" s="20" t="n">
        <f aca="false">ROUND(12.34/FX,2)</f>
        <v>1.71</v>
      </c>
      <c r="D2533" s="21" t="s">
        <v>1048</v>
      </c>
      <c r="E2533" s="21" t="s">
        <v>3247</v>
      </c>
      <c r="F2533" s="21" t="s">
        <v>6246</v>
      </c>
    </row>
    <row r="2534" customFormat="false" ht="15" hidden="false" customHeight="false" outlineLevel="0" collapsed="false">
      <c r="B2534" s="19" t="s">
        <v>30992</v>
      </c>
      <c r="C2534" s="20" t="n">
        <f aca="false">ROUND(15.33/FX,2)</f>
        <v>2.13</v>
      </c>
      <c r="D2534" s="21" t="s">
        <v>3991</v>
      </c>
      <c r="E2534" s="21" t="s">
        <v>3247</v>
      </c>
      <c r="F2534" s="21" t="s">
        <v>6246</v>
      </c>
    </row>
    <row r="2535" customFormat="false" ht="15" hidden="false" customHeight="false" outlineLevel="0" collapsed="false">
      <c r="B2535" s="19" t="s">
        <v>30993</v>
      </c>
      <c r="C2535" s="20" t="n">
        <f aca="false">ROUND(13.51/FX,2)</f>
        <v>1.88</v>
      </c>
      <c r="D2535" s="21" t="s">
        <v>1323</v>
      </c>
      <c r="E2535" s="21" t="s">
        <v>3247</v>
      </c>
      <c r="F2535" s="21" t="s">
        <v>6246</v>
      </c>
    </row>
    <row r="2536" customFormat="false" ht="15" hidden="false" customHeight="false" outlineLevel="0" collapsed="false">
      <c r="B2536" s="19" t="s">
        <v>30994</v>
      </c>
      <c r="C2536" s="20" t="n">
        <f aca="false">ROUND(21.23/FX,2)</f>
        <v>2.95</v>
      </c>
      <c r="D2536" s="21" t="s">
        <v>4883</v>
      </c>
      <c r="E2536" s="21" t="s">
        <v>3247</v>
      </c>
      <c r="F2536" s="21" t="s">
        <v>6246</v>
      </c>
    </row>
    <row r="2537" customFormat="false" ht="15" hidden="false" customHeight="false" outlineLevel="0" collapsed="false">
      <c r="B2537" s="19" t="s">
        <v>30995</v>
      </c>
      <c r="C2537" s="20" t="n">
        <f aca="false">ROUND(17.84/FX,2)</f>
        <v>2.48</v>
      </c>
      <c r="D2537" s="21" t="s">
        <v>1520</v>
      </c>
      <c r="E2537" s="21" t="s">
        <v>3247</v>
      </c>
      <c r="F2537" s="21" t="s">
        <v>6246</v>
      </c>
    </row>
    <row r="2538" customFormat="false" ht="15" hidden="false" customHeight="false" outlineLevel="0" collapsed="false">
      <c r="B2538" s="19" t="s">
        <v>30996</v>
      </c>
      <c r="C2538" s="20" t="n">
        <f aca="false">ROUND(4.81/FX,2)</f>
        <v>0.67</v>
      </c>
      <c r="D2538" s="21" t="s">
        <v>6246</v>
      </c>
      <c r="E2538" s="21" t="s">
        <v>3247</v>
      </c>
      <c r="F2538" s="21" t="s">
        <v>6246</v>
      </c>
    </row>
    <row r="2539" customFormat="false" ht="15" hidden="false" customHeight="false" outlineLevel="0" collapsed="false">
      <c r="B2539" s="19" t="s">
        <v>30997</v>
      </c>
      <c r="C2539" s="20" t="n">
        <f aca="false">ROUND(4.59/FX,2)</f>
        <v>0.64</v>
      </c>
      <c r="D2539" s="21" t="s">
        <v>7358</v>
      </c>
      <c r="E2539" s="21" t="s">
        <v>3247</v>
      </c>
      <c r="F2539" s="21" t="s">
        <v>6246</v>
      </c>
    </row>
    <row r="2540" customFormat="false" ht="15" hidden="false" customHeight="false" outlineLevel="0" collapsed="false">
      <c r="B2540" s="19" t="s">
        <v>30998</v>
      </c>
      <c r="C2540" s="20" t="n">
        <f aca="false">ROUND(4.7/FX,2)</f>
        <v>0.65</v>
      </c>
      <c r="D2540" s="21" t="s">
        <v>2911</v>
      </c>
      <c r="E2540" s="21" t="s">
        <v>3247</v>
      </c>
      <c r="F2540" s="21" t="s">
        <v>6246</v>
      </c>
    </row>
    <row r="2541" customFormat="false" ht="15" hidden="false" customHeight="false" outlineLevel="0" collapsed="false">
      <c r="B2541" s="19" t="s">
        <v>30999</v>
      </c>
      <c r="C2541" s="20" t="n">
        <f aca="false">ROUND(4.94/FX,2)</f>
        <v>0.69</v>
      </c>
      <c r="D2541" s="21" t="s">
        <v>7275</v>
      </c>
      <c r="E2541" s="21" t="s">
        <v>3247</v>
      </c>
      <c r="F2541" s="21" t="s">
        <v>6246</v>
      </c>
    </row>
    <row r="2542" customFormat="false" ht="15" hidden="false" customHeight="false" outlineLevel="0" collapsed="false">
      <c r="B2542" s="19" t="s">
        <v>31000</v>
      </c>
      <c r="C2542" s="20" t="n">
        <f aca="false">ROUND(5.18/FX,2)</f>
        <v>0.72</v>
      </c>
      <c r="D2542" s="21" t="s">
        <v>2961</v>
      </c>
      <c r="E2542" s="21" t="s">
        <v>3247</v>
      </c>
      <c r="F2542" s="21" t="s">
        <v>6246</v>
      </c>
    </row>
    <row r="2543" customFormat="false" ht="15" hidden="false" customHeight="false" outlineLevel="0" collapsed="false">
      <c r="B2543" s="19" t="s">
        <v>31001</v>
      </c>
      <c r="C2543" s="20" t="n">
        <f aca="false">ROUND(5.29/FX,2)</f>
        <v>0.73</v>
      </c>
      <c r="D2543" s="21" t="s">
        <v>13817</v>
      </c>
      <c r="E2543" s="21" t="s">
        <v>3247</v>
      </c>
      <c r="F2543" s="21" t="s">
        <v>6246</v>
      </c>
    </row>
    <row r="2544" customFormat="false" ht="15" hidden="false" customHeight="false" outlineLevel="0" collapsed="false">
      <c r="B2544" s="19" t="s">
        <v>31002</v>
      </c>
      <c r="C2544" s="20" t="n">
        <f aca="false">ROUND(5.41/FX,2)</f>
        <v>0.75</v>
      </c>
      <c r="D2544" s="21" t="s">
        <v>3011</v>
      </c>
      <c r="E2544" s="21" t="s">
        <v>3247</v>
      </c>
      <c r="F2544" s="21" t="s">
        <v>6246</v>
      </c>
    </row>
    <row r="2545" customFormat="false" ht="15" hidden="false" customHeight="false" outlineLevel="0" collapsed="false">
      <c r="B2545" s="19" t="s">
        <v>31003</v>
      </c>
      <c r="C2545" s="20" t="n">
        <f aca="false">ROUND(5.53/FX,2)</f>
        <v>0.77</v>
      </c>
      <c r="D2545" s="21" t="s">
        <v>7396</v>
      </c>
      <c r="E2545" s="21" t="s">
        <v>3247</v>
      </c>
      <c r="F2545" s="21" t="s">
        <v>6246</v>
      </c>
    </row>
    <row r="2546" customFormat="false" ht="15" hidden="false" customHeight="false" outlineLevel="0" collapsed="false">
      <c r="B2546" s="19" t="s">
        <v>31004</v>
      </c>
      <c r="C2546" s="20" t="n">
        <f aca="false">ROUND(5.76/FX,2)</f>
        <v>0.8</v>
      </c>
      <c r="D2546" s="21" t="s">
        <v>3061</v>
      </c>
      <c r="E2546" s="21" t="s">
        <v>3247</v>
      </c>
      <c r="F2546" s="21" t="s">
        <v>6246</v>
      </c>
    </row>
    <row r="2547" customFormat="false" ht="15" hidden="false" customHeight="false" outlineLevel="0" collapsed="false">
      <c r="B2547" s="19" t="s">
        <v>31005</v>
      </c>
      <c r="C2547" s="20" t="n">
        <f aca="false">ROUND(6/FX,2)</f>
        <v>0.83</v>
      </c>
      <c r="D2547" s="21" t="s">
        <v>11870</v>
      </c>
      <c r="E2547" s="21" t="s">
        <v>3247</v>
      </c>
      <c r="F2547" s="21" t="s">
        <v>6246</v>
      </c>
    </row>
    <row r="2548" customFormat="false" ht="15" hidden="false" customHeight="false" outlineLevel="0" collapsed="false">
      <c r="B2548" s="19" t="s">
        <v>31006</v>
      </c>
      <c r="C2548" s="20" t="n">
        <f aca="false">ROUND(6.11/FX,2)</f>
        <v>0.85</v>
      </c>
      <c r="D2548" s="21" t="s">
        <v>3111</v>
      </c>
      <c r="E2548" s="21" t="s">
        <v>3247</v>
      </c>
      <c r="F2548" s="21" t="s">
        <v>6246</v>
      </c>
    </row>
    <row r="2549" customFormat="false" ht="15" hidden="false" customHeight="false" outlineLevel="0" collapsed="false">
      <c r="B2549" s="19" t="s">
        <v>31007</v>
      </c>
      <c r="C2549" s="20" t="n">
        <f aca="false">ROUND(6.46/FX,2)</f>
        <v>0.9</v>
      </c>
      <c r="D2549" s="21" t="s">
        <v>12306</v>
      </c>
      <c r="E2549" s="21" t="s">
        <v>3247</v>
      </c>
      <c r="F2549" s="21" t="s">
        <v>6246</v>
      </c>
    </row>
    <row r="2550" customFormat="false" ht="15" hidden="false" customHeight="false" outlineLevel="0" collapsed="false">
      <c r="B2550" s="19" t="s">
        <v>31008</v>
      </c>
      <c r="C2550" s="20" t="n">
        <f aca="false">ROUND(9.75/FX,2)</f>
        <v>1.35</v>
      </c>
      <c r="D2550" s="21" t="s">
        <v>2600</v>
      </c>
      <c r="E2550" s="21" t="s">
        <v>3317</v>
      </c>
      <c r="F2550" s="21" t="s">
        <v>7358</v>
      </c>
    </row>
    <row r="2551" customFormat="false" ht="15" hidden="false" customHeight="false" outlineLevel="0" collapsed="false">
      <c r="B2551" s="19" t="s">
        <v>31009</v>
      </c>
      <c r="C2551" s="20" t="n">
        <f aca="false">ROUND(12.44/FX,2)</f>
        <v>1.73</v>
      </c>
      <c r="D2551" s="21" t="s">
        <v>2651</v>
      </c>
      <c r="E2551" s="21" t="s">
        <v>3317</v>
      </c>
      <c r="F2551" s="21" t="s">
        <v>7358</v>
      </c>
    </row>
    <row r="2552" customFormat="false" ht="15" hidden="false" customHeight="false" outlineLevel="0" collapsed="false">
      <c r="B2552" s="19" t="s">
        <v>31010</v>
      </c>
      <c r="C2552" s="20" t="n">
        <f aca="false">ROUND(12.44/FX,2)</f>
        <v>1.73</v>
      </c>
      <c r="D2552" s="21" t="s">
        <v>2701</v>
      </c>
      <c r="E2552" s="21" t="s">
        <v>3317</v>
      </c>
      <c r="F2552" s="21" t="s">
        <v>7358</v>
      </c>
    </row>
    <row r="2553" customFormat="false" ht="15" hidden="false" customHeight="false" outlineLevel="0" collapsed="false">
      <c r="B2553" s="19" t="s">
        <v>31011</v>
      </c>
      <c r="C2553" s="20" t="n">
        <f aca="false">ROUND(12.44/FX,2)</f>
        <v>1.73</v>
      </c>
      <c r="D2553" s="21" t="s">
        <v>11968</v>
      </c>
      <c r="E2553" s="21" t="s">
        <v>3317</v>
      </c>
      <c r="F2553" s="21" t="s">
        <v>7358</v>
      </c>
    </row>
    <row r="2554" customFormat="false" ht="15" hidden="false" customHeight="false" outlineLevel="0" collapsed="false">
      <c r="B2554" s="19" t="s">
        <v>31012</v>
      </c>
      <c r="C2554" s="20" t="n">
        <f aca="false">ROUND(14.68/FX,2)</f>
        <v>2.04</v>
      </c>
      <c r="D2554" s="21" t="s">
        <v>2851</v>
      </c>
      <c r="E2554" s="21" t="s">
        <v>3317</v>
      </c>
      <c r="F2554" s="21" t="s">
        <v>7358</v>
      </c>
    </row>
    <row r="2555" customFormat="false" ht="15" hidden="false" customHeight="false" outlineLevel="0" collapsed="false">
      <c r="B2555" s="19" t="s">
        <v>31013</v>
      </c>
      <c r="C2555" s="20" t="n">
        <f aca="false">ROUND(30.05/FX,2)</f>
        <v>4.17</v>
      </c>
      <c r="D2555" s="21" t="s">
        <v>1520</v>
      </c>
      <c r="E2555" s="21" t="s">
        <v>3317</v>
      </c>
      <c r="F2555" s="21" t="s">
        <v>7358</v>
      </c>
    </row>
    <row r="2556" customFormat="false" ht="15" hidden="false" customHeight="false" outlineLevel="0" collapsed="false">
      <c r="B2556" s="19" t="s">
        <v>31014</v>
      </c>
      <c r="C2556" s="20" t="n">
        <f aca="false">ROUND(6.93/FX,2)</f>
        <v>0.96</v>
      </c>
      <c r="D2556" s="21" t="s">
        <v>2911</v>
      </c>
      <c r="E2556" s="21" t="s">
        <v>3317</v>
      </c>
      <c r="F2556" s="21" t="s">
        <v>7358</v>
      </c>
    </row>
    <row r="2557" customFormat="false" ht="15" hidden="false" customHeight="false" outlineLevel="0" collapsed="false">
      <c r="B2557" s="19" t="s">
        <v>31015</v>
      </c>
      <c r="C2557" s="20" t="n">
        <f aca="false">ROUND(7.41/FX,2)</f>
        <v>1.03</v>
      </c>
      <c r="D2557" s="21" t="s">
        <v>7275</v>
      </c>
      <c r="E2557" s="21" t="s">
        <v>3317</v>
      </c>
      <c r="F2557" s="21" t="s">
        <v>7358</v>
      </c>
    </row>
    <row r="2558" customFormat="false" ht="15" hidden="false" customHeight="false" outlineLevel="0" collapsed="false">
      <c r="B2558" s="19" t="s">
        <v>31016</v>
      </c>
      <c r="C2558" s="20" t="n">
        <f aca="false">ROUND(7.52/FX,2)</f>
        <v>1.04</v>
      </c>
      <c r="D2558" s="21" t="s">
        <v>2961</v>
      </c>
      <c r="E2558" s="21" t="s">
        <v>3317</v>
      </c>
      <c r="F2558" s="21" t="s">
        <v>7358</v>
      </c>
    </row>
    <row r="2559" customFormat="false" ht="15" hidden="false" customHeight="false" outlineLevel="0" collapsed="false">
      <c r="B2559" s="19" t="s">
        <v>31017</v>
      </c>
      <c r="C2559" s="20" t="n">
        <f aca="false">ROUND(8/FX,2)</f>
        <v>1.11</v>
      </c>
      <c r="D2559" s="21" t="s">
        <v>13817</v>
      </c>
      <c r="E2559" s="21" t="s">
        <v>3317</v>
      </c>
      <c r="F2559" s="21" t="s">
        <v>7358</v>
      </c>
    </row>
    <row r="2560" customFormat="false" ht="15" hidden="false" customHeight="false" outlineLevel="0" collapsed="false">
      <c r="B2560" s="19" t="s">
        <v>31018</v>
      </c>
      <c r="C2560" s="20" t="n">
        <f aca="false">ROUND(8.12/FX,2)</f>
        <v>1.13</v>
      </c>
      <c r="D2560" s="21" t="s">
        <v>3011</v>
      </c>
      <c r="E2560" s="21" t="s">
        <v>3317</v>
      </c>
      <c r="F2560" s="21" t="s">
        <v>7358</v>
      </c>
    </row>
    <row r="2561" customFormat="false" ht="15" hidden="false" customHeight="false" outlineLevel="0" collapsed="false">
      <c r="B2561" s="19" t="s">
        <v>31019</v>
      </c>
      <c r="C2561" s="20" t="n">
        <f aca="false">ROUND(8.69/FX,2)</f>
        <v>1.21</v>
      </c>
      <c r="D2561" s="21" t="s">
        <v>7396</v>
      </c>
      <c r="E2561" s="21" t="s">
        <v>3317</v>
      </c>
      <c r="F2561" s="21" t="s">
        <v>7358</v>
      </c>
    </row>
    <row r="2562" customFormat="false" ht="15" hidden="false" customHeight="false" outlineLevel="0" collapsed="false">
      <c r="B2562" s="19" t="s">
        <v>31020</v>
      </c>
      <c r="C2562" s="20" t="n">
        <f aca="false">ROUND(9.15/FX,2)</f>
        <v>1.27</v>
      </c>
      <c r="D2562" s="21" t="s">
        <v>3061</v>
      </c>
      <c r="E2562" s="21" t="s">
        <v>3317</v>
      </c>
      <c r="F2562" s="21" t="s">
        <v>7358</v>
      </c>
    </row>
    <row r="2563" customFormat="false" ht="15" hidden="false" customHeight="false" outlineLevel="0" collapsed="false">
      <c r="B2563" s="19" t="s">
        <v>31021</v>
      </c>
      <c r="C2563" s="20" t="n">
        <f aca="false">ROUND(9.15/FX,2)</f>
        <v>1.27</v>
      </c>
      <c r="D2563" s="21" t="s">
        <v>11870</v>
      </c>
      <c r="E2563" s="21" t="s">
        <v>3317</v>
      </c>
      <c r="F2563" s="21" t="s">
        <v>7358</v>
      </c>
    </row>
    <row r="2564" customFormat="false" ht="15" hidden="false" customHeight="false" outlineLevel="0" collapsed="false">
      <c r="B2564" s="19" t="s">
        <v>31022</v>
      </c>
      <c r="C2564" s="20" t="n">
        <f aca="false">ROUND(9.15/FX,2)</f>
        <v>1.27</v>
      </c>
      <c r="D2564" s="21" t="s">
        <v>3111</v>
      </c>
      <c r="E2564" s="21" t="s">
        <v>3317</v>
      </c>
      <c r="F2564" s="21" t="s">
        <v>7358</v>
      </c>
    </row>
    <row r="2565" customFormat="false" ht="15" hidden="false" customHeight="false" outlineLevel="0" collapsed="false">
      <c r="B2565" s="19" t="s">
        <v>31023</v>
      </c>
      <c r="C2565" s="20" t="n">
        <f aca="false">ROUND(9.75/FX,2)</f>
        <v>1.35</v>
      </c>
      <c r="D2565" s="21" t="s">
        <v>12306</v>
      </c>
      <c r="E2565" s="21" t="s">
        <v>3317</v>
      </c>
      <c r="F2565" s="21" t="s">
        <v>7358</v>
      </c>
    </row>
    <row r="2566" customFormat="false" ht="15" hidden="false" customHeight="false" outlineLevel="0" collapsed="false">
      <c r="B2566" s="19" t="s">
        <v>31024</v>
      </c>
      <c r="C2566" s="20" t="n">
        <f aca="false">ROUND(10.78/FX,2)</f>
        <v>1.5</v>
      </c>
      <c r="D2566" s="21" t="s">
        <v>2600</v>
      </c>
      <c r="E2566" s="21" t="s">
        <v>3317</v>
      </c>
      <c r="F2566" s="21" t="s">
        <v>2911</v>
      </c>
    </row>
    <row r="2567" customFormat="false" ht="15" hidden="false" customHeight="false" outlineLevel="0" collapsed="false">
      <c r="B2567" s="19" t="s">
        <v>31025</v>
      </c>
      <c r="C2567" s="20" t="n">
        <f aca="false">ROUND(12/FX,2)</f>
        <v>1.67</v>
      </c>
      <c r="D2567" s="21" t="s">
        <v>2651</v>
      </c>
      <c r="E2567" s="21" t="s">
        <v>3317</v>
      </c>
      <c r="F2567" s="21" t="s">
        <v>2911</v>
      </c>
    </row>
    <row r="2568" customFormat="false" ht="15" hidden="false" customHeight="false" outlineLevel="0" collapsed="false">
      <c r="B2568" s="19" t="s">
        <v>31026</v>
      </c>
      <c r="C2568" s="20" t="n">
        <f aca="false">ROUND(12/FX,2)</f>
        <v>1.67</v>
      </c>
      <c r="D2568" s="21" t="s">
        <v>11968</v>
      </c>
      <c r="E2568" s="21" t="s">
        <v>3317</v>
      </c>
      <c r="F2568" s="21" t="s">
        <v>2911</v>
      </c>
    </row>
    <row r="2569" customFormat="false" ht="15" hidden="false" customHeight="false" outlineLevel="0" collapsed="false">
      <c r="B2569" s="19" t="s">
        <v>31027</v>
      </c>
      <c r="C2569" s="20" t="n">
        <f aca="false">ROUND(13.26/FX,2)</f>
        <v>1.84</v>
      </c>
      <c r="D2569" s="21" t="s">
        <v>2851</v>
      </c>
      <c r="E2569" s="21" t="s">
        <v>3317</v>
      </c>
      <c r="F2569" s="21" t="s">
        <v>2911</v>
      </c>
    </row>
    <row r="2570" customFormat="false" ht="15" hidden="false" customHeight="false" outlineLevel="0" collapsed="false">
      <c r="B2570" s="19" t="s">
        <v>31028</v>
      </c>
      <c r="C2570" s="20" t="n">
        <f aca="false">ROUND(15.28/FX,2)</f>
        <v>2.12</v>
      </c>
      <c r="D2570" s="21" t="s">
        <v>6497</v>
      </c>
      <c r="E2570" s="21" t="s">
        <v>3317</v>
      </c>
      <c r="F2570" s="21" t="s">
        <v>2911</v>
      </c>
    </row>
    <row r="2571" customFormat="false" ht="15" hidden="false" customHeight="false" outlineLevel="0" collapsed="false">
      <c r="B2571" s="19" t="s">
        <v>31029</v>
      </c>
      <c r="C2571" s="20" t="n">
        <f aca="false">ROUND(17.62/FX,2)</f>
        <v>2.45</v>
      </c>
      <c r="D2571" s="21" t="s">
        <v>1048</v>
      </c>
      <c r="E2571" s="21" t="s">
        <v>3317</v>
      </c>
      <c r="F2571" s="21" t="s">
        <v>2911</v>
      </c>
    </row>
    <row r="2572" customFormat="false" ht="15" hidden="false" customHeight="false" outlineLevel="0" collapsed="false">
      <c r="B2572" s="19" t="s">
        <v>31030</v>
      </c>
      <c r="C2572" s="20" t="n">
        <f aca="false">ROUND(23.58/FX,2)</f>
        <v>3.28</v>
      </c>
      <c r="D2572" s="21" t="s">
        <v>3991</v>
      </c>
      <c r="E2572" s="21" t="s">
        <v>3317</v>
      </c>
      <c r="F2572" s="21" t="s">
        <v>2911</v>
      </c>
    </row>
    <row r="2573" customFormat="false" ht="15" hidden="false" customHeight="false" outlineLevel="0" collapsed="false">
      <c r="B2573" s="19" t="s">
        <v>31031</v>
      </c>
      <c r="C2573" s="20" t="n">
        <f aca="false">ROUND(23.58/FX,2)</f>
        <v>3.28</v>
      </c>
      <c r="D2573" s="21" t="s">
        <v>1323</v>
      </c>
      <c r="E2573" s="21" t="s">
        <v>3317</v>
      </c>
      <c r="F2573" s="21" t="s">
        <v>2911</v>
      </c>
    </row>
    <row r="2574" customFormat="false" ht="15" hidden="false" customHeight="false" outlineLevel="0" collapsed="false">
      <c r="B2574" s="19" t="s">
        <v>31032</v>
      </c>
      <c r="C2574" s="20" t="n">
        <f aca="false">ROUND(29.83/FX,2)</f>
        <v>4.14</v>
      </c>
      <c r="D2574" s="21" t="s">
        <v>4883</v>
      </c>
      <c r="E2574" s="21" t="s">
        <v>3317</v>
      </c>
      <c r="F2574" s="21" t="s">
        <v>2911</v>
      </c>
    </row>
    <row r="2575" customFormat="false" ht="15" hidden="false" customHeight="false" outlineLevel="0" collapsed="false">
      <c r="B2575" s="19" t="s">
        <v>31033</v>
      </c>
      <c r="C2575" s="20" t="n">
        <f aca="false">ROUND(30.05/FX,2)</f>
        <v>4.17</v>
      </c>
      <c r="D2575" s="21" t="s">
        <v>1520</v>
      </c>
      <c r="E2575" s="21" t="s">
        <v>3317</v>
      </c>
      <c r="F2575" s="21" t="s">
        <v>2911</v>
      </c>
    </row>
    <row r="2576" customFormat="false" ht="15" hidden="false" customHeight="false" outlineLevel="0" collapsed="false">
      <c r="B2576" s="19" t="s">
        <v>31034</v>
      </c>
      <c r="C2576" s="20" t="n">
        <f aca="false">ROUND(6.93/FX,2)</f>
        <v>0.96</v>
      </c>
      <c r="D2576" s="21" t="s">
        <v>2911</v>
      </c>
      <c r="E2576" s="21" t="s">
        <v>3317</v>
      </c>
      <c r="F2576" s="21" t="s">
        <v>2911</v>
      </c>
    </row>
    <row r="2577" customFormat="false" ht="15" hidden="false" customHeight="false" outlineLevel="0" collapsed="false">
      <c r="B2577" s="19" t="s">
        <v>31035</v>
      </c>
      <c r="C2577" s="20" t="n">
        <f aca="false">ROUND(7.41/FX,2)</f>
        <v>1.03</v>
      </c>
      <c r="D2577" s="21" t="s">
        <v>7275</v>
      </c>
      <c r="E2577" s="21" t="s">
        <v>3317</v>
      </c>
      <c r="F2577" s="21" t="s">
        <v>2911</v>
      </c>
    </row>
    <row r="2578" customFormat="false" ht="15" hidden="false" customHeight="false" outlineLevel="0" collapsed="false">
      <c r="B2578" s="19" t="s">
        <v>31036</v>
      </c>
      <c r="C2578" s="20" t="n">
        <f aca="false">ROUND(7.52/FX,2)</f>
        <v>1.04</v>
      </c>
      <c r="D2578" s="21" t="s">
        <v>2961</v>
      </c>
      <c r="E2578" s="21" t="s">
        <v>3317</v>
      </c>
      <c r="F2578" s="21" t="s">
        <v>2911</v>
      </c>
    </row>
    <row r="2579" customFormat="false" ht="15" hidden="false" customHeight="false" outlineLevel="0" collapsed="false">
      <c r="B2579" s="19" t="s">
        <v>31037</v>
      </c>
      <c r="C2579" s="20" t="n">
        <f aca="false">ROUND(8/FX,2)</f>
        <v>1.11</v>
      </c>
      <c r="D2579" s="21" t="s">
        <v>13817</v>
      </c>
      <c r="E2579" s="21" t="s">
        <v>3317</v>
      </c>
      <c r="F2579" s="21" t="s">
        <v>2911</v>
      </c>
    </row>
    <row r="2580" customFormat="false" ht="15" hidden="false" customHeight="false" outlineLevel="0" collapsed="false">
      <c r="B2580" s="19" t="s">
        <v>31038</v>
      </c>
      <c r="C2580" s="20" t="n">
        <f aca="false">ROUND(8.1/FX,2)</f>
        <v>1.13</v>
      </c>
      <c r="D2580" s="21" t="s">
        <v>3011</v>
      </c>
      <c r="E2580" s="21" t="s">
        <v>3317</v>
      </c>
      <c r="F2580" s="21" t="s">
        <v>2911</v>
      </c>
    </row>
    <row r="2581" customFormat="false" ht="15" hidden="false" customHeight="false" outlineLevel="0" collapsed="false">
      <c r="B2581" s="19" t="s">
        <v>31039</v>
      </c>
      <c r="C2581" s="20" t="n">
        <f aca="false">ROUND(8.7/FX,2)</f>
        <v>1.21</v>
      </c>
      <c r="D2581" s="21" t="s">
        <v>7396</v>
      </c>
      <c r="E2581" s="21" t="s">
        <v>3317</v>
      </c>
      <c r="F2581" s="21" t="s">
        <v>2911</v>
      </c>
    </row>
    <row r="2582" customFormat="false" ht="15" hidden="false" customHeight="false" outlineLevel="0" collapsed="false">
      <c r="B2582" s="19" t="s">
        <v>31040</v>
      </c>
      <c r="C2582" s="20" t="n">
        <f aca="false">ROUND(8.7/FX,2)</f>
        <v>1.21</v>
      </c>
      <c r="D2582" s="21" t="s">
        <v>3061</v>
      </c>
      <c r="E2582" s="21" t="s">
        <v>3317</v>
      </c>
      <c r="F2582" s="21" t="s">
        <v>2911</v>
      </c>
    </row>
    <row r="2583" customFormat="false" ht="15" hidden="false" customHeight="false" outlineLevel="0" collapsed="false">
      <c r="B2583" s="19" t="s">
        <v>31041</v>
      </c>
      <c r="C2583" s="20" t="n">
        <f aca="false">ROUND(8.92/FX,2)</f>
        <v>1.24</v>
      </c>
      <c r="D2583" s="21" t="s">
        <v>11870</v>
      </c>
      <c r="E2583" s="21" t="s">
        <v>3317</v>
      </c>
      <c r="F2583" s="21" t="s">
        <v>2911</v>
      </c>
    </row>
    <row r="2584" customFormat="false" ht="15" hidden="false" customHeight="false" outlineLevel="0" collapsed="false">
      <c r="B2584" s="19" t="s">
        <v>31042</v>
      </c>
      <c r="C2584" s="20" t="n">
        <f aca="false">ROUND(9.17/FX,2)</f>
        <v>1.27</v>
      </c>
      <c r="D2584" s="21" t="s">
        <v>3111</v>
      </c>
      <c r="E2584" s="21" t="s">
        <v>3317</v>
      </c>
      <c r="F2584" s="21" t="s">
        <v>2911</v>
      </c>
    </row>
    <row r="2585" customFormat="false" ht="15" hidden="false" customHeight="false" outlineLevel="0" collapsed="false">
      <c r="B2585" s="19" t="s">
        <v>31043</v>
      </c>
      <c r="C2585" s="20" t="n">
        <f aca="false">ROUND(9.75/FX,2)</f>
        <v>1.35</v>
      </c>
      <c r="D2585" s="21" t="s">
        <v>12306</v>
      </c>
      <c r="E2585" s="21" t="s">
        <v>3317</v>
      </c>
      <c r="F2585" s="21" t="s">
        <v>2911</v>
      </c>
    </row>
    <row r="2586" customFormat="false" ht="15" hidden="false" customHeight="false" outlineLevel="0" collapsed="false">
      <c r="B2586" s="19" t="s">
        <v>31044</v>
      </c>
      <c r="C2586" s="20" t="n">
        <f aca="false">ROUND(0.51/FX,2)</f>
        <v>0.07</v>
      </c>
      <c r="D2586" s="21" t="s">
        <v>714</v>
      </c>
      <c r="E2586" s="21" t="s">
        <v>839</v>
      </c>
      <c r="F2586" s="21" t="s">
        <v>716</v>
      </c>
    </row>
    <row r="2587" customFormat="false" ht="15" hidden="false" customHeight="false" outlineLevel="0" collapsed="false">
      <c r="B2587" s="19" t="s">
        <v>31045</v>
      </c>
      <c r="C2587" s="20" t="n">
        <f aca="false">ROUND(0.57/FX,2)</f>
        <v>0.08</v>
      </c>
      <c r="D2587" s="21" t="s">
        <v>3247</v>
      </c>
      <c r="E2587" s="21" t="s">
        <v>839</v>
      </c>
      <c r="F2587" s="21" t="s">
        <v>716</v>
      </c>
    </row>
    <row r="2588" customFormat="false" ht="15" hidden="false" customHeight="false" outlineLevel="0" collapsed="false">
      <c r="B2588" s="19" t="s">
        <v>31046</v>
      </c>
      <c r="C2588" s="20" t="n">
        <f aca="false">ROUND(0.57/FX,2)</f>
        <v>0.08</v>
      </c>
      <c r="D2588" s="21" t="s">
        <v>3317</v>
      </c>
      <c r="E2588" s="21" t="s">
        <v>839</v>
      </c>
      <c r="F2588" s="21" t="s">
        <v>716</v>
      </c>
    </row>
    <row r="2589" customFormat="false" ht="15" hidden="false" customHeight="false" outlineLevel="0" collapsed="false">
      <c r="B2589" s="19" t="s">
        <v>31047</v>
      </c>
      <c r="C2589" s="20" t="n">
        <f aca="false">ROUND(0.57/FX,2)</f>
        <v>0.08</v>
      </c>
      <c r="D2589" s="21" t="s">
        <v>784</v>
      </c>
      <c r="E2589" s="21" t="s">
        <v>839</v>
      </c>
      <c r="F2589" s="21" t="s">
        <v>716</v>
      </c>
    </row>
    <row r="2590" customFormat="false" ht="15" hidden="false" customHeight="false" outlineLevel="0" collapsed="false">
      <c r="B2590" s="19" t="s">
        <v>31048</v>
      </c>
      <c r="C2590" s="20" t="n">
        <f aca="false">ROUND(5.41/FX,2)</f>
        <v>0.75</v>
      </c>
      <c r="D2590" s="21" t="s">
        <v>1520</v>
      </c>
      <c r="E2590" s="21" t="s">
        <v>839</v>
      </c>
      <c r="F2590" s="21" t="s">
        <v>716</v>
      </c>
    </row>
    <row r="2591" customFormat="false" ht="15" hidden="false" customHeight="false" outlineLevel="0" collapsed="false">
      <c r="B2591" s="19" t="s">
        <v>31049</v>
      </c>
      <c r="C2591" s="20" t="n">
        <f aca="false">ROUND(0.62/FX,2)</f>
        <v>0.09</v>
      </c>
      <c r="D2591" s="21" t="s">
        <v>3328</v>
      </c>
      <c r="E2591" s="21" t="s">
        <v>839</v>
      </c>
      <c r="F2591" s="21" t="s">
        <v>716</v>
      </c>
    </row>
    <row r="2592" customFormat="false" ht="15" hidden="false" customHeight="false" outlineLevel="0" collapsed="false">
      <c r="B2592" s="19" t="s">
        <v>31050</v>
      </c>
      <c r="C2592" s="20" t="n">
        <f aca="false">ROUND(0.7/FX,2)</f>
        <v>0.1</v>
      </c>
      <c r="D2592" s="21" t="s">
        <v>6246</v>
      </c>
      <c r="E2592" s="21" t="s">
        <v>839</v>
      </c>
      <c r="F2592" s="21" t="s">
        <v>716</v>
      </c>
    </row>
    <row r="2593" customFormat="false" ht="15" hidden="false" customHeight="false" outlineLevel="0" collapsed="false">
      <c r="B2593" s="19" t="s">
        <v>31051</v>
      </c>
      <c r="C2593" s="20" t="n">
        <f aca="false">ROUND(0.73/FX,2)</f>
        <v>0.1</v>
      </c>
      <c r="D2593" s="21" t="s">
        <v>7358</v>
      </c>
      <c r="E2593" s="21" t="s">
        <v>839</v>
      </c>
      <c r="F2593" s="21" t="s">
        <v>716</v>
      </c>
    </row>
    <row r="2594" customFormat="false" ht="15" hidden="false" customHeight="false" outlineLevel="0" collapsed="false">
      <c r="B2594" s="19" t="s">
        <v>31052</v>
      </c>
      <c r="C2594" s="20" t="n">
        <f aca="false">ROUND(0.81/FX,2)</f>
        <v>0.11</v>
      </c>
      <c r="D2594" s="21" t="s">
        <v>2911</v>
      </c>
      <c r="E2594" s="21" t="s">
        <v>839</v>
      </c>
      <c r="F2594" s="21" t="s">
        <v>716</v>
      </c>
    </row>
    <row r="2595" customFormat="false" ht="15" hidden="false" customHeight="false" outlineLevel="0" collapsed="false">
      <c r="B2595" s="19" t="s">
        <v>31053</v>
      </c>
      <c r="C2595" s="20" t="n">
        <f aca="false">ROUND(0.87/FX,2)</f>
        <v>0.12</v>
      </c>
      <c r="D2595" s="21" t="s">
        <v>7275</v>
      </c>
      <c r="E2595" s="21" t="s">
        <v>839</v>
      </c>
      <c r="F2595" s="21" t="s">
        <v>716</v>
      </c>
    </row>
    <row r="2596" customFormat="false" ht="15" hidden="false" customHeight="false" outlineLevel="0" collapsed="false">
      <c r="B2596" s="19" t="s">
        <v>31054</v>
      </c>
      <c r="C2596" s="20" t="n">
        <f aca="false">ROUND(0.92/FX,2)</f>
        <v>0.13</v>
      </c>
      <c r="D2596" s="21" t="s">
        <v>2961</v>
      </c>
      <c r="E2596" s="21" t="s">
        <v>839</v>
      </c>
      <c r="F2596" s="21" t="s">
        <v>716</v>
      </c>
    </row>
    <row r="2597" customFormat="false" ht="15" hidden="false" customHeight="false" outlineLevel="0" collapsed="false">
      <c r="B2597" s="19" t="s">
        <v>31055</v>
      </c>
      <c r="C2597" s="20" t="n">
        <f aca="false">ROUND(0.92/FX,2)</f>
        <v>0.13</v>
      </c>
      <c r="D2597" s="21" t="s">
        <v>13817</v>
      </c>
      <c r="E2597" s="21" t="s">
        <v>839</v>
      </c>
      <c r="F2597" s="21" t="s">
        <v>716</v>
      </c>
    </row>
    <row r="2598" customFormat="false" ht="15" hidden="false" customHeight="false" outlineLevel="0" collapsed="false">
      <c r="B2598" s="19" t="s">
        <v>31056</v>
      </c>
      <c r="C2598" s="20" t="n">
        <f aca="false">ROUND(1.04/FX,2)</f>
        <v>0.14</v>
      </c>
      <c r="D2598" s="21" t="s">
        <v>3011</v>
      </c>
      <c r="E2598" s="21" t="s">
        <v>839</v>
      </c>
      <c r="F2598" s="21" t="s">
        <v>716</v>
      </c>
    </row>
    <row r="2599" customFormat="false" ht="15" hidden="false" customHeight="false" outlineLevel="0" collapsed="false">
      <c r="B2599" s="19" t="s">
        <v>31057</v>
      </c>
      <c r="C2599" s="20" t="n">
        <f aca="false">ROUND(13.61/FX,2)</f>
        <v>1.89</v>
      </c>
      <c r="D2599" s="21" t="s">
        <v>2600</v>
      </c>
      <c r="E2599" s="21" t="s">
        <v>784</v>
      </c>
      <c r="F2599" s="21" t="s">
        <v>2961</v>
      </c>
    </row>
    <row r="2600" customFormat="false" ht="15" hidden="false" customHeight="false" outlineLevel="0" collapsed="false">
      <c r="B2600" s="19" t="s">
        <v>31058</v>
      </c>
      <c r="C2600" s="20" t="n">
        <f aca="false">ROUND(14.08/FX,2)</f>
        <v>1.96</v>
      </c>
      <c r="D2600" s="21" t="s">
        <v>2651</v>
      </c>
      <c r="E2600" s="21" t="s">
        <v>784</v>
      </c>
      <c r="F2600" s="21" t="s">
        <v>2961</v>
      </c>
    </row>
    <row r="2601" customFormat="false" ht="15" hidden="false" customHeight="false" outlineLevel="0" collapsed="false">
      <c r="B2601" s="19" t="s">
        <v>31059</v>
      </c>
      <c r="C2601" s="20" t="n">
        <f aca="false">ROUND(16.8/FX,2)</f>
        <v>2.33</v>
      </c>
      <c r="D2601" s="21" t="s">
        <v>11968</v>
      </c>
      <c r="E2601" s="21" t="s">
        <v>784</v>
      </c>
      <c r="F2601" s="21" t="s">
        <v>2961</v>
      </c>
    </row>
    <row r="2602" customFormat="false" ht="15" hidden="false" customHeight="false" outlineLevel="0" collapsed="false">
      <c r="B2602" s="19" t="s">
        <v>31060</v>
      </c>
      <c r="C2602" s="20" t="n">
        <f aca="false">ROUND(19.6/FX,2)</f>
        <v>2.72</v>
      </c>
      <c r="D2602" s="21" t="s">
        <v>2851</v>
      </c>
      <c r="E2602" s="21" t="s">
        <v>784</v>
      </c>
      <c r="F2602" s="21" t="s">
        <v>2961</v>
      </c>
    </row>
    <row r="2603" customFormat="false" ht="15" hidden="false" customHeight="false" outlineLevel="0" collapsed="false">
      <c r="B2603" s="19" t="s">
        <v>31061</v>
      </c>
      <c r="C2603" s="20" t="n">
        <f aca="false">ROUND(23/FX,2)</f>
        <v>3.19</v>
      </c>
      <c r="D2603" s="21" t="s">
        <v>6497</v>
      </c>
      <c r="E2603" s="21" t="s">
        <v>784</v>
      </c>
      <c r="F2603" s="21" t="s">
        <v>2961</v>
      </c>
    </row>
    <row r="2604" customFormat="false" ht="15" hidden="false" customHeight="false" outlineLevel="0" collapsed="false">
      <c r="B2604" s="19" t="s">
        <v>31062</v>
      </c>
      <c r="C2604" s="20" t="n">
        <f aca="false">ROUND(25.82/FX,2)</f>
        <v>3.59</v>
      </c>
      <c r="D2604" s="21" t="s">
        <v>1048</v>
      </c>
      <c r="E2604" s="21" t="s">
        <v>784</v>
      </c>
      <c r="F2604" s="21" t="s">
        <v>2961</v>
      </c>
    </row>
    <row r="2605" customFormat="false" ht="15" hidden="false" customHeight="false" outlineLevel="0" collapsed="false">
      <c r="B2605" s="19" t="s">
        <v>31063</v>
      </c>
      <c r="C2605" s="20" t="n">
        <f aca="false">ROUND(33.22/FX,2)</f>
        <v>4.61</v>
      </c>
      <c r="D2605" s="21" t="s">
        <v>3991</v>
      </c>
      <c r="E2605" s="21" t="s">
        <v>784</v>
      </c>
      <c r="F2605" s="21" t="s">
        <v>2961</v>
      </c>
    </row>
    <row r="2606" customFormat="false" ht="15" hidden="false" customHeight="false" outlineLevel="0" collapsed="false">
      <c r="B2606" s="19" t="s">
        <v>31064</v>
      </c>
      <c r="C2606" s="20" t="n">
        <f aca="false">ROUND(43.19/FX,2)</f>
        <v>6</v>
      </c>
      <c r="D2606" s="21" t="s">
        <v>1520</v>
      </c>
      <c r="E2606" s="21" t="s">
        <v>784</v>
      </c>
      <c r="F2606" s="21" t="s">
        <v>2961</v>
      </c>
    </row>
    <row r="2607" customFormat="false" ht="15" hidden="false" customHeight="false" outlineLevel="0" collapsed="false">
      <c r="B2607" s="19" t="s">
        <v>31065</v>
      </c>
      <c r="C2607" s="20" t="n">
        <f aca="false">ROUND(9.87/FX,2)</f>
        <v>1.37</v>
      </c>
      <c r="D2607" s="21" t="s">
        <v>2961</v>
      </c>
      <c r="E2607" s="21" t="s">
        <v>784</v>
      </c>
      <c r="F2607" s="21" t="s">
        <v>2961</v>
      </c>
    </row>
    <row r="2608" customFormat="false" ht="15" hidden="false" customHeight="false" outlineLevel="0" collapsed="false">
      <c r="B2608" s="19" t="s">
        <v>31066</v>
      </c>
      <c r="C2608" s="20" t="n">
        <f aca="false">ROUND(10.34/FX,2)</f>
        <v>1.44</v>
      </c>
      <c r="D2608" s="21" t="s">
        <v>13817</v>
      </c>
      <c r="E2608" s="21" t="s">
        <v>784</v>
      </c>
      <c r="F2608" s="21" t="s">
        <v>2961</v>
      </c>
    </row>
    <row r="2609" customFormat="false" ht="15" hidden="false" customHeight="false" outlineLevel="0" collapsed="false">
      <c r="B2609" s="19" t="s">
        <v>31067</v>
      </c>
      <c r="C2609" s="20" t="n">
        <f aca="false">ROUND(10.74/FX,2)</f>
        <v>1.49</v>
      </c>
      <c r="D2609" s="21" t="s">
        <v>3011</v>
      </c>
      <c r="E2609" s="21" t="s">
        <v>784</v>
      </c>
      <c r="F2609" s="21" t="s">
        <v>2961</v>
      </c>
    </row>
    <row r="2610" customFormat="false" ht="15" hidden="false" customHeight="false" outlineLevel="0" collapsed="false">
      <c r="B2610" s="19" t="s">
        <v>31068</v>
      </c>
      <c r="C2610" s="20" t="n">
        <f aca="false">ROUND(10.8/FX,2)</f>
        <v>1.5</v>
      </c>
      <c r="D2610" s="21" t="s">
        <v>7396</v>
      </c>
      <c r="E2610" s="21" t="s">
        <v>784</v>
      </c>
      <c r="F2610" s="21" t="s">
        <v>2961</v>
      </c>
    </row>
    <row r="2611" customFormat="false" ht="15" hidden="false" customHeight="false" outlineLevel="0" collapsed="false">
      <c r="B2611" s="19" t="s">
        <v>31069</v>
      </c>
      <c r="C2611" s="20" t="n">
        <f aca="false">ROUND(11.74/FX,2)</f>
        <v>1.63</v>
      </c>
      <c r="D2611" s="21" t="s">
        <v>3061</v>
      </c>
      <c r="E2611" s="21" t="s">
        <v>784</v>
      </c>
      <c r="F2611" s="21" t="s">
        <v>2961</v>
      </c>
    </row>
    <row r="2612" customFormat="false" ht="15" hidden="false" customHeight="false" outlineLevel="0" collapsed="false">
      <c r="B2612" s="19" t="s">
        <v>31070</v>
      </c>
      <c r="C2612" s="20" t="n">
        <f aca="false">ROUND(12.34/FX,2)</f>
        <v>1.71</v>
      </c>
      <c r="D2612" s="21" t="s">
        <v>11870</v>
      </c>
      <c r="E2612" s="21" t="s">
        <v>784</v>
      </c>
      <c r="F2612" s="21" t="s">
        <v>2961</v>
      </c>
    </row>
    <row r="2613" customFormat="false" ht="15" hidden="false" customHeight="false" outlineLevel="0" collapsed="false">
      <c r="B2613" s="19" t="s">
        <v>31071</v>
      </c>
      <c r="C2613" s="20" t="n">
        <f aca="false">ROUND(12.42/FX,2)</f>
        <v>1.73</v>
      </c>
      <c r="D2613" s="21" t="s">
        <v>3111</v>
      </c>
      <c r="E2613" s="21" t="s">
        <v>784</v>
      </c>
      <c r="F2613" s="21" t="s">
        <v>2961</v>
      </c>
    </row>
    <row r="2614" customFormat="false" ht="15" hidden="false" customHeight="false" outlineLevel="0" collapsed="false">
      <c r="B2614" s="19" t="s">
        <v>31072</v>
      </c>
      <c r="C2614" s="20" t="n">
        <f aca="false">ROUND(13.61/FX,2)</f>
        <v>1.89</v>
      </c>
      <c r="D2614" s="21" t="s">
        <v>12306</v>
      </c>
      <c r="E2614" s="21" t="s">
        <v>784</v>
      </c>
      <c r="F2614" s="21" t="s">
        <v>2961</v>
      </c>
    </row>
    <row r="2615" customFormat="false" ht="15" hidden="false" customHeight="false" outlineLevel="0" collapsed="false">
      <c r="B2615" s="19" t="s">
        <v>31073</v>
      </c>
      <c r="C2615" s="20" t="n">
        <f aca="false">ROUND(71.63/FX,2)</f>
        <v>9.95</v>
      </c>
      <c r="D2615" s="21" t="s">
        <v>2600</v>
      </c>
      <c r="E2615" s="21" t="s">
        <v>6246</v>
      </c>
      <c r="F2615" s="21" t="s">
        <v>3011</v>
      </c>
    </row>
    <row r="2616" customFormat="false" ht="15" hidden="false" customHeight="false" outlineLevel="0" collapsed="false">
      <c r="B2616" s="19" t="s">
        <v>31074</v>
      </c>
      <c r="C2616" s="20" t="n">
        <f aca="false">ROUND(123.5/FX,2)</f>
        <v>17.15</v>
      </c>
      <c r="D2616" s="21" t="s">
        <v>1048</v>
      </c>
      <c r="E2616" s="21" t="s">
        <v>6246</v>
      </c>
      <c r="F2616" s="21" t="s">
        <v>3011</v>
      </c>
    </row>
    <row r="2617" customFormat="false" ht="15" hidden="false" customHeight="false" outlineLevel="0" collapsed="false">
      <c r="B2617" s="19" t="s">
        <v>31075</v>
      </c>
      <c r="C2617" s="20" t="n">
        <f aca="false">ROUND(65.46/FX,2)</f>
        <v>9.09</v>
      </c>
      <c r="D2617" s="21" t="s">
        <v>3011</v>
      </c>
      <c r="E2617" s="21" t="s">
        <v>6246</v>
      </c>
      <c r="F2617" s="21" t="s">
        <v>3011</v>
      </c>
    </row>
    <row r="2618" customFormat="false" ht="15" hidden="false" customHeight="false" outlineLevel="0" collapsed="false">
      <c r="B2618" s="19" t="s">
        <v>31076</v>
      </c>
      <c r="C2618" s="20" t="n">
        <f aca="false">ROUND(71.63/FX,2)</f>
        <v>9.95</v>
      </c>
      <c r="D2618" s="21" t="s">
        <v>3061</v>
      </c>
      <c r="E2618" s="21" t="s">
        <v>6246</v>
      </c>
      <c r="F2618" s="21" t="s">
        <v>3011</v>
      </c>
    </row>
    <row r="2619" customFormat="false" ht="15" hidden="false" customHeight="false" outlineLevel="0" collapsed="false">
      <c r="B2619" s="19" t="s">
        <v>31077</v>
      </c>
      <c r="C2619" s="20" t="n">
        <f aca="false">ROUND(77.81/FX,2)</f>
        <v>10.81</v>
      </c>
      <c r="D2619" s="21" t="s">
        <v>3111</v>
      </c>
      <c r="E2619" s="21" t="s">
        <v>6246</v>
      </c>
      <c r="F2619" s="21" t="s">
        <v>3011</v>
      </c>
    </row>
    <row r="2620" customFormat="false" ht="15" hidden="false" customHeight="false" outlineLevel="0" collapsed="false">
      <c r="B2620" s="19" t="s">
        <v>31078</v>
      </c>
      <c r="C2620" s="20" t="n">
        <f aca="false">ROUND(1.42/FX,2)</f>
        <v>0.2</v>
      </c>
      <c r="D2620" s="21" t="s">
        <v>2600</v>
      </c>
      <c r="E2620" s="21" t="s">
        <v>841</v>
      </c>
      <c r="F2620" s="21" t="s">
        <v>847</v>
      </c>
    </row>
    <row r="2621" customFormat="false" ht="15" hidden="false" customHeight="false" outlineLevel="0" collapsed="false">
      <c r="B2621" s="19" t="s">
        <v>31079</v>
      </c>
      <c r="C2621" s="20" t="n">
        <f aca="false">ROUND(0.65/FX,2)</f>
        <v>0.09</v>
      </c>
      <c r="D2621" s="21" t="s">
        <v>3247</v>
      </c>
      <c r="E2621" s="21" t="s">
        <v>841</v>
      </c>
      <c r="F2621" s="21" t="s">
        <v>847</v>
      </c>
    </row>
    <row r="2622" customFormat="false" ht="15" hidden="false" customHeight="false" outlineLevel="0" collapsed="false">
      <c r="B2622" s="19" t="s">
        <v>31080</v>
      </c>
      <c r="C2622" s="20" t="n">
        <f aca="false">ROUND(0.47/FX,2)</f>
        <v>0.07</v>
      </c>
      <c r="D2622" s="21" t="s">
        <v>3317</v>
      </c>
      <c r="E2622" s="21" t="s">
        <v>841</v>
      </c>
      <c r="F2622" s="21" t="s">
        <v>847</v>
      </c>
    </row>
    <row r="2623" customFormat="false" ht="15" hidden="false" customHeight="false" outlineLevel="0" collapsed="false">
      <c r="B2623" s="19" t="s">
        <v>31081</v>
      </c>
      <c r="C2623" s="20" t="n">
        <f aca="false">ROUND(0.48/FX,2)</f>
        <v>0.07</v>
      </c>
      <c r="D2623" s="21" t="s">
        <v>784</v>
      </c>
      <c r="E2623" s="21" t="s">
        <v>841</v>
      </c>
      <c r="F2623" s="21" t="s">
        <v>847</v>
      </c>
    </row>
    <row r="2624" customFormat="false" ht="15" hidden="false" customHeight="false" outlineLevel="0" collapsed="false">
      <c r="B2624" s="19" t="s">
        <v>31082</v>
      </c>
      <c r="C2624" s="20" t="n">
        <f aca="false">ROUND(4.85/FX,2)</f>
        <v>0.67</v>
      </c>
      <c r="D2624" s="21" t="s">
        <v>1520</v>
      </c>
      <c r="E2624" s="21" t="s">
        <v>841</v>
      </c>
      <c r="F2624" s="21" t="s">
        <v>847</v>
      </c>
    </row>
    <row r="2625" customFormat="false" ht="15" hidden="false" customHeight="false" outlineLevel="0" collapsed="false">
      <c r="B2625" s="19" t="s">
        <v>31083</v>
      </c>
      <c r="C2625" s="20" t="n">
        <f aca="false">ROUND(0.53/FX,2)</f>
        <v>0.07</v>
      </c>
      <c r="D2625" s="21" t="s">
        <v>3328</v>
      </c>
      <c r="E2625" s="21" t="s">
        <v>841</v>
      </c>
      <c r="F2625" s="21" t="s">
        <v>847</v>
      </c>
    </row>
    <row r="2626" customFormat="false" ht="15" hidden="false" customHeight="false" outlineLevel="0" collapsed="false">
      <c r="B2626" s="19" t="s">
        <v>31084</v>
      </c>
      <c r="C2626" s="20" t="n">
        <f aca="false">ROUND(0.6/FX,2)</f>
        <v>0.08</v>
      </c>
      <c r="D2626" s="21" t="s">
        <v>6246</v>
      </c>
      <c r="E2626" s="21" t="s">
        <v>841</v>
      </c>
      <c r="F2626" s="21" t="s">
        <v>847</v>
      </c>
    </row>
    <row r="2627" customFormat="false" ht="15" hidden="false" customHeight="false" outlineLevel="0" collapsed="false">
      <c r="B2627" s="19" t="s">
        <v>31085</v>
      </c>
      <c r="C2627" s="20" t="n">
        <f aca="false">ROUND(0.65/FX,2)</f>
        <v>0.09</v>
      </c>
      <c r="D2627" s="21" t="s">
        <v>7358</v>
      </c>
      <c r="E2627" s="21" t="s">
        <v>841</v>
      </c>
      <c r="F2627" s="21" t="s">
        <v>847</v>
      </c>
    </row>
    <row r="2628" customFormat="false" ht="15" hidden="false" customHeight="false" outlineLevel="0" collapsed="false">
      <c r="B2628" s="19" t="s">
        <v>31086</v>
      </c>
      <c r="C2628" s="20" t="n">
        <f aca="false">ROUND(0.72/FX,2)</f>
        <v>0.1</v>
      </c>
      <c r="D2628" s="21" t="s">
        <v>2911</v>
      </c>
      <c r="E2628" s="21" t="s">
        <v>841</v>
      </c>
      <c r="F2628" s="21" t="s">
        <v>847</v>
      </c>
    </row>
    <row r="2629" customFormat="false" ht="15" hidden="false" customHeight="false" outlineLevel="0" collapsed="false">
      <c r="B2629" s="19" t="s">
        <v>31087</v>
      </c>
      <c r="C2629" s="20" t="n">
        <f aca="false">ROUND(1.53/FX,2)</f>
        <v>0.21</v>
      </c>
      <c r="D2629" s="21" t="s">
        <v>7275</v>
      </c>
      <c r="E2629" s="21" t="s">
        <v>841</v>
      </c>
      <c r="F2629" s="21" t="s">
        <v>847</v>
      </c>
    </row>
    <row r="2630" customFormat="false" ht="15" hidden="false" customHeight="false" outlineLevel="0" collapsed="false">
      <c r="B2630" s="19" t="s">
        <v>31088</v>
      </c>
      <c r="C2630" s="20" t="n">
        <f aca="false">ROUND(0.83/FX,2)</f>
        <v>0.12</v>
      </c>
      <c r="D2630" s="21" t="s">
        <v>2961</v>
      </c>
      <c r="E2630" s="21" t="s">
        <v>841</v>
      </c>
      <c r="F2630" s="21" t="s">
        <v>847</v>
      </c>
    </row>
    <row r="2631" customFormat="false" ht="15" hidden="false" customHeight="false" outlineLevel="0" collapsed="false">
      <c r="B2631" s="19" t="s">
        <v>31089</v>
      </c>
      <c r="C2631" s="20" t="n">
        <f aca="false">ROUND(0.83/FX,2)</f>
        <v>0.12</v>
      </c>
      <c r="D2631" s="21" t="s">
        <v>13817</v>
      </c>
      <c r="E2631" s="21" t="s">
        <v>841</v>
      </c>
      <c r="F2631" s="21" t="s">
        <v>847</v>
      </c>
    </row>
    <row r="2632" customFormat="false" ht="15" hidden="false" customHeight="false" outlineLevel="0" collapsed="false">
      <c r="B2632" s="19" t="s">
        <v>31090</v>
      </c>
      <c r="C2632" s="20" t="n">
        <f aca="false">ROUND(0.95/FX,2)</f>
        <v>0.13</v>
      </c>
      <c r="D2632" s="21" t="s">
        <v>3011</v>
      </c>
      <c r="E2632" s="21" t="s">
        <v>841</v>
      </c>
      <c r="F2632" s="21" t="s">
        <v>847</v>
      </c>
    </row>
    <row r="2633" customFormat="false" ht="15" hidden="false" customHeight="false" outlineLevel="0" collapsed="false">
      <c r="B2633" s="19" t="s">
        <v>31091</v>
      </c>
      <c r="C2633" s="20" t="n">
        <f aca="false">ROUND(1.07/FX,2)</f>
        <v>0.15</v>
      </c>
      <c r="D2633" s="21" t="s">
        <v>7396</v>
      </c>
      <c r="E2633" s="21" t="s">
        <v>841</v>
      </c>
      <c r="F2633" s="21" t="s">
        <v>847</v>
      </c>
    </row>
    <row r="2634" customFormat="false" ht="15" hidden="false" customHeight="false" outlineLevel="0" collapsed="false">
      <c r="B2634" s="19" t="s">
        <v>31092</v>
      </c>
      <c r="C2634" s="20" t="n">
        <f aca="false">ROUND(1.18/FX,2)</f>
        <v>0.16</v>
      </c>
      <c r="D2634" s="21" t="s">
        <v>3061</v>
      </c>
      <c r="E2634" s="21" t="s">
        <v>841</v>
      </c>
      <c r="F2634" s="21" t="s">
        <v>847</v>
      </c>
    </row>
    <row r="2635" customFormat="false" ht="15" hidden="false" customHeight="false" outlineLevel="0" collapsed="false">
      <c r="B2635" s="19" t="s">
        <v>31093</v>
      </c>
      <c r="C2635" s="20" t="n">
        <f aca="false">ROUND(1.3/FX,2)</f>
        <v>0.18</v>
      </c>
      <c r="D2635" s="21" t="s">
        <v>11870</v>
      </c>
      <c r="E2635" s="21" t="s">
        <v>841</v>
      </c>
      <c r="F2635" s="21" t="s">
        <v>847</v>
      </c>
    </row>
    <row r="2636" customFormat="false" ht="15" hidden="false" customHeight="false" outlineLevel="0" collapsed="false">
      <c r="B2636" s="19" t="s">
        <v>31094</v>
      </c>
      <c r="C2636" s="20" t="n">
        <f aca="false">ROUND(1.3/FX,2)</f>
        <v>0.18</v>
      </c>
      <c r="D2636" s="21" t="s">
        <v>3111</v>
      </c>
      <c r="E2636" s="21" t="s">
        <v>841</v>
      </c>
      <c r="F2636" s="21" t="s">
        <v>847</v>
      </c>
    </row>
    <row r="2637" customFormat="false" ht="15" hidden="false" customHeight="false" outlineLevel="0" collapsed="false">
      <c r="B2637" s="19" t="s">
        <v>31095</v>
      </c>
      <c r="C2637" s="20" t="n">
        <f aca="false">ROUND(1.42/FX,2)</f>
        <v>0.2</v>
      </c>
      <c r="D2637" s="21" t="s">
        <v>12306</v>
      </c>
      <c r="E2637" s="21" t="s">
        <v>841</v>
      </c>
      <c r="F2637" s="21" t="s">
        <v>847</v>
      </c>
    </row>
    <row r="2640" customFormat="false" ht="61.5" hidden="false" customHeight="true" outlineLevel="0" collapsed="false">
      <c r="A2640" s="9"/>
      <c r="B2640" s="10" t="s">
        <v>31096</v>
      </c>
      <c r="C2640" s="10"/>
      <c r="D2640" s="10"/>
      <c r="E2640" s="10"/>
      <c r="F2640" s="10"/>
    </row>
    <row r="2641" customFormat="false" ht="15" hidden="false" customHeight="false" outlineLevel="0" collapsed="false">
      <c r="A2641" s="12" t="s">
        <v>700</v>
      </c>
      <c r="B2641" s="13" t="s">
        <v>701</v>
      </c>
      <c r="C2641" s="13" t="s">
        <v>702</v>
      </c>
      <c r="D2641" s="13" t="s">
        <v>11716</v>
      </c>
      <c r="E2641" s="13" t="s">
        <v>7711</v>
      </c>
      <c r="F2641" s="13" t="s">
        <v>14350</v>
      </c>
    </row>
    <row r="2642" customFormat="false" ht="30" hidden="false" customHeight="true" outlineLevel="0" collapsed="false">
      <c r="A2642" s="14" t="s">
        <v>706</v>
      </c>
      <c r="B2642" s="15" t="str">
        <f aca="false">IF(COUNTIFS($D$2645:$D$2987,IF(D2642="","*",D2642),$E$2645:$E$2987,IF(E2642="","*",E2642),$F$2645:$F$2987,IF(F2642="","*",F2642))=1,INDEX($B:$B,SUMPRODUCT(((D2642="")+($D$2645:$D$2987=D2642)&gt;0)*((E2642="")+($E$2645:$E$2987=E2642)&gt;0)*((F2642="")+($F$2645:$F$2987=F2642)&gt;0)*ROW($B$2645:$B$2987))),IF(COUNTIFS($D$2645:$D$2987,IF(D2642="","*",D2642),$E$2645:$E$2987,IF(E2642="","*",E2642),$F$2645:$F$2987,IF(F2642="","*",F2642))=0,"Not available",COUNTIFS($D$2645:$D$2987,IF(D2642="","*",D2642),$E$2645:$E$2987,IF(E2642="","*",E2642),$F$2645:$F$2987,IF(F2642="","*",F2642))&amp;" match, keep choosing"))</f>
        <v>SPR-YL-10-5-100</v>
      </c>
      <c r="C2642" s="16" t="n">
        <f aca="false">IF(COUNTIFS($D$2645:$D$2987,IF(D2642="","*",D2642),$E$2645:$E$2987,IF(E2642="","*",E2642),$F$2645:$F$2987,IF(F2642="","*",F2642))=1,INDEX($C:$C,SUMPRODUCT(((D2642="")+($D$2645:$D$2987=D2642)&gt;0)*((E2642="")+($E$2645:$E$2987=E2642)&gt;0)*((F2642="")+($F$2645:$F$2987=F2642)&gt;0)*ROW($B$2645:$B$2987))),"")</f>
        <v>0.21</v>
      </c>
      <c r="D2642" s="17" t="s">
        <v>2600</v>
      </c>
      <c r="E2642" s="17" t="s">
        <v>789</v>
      </c>
      <c r="F2642" s="17" t="s">
        <v>707</v>
      </c>
    </row>
    <row r="2644" customFormat="false" ht="15" hidden="false" customHeight="false" outlineLevel="0" collapsed="false">
      <c r="B2644" s="18" t="s">
        <v>701</v>
      </c>
      <c r="C2644" s="18" t="s">
        <v>702</v>
      </c>
      <c r="D2644" s="18" t="s">
        <v>11716</v>
      </c>
      <c r="E2644" s="18" t="s">
        <v>7711</v>
      </c>
      <c r="F2644" s="18" t="s">
        <v>14350</v>
      </c>
    </row>
    <row r="2645" customFormat="false" ht="15" hidden="false" customHeight="false" outlineLevel="0" collapsed="false">
      <c r="B2645" s="19" t="s">
        <v>31097</v>
      </c>
      <c r="C2645" s="20" t="n">
        <f aca="false">ROUND(1.54/FX,2)</f>
        <v>0.21</v>
      </c>
      <c r="D2645" s="21" t="s">
        <v>2600</v>
      </c>
      <c r="E2645" s="21" t="s">
        <v>789</v>
      </c>
      <c r="F2645" s="21" t="s">
        <v>707</v>
      </c>
    </row>
    <row r="2646" customFormat="false" ht="15" hidden="false" customHeight="false" outlineLevel="0" collapsed="false">
      <c r="B2646" s="19" t="s">
        <v>31098</v>
      </c>
      <c r="C2646" s="20" t="n">
        <f aca="false">ROUND(1.77/FX,2)</f>
        <v>0.25</v>
      </c>
      <c r="D2646" s="21" t="s">
        <v>11968</v>
      </c>
      <c r="E2646" s="21" t="s">
        <v>789</v>
      </c>
      <c r="F2646" s="21" t="s">
        <v>707</v>
      </c>
    </row>
    <row r="2647" customFormat="false" ht="15" hidden="false" customHeight="false" outlineLevel="0" collapsed="false">
      <c r="B2647" s="19" t="s">
        <v>31099</v>
      </c>
      <c r="C2647" s="20" t="n">
        <f aca="false">ROUND(0.48/FX,2)</f>
        <v>0.07</v>
      </c>
      <c r="D2647" s="21" t="s">
        <v>3247</v>
      </c>
      <c r="E2647" s="21" t="s">
        <v>789</v>
      </c>
      <c r="F2647" s="21" t="s">
        <v>707</v>
      </c>
    </row>
    <row r="2648" customFormat="false" ht="15" hidden="false" customHeight="false" outlineLevel="0" collapsed="false">
      <c r="B2648" s="19" t="s">
        <v>31100</v>
      </c>
      <c r="C2648" s="20" t="n">
        <f aca="false">ROUND(0.48/FX,2)</f>
        <v>0.07</v>
      </c>
      <c r="D2648" s="21" t="s">
        <v>3317</v>
      </c>
      <c r="E2648" s="21" t="s">
        <v>789</v>
      </c>
      <c r="F2648" s="21" t="s">
        <v>707</v>
      </c>
    </row>
    <row r="2649" customFormat="false" ht="15" hidden="false" customHeight="false" outlineLevel="0" collapsed="false">
      <c r="B2649" s="19" t="s">
        <v>31101</v>
      </c>
      <c r="C2649" s="20" t="n">
        <f aca="false">ROUND(0.48/FX,2)</f>
        <v>0.07</v>
      </c>
      <c r="D2649" s="21" t="s">
        <v>784</v>
      </c>
      <c r="E2649" s="21" t="s">
        <v>789</v>
      </c>
      <c r="F2649" s="21" t="s">
        <v>707</v>
      </c>
    </row>
    <row r="2650" customFormat="false" ht="15" hidden="false" customHeight="false" outlineLevel="0" collapsed="false">
      <c r="B2650" s="19" t="s">
        <v>31102</v>
      </c>
      <c r="C2650" s="20" t="n">
        <f aca="false">ROUND(4.1/FX,2)</f>
        <v>0.57</v>
      </c>
      <c r="D2650" s="21" t="s">
        <v>1520</v>
      </c>
      <c r="E2650" s="21" t="s">
        <v>789</v>
      </c>
      <c r="F2650" s="21" t="s">
        <v>707</v>
      </c>
    </row>
    <row r="2651" customFormat="false" ht="15" hidden="false" customHeight="false" outlineLevel="0" collapsed="false">
      <c r="B2651" s="19" t="s">
        <v>31103</v>
      </c>
      <c r="C2651" s="20" t="n">
        <f aca="false">ROUND(0.54/FX,2)</f>
        <v>0.08</v>
      </c>
      <c r="D2651" s="21" t="s">
        <v>3328</v>
      </c>
      <c r="E2651" s="21" t="s">
        <v>789</v>
      </c>
      <c r="F2651" s="21" t="s">
        <v>707</v>
      </c>
    </row>
    <row r="2652" customFormat="false" ht="15" hidden="false" customHeight="false" outlineLevel="0" collapsed="false">
      <c r="B2652" s="19" t="s">
        <v>31104</v>
      </c>
      <c r="C2652" s="20" t="n">
        <f aca="false">ROUND(0.6/FX,2)</f>
        <v>0.08</v>
      </c>
      <c r="D2652" s="21" t="s">
        <v>6246</v>
      </c>
      <c r="E2652" s="21" t="s">
        <v>789</v>
      </c>
      <c r="F2652" s="21" t="s">
        <v>707</v>
      </c>
    </row>
    <row r="2653" customFormat="false" ht="15" hidden="false" customHeight="false" outlineLevel="0" collapsed="false">
      <c r="B2653" s="19" t="s">
        <v>31105</v>
      </c>
      <c r="C2653" s="20" t="n">
        <f aca="false">ROUND(0.65/FX,2)</f>
        <v>0.09</v>
      </c>
      <c r="D2653" s="21" t="s">
        <v>7358</v>
      </c>
      <c r="E2653" s="21" t="s">
        <v>789</v>
      </c>
      <c r="F2653" s="21" t="s">
        <v>707</v>
      </c>
    </row>
    <row r="2654" customFormat="false" ht="15" hidden="false" customHeight="false" outlineLevel="0" collapsed="false">
      <c r="B2654" s="19" t="s">
        <v>31106</v>
      </c>
      <c r="C2654" s="20" t="n">
        <f aca="false">ROUND(1.04/FX,2)</f>
        <v>0.14</v>
      </c>
      <c r="D2654" s="21" t="s">
        <v>2911</v>
      </c>
      <c r="E2654" s="21" t="s">
        <v>789</v>
      </c>
      <c r="F2654" s="21" t="s">
        <v>707</v>
      </c>
    </row>
    <row r="2655" customFormat="false" ht="15" hidden="false" customHeight="false" outlineLevel="0" collapsed="false">
      <c r="B2655" s="19" t="s">
        <v>31107</v>
      </c>
      <c r="C2655" s="20" t="n">
        <f aca="false">ROUND(0.77/FX,2)</f>
        <v>0.11</v>
      </c>
      <c r="D2655" s="21" t="s">
        <v>7275</v>
      </c>
      <c r="E2655" s="21" t="s">
        <v>789</v>
      </c>
      <c r="F2655" s="21" t="s">
        <v>707</v>
      </c>
    </row>
    <row r="2656" customFormat="false" ht="15" hidden="false" customHeight="false" outlineLevel="0" collapsed="false">
      <c r="B2656" s="19" t="s">
        <v>31108</v>
      </c>
      <c r="C2656" s="20" t="n">
        <f aca="false">ROUND(0.83/FX,2)</f>
        <v>0.12</v>
      </c>
      <c r="D2656" s="21" t="s">
        <v>2961</v>
      </c>
      <c r="E2656" s="21" t="s">
        <v>789</v>
      </c>
      <c r="F2656" s="21" t="s">
        <v>707</v>
      </c>
    </row>
    <row r="2657" customFormat="false" ht="15" hidden="false" customHeight="false" outlineLevel="0" collapsed="false">
      <c r="B2657" s="19" t="s">
        <v>31109</v>
      </c>
      <c r="C2657" s="20" t="n">
        <f aca="false">ROUND(0.89/FX,2)</f>
        <v>0.12</v>
      </c>
      <c r="D2657" s="21" t="s">
        <v>13817</v>
      </c>
      <c r="E2657" s="21" t="s">
        <v>789</v>
      </c>
      <c r="F2657" s="21" t="s">
        <v>707</v>
      </c>
    </row>
    <row r="2658" customFormat="false" ht="15" hidden="false" customHeight="false" outlineLevel="0" collapsed="false">
      <c r="B2658" s="19" t="s">
        <v>31110</v>
      </c>
      <c r="C2658" s="20" t="n">
        <f aca="false">ROUND(0.95/FX,2)</f>
        <v>0.13</v>
      </c>
      <c r="D2658" s="21" t="s">
        <v>3011</v>
      </c>
      <c r="E2658" s="21" t="s">
        <v>789</v>
      </c>
      <c r="F2658" s="21" t="s">
        <v>707</v>
      </c>
    </row>
    <row r="2659" customFormat="false" ht="15" hidden="false" customHeight="false" outlineLevel="0" collapsed="false">
      <c r="B2659" s="19" t="s">
        <v>31111</v>
      </c>
      <c r="C2659" s="20" t="n">
        <f aca="false">ROUND(1/FX,2)</f>
        <v>0.14</v>
      </c>
      <c r="D2659" s="21" t="s">
        <v>7396</v>
      </c>
      <c r="E2659" s="21" t="s">
        <v>789</v>
      </c>
      <c r="F2659" s="21" t="s">
        <v>707</v>
      </c>
    </row>
    <row r="2660" customFormat="false" ht="15" hidden="false" customHeight="false" outlineLevel="0" collapsed="false">
      <c r="B2660" s="19" t="s">
        <v>31112</v>
      </c>
      <c r="C2660" s="20" t="n">
        <f aca="false">ROUND(1.07/FX,2)</f>
        <v>0.15</v>
      </c>
      <c r="D2660" s="21" t="s">
        <v>3061</v>
      </c>
      <c r="E2660" s="21" t="s">
        <v>789</v>
      </c>
      <c r="F2660" s="21" t="s">
        <v>707</v>
      </c>
    </row>
    <row r="2661" customFormat="false" ht="15" hidden="false" customHeight="false" outlineLevel="0" collapsed="false">
      <c r="B2661" s="19" t="s">
        <v>31113</v>
      </c>
      <c r="C2661" s="20" t="n">
        <f aca="false">ROUND(1.11/FX,2)</f>
        <v>0.15</v>
      </c>
      <c r="D2661" s="21" t="s">
        <v>11870</v>
      </c>
      <c r="E2661" s="21" t="s">
        <v>789</v>
      </c>
      <c r="F2661" s="21" t="s">
        <v>707</v>
      </c>
    </row>
    <row r="2662" customFormat="false" ht="15" hidden="false" customHeight="false" outlineLevel="0" collapsed="false">
      <c r="B2662" s="19" t="s">
        <v>31114</v>
      </c>
      <c r="C2662" s="20" t="n">
        <f aca="false">ROUND(1.18/FX,2)</f>
        <v>0.16</v>
      </c>
      <c r="D2662" s="21" t="s">
        <v>3111</v>
      </c>
      <c r="E2662" s="21" t="s">
        <v>789</v>
      </c>
      <c r="F2662" s="21" t="s">
        <v>707</v>
      </c>
    </row>
    <row r="2663" customFormat="false" ht="15" hidden="false" customHeight="false" outlineLevel="0" collapsed="false">
      <c r="B2663" s="19" t="s">
        <v>31115</v>
      </c>
      <c r="C2663" s="20" t="n">
        <f aca="false">ROUND(1.54/FX,2)</f>
        <v>0.21</v>
      </c>
      <c r="D2663" s="21" t="s">
        <v>12306</v>
      </c>
      <c r="E2663" s="21" t="s">
        <v>789</v>
      </c>
      <c r="F2663" s="21" t="s">
        <v>707</v>
      </c>
    </row>
    <row r="2664" customFormat="false" ht="15" hidden="false" customHeight="false" outlineLevel="0" collapsed="false">
      <c r="B2664" s="19" t="s">
        <v>31116</v>
      </c>
      <c r="C2664" s="20" t="n">
        <f aca="false">ROUND(1.3/FX,2)</f>
        <v>0.18</v>
      </c>
      <c r="D2664" s="21" t="s">
        <v>2600</v>
      </c>
      <c r="E2664" s="21" t="s">
        <v>716</v>
      </c>
      <c r="F2664" s="21" t="s">
        <v>761</v>
      </c>
    </row>
    <row r="2665" customFormat="false" ht="15" hidden="false" customHeight="false" outlineLevel="0" collapsed="false">
      <c r="B2665" s="19" t="s">
        <v>31117</v>
      </c>
      <c r="C2665" s="20" t="n">
        <f aca="false">ROUND(1.65/FX,2)</f>
        <v>0.23</v>
      </c>
      <c r="D2665" s="21" t="s">
        <v>11968</v>
      </c>
      <c r="E2665" s="21" t="s">
        <v>716</v>
      </c>
      <c r="F2665" s="21" t="s">
        <v>761</v>
      </c>
    </row>
    <row r="2666" customFormat="false" ht="15" hidden="false" customHeight="false" outlineLevel="0" collapsed="false">
      <c r="B2666" s="19" t="s">
        <v>31118</v>
      </c>
      <c r="C2666" s="20" t="n">
        <f aca="false">ROUND(0.48/FX,2)</f>
        <v>0.07</v>
      </c>
      <c r="D2666" s="21" t="s">
        <v>3247</v>
      </c>
      <c r="E2666" s="21" t="s">
        <v>716</v>
      </c>
      <c r="F2666" s="21" t="s">
        <v>761</v>
      </c>
    </row>
    <row r="2667" customFormat="false" ht="15" hidden="false" customHeight="false" outlineLevel="0" collapsed="false">
      <c r="B2667" s="19" t="s">
        <v>31119</v>
      </c>
      <c r="C2667" s="20" t="n">
        <f aca="false">ROUND(0.47/FX,2)</f>
        <v>0.07</v>
      </c>
      <c r="D2667" s="21" t="s">
        <v>3317</v>
      </c>
      <c r="E2667" s="21" t="s">
        <v>716</v>
      </c>
      <c r="F2667" s="21" t="s">
        <v>761</v>
      </c>
    </row>
    <row r="2668" customFormat="false" ht="15" hidden="false" customHeight="false" outlineLevel="0" collapsed="false">
      <c r="B2668" s="19" t="s">
        <v>31120</v>
      </c>
      <c r="C2668" s="20" t="n">
        <f aca="false">ROUND(0.54/FX,2)</f>
        <v>0.08</v>
      </c>
      <c r="D2668" s="21" t="s">
        <v>784</v>
      </c>
      <c r="E2668" s="21" t="s">
        <v>716</v>
      </c>
      <c r="F2668" s="21" t="s">
        <v>761</v>
      </c>
    </row>
    <row r="2669" customFormat="false" ht="15" hidden="false" customHeight="false" outlineLevel="0" collapsed="false">
      <c r="B2669" s="19" t="s">
        <v>31121</v>
      </c>
      <c r="C2669" s="20" t="n">
        <f aca="false">ROUND(4.1/FX,2)</f>
        <v>0.57</v>
      </c>
      <c r="D2669" s="21" t="s">
        <v>1520</v>
      </c>
      <c r="E2669" s="21" t="s">
        <v>716</v>
      </c>
      <c r="F2669" s="21" t="s">
        <v>761</v>
      </c>
    </row>
    <row r="2670" customFormat="false" ht="15" hidden="false" customHeight="false" outlineLevel="0" collapsed="false">
      <c r="B2670" s="19" t="s">
        <v>31122</v>
      </c>
      <c r="C2670" s="20" t="n">
        <f aca="false">ROUND(0.85/FX,2)</f>
        <v>0.12</v>
      </c>
      <c r="D2670" s="21" t="s">
        <v>3328</v>
      </c>
      <c r="E2670" s="21" t="s">
        <v>716</v>
      </c>
      <c r="F2670" s="21" t="s">
        <v>761</v>
      </c>
    </row>
    <row r="2671" customFormat="false" ht="15" hidden="false" customHeight="false" outlineLevel="0" collapsed="false">
      <c r="B2671" s="19" t="s">
        <v>31123</v>
      </c>
      <c r="C2671" s="20" t="n">
        <f aca="false">ROUND(0.65/FX,2)</f>
        <v>0.09</v>
      </c>
      <c r="D2671" s="21" t="s">
        <v>6246</v>
      </c>
      <c r="E2671" s="21" t="s">
        <v>716</v>
      </c>
      <c r="F2671" s="21" t="s">
        <v>761</v>
      </c>
    </row>
    <row r="2672" customFormat="false" ht="15" hidden="false" customHeight="false" outlineLevel="0" collapsed="false">
      <c r="B2672" s="19" t="s">
        <v>31124</v>
      </c>
      <c r="C2672" s="20" t="n">
        <f aca="false">ROUND(0.65/FX,2)</f>
        <v>0.09</v>
      </c>
      <c r="D2672" s="21" t="s">
        <v>7358</v>
      </c>
      <c r="E2672" s="21" t="s">
        <v>716</v>
      </c>
      <c r="F2672" s="21" t="s">
        <v>761</v>
      </c>
    </row>
    <row r="2673" customFormat="false" ht="15" hidden="false" customHeight="false" outlineLevel="0" collapsed="false">
      <c r="B2673" s="19" t="s">
        <v>31125</v>
      </c>
      <c r="C2673" s="20" t="n">
        <f aca="false">ROUND(0.77/FX,2)</f>
        <v>0.11</v>
      </c>
      <c r="D2673" s="21" t="s">
        <v>2911</v>
      </c>
      <c r="E2673" s="21" t="s">
        <v>716</v>
      </c>
      <c r="F2673" s="21" t="s">
        <v>761</v>
      </c>
    </row>
    <row r="2674" customFormat="false" ht="15" hidden="false" customHeight="false" outlineLevel="0" collapsed="false">
      <c r="B2674" s="19" t="s">
        <v>31126</v>
      </c>
      <c r="C2674" s="20" t="n">
        <f aca="false">ROUND(0.83/FX,2)</f>
        <v>0.12</v>
      </c>
      <c r="D2674" s="21" t="s">
        <v>7275</v>
      </c>
      <c r="E2674" s="21" t="s">
        <v>716</v>
      </c>
      <c r="F2674" s="21" t="s">
        <v>761</v>
      </c>
    </row>
    <row r="2675" customFormat="false" ht="15" hidden="false" customHeight="false" outlineLevel="0" collapsed="false">
      <c r="B2675" s="19" t="s">
        <v>31127</v>
      </c>
      <c r="C2675" s="20" t="n">
        <f aca="false">ROUND(0.89/FX,2)</f>
        <v>0.12</v>
      </c>
      <c r="D2675" s="21" t="s">
        <v>2961</v>
      </c>
      <c r="E2675" s="21" t="s">
        <v>716</v>
      </c>
      <c r="F2675" s="21" t="s">
        <v>761</v>
      </c>
    </row>
    <row r="2676" customFormat="false" ht="15" hidden="false" customHeight="false" outlineLevel="0" collapsed="false">
      <c r="B2676" s="19" t="s">
        <v>31128</v>
      </c>
      <c r="C2676" s="20" t="n">
        <f aca="false">ROUND(0.95/FX,2)</f>
        <v>0.13</v>
      </c>
      <c r="D2676" s="21" t="s">
        <v>13817</v>
      </c>
      <c r="E2676" s="21" t="s">
        <v>716</v>
      </c>
      <c r="F2676" s="21" t="s">
        <v>761</v>
      </c>
    </row>
    <row r="2677" customFormat="false" ht="15" hidden="false" customHeight="false" outlineLevel="0" collapsed="false">
      <c r="B2677" s="19" t="s">
        <v>31129</v>
      </c>
      <c r="C2677" s="20" t="n">
        <f aca="false">ROUND(1/FX,2)</f>
        <v>0.14</v>
      </c>
      <c r="D2677" s="21" t="s">
        <v>3011</v>
      </c>
      <c r="E2677" s="21" t="s">
        <v>716</v>
      </c>
      <c r="F2677" s="21" t="s">
        <v>761</v>
      </c>
    </row>
    <row r="2678" customFormat="false" ht="15" hidden="false" customHeight="false" outlineLevel="0" collapsed="false">
      <c r="B2678" s="19" t="s">
        <v>31130</v>
      </c>
      <c r="C2678" s="20" t="n">
        <f aca="false">ROUND(1.07/FX,2)</f>
        <v>0.15</v>
      </c>
      <c r="D2678" s="21" t="s">
        <v>7396</v>
      </c>
      <c r="E2678" s="21" t="s">
        <v>716</v>
      </c>
      <c r="F2678" s="21" t="s">
        <v>761</v>
      </c>
    </row>
    <row r="2679" customFormat="false" ht="15" hidden="false" customHeight="false" outlineLevel="0" collapsed="false">
      <c r="B2679" s="19" t="s">
        <v>31131</v>
      </c>
      <c r="C2679" s="20" t="n">
        <f aca="false">ROUND(1.12/FX,2)</f>
        <v>0.16</v>
      </c>
      <c r="D2679" s="21" t="s">
        <v>3061</v>
      </c>
      <c r="E2679" s="21" t="s">
        <v>716</v>
      </c>
      <c r="F2679" s="21" t="s">
        <v>761</v>
      </c>
    </row>
    <row r="2680" customFormat="false" ht="15" hidden="false" customHeight="false" outlineLevel="0" collapsed="false">
      <c r="B2680" s="19" t="s">
        <v>31132</v>
      </c>
      <c r="C2680" s="20" t="n">
        <f aca="false">ROUND(1.18/FX,2)</f>
        <v>0.16</v>
      </c>
      <c r="D2680" s="21" t="s">
        <v>11870</v>
      </c>
      <c r="E2680" s="21" t="s">
        <v>716</v>
      </c>
      <c r="F2680" s="21" t="s">
        <v>761</v>
      </c>
    </row>
    <row r="2681" customFormat="false" ht="15" hidden="false" customHeight="false" outlineLevel="0" collapsed="false">
      <c r="B2681" s="19" t="s">
        <v>31133</v>
      </c>
      <c r="C2681" s="20" t="n">
        <f aca="false">ROUND(1.3/FX,2)</f>
        <v>0.18</v>
      </c>
      <c r="D2681" s="21" t="s">
        <v>3111</v>
      </c>
      <c r="E2681" s="21" t="s">
        <v>716</v>
      </c>
      <c r="F2681" s="21" t="s">
        <v>761</v>
      </c>
    </row>
    <row r="2682" customFormat="false" ht="15" hidden="false" customHeight="false" outlineLevel="0" collapsed="false">
      <c r="B2682" s="19" t="s">
        <v>31134</v>
      </c>
      <c r="C2682" s="20" t="n">
        <f aca="false">ROUND(1.42/FX,2)</f>
        <v>0.2</v>
      </c>
      <c r="D2682" s="21" t="s">
        <v>2600</v>
      </c>
      <c r="E2682" s="21" t="s">
        <v>845</v>
      </c>
      <c r="F2682" s="21" t="s">
        <v>4721</v>
      </c>
    </row>
    <row r="2683" customFormat="false" ht="15" hidden="false" customHeight="false" outlineLevel="0" collapsed="false">
      <c r="B2683" s="19" t="s">
        <v>31135</v>
      </c>
      <c r="C2683" s="20" t="n">
        <f aca="false">ROUND(1.77/FX,2)</f>
        <v>0.25</v>
      </c>
      <c r="D2683" s="21" t="s">
        <v>11968</v>
      </c>
      <c r="E2683" s="21" t="s">
        <v>845</v>
      </c>
      <c r="F2683" s="21" t="s">
        <v>4721</v>
      </c>
    </row>
    <row r="2684" customFormat="false" ht="15" hidden="false" customHeight="false" outlineLevel="0" collapsed="false">
      <c r="B2684" s="19" t="s">
        <v>31136</v>
      </c>
      <c r="C2684" s="20" t="n">
        <f aca="false">ROUND(2.12/FX,2)</f>
        <v>0.29</v>
      </c>
      <c r="D2684" s="21" t="s">
        <v>2851</v>
      </c>
      <c r="E2684" s="21" t="s">
        <v>845</v>
      </c>
      <c r="F2684" s="21" t="s">
        <v>4721</v>
      </c>
    </row>
    <row r="2685" customFormat="false" ht="15" hidden="false" customHeight="false" outlineLevel="0" collapsed="false">
      <c r="B2685" s="19" t="s">
        <v>31137</v>
      </c>
      <c r="C2685" s="20" t="n">
        <f aca="false">ROUND(0.48/FX,2)</f>
        <v>0.07</v>
      </c>
      <c r="D2685" s="21" t="s">
        <v>3247</v>
      </c>
      <c r="E2685" s="21" t="s">
        <v>845</v>
      </c>
      <c r="F2685" s="21" t="s">
        <v>4721</v>
      </c>
    </row>
    <row r="2686" customFormat="false" ht="15" hidden="false" customHeight="false" outlineLevel="0" collapsed="false">
      <c r="B2686" s="19" t="s">
        <v>31138</v>
      </c>
      <c r="C2686" s="20" t="n">
        <f aca="false">ROUND(0.48/FX,2)</f>
        <v>0.07</v>
      </c>
      <c r="D2686" s="21" t="s">
        <v>3317</v>
      </c>
      <c r="E2686" s="21" t="s">
        <v>845</v>
      </c>
      <c r="F2686" s="21" t="s">
        <v>4721</v>
      </c>
    </row>
    <row r="2687" customFormat="false" ht="15" hidden="false" customHeight="false" outlineLevel="0" collapsed="false">
      <c r="B2687" s="19" t="s">
        <v>31139</v>
      </c>
      <c r="C2687" s="20" t="n">
        <f aca="false">ROUND(0.54/FX,2)</f>
        <v>0.08</v>
      </c>
      <c r="D2687" s="21" t="s">
        <v>784</v>
      </c>
      <c r="E2687" s="21" t="s">
        <v>845</v>
      </c>
      <c r="F2687" s="21" t="s">
        <v>4721</v>
      </c>
    </row>
    <row r="2688" customFormat="false" ht="15" hidden="false" customHeight="false" outlineLevel="0" collapsed="false">
      <c r="B2688" s="19" t="s">
        <v>31140</v>
      </c>
      <c r="C2688" s="20" t="n">
        <f aca="false">ROUND(5.45/FX,2)</f>
        <v>0.76</v>
      </c>
      <c r="D2688" s="21" t="s">
        <v>1520</v>
      </c>
      <c r="E2688" s="21" t="s">
        <v>845</v>
      </c>
      <c r="F2688" s="21" t="s">
        <v>4721</v>
      </c>
    </row>
    <row r="2689" customFormat="false" ht="15" hidden="false" customHeight="false" outlineLevel="0" collapsed="false">
      <c r="B2689" s="19" t="s">
        <v>31141</v>
      </c>
      <c r="C2689" s="20" t="n">
        <f aca="false">ROUND(0.6/FX,2)</f>
        <v>0.08</v>
      </c>
      <c r="D2689" s="21" t="s">
        <v>3328</v>
      </c>
      <c r="E2689" s="21" t="s">
        <v>845</v>
      </c>
      <c r="F2689" s="21" t="s">
        <v>4721</v>
      </c>
    </row>
    <row r="2690" customFormat="false" ht="15" hidden="false" customHeight="false" outlineLevel="0" collapsed="false">
      <c r="B2690" s="19" t="s">
        <v>31142</v>
      </c>
      <c r="C2690" s="20" t="n">
        <f aca="false">ROUND(0.65/FX,2)</f>
        <v>0.09</v>
      </c>
      <c r="D2690" s="21" t="s">
        <v>6246</v>
      </c>
      <c r="E2690" s="21" t="s">
        <v>845</v>
      </c>
      <c r="F2690" s="21" t="s">
        <v>4721</v>
      </c>
    </row>
    <row r="2691" customFormat="false" ht="15" hidden="false" customHeight="false" outlineLevel="0" collapsed="false">
      <c r="B2691" s="19" t="s">
        <v>31143</v>
      </c>
      <c r="C2691" s="20" t="n">
        <f aca="false">ROUND(0.72/FX,2)</f>
        <v>0.1</v>
      </c>
      <c r="D2691" s="21" t="s">
        <v>7358</v>
      </c>
      <c r="E2691" s="21" t="s">
        <v>845</v>
      </c>
      <c r="F2691" s="21" t="s">
        <v>4721</v>
      </c>
    </row>
    <row r="2692" customFormat="false" ht="15" hidden="false" customHeight="false" outlineLevel="0" collapsed="false">
      <c r="B2692" s="19" t="s">
        <v>31144</v>
      </c>
      <c r="C2692" s="20" t="n">
        <f aca="false">ROUND(0.77/FX,2)</f>
        <v>0.11</v>
      </c>
      <c r="D2692" s="21" t="s">
        <v>2911</v>
      </c>
      <c r="E2692" s="21" t="s">
        <v>845</v>
      </c>
      <c r="F2692" s="21" t="s">
        <v>4721</v>
      </c>
    </row>
    <row r="2693" customFormat="false" ht="15" hidden="false" customHeight="false" outlineLevel="0" collapsed="false">
      <c r="B2693" s="19" t="s">
        <v>31145</v>
      </c>
      <c r="C2693" s="20" t="n">
        <f aca="false">ROUND(0.83/FX,2)</f>
        <v>0.12</v>
      </c>
      <c r="D2693" s="21" t="s">
        <v>7275</v>
      </c>
      <c r="E2693" s="21" t="s">
        <v>845</v>
      </c>
      <c r="F2693" s="21" t="s">
        <v>4721</v>
      </c>
    </row>
    <row r="2694" customFormat="false" ht="15" hidden="false" customHeight="false" outlineLevel="0" collapsed="false">
      <c r="B2694" s="19" t="s">
        <v>31146</v>
      </c>
      <c r="C2694" s="20" t="n">
        <f aca="false">ROUND(0.89/FX,2)</f>
        <v>0.12</v>
      </c>
      <c r="D2694" s="21" t="s">
        <v>2961</v>
      </c>
      <c r="E2694" s="21" t="s">
        <v>845</v>
      </c>
      <c r="F2694" s="21" t="s">
        <v>4721</v>
      </c>
    </row>
    <row r="2695" customFormat="false" ht="15" hidden="false" customHeight="false" outlineLevel="0" collapsed="false">
      <c r="B2695" s="19" t="s">
        <v>31147</v>
      </c>
      <c r="C2695" s="20" t="n">
        <f aca="false">ROUND(0.95/FX,2)</f>
        <v>0.13</v>
      </c>
      <c r="D2695" s="21" t="s">
        <v>13817</v>
      </c>
      <c r="E2695" s="21" t="s">
        <v>845</v>
      </c>
      <c r="F2695" s="21" t="s">
        <v>4721</v>
      </c>
    </row>
    <row r="2696" customFormat="false" ht="15" hidden="false" customHeight="false" outlineLevel="0" collapsed="false">
      <c r="B2696" s="19" t="s">
        <v>31148</v>
      </c>
      <c r="C2696" s="20" t="n">
        <f aca="false">ROUND(1/FX,2)</f>
        <v>0.14</v>
      </c>
      <c r="D2696" s="21" t="s">
        <v>3011</v>
      </c>
      <c r="E2696" s="21" t="s">
        <v>845</v>
      </c>
      <c r="F2696" s="21" t="s">
        <v>4721</v>
      </c>
    </row>
    <row r="2697" customFormat="false" ht="15" hidden="false" customHeight="false" outlineLevel="0" collapsed="false">
      <c r="B2697" s="19" t="s">
        <v>31149</v>
      </c>
      <c r="C2697" s="20" t="n">
        <f aca="false">ROUND(1.07/FX,2)</f>
        <v>0.15</v>
      </c>
      <c r="D2697" s="21" t="s">
        <v>7396</v>
      </c>
      <c r="E2697" s="21" t="s">
        <v>845</v>
      </c>
      <c r="F2697" s="21" t="s">
        <v>4721</v>
      </c>
    </row>
    <row r="2698" customFormat="false" ht="15" hidden="false" customHeight="false" outlineLevel="0" collapsed="false">
      <c r="B2698" s="19" t="s">
        <v>31150</v>
      </c>
      <c r="C2698" s="20" t="n">
        <f aca="false">ROUND(1.18/FX,2)</f>
        <v>0.16</v>
      </c>
      <c r="D2698" s="21" t="s">
        <v>3061</v>
      </c>
      <c r="E2698" s="21" t="s">
        <v>845</v>
      </c>
      <c r="F2698" s="21" t="s">
        <v>4721</v>
      </c>
    </row>
    <row r="2699" customFormat="false" ht="15" hidden="false" customHeight="false" outlineLevel="0" collapsed="false">
      <c r="B2699" s="19" t="s">
        <v>31151</v>
      </c>
      <c r="C2699" s="20" t="n">
        <f aca="false">ROUND(1.18/FX,2)</f>
        <v>0.16</v>
      </c>
      <c r="D2699" s="21" t="s">
        <v>11870</v>
      </c>
      <c r="E2699" s="21" t="s">
        <v>845</v>
      </c>
      <c r="F2699" s="21" t="s">
        <v>4721</v>
      </c>
    </row>
    <row r="2700" customFormat="false" ht="15" hidden="false" customHeight="false" outlineLevel="0" collapsed="false">
      <c r="B2700" s="19" t="s">
        <v>31152</v>
      </c>
      <c r="C2700" s="20" t="n">
        <f aca="false">ROUND(1.18/FX,2)</f>
        <v>0.16</v>
      </c>
      <c r="D2700" s="21" t="s">
        <v>3111</v>
      </c>
      <c r="E2700" s="21" t="s">
        <v>845</v>
      </c>
      <c r="F2700" s="21" t="s">
        <v>4721</v>
      </c>
    </row>
    <row r="2701" customFormat="false" ht="15" hidden="false" customHeight="false" outlineLevel="0" collapsed="false">
      <c r="B2701" s="19" t="s">
        <v>31153</v>
      </c>
      <c r="C2701" s="20" t="n">
        <f aca="false">ROUND(2.12/FX,2)</f>
        <v>0.29</v>
      </c>
      <c r="D2701" s="21" t="s">
        <v>2600</v>
      </c>
      <c r="E2701" s="21" t="s">
        <v>847</v>
      </c>
      <c r="F2701" s="21" t="s">
        <v>3833</v>
      </c>
    </row>
    <row r="2702" customFormat="false" ht="15" hidden="false" customHeight="false" outlineLevel="0" collapsed="false">
      <c r="B2702" s="19" t="s">
        <v>31154</v>
      </c>
      <c r="C2702" s="20" t="n">
        <f aca="false">ROUND(2.59/FX,2)</f>
        <v>0.36</v>
      </c>
      <c r="D2702" s="21" t="s">
        <v>11968</v>
      </c>
      <c r="E2702" s="21" t="s">
        <v>847</v>
      </c>
      <c r="F2702" s="21" t="s">
        <v>3833</v>
      </c>
    </row>
    <row r="2703" customFormat="false" ht="15" hidden="false" customHeight="false" outlineLevel="0" collapsed="false">
      <c r="B2703" s="19" t="s">
        <v>31155</v>
      </c>
      <c r="C2703" s="20" t="n">
        <f aca="false">ROUND(3.19/FX,2)</f>
        <v>0.44</v>
      </c>
      <c r="D2703" s="21" t="s">
        <v>2851</v>
      </c>
      <c r="E2703" s="21" t="s">
        <v>847</v>
      </c>
      <c r="F2703" s="21" t="s">
        <v>3833</v>
      </c>
    </row>
    <row r="2704" customFormat="false" ht="15" hidden="false" customHeight="false" outlineLevel="0" collapsed="false">
      <c r="B2704" s="19" t="s">
        <v>31156</v>
      </c>
      <c r="C2704" s="20" t="n">
        <f aca="false">ROUND(0.72/FX,2)</f>
        <v>0.1</v>
      </c>
      <c r="D2704" s="21" t="s">
        <v>3247</v>
      </c>
      <c r="E2704" s="21" t="s">
        <v>847</v>
      </c>
      <c r="F2704" s="21" t="s">
        <v>3833</v>
      </c>
    </row>
    <row r="2705" customFormat="false" ht="15" hidden="false" customHeight="false" outlineLevel="0" collapsed="false">
      <c r="B2705" s="19" t="s">
        <v>31157</v>
      </c>
      <c r="C2705" s="20" t="n">
        <f aca="false">ROUND(0.65/FX,2)</f>
        <v>0.09</v>
      </c>
      <c r="D2705" s="21" t="s">
        <v>3317</v>
      </c>
      <c r="E2705" s="21" t="s">
        <v>847</v>
      </c>
      <c r="F2705" s="21" t="s">
        <v>3833</v>
      </c>
    </row>
    <row r="2706" customFormat="false" ht="15" hidden="false" customHeight="false" outlineLevel="0" collapsed="false">
      <c r="B2706" s="19" t="s">
        <v>31158</v>
      </c>
      <c r="C2706" s="20" t="n">
        <f aca="false">ROUND(0.78/FX,2)</f>
        <v>0.11</v>
      </c>
      <c r="D2706" s="21" t="s">
        <v>784</v>
      </c>
      <c r="E2706" s="21" t="s">
        <v>847</v>
      </c>
      <c r="F2706" s="21" t="s">
        <v>3833</v>
      </c>
    </row>
    <row r="2707" customFormat="false" ht="15" hidden="false" customHeight="false" outlineLevel="0" collapsed="false">
      <c r="B2707" s="19" t="s">
        <v>31159</v>
      </c>
      <c r="C2707" s="20" t="n">
        <f aca="false">ROUND(5.75/FX,2)</f>
        <v>0.8</v>
      </c>
      <c r="D2707" s="21" t="s">
        <v>1520</v>
      </c>
      <c r="E2707" s="21" t="s">
        <v>847</v>
      </c>
      <c r="F2707" s="21" t="s">
        <v>3833</v>
      </c>
    </row>
    <row r="2708" customFormat="false" ht="15" hidden="false" customHeight="false" outlineLevel="0" collapsed="false">
      <c r="B2708" s="19" t="s">
        <v>31160</v>
      </c>
      <c r="C2708" s="20" t="n">
        <f aca="false">ROUND(0.83/FX,2)</f>
        <v>0.12</v>
      </c>
      <c r="D2708" s="21" t="s">
        <v>3328</v>
      </c>
      <c r="E2708" s="21" t="s">
        <v>847</v>
      </c>
      <c r="F2708" s="21" t="s">
        <v>3833</v>
      </c>
    </row>
    <row r="2709" customFormat="false" ht="15" hidden="false" customHeight="false" outlineLevel="0" collapsed="false">
      <c r="B2709" s="19" t="s">
        <v>31161</v>
      </c>
      <c r="C2709" s="20" t="n">
        <f aca="false">ROUND(0.95/FX,2)</f>
        <v>0.13</v>
      </c>
      <c r="D2709" s="21" t="s">
        <v>6246</v>
      </c>
      <c r="E2709" s="21" t="s">
        <v>847</v>
      </c>
      <c r="F2709" s="21" t="s">
        <v>3833</v>
      </c>
    </row>
    <row r="2710" customFormat="false" ht="15" hidden="false" customHeight="false" outlineLevel="0" collapsed="false">
      <c r="B2710" s="19" t="s">
        <v>31162</v>
      </c>
      <c r="C2710" s="20" t="n">
        <f aca="false">ROUND(1.07/FX,2)</f>
        <v>0.15</v>
      </c>
      <c r="D2710" s="21" t="s">
        <v>7358</v>
      </c>
      <c r="E2710" s="21" t="s">
        <v>847</v>
      </c>
      <c r="F2710" s="21" t="s">
        <v>3833</v>
      </c>
    </row>
    <row r="2711" customFormat="false" ht="15" hidden="false" customHeight="false" outlineLevel="0" collapsed="false">
      <c r="B2711" s="19" t="s">
        <v>31163</v>
      </c>
      <c r="C2711" s="20" t="n">
        <f aca="false">ROUND(1.18/FX,2)</f>
        <v>0.16</v>
      </c>
      <c r="D2711" s="21" t="s">
        <v>2911</v>
      </c>
      <c r="E2711" s="21" t="s">
        <v>847</v>
      </c>
      <c r="F2711" s="21" t="s">
        <v>3833</v>
      </c>
    </row>
    <row r="2712" customFormat="false" ht="15" hidden="false" customHeight="false" outlineLevel="0" collapsed="false">
      <c r="B2712" s="19" t="s">
        <v>31164</v>
      </c>
      <c r="C2712" s="20" t="n">
        <f aca="false">ROUND(1.37/FX,2)</f>
        <v>0.19</v>
      </c>
      <c r="D2712" s="21" t="s">
        <v>7275</v>
      </c>
      <c r="E2712" s="21" t="s">
        <v>847</v>
      </c>
      <c r="F2712" s="21" t="s">
        <v>3833</v>
      </c>
    </row>
    <row r="2713" customFormat="false" ht="15" hidden="false" customHeight="false" outlineLevel="0" collapsed="false">
      <c r="B2713" s="19" t="s">
        <v>31165</v>
      </c>
      <c r="C2713" s="20" t="n">
        <f aca="false">ROUND(1.42/FX,2)</f>
        <v>0.2</v>
      </c>
      <c r="D2713" s="21" t="s">
        <v>2961</v>
      </c>
      <c r="E2713" s="21" t="s">
        <v>847</v>
      </c>
      <c r="F2713" s="21" t="s">
        <v>3833</v>
      </c>
    </row>
    <row r="2714" customFormat="false" ht="15" hidden="false" customHeight="false" outlineLevel="0" collapsed="false">
      <c r="B2714" s="19" t="s">
        <v>31166</v>
      </c>
      <c r="C2714" s="20" t="n">
        <f aca="false">ROUND(1.54/FX,2)</f>
        <v>0.21</v>
      </c>
      <c r="D2714" s="21" t="s">
        <v>13817</v>
      </c>
      <c r="E2714" s="21" t="s">
        <v>847</v>
      </c>
      <c r="F2714" s="21" t="s">
        <v>3833</v>
      </c>
    </row>
    <row r="2715" customFormat="false" ht="15" hidden="false" customHeight="false" outlineLevel="0" collapsed="false">
      <c r="B2715" s="19" t="s">
        <v>31167</v>
      </c>
      <c r="C2715" s="20" t="n">
        <f aca="false">ROUND(1.65/FX,2)</f>
        <v>0.23</v>
      </c>
      <c r="D2715" s="21" t="s">
        <v>3011</v>
      </c>
      <c r="E2715" s="21" t="s">
        <v>847</v>
      </c>
      <c r="F2715" s="21" t="s">
        <v>3833</v>
      </c>
    </row>
    <row r="2716" customFormat="false" ht="15" hidden="false" customHeight="false" outlineLevel="0" collapsed="false">
      <c r="B2716" s="19" t="s">
        <v>31168</v>
      </c>
      <c r="C2716" s="20" t="n">
        <f aca="false">ROUND(1.77/FX,2)</f>
        <v>0.25</v>
      </c>
      <c r="D2716" s="21" t="s">
        <v>7396</v>
      </c>
      <c r="E2716" s="21" t="s">
        <v>847</v>
      </c>
      <c r="F2716" s="21" t="s">
        <v>3833</v>
      </c>
    </row>
    <row r="2717" customFormat="false" ht="15" hidden="false" customHeight="false" outlineLevel="0" collapsed="false">
      <c r="B2717" s="19" t="s">
        <v>31169</v>
      </c>
      <c r="C2717" s="20" t="n">
        <f aca="false">ROUND(1.89/FX,2)</f>
        <v>0.26</v>
      </c>
      <c r="D2717" s="21" t="s">
        <v>3061</v>
      </c>
      <c r="E2717" s="21" t="s">
        <v>847</v>
      </c>
      <c r="F2717" s="21" t="s">
        <v>3833</v>
      </c>
    </row>
    <row r="2718" customFormat="false" ht="15" hidden="false" customHeight="false" outlineLevel="0" collapsed="false">
      <c r="B2718" s="19" t="s">
        <v>31170</v>
      </c>
      <c r="C2718" s="20" t="n">
        <f aca="false">ROUND(2/FX,2)</f>
        <v>0.28</v>
      </c>
      <c r="D2718" s="21" t="s">
        <v>11870</v>
      </c>
      <c r="E2718" s="21" t="s">
        <v>847</v>
      </c>
      <c r="F2718" s="21" t="s">
        <v>3833</v>
      </c>
    </row>
    <row r="2719" customFormat="false" ht="15" hidden="false" customHeight="false" outlineLevel="0" collapsed="false">
      <c r="B2719" s="19" t="s">
        <v>31171</v>
      </c>
      <c r="C2719" s="20" t="n">
        <f aca="false">ROUND(2/FX,2)</f>
        <v>0.28</v>
      </c>
      <c r="D2719" s="21" t="s">
        <v>3111</v>
      </c>
      <c r="E2719" s="21" t="s">
        <v>847</v>
      </c>
      <c r="F2719" s="21" t="s">
        <v>3833</v>
      </c>
    </row>
    <row r="2720" customFormat="false" ht="15" hidden="false" customHeight="false" outlineLevel="0" collapsed="false">
      <c r="B2720" s="19" t="s">
        <v>31172</v>
      </c>
      <c r="C2720" s="20" t="n">
        <f aca="false">ROUND(2.35/FX,2)</f>
        <v>0.33</v>
      </c>
      <c r="D2720" s="21" t="s">
        <v>2600</v>
      </c>
      <c r="E2720" s="21" t="s">
        <v>719</v>
      </c>
      <c r="F2720" s="21" t="s">
        <v>4000</v>
      </c>
    </row>
    <row r="2721" customFormat="false" ht="15" hidden="false" customHeight="false" outlineLevel="0" collapsed="false">
      <c r="B2721" s="19" t="s">
        <v>31173</v>
      </c>
      <c r="C2721" s="20" t="n">
        <f aca="false">ROUND(2.47/FX,2)</f>
        <v>0.34</v>
      </c>
      <c r="D2721" s="21" t="s">
        <v>11968</v>
      </c>
      <c r="E2721" s="21" t="s">
        <v>719</v>
      </c>
      <c r="F2721" s="21" t="s">
        <v>4000</v>
      </c>
    </row>
    <row r="2722" customFormat="false" ht="15" hidden="false" customHeight="false" outlineLevel="0" collapsed="false">
      <c r="B2722" s="19" t="s">
        <v>31174</v>
      </c>
      <c r="C2722" s="20" t="n">
        <f aca="false">ROUND(3.89/FX,2)</f>
        <v>0.54</v>
      </c>
      <c r="D2722" s="21" t="s">
        <v>2851</v>
      </c>
      <c r="E2722" s="21" t="s">
        <v>719</v>
      </c>
      <c r="F2722" s="21" t="s">
        <v>4000</v>
      </c>
    </row>
    <row r="2723" customFormat="false" ht="15" hidden="false" customHeight="false" outlineLevel="0" collapsed="false">
      <c r="B2723" s="19" t="s">
        <v>31175</v>
      </c>
      <c r="C2723" s="20" t="n">
        <f aca="false">ROUND(0.68/FX,2)</f>
        <v>0.09</v>
      </c>
      <c r="D2723" s="21" t="s">
        <v>3247</v>
      </c>
      <c r="E2723" s="21" t="s">
        <v>719</v>
      </c>
      <c r="F2723" s="21" t="s">
        <v>4000</v>
      </c>
    </row>
    <row r="2724" customFormat="false" ht="15" hidden="false" customHeight="false" outlineLevel="0" collapsed="false">
      <c r="B2724" s="19" t="s">
        <v>31176</v>
      </c>
      <c r="C2724" s="20" t="n">
        <f aca="false">ROUND(0.72/FX,2)</f>
        <v>0.1</v>
      </c>
      <c r="D2724" s="21" t="s">
        <v>3317</v>
      </c>
      <c r="E2724" s="21" t="s">
        <v>719</v>
      </c>
      <c r="F2724" s="21" t="s">
        <v>4000</v>
      </c>
    </row>
    <row r="2725" customFormat="false" ht="15" hidden="false" customHeight="false" outlineLevel="0" collapsed="false">
      <c r="B2725" s="19" t="s">
        <v>31177</v>
      </c>
      <c r="C2725" s="20" t="n">
        <f aca="false">ROUND(0.83/FX,2)</f>
        <v>0.12</v>
      </c>
      <c r="D2725" s="21" t="s">
        <v>784</v>
      </c>
      <c r="E2725" s="21" t="s">
        <v>719</v>
      </c>
      <c r="F2725" s="21" t="s">
        <v>4000</v>
      </c>
    </row>
    <row r="2726" customFormat="false" ht="15" hidden="false" customHeight="false" outlineLevel="0" collapsed="false">
      <c r="B2726" s="19" t="s">
        <v>31178</v>
      </c>
      <c r="C2726" s="20" t="n">
        <f aca="false">ROUND(6.76/FX,2)</f>
        <v>0.94</v>
      </c>
      <c r="D2726" s="21" t="s">
        <v>1520</v>
      </c>
      <c r="E2726" s="21" t="s">
        <v>719</v>
      </c>
      <c r="F2726" s="21" t="s">
        <v>4000</v>
      </c>
    </row>
    <row r="2727" customFormat="false" ht="15" hidden="false" customHeight="false" outlineLevel="0" collapsed="false">
      <c r="B2727" s="19" t="s">
        <v>31179</v>
      </c>
      <c r="C2727" s="20" t="n">
        <f aca="false">ROUND(0.95/FX,2)</f>
        <v>0.13</v>
      </c>
      <c r="D2727" s="21" t="s">
        <v>3328</v>
      </c>
      <c r="E2727" s="21" t="s">
        <v>719</v>
      </c>
      <c r="F2727" s="21" t="s">
        <v>4000</v>
      </c>
    </row>
    <row r="2728" customFormat="false" ht="15" hidden="false" customHeight="false" outlineLevel="0" collapsed="false">
      <c r="B2728" s="19" t="s">
        <v>31180</v>
      </c>
      <c r="C2728" s="20" t="n">
        <f aca="false">ROUND(1.07/FX,2)</f>
        <v>0.15</v>
      </c>
      <c r="D2728" s="21" t="s">
        <v>6246</v>
      </c>
      <c r="E2728" s="21" t="s">
        <v>719</v>
      </c>
      <c r="F2728" s="21" t="s">
        <v>4000</v>
      </c>
    </row>
    <row r="2729" customFormat="false" ht="15" hidden="false" customHeight="false" outlineLevel="0" collapsed="false">
      <c r="B2729" s="19" t="s">
        <v>31181</v>
      </c>
      <c r="C2729" s="20" t="n">
        <f aca="false">ROUND(1.19/FX,2)</f>
        <v>0.17</v>
      </c>
      <c r="D2729" s="21" t="s">
        <v>7358</v>
      </c>
      <c r="E2729" s="21" t="s">
        <v>719</v>
      </c>
      <c r="F2729" s="21" t="s">
        <v>4000</v>
      </c>
    </row>
    <row r="2730" customFormat="false" ht="15" hidden="false" customHeight="false" outlineLevel="0" collapsed="false">
      <c r="B2730" s="19" t="s">
        <v>31182</v>
      </c>
      <c r="C2730" s="20" t="n">
        <f aca="false">ROUND(1.3/FX,2)</f>
        <v>0.18</v>
      </c>
      <c r="D2730" s="21" t="s">
        <v>2911</v>
      </c>
      <c r="E2730" s="21" t="s">
        <v>719</v>
      </c>
      <c r="F2730" s="21" t="s">
        <v>4000</v>
      </c>
    </row>
    <row r="2731" customFormat="false" ht="15" hidden="false" customHeight="false" outlineLevel="0" collapsed="false">
      <c r="B2731" s="19" t="s">
        <v>31183</v>
      </c>
      <c r="C2731" s="20" t="n">
        <f aca="false">ROUND(1.42/FX,2)</f>
        <v>0.2</v>
      </c>
      <c r="D2731" s="21" t="s">
        <v>7275</v>
      </c>
      <c r="E2731" s="21" t="s">
        <v>719</v>
      </c>
      <c r="F2731" s="21" t="s">
        <v>4000</v>
      </c>
    </row>
    <row r="2732" customFormat="false" ht="15" hidden="false" customHeight="false" outlineLevel="0" collapsed="false">
      <c r="B2732" s="19" t="s">
        <v>31184</v>
      </c>
      <c r="C2732" s="20" t="n">
        <f aca="false">ROUND(1.54/FX,2)</f>
        <v>0.21</v>
      </c>
      <c r="D2732" s="21" t="s">
        <v>2961</v>
      </c>
      <c r="E2732" s="21" t="s">
        <v>719</v>
      </c>
      <c r="F2732" s="21" t="s">
        <v>4000</v>
      </c>
    </row>
    <row r="2733" customFormat="false" ht="15" hidden="false" customHeight="false" outlineLevel="0" collapsed="false">
      <c r="B2733" s="19" t="s">
        <v>31185</v>
      </c>
      <c r="C2733" s="20" t="n">
        <f aca="false">ROUND(1.65/FX,2)</f>
        <v>0.23</v>
      </c>
      <c r="D2733" s="21" t="s">
        <v>13817</v>
      </c>
      <c r="E2733" s="21" t="s">
        <v>719</v>
      </c>
      <c r="F2733" s="21" t="s">
        <v>4000</v>
      </c>
    </row>
    <row r="2734" customFormat="false" ht="15" hidden="false" customHeight="false" outlineLevel="0" collapsed="false">
      <c r="B2734" s="19" t="s">
        <v>31186</v>
      </c>
      <c r="C2734" s="20" t="n">
        <f aca="false">ROUND(1.77/FX,2)</f>
        <v>0.25</v>
      </c>
      <c r="D2734" s="21" t="s">
        <v>3011</v>
      </c>
      <c r="E2734" s="21" t="s">
        <v>719</v>
      </c>
      <c r="F2734" s="21" t="s">
        <v>4000</v>
      </c>
    </row>
    <row r="2735" customFormat="false" ht="15" hidden="false" customHeight="false" outlineLevel="0" collapsed="false">
      <c r="B2735" s="19" t="s">
        <v>31187</v>
      </c>
      <c r="C2735" s="20" t="n">
        <f aca="false">ROUND(1.89/FX,2)</f>
        <v>0.26</v>
      </c>
      <c r="D2735" s="21" t="s">
        <v>7396</v>
      </c>
      <c r="E2735" s="21" t="s">
        <v>719</v>
      </c>
      <c r="F2735" s="21" t="s">
        <v>4000</v>
      </c>
    </row>
    <row r="2736" customFormat="false" ht="15" hidden="false" customHeight="false" outlineLevel="0" collapsed="false">
      <c r="B2736" s="19" t="s">
        <v>31188</v>
      </c>
      <c r="C2736" s="20" t="n">
        <f aca="false">ROUND(2/FX,2)</f>
        <v>0.28</v>
      </c>
      <c r="D2736" s="21" t="s">
        <v>3061</v>
      </c>
      <c r="E2736" s="21" t="s">
        <v>719</v>
      </c>
      <c r="F2736" s="21" t="s">
        <v>4000</v>
      </c>
    </row>
    <row r="2737" customFormat="false" ht="15" hidden="false" customHeight="false" outlineLevel="0" collapsed="false">
      <c r="B2737" s="19" t="s">
        <v>31189</v>
      </c>
      <c r="C2737" s="20" t="n">
        <f aca="false">ROUND(2.12/FX,2)</f>
        <v>0.29</v>
      </c>
      <c r="D2737" s="21" t="s">
        <v>11870</v>
      </c>
      <c r="E2737" s="21" t="s">
        <v>719</v>
      </c>
      <c r="F2737" s="21" t="s">
        <v>4000</v>
      </c>
    </row>
    <row r="2738" customFormat="false" ht="15" hidden="false" customHeight="false" outlineLevel="0" collapsed="false">
      <c r="B2738" s="19" t="s">
        <v>31190</v>
      </c>
      <c r="C2738" s="20" t="n">
        <f aca="false">ROUND(2.12/FX,2)</f>
        <v>0.29</v>
      </c>
      <c r="D2738" s="21" t="s">
        <v>3111</v>
      </c>
      <c r="E2738" s="21" t="s">
        <v>719</v>
      </c>
      <c r="F2738" s="21" t="s">
        <v>4000</v>
      </c>
    </row>
    <row r="2739" customFormat="false" ht="15" hidden="false" customHeight="false" outlineLevel="0" collapsed="false">
      <c r="B2739" s="19" t="s">
        <v>31191</v>
      </c>
      <c r="C2739" s="20" t="n">
        <f aca="false">ROUND(2.59/FX,2)</f>
        <v>0.36</v>
      </c>
      <c r="D2739" s="21" t="s">
        <v>2600</v>
      </c>
      <c r="E2739" s="21" t="s">
        <v>707</v>
      </c>
      <c r="F2739" s="21" t="s">
        <v>3247</v>
      </c>
    </row>
    <row r="2740" customFormat="false" ht="15" hidden="false" customHeight="false" outlineLevel="0" collapsed="false">
      <c r="B2740" s="19" t="s">
        <v>31192</v>
      </c>
      <c r="C2740" s="20" t="n">
        <f aca="false">ROUND(2.82/FX,2)</f>
        <v>0.39</v>
      </c>
      <c r="D2740" s="21" t="s">
        <v>2651</v>
      </c>
      <c r="E2740" s="21" t="s">
        <v>707</v>
      </c>
      <c r="F2740" s="21" t="s">
        <v>3247</v>
      </c>
    </row>
    <row r="2741" customFormat="false" ht="15" hidden="false" customHeight="false" outlineLevel="0" collapsed="false">
      <c r="B2741" s="19" t="s">
        <v>31193</v>
      </c>
      <c r="C2741" s="20" t="n">
        <f aca="false">ROUND(2.82/FX,2)</f>
        <v>0.39</v>
      </c>
      <c r="D2741" s="21" t="s">
        <v>11968</v>
      </c>
      <c r="E2741" s="21" t="s">
        <v>707</v>
      </c>
      <c r="F2741" s="21" t="s">
        <v>3247</v>
      </c>
    </row>
    <row r="2742" customFormat="false" ht="15" hidden="false" customHeight="false" outlineLevel="0" collapsed="false">
      <c r="B2742" s="19" t="s">
        <v>31194</v>
      </c>
      <c r="C2742" s="20" t="n">
        <f aca="false">ROUND(3.06/FX,2)</f>
        <v>0.43</v>
      </c>
      <c r="D2742" s="21" t="s">
        <v>2851</v>
      </c>
      <c r="E2742" s="21" t="s">
        <v>707</v>
      </c>
      <c r="F2742" s="21" t="s">
        <v>3247</v>
      </c>
    </row>
    <row r="2743" customFormat="false" ht="15" hidden="false" customHeight="false" outlineLevel="0" collapsed="false">
      <c r="B2743" s="19" t="s">
        <v>31195</v>
      </c>
      <c r="C2743" s="20" t="n">
        <f aca="false">ROUND(3.52/FX,2)</f>
        <v>0.49</v>
      </c>
      <c r="D2743" s="21" t="s">
        <v>6497</v>
      </c>
      <c r="E2743" s="21" t="s">
        <v>707</v>
      </c>
      <c r="F2743" s="21" t="s">
        <v>3247</v>
      </c>
    </row>
    <row r="2744" customFormat="false" ht="15" hidden="false" customHeight="false" outlineLevel="0" collapsed="false">
      <c r="B2744" s="19" t="s">
        <v>31196</v>
      </c>
      <c r="C2744" s="20" t="n">
        <f aca="false">ROUND(0.95/FX,2)</f>
        <v>0.13</v>
      </c>
      <c r="D2744" s="21" t="s">
        <v>3247</v>
      </c>
      <c r="E2744" s="21" t="s">
        <v>707</v>
      </c>
      <c r="F2744" s="21" t="s">
        <v>3247</v>
      </c>
    </row>
    <row r="2745" customFormat="false" ht="15" hidden="false" customHeight="false" outlineLevel="0" collapsed="false">
      <c r="B2745" s="19" t="s">
        <v>31197</v>
      </c>
      <c r="C2745" s="20" t="n">
        <f aca="false">ROUND(4.46/FX,2)</f>
        <v>0.62</v>
      </c>
      <c r="D2745" s="21" t="s">
        <v>1048</v>
      </c>
      <c r="E2745" s="21" t="s">
        <v>707</v>
      </c>
      <c r="F2745" s="21" t="s">
        <v>3247</v>
      </c>
    </row>
    <row r="2746" customFormat="false" ht="15" hidden="false" customHeight="false" outlineLevel="0" collapsed="false">
      <c r="B2746" s="19" t="s">
        <v>31198</v>
      </c>
      <c r="C2746" s="20" t="n">
        <f aca="false">ROUND(0.95/FX,2)</f>
        <v>0.13</v>
      </c>
      <c r="D2746" s="21" t="s">
        <v>3317</v>
      </c>
      <c r="E2746" s="21" t="s">
        <v>707</v>
      </c>
      <c r="F2746" s="21" t="s">
        <v>3247</v>
      </c>
    </row>
    <row r="2747" customFormat="false" ht="15" hidden="false" customHeight="false" outlineLevel="0" collapsed="false">
      <c r="B2747" s="19" t="s">
        <v>31199</v>
      </c>
      <c r="C2747" s="20" t="n">
        <f aca="false">ROUND(1.3/FX,2)</f>
        <v>0.18</v>
      </c>
      <c r="D2747" s="21" t="s">
        <v>784</v>
      </c>
      <c r="E2747" s="21" t="s">
        <v>707</v>
      </c>
      <c r="F2747" s="21" t="s">
        <v>3247</v>
      </c>
    </row>
    <row r="2748" customFormat="false" ht="15" hidden="false" customHeight="false" outlineLevel="0" collapsed="false">
      <c r="B2748" s="19" t="s">
        <v>31200</v>
      </c>
      <c r="C2748" s="20" t="n">
        <f aca="false">ROUND(7.51/FX,2)</f>
        <v>1.04</v>
      </c>
      <c r="D2748" s="21" t="s">
        <v>1520</v>
      </c>
      <c r="E2748" s="21" t="s">
        <v>707</v>
      </c>
      <c r="F2748" s="21" t="s">
        <v>3247</v>
      </c>
    </row>
    <row r="2749" customFormat="false" ht="15" hidden="false" customHeight="false" outlineLevel="0" collapsed="false">
      <c r="B2749" s="19" t="s">
        <v>31201</v>
      </c>
      <c r="C2749" s="20" t="n">
        <f aca="false">ROUND(1.18/FX,2)</f>
        <v>0.16</v>
      </c>
      <c r="D2749" s="21" t="s">
        <v>3328</v>
      </c>
      <c r="E2749" s="21" t="s">
        <v>707</v>
      </c>
      <c r="F2749" s="21" t="s">
        <v>3247</v>
      </c>
    </row>
    <row r="2750" customFormat="false" ht="15" hidden="false" customHeight="false" outlineLevel="0" collapsed="false">
      <c r="B2750" s="19" t="s">
        <v>31202</v>
      </c>
      <c r="C2750" s="20" t="n">
        <f aca="false">ROUND(1.3/FX,2)</f>
        <v>0.18</v>
      </c>
      <c r="D2750" s="21" t="s">
        <v>6246</v>
      </c>
      <c r="E2750" s="21" t="s">
        <v>707</v>
      </c>
      <c r="F2750" s="21" t="s">
        <v>3247</v>
      </c>
    </row>
    <row r="2751" customFormat="false" ht="15" hidden="false" customHeight="false" outlineLevel="0" collapsed="false">
      <c r="B2751" s="19" t="s">
        <v>31203</v>
      </c>
      <c r="C2751" s="20" t="n">
        <f aca="false">ROUND(1.42/FX,2)</f>
        <v>0.2</v>
      </c>
      <c r="D2751" s="21" t="s">
        <v>7358</v>
      </c>
      <c r="E2751" s="21" t="s">
        <v>707</v>
      </c>
      <c r="F2751" s="21" t="s">
        <v>3247</v>
      </c>
    </row>
    <row r="2752" customFormat="false" ht="15" hidden="false" customHeight="false" outlineLevel="0" collapsed="false">
      <c r="B2752" s="19" t="s">
        <v>31204</v>
      </c>
      <c r="C2752" s="20" t="n">
        <f aca="false">ROUND(1.54/FX,2)</f>
        <v>0.21</v>
      </c>
      <c r="D2752" s="21" t="s">
        <v>2911</v>
      </c>
      <c r="E2752" s="21" t="s">
        <v>707</v>
      </c>
      <c r="F2752" s="21" t="s">
        <v>3247</v>
      </c>
    </row>
    <row r="2753" customFormat="false" ht="15" hidden="false" customHeight="false" outlineLevel="0" collapsed="false">
      <c r="B2753" s="19" t="s">
        <v>31205</v>
      </c>
      <c r="C2753" s="20" t="n">
        <f aca="false">ROUND(1.65/FX,2)</f>
        <v>0.23</v>
      </c>
      <c r="D2753" s="21" t="s">
        <v>7275</v>
      </c>
      <c r="E2753" s="21" t="s">
        <v>707</v>
      </c>
      <c r="F2753" s="21" t="s">
        <v>3247</v>
      </c>
    </row>
    <row r="2754" customFormat="false" ht="15" hidden="false" customHeight="false" outlineLevel="0" collapsed="false">
      <c r="B2754" s="19" t="s">
        <v>31206</v>
      </c>
      <c r="C2754" s="20" t="n">
        <f aca="false">ROUND(1.77/FX,2)</f>
        <v>0.25</v>
      </c>
      <c r="D2754" s="21" t="s">
        <v>2961</v>
      </c>
      <c r="E2754" s="21" t="s">
        <v>707</v>
      </c>
      <c r="F2754" s="21" t="s">
        <v>3247</v>
      </c>
    </row>
    <row r="2755" customFormat="false" ht="15" hidden="false" customHeight="false" outlineLevel="0" collapsed="false">
      <c r="B2755" s="19" t="s">
        <v>31207</v>
      </c>
      <c r="C2755" s="20" t="n">
        <f aca="false">ROUND(1.89/FX,2)</f>
        <v>0.26</v>
      </c>
      <c r="D2755" s="21" t="s">
        <v>13817</v>
      </c>
      <c r="E2755" s="21" t="s">
        <v>707</v>
      </c>
      <c r="F2755" s="21" t="s">
        <v>3247</v>
      </c>
    </row>
    <row r="2756" customFormat="false" ht="15" hidden="false" customHeight="false" outlineLevel="0" collapsed="false">
      <c r="B2756" s="19" t="s">
        <v>31208</v>
      </c>
      <c r="C2756" s="20" t="n">
        <f aca="false">ROUND(2/FX,2)</f>
        <v>0.28</v>
      </c>
      <c r="D2756" s="21" t="s">
        <v>3011</v>
      </c>
      <c r="E2756" s="21" t="s">
        <v>707</v>
      </c>
      <c r="F2756" s="21" t="s">
        <v>3247</v>
      </c>
    </row>
    <row r="2757" customFormat="false" ht="15" hidden="false" customHeight="false" outlineLevel="0" collapsed="false">
      <c r="B2757" s="19" t="s">
        <v>31209</v>
      </c>
      <c r="C2757" s="20" t="n">
        <f aca="false">ROUND(2.12/FX,2)</f>
        <v>0.29</v>
      </c>
      <c r="D2757" s="21" t="s">
        <v>7396</v>
      </c>
      <c r="E2757" s="21" t="s">
        <v>707</v>
      </c>
      <c r="F2757" s="21" t="s">
        <v>3247</v>
      </c>
    </row>
    <row r="2758" customFormat="false" ht="15" hidden="false" customHeight="false" outlineLevel="0" collapsed="false">
      <c r="B2758" s="19" t="s">
        <v>31210</v>
      </c>
      <c r="C2758" s="20" t="n">
        <f aca="false">ROUND(2.24/FX,2)</f>
        <v>0.31</v>
      </c>
      <c r="D2758" s="21" t="s">
        <v>3061</v>
      </c>
      <c r="E2758" s="21" t="s">
        <v>707</v>
      </c>
      <c r="F2758" s="21" t="s">
        <v>3247</v>
      </c>
    </row>
    <row r="2759" customFormat="false" ht="15" hidden="false" customHeight="false" outlineLevel="0" collapsed="false">
      <c r="B2759" s="19" t="s">
        <v>31211</v>
      </c>
      <c r="C2759" s="20" t="n">
        <f aca="false">ROUND(2.29/FX,2)</f>
        <v>0.32</v>
      </c>
      <c r="D2759" s="21" t="s">
        <v>11870</v>
      </c>
      <c r="E2759" s="21" t="s">
        <v>707</v>
      </c>
      <c r="F2759" s="21" t="s">
        <v>3247</v>
      </c>
    </row>
    <row r="2760" customFormat="false" ht="15" hidden="false" customHeight="false" outlineLevel="0" collapsed="false">
      <c r="B2760" s="19" t="s">
        <v>31212</v>
      </c>
      <c r="C2760" s="20" t="n">
        <f aca="false">ROUND(2.35/FX,2)</f>
        <v>0.33</v>
      </c>
      <c r="D2760" s="21" t="s">
        <v>3111</v>
      </c>
      <c r="E2760" s="21" t="s">
        <v>707</v>
      </c>
      <c r="F2760" s="21" t="s">
        <v>3247</v>
      </c>
    </row>
    <row r="2761" customFormat="false" ht="15" hidden="false" customHeight="false" outlineLevel="0" collapsed="false">
      <c r="B2761" s="19" t="s">
        <v>31213</v>
      </c>
      <c r="C2761" s="20" t="n">
        <f aca="false">ROUND(2.59/FX,2)</f>
        <v>0.36</v>
      </c>
      <c r="D2761" s="21" t="s">
        <v>12306</v>
      </c>
      <c r="E2761" s="21" t="s">
        <v>707</v>
      </c>
      <c r="F2761" s="21" t="s">
        <v>3247</v>
      </c>
    </row>
    <row r="2762" customFormat="false" ht="15" hidden="false" customHeight="false" outlineLevel="0" collapsed="false">
      <c r="B2762" s="19" t="s">
        <v>31214</v>
      </c>
      <c r="C2762" s="20" t="n">
        <f aca="false">ROUND(3.34/FX,2)</f>
        <v>0.46</v>
      </c>
      <c r="D2762" s="21" t="s">
        <v>2600</v>
      </c>
      <c r="E2762" s="21" t="s">
        <v>5091</v>
      </c>
      <c r="F2762" s="21" t="s">
        <v>5097</v>
      </c>
    </row>
    <row r="2763" customFormat="false" ht="15" hidden="false" customHeight="false" outlineLevel="0" collapsed="false">
      <c r="B2763" s="19" t="s">
        <v>31215</v>
      </c>
      <c r="C2763" s="20" t="n">
        <f aca="false">ROUND(3.42/FX,2)</f>
        <v>0.48</v>
      </c>
      <c r="D2763" s="21" t="s">
        <v>2651</v>
      </c>
      <c r="E2763" s="21" t="s">
        <v>5091</v>
      </c>
      <c r="F2763" s="21" t="s">
        <v>5097</v>
      </c>
    </row>
    <row r="2764" customFormat="false" ht="15" hidden="false" customHeight="false" outlineLevel="0" collapsed="false">
      <c r="B2764" s="19" t="s">
        <v>31216</v>
      </c>
      <c r="C2764" s="20" t="n">
        <f aca="false">ROUND(3.42/FX,2)</f>
        <v>0.48</v>
      </c>
      <c r="D2764" s="21" t="s">
        <v>2701</v>
      </c>
      <c r="E2764" s="21" t="s">
        <v>5091</v>
      </c>
      <c r="F2764" s="21" t="s">
        <v>5097</v>
      </c>
    </row>
    <row r="2765" customFormat="false" ht="15" hidden="false" customHeight="false" outlineLevel="0" collapsed="false">
      <c r="B2765" s="19" t="s">
        <v>31217</v>
      </c>
      <c r="C2765" s="20" t="n">
        <f aca="false">ROUND(3.42/FX,2)</f>
        <v>0.48</v>
      </c>
      <c r="D2765" s="21" t="s">
        <v>11968</v>
      </c>
      <c r="E2765" s="21" t="s">
        <v>5091</v>
      </c>
      <c r="F2765" s="21" t="s">
        <v>5097</v>
      </c>
    </row>
    <row r="2766" customFormat="false" ht="15" hidden="false" customHeight="false" outlineLevel="0" collapsed="false">
      <c r="B2766" s="19" t="s">
        <v>31218</v>
      </c>
      <c r="C2766" s="20" t="n">
        <f aca="false">ROUND(3.65/FX,2)</f>
        <v>0.51</v>
      </c>
      <c r="D2766" s="21" t="s">
        <v>2851</v>
      </c>
      <c r="E2766" s="21" t="s">
        <v>5091</v>
      </c>
      <c r="F2766" s="21" t="s">
        <v>5097</v>
      </c>
    </row>
    <row r="2767" customFormat="false" ht="15" hidden="false" customHeight="false" outlineLevel="0" collapsed="false">
      <c r="B2767" s="19" t="s">
        <v>31219</v>
      </c>
      <c r="C2767" s="20" t="n">
        <f aca="false">ROUND(3.89/FX,2)</f>
        <v>0.54</v>
      </c>
      <c r="D2767" s="21" t="s">
        <v>6497</v>
      </c>
      <c r="E2767" s="21" t="s">
        <v>5091</v>
      </c>
      <c r="F2767" s="21" t="s">
        <v>5097</v>
      </c>
    </row>
    <row r="2768" customFormat="false" ht="15" hidden="false" customHeight="false" outlineLevel="0" collapsed="false">
      <c r="B2768" s="19" t="s">
        <v>31220</v>
      </c>
      <c r="C2768" s="20" t="n">
        <f aca="false">ROUND(1.42/FX,2)</f>
        <v>0.2</v>
      </c>
      <c r="D2768" s="21" t="s">
        <v>3317</v>
      </c>
      <c r="E2768" s="21" t="s">
        <v>5091</v>
      </c>
      <c r="F2768" s="21" t="s">
        <v>5097</v>
      </c>
    </row>
    <row r="2769" customFormat="false" ht="15" hidden="false" customHeight="false" outlineLevel="0" collapsed="false">
      <c r="B2769" s="19" t="s">
        <v>31221</v>
      </c>
      <c r="C2769" s="20" t="n">
        <f aca="false">ROUND(1.53/FX,2)</f>
        <v>0.21</v>
      </c>
      <c r="D2769" s="21" t="s">
        <v>784</v>
      </c>
      <c r="E2769" s="21" t="s">
        <v>5091</v>
      </c>
      <c r="F2769" s="21" t="s">
        <v>5097</v>
      </c>
    </row>
    <row r="2770" customFormat="false" ht="15" hidden="false" customHeight="false" outlineLevel="0" collapsed="false">
      <c r="B2770" s="19" t="s">
        <v>31222</v>
      </c>
      <c r="C2770" s="20" t="n">
        <f aca="false">ROUND(8.45/FX,2)</f>
        <v>1.17</v>
      </c>
      <c r="D2770" s="21" t="s">
        <v>1520</v>
      </c>
      <c r="E2770" s="21" t="s">
        <v>5091</v>
      </c>
      <c r="F2770" s="21" t="s">
        <v>5097</v>
      </c>
    </row>
    <row r="2771" customFormat="false" ht="15" hidden="false" customHeight="false" outlineLevel="0" collapsed="false">
      <c r="B2771" s="19" t="s">
        <v>31223</v>
      </c>
      <c r="C2771" s="20" t="n">
        <f aca="false">ROUND(1.65/FX,2)</f>
        <v>0.23</v>
      </c>
      <c r="D2771" s="21" t="s">
        <v>3328</v>
      </c>
      <c r="E2771" s="21" t="s">
        <v>5091</v>
      </c>
      <c r="F2771" s="21" t="s">
        <v>5097</v>
      </c>
    </row>
    <row r="2772" customFormat="false" ht="15" hidden="false" customHeight="false" outlineLevel="0" collapsed="false">
      <c r="B2772" s="19" t="s">
        <v>31224</v>
      </c>
      <c r="C2772" s="20" t="n">
        <f aca="false">ROUND(1.77/FX,2)</f>
        <v>0.25</v>
      </c>
      <c r="D2772" s="21" t="s">
        <v>6246</v>
      </c>
      <c r="E2772" s="21" t="s">
        <v>5091</v>
      </c>
      <c r="F2772" s="21" t="s">
        <v>5097</v>
      </c>
    </row>
    <row r="2773" customFormat="false" ht="15" hidden="false" customHeight="false" outlineLevel="0" collapsed="false">
      <c r="B2773" s="19" t="s">
        <v>31225</v>
      </c>
      <c r="C2773" s="20" t="n">
        <f aca="false">ROUND(1.89/FX,2)</f>
        <v>0.26</v>
      </c>
      <c r="D2773" s="21" t="s">
        <v>7358</v>
      </c>
      <c r="E2773" s="21" t="s">
        <v>5091</v>
      </c>
      <c r="F2773" s="21" t="s">
        <v>5097</v>
      </c>
    </row>
    <row r="2774" customFormat="false" ht="15" hidden="false" customHeight="false" outlineLevel="0" collapsed="false">
      <c r="B2774" s="19" t="s">
        <v>31226</v>
      </c>
      <c r="C2774" s="20" t="n">
        <f aca="false">ROUND(2/FX,2)</f>
        <v>0.28</v>
      </c>
      <c r="D2774" s="21" t="s">
        <v>2911</v>
      </c>
      <c r="E2774" s="21" t="s">
        <v>5091</v>
      </c>
      <c r="F2774" s="21" t="s">
        <v>5097</v>
      </c>
    </row>
    <row r="2775" customFormat="false" ht="15" hidden="false" customHeight="false" outlineLevel="0" collapsed="false">
      <c r="B2775" s="19" t="s">
        <v>31227</v>
      </c>
      <c r="C2775" s="20" t="n">
        <f aca="false">ROUND(2.12/FX,2)</f>
        <v>0.29</v>
      </c>
      <c r="D2775" s="21" t="s">
        <v>7275</v>
      </c>
      <c r="E2775" s="21" t="s">
        <v>5091</v>
      </c>
      <c r="F2775" s="21" t="s">
        <v>5097</v>
      </c>
    </row>
    <row r="2776" customFormat="false" ht="15" hidden="false" customHeight="false" outlineLevel="0" collapsed="false">
      <c r="B2776" s="19" t="s">
        <v>31228</v>
      </c>
      <c r="C2776" s="20" t="n">
        <f aca="false">ROUND(2.24/FX,2)</f>
        <v>0.31</v>
      </c>
      <c r="D2776" s="21" t="s">
        <v>2961</v>
      </c>
      <c r="E2776" s="21" t="s">
        <v>5091</v>
      </c>
      <c r="F2776" s="21" t="s">
        <v>5097</v>
      </c>
    </row>
    <row r="2777" customFormat="false" ht="15" hidden="false" customHeight="false" outlineLevel="0" collapsed="false">
      <c r="B2777" s="19" t="s">
        <v>31229</v>
      </c>
      <c r="C2777" s="20" t="n">
        <f aca="false">ROUND(2.35/FX,2)</f>
        <v>0.33</v>
      </c>
      <c r="D2777" s="21" t="s">
        <v>13817</v>
      </c>
      <c r="E2777" s="21" t="s">
        <v>5091</v>
      </c>
      <c r="F2777" s="21" t="s">
        <v>5097</v>
      </c>
    </row>
    <row r="2778" customFormat="false" ht="15" hidden="false" customHeight="false" outlineLevel="0" collapsed="false">
      <c r="B2778" s="19" t="s">
        <v>31230</v>
      </c>
      <c r="C2778" s="20" t="n">
        <f aca="false">ROUND(2.47/FX,2)</f>
        <v>0.34</v>
      </c>
      <c r="D2778" s="21" t="s">
        <v>3011</v>
      </c>
      <c r="E2778" s="21" t="s">
        <v>5091</v>
      </c>
      <c r="F2778" s="21" t="s">
        <v>5097</v>
      </c>
    </row>
    <row r="2779" customFormat="false" ht="15" hidden="false" customHeight="false" outlineLevel="0" collapsed="false">
      <c r="B2779" s="19" t="s">
        <v>31231</v>
      </c>
      <c r="C2779" s="20" t="n">
        <f aca="false">ROUND(2.59/FX,2)</f>
        <v>0.36</v>
      </c>
      <c r="D2779" s="21" t="s">
        <v>7396</v>
      </c>
      <c r="E2779" s="21" t="s">
        <v>5091</v>
      </c>
      <c r="F2779" s="21" t="s">
        <v>5097</v>
      </c>
    </row>
    <row r="2780" customFormat="false" ht="15" hidden="false" customHeight="false" outlineLevel="0" collapsed="false">
      <c r="B2780" s="19" t="s">
        <v>31232</v>
      </c>
      <c r="C2780" s="20" t="n">
        <f aca="false">ROUND(2.72/FX,2)</f>
        <v>0.38</v>
      </c>
      <c r="D2780" s="21" t="s">
        <v>3061</v>
      </c>
      <c r="E2780" s="21" t="s">
        <v>5091</v>
      </c>
      <c r="F2780" s="21" t="s">
        <v>5097</v>
      </c>
    </row>
    <row r="2781" customFormat="false" ht="15" hidden="false" customHeight="false" outlineLevel="0" collapsed="false">
      <c r="B2781" s="19" t="s">
        <v>31233</v>
      </c>
      <c r="C2781" s="20" t="n">
        <f aca="false">ROUND(2.82/FX,2)</f>
        <v>0.39</v>
      </c>
      <c r="D2781" s="21" t="s">
        <v>11870</v>
      </c>
      <c r="E2781" s="21" t="s">
        <v>5091</v>
      </c>
      <c r="F2781" s="21" t="s">
        <v>5097</v>
      </c>
    </row>
    <row r="2782" customFormat="false" ht="15" hidden="false" customHeight="false" outlineLevel="0" collapsed="false">
      <c r="B2782" s="19" t="s">
        <v>31234</v>
      </c>
      <c r="C2782" s="20" t="n">
        <f aca="false">ROUND(2.95/FX,2)</f>
        <v>0.41</v>
      </c>
      <c r="D2782" s="21" t="s">
        <v>3111</v>
      </c>
      <c r="E2782" s="21" t="s">
        <v>5091</v>
      </c>
      <c r="F2782" s="21" t="s">
        <v>5097</v>
      </c>
    </row>
    <row r="2783" customFormat="false" ht="15" hidden="false" customHeight="false" outlineLevel="0" collapsed="false">
      <c r="B2783" s="19" t="s">
        <v>31235</v>
      </c>
      <c r="C2783" s="20" t="n">
        <f aca="false">ROUND(3.34/FX,2)</f>
        <v>0.46</v>
      </c>
      <c r="D2783" s="21" t="s">
        <v>12306</v>
      </c>
      <c r="E2783" s="21" t="s">
        <v>5091</v>
      </c>
      <c r="F2783" s="21" t="s">
        <v>5097</v>
      </c>
    </row>
    <row r="2784" customFormat="false" ht="15" hidden="false" customHeight="false" outlineLevel="0" collapsed="false">
      <c r="B2784" s="19" t="s">
        <v>31236</v>
      </c>
      <c r="C2784" s="20" t="n">
        <f aca="false">ROUND(3.42/FX,2)</f>
        <v>0.48</v>
      </c>
      <c r="D2784" s="21" t="s">
        <v>2600</v>
      </c>
      <c r="E2784" s="21" t="s">
        <v>20224</v>
      </c>
      <c r="F2784" s="21" t="s">
        <v>3317</v>
      </c>
    </row>
    <row r="2785" customFormat="false" ht="15" hidden="false" customHeight="false" outlineLevel="0" collapsed="false">
      <c r="B2785" s="19" t="s">
        <v>31237</v>
      </c>
      <c r="C2785" s="20" t="n">
        <f aca="false">ROUND(3.76/FX,2)</f>
        <v>0.52</v>
      </c>
      <c r="D2785" s="21" t="s">
        <v>2651</v>
      </c>
      <c r="E2785" s="21" t="s">
        <v>20224</v>
      </c>
      <c r="F2785" s="21" t="s">
        <v>3317</v>
      </c>
    </row>
    <row r="2786" customFormat="false" ht="15" hidden="false" customHeight="false" outlineLevel="0" collapsed="false">
      <c r="B2786" s="19" t="s">
        <v>31238</v>
      </c>
      <c r="C2786" s="20" t="n">
        <f aca="false">ROUND(3.76/FX,2)</f>
        <v>0.52</v>
      </c>
      <c r="D2786" s="21" t="s">
        <v>11968</v>
      </c>
      <c r="E2786" s="21" t="s">
        <v>20224</v>
      </c>
      <c r="F2786" s="21" t="s">
        <v>3317</v>
      </c>
    </row>
    <row r="2787" customFormat="false" ht="15" hidden="false" customHeight="false" outlineLevel="0" collapsed="false">
      <c r="B2787" s="19" t="s">
        <v>31239</v>
      </c>
      <c r="C2787" s="20" t="n">
        <f aca="false">ROUND(3.89/FX,2)</f>
        <v>0.54</v>
      </c>
      <c r="D2787" s="21" t="s">
        <v>2751</v>
      </c>
      <c r="E2787" s="21" t="s">
        <v>20224</v>
      </c>
      <c r="F2787" s="21" t="s">
        <v>3317</v>
      </c>
    </row>
    <row r="2788" customFormat="false" ht="15" hidden="false" customHeight="false" outlineLevel="0" collapsed="false">
      <c r="B2788" s="19" t="s">
        <v>31240</v>
      </c>
      <c r="C2788" s="20" t="n">
        <f aca="false">ROUND(4.12/FX,2)</f>
        <v>0.57</v>
      </c>
      <c r="D2788" s="21" t="s">
        <v>2851</v>
      </c>
      <c r="E2788" s="21" t="s">
        <v>20224</v>
      </c>
      <c r="F2788" s="21" t="s">
        <v>3317</v>
      </c>
    </row>
    <row r="2789" customFormat="false" ht="15" hidden="false" customHeight="false" outlineLevel="0" collapsed="false">
      <c r="B2789" s="19" t="s">
        <v>31241</v>
      </c>
      <c r="C2789" s="20" t="n">
        <f aca="false">ROUND(4.36/FX,2)</f>
        <v>0.61</v>
      </c>
      <c r="D2789" s="21" t="s">
        <v>6497</v>
      </c>
      <c r="E2789" s="21" t="s">
        <v>20224</v>
      </c>
      <c r="F2789" s="21" t="s">
        <v>3317</v>
      </c>
    </row>
    <row r="2790" customFormat="false" ht="15" hidden="false" customHeight="false" outlineLevel="0" collapsed="false">
      <c r="B2790" s="19" t="s">
        <v>31242</v>
      </c>
      <c r="C2790" s="20" t="n">
        <f aca="false">ROUND(4.59/FX,2)</f>
        <v>0.64</v>
      </c>
      <c r="D2790" s="21" t="s">
        <v>1048</v>
      </c>
      <c r="E2790" s="21" t="s">
        <v>20224</v>
      </c>
      <c r="F2790" s="21" t="s">
        <v>3317</v>
      </c>
    </row>
    <row r="2791" customFormat="false" ht="15" hidden="false" customHeight="false" outlineLevel="0" collapsed="false">
      <c r="B2791" s="19" t="s">
        <v>31243</v>
      </c>
      <c r="C2791" s="20" t="n">
        <f aca="false">ROUND(1.65/FX,2)</f>
        <v>0.23</v>
      </c>
      <c r="D2791" s="21" t="s">
        <v>3317</v>
      </c>
      <c r="E2791" s="21" t="s">
        <v>20224</v>
      </c>
      <c r="F2791" s="21" t="s">
        <v>3317</v>
      </c>
    </row>
    <row r="2792" customFormat="false" ht="15" hidden="false" customHeight="false" outlineLevel="0" collapsed="false">
      <c r="B2792" s="19" t="s">
        <v>31244</v>
      </c>
      <c r="C2792" s="20" t="n">
        <f aca="false">ROUND(1.77/FX,2)</f>
        <v>0.25</v>
      </c>
      <c r="D2792" s="21" t="s">
        <v>784</v>
      </c>
      <c r="E2792" s="21" t="s">
        <v>20224</v>
      </c>
      <c r="F2792" s="21" t="s">
        <v>3317</v>
      </c>
    </row>
    <row r="2793" customFormat="false" ht="15" hidden="false" customHeight="false" outlineLevel="0" collapsed="false">
      <c r="B2793" s="19" t="s">
        <v>31245</v>
      </c>
      <c r="C2793" s="20" t="n">
        <f aca="false">ROUND(9.96/FX,2)</f>
        <v>1.38</v>
      </c>
      <c r="D2793" s="21" t="s">
        <v>1520</v>
      </c>
      <c r="E2793" s="21" t="s">
        <v>20224</v>
      </c>
      <c r="F2793" s="21" t="s">
        <v>3317</v>
      </c>
    </row>
    <row r="2794" customFormat="false" ht="15" hidden="false" customHeight="false" outlineLevel="0" collapsed="false">
      <c r="B2794" s="19" t="s">
        <v>31246</v>
      </c>
      <c r="C2794" s="20" t="n">
        <f aca="false">ROUND(1.89/FX,2)</f>
        <v>0.26</v>
      </c>
      <c r="D2794" s="21" t="s">
        <v>3328</v>
      </c>
      <c r="E2794" s="21" t="s">
        <v>20224</v>
      </c>
      <c r="F2794" s="21" t="s">
        <v>3317</v>
      </c>
    </row>
    <row r="2795" customFormat="false" ht="15" hidden="false" customHeight="false" outlineLevel="0" collapsed="false">
      <c r="B2795" s="19" t="s">
        <v>31247</v>
      </c>
      <c r="C2795" s="20" t="n">
        <f aca="false">ROUND(2/FX,2)</f>
        <v>0.28</v>
      </c>
      <c r="D2795" s="21" t="s">
        <v>6246</v>
      </c>
      <c r="E2795" s="21" t="s">
        <v>20224</v>
      </c>
      <c r="F2795" s="21" t="s">
        <v>3317</v>
      </c>
    </row>
    <row r="2796" customFormat="false" ht="15" hidden="false" customHeight="false" outlineLevel="0" collapsed="false">
      <c r="B2796" s="19" t="s">
        <v>31248</v>
      </c>
      <c r="C2796" s="20" t="n">
        <f aca="false">ROUND(2.12/FX,2)</f>
        <v>0.29</v>
      </c>
      <c r="D2796" s="21" t="s">
        <v>7358</v>
      </c>
      <c r="E2796" s="21" t="s">
        <v>20224</v>
      </c>
      <c r="F2796" s="21" t="s">
        <v>3317</v>
      </c>
    </row>
    <row r="2797" customFormat="false" ht="15" hidden="false" customHeight="false" outlineLevel="0" collapsed="false">
      <c r="B2797" s="19" t="s">
        <v>31249</v>
      </c>
      <c r="C2797" s="20" t="n">
        <f aca="false">ROUND(2.24/FX,2)</f>
        <v>0.31</v>
      </c>
      <c r="D2797" s="21" t="s">
        <v>2911</v>
      </c>
      <c r="E2797" s="21" t="s">
        <v>20224</v>
      </c>
      <c r="F2797" s="21" t="s">
        <v>3317</v>
      </c>
    </row>
    <row r="2798" customFormat="false" ht="15" hidden="false" customHeight="false" outlineLevel="0" collapsed="false">
      <c r="B2798" s="19" t="s">
        <v>31250</v>
      </c>
      <c r="C2798" s="20" t="n">
        <f aca="false">ROUND(2.35/FX,2)</f>
        <v>0.33</v>
      </c>
      <c r="D2798" s="21" t="s">
        <v>7275</v>
      </c>
      <c r="E2798" s="21" t="s">
        <v>20224</v>
      </c>
      <c r="F2798" s="21" t="s">
        <v>3317</v>
      </c>
    </row>
    <row r="2799" customFormat="false" ht="15" hidden="false" customHeight="false" outlineLevel="0" collapsed="false">
      <c r="B2799" s="19" t="s">
        <v>31251</v>
      </c>
      <c r="C2799" s="20" t="n">
        <f aca="false">ROUND(2.47/FX,2)</f>
        <v>0.34</v>
      </c>
      <c r="D2799" s="21" t="s">
        <v>2961</v>
      </c>
      <c r="E2799" s="21" t="s">
        <v>20224</v>
      </c>
      <c r="F2799" s="21" t="s">
        <v>3317</v>
      </c>
    </row>
    <row r="2800" customFormat="false" ht="15" hidden="false" customHeight="false" outlineLevel="0" collapsed="false">
      <c r="B2800" s="19" t="s">
        <v>31252</v>
      </c>
      <c r="C2800" s="20" t="n">
        <f aca="false">ROUND(2.59/FX,2)</f>
        <v>0.36</v>
      </c>
      <c r="D2800" s="21" t="s">
        <v>13817</v>
      </c>
      <c r="E2800" s="21" t="s">
        <v>20224</v>
      </c>
      <c r="F2800" s="21" t="s">
        <v>3317</v>
      </c>
    </row>
    <row r="2801" customFormat="false" ht="15" hidden="false" customHeight="false" outlineLevel="0" collapsed="false">
      <c r="B2801" s="19" t="s">
        <v>31253</v>
      </c>
      <c r="C2801" s="20" t="n">
        <f aca="false">ROUND(2.72/FX,2)</f>
        <v>0.38</v>
      </c>
      <c r="D2801" s="21" t="s">
        <v>3011</v>
      </c>
      <c r="E2801" s="21" t="s">
        <v>20224</v>
      </c>
      <c r="F2801" s="21" t="s">
        <v>3317</v>
      </c>
    </row>
    <row r="2802" customFormat="false" ht="15" hidden="false" customHeight="false" outlineLevel="0" collapsed="false">
      <c r="B2802" s="19" t="s">
        <v>31254</v>
      </c>
      <c r="C2802" s="20" t="n">
        <f aca="false">ROUND(2.82/FX,2)</f>
        <v>0.39</v>
      </c>
      <c r="D2802" s="21" t="s">
        <v>7396</v>
      </c>
      <c r="E2802" s="21" t="s">
        <v>20224</v>
      </c>
      <c r="F2802" s="21" t="s">
        <v>3317</v>
      </c>
    </row>
    <row r="2803" customFormat="false" ht="15" hidden="false" customHeight="false" outlineLevel="0" collapsed="false">
      <c r="B2803" s="19" t="s">
        <v>31255</v>
      </c>
      <c r="C2803" s="20" t="n">
        <f aca="false">ROUND(2.95/FX,2)</f>
        <v>0.41</v>
      </c>
      <c r="D2803" s="21" t="s">
        <v>3061</v>
      </c>
      <c r="E2803" s="21" t="s">
        <v>20224</v>
      </c>
      <c r="F2803" s="21" t="s">
        <v>3317</v>
      </c>
    </row>
    <row r="2804" customFormat="false" ht="15" hidden="false" customHeight="false" outlineLevel="0" collapsed="false">
      <c r="B2804" s="19" t="s">
        <v>31256</v>
      </c>
      <c r="C2804" s="20" t="n">
        <f aca="false">ROUND(3.06/FX,2)</f>
        <v>0.43</v>
      </c>
      <c r="D2804" s="21" t="s">
        <v>11870</v>
      </c>
      <c r="E2804" s="21" t="s">
        <v>20224</v>
      </c>
      <c r="F2804" s="21" t="s">
        <v>3317</v>
      </c>
    </row>
    <row r="2805" customFormat="false" ht="15" hidden="false" customHeight="false" outlineLevel="0" collapsed="false">
      <c r="B2805" s="19" t="s">
        <v>31257</v>
      </c>
      <c r="C2805" s="20" t="n">
        <f aca="false">ROUND(3.19/FX,2)</f>
        <v>0.44</v>
      </c>
      <c r="D2805" s="21" t="s">
        <v>3111</v>
      </c>
      <c r="E2805" s="21" t="s">
        <v>20224</v>
      </c>
      <c r="F2805" s="21" t="s">
        <v>3317</v>
      </c>
    </row>
    <row r="2806" customFormat="false" ht="15" hidden="false" customHeight="false" outlineLevel="0" collapsed="false">
      <c r="B2806" s="19" t="s">
        <v>31258</v>
      </c>
      <c r="C2806" s="20" t="n">
        <f aca="false">ROUND(3.42/FX,2)</f>
        <v>0.48</v>
      </c>
      <c r="D2806" s="21" t="s">
        <v>12306</v>
      </c>
      <c r="E2806" s="21" t="s">
        <v>20224</v>
      </c>
      <c r="F2806" s="21" t="s">
        <v>3317</v>
      </c>
    </row>
    <row r="2807" customFormat="false" ht="15" hidden="false" customHeight="false" outlineLevel="0" collapsed="false">
      <c r="B2807" s="19" t="s">
        <v>31259</v>
      </c>
      <c r="C2807" s="20" t="n">
        <f aca="false">ROUND(3.67/FX,2)</f>
        <v>0.51</v>
      </c>
      <c r="D2807" s="21" t="s">
        <v>2600</v>
      </c>
      <c r="E2807" s="21" t="s">
        <v>29741</v>
      </c>
      <c r="F2807" s="21" t="s">
        <v>13774</v>
      </c>
    </row>
    <row r="2808" customFormat="false" ht="15" hidden="false" customHeight="false" outlineLevel="0" collapsed="false">
      <c r="B2808" s="19" t="s">
        <v>31260</v>
      </c>
      <c r="C2808" s="20" t="n">
        <f aca="false">ROUND(4.2/FX,2)</f>
        <v>0.58</v>
      </c>
      <c r="D2808" s="21" t="s">
        <v>2651</v>
      </c>
      <c r="E2808" s="21" t="s">
        <v>29741</v>
      </c>
      <c r="F2808" s="21" t="s">
        <v>13774</v>
      </c>
    </row>
    <row r="2809" customFormat="false" ht="15" hidden="false" customHeight="false" outlineLevel="0" collapsed="false">
      <c r="B2809" s="19" t="s">
        <v>31261</v>
      </c>
      <c r="C2809" s="20" t="n">
        <f aca="false">ROUND(4.2/FX,2)</f>
        <v>0.58</v>
      </c>
      <c r="D2809" s="21" t="s">
        <v>11968</v>
      </c>
      <c r="E2809" s="21" t="s">
        <v>29741</v>
      </c>
      <c r="F2809" s="21" t="s">
        <v>13774</v>
      </c>
    </row>
    <row r="2810" customFormat="false" ht="15" hidden="false" customHeight="false" outlineLevel="0" collapsed="false">
      <c r="B2810" s="19" t="s">
        <v>31262</v>
      </c>
      <c r="C2810" s="20" t="n">
        <f aca="false">ROUND(4.2/FX,2)</f>
        <v>0.58</v>
      </c>
      <c r="D2810" s="21" t="s">
        <v>2851</v>
      </c>
      <c r="E2810" s="21" t="s">
        <v>29741</v>
      </c>
      <c r="F2810" s="21" t="s">
        <v>13774</v>
      </c>
    </row>
    <row r="2811" customFormat="false" ht="15" hidden="false" customHeight="false" outlineLevel="0" collapsed="false">
      <c r="B2811" s="19" t="s">
        <v>31263</v>
      </c>
      <c r="C2811" s="20" t="n">
        <f aca="false">ROUND(4.6/FX,2)</f>
        <v>0.64</v>
      </c>
      <c r="D2811" s="21" t="s">
        <v>6497</v>
      </c>
      <c r="E2811" s="21" t="s">
        <v>29741</v>
      </c>
      <c r="F2811" s="21" t="s">
        <v>13774</v>
      </c>
    </row>
    <row r="2812" customFormat="false" ht="15" hidden="false" customHeight="false" outlineLevel="0" collapsed="false">
      <c r="B2812" s="19" t="s">
        <v>31264</v>
      </c>
      <c r="C2812" s="20" t="n">
        <f aca="false">ROUND(4.84/FX,2)</f>
        <v>0.67</v>
      </c>
      <c r="D2812" s="21" t="s">
        <v>1048</v>
      </c>
      <c r="E2812" s="21" t="s">
        <v>29741</v>
      </c>
      <c r="F2812" s="21" t="s">
        <v>13774</v>
      </c>
    </row>
    <row r="2813" customFormat="false" ht="15" hidden="false" customHeight="false" outlineLevel="0" collapsed="false">
      <c r="B2813" s="19" t="s">
        <v>31265</v>
      </c>
      <c r="C2813" s="20" t="n">
        <f aca="false">ROUND(2/FX,2)</f>
        <v>0.28</v>
      </c>
      <c r="D2813" s="21" t="s">
        <v>3317</v>
      </c>
      <c r="E2813" s="21" t="s">
        <v>29741</v>
      </c>
      <c r="F2813" s="21" t="s">
        <v>13774</v>
      </c>
    </row>
    <row r="2814" customFormat="false" ht="15" hidden="false" customHeight="false" outlineLevel="0" collapsed="false">
      <c r="B2814" s="19" t="s">
        <v>31266</v>
      </c>
      <c r="C2814" s="20" t="n">
        <f aca="false">ROUND(2/FX,2)</f>
        <v>0.28</v>
      </c>
      <c r="D2814" s="21" t="s">
        <v>784</v>
      </c>
      <c r="E2814" s="21" t="s">
        <v>29741</v>
      </c>
      <c r="F2814" s="21" t="s">
        <v>13774</v>
      </c>
    </row>
    <row r="2815" customFormat="false" ht="15" hidden="false" customHeight="false" outlineLevel="0" collapsed="false">
      <c r="B2815" s="19" t="s">
        <v>31267</v>
      </c>
      <c r="C2815" s="20" t="n">
        <f aca="false">ROUND(10.95/FX,2)</f>
        <v>1.52</v>
      </c>
      <c r="D2815" s="21" t="s">
        <v>1520</v>
      </c>
      <c r="E2815" s="21" t="s">
        <v>29741</v>
      </c>
      <c r="F2815" s="21" t="s">
        <v>13774</v>
      </c>
    </row>
    <row r="2816" customFormat="false" ht="15" hidden="false" customHeight="false" outlineLevel="0" collapsed="false">
      <c r="B2816" s="19" t="s">
        <v>31268</v>
      </c>
      <c r="C2816" s="20" t="n">
        <f aca="false">ROUND(2.13/FX,2)</f>
        <v>0.3</v>
      </c>
      <c r="D2816" s="21" t="s">
        <v>3328</v>
      </c>
      <c r="E2816" s="21" t="s">
        <v>29741</v>
      </c>
      <c r="F2816" s="21" t="s">
        <v>13774</v>
      </c>
    </row>
    <row r="2817" customFormat="false" ht="15" hidden="false" customHeight="false" outlineLevel="0" collapsed="false">
      <c r="B2817" s="19" t="s">
        <v>31269</v>
      </c>
      <c r="C2817" s="20" t="n">
        <f aca="false">ROUND(22.22/FX,2)</f>
        <v>3.09</v>
      </c>
      <c r="D2817" s="21" t="s">
        <v>6246</v>
      </c>
      <c r="E2817" s="21" t="s">
        <v>29741</v>
      </c>
      <c r="F2817" s="21" t="s">
        <v>13774</v>
      </c>
    </row>
    <row r="2818" customFormat="false" ht="15" hidden="false" customHeight="false" outlineLevel="0" collapsed="false">
      <c r="B2818" s="19" t="s">
        <v>31270</v>
      </c>
      <c r="C2818" s="20" t="n">
        <f aca="false">ROUND(2.35/FX,2)</f>
        <v>0.33</v>
      </c>
      <c r="D2818" s="21" t="s">
        <v>7358</v>
      </c>
      <c r="E2818" s="21" t="s">
        <v>29741</v>
      </c>
      <c r="F2818" s="21" t="s">
        <v>13774</v>
      </c>
    </row>
    <row r="2819" customFormat="false" ht="15" hidden="false" customHeight="false" outlineLevel="0" collapsed="false">
      <c r="B2819" s="19" t="s">
        <v>31271</v>
      </c>
      <c r="C2819" s="20" t="n">
        <f aca="false">ROUND(2.47/FX,2)</f>
        <v>0.34</v>
      </c>
      <c r="D2819" s="21" t="s">
        <v>2911</v>
      </c>
      <c r="E2819" s="21" t="s">
        <v>29741</v>
      </c>
      <c r="F2819" s="21" t="s">
        <v>13774</v>
      </c>
    </row>
    <row r="2820" customFormat="false" ht="15" hidden="false" customHeight="false" outlineLevel="0" collapsed="false">
      <c r="B2820" s="19" t="s">
        <v>31272</v>
      </c>
      <c r="C2820" s="20" t="n">
        <f aca="false">ROUND(2.6/FX,2)</f>
        <v>0.36</v>
      </c>
      <c r="D2820" s="21" t="s">
        <v>7275</v>
      </c>
      <c r="E2820" s="21" t="s">
        <v>29741</v>
      </c>
      <c r="F2820" s="21" t="s">
        <v>13774</v>
      </c>
    </row>
    <row r="2821" customFormat="false" ht="15" hidden="false" customHeight="false" outlineLevel="0" collapsed="false">
      <c r="B2821" s="19" t="s">
        <v>31273</v>
      </c>
      <c r="C2821" s="20" t="n">
        <f aca="false">ROUND(2.72/FX,2)</f>
        <v>0.38</v>
      </c>
      <c r="D2821" s="21" t="s">
        <v>2961</v>
      </c>
      <c r="E2821" s="21" t="s">
        <v>29741</v>
      </c>
      <c r="F2821" s="21" t="s">
        <v>13774</v>
      </c>
    </row>
    <row r="2822" customFormat="false" ht="15" hidden="false" customHeight="false" outlineLevel="0" collapsed="false">
      <c r="B2822" s="19" t="s">
        <v>31274</v>
      </c>
      <c r="C2822" s="20" t="n">
        <f aca="false">ROUND(2.84/FX,2)</f>
        <v>0.39</v>
      </c>
      <c r="D2822" s="21" t="s">
        <v>13817</v>
      </c>
      <c r="E2822" s="21" t="s">
        <v>29741</v>
      </c>
      <c r="F2822" s="21" t="s">
        <v>13774</v>
      </c>
    </row>
    <row r="2823" customFormat="false" ht="15" hidden="false" customHeight="false" outlineLevel="0" collapsed="false">
      <c r="B2823" s="19" t="s">
        <v>31275</v>
      </c>
      <c r="C2823" s="20" t="n">
        <f aca="false">ROUND(2.97/FX,2)</f>
        <v>0.41</v>
      </c>
      <c r="D2823" s="21" t="s">
        <v>3011</v>
      </c>
      <c r="E2823" s="21" t="s">
        <v>29741</v>
      </c>
      <c r="F2823" s="21" t="s">
        <v>13774</v>
      </c>
    </row>
    <row r="2824" customFormat="false" ht="15" hidden="false" customHeight="false" outlineLevel="0" collapsed="false">
      <c r="B2824" s="19" t="s">
        <v>31276</v>
      </c>
      <c r="C2824" s="20" t="n">
        <f aca="false">ROUND(3.07/FX,2)</f>
        <v>0.43</v>
      </c>
      <c r="D2824" s="21" t="s">
        <v>7396</v>
      </c>
      <c r="E2824" s="21" t="s">
        <v>29741</v>
      </c>
      <c r="F2824" s="21" t="s">
        <v>13774</v>
      </c>
    </row>
    <row r="2825" customFormat="false" ht="15" hidden="false" customHeight="false" outlineLevel="0" collapsed="false">
      <c r="B2825" s="19" t="s">
        <v>31277</v>
      </c>
      <c r="C2825" s="20" t="n">
        <f aca="false">ROUND(3.19/FX,2)</f>
        <v>0.44</v>
      </c>
      <c r="D2825" s="21" t="s">
        <v>3061</v>
      </c>
      <c r="E2825" s="21" t="s">
        <v>29741</v>
      </c>
      <c r="F2825" s="21" t="s">
        <v>13774</v>
      </c>
    </row>
    <row r="2826" customFormat="false" ht="15" hidden="false" customHeight="false" outlineLevel="0" collapsed="false">
      <c r="B2826" s="19" t="s">
        <v>31278</v>
      </c>
      <c r="C2826" s="20" t="n">
        <f aca="false">ROUND(3.3/FX,2)</f>
        <v>0.46</v>
      </c>
      <c r="D2826" s="21" t="s">
        <v>11870</v>
      </c>
      <c r="E2826" s="21" t="s">
        <v>29741</v>
      </c>
      <c r="F2826" s="21" t="s">
        <v>13774</v>
      </c>
    </row>
    <row r="2827" customFormat="false" ht="15" hidden="false" customHeight="false" outlineLevel="0" collapsed="false">
      <c r="B2827" s="19" t="s">
        <v>31279</v>
      </c>
      <c r="C2827" s="20" t="n">
        <f aca="false">ROUND(3.43/FX,2)</f>
        <v>0.48</v>
      </c>
      <c r="D2827" s="21" t="s">
        <v>3111</v>
      </c>
      <c r="E2827" s="21" t="s">
        <v>29741</v>
      </c>
      <c r="F2827" s="21" t="s">
        <v>13774</v>
      </c>
    </row>
    <row r="2828" customFormat="false" ht="15" hidden="false" customHeight="false" outlineLevel="0" collapsed="false">
      <c r="B2828" s="19" t="s">
        <v>31280</v>
      </c>
      <c r="C2828" s="20" t="n">
        <f aca="false">ROUND(3.59/FX,2)</f>
        <v>0.5</v>
      </c>
      <c r="D2828" s="21" t="s">
        <v>12306</v>
      </c>
      <c r="E2828" s="21" t="s">
        <v>29741</v>
      </c>
      <c r="F2828" s="21" t="s">
        <v>13774</v>
      </c>
    </row>
    <row r="2829" customFormat="false" ht="15" hidden="false" customHeight="false" outlineLevel="0" collapsed="false">
      <c r="B2829" s="19" t="s">
        <v>31281</v>
      </c>
      <c r="C2829" s="20" t="n">
        <f aca="false">ROUND(3.76/FX,2)</f>
        <v>0.52</v>
      </c>
      <c r="D2829" s="21" t="s">
        <v>2600</v>
      </c>
      <c r="E2829" s="21" t="s">
        <v>714</v>
      </c>
      <c r="F2829" s="21" t="s">
        <v>784</v>
      </c>
    </row>
    <row r="2830" customFormat="false" ht="15" hidden="false" customHeight="false" outlineLevel="0" collapsed="false">
      <c r="B2830" s="19" t="s">
        <v>31282</v>
      </c>
      <c r="C2830" s="20" t="n">
        <f aca="false">ROUND(4/FX,2)</f>
        <v>0.56</v>
      </c>
      <c r="D2830" s="21" t="s">
        <v>2651</v>
      </c>
      <c r="E2830" s="21" t="s">
        <v>714</v>
      </c>
      <c r="F2830" s="21" t="s">
        <v>784</v>
      </c>
    </row>
    <row r="2831" customFormat="false" ht="15" hidden="false" customHeight="false" outlineLevel="0" collapsed="false">
      <c r="B2831" s="19" t="s">
        <v>31283</v>
      </c>
      <c r="C2831" s="20" t="n">
        <f aca="false">ROUND(4/FX,2)</f>
        <v>0.56</v>
      </c>
      <c r="D2831" s="21" t="s">
        <v>11968</v>
      </c>
      <c r="E2831" s="21" t="s">
        <v>714</v>
      </c>
      <c r="F2831" s="21" t="s">
        <v>784</v>
      </c>
    </row>
    <row r="2832" customFormat="false" ht="15" hidden="false" customHeight="false" outlineLevel="0" collapsed="false">
      <c r="B2832" s="19" t="s">
        <v>31284</v>
      </c>
      <c r="C2832" s="20" t="n">
        <f aca="false">ROUND(4.23/FX,2)</f>
        <v>0.59</v>
      </c>
      <c r="D2832" s="21" t="s">
        <v>2851</v>
      </c>
      <c r="E2832" s="21" t="s">
        <v>714</v>
      </c>
      <c r="F2832" s="21" t="s">
        <v>784</v>
      </c>
    </row>
    <row r="2833" customFormat="false" ht="15" hidden="false" customHeight="false" outlineLevel="0" collapsed="false">
      <c r="B2833" s="19" t="s">
        <v>31285</v>
      </c>
      <c r="C2833" s="20" t="n">
        <f aca="false">ROUND(4.46/FX,2)</f>
        <v>0.62</v>
      </c>
      <c r="D2833" s="21" t="s">
        <v>6497</v>
      </c>
      <c r="E2833" s="21" t="s">
        <v>714</v>
      </c>
      <c r="F2833" s="21" t="s">
        <v>784</v>
      </c>
    </row>
    <row r="2834" customFormat="false" ht="15" hidden="false" customHeight="false" outlineLevel="0" collapsed="false">
      <c r="B2834" s="19" t="s">
        <v>31286</v>
      </c>
      <c r="C2834" s="20" t="n">
        <f aca="false">ROUND(4.7/FX,2)</f>
        <v>0.65</v>
      </c>
      <c r="D2834" s="21" t="s">
        <v>1048</v>
      </c>
      <c r="E2834" s="21" t="s">
        <v>714</v>
      </c>
      <c r="F2834" s="21" t="s">
        <v>784</v>
      </c>
    </row>
    <row r="2835" customFormat="false" ht="15" hidden="false" customHeight="false" outlineLevel="0" collapsed="false">
      <c r="B2835" s="19" t="s">
        <v>31287</v>
      </c>
      <c r="C2835" s="20" t="n">
        <f aca="false">ROUND(2.24/FX,2)</f>
        <v>0.31</v>
      </c>
      <c r="D2835" s="21" t="s">
        <v>3317</v>
      </c>
      <c r="E2835" s="21" t="s">
        <v>714</v>
      </c>
      <c r="F2835" s="21" t="s">
        <v>784</v>
      </c>
    </row>
    <row r="2836" customFormat="false" ht="15" hidden="false" customHeight="false" outlineLevel="0" collapsed="false">
      <c r="B2836" s="19" t="s">
        <v>31288</v>
      </c>
      <c r="C2836" s="20" t="n">
        <f aca="false">ROUND(2.24/FX,2)</f>
        <v>0.31</v>
      </c>
      <c r="D2836" s="21" t="s">
        <v>784</v>
      </c>
      <c r="E2836" s="21" t="s">
        <v>714</v>
      </c>
      <c r="F2836" s="21" t="s">
        <v>784</v>
      </c>
    </row>
    <row r="2837" customFormat="false" ht="15" hidden="false" customHeight="false" outlineLevel="0" collapsed="false">
      <c r="B2837" s="19" t="s">
        <v>31289</v>
      </c>
      <c r="C2837" s="20" t="n">
        <f aca="false">ROUND(11.27/FX,2)</f>
        <v>1.57</v>
      </c>
      <c r="D2837" s="21" t="s">
        <v>1520</v>
      </c>
      <c r="E2837" s="21" t="s">
        <v>714</v>
      </c>
      <c r="F2837" s="21" t="s">
        <v>784</v>
      </c>
    </row>
    <row r="2838" customFormat="false" ht="15" hidden="false" customHeight="false" outlineLevel="0" collapsed="false">
      <c r="B2838" s="19" t="s">
        <v>31290</v>
      </c>
      <c r="C2838" s="20" t="n">
        <f aca="false">ROUND(2.36/FX,2)</f>
        <v>0.33</v>
      </c>
      <c r="D2838" s="21" t="s">
        <v>3328</v>
      </c>
      <c r="E2838" s="21" t="s">
        <v>714</v>
      </c>
      <c r="F2838" s="21" t="s">
        <v>784</v>
      </c>
    </row>
    <row r="2839" customFormat="false" ht="15" hidden="false" customHeight="false" outlineLevel="0" collapsed="false">
      <c r="B2839" s="19" t="s">
        <v>31291</v>
      </c>
      <c r="C2839" s="20" t="n">
        <f aca="false">ROUND(2.47/FX,2)</f>
        <v>0.34</v>
      </c>
      <c r="D2839" s="21" t="s">
        <v>6246</v>
      </c>
      <c r="E2839" s="21" t="s">
        <v>714</v>
      </c>
      <c r="F2839" s="21" t="s">
        <v>784</v>
      </c>
    </row>
    <row r="2840" customFormat="false" ht="15" hidden="false" customHeight="false" outlineLevel="0" collapsed="false">
      <c r="B2840" s="19" t="s">
        <v>31292</v>
      </c>
      <c r="C2840" s="20" t="n">
        <f aca="false">ROUND(2.59/FX,2)</f>
        <v>0.36</v>
      </c>
      <c r="D2840" s="21" t="s">
        <v>7358</v>
      </c>
      <c r="E2840" s="21" t="s">
        <v>714</v>
      </c>
      <c r="F2840" s="21" t="s">
        <v>784</v>
      </c>
    </row>
    <row r="2841" customFormat="false" ht="15" hidden="false" customHeight="false" outlineLevel="0" collapsed="false">
      <c r="B2841" s="19" t="s">
        <v>31293</v>
      </c>
      <c r="C2841" s="20" t="n">
        <f aca="false">ROUND(2.72/FX,2)</f>
        <v>0.38</v>
      </c>
      <c r="D2841" s="21" t="s">
        <v>2911</v>
      </c>
      <c r="E2841" s="21" t="s">
        <v>714</v>
      </c>
      <c r="F2841" s="21" t="s">
        <v>784</v>
      </c>
    </row>
    <row r="2842" customFormat="false" ht="15" hidden="false" customHeight="false" outlineLevel="0" collapsed="false">
      <c r="B2842" s="19" t="s">
        <v>31294</v>
      </c>
      <c r="C2842" s="20" t="n">
        <f aca="false">ROUND(2.82/FX,2)</f>
        <v>0.39</v>
      </c>
      <c r="D2842" s="21" t="s">
        <v>7275</v>
      </c>
      <c r="E2842" s="21" t="s">
        <v>714</v>
      </c>
      <c r="F2842" s="21" t="s">
        <v>784</v>
      </c>
    </row>
    <row r="2843" customFormat="false" ht="15" hidden="false" customHeight="false" outlineLevel="0" collapsed="false">
      <c r="B2843" s="19" t="s">
        <v>31295</v>
      </c>
      <c r="C2843" s="20" t="n">
        <f aca="false">ROUND(2.95/FX,2)</f>
        <v>0.41</v>
      </c>
      <c r="D2843" s="21" t="s">
        <v>2961</v>
      </c>
      <c r="E2843" s="21" t="s">
        <v>714</v>
      </c>
      <c r="F2843" s="21" t="s">
        <v>784</v>
      </c>
    </row>
    <row r="2844" customFormat="false" ht="15" hidden="false" customHeight="false" outlineLevel="0" collapsed="false">
      <c r="B2844" s="19" t="s">
        <v>31296</v>
      </c>
      <c r="C2844" s="20" t="n">
        <f aca="false">ROUND(3.06/FX,2)</f>
        <v>0.43</v>
      </c>
      <c r="D2844" s="21" t="s">
        <v>13817</v>
      </c>
      <c r="E2844" s="21" t="s">
        <v>714</v>
      </c>
      <c r="F2844" s="21" t="s">
        <v>784</v>
      </c>
    </row>
    <row r="2845" customFormat="false" ht="15" hidden="false" customHeight="false" outlineLevel="0" collapsed="false">
      <c r="B2845" s="19" t="s">
        <v>31297</v>
      </c>
      <c r="C2845" s="20" t="n">
        <f aca="false">ROUND(3.19/FX,2)</f>
        <v>0.44</v>
      </c>
      <c r="D2845" s="21" t="s">
        <v>3011</v>
      </c>
      <c r="E2845" s="21" t="s">
        <v>714</v>
      </c>
      <c r="F2845" s="21" t="s">
        <v>784</v>
      </c>
    </row>
    <row r="2846" customFormat="false" ht="15" hidden="false" customHeight="false" outlineLevel="0" collapsed="false">
      <c r="B2846" s="19" t="s">
        <v>31298</v>
      </c>
      <c r="C2846" s="20" t="n">
        <f aca="false">ROUND(3.29/FX,2)</f>
        <v>0.46</v>
      </c>
      <c r="D2846" s="21" t="s">
        <v>7396</v>
      </c>
      <c r="E2846" s="21" t="s">
        <v>714</v>
      </c>
      <c r="F2846" s="21" t="s">
        <v>784</v>
      </c>
    </row>
    <row r="2847" customFormat="false" ht="15" hidden="false" customHeight="false" outlineLevel="0" collapsed="false">
      <c r="B2847" s="19" t="s">
        <v>31299</v>
      </c>
      <c r="C2847" s="20" t="n">
        <f aca="false">ROUND(3.42/FX,2)</f>
        <v>0.48</v>
      </c>
      <c r="D2847" s="21" t="s">
        <v>3061</v>
      </c>
      <c r="E2847" s="21" t="s">
        <v>714</v>
      </c>
      <c r="F2847" s="21" t="s">
        <v>784</v>
      </c>
    </row>
    <row r="2848" customFormat="false" ht="15" hidden="false" customHeight="false" outlineLevel="0" collapsed="false">
      <c r="B2848" s="19" t="s">
        <v>31300</v>
      </c>
      <c r="C2848" s="20" t="n">
        <f aca="false">ROUND(3.52/FX,2)</f>
        <v>0.49</v>
      </c>
      <c r="D2848" s="21" t="s">
        <v>11870</v>
      </c>
      <c r="E2848" s="21" t="s">
        <v>714</v>
      </c>
      <c r="F2848" s="21" t="s">
        <v>784</v>
      </c>
    </row>
    <row r="2849" customFormat="false" ht="15" hidden="false" customHeight="false" outlineLevel="0" collapsed="false">
      <c r="B2849" s="19" t="s">
        <v>31301</v>
      </c>
      <c r="C2849" s="20" t="n">
        <f aca="false">ROUND(3.52/FX,2)</f>
        <v>0.49</v>
      </c>
      <c r="D2849" s="21" t="s">
        <v>3111</v>
      </c>
      <c r="E2849" s="21" t="s">
        <v>714</v>
      </c>
      <c r="F2849" s="21" t="s">
        <v>784</v>
      </c>
    </row>
    <row r="2850" customFormat="false" ht="15" hidden="false" customHeight="false" outlineLevel="0" collapsed="false">
      <c r="B2850" s="19" t="s">
        <v>31302</v>
      </c>
      <c r="C2850" s="20" t="n">
        <f aca="false">ROUND(3.76/FX,2)</f>
        <v>0.52</v>
      </c>
      <c r="D2850" s="21" t="s">
        <v>12306</v>
      </c>
      <c r="E2850" s="21" t="s">
        <v>714</v>
      </c>
      <c r="F2850" s="21" t="s">
        <v>784</v>
      </c>
    </row>
    <row r="2851" customFormat="false" ht="15" hidden="false" customHeight="false" outlineLevel="0" collapsed="false">
      <c r="B2851" s="19" t="s">
        <v>31303</v>
      </c>
      <c r="C2851" s="20" t="n">
        <f aca="false">ROUND(5.06/FX,2)</f>
        <v>0.7</v>
      </c>
      <c r="D2851" s="21" t="s">
        <v>2600</v>
      </c>
      <c r="E2851" s="21" t="s">
        <v>29787</v>
      </c>
      <c r="F2851" s="21" t="s">
        <v>3328</v>
      </c>
    </row>
    <row r="2852" customFormat="false" ht="15" hidden="false" customHeight="false" outlineLevel="0" collapsed="false">
      <c r="B2852" s="19" t="s">
        <v>31304</v>
      </c>
      <c r="C2852" s="20" t="n">
        <f aca="false">ROUND(5.88/FX,2)</f>
        <v>0.82</v>
      </c>
      <c r="D2852" s="21" t="s">
        <v>2651</v>
      </c>
      <c r="E2852" s="21" t="s">
        <v>29787</v>
      </c>
      <c r="F2852" s="21" t="s">
        <v>3328</v>
      </c>
    </row>
    <row r="2853" customFormat="false" ht="15" hidden="false" customHeight="false" outlineLevel="0" collapsed="false">
      <c r="B2853" s="19" t="s">
        <v>31305</v>
      </c>
      <c r="C2853" s="20" t="n">
        <f aca="false">ROUND(5.88/FX,2)</f>
        <v>0.82</v>
      </c>
      <c r="D2853" s="21" t="s">
        <v>11968</v>
      </c>
      <c r="E2853" s="21" t="s">
        <v>29787</v>
      </c>
      <c r="F2853" s="21" t="s">
        <v>3328</v>
      </c>
    </row>
    <row r="2854" customFormat="false" ht="15" hidden="false" customHeight="false" outlineLevel="0" collapsed="false">
      <c r="B2854" s="19" t="s">
        <v>31306</v>
      </c>
      <c r="C2854" s="20" t="n">
        <f aca="false">ROUND(6.81/FX,2)</f>
        <v>0.95</v>
      </c>
      <c r="D2854" s="21" t="s">
        <v>2851</v>
      </c>
      <c r="E2854" s="21" t="s">
        <v>29787</v>
      </c>
      <c r="F2854" s="21" t="s">
        <v>3328</v>
      </c>
    </row>
    <row r="2855" customFormat="false" ht="15" hidden="false" customHeight="false" outlineLevel="0" collapsed="false">
      <c r="B2855" s="19" t="s">
        <v>31307</v>
      </c>
      <c r="C2855" s="20" t="n">
        <f aca="false">ROUND(7.65/FX,2)</f>
        <v>1.06</v>
      </c>
      <c r="D2855" s="21" t="s">
        <v>6497</v>
      </c>
      <c r="E2855" s="21" t="s">
        <v>29787</v>
      </c>
      <c r="F2855" s="21" t="s">
        <v>3328</v>
      </c>
    </row>
    <row r="2856" customFormat="false" ht="15" hidden="false" customHeight="false" outlineLevel="0" collapsed="false">
      <c r="B2856" s="19" t="s">
        <v>31308</v>
      </c>
      <c r="C2856" s="20" t="n">
        <f aca="false">ROUND(8.45/FX,2)</f>
        <v>1.17</v>
      </c>
      <c r="D2856" s="21" t="s">
        <v>1048</v>
      </c>
      <c r="E2856" s="21" t="s">
        <v>29787</v>
      </c>
      <c r="F2856" s="21" t="s">
        <v>3328</v>
      </c>
    </row>
    <row r="2857" customFormat="false" ht="15" hidden="false" customHeight="false" outlineLevel="0" collapsed="false">
      <c r="B2857" s="19" t="s">
        <v>31309</v>
      </c>
      <c r="C2857" s="20" t="n">
        <f aca="false">ROUND(11.04/FX,2)</f>
        <v>1.53</v>
      </c>
      <c r="D2857" s="21" t="s">
        <v>1323</v>
      </c>
      <c r="E2857" s="21" t="s">
        <v>29787</v>
      </c>
      <c r="F2857" s="21" t="s">
        <v>3328</v>
      </c>
    </row>
    <row r="2858" customFormat="false" ht="15" hidden="false" customHeight="false" outlineLevel="0" collapsed="false">
      <c r="B2858" s="19" t="s">
        <v>31310</v>
      </c>
      <c r="C2858" s="20" t="n">
        <f aca="false">ROUND(13.14/FX,2)</f>
        <v>1.83</v>
      </c>
      <c r="D2858" s="21" t="s">
        <v>1520</v>
      </c>
      <c r="E2858" s="21" t="s">
        <v>29787</v>
      </c>
      <c r="F2858" s="21" t="s">
        <v>3328</v>
      </c>
    </row>
    <row r="2859" customFormat="false" ht="15" hidden="false" customHeight="false" outlineLevel="0" collapsed="false">
      <c r="B2859" s="19" t="s">
        <v>31311</v>
      </c>
      <c r="C2859" s="20" t="n">
        <f aca="false">ROUND(2.72/FX,2)</f>
        <v>0.38</v>
      </c>
      <c r="D2859" s="21" t="s">
        <v>3328</v>
      </c>
      <c r="E2859" s="21" t="s">
        <v>29787</v>
      </c>
      <c r="F2859" s="21" t="s">
        <v>3328</v>
      </c>
    </row>
    <row r="2860" customFormat="false" ht="15" hidden="false" customHeight="false" outlineLevel="0" collapsed="false">
      <c r="B2860" s="19" t="s">
        <v>31312</v>
      </c>
      <c r="C2860" s="20" t="n">
        <f aca="false">ROUND(2.82/FX,2)</f>
        <v>0.39</v>
      </c>
      <c r="D2860" s="21" t="s">
        <v>6246</v>
      </c>
      <c r="E2860" s="21" t="s">
        <v>29787</v>
      </c>
      <c r="F2860" s="21" t="s">
        <v>3328</v>
      </c>
    </row>
    <row r="2861" customFormat="false" ht="15" hidden="false" customHeight="false" outlineLevel="0" collapsed="false">
      <c r="B2861" s="19" t="s">
        <v>31313</v>
      </c>
      <c r="C2861" s="20" t="n">
        <f aca="false">ROUND(2.95/FX,2)</f>
        <v>0.41</v>
      </c>
      <c r="D2861" s="21" t="s">
        <v>7358</v>
      </c>
      <c r="E2861" s="21" t="s">
        <v>29787</v>
      </c>
      <c r="F2861" s="21" t="s">
        <v>3328</v>
      </c>
    </row>
    <row r="2862" customFormat="false" ht="15" hidden="false" customHeight="false" outlineLevel="0" collapsed="false">
      <c r="B2862" s="19" t="s">
        <v>31314</v>
      </c>
      <c r="C2862" s="20" t="n">
        <f aca="false">ROUND(3.06/FX,2)</f>
        <v>0.43</v>
      </c>
      <c r="D2862" s="21" t="s">
        <v>2911</v>
      </c>
      <c r="E2862" s="21" t="s">
        <v>29787</v>
      </c>
      <c r="F2862" s="21" t="s">
        <v>3328</v>
      </c>
    </row>
    <row r="2863" customFormat="false" ht="15" hidden="false" customHeight="false" outlineLevel="0" collapsed="false">
      <c r="B2863" s="19" t="s">
        <v>31315</v>
      </c>
      <c r="C2863" s="20" t="n">
        <f aca="false">ROUND(3.19/FX,2)</f>
        <v>0.44</v>
      </c>
      <c r="D2863" s="21" t="s">
        <v>7275</v>
      </c>
      <c r="E2863" s="21" t="s">
        <v>29787</v>
      </c>
      <c r="F2863" s="21" t="s">
        <v>3328</v>
      </c>
    </row>
    <row r="2864" customFormat="false" ht="15" hidden="false" customHeight="false" outlineLevel="0" collapsed="false">
      <c r="B2864" s="19" t="s">
        <v>31316</v>
      </c>
      <c r="C2864" s="20" t="n">
        <f aca="false">ROUND(3.29/FX,2)</f>
        <v>0.46</v>
      </c>
      <c r="D2864" s="21" t="s">
        <v>2961</v>
      </c>
      <c r="E2864" s="21" t="s">
        <v>29787</v>
      </c>
      <c r="F2864" s="21" t="s">
        <v>3328</v>
      </c>
    </row>
    <row r="2865" customFormat="false" ht="15" hidden="false" customHeight="false" outlineLevel="0" collapsed="false">
      <c r="B2865" s="19" t="s">
        <v>31317</v>
      </c>
      <c r="C2865" s="20" t="n">
        <f aca="false">ROUND(3.42/FX,2)</f>
        <v>0.48</v>
      </c>
      <c r="D2865" s="21" t="s">
        <v>13817</v>
      </c>
      <c r="E2865" s="21" t="s">
        <v>29787</v>
      </c>
      <c r="F2865" s="21" t="s">
        <v>3328</v>
      </c>
    </row>
    <row r="2866" customFormat="false" ht="15" hidden="false" customHeight="false" outlineLevel="0" collapsed="false">
      <c r="B2866" s="19" t="s">
        <v>31318</v>
      </c>
      <c r="C2866" s="20" t="n">
        <f aca="false">ROUND(3.52/FX,2)</f>
        <v>0.49</v>
      </c>
      <c r="D2866" s="21" t="s">
        <v>3011</v>
      </c>
      <c r="E2866" s="21" t="s">
        <v>29787</v>
      </c>
      <c r="F2866" s="21" t="s">
        <v>3328</v>
      </c>
    </row>
    <row r="2867" customFormat="false" ht="15" hidden="false" customHeight="false" outlineLevel="0" collapsed="false">
      <c r="B2867" s="19" t="s">
        <v>31319</v>
      </c>
      <c r="C2867" s="20" t="n">
        <f aca="false">ROUND(3.76/FX,2)</f>
        <v>0.52</v>
      </c>
      <c r="D2867" s="21" t="s">
        <v>7396</v>
      </c>
      <c r="E2867" s="21" t="s">
        <v>29787</v>
      </c>
      <c r="F2867" s="21" t="s">
        <v>3328</v>
      </c>
    </row>
    <row r="2868" customFormat="false" ht="15" hidden="false" customHeight="false" outlineLevel="0" collapsed="false">
      <c r="B2868" s="19" t="s">
        <v>31320</v>
      </c>
      <c r="C2868" s="20" t="n">
        <f aca="false">ROUND(4/FX,2)</f>
        <v>0.56</v>
      </c>
      <c r="D2868" s="21" t="s">
        <v>3061</v>
      </c>
      <c r="E2868" s="21" t="s">
        <v>29787</v>
      </c>
      <c r="F2868" s="21" t="s">
        <v>3328</v>
      </c>
    </row>
    <row r="2869" customFormat="false" ht="15" hidden="false" customHeight="false" outlineLevel="0" collapsed="false">
      <c r="B2869" s="19" t="s">
        <v>31321</v>
      </c>
      <c r="C2869" s="20" t="n">
        <f aca="false">ROUND(4.23/FX,2)</f>
        <v>0.59</v>
      </c>
      <c r="D2869" s="21" t="s">
        <v>11870</v>
      </c>
      <c r="E2869" s="21" t="s">
        <v>29787</v>
      </c>
      <c r="F2869" s="21" t="s">
        <v>3328</v>
      </c>
    </row>
    <row r="2870" customFormat="false" ht="15" hidden="false" customHeight="false" outlineLevel="0" collapsed="false">
      <c r="B2870" s="19" t="s">
        <v>31322</v>
      </c>
      <c r="C2870" s="20" t="n">
        <f aca="false">ROUND(4.59/FX,2)</f>
        <v>0.64</v>
      </c>
      <c r="D2870" s="21" t="s">
        <v>3111</v>
      </c>
      <c r="E2870" s="21" t="s">
        <v>29787</v>
      </c>
      <c r="F2870" s="21" t="s">
        <v>3328</v>
      </c>
    </row>
    <row r="2871" customFormat="false" ht="15" hidden="false" customHeight="false" outlineLevel="0" collapsed="false">
      <c r="B2871" s="19" t="s">
        <v>31323</v>
      </c>
      <c r="C2871" s="20" t="n">
        <f aca="false">ROUND(7.4/FX,2)</f>
        <v>1.03</v>
      </c>
      <c r="D2871" s="21" t="s">
        <v>12306</v>
      </c>
      <c r="E2871" s="21" t="s">
        <v>29787</v>
      </c>
      <c r="F2871" s="21" t="s">
        <v>3328</v>
      </c>
    </row>
    <row r="2872" customFormat="false" ht="15" hidden="false" customHeight="false" outlineLevel="0" collapsed="false">
      <c r="B2872" s="19" t="s">
        <v>31324</v>
      </c>
      <c r="C2872" s="20" t="n">
        <f aca="false">ROUND(5.27/FX,2)</f>
        <v>0.73</v>
      </c>
      <c r="D2872" s="21" t="s">
        <v>2600</v>
      </c>
      <c r="E2872" s="21" t="s">
        <v>3247</v>
      </c>
      <c r="F2872" s="21" t="s">
        <v>6246</v>
      </c>
    </row>
    <row r="2873" customFormat="false" ht="15" hidden="false" customHeight="false" outlineLevel="0" collapsed="false">
      <c r="B2873" s="19" t="s">
        <v>31325</v>
      </c>
      <c r="C2873" s="20" t="n">
        <f aca="false">ROUND(7.02/FX,2)</f>
        <v>0.98</v>
      </c>
      <c r="D2873" s="21" t="s">
        <v>2651</v>
      </c>
      <c r="E2873" s="21" t="s">
        <v>3247</v>
      </c>
      <c r="F2873" s="21" t="s">
        <v>6246</v>
      </c>
    </row>
    <row r="2874" customFormat="false" ht="15" hidden="false" customHeight="false" outlineLevel="0" collapsed="false">
      <c r="B2874" s="19" t="s">
        <v>31326</v>
      </c>
      <c r="C2874" s="20" t="n">
        <f aca="false">ROUND(7.02/FX,2)</f>
        <v>0.98</v>
      </c>
      <c r="D2874" s="21" t="s">
        <v>11968</v>
      </c>
      <c r="E2874" s="21" t="s">
        <v>3247</v>
      </c>
      <c r="F2874" s="21" t="s">
        <v>6246</v>
      </c>
    </row>
    <row r="2875" customFormat="false" ht="15" hidden="false" customHeight="false" outlineLevel="0" collapsed="false">
      <c r="B2875" s="19" t="s">
        <v>31327</v>
      </c>
      <c r="C2875" s="20" t="n">
        <f aca="false">ROUND(8.66/FX,2)</f>
        <v>1.2</v>
      </c>
      <c r="D2875" s="21" t="s">
        <v>2851</v>
      </c>
      <c r="E2875" s="21" t="s">
        <v>3247</v>
      </c>
      <c r="F2875" s="21" t="s">
        <v>6246</v>
      </c>
    </row>
    <row r="2876" customFormat="false" ht="15" hidden="false" customHeight="false" outlineLevel="0" collapsed="false">
      <c r="B2876" s="19" t="s">
        <v>31328</v>
      </c>
      <c r="C2876" s="20" t="n">
        <f aca="false">ROUND(9.72/FX,2)</f>
        <v>1.35</v>
      </c>
      <c r="D2876" s="21" t="s">
        <v>6497</v>
      </c>
      <c r="E2876" s="21" t="s">
        <v>3247</v>
      </c>
      <c r="F2876" s="21" t="s">
        <v>6246</v>
      </c>
    </row>
    <row r="2877" customFormat="false" ht="15" hidden="false" customHeight="false" outlineLevel="0" collapsed="false">
      <c r="B2877" s="19" t="s">
        <v>31329</v>
      </c>
      <c r="C2877" s="20" t="n">
        <f aca="false">ROUND(11.13/FX,2)</f>
        <v>1.55</v>
      </c>
      <c r="D2877" s="21" t="s">
        <v>1048</v>
      </c>
      <c r="E2877" s="21" t="s">
        <v>3247</v>
      </c>
      <c r="F2877" s="21" t="s">
        <v>6246</v>
      </c>
    </row>
    <row r="2878" customFormat="false" ht="15" hidden="false" customHeight="false" outlineLevel="0" collapsed="false">
      <c r="B2878" s="19" t="s">
        <v>31330</v>
      </c>
      <c r="C2878" s="20" t="n">
        <f aca="false">ROUND(13.08/FX,2)</f>
        <v>1.82</v>
      </c>
      <c r="D2878" s="21" t="s">
        <v>3991</v>
      </c>
      <c r="E2878" s="21" t="s">
        <v>3247</v>
      </c>
      <c r="F2878" s="21" t="s">
        <v>6246</v>
      </c>
    </row>
    <row r="2879" customFormat="false" ht="15" hidden="false" customHeight="false" outlineLevel="0" collapsed="false">
      <c r="B2879" s="19" t="s">
        <v>31331</v>
      </c>
      <c r="C2879" s="20" t="n">
        <f aca="false">ROUND(11.85/FX,2)</f>
        <v>1.65</v>
      </c>
      <c r="D2879" s="21" t="s">
        <v>1323</v>
      </c>
      <c r="E2879" s="21" t="s">
        <v>3247</v>
      </c>
      <c r="F2879" s="21" t="s">
        <v>6246</v>
      </c>
    </row>
    <row r="2880" customFormat="false" ht="15" hidden="false" customHeight="false" outlineLevel="0" collapsed="false">
      <c r="B2880" s="19" t="s">
        <v>31332</v>
      </c>
      <c r="C2880" s="20" t="n">
        <f aca="false">ROUND(18.37/FX,2)</f>
        <v>2.55</v>
      </c>
      <c r="D2880" s="21" t="s">
        <v>4883</v>
      </c>
      <c r="E2880" s="21" t="s">
        <v>3247</v>
      </c>
      <c r="F2880" s="21" t="s">
        <v>6246</v>
      </c>
    </row>
    <row r="2881" customFormat="false" ht="15" hidden="false" customHeight="false" outlineLevel="0" collapsed="false">
      <c r="B2881" s="19" t="s">
        <v>31333</v>
      </c>
      <c r="C2881" s="20" t="n">
        <f aca="false">ROUND(16.04/FX,2)</f>
        <v>2.23</v>
      </c>
      <c r="D2881" s="21" t="s">
        <v>1520</v>
      </c>
      <c r="E2881" s="21" t="s">
        <v>3247</v>
      </c>
      <c r="F2881" s="21" t="s">
        <v>6246</v>
      </c>
    </row>
    <row r="2882" customFormat="false" ht="15" hidden="false" customHeight="false" outlineLevel="0" collapsed="false">
      <c r="B2882" s="19" t="s">
        <v>31334</v>
      </c>
      <c r="C2882" s="20" t="n">
        <f aca="false">ROUND(4.06/FX,2)</f>
        <v>0.56</v>
      </c>
      <c r="D2882" s="21" t="s">
        <v>6246</v>
      </c>
      <c r="E2882" s="21" t="s">
        <v>3247</v>
      </c>
      <c r="F2882" s="21" t="s">
        <v>6246</v>
      </c>
    </row>
    <row r="2883" customFormat="false" ht="15" hidden="false" customHeight="false" outlineLevel="0" collapsed="false">
      <c r="B2883" s="19" t="s">
        <v>31335</v>
      </c>
      <c r="C2883" s="20" t="n">
        <f aca="false">ROUND(4.23/FX,2)</f>
        <v>0.59</v>
      </c>
      <c r="D2883" s="21" t="s">
        <v>7358</v>
      </c>
      <c r="E2883" s="21" t="s">
        <v>3247</v>
      </c>
      <c r="F2883" s="21" t="s">
        <v>6246</v>
      </c>
    </row>
    <row r="2884" customFormat="false" ht="15" hidden="false" customHeight="false" outlineLevel="0" collapsed="false">
      <c r="B2884" s="19" t="s">
        <v>31336</v>
      </c>
      <c r="C2884" s="20" t="n">
        <f aca="false">ROUND(4.36/FX,2)</f>
        <v>0.61</v>
      </c>
      <c r="D2884" s="21" t="s">
        <v>2911</v>
      </c>
      <c r="E2884" s="21" t="s">
        <v>3247</v>
      </c>
      <c r="F2884" s="21" t="s">
        <v>6246</v>
      </c>
    </row>
    <row r="2885" customFormat="false" ht="15" hidden="false" customHeight="false" outlineLevel="0" collapsed="false">
      <c r="B2885" s="19" t="s">
        <v>31337</v>
      </c>
      <c r="C2885" s="20" t="n">
        <f aca="false">ROUND(4.1/FX,2)</f>
        <v>0.57</v>
      </c>
      <c r="D2885" s="21" t="s">
        <v>7275</v>
      </c>
      <c r="E2885" s="21" t="s">
        <v>3247</v>
      </c>
      <c r="F2885" s="21" t="s">
        <v>6246</v>
      </c>
    </row>
    <row r="2886" customFormat="false" ht="15" hidden="false" customHeight="false" outlineLevel="0" collapsed="false">
      <c r="B2886" s="19" t="s">
        <v>31338</v>
      </c>
      <c r="C2886" s="20" t="n">
        <f aca="false">ROUND(4.33/FX,2)</f>
        <v>0.6</v>
      </c>
      <c r="D2886" s="21" t="s">
        <v>2961</v>
      </c>
      <c r="E2886" s="21" t="s">
        <v>3247</v>
      </c>
      <c r="F2886" s="21" t="s">
        <v>6246</v>
      </c>
    </row>
    <row r="2887" customFormat="false" ht="15" hidden="false" customHeight="false" outlineLevel="0" collapsed="false">
      <c r="B2887" s="19" t="s">
        <v>31339</v>
      </c>
      <c r="C2887" s="20" t="n">
        <f aca="false">ROUND(4.45/FX,2)</f>
        <v>0.62</v>
      </c>
      <c r="D2887" s="21" t="s">
        <v>13817</v>
      </c>
      <c r="E2887" s="21" t="s">
        <v>3247</v>
      </c>
      <c r="F2887" s="21" t="s">
        <v>6246</v>
      </c>
    </row>
    <row r="2888" customFormat="false" ht="15" hidden="false" customHeight="false" outlineLevel="0" collapsed="false">
      <c r="B2888" s="19" t="s">
        <v>31340</v>
      </c>
      <c r="C2888" s="20" t="n">
        <f aca="false">ROUND(4.56/FX,2)</f>
        <v>0.63</v>
      </c>
      <c r="D2888" s="21" t="s">
        <v>3011</v>
      </c>
      <c r="E2888" s="21" t="s">
        <v>3247</v>
      </c>
      <c r="F2888" s="21" t="s">
        <v>6246</v>
      </c>
    </row>
    <row r="2889" customFormat="false" ht="15" hidden="false" customHeight="false" outlineLevel="0" collapsed="false">
      <c r="B2889" s="19" t="s">
        <v>31341</v>
      </c>
      <c r="C2889" s="20" t="n">
        <f aca="false">ROUND(4.68/FX,2)</f>
        <v>0.65</v>
      </c>
      <c r="D2889" s="21" t="s">
        <v>7396</v>
      </c>
      <c r="E2889" s="21" t="s">
        <v>3247</v>
      </c>
      <c r="F2889" s="21" t="s">
        <v>6246</v>
      </c>
    </row>
    <row r="2890" customFormat="false" ht="15" hidden="false" customHeight="false" outlineLevel="0" collapsed="false">
      <c r="B2890" s="19" t="s">
        <v>31342</v>
      </c>
      <c r="C2890" s="20" t="n">
        <f aca="false">ROUND(4.91/FX,2)</f>
        <v>0.68</v>
      </c>
      <c r="D2890" s="21" t="s">
        <v>3061</v>
      </c>
      <c r="E2890" s="21" t="s">
        <v>3247</v>
      </c>
      <c r="F2890" s="21" t="s">
        <v>6246</v>
      </c>
    </row>
    <row r="2891" customFormat="false" ht="15" hidden="false" customHeight="false" outlineLevel="0" collapsed="false">
      <c r="B2891" s="19" t="s">
        <v>31343</v>
      </c>
      <c r="C2891" s="20" t="n">
        <f aca="false">ROUND(5.03/FX,2)</f>
        <v>0.7</v>
      </c>
      <c r="D2891" s="21" t="s">
        <v>11870</v>
      </c>
      <c r="E2891" s="21" t="s">
        <v>3247</v>
      </c>
      <c r="F2891" s="21" t="s">
        <v>6246</v>
      </c>
    </row>
    <row r="2892" customFormat="false" ht="15" hidden="false" customHeight="false" outlineLevel="0" collapsed="false">
      <c r="B2892" s="19" t="s">
        <v>31344</v>
      </c>
      <c r="C2892" s="20" t="n">
        <f aca="false">ROUND(5.15/FX,2)</f>
        <v>0.72</v>
      </c>
      <c r="D2892" s="21" t="s">
        <v>3111</v>
      </c>
      <c r="E2892" s="21" t="s">
        <v>3247</v>
      </c>
      <c r="F2892" s="21" t="s">
        <v>6246</v>
      </c>
    </row>
    <row r="2893" customFormat="false" ht="15" hidden="false" customHeight="false" outlineLevel="0" collapsed="false">
      <c r="B2893" s="19" t="s">
        <v>31345</v>
      </c>
      <c r="C2893" s="20" t="n">
        <f aca="false">ROUND(5.27/FX,2)</f>
        <v>0.73</v>
      </c>
      <c r="D2893" s="21" t="s">
        <v>12306</v>
      </c>
      <c r="E2893" s="21" t="s">
        <v>3247</v>
      </c>
      <c r="F2893" s="21" t="s">
        <v>6246</v>
      </c>
    </row>
    <row r="2894" customFormat="false" ht="15" hidden="false" customHeight="false" outlineLevel="0" collapsed="false">
      <c r="B2894" s="19" t="s">
        <v>31346</v>
      </c>
      <c r="C2894" s="20" t="n">
        <f aca="false">ROUND(8.66/FX,2)</f>
        <v>1.2</v>
      </c>
      <c r="D2894" s="21" t="s">
        <v>2600</v>
      </c>
      <c r="E2894" s="21" t="s">
        <v>3317</v>
      </c>
      <c r="F2894" s="21" t="s">
        <v>7358</v>
      </c>
    </row>
    <row r="2895" customFormat="false" ht="15" hidden="false" customHeight="false" outlineLevel="0" collapsed="false">
      <c r="B2895" s="19" t="s">
        <v>31347</v>
      </c>
      <c r="C2895" s="20" t="n">
        <f aca="false">ROUND(10.31/FX,2)</f>
        <v>1.43</v>
      </c>
      <c r="D2895" s="21" t="s">
        <v>11968</v>
      </c>
      <c r="E2895" s="21" t="s">
        <v>3317</v>
      </c>
      <c r="F2895" s="21" t="s">
        <v>7358</v>
      </c>
    </row>
    <row r="2896" customFormat="false" ht="15" hidden="false" customHeight="false" outlineLevel="0" collapsed="false">
      <c r="B2896" s="19" t="s">
        <v>31348</v>
      </c>
      <c r="C2896" s="20" t="n">
        <f aca="false">ROUND(11.84/FX,2)</f>
        <v>1.64</v>
      </c>
      <c r="D2896" s="21" t="s">
        <v>2851</v>
      </c>
      <c r="E2896" s="21" t="s">
        <v>3317</v>
      </c>
      <c r="F2896" s="21" t="s">
        <v>7358</v>
      </c>
    </row>
    <row r="2897" customFormat="false" ht="15" hidden="false" customHeight="false" outlineLevel="0" collapsed="false">
      <c r="B2897" s="19" t="s">
        <v>31349</v>
      </c>
      <c r="C2897" s="20" t="n">
        <f aca="false">ROUND(21.8/FX,2)</f>
        <v>3.03</v>
      </c>
      <c r="D2897" s="21" t="s">
        <v>1520</v>
      </c>
      <c r="E2897" s="21" t="s">
        <v>3317</v>
      </c>
      <c r="F2897" s="21" t="s">
        <v>7358</v>
      </c>
    </row>
    <row r="2898" customFormat="false" ht="15" hidden="false" customHeight="false" outlineLevel="0" collapsed="false">
      <c r="B2898" s="19" t="s">
        <v>31350</v>
      </c>
      <c r="C2898" s="20" t="n">
        <f aca="false">ROUND(6.08/FX,2)</f>
        <v>0.84</v>
      </c>
      <c r="D2898" s="21" t="s">
        <v>2911</v>
      </c>
      <c r="E2898" s="21" t="s">
        <v>3317</v>
      </c>
      <c r="F2898" s="21" t="s">
        <v>7358</v>
      </c>
    </row>
    <row r="2899" customFormat="false" ht="15" hidden="false" customHeight="false" outlineLevel="0" collapsed="false">
      <c r="B2899" s="19" t="s">
        <v>31351</v>
      </c>
      <c r="C2899" s="20" t="n">
        <f aca="false">ROUND(6.44/FX,2)</f>
        <v>0.89</v>
      </c>
      <c r="D2899" s="21" t="s">
        <v>7275</v>
      </c>
      <c r="E2899" s="21" t="s">
        <v>3317</v>
      </c>
      <c r="F2899" s="21" t="s">
        <v>7358</v>
      </c>
    </row>
    <row r="2900" customFormat="false" ht="15" hidden="false" customHeight="false" outlineLevel="0" collapsed="false">
      <c r="B2900" s="19" t="s">
        <v>31352</v>
      </c>
      <c r="C2900" s="20" t="n">
        <f aca="false">ROUND(6.44/FX,2)</f>
        <v>0.89</v>
      </c>
      <c r="D2900" s="21" t="s">
        <v>2961</v>
      </c>
      <c r="E2900" s="21" t="s">
        <v>3317</v>
      </c>
      <c r="F2900" s="21" t="s">
        <v>7358</v>
      </c>
    </row>
    <row r="2901" customFormat="false" ht="15" hidden="false" customHeight="false" outlineLevel="0" collapsed="false">
      <c r="B2901" s="19" t="s">
        <v>31353</v>
      </c>
      <c r="C2901" s="20" t="n">
        <f aca="false">ROUND(7.02/FX,2)</f>
        <v>0.98</v>
      </c>
      <c r="D2901" s="21" t="s">
        <v>13817</v>
      </c>
      <c r="E2901" s="21" t="s">
        <v>3317</v>
      </c>
      <c r="F2901" s="21" t="s">
        <v>7358</v>
      </c>
    </row>
    <row r="2902" customFormat="false" ht="15" hidden="false" customHeight="false" outlineLevel="0" collapsed="false">
      <c r="B2902" s="19" t="s">
        <v>31354</v>
      </c>
      <c r="C2902" s="20" t="n">
        <f aca="false">ROUND(7.02/FX,2)</f>
        <v>0.98</v>
      </c>
      <c r="D2902" s="21" t="s">
        <v>3011</v>
      </c>
      <c r="E2902" s="21" t="s">
        <v>3317</v>
      </c>
      <c r="F2902" s="21" t="s">
        <v>7358</v>
      </c>
    </row>
    <row r="2903" customFormat="false" ht="15" hidden="false" customHeight="false" outlineLevel="0" collapsed="false">
      <c r="B2903" s="19" t="s">
        <v>31355</v>
      </c>
      <c r="C2903" s="20" t="n">
        <f aca="false">ROUND(7.62/FX,2)</f>
        <v>1.06</v>
      </c>
      <c r="D2903" s="21" t="s">
        <v>7396</v>
      </c>
      <c r="E2903" s="21" t="s">
        <v>3317</v>
      </c>
      <c r="F2903" s="21" t="s">
        <v>7358</v>
      </c>
    </row>
    <row r="2904" customFormat="false" ht="15" hidden="false" customHeight="false" outlineLevel="0" collapsed="false">
      <c r="B2904" s="19" t="s">
        <v>31356</v>
      </c>
      <c r="C2904" s="20" t="n">
        <f aca="false">ROUND(7.62/FX,2)</f>
        <v>1.06</v>
      </c>
      <c r="D2904" s="21" t="s">
        <v>3061</v>
      </c>
      <c r="E2904" s="21" t="s">
        <v>3317</v>
      </c>
      <c r="F2904" s="21" t="s">
        <v>7358</v>
      </c>
    </row>
    <row r="2905" customFormat="false" ht="15" hidden="false" customHeight="false" outlineLevel="0" collapsed="false">
      <c r="B2905" s="19" t="s">
        <v>31357</v>
      </c>
      <c r="C2905" s="20" t="n">
        <f aca="false">ROUND(8.19/FX,2)</f>
        <v>1.14</v>
      </c>
      <c r="D2905" s="21" t="s">
        <v>11870</v>
      </c>
      <c r="E2905" s="21" t="s">
        <v>3317</v>
      </c>
      <c r="F2905" s="21" t="s">
        <v>7358</v>
      </c>
    </row>
    <row r="2906" customFormat="false" ht="15" hidden="false" customHeight="false" outlineLevel="0" collapsed="false">
      <c r="B2906" s="19" t="s">
        <v>31358</v>
      </c>
      <c r="C2906" s="20" t="n">
        <f aca="false">ROUND(8.19/FX,2)</f>
        <v>1.14</v>
      </c>
      <c r="D2906" s="21" t="s">
        <v>3111</v>
      </c>
      <c r="E2906" s="21" t="s">
        <v>3317</v>
      </c>
      <c r="F2906" s="21" t="s">
        <v>7358</v>
      </c>
    </row>
    <row r="2907" customFormat="false" ht="15" hidden="false" customHeight="false" outlineLevel="0" collapsed="false">
      <c r="B2907" s="19" t="s">
        <v>31359</v>
      </c>
      <c r="C2907" s="20" t="n">
        <f aca="false">ROUND(8.66/FX,2)</f>
        <v>1.2</v>
      </c>
      <c r="D2907" s="21" t="s">
        <v>12306</v>
      </c>
      <c r="E2907" s="21" t="s">
        <v>3317</v>
      </c>
      <c r="F2907" s="21" t="s">
        <v>7358</v>
      </c>
    </row>
    <row r="2908" customFormat="false" ht="15" hidden="false" customHeight="false" outlineLevel="0" collapsed="false">
      <c r="B2908" s="19" t="s">
        <v>31360</v>
      </c>
      <c r="C2908" s="20" t="n">
        <f aca="false">ROUND(8.67/FX,2)</f>
        <v>1.2</v>
      </c>
      <c r="D2908" s="21" t="s">
        <v>2600</v>
      </c>
      <c r="E2908" s="21" t="s">
        <v>3317</v>
      </c>
      <c r="F2908" s="21" t="s">
        <v>2911</v>
      </c>
    </row>
    <row r="2909" customFormat="false" ht="15" hidden="false" customHeight="false" outlineLevel="0" collapsed="false">
      <c r="B2909" s="19" t="s">
        <v>31361</v>
      </c>
      <c r="C2909" s="20" t="n">
        <f aca="false">ROUND(10.31/FX,2)</f>
        <v>1.43</v>
      </c>
      <c r="D2909" s="21" t="s">
        <v>2651</v>
      </c>
      <c r="E2909" s="21" t="s">
        <v>3317</v>
      </c>
      <c r="F2909" s="21" t="s">
        <v>2911</v>
      </c>
    </row>
    <row r="2910" customFormat="false" ht="15" hidden="false" customHeight="false" outlineLevel="0" collapsed="false">
      <c r="B2910" s="19" t="s">
        <v>31362</v>
      </c>
      <c r="C2910" s="20" t="n">
        <f aca="false">ROUND(10.31/FX,2)</f>
        <v>1.43</v>
      </c>
      <c r="D2910" s="21" t="s">
        <v>11968</v>
      </c>
      <c r="E2910" s="21" t="s">
        <v>3317</v>
      </c>
      <c r="F2910" s="21" t="s">
        <v>2911</v>
      </c>
    </row>
    <row r="2911" customFormat="false" ht="15" hidden="false" customHeight="false" outlineLevel="0" collapsed="false">
      <c r="B2911" s="19" t="s">
        <v>31363</v>
      </c>
      <c r="C2911" s="20" t="n">
        <f aca="false">ROUND(11.83/FX,2)</f>
        <v>1.64</v>
      </c>
      <c r="D2911" s="21" t="s">
        <v>2851</v>
      </c>
      <c r="E2911" s="21" t="s">
        <v>3317</v>
      </c>
      <c r="F2911" s="21" t="s">
        <v>2911</v>
      </c>
    </row>
    <row r="2912" customFormat="false" ht="15" hidden="false" customHeight="false" outlineLevel="0" collapsed="false">
      <c r="B2912" s="19" t="s">
        <v>31364</v>
      </c>
      <c r="C2912" s="20" t="n">
        <f aca="false">ROUND(13.59/FX,2)</f>
        <v>1.89</v>
      </c>
      <c r="D2912" s="21" t="s">
        <v>6497</v>
      </c>
      <c r="E2912" s="21" t="s">
        <v>3317</v>
      </c>
      <c r="F2912" s="21" t="s">
        <v>2911</v>
      </c>
    </row>
    <row r="2913" customFormat="false" ht="15" hidden="false" customHeight="false" outlineLevel="0" collapsed="false">
      <c r="B2913" s="19" t="s">
        <v>31365</v>
      </c>
      <c r="C2913" s="20" t="n">
        <f aca="false">ROUND(15.94/FX,2)</f>
        <v>2.21</v>
      </c>
      <c r="D2913" s="21" t="s">
        <v>1048</v>
      </c>
      <c r="E2913" s="21" t="s">
        <v>3317</v>
      </c>
      <c r="F2913" s="21" t="s">
        <v>2911</v>
      </c>
    </row>
    <row r="2914" customFormat="false" ht="15" hidden="false" customHeight="false" outlineLevel="0" collapsed="false">
      <c r="B2914" s="19" t="s">
        <v>31366</v>
      </c>
      <c r="C2914" s="20" t="n">
        <f aca="false">ROUND(20.74/FX,2)</f>
        <v>2.88</v>
      </c>
      <c r="D2914" s="21" t="s">
        <v>3991</v>
      </c>
      <c r="E2914" s="21" t="s">
        <v>3317</v>
      </c>
      <c r="F2914" s="21" t="s">
        <v>2911</v>
      </c>
    </row>
    <row r="2915" customFormat="false" ht="15" hidden="false" customHeight="false" outlineLevel="0" collapsed="false">
      <c r="B2915" s="19" t="s">
        <v>31367</v>
      </c>
      <c r="C2915" s="20" t="n">
        <f aca="false">ROUND(20.74/FX,2)</f>
        <v>2.88</v>
      </c>
      <c r="D2915" s="21" t="s">
        <v>1323</v>
      </c>
      <c r="E2915" s="21" t="s">
        <v>3317</v>
      </c>
      <c r="F2915" s="21" t="s">
        <v>2911</v>
      </c>
    </row>
    <row r="2916" customFormat="false" ht="15" hidden="false" customHeight="false" outlineLevel="0" collapsed="false">
      <c r="B2916" s="19" t="s">
        <v>31368</v>
      </c>
      <c r="C2916" s="20" t="n">
        <f aca="false">ROUND(27.67/FX,2)</f>
        <v>3.84</v>
      </c>
      <c r="D2916" s="21" t="s">
        <v>4883</v>
      </c>
      <c r="E2916" s="21" t="s">
        <v>3317</v>
      </c>
      <c r="F2916" s="21" t="s">
        <v>2911</v>
      </c>
    </row>
    <row r="2917" customFormat="false" ht="15" hidden="false" customHeight="false" outlineLevel="0" collapsed="false">
      <c r="B2917" s="19" t="s">
        <v>31369</v>
      </c>
      <c r="C2917" s="20" t="n">
        <f aca="false">ROUND(29.15/FX,2)</f>
        <v>4.05</v>
      </c>
      <c r="D2917" s="21" t="s">
        <v>1520</v>
      </c>
      <c r="E2917" s="21" t="s">
        <v>3317</v>
      </c>
      <c r="F2917" s="21" t="s">
        <v>2911</v>
      </c>
    </row>
    <row r="2918" customFormat="false" ht="15" hidden="false" customHeight="false" outlineLevel="0" collapsed="false">
      <c r="B2918" s="19" t="s">
        <v>31370</v>
      </c>
      <c r="C2918" s="20" t="n">
        <f aca="false">ROUND(6.09/FX,2)</f>
        <v>0.85</v>
      </c>
      <c r="D2918" s="21" t="s">
        <v>2911</v>
      </c>
      <c r="E2918" s="21" t="s">
        <v>3317</v>
      </c>
      <c r="F2918" s="21" t="s">
        <v>2911</v>
      </c>
    </row>
    <row r="2919" customFormat="false" ht="15" hidden="false" customHeight="false" outlineLevel="0" collapsed="false">
      <c r="B2919" s="19" t="s">
        <v>31371</v>
      </c>
      <c r="C2919" s="20" t="n">
        <f aca="false">ROUND(6.38/FX,2)</f>
        <v>0.89</v>
      </c>
      <c r="D2919" s="21" t="s">
        <v>7275</v>
      </c>
      <c r="E2919" s="21" t="s">
        <v>3317</v>
      </c>
      <c r="F2919" s="21" t="s">
        <v>2911</v>
      </c>
    </row>
    <row r="2920" customFormat="false" ht="15" hidden="false" customHeight="false" outlineLevel="0" collapsed="false">
      <c r="B2920" s="19" t="s">
        <v>31372</v>
      </c>
      <c r="C2920" s="20" t="n">
        <f aca="false">ROUND(6.44/FX,2)</f>
        <v>0.89</v>
      </c>
      <c r="D2920" s="21" t="s">
        <v>2961</v>
      </c>
      <c r="E2920" s="21" t="s">
        <v>3317</v>
      </c>
      <c r="F2920" s="21" t="s">
        <v>2911</v>
      </c>
    </row>
    <row r="2921" customFormat="false" ht="15" hidden="false" customHeight="false" outlineLevel="0" collapsed="false">
      <c r="B2921" s="19" t="s">
        <v>31373</v>
      </c>
      <c r="C2921" s="20" t="n">
        <f aca="false">ROUND(7.02/FX,2)</f>
        <v>0.98</v>
      </c>
      <c r="D2921" s="21" t="s">
        <v>13817</v>
      </c>
      <c r="E2921" s="21" t="s">
        <v>3317</v>
      </c>
      <c r="F2921" s="21" t="s">
        <v>2911</v>
      </c>
    </row>
    <row r="2922" customFormat="false" ht="15" hidden="false" customHeight="false" outlineLevel="0" collapsed="false">
      <c r="B2922" s="19" t="s">
        <v>31374</v>
      </c>
      <c r="C2922" s="20" t="n">
        <f aca="false">ROUND(7.02/FX,2)</f>
        <v>0.98</v>
      </c>
      <c r="D2922" s="21" t="s">
        <v>3011</v>
      </c>
      <c r="E2922" s="21" t="s">
        <v>3317</v>
      </c>
      <c r="F2922" s="21" t="s">
        <v>2911</v>
      </c>
    </row>
    <row r="2923" customFormat="false" ht="15" hidden="false" customHeight="false" outlineLevel="0" collapsed="false">
      <c r="B2923" s="19" t="s">
        <v>31375</v>
      </c>
      <c r="C2923" s="20" t="n">
        <f aca="false">ROUND(7.61/FX,2)</f>
        <v>1.06</v>
      </c>
      <c r="D2923" s="21" t="s">
        <v>7396</v>
      </c>
      <c r="E2923" s="21" t="s">
        <v>3317</v>
      </c>
      <c r="F2923" s="21" t="s">
        <v>2911</v>
      </c>
    </row>
    <row r="2924" customFormat="false" ht="15" hidden="false" customHeight="false" outlineLevel="0" collapsed="false">
      <c r="B2924" s="19" t="s">
        <v>31376</v>
      </c>
      <c r="C2924" s="20" t="n">
        <f aca="false">ROUND(7.61/FX,2)</f>
        <v>1.06</v>
      </c>
      <c r="D2924" s="21" t="s">
        <v>3061</v>
      </c>
      <c r="E2924" s="21" t="s">
        <v>3317</v>
      </c>
      <c r="F2924" s="21" t="s">
        <v>2911</v>
      </c>
    </row>
    <row r="2925" customFormat="false" ht="15" hidden="false" customHeight="false" outlineLevel="0" collapsed="false">
      <c r="B2925" s="19" t="s">
        <v>31377</v>
      </c>
      <c r="C2925" s="20" t="n">
        <f aca="false">ROUND(7.96/FX,2)</f>
        <v>1.11</v>
      </c>
      <c r="D2925" s="21" t="s">
        <v>11870</v>
      </c>
      <c r="E2925" s="21" t="s">
        <v>3317</v>
      </c>
      <c r="F2925" s="21" t="s">
        <v>2911</v>
      </c>
    </row>
    <row r="2926" customFormat="false" ht="15" hidden="false" customHeight="false" outlineLevel="0" collapsed="false">
      <c r="B2926" s="19" t="s">
        <v>31378</v>
      </c>
      <c r="C2926" s="20" t="n">
        <f aca="false">ROUND(8.2/FX,2)</f>
        <v>1.14</v>
      </c>
      <c r="D2926" s="21" t="s">
        <v>3111</v>
      </c>
      <c r="E2926" s="21" t="s">
        <v>3317</v>
      </c>
      <c r="F2926" s="21" t="s">
        <v>2911</v>
      </c>
    </row>
    <row r="2927" customFormat="false" ht="15" hidden="false" customHeight="false" outlineLevel="0" collapsed="false">
      <c r="B2927" s="19" t="s">
        <v>31379</v>
      </c>
      <c r="C2927" s="20" t="n">
        <f aca="false">ROUND(8.71/FX,2)</f>
        <v>1.21</v>
      </c>
      <c r="D2927" s="21" t="s">
        <v>12306</v>
      </c>
      <c r="E2927" s="21" t="s">
        <v>3317</v>
      </c>
      <c r="F2927" s="21" t="s">
        <v>2911</v>
      </c>
    </row>
    <row r="2928" customFormat="false" ht="15" hidden="false" customHeight="false" outlineLevel="0" collapsed="false">
      <c r="B2928" s="19" t="s">
        <v>31380</v>
      </c>
      <c r="C2928" s="20" t="n">
        <f aca="false">ROUND(0.49/FX,2)</f>
        <v>0.07</v>
      </c>
      <c r="D2928" s="21" t="s">
        <v>714</v>
      </c>
      <c r="E2928" s="21" t="s">
        <v>839</v>
      </c>
      <c r="F2928" s="21" t="s">
        <v>716</v>
      </c>
    </row>
    <row r="2929" customFormat="false" ht="15" hidden="false" customHeight="false" outlineLevel="0" collapsed="false">
      <c r="B2929" s="19" t="s">
        <v>31381</v>
      </c>
      <c r="C2929" s="20" t="n">
        <f aca="false">ROUND(0.56/FX,2)</f>
        <v>0.08</v>
      </c>
      <c r="D2929" s="21" t="s">
        <v>3247</v>
      </c>
      <c r="E2929" s="21" t="s">
        <v>839</v>
      </c>
      <c r="F2929" s="21" t="s">
        <v>716</v>
      </c>
    </row>
    <row r="2930" customFormat="false" ht="15" hidden="false" customHeight="false" outlineLevel="0" collapsed="false">
      <c r="B2930" s="19" t="s">
        <v>31382</v>
      </c>
      <c r="C2930" s="20" t="n">
        <f aca="false">ROUND(0.56/FX,2)</f>
        <v>0.08</v>
      </c>
      <c r="D2930" s="21" t="s">
        <v>3317</v>
      </c>
      <c r="E2930" s="21" t="s">
        <v>839</v>
      </c>
      <c r="F2930" s="21" t="s">
        <v>716</v>
      </c>
    </row>
    <row r="2931" customFormat="false" ht="15" hidden="false" customHeight="false" outlineLevel="0" collapsed="false">
      <c r="B2931" s="19" t="s">
        <v>31383</v>
      </c>
      <c r="C2931" s="20" t="n">
        <f aca="false">ROUND(0.56/FX,2)</f>
        <v>0.08</v>
      </c>
      <c r="D2931" s="21" t="s">
        <v>784</v>
      </c>
      <c r="E2931" s="21" t="s">
        <v>839</v>
      </c>
      <c r="F2931" s="21" t="s">
        <v>716</v>
      </c>
    </row>
    <row r="2932" customFormat="false" ht="15" hidden="false" customHeight="false" outlineLevel="0" collapsed="false">
      <c r="B2932" s="19" t="s">
        <v>31384</v>
      </c>
      <c r="C2932" s="20" t="n">
        <f aca="false">ROUND(5.02/FX,2)</f>
        <v>0.7</v>
      </c>
      <c r="D2932" s="21" t="s">
        <v>1520</v>
      </c>
      <c r="E2932" s="21" t="s">
        <v>839</v>
      </c>
      <c r="F2932" s="21" t="s">
        <v>716</v>
      </c>
    </row>
    <row r="2933" customFormat="false" ht="15" hidden="false" customHeight="false" outlineLevel="0" collapsed="false">
      <c r="B2933" s="19" t="s">
        <v>31385</v>
      </c>
      <c r="C2933" s="20" t="n">
        <f aca="false">ROUND(0.56/FX,2)</f>
        <v>0.08</v>
      </c>
      <c r="D2933" s="21" t="s">
        <v>3328</v>
      </c>
      <c r="E2933" s="21" t="s">
        <v>839</v>
      </c>
      <c r="F2933" s="21" t="s">
        <v>716</v>
      </c>
    </row>
    <row r="2934" customFormat="false" ht="15" hidden="false" customHeight="false" outlineLevel="0" collapsed="false">
      <c r="B2934" s="19" t="s">
        <v>31386</v>
      </c>
      <c r="C2934" s="20" t="n">
        <f aca="false">ROUND(0.61/FX,2)</f>
        <v>0.08</v>
      </c>
      <c r="D2934" s="21" t="s">
        <v>6246</v>
      </c>
      <c r="E2934" s="21" t="s">
        <v>839</v>
      </c>
      <c r="F2934" s="21" t="s">
        <v>716</v>
      </c>
    </row>
    <row r="2935" customFormat="false" ht="15" hidden="false" customHeight="false" outlineLevel="0" collapsed="false">
      <c r="B2935" s="19" t="s">
        <v>31387</v>
      </c>
      <c r="C2935" s="20" t="n">
        <f aca="false">ROUND(0.65/FX,2)</f>
        <v>0.09</v>
      </c>
      <c r="D2935" s="21" t="s">
        <v>7358</v>
      </c>
      <c r="E2935" s="21" t="s">
        <v>839</v>
      </c>
      <c r="F2935" s="21" t="s">
        <v>716</v>
      </c>
    </row>
    <row r="2936" customFormat="false" ht="15" hidden="false" customHeight="false" outlineLevel="0" collapsed="false">
      <c r="B2936" s="19" t="s">
        <v>31388</v>
      </c>
      <c r="C2936" s="20" t="n">
        <f aca="false">ROUND(0.7/FX,2)</f>
        <v>0.1</v>
      </c>
      <c r="D2936" s="21" t="s">
        <v>2911</v>
      </c>
      <c r="E2936" s="21" t="s">
        <v>839</v>
      </c>
      <c r="F2936" s="21" t="s">
        <v>716</v>
      </c>
    </row>
    <row r="2937" customFormat="false" ht="15" hidden="false" customHeight="false" outlineLevel="0" collapsed="false">
      <c r="B2937" s="19" t="s">
        <v>31389</v>
      </c>
      <c r="C2937" s="20" t="n">
        <f aca="false">ROUND(0.85/FX,2)</f>
        <v>0.12</v>
      </c>
      <c r="D2937" s="21" t="s">
        <v>7275</v>
      </c>
      <c r="E2937" s="21" t="s">
        <v>839</v>
      </c>
      <c r="F2937" s="21" t="s">
        <v>716</v>
      </c>
    </row>
    <row r="2938" customFormat="false" ht="15" hidden="false" customHeight="false" outlineLevel="0" collapsed="false">
      <c r="B2938" s="19" t="s">
        <v>31390</v>
      </c>
      <c r="C2938" s="20" t="n">
        <f aca="false">ROUND(0.91/FX,2)</f>
        <v>0.13</v>
      </c>
      <c r="D2938" s="21" t="s">
        <v>2961</v>
      </c>
      <c r="E2938" s="21" t="s">
        <v>839</v>
      </c>
      <c r="F2938" s="21" t="s">
        <v>716</v>
      </c>
    </row>
    <row r="2939" customFormat="false" ht="15" hidden="false" customHeight="false" outlineLevel="0" collapsed="false">
      <c r="B2939" s="19" t="s">
        <v>31391</v>
      </c>
      <c r="C2939" s="20" t="n">
        <f aca="false">ROUND(0.98/FX,2)</f>
        <v>0.14</v>
      </c>
      <c r="D2939" s="21" t="s">
        <v>13817</v>
      </c>
      <c r="E2939" s="21" t="s">
        <v>839</v>
      </c>
      <c r="F2939" s="21" t="s">
        <v>716</v>
      </c>
    </row>
    <row r="2940" customFormat="false" ht="15" hidden="false" customHeight="false" outlineLevel="0" collapsed="false">
      <c r="B2940" s="19" t="s">
        <v>31392</v>
      </c>
      <c r="C2940" s="20" t="n">
        <f aca="false">ROUND(1.09/FX,2)</f>
        <v>0.15</v>
      </c>
      <c r="D2940" s="21" t="s">
        <v>3011</v>
      </c>
      <c r="E2940" s="21" t="s">
        <v>839</v>
      </c>
      <c r="F2940" s="21" t="s">
        <v>716</v>
      </c>
    </row>
    <row r="2941" customFormat="false" ht="15" hidden="false" customHeight="false" outlineLevel="0" collapsed="false">
      <c r="B2941" s="19" t="s">
        <v>31393</v>
      </c>
      <c r="C2941" s="20" t="n">
        <f aca="false">ROUND(12.42/FX,2)</f>
        <v>1.73</v>
      </c>
      <c r="D2941" s="21" t="s">
        <v>2600</v>
      </c>
      <c r="E2941" s="21" t="s">
        <v>784</v>
      </c>
      <c r="F2941" s="21" t="s">
        <v>2961</v>
      </c>
    </row>
    <row r="2942" customFormat="false" ht="15" hidden="false" customHeight="false" outlineLevel="0" collapsed="false">
      <c r="B2942" s="19" t="s">
        <v>31394</v>
      </c>
      <c r="C2942" s="20" t="n">
        <f aca="false">ROUND(15.35/FX,2)</f>
        <v>2.13</v>
      </c>
      <c r="D2942" s="21" t="s">
        <v>2651</v>
      </c>
      <c r="E2942" s="21" t="s">
        <v>784</v>
      </c>
      <c r="F2942" s="21" t="s">
        <v>2961</v>
      </c>
    </row>
    <row r="2943" customFormat="false" ht="15" hidden="false" customHeight="false" outlineLevel="0" collapsed="false">
      <c r="B2943" s="19" t="s">
        <v>31395</v>
      </c>
      <c r="C2943" s="20" t="n">
        <f aca="false">ROUND(15.35/FX,2)</f>
        <v>2.13</v>
      </c>
      <c r="D2943" s="21" t="s">
        <v>2701</v>
      </c>
      <c r="E2943" s="21" t="s">
        <v>784</v>
      </c>
      <c r="F2943" s="21" t="s">
        <v>2961</v>
      </c>
    </row>
    <row r="2944" customFormat="false" ht="15" hidden="false" customHeight="false" outlineLevel="0" collapsed="false">
      <c r="B2944" s="19" t="s">
        <v>31396</v>
      </c>
      <c r="C2944" s="20" t="n">
        <f aca="false">ROUND(15.35/FX,2)</f>
        <v>2.13</v>
      </c>
      <c r="D2944" s="21" t="s">
        <v>11968</v>
      </c>
      <c r="E2944" s="21" t="s">
        <v>784</v>
      </c>
      <c r="F2944" s="21" t="s">
        <v>2961</v>
      </c>
    </row>
    <row r="2945" customFormat="false" ht="15" hidden="false" customHeight="false" outlineLevel="0" collapsed="false">
      <c r="B2945" s="19" t="s">
        <v>31397</v>
      </c>
      <c r="C2945" s="20" t="n">
        <f aca="false">ROUND(18.76/FX,2)</f>
        <v>2.61</v>
      </c>
      <c r="D2945" s="21" t="s">
        <v>2851</v>
      </c>
      <c r="E2945" s="21" t="s">
        <v>784</v>
      </c>
      <c r="F2945" s="21" t="s">
        <v>2961</v>
      </c>
    </row>
    <row r="2946" customFormat="false" ht="15" hidden="false" customHeight="false" outlineLevel="0" collapsed="false">
      <c r="B2946" s="19" t="s">
        <v>31398</v>
      </c>
      <c r="C2946" s="20" t="n">
        <f aca="false">ROUND(21.46/FX,2)</f>
        <v>2.98</v>
      </c>
      <c r="D2946" s="21" t="s">
        <v>6497</v>
      </c>
      <c r="E2946" s="21" t="s">
        <v>784</v>
      </c>
      <c r="F2946" s="21" t="s">
        <v>2961</v>
      </c>
    </row>
    <row r="2947" customFormat="false" ht="15" hidden="false" customHeight="false" outlineLevel="0" collapsed="false">
      <c r="B2947" s="19" t="s">
        <v>31399</v>
      </c>
      <c r="C2947" s="20" t="n">
        <f aca="false">ROUND(23.57/FX,2)</f>
        <v>3.27</v>
      </c>
      <c r="D2947" s="21" t="s">
        <v>1048</v>
      </c>
      <c r="E2947" s="21" t="s">
        <v>784</v>
      </c>
      <c r="F2947" s="21" t="s">
        <v>2961</v>
      </c>
    </row>
    <row r="2948" customFormat="false" ht="15" hidden="false" customHeight="false" outlineLevel="0" collapsed="false">
      <c r="B2948" s="19" t="s">
        <v>31400</v>
      </c>
      <c r="C2948" s="20" t="n">
        <f aca="false">ROUND(30.08/FX,2)</f>
        <v>4.18</v>
      </c>
      <c r="D2948" s="21" t="s">
        <v>3991</v>
      </c>
      <c r="E2948" s="21" t="s">
        <v>784</v>
      </c>
      <c r="F2948" s="21" t="s">
        <v>2961</v>
      </c>
    </row>
    <row r="2949" customFormat="false" ht="15" hidden="false" customHeight="false" outlineLevel="0" collapsed="false">
      <c r="B2949" s="19" t="s">
        <v>31401</v>
      </c>
      <c r="C2949" s="20" t="n">
        <f aca="false">ROUND(28.61/FX,2)</f>
        <v>3.97</v>
      </c>
      <c r="D2949" s="21" t="s">
        <v>1323</v>
      </c>
      <c r="E2949" s="21" t="s">
        <v>784</v>
      </c>
      <c r="F2949" s="21" t="s">
        <v>2961</v>
      </c>
    </row>
    <row r="2950" customFormat="false" ht="15" hidden="false" customHeight="false" outlineLevel="0" collapsed="false">
      <c r="B2950" s="19" t="s">
        <v>31402</v>
      </c>
      <c r="C2950" s="20" t="n">
        <f aca="false">ROUND(31.79/FX,2)</f>
        <v>4.42</v>
      </c>
      <c r="D2950" s="21" t="s">
        <v>4883</v>
      </c>
      <c r="E2950" s="21" t="s">
        <v>784</v>
      </c>
      <c r="F2950" s="21" t="s">
        <v>2961</v>
      </c>
    </row>
    <row r="2951" customFormat="false" ht="15" hidden="false" customHeight="false" outlineLevel="0" collapsed="false">
      <c r="B2951" s="19" t="s">
        <v>31403</v>
      </c>
      <c r="C2951" s="20" t="n">
        <f aca="false">ROUND(38.94/FX,2)</f>
        <v>5.41</v>
      </c>
      <c r="D2951" s="21" t="s">
        <v>1520</v>
      </c>
      <c r="E2951" s="21" t="s">
        <v>784</v>
      </c>
      <c r="F2951" s="21" t="s">
        <v>2961</v>
      </c>
    </row>
    <row r="2952" customFormat="false" ht="15" hidden="false" customHeight="false" outlineLevel="0" collapsed="false">
      <c r="B2952" s="19" t="s">
        <v>31404</v>
      </c>
      <c r="C2952" s="20" t="n">
        <f aca="false">ROUND(8.56/FX,2)</f>
        <v>1.19</v>
      </c>
      <c r="D2952" s="21" t="s">
        <v>2961</v>
      </c>
      <c r="E2952" s="21" t="s">
        <v>784</v>
      </c>
      <c r="F2952" s="21" t="s">
        <v>2961</v>
      </c>
    </row>
    <row r="2953" customFormat="false" ht="15" hidden="false" customHeight="false" outlineLevel="0" collapsed="false">
      <c r="B2953" s="19" t="s">
        <v>31405</v>
      </c>
      <c r="C2953" s="20" t="n">
        <f aca="false">ROUND(8.66/FX,2)</f>
        <v>1.2</v>
      </c>
      <c r="D2953" s="21" t="s">
        <v>13817</v>
      </c>
      <c r="E2953" s="21" t="s">
        <v>784</v>
      </c>
      <c r="F2953" s="21" t="s">
        <v>2961</v>
      </c>
    </row>
    <row r="2954" customFormat="false" ht="15" hidden="false" customHeight="false" outlineLevel="0" collapsed="false">
      <c r="B2954" s="19" t="s">
        <v>31406</v>
      </c>
      <c r="C2954" s="20" t="n">
        <f aca="false">ROUND(9.69/FX,2)</f>
        <v>1.35</v>
      </c>
      <c r="D2954" s="21" t="s">
        <v>3011</v>
      </c>
      <c r="E2954" s="21" t="s">
        <v>784</v>
      </c>
      <c r="F2954" s="21" t="s">
        <v>2961</v>
      </c>
    </row>
    <row r="2955" customFormat="false" ht="15" hidden="false" customHeight="false" outlineLevel="0" collapsed="false">
      <c r="B2955" s="19" t="s">
        <v>31407</v>
      </c>
      <c r="C2955" s="20" t="n">
        <f aca="false">ROUND(10.08/FX,2)</f>
        <v>1.4</v>
      </c>
      <c r="D2955" s="21" t="s">
        <v>7396</v>
      </c>
      <c r="E2955" s="21" t="s">
        <v>784</v>
      </c>
      <c r="F2955" s="21" t="s">
        <v>2961</v>
      </c>
    </row>
    <row r="2956" customFormat="false" ht="15" hidden="false" customHeight="false" outlineLevel="0" collapsed="false">
      <c r="B2956" s="19" t="s">
        <v>31408</v>
      </c>
      <c r="C2956" s="20" t="n">
        <f aca="false">ROUND(10.66/FX,2)</f>
        <v>1.48</v>
      </c>
      <c r="D2956" s="21" t="s">
        <v>3061</v>
      </c>
      <c r="E2956" s="21" t="s">
        <v>784</v>
      </c>
      <c r="F2956" s="21" t="s">
        <v>2961</v>
      </c>
    </row>
    <row r="2957" customFormat="false" ht="15" hidden="false" customHeight="false" outlineLevel="0" collapsed="false">
      <c r="B2957" s="19" t="s">
        <v>31409</v>
      </c>
      <c r="C2957" s="20" t="n">
        <f aca="false">ROUND(11.13/FX,2)</f>
        <v>1.55</v>
      </c>
      <c r="D2957" s="21" t="s">
        <v>11870</v>
      </c>
      <c r="E2957" s="21" t="s">
        <v>784</v>
      </c>
      <c r="F2957" s="21" t="s">
        <v>2961</v>
      </c>
    </row>
    <row r="2958" customFormat="false" ht="15" hidden="false" customHeight="false" outlineLevel="0" collapsed="false">
      <c r="B2958" s="19" t="s">
        <v>31410</v>
      </c>
      <c r="C2958" s="20" t="n">
        <f aca="false">ROUND(11.61/FX,2)</f>
        <v>1.61</v>
      </c>
      <c r="D2958" s="21" t="s">
        <v>3111</v>
      </c>
      <c r="E2958" s="21" t="s">
        <v>784</v>
      </c>
      <c r="F2958" s="21" t="s">
        <v>2961</v>
      </c>
    </row>
    <row r="2959" customFormat="false" ht="15" hidden="false" customHeight="false" outlineLevel="0" collapsed="false">
      <c r="B2959" s="19" t="s">
        <v>31411</v>
      </c>
      <c r="C2959" s="20" t="n">
        <f aca="false">ROUND(12.08/FX,2)</f>
        <v>1.68</v>
      </c>
      <c r="D2959" s="21" t="s">
        <v>12306</v>
      </c>
      <c r="E2959" s="21" t="s">
        <v>784</v>
      </c>
      <c r="F2959" s="21" t="s">
        <v>2961</v>
      </c>
    </row>
    <row r="2960" customFormat="false" ht="15" hidden="false" customHeight="false" outlineLevel="0" collapsed="false">
      <c r="B2960" s="19" t="s">
        <v>31412</v>
      </c>
      <c r="C2960" s="20" t="n">
        <f aca="false">ROUND(67.41/FX,2)</f>
        <v>9.36</v>
      </c>
      <c r="D2960" s="21" t="s">
        <v>2600</v>
      </c>
      <c r="E2960" s="21" t="s">
        <v>6246</v>
      </c>
      <c r="F2960" s="21" t="s">
        <v>3011</v>
      </c>
    </row>
    <row r="2961" customFormat="false" ht="15" hidden="false" customHeight="false" outlineLevel="0" collapsed="false">
      <c r="B2961" s="19" t="s">
        <v>31413</v>
      </c>
      <c r="C2961" s="20" t="n">
        <f aca="false">ROUND(73.61/FX,2)</f>
        <v>10.22</v>
      </c>
      <c r="D2961" s="21" t="s">
        <v>11968</v>
      </c>
      <c r="E2961" s="21" t="s">
        <v>6246</v>
      </c>
      <c r="F2961" s="21" t="s">
        <v>3011</v>
      </c>
    </row>
    <row r="2962" customFormat="false" ht="15" hidden="false" customHeight="false" outlineLevel="0" collapsed="false">
      <c r="B2962" s="19" t="s">
        <v>31414</v>
      </c>
      <c r="C2962" s="20" t="n">
        <f aca="false">ROUND(88.43/FX,2)</f>
        <v>12.28</v>
      </c>
      <c r="D2962" s="21" t="s">
        <v>2851</v>
      </c>
      <c r="E2962" s="21" t="s">
        <v>6246</v>
      </c>
      <c r="F2962" s="21" t="s">
        <v>3011</v>
      </c>
    </row>
    <row r="2963" customFormat="false" ht="15" hidden="false" customHeight="false" outlineLevel="0" collapsed="false">
      <c r="B2963" s="19" t="s">
        <v>31415</v>
      </c>
      <c r="C2963" s="20" t="n">
        <f aca="false">ROUND(102.1/FX,2)</f>
        <v>14.18</v>
      </c>
      <c r="D2963" s="21" t="s">
        <v>6497</v>
      </c>
      <c r="E2963" s="21" t="s">
        <v>6246</v>
      </c>
      <c r="F2963" s="21" t="s">
        <v>3011</v>
      </c>
    </row>
    <row r="2964" customFormat="false" ht="15" hidden="false" customHeight="false" outlineLevel="0" collapsed="false">
      <c r="B2964" s="19" t="s">
        <v>31416</v>
      </c>
      <c r="C2964" s="20" t="n">
        <f aca="false">ROUND(113.13/FX,2)</f>
        <v>15.71</v>
      </c>
      <c r="D2964" s="21" t="s">
        <v>1048</v>
      </c>
      <c r="E2964" s="21" t="s">
        <v>6246</v>
      </c>
      <c r="F2964" s="21" t="s">
        <v>3011</v>
      </c>
    </row>
    <row r="2965" customFormat="false" ht="15" hidden="false" customHeight="false" outlineLevel="0" collapsed="false">
      <c r="B2965" s="19" t="s">
        <v>31417</v>
      </c>
      <c r="C2965" s="20" t="n">
        <f aca="false">ROUND(123/FX,2)</f>
        <v>17.08</v>
      </c>
      <c r="D2965" s="21" t="s">
        <v>1323</v>
      </c>
      <c r="E2965" s="21" t="s">
        <v>6246</v>
      </c>
      <c r="F2965" s="21" t="s">
        <v>3011</v>
      </c>
    </row>
    <row r="2966" customFormat="false" ht="15" hidden="false" customHeight="false" outlineLevel="0" collapsed="false">
      <c r="B2966" s="19" t="s">
        <v>31418</v>
      </c>
      <c r="C2966" s="20" t="n">
        <f aca="false">ROUND(153.88/FX,2)</f>
        <v>21.37</v>
      </c>
      <c r="D2966" s="21" t="s">
        <v>1520</v>
      </c>
      <c r="E2966" s="21" t="s">
        <v>6246</v>
      </c>
      <c r="F2966" s="21" t="s">
        <v>3011</v>
      </c>
    </row>
    <row r="2967" customFormat="false" ht="15" hidden="false" customHeight="false" outlineLevel="0" collapsed="false">
      <c r="B2967" s="19" t="s">
        <v>31419</v>
      </c>
      <c r="C2967" s="20" t="n">
        <f aca="false">ROUND(49.83/FX,2)</f>
        <v>6.92</v>
      </c>
      <c r="D2967" s="21" t="s">
        <v>3011</v>
      </c>
      <c r="E2967" s="21" t="s">
        <v>6246</v>
      </c>
      <c r="F2967" s="21" t="s">
        <v>3011</v>
      </c>
    </row>
    <row r="2968" customFormat="false" ht="15" hidden="false" customHeight="false" outlineLevel="0" collapsed="false">
      <c r="B2968" s="19" t="s">
        <v>31420</v>
      </c>
      <c r="C2968" s="20" t="n">
        <f aca="false">ROUND(55.08/FX,2)</f>
        <v>7.65</v>
      </c>
      <c r="D2968" s="21" t="s">
        <v>3061</v>
      </c>
      <c r="E2968" s="21" t="s">
        <v>6246</v>
      </c>
      <c r="F2968" s="21" t="s">
        <v>3011</v>
      </c>
    </row>
    <row r="2969" customFormat="false" ht="15" hidden="false" customHeight="false" outlineLevel="0" collapsed="false">
      <c r="B2969" s="19" t="s">
        <v>31421</v>
      </c>
      <c r="C2969" s="20" t="n">
        <f aca="false">ROUND(61.7/FX,2)</f>
        <v>8.57</v>
      </c>
      <c r="D2969" s="21" t="s">
        <v>3111</v>
      </c>
      <c r="E2969" s="21" t="s">
        <v>6246</v>
      </c>
      <c r="F2969" s="21" t="s">
        <v>3011</v>
      </c>
    </row>
    <row r="2970" customFormat="false" ht="15" hidden="false" customHeight="false" outlineLevel="0" collapsed="false">
      <c r="B2970" s="19" t="s">
        <v>31422</v>
      </c>
      <c r="C2970" s="20" t="n">
        <f aca="false">ROUND(1.3/FX,2)</f>
        <v>0.18</v>
      </c>
      <c r="D2970" s="21" t="s">
        <v>2600</v>
      </c>
      <c r="E2970" s="21" t="s">
        <v>841</v>
      </c>
      <c r="F2970" s="21" t="s">
        <v>847</v>
      </c>
    </row>
    <row r="2971" customFormat="false" ht="15" hidden="false" customHeight="false" outlineLevel="0" collapsed="false">
      <c r="B2971" s="19" t="s">
        <v>31423</v>
      </c>
      <c r="C2971" s="20" t="n">
        <f aca="false">ROUND(0.46/FX,2)</f>
        <v>0.06</v>
      </c>
      <c r="D2971" s="21" t="s">
        <v>3247</v>
      </c>
      <c r="E2971" s="21" t="s">
        <v>841</v>
      </c>
      <c r="F2971" s="21" t="s">
        <v>847</v>
      </c>
    </row>
    <row r="2972" customFormat="false" ht="15" hidden="false" customHeight="false" outlineLevel="0" collapsed="false">
      <c r="B2972" s="19" t="s">
        <v>31424</v>
      </c>
      <c r="C2972" s="20" t="n">
        <f aca="false">ROUND(0.46/FX,2)</f>
        <v>0.06</v>
      </c>
      <c r="D2972" s="21" t="s">
        <v>3317</v>
      </c>
      <c r="E2972" s="21" t="s">
        <v>841</v>
      </c>
      <c r="F2972" s="21" t="s">
        <v>847</v>
      </c>
    </row>
    <row r="2973" customFormat="false" ht="15" hidden="false" customHeight="false" outlineLevel="0" collapsed="false">
      <c r="B2973" s="19" t="s">
        <v>31425</v>
      </c>
      <c r="C2973" s="20" t="n">
        <f aca="false">ROUND(0.48/FX,2)</f>
        <v>0.07</v>
      </c>
      <c r="D2973" s="21" t="s">
        <v>784</v>
      </c>
      <c r="E2973" s="21" t="s">
        <v>841</v>
      </c>
      <c r="F2973" s="21" t="s">
        <v>847</v>
      </c>
    </row>
    <row r="2974" customFormat="false" ht="15" hidden="false" customHeight="false" outlineLevel="0" collapsed="false">
      <c r="B2974" s="19" t="s">
        <v>31426</v>
      </c>
      <c r="C2974" s="20" t="n">
        <f aca="false">ROUND(4.04/FX,2)</f>
        <v>0.56</v>
      </c>
      <c r="D2974" s="21" t="s">
        <v>1520</v>
      </c>
      <c r="E2974" s="21" t="s">
        <v>841</v>
      </c>
      <c r="F2974" s="21" t="s">
        <v>847</v>
      </c>
    </row>
    <row r="2975" customFormat="false" ht="15" hidden="false" customHeight="false" outlineLevel="0" collapsed="false">
      <c r="B2975" s="19" t="s">
        <v>31427</v>
      </c>
      <c r="C2975" s="20" t="n">
        <f aca="false">ROUND(0.54/FX,2)</f>
        <v>0.08</v>
      </c>
      <c r="D2975" s="21" t="s">
        <v>3328</v>
      </c>
      <c r="E2975" s="21" t="s">
        <v>841</v>
      </c>
      <c r="F2975" s="21" t="s">
        <v>847</v>
      </c>
    </row>
    <row r="2976" customFormat="false" ht="15" hidden="false" customHeight="false" outlineLevel="0" collapsed="false">
      <c r="B2976" s="19" t="s">
        <v>31428</v>
      </c>
      <c r="C2976" s="20" t="n">
        <f aca="false">ROUND(0.6/FX,2)</f>
        <v>0.08</v>
      </c>
      <c r="D2976" s="21" t="s">
        <v>6246</v>
      </c>
      <c r="E2976" s="21" t="s">
        <v>841</v>
      </c>
      <c r="F2976" s="21" t="s">
        <v>847</v>
      </c>
    </row>
    <row r="2977" customFormat="false" ht="15" hidden="false" customHeight="false" outlineLevel="0" collapsed="false">
      <c r="B2977" s="19" t="s">
        <v>31429</v>
      </c>
      <c r="C2977" s="20" t="n">
        <f aca="false">ROUND(0.65/FX,2)</f>
        <v>0.09</v>
      </c>
      <c r="D2977" s="21" t="s">
        <v>7358</v>
      </c>
      <c r="E2977" s="21" t="s">
        <v>841</v>
      </c>
      <c r="F2977" s="21" t="s">
        <v>847</v>
      </c>
    </row>
    <row r="2978" customFormat="false" ht="15" hidden="false" customHeight="false" outlineLevel="0" collapsed="false">
      <c r="B2978" s="19" t="s">
        <v>31430</v>
      </c>
      <c r="C2978" s="20" t="n">
        <f aca="false">ROUND(0.72/FX,2)</f>
        <v>0.1</v>
      </c>
      <c r="D2978" s="21" t="s">
        <v>2911</v>
      </c>
      <c r="E2978" s="21" t="s">
        <v>841</v>
      </c>
      <c r="F2978" s="21" t="s">
        <v>847</v>
      </c>
    </row>
    <row r="2979" customFormat="false" ht="15" hidden="false" customHeight="false" outlineLevel="0" collapsed="false">
      <c r="B2979" s="19" t="s">
        <v>31431</v>
      </c>
      <c r="C2979" s="20" t="n">
        <f aca="false">ROUND(0.77/FX,2)</f>
        <v>0.11</v>
      </c>
      <c r="D2979" s="21" t="s">
        <v>7275</v>
      </c>
      <c r="E2979" s="21" t="s">
        <v>841</v>
      </c>
      <c r="F2979" s="21" t="s">
        <v>847</v>
      </c>
    </row>
    <row r="2980" customFormat="false" ht="15" hidden="false" customHeight="false" outlineLevel="0" collapsed="false">
      <c r="B2980" s="19" t="s">
        <v>31432</v>
      </c>
      <c r="C2980" s="20" t="n">
        <f aca="false">ROUND(0.83/FX,2)</f>
        <v>0.12</v>
      </c>
      <c r="D2980" s="21" t="s">
        <v>2961</v>
      </c>
      <c r="E2980" s="21" t="s">
        <v>841</v>
      </c>
      <c r="F2980" s="21" t="s">
        <v>847</v>
      </c>
    </row>
    <row r="2981" customFormat="false" ht="15" hidden="false" customHeight="false" outlineLevel="0" collapsed="false">
      <c r="B2981" s="19" t="s">
        <v>31433</v>
      </c>
      <c r="C2981" s="20" t="n">
        <f aca="false">ROUND(0.83/FX,2)</f>
        <v>0.12</v>
      </c>
      <c r="D2981" s="21" t="s">
        <v>13817</v>
      </c>
      <c r="E2981" s="21" t="s">
        <v>841</v>
      </c>
      <c r="F2981" s="21" t="s">
        <v>847</v>
      </c>
    </row>
    <row r="2982" customFormat="false" ht="15" hidden="false" customHeight="false" outlineLevel="0" collapsed="false">
      <c r="B2982" s="19" t="s">
        <v>31434</v>
      </c>
      <c r="C2982" s="20" t="n">
        <f aca="false">ROUND(0.95/FX,2)</f>
        <v>0.13</v>
      </c>
      <c r="D2982" s="21" t="s">
        <v>3011</v>
      </c>
      <c r="E2982" s="21" t="s">
        <v>841</v>
      </c>
      <c r="F2982" s="21" t="s">
        <v>847</v>
      </c>
    </row>
    <row r="2983" customFormat="false" ht="15" hidden="false" customHeight="false" outlineLevel="0" collapsed="false">
      <c r="B2983" s="19" t="s">
        <v>31435</v>
      </c>
      <c r="C2983" s="20" t="n">
        <f aca="false">ROUND(1/FX,2)</f>
        <v>0.14</v>
      </c>
      <c r="D2983" s="21" t="s">
        <v>7396</v>
      </c>
      <c r="E2983" s="21" t="s">
        <v>841</v>
      </c>
      <c r="F2983" s="21" t="s">
        <v>847</v>
      </c>
    </row>
    <row r="2984" customFormat="false" ht="15" hidden="false" customHeight="false" outlineLevel="0" collapsed="false">
      <c r="B2984" s="19" t="s">
        <v>31436</v>
      </c>
      <c r="C2984" s="20" t="n">
        <f aca="false">ROUND(1.12/FX,2)</f>
        <v>0.16</v>
      </c>
      <c r="D2984" s="21" t="s">
        <v>3061</v>
      </c>
      <c r="E2984" s="21" t="s">
        <v>841</v>
      </c>
      <c r="F2984" s="21" t="s">
        <v>847</v>
      </c>
    </row>
    <row r="2985" customFormat="false" ht="15" hidden="false" customHeight="false" outlineLevel="0" collapsed="false">
      <c r="B2985" s="19" t="s">
        <v>31437</v>
      </c>
      <c r="C2985" s="20" t="n">
        <f aca="false">ROUND(1.18/FX,2)</f>
        <v>0.16</v>
      </c>
      <c r="D2985" s="21" t="s">
        <v>11870</v>
      </c>
      <c r="E2985" s="21" t="s">
        <v>841</v>
      </c>
      <c r="F2985" s="21" t="s">
        <v>847</v>
      </c>
    </row>
    <row r="2986" customFormat="false" ht="15" hidden="false" customHeight="false" outlineLevel="0" collapsed="false">
      <c r="B2986" s="19" t="s">
        <v>31438</v>
      </c>
      <c r="C2986" s="20" t="n">
        <f aca="false">ROUND(1.18/FX,2)</f>
        <v>0.16</v>
      </c>
      <c r="D2986" s="21" t="s">
        <v>3111</v>
      </c>
      <c r="E2986" s="21" t="s">
        <v>841</v>
      </c>
      <c r="F2986" s="21" t="s">
        <v>847</v>
      </c>
    </row>
    <row r="2987" customFormat="false" ht="15" hidden="false" customHeight="false" outlineLevel="0" collapsed="false">
      <c r="B2987" s="19" t="s">
        <v>31439</v>
      </c>
      <c r="C2987" s="20" t="n">
        <f aca="false">ROUND(1.3/FX,2)</f>
        <v>0.18</v>
      </c>
      <c r="D2987" s="21" t="s">
        <v>12306</v>
      </c>
      <c r="E2987" s="21" t="s">
        <v>841</v>
      </c>
      <c r="F2987" s="21" t="s">
        <v>847</v>
      </c>
    </row>
    <row r="2990" customFormat="false" ht="61.5" hidden="false" customHeight="true" outlineLevel="0" collapsed="false">
      <c r="A2990" s="9"/>
      <c r="B2990" s="10" t="s">
        <v>31440</v>
      </c>
      <c r="C2990" s="10"/>
      <c r="D2990" s="10"/>
    </row>
    <row r="2991" customFormat="false" ht="15" hidden="false" customHeight="false" outlineLevel="0" collapsed="false">
      <c r="B2991" s="18" t="s">
        <v>701</v>
      </c>
      <c r="C2991" s="18" t="s">
        <v>702</v>
      </c>
      <c r="D2991" s="18" t="s">
        <v>5610</v>
      </c>
    </row>
    <row r="2992" customFormat="false" ht="15" hidden="false" customHeight="false" outlineLevel="0" collapsed="false">
      <c r="B2992" s="19" t="s">
        <v>31441</v>
      </c>
      <c r="C2992" s="20" t="n">
        <f aca="false">ROUND(2.47/FX,2)</f>
        <v>0.34</v>
      </c>
      <c r="D2992" s="22" t="s">
        <v>5612</v>
      </c>
    </row>
    <row r="2995" customFormat="false" ht="61.5" hidden="false" customHeight="true" outlineLevel="0" collapsed="false">
      <c r="A2995" s="9"/>
      <c r="B2995" s="10" t="s">
        <v>31442</v>
      </c>
      <c r="C2995" s="10"/>
      <c r="D2995" s="10"/>
      <c r="E2995" s="10"/>
      <c r="F2995" s="10"/>
      <c r="G2995" s="10"/>
    </row>
    <row r="2996" customFormat="false" ht="15" hidden="false" customHeight="false" outlineLevel="0" collapsed="false">
      <c r="A2996" s="12" t="s">
        <v>700</v>
      </c>
      <c r="B2996" s="13" t="s">
        <v>701</v>
      </c>
      <c r="C2996" s="13" t="s">
        <v>702</v>
      </c>
      <c r="D2996" s="13" t="s">
        <v>722</v>
      </c>
      <c r="E2996" s="13" t="s">
        <v>704</v>
      </c>
      <c r="F2996" s="13" t="s">
        <v>705</v>
      </c>
      <c r="G2996" s="13" t="s">
        <v>6523</v>
      </c>
    </row>
    <row r="2997" customFormat="false" ht="30" hidden="false" customHeight="true" outlineLevel="0" collapsed="false">
      <c r="A2997" s="14" t="s">
        <v>706</v>
      </c>
      <c r="B2997" s="15" t="str">
        <f aca="false">IF(COUNTIFS($D$3000:$D$3008,IF(D2997="","*",D2997),$E$3000:$E$3008,IF(E2997="","*",E2997),$F$3000:$F$3008,IF(F2997="","*",F2997),$G$3000:$G$3008,IF(G2997="","*",G2997))=1,INDEX($B:$B,SUMPRODUCT(((D2997="")+($D$3000:$D$3008=D2997)&gt;0)*((E2997="")+($E$3000:$E$3008=E2997)&gt;0)*((F2997="")+($F$3000:$F$3008=F2997)&gt;0)*((G2997="")+($G$3000:$G$3008=G2997)&gt;0)*ROW($B$3000:$B$3008))),IF(COUNTIFS($D$3000:$D$3008,IF(D2997="","*",D2997),$E$3000:$E$3008,IF(E2997="","*",E2997),$F$3000:$F$3008,IF(F2997="","*",F2997),$G$3000:$G$3008,IF(G2997="","*",G2997))=0,"Not available",COUNTIFS($D$3000:$D$3008,IF(D2997="","*",D2997),$E$3000:$E$3008,IF(E2997="","*",E2997),$F$3000:$F$3008,IF(F2997="","*",F2997),$G$3000:$G$3008,IF(G2997="","*",G2997))&amp;" match, keep choosing"))</f>
        <v>P3-022-0.6x5.7x10x6-P10</v>
      </c>
      <c r="C2997" s="16" t="n">
        <f aca="false">IF(COUNTIFS($D$3000:$D$3008,IF(D2997="","*",D2997),$E$3000:$E$3008,IF(E2997="","*",E2997),$F$3000:$F$3008,IF(F2997="","*",F2997),$G$3000:$G$3008,IF(G2997="","*",G2997))=1,INDEX($C:$C,SUMPRODUCT(((D2997="")+($D$3000:$D$3008=D2997)&gt;0)*((E2997="")+($E$3000:$E$3008=E2997)&gt;0)*((F2997="")+($F$3000:$F$3008=F2997)&gt;0)*((G2997="")+($G$3000:$G$3008=G2997)&gt;0)*ROW($B$3000:$B$3008))),"")</f>
        <v>0.04</v>
      </c>
      <c r="D2997" s="17" t="s">
        <v>6336</v>
      </c>
      <c r="E2997" s="17" t="s">
        <v>6336</v>
      </c>
      <c r="F2997" s="17" t="s">
        <v>13997</v>
      </c>
      <c r="G2997" s="17" t="s">
        <v>31443</v>
      </c>
    </row>
    <row r="2999" customFormat="false" ht="15" hidden="false" customHeight="false" outlineLevel="0" collapsed="false">
      <c r="B2999" s="18" t="s">
        <v>701</v>
      </c>
      <c r="C2999" s="18" t="s">
        <v>702</v>
      </c>
      <c r="D2999" s="18" t="s">
        <v>722</v>
      </c>
      <c r="E2999" s="18" t="s">
        <v>704</v>
      </c>
      <c r="F2999" s="18" t="s">
        <v>705</v>
      </c>
      <c r="G2999" s="18" t="s">
        <v>6523</v>
      </c>
    </row>
    <row r="3000" customFormat="false" ht="15" hidden="false" customHeight="false" outlineLevel="0" collapsed="false">
      <c r="B3000" s="19" t="s">
        <v>31444</v>
      </c>
      <c r="C3000" s="20" t="n">
        <f aca="false">ROUND(0.3/FX,2)</f>
        <v>0.04</v>
      </c>
      <c r="D3000" s="21" t="s">
        <v>6336</v>
      </c>
      <c r="E3000" s="21" t="s">
        <v>6336</v>
      </c>
      <c r="F3000" s="21" t="s">
        <v>13997</v>
      </c>
      <c r="G3000" s="21" t="s">
        <v>31443</v>
      </c>
    </row>
    <row r="3001" customFormat="false" ht="15" hidden="false" customHeight="false" outlineLevel="0" collapsed="false">
      <c r="B3001" s="19" t="s">
        <v>31445</v>
      </c>
      <c r="C3001" s="20" t="n">
        <f aca="false">ROUND(0.55/FX,2)</f>
        <v>0.08</v>
      </c>
      <c r="D3001" s="21" t="s">
        <v>6336</v>
      </c>
      <c r="E3001" s="21" t="s">
        <v>6336</v>
      </c>
      <c r="F3001" s="21" t="s">
        <v>13997</v>
      </c>
      <c r="G3001" s="21" t="s">
        <v>31446</v>
      </c>
    </row>
    <row r="3002" customFormat="false" ht="15" hidden="false" customHeight="false" outlineLevel="0" collapsed="false">
      <c r="B3002" s="19" t="s">
        <v>31447</v>
      </c>
      <c r="C3002" s="20" t="n">
        <f aca="false">ROUND(1.82/FX,2)</f>
        <v>0.25</v>
      </c>
      <c r="D3002" s="21" t="s">
        <v>724</v>
      </c>
      <c r="E3002" s="21" t="s">
        <v>10100</v>
      </c>
      <c r="F3002" s="21" t="s">
        <v>23567</v>
      </c>
      <c r="G3002" s="21" t="s">
        <v>31448</v>
      </c>
    </row>
    <row r="3003" customFormat="false" ht="15" hidden="false" customHeight="false" outlineLevel="0" collapsed="false">
      <c r="B3003" s="19" t="s">
        <v>31449</v>
      </c>
      <c r="C3003" s="20" t="n">
        <f aca="false">ROUND(0.55/FX,2)</f>
        <v>0.08</v>
      </c>
      <c r="D3003" s="21" t="s">
        <v>6336</v>
      </c>
      <c r="E3003" s="21" t="s">
        <v>6336</v>
      </c>
      <c r="F3003" s="21" t="s">
        <v>13997</v>
      </c>
      <c r="G3003" s="21" t="s">
        <v>31450</v>
      </c>
    </row>
    <row r="3004" customFormat="false" ht="15" hidden="false" customHeight="false" outlineLevel="0" collapsed="false">
      <c r="B3004" s="19" t="s">
        <v>31451</v>
      </c>
      <c r="C3004" s="20" t="n">
        <f aca="false">ROUND(1.04/FX,2)</f>
        <v>0.14</v>
      </c>
      <c r="D3004" s="21" t="s">
        <v>6336</v>
      </c>
      <c r="E3004" s="21" t="s">
        <v>6336</v>
      </c>
      <c r="F3004" s="21" t="s">
        <v>13981</v>
      </c>
      <c r="G3004" s="21" t="s">
        <v>31452</v>
      </c>
    </row>
    <row r="3005" customFormat="false" ht="15" hidden="false" customHeight="false" outlineLevel="0" collapsed="false">
      <c r="B3005" s="19" t="s">
        <v>31453</v>
      </c>
      <c r="C3005" s="20" t="n">
        <f aca="false">ROUND(1.04/FX,2)</f>
        <v>0.14</v>
      </c>
      <c r="D3005" s="21" t="s">
        <v>6336</v>
      </c>
      <c r="E3005" s="21" t="s">
        <v>6336</v>
      </c>
      <c r="F3005" s="21" t="s">
        <v>13981</v>
      </c>
      <c r="G3005" s="21" t="s">
        <v>31454</v>
      </c>
    </row>
    <row r="3006" customFormat="false" ht="15" hidden="false" customHeight="false" outlineLevel="0" collapsed="false">
      <c r="B3006" s="19" t="s">
        <v>31455</v>
      </c>
      <c r="C3006" s="20" t="n">
        <f aca="false">ROUND(0.65/FX,2)</f>
        <v>0.09</v>
      </c>
      <c r="D3006" s="21" t="s">
        <v>6336</v>
      </c>
      <c r="E3006" s="21" t="s">
        <v>8669</v>
      </c>
      <c r="F3006" s="21" t="s">
        <v>13997</v>
      </c>
      <c r="G3006" s="21" t="s">
        <v>31456</v>
      </c>
    </row>
    <row r="3007" customFormat="false" ht="15" hidden="false" customHeight="false" outlineLevel="0" collapsed="false">
      <c r="B3007" s="19" t="s">
        <v>31457</v>
      </c>
      <c r="C3007" s="20" t="n">
        <f aca="false">ROUND(0.39/FX,2)</f>
        <v>0.05</v>
      </c>
      <c r="D3007" s="21" t="s">
        <v>6336</v>
      </c>
      <c r="E3007" s="21" t="s">
        <v>8669</v>
      </c>
      <c r="F3007" s="21" t="s">
        <v>13743</v>
      </c>
      <c r="G3007" s="21" t="s">
        <v>31458</v>
      </c>
    </row>
    <row r="3008" customFormat="false" ht="15" hidden="false" customHeight="false" outlineLevel="0" collapsed="false">
      <c r="B3008" s="19" t="s">
        <v>31459</v>
      </c>
      <c r="C3008" s="20" t="n">
        <f aca="false">ROUND(0.7/FX,2)</f>
        <v>0.1</v>
      </c>
      <c r="D3008" s="21" t="s">
        <v>6336</v>
      </c>
      <c r="E3008" s="21" t="s">
        <v>6336</v>
      </c>
      <c r="F3008" s="21" t="s">
        <v>13997</v>
      </c>
      <c r="G3008" s="21" t="s">
        <v>31460</v>
      </c>
    </row>
    <row r="3011" customFormat="false" ht="61.5" hidden="false" customHeight="true" outlineLevel="0" collapsed="false">
      <c r="A3011" s="9"/>
      <c r="B3011" s="10" t="s">
        <v>31461</v>
      </c>
      <c r="C3011" s="10"/>
      <c r="D3011" s="10"/>
    </row>
    <row r="3012" customFormat="false" ht="15" hidden="false" customHeight="false" outlineLevel="0" collapsed="false">
      <c r="B3012" s="18" t="s">
        <v>701</v>
      </c>
      <c r="C3012" s="18" t="s">
        <v>702</v>
      </c>
      <c r="D3012" s="18" t="s">
        <v>5610</v>
      </c>
    </row>
    <row r="3013" customFormat="false" ht="15" hidden="false" customHeight="false" outlineLevel="0" collapsed="false">
      <c r="B3013" s="19" t="s">
        <v>31462</v>
      </c>
      <c r="C3013" s="20" t="n">
        <f aca="false">ROUND(0.39/FX,2)</f>
        <v>0.05</v>
      </c>
      <c r="D3013" s="22" t="s">
        <v>5612</v>
      </c>
    </row>
    <row r="3016" customFormat="false" ht="61.5" hidden="false" customHeight="true" outlineLevel="0" collapsed="false">
      <c r="A3016" s="9"/>
      <c r="B3016" s="10" t="s">
        <v>31463</v>
      </c>
      <c r="C3016" s="10"/>
      <c r="D3016" s="10"/>
      <c r="E3016" s="10"/>
    </row>
    <row r="3017" customFormat="false" ht="15" hidden="false" customHeight="false" outlineLevel="0" collapsed="false">
      <c r="A3017" s="12" t="s">
        <v>700</v>
      </c>
      <c r="B3017" s="13" t="s">
        <v>701</v>
      </c>
      <c r="C3017" s="13" t="s">
        <v>702</v>
      </c>
      <c r="D3017" s="13" t="s">
        <v>723</v>
      </c>
      <c r="E3017" s="13" t="s">
        <v>21219</v>
      </c>
    </row>
    <row r="3018" customFormat="false" ht="30" hidden="false" customHeight="true" outlineLevel="0" collapsed="false">
      <c r="A3018" s="14" t="s">
        <v>706</v>
      </c>
      <c r="B3018" s="15" t="str">
        <f aca="false">IF(COUNTIFS($D$3021:$D$3024,IF(D3018="","*",D3018),$E$3021:$E$3024,IF(E3018="","*",E3018))=1,INDEX($B:$B,SUMPRODUCT(((D3018="")+($D$3021:$D$3024=D3018)&gt;0)*((E3018="")+($E$3021:$E$3024=E3018)&gt;0)*ROW($B$3021:$B$3024))),IF(COUNTIFS($D$3021:$D$3024,IF(D3018="","*",D3018),$E$3021:$E$3024,IF(E3018="","*",E3018))=0,"Not available",COUNTIFS($D$3021:$D$3024,IF(D3018="","*",D3018),$E$3021:$E$3024,IF(E3018="","*",E3018))&amp;" match, keep choosing"))</f>
        <v>P3-094-12V-AK</v>
      </c>
      <c r="C3018" s="16" t="n">
        <f aca="false">IF(COUNTIFS($D$3021:$D$3024,IF(D3018="","*",D3018),$E$3021:$E$3024,IF(E3018="","*",E3018))=1,INDEX($C:$C,SUMPRODUCT(((D3018="")+($D$3021:$D$3024=D3018)&gt;0)*((E3018="")+($E$3021:$E$3024=E3018)&gt;0)*ROW($B$3021:$B$3024))),"")</f>
        <v>20.83</v>
      </c>
      <c r="D3018" s="17" t="s">
        <v>7941</v>
      </c>
      <c r="E3018" s="17" t="s">
        <v>29407</v>
      </c>
    </row>
    <row r="3020" customFormat="false" ht="15" hidden="false" customHeight="false" outlineLevel="0" collapsed="false">
      <c r="B3020" s="18" t="s">
        <v>701</v>
      </c>
      <c r="C3020" s="18" t="s">
        <v>702</v>
      </c>
      <c r="D3020" s="18" t="s">
        <v>723</v>
      </c>
      <c r="E3020" s="18" t="s">
        <v>21219</v>
      </c>
    </row>
    <row r="3021" customFormat="false" ht="15" hidden="false" customHeight="false" outlineLevel="0" collapsed="false">
      <c r="B3021" s="19" t="s">
        <v>31464</v>
      </c>
      <c r="C3021" s="20" t="n">
        <f aca="false">ROUND(150/FX,2)</f>
        <v>20.83</v>
      </c>
      <c r="D3021" s="21" t="s">
        <v>7941</v>
      </c>
      <c r="E3021" s="21" t="s">
        <v>29407</v>
      </c>
    </row>
    <row r="3022" customFormat="false" ht="15" hidden="false" customHeight="false" outlineLevel="0" collapsed="false">
      <c r="B3022" s="19" t="s">
        <v>31465</v>
      </c>
      <c r="C3022" s="20" t="n">
        <f aca="false">ROUND(150/FX,2)</f>
        <v>20.83</v>
      </c>
      <c r="D3022" s="21" t="s">
        <v>7939</v>
      </c>
      <c r="E3022" s="21" t="s">
        <v>29407</v>
      </c>
    </row>
    <row r="3023" customFormat="false" ht="15" hidden="false" customHeight="false" outlineLevel="0" collapsed="false">
      <c r="B3023" s="19" t="s">
        <v>31466</v>
      </c>
      <c r="C3023" s="20" t="n">
        <f aca="false">ROUND(150/FX,2)</f>
        <v>20.83</v>
      </c>
      <c r="D3023" s="21" t="s">
        <v>7941</v>
      </c>
      <c r="E3023" s="21" t="s">
        <v>29288</v>
      </c>
    </row>
    <row r="3024" customFormat="false" ht="15" hidden="false" customHeight="false" outlineLevel="0" collapsed="false">
      <c r="B3024" s="19" t="s">
        <v>31467</v>
      </c>
      <c r="C3024" s="20" t="n">
        <f aca="false">ROUND(150/FX,2)</f>
        <v>20.83</v>
      </c>
      <c r="D3024" s="21" t="s">
        <v>7939</v>
      </c>
      <c r="E3024" s="21" t="s">
        <v>29288</v>
      </c>
    </row>
    <row r="3027" customFormat="false" ht="61.5" hidden="false" customHeight="true" outlineLevel="0" collapsed="false">
      <c r="A3027" s="9"/>
      <c r="B3027" s="10" t="s">
        <v>31468</v>
      </c>
      <c r="C3027" s="10"/>
      <c r="D3027" s="10"/>
    </row>
    <row r="3028" customFormat="false" ht="15" hidden="false" customHeight="false" outlineLevel="0" collapsed="false">
      <c r="A3028" s="12" t="s">
        <v>700</v>
      </c>
      <c r="B3028" s="13" t="s">
        <v>701</v>
      </c>
      <c r="C3028" s="13" t="s">
        <v>702</v>
      </c>
      <c r="D3028" s="13" t="s">
        <v>723</v>
      </c>
    </row>
    <row r="3029" customFormat="false" ht="30" hidden="false" customHeight="true" outlineLevel="0" collapsed="false">
      <c r="A3029" s="14" t="s">
        <v>706</v>
      </c>
      <c r="B3029" s="15" t="str">
        <f aca="false">IF(COUNTIFS($D$3032:$D$3033,IF(D3029="","*",D3029))=1,INDEX($B:$B,SUMPRODUCT(((D3029="")+($D$3032:$D$3033=D3029)&gt;0)*ROW($B$3032:$B$3033))),IF(COUNTIFS($D$3032:$D$3033,IF(D3029="","*",D3029))=0,"Not available",COUNTIFS($D$3032:$D$3033,IF(D3029="","*",D3029))&amp;" match, keep choosing"))</f>
        <v>P3-115-KLEGW36YXDJ</v>
      </c>
      <c r="C3029" s="16" t="n">
        <f aca="false">IF(COUNTIFS($D$3032:$D$3033,IF(D3029="","*",D3029))=1,INDEX($C:$C,SUMPRODUCT(((D3029="")+($D$3032:$D$3033=D3029)&gt;0)*ROW($B$3032:$B$3033))),"")</f>
        <v>8.43</v>
      </c>
      <c r="D3029" s="17" t="s">
        <v>31469</v>
      </c>
    </row>
    <row r="3031" customFormat="false" ht="15" hidden="false" customHeight="false" outlineLevel="0" collapsed="false">
      <c r="B3031" s="18" t="s">
        <v>701</v>
      </c>
      <c r="C3031" s="18" t="s">
        <v>702</v>
      </c>
      <c r="D3031" s="18" t="s">
        <v>723</v>
      </c>
    </row>
    <row r="3032" customFormat="false" ht="28.35" hidden="false" customHeight="false" outlineLevel="0" collapsed="false">
      <c r="B3032" s="19" t="s">
        <v>31470</v>
      </c>
      <c r="C3032" s="20" t="n">
        <f aca="false">ROUND(60.71/FX,2)</f>
        <v>8.43</v>
      </c>
      <c r="D3032" s="21" t="s">
        <v>31469</v>
      </c>
    </row>
    <row r="3033" customFormat="false" ht="28.35" hidden="false" customHeight="false" outlineLevel="0" collapsed="false">
      <c r="B3033" s="19" t="s">
        <v>31471</v>
      </c>
      <c r="C3033" s="20" t="n">
        <f aca="false">ROUND(102.44/FX,2)</f>
        <v>14.23</v>
      </c>
      <c r="D3033" s="21" t="s">
        <v>31472</v>
      </c>
    </row>
    <row r="3036" customFormat="false" ht="61.5" hidden="false" customHeight="true" outlineLevel="0" collapsed="false">
      <c r="A3036" s="9"/>
      <c r="B3036" s="10" t="s">
        <v>31473</v>
      </c>
      <c r="C3036" s="10"/>
      <c r="D3036" s="10"/>
    </row>
    <row r="3037" customFormat="false" ht="15" hidden="false" customHeight="false" outlineLevel="0" collapsed="false">
      <c r="A3037" s="12" t="s">
        <v>700</v>
      </c>
      <c r="B3037" s="13" t="s">
        <v>701</v>
      </c>
      <c r="C3037" s="13" t="s">
        <v>702</v>
      </c>
      <c r="D3037" s="13" t="s">
        <v>723</v>
      </c>
    </row>
    <row r="3038" customFormat="false" ht="30" hidden="false" customHeight="true" outlineLevel="0" collapsed="false">
      <c r="A3038" s="14" t="s">
        <v>706</v>
      </c>
      <c r="B3038" s="15" t="str">
        <f aca="false">IF(COUNTIFS($D$3041:$D$3042,IF(D3038="","*",D3038))=1,INDEX($B:$B,SUMPRODUCT(((D3038="")+($D$3041:$D$3042=D3038)&gt;0)*ROW($B$3041:$B$3042))),IF(COUNTIFS($D$3041:$D$3042,IF(D3038="","*",D3038))=0,"Not available",COUNTIFS($D$3041:$D$3042,IF(D3038="","*",D3038))&amp;" match, keep choosing"))</f>
        <v>P3-070-JCLNK5</v>
      </c>
      <c r="C3038" s="16" t="n">
        <f aca="false">IF(COUNTIFS($D$3041:$D$3042,IF(D3038="","*",D3038))=1,INDEX($C:$C,SUMPRODUCT(((D3038="")+($D$3041:$D$3042=D3038)&gt;0)*ROW($B$3041:$B$3042))),"")</f>
        <v>6.94</v>
      </c>
      <c r="D3038" s="17" t="s">
        <v>31474</v>
      </c>
    </row>
    <row r="3040" customFormat="false" ht="15" hidden="false" customHeight="false" outlineLevel="0" collapsed="false">
      <c r="B3040" s="18" t="s">
        <v>701</v>
      </c>
      <c r="C3040" s="18" t="s">
        <v>702</v>
      </c>
      <c r="D3040" s="18" t="s">
        <v>723</v>
      </c>
    </row>
    <row r="3041" customFormat="false" ht="28.35" hidden="false" customHeight="false" outlineLevel="0" collapsed="false">
      <c r="B3041" s="19" t="s">
        <v>31475</v>
      </c>
      <c r="C3041" s="20" t="n">
        <f aca="false">ROUND(50/FX,2)</f>
        <v>6.94</v>
      </c>
      <c r="D3041" s="21" t="s">
        <v>31474</v>
      </c>
    </row>
    <row r="3042" customFormat="false" ht="28.35" hidden="false" customHeight="false" outlineLevel="0" collapsed="false">
      <c r="B3042" s="19" t="s">
        <v>31476</v>
      </c>
      <c r="C3042" s="20" t="n">
        <f aca="false">ROUND(50/FX,2)</f>
        <v>6.94</v>
      </c>
      <c r="D3042" s="21" t="s">
        <v>31477</v>
      </c>
    </row>
    <row r="3045" customFormat="false" ht="61.5" hidden="false" customHeight="true" outlineLevel="0" collapsed="false">
      <c r="A3045" s="9"/>
      <c r="B3045" s="10" t="s">
        <v>31478</v>
      </c>
      <c r="C3045" s="10"/>
      <c r="D3045" s="10"/>
    </row>
    <row r="3046" customFormat="false" ht="15" hidden="false" customHeight="false" outlineLevel="0" collapsed="false">
      <c r="A3046" s="12" t="s">
        <v>700</v>
      </c>
      <c r="B3046" s="13" t="s">
        <v>701</v>
      </c>
      <c r="C3046" s="13" t="s">
        <v>702</v>
      </c>
      <c r="D3046" s="13" t="s">
        <v>722</v>
      </c>
    </row>
    <row r="3047" customFormat="false" ht="30" hidden="false" customHeight="true" outlineLevel="0" collapsed="false">
      <c r="A3047" s="14" t="s">
        <v>706</v>
      </c>
      <c r="B3047" s="15" t="str">
        <f aca="false">IF(COUNTIFS($D$3050:$D$3051,IF(D3047="","*",D3047))=1,INDEX($B:$B,SUMPRODUCT(((D3047="")+($D$3050:$D$3051=D3047)&gt;0)*ROW($B$3050:$B$3051))),IF(COUNTIFS($D$3050:$D$3051,IF(D3047="","*",D3047))=0,"Not available",COUNTIFS($D$3050:$D$3051,IF(D3047="","*",D3047))&amp;" match, keep choosing"))</f>
        <v>P3-108-BK</v>
      </c>
      <c r="C3047" s="16" t="n">
        <f aca="false">IF(COUNTIFS($D$3050:$D$3051,IF(D3047="","*",D3047))=1,INDEX($C:$C,SUMPRODUCT(((D3047="")+($D$3050:$D$3051=D3047)&gt;0)*ROW($B$3050:$B$3051))),"")</f>
        <v>2.17</v>
      </c>
      <c r="D3047" s="17" t="s">
        <v>724</v>
      </c>
    </row>
    <row r="3049" customFormat="false" ht="15" hidden="false" customHeight="false" outlineLevel="0" collapsed="false">
      <c r="B3049" s="18" t="s">
        <v>701</v>
      </c>
      <c r="C3049" s="18" t="s">
        <v>702</v>
      </c>
      <c r="D3049" s="18" t="s">
        <v>722</v>
      </c>
    </row>
    <row r="3050" customFormat="false" ht="15" hidden="false" customHeight="false" outlineLevel="0" collapsed="false">
      <c r="B3050" s="19" t="s">
        <v>31479</v>
      </c>
      <c r="C3050" s="20" t="n">
        <f aca="false">ROUND(15.6/FX,2)</f>
        <v>2.17</v>
      </c>
      <c r="D3050" s="21" t="s">
        <v>724</v>
      </c>
    </row>
    <row r="3051" customFormat="false" ht="15" hidden="false" customHeight="false" outlineLevel="0" collapsed="false">
      <c r="B3051" s="19" t="s">
        <v>31480</v>
      </c>
      <c r="C3051" s="20" t="n">
        <f aca="false">ROUND(15.6/FX,2)</f>
        <v>2.17</v>
      </c>
      <c r="D3051" s="21" t="s">
        <v>6549</v>
      </c>
    </row>
    <row r="3054" customFormat="false" ht="61.5" hidden="false" customHeight="true" outlineLevel="0" collapsed="false">
      <c r="A3054" s="9"/>
      <c r="B3054" s="10" t="s">
        <v>31481</v>
      </c>
      <c r="C3054" s="10"/>
      <c r="D3054" s="10"/>
      <c r="E3054" s="10"/>
      <c r="F3054" s="10"/>
    </row>
    <row r="3055" customFormat="false" ht="15" hidden="false" customHeight="false" outlineLevel="0" collapsed="false">
      <c r="A3055" s="12" t="s">
        <v>700</v>
      </c>
      <c r="B3055" s="13" t="s">
        <v>701</v>
      </c>
      <c r="C3055" s="13" t="s">
        <v>702</v>
      </c>
      <c r="D3055" s="13" t="s">
        <v>723</v>
      </c>
      <c r="E3055" s="13" t="s">
        <v>21219</v>
      </c>
      <c r="F3055" s="13" t="s">
        <v>20008</v>
      </c>
    </row>
    <row r="3056" customFormat="false" ht="30" hidden="false" customHeight="true" outlineLevel="0" collapsed="false">
      <c r="A3056" s="14" t="s">
        <v>706</v>
      </c>
      <c r="B3056" s="15" t="str">
        <f aca="false">IF(COUNTIFS($D$3059:$D$3061,IF(D3056="","*",D3056),$E$3059:$E$3061,IF(E3056="","*",E3056),$F$3059:$F$3061,IF(F3056="","*",F3056))=1,INDEX($B:$B,SUMPRODUCT(((D3056="")+($D$3059:$D$3061=D3056)&gt;0)*((E3056="")+($E$3059:$E$3061=E3056)&gt;0)*((F3056="")+($F$3059:$F$3061=F3056)&gt;0)*ROW($B$3059:$B$3061))),IF(COUNTIFS($D$3059:$D$3061,IF(D3056="","*",D3056),$E$3059:$E$3061,IF(E3056="","*",E3056),$F$3059:$F$3061,IF(F3056="","*",F3056))=0,"Not available",COUNTIFS($D$3059:$D$3061,IF(D3056="","*",D3056),$E$3059:$E$3061,IF(E3056="","*",E3056),$F$3059:$F$3061,IF(F3056="","*",F3056))&amp;" match, keep choosing"))</f>
        <v>P3-092-12V-40W-K</v>
      </c>
      <c r="C3056" s="16" t="n">
        <f aca="false">IF(COUNTIFS($D$3059:$D$3061,IF(D3056="","*",D3056),$E$3059:$E$3061,IF(E3056="","*",E3056),$F$3059:$F$3061,IF(F3056="","*",F3056))=1,INDEX($C:$C,SUMPRODUCT(((D3056="")+($D$3059:$D$3061=D3056)&gt;0)*((E3056="")+($E$3059:$E$3061=E3056)&gt;0)*((F3056="")+($F$3059:$F$3061=F3056)&gt;0)*ROW($B$3059:$B$3061))),"")</f>
        <v>3.25</v>
      </c>
      <c r="D3056" s="17" t="s">
        <v>21095</v>
      </c>
      <c r="E3056" s="17" t="s">
        <v>29407</v>
      </c>
      <c r="F3056" s="17" t="s">
        <v>29289</v>
      </c>
    </row>
    <row r="3058" customFormat="false" ht="15" hidden="false" customHeight="false" outlineLevel="0" collapsed="false">
      <c r="B3058" s="18" t="s">
        <v>701</v>
      </c>
      <c r="C3058" s="18" t="s">
        <v>702</v>
      </c>
      <c r="D3058" s="18" t="s">
        <v>723</v>
      </c>
      <c r="E3058" s="18" t="s">
        <v>21219</v>
      </c>
      <c r="F3058" s="18" t="s">
        <v>20008</v>
      </c>
    </row>
    <row r="3059" customFormat="false" ht="15" hidden="false" customHeight="false" outlineLevel="0" collapsed="false">
      <c r="B3059" s="19" t="s">
        <v>31482</v>
      </c>
      <c r="C3059" s="20" t="n">
        <f aca="false">ROUND(23.4/FX,2)</f>
        <v>3.25</v>
      </c>
      <c r="D3059" s="21" t="s">
        <v>21095</v>
      </c>
      <c r="E3059" s="21" t="s">
        <v>29407</v>
      </c>
      <c r="F3059" s="21" t="s">
        <v>29289</v>
      </c>
    </row>
    <row r="3060" customFormat="false" ht="15" hidden="false" customHeight="false" outlineLevel="0" collapsed="false">
      <c r="B3060" s="19" t="s">
        <v>31483</v>
      </c>
      <c r="C3060" s="20" t="n">
        <f aca="false">ROUND(23.4/FX,2)</f>
        <v>3.25</v>
      </c>
      <c r="D3060" s="21" t="s">
        <v>21095</v>
      </c>
      <c r="E3060" s="21" t="s">
        <v>29288</v>
      </c>
      <c r="F3060" s="21" t="s">
        <v>29289</v>
      </c>
    </row>
    <row r="3061" customFormat="false" ht="15" hidden="false" customHeight="false" outlineLevel="0" collapsed="false">
      <c r="B3061" s="19" t="s">
        <v>31484</v>
      </c>
      <c r="C3061" s="20" t="n">
        <f aca="false">ROUND(13/FX,2)</f>
        <v>1.81</v>
      </c>
      <c r="D3061" s="21" t="s">
        <v>31485</v>
      </c>
      <c r="E3061" s="21" t="s">
        <v>6336</v>
      </c>
      <c r="F3061" s="21" t="s">
        <v>6336</v>
      </c>
    </row>
    <row r="3064" customFormat="false" ht="61.5" hidden="false" customHeight="true" outlineLevel="0" collapsed="false">
      <c r="A3064" s="9"/>
      <c r="B3064" s="10" t="s">
        <v>31486</v>
      </c>
      <c r="C3064" s="10"/>
      <c r="D3064" s="10"/>
      <c r="E3064" s="10"/>
      <c r="F3064" s="10"/>
    </row>
    <row r="3065" customFormat="false" ht="15" hidden="false" customHeight="false" outlineLevel="0" collapsed="false">
      <c r="A3065" s="12" t="s">
        <v>700</v>
      </c>
      <c r="B3065" s="13" t="s">
        <v>701</v>
      </c>
      <c r="C3065" s="13" t="s">
        <v>702</v>
      </c>
      <c r="D3065" s="13" t="s">
        <v>723</v>
      </c>
      <c r="E3065" s="13" t="s">
        <v>21219</v>
      </c>
      <c r="F3065" s="13" t="s">
        <v>20008</v>
      </c>
    </row>
    <row r="3066" customFormat="false" ht="30" hidden="false" customHeight="true" outlineLevel="0" collapsed="false">
      <c r="A3066" s="14" t="s">
        <v>706</v>
      </c>
      <c r="B3066" s="15" t="str">
        <f aca="false">IF(COUNTIFS($D$3069:$D$3071,IF(D3066="","*",D3066),$E$3069:$E$3071,IF(E3066="","*",E3066),$F$3069:$F$3071,IF(F3066="","*",F3066))=1,INDEX($B:$B,SUMPRODUCT(((D3066="")+($D$3069:$D$3071=D3066)&gt;0)*((E3066="")+($E$3069:$E$3071=E3066)&gt;0)*((F3066="")+($F$3069:$F$3071=F3066)&gt;0)*ROW($B$3069:$B$3071))),IF(COUNTIFS($D$3069:$D$3071,IF(D3066="","*",D3066),$E$3069:$E$3071,IF(E3066="","*",E3066),$F$3069:$F$3071,IF(F3066="","*",F3066))=0,"Not available",COUNTIFS($D$3069:$D$3071,IF(D3066="","*",D3066),$E$3069:$E$3071,IF(E3066="","*",E3066),$F$3069:$F$3071,IF(F3066="","*",F3066))&amp;" match, keep choosing"))</f>
        <v>P3-101-12V-40W-K</v>
      </c>
      <c r="C3066" s="16" t="n">
        <f aca="false">IF(COUNTIFS($D$3069:$D$3071,IF(D3066="","*",D3066),$E$3069:$E$3071,IF(E3066="","*",E3066),$F$3069:$F$3071,IF(F3066="","*",F3066))=1,INDEX($C:$C,SUMPRODUCT(((D3066="")+($D$3069:$D$3071=D3066)&gt;0)*((E3066="")+($E$3069:$E$3071=E3066)&gt;0)*((F3066="")+($F$3069:$F$3071=F3066)&gt;0)*ROW($B$3069:$B$3071))),"")</f>
        <v>3.79</v>
      </c>
      <c r="D3066" s="17" t="s">
        <v>21095</v>
      </c>
      <c r="E3066" s="17" t="s">
        <v>29407</v>
      </c>
      <c r="F3066" s="17" t="s">
        <v>29289</v>
      </c>
    </row>
    <row r="3068" customFormat="false" ht="15" hidden="false" customHeight="false" outlineLevel="0" collapsed="false">
      <c r="B3068" s="18" t="s">
        <v>701</v>
      </c>
      <c r="C3068" s="18" t="s">
        <v>702</v>
      </c>
      <c r="D3068" s="18" t="s">
        <v>723</v>
      </c>
      <c r="E3068" s="18" t="s">
        <v>21219</v>
      </c>
      <c r="F3068" s="18" t="s">
        <v>20008</v>
      </c>
    </row>
    <row r="3069" customFormat="false" ht="15" hidden="false" customHeight="false" outlineLevel="0" collapsed="false">
      <c r="B3069" s="19" t="s">
        <v>31487</v>
      </c>
      <c r="C3069" s="20" t="n">
        <f aca="false">ROUND(27.3/FX,2)</f>
        <v>3.79</v>
      </c>
      <c r="D3069" s="21" t="s">
        <v>21095</v>
      </c>
      <c r="E3069" s="21" t="s">
        <v>29407</v>
      </c>
      <c r="F3069" s="21" t="s">
        <v>29289</v>
      </c>
    </row>
    <row r="3070" customFormat="false" ht="15" hidden="false" customHeight="false" outlineLevel="0" collapsed="false">
      <c r="B3070" s="19" t="s">
        <v>31488</v>
      </c>
      <c r="C3070" s="20" t="n">
        <f aca="false">ROUND(27.3/FX,2)</f>
        <v>3.79</v>
      </c>
      <c r="D3070" s="21" t="s">
        <v>21095</v>
      </c>
      <c r="E3070" s="21" t="s">
        <v>29288</v>
      </c>
      <c r="F3070" s="21" t="s">
        <v>29289</v>
      </c>
    </row>
    <row r="3071" customFormat="false" ht="15" hidden="false" customHeight="false" outlineLevel="0" collapsed="false">
      <c r="B3071" s="19" t="s">
        <v>31489</v>
      </c>
      <c r="C3071" s="20" t="n">
        <f aca="false">ROUND(13.65/FX,2)</f>
        <v>1.9</v>
      </c>
      <c r="D3071" s="21" t="s">
        <v>31485</v>
      </c>
      <c r="E3071" s="21" t="s">
        <v>6336</v>
      </c>
      <c r="F3071" s="21" t="s">
        <v>6336</v>
      </c>
    </row>
    <row r="3074" customFormat="false" ht="61.5" hidden="false" customHeight="true" outlineLevel="0" collapsed="false">
      <c r="A3074" s="9"/>
      <c r="B3074" s="10" t="s">
        <v>31490</v>
      </c>
      <c r="C3074" s="10"/>
      <c r="D3074" s="10"/>
    </row>
    <row r="3075" customFormat="false" ht="15" hidden="false" customHeight="false" outlineLevel="0" collapsed="false">
      <c r="A3075" s="12" t="s">
        <v>700</v>
      </c>
      <c r="B3075" s="13" t="s">
        <v>701</v>
      </c>
      <c r="C3075" s="13" t="s">
        <v>702</v>
      </c>
      <c r="D3075" s="13" t="s">
        <v>21219</v>
      </c>
    </row>
    <row r="3076" customFormat="false" ht="30" hidden="false" customHeight="true" outlineLevel="0" collapsed="false">
      <c r="A3076" s="14" t="s">
        <v>706</v>
      </c>
      <c r="B3076" s="15" t="str">
        <f aca="false">IF(COUNTIFS($D$3079:$D$3080,IF(D3076="","*",D3076))=1,INDEX($B:$B,SUMPRODUCT(((D3076="")+($D$3079:$D$3080=D3076)&gt;0)*ROW($B$3079:$B$3080))),IF(COUNTIFS($D$3079:$D$3080,IF(D3076="","*",D3076))=0,"Not available",COUNTIFS($D$3079:$D$3080,IF(D3076="","*",D3076))&amp;" match, keep choosing"))</f>
        <v>P3-100-12V</v>
      </c>
      <c r="C3076" s="16" t="n">
        <f aca="false">IF(COUNTIFS($D$3079:$D$3080,IF(D3076="","*",D3076))=1,INDEX($C:$C,SUMPRODUCT(((D3076="")+($D$3079:$D$3080=D3076)&gt;0)*ROW($B$3079:$B$3080))),"")</f>
        <v>11.74</v>
      </c>
      <c r="D3076" s="17" t="s">
        <v>29407</v>
      </c>
    </row>
    <row r="3078" customFormat="false" ht="15" hidden="false" customHeight="false" outlineLevel="0" collapsed="false">
      <c r="B3078" s="18" t="s">
        <v>701</v>
      </c>
      <c r="C3078" s="18" t="s">
        <v>702</v>
      </c>
      <c r="D3078" s="18" t="s">
        <v>21219</v>
      </c>
    </row>
    <row r="3079" customFormat="false" ht="15" hidden="false" customHeight="false" outlineLevel="0" collapsed="false">
      <c r="B3079" s="19" t="s">
        <v>31491</v>
      </c>
      <c r="C3079" s="20" t="n">
        <f aca="false">ROUND(84.5/FX,2)</f>
        <v>11.74</v>
      </c>
      <c r="D3079" s="21" t="s">
        <v>29407</v>
      </c>
    </row>
    <row r="3080" customFormat="false" ht="15" hidden="false" customHeight="false" outlineLevel="0" collapsed="false">
      <c r="B3080" s="19" t="s">
        <v>31492</v>
      </c>
      <c r="C3080" s="20" t="n">
        <f aca="false">ROUND(84.5/FX,2)</f>
        <v>11.74</v>
      </c>
      <c r="D3080" s="21" t="s">
        <v>29288</v>
      </c>
    </row>
    <row r="3083" customFormat="false" ht="61.5" hidden="false" customHeight="true" outlineLevel="0" collapsed="false">
      <c r="A3083" s="9"/>
      <c r="B3083" s="10" t="s">
        <v>31493</v>
      </c>
      <c r="C3083" s="10"/>
      <c r="D3083" s="10"/>
    </row>
    <row r="3084" customFormat="false" ht="15" hidden="false" customHeight="false" outlineLevel="0" collapsed="false">
      <c r="A3084" s="12" t="s">
        <v>700</v>
      </c>
      <c r="B3084" s="13" t="s">
        <v>701</v>
      </c>
      <c r="C3084" s="13" t="s">
        <v>702</v>
      </c>
      <c r="D3084" s="13" t="s">
        <v>723</v>
      </c>
    </row>
    <row r="3085" customFormat="false" ht="30" hidden="false" customHeight="true" outlineLevel="0" collapsed="false">
      <c r="A3085" s="14" t="s">
        <v>706</v>
      </c>
      <c r="B3085" s="15" t="str">
        <f aca="false">IF(COUNTIFS($D$3088:$D$3089,IF(D3085="","*",D3085))=1,INDEX($B:$B,SUMPRODUCT(((D3085="")+($D$3088:$D$3089=D3085)&gt;0)*ROW($B$3088:$B$3089))),IF(COUNTIFS($D$3088:$D$3089,IF(D3085="","*",D3085))=0,"Not available",COUNTIFS($D$3088:$D$3089,IF(D3085="","*",D3085))&amp;" match, keep choosing"))</f>
        <v>P3-119-DDJCT</v>
      </c>
      <c r="C3085" s="16" t="n">
        <f aca="false">IF(COUNTIFS($D$3088:$D$3089,IF(D3085="","*",D3085))=1,INDEX($C:$C,SUMPRODUCT(((D3085="")+($D$3088:$D$3089=D3085)&gt;0)*ROW($B$3088:$B$3089))),"")</f>
        <v>5.24</v>
      </c>
      <c r="D3085" s="17" t="s">
        <v>31485</v>
      </c>
    </row>
    <row r="3087" customFormat="false" ht="15" hidden="false" customHeight="false" outlineLevel="0" collapsed="false">
      <c r="B3087" s="18" t="s">
        <v>701</v>
      </c>
      <c r="C3087" s="18" t="s">
        <v>702</v>
      </c>
      <c r="D3087" s="18" t="s">
        <v>723</v>
      </c>
    </row>
    <row r="3088" customFormat="false" ht="15" hidden="false" customHeight="false" outlineLevel="0" collapsed="false">
      <c r="B3088" s="19" t="s">
        <v>31494</v>
      </c>
      <c r="C3088" s="20" t="n">
        <f aca="false">ROUND(37.7/FX,2)</f>
        <v>5.24</v>
      </c>
      <c r="D3088" s="21" t="s">
        <v>31485</v>
      </c>
    </row>
    <row r="3089" customFormat="false" ht="28.35" hidden="false" customHeight="false" outlineLevel="0" collapsed="false">
      <c r="B3089" s="19" t="s">
        <v>31495</v>
      </c>
      <c r="C3089" s="20" t="n">
        <f aca="false">ROUND(44.85/FX,2)</f>
        <v>6.23</v>
      </c>
      <c r="D3089" s="21" t="s">
        <v>31496</v>
      </c>
    </row>
    <row r="3092" customFormat="false" ht="61.5" hidden="false" customHeight="true" outlineLevel="0" collapsed="false">
      <c r="A3092" s="9"/>
      <c r="B3092" s="10" t="s">
        <v>31497</v>
      </c>
      <c r="C3092" s="10"/>
      <c r="D3092" s="10"/>
      <c r="E3092" s="10"/>
      <c r="F3092" s="10"/>
    </row>
    <row r="3093" customFormat="false" ht="15" hidden="false" customHeight="false" outlineLevel="0" collapsed="false">
      <c r="A3093" s="12" t="s">
        <v>700</v>
      </c>
      <c r="B3093" s="13" t="s">
        <v>701</v>
      </c>
      <c r="C3093" s="13" t="s">
        <v>702</v>
      </c>
      <c r="D3093" s="13" t="s">
        <v>722</v>
      </c>
      <c r="E3093" s="13" t="s">
        <v>723</v>
      </c>
      <c r="F3093" s="13" t="s">
        <v>21219</v>
      </c>
    </row>
    <row r="3094" customFormat="false" ht="30" hidden="false" customHeight="true" outlineLevel="0" collapsed="false">
      <c r="A3094" s="14" t="s">
        <v>706</v>
      </c>
      <c r="B3094" s="15" t="str">
        <f aca="false">IF(COUNTIFS($D$3097:$D$3108,IF(D3094="","*",D3094),$E$3097:$E$3108,IF(E3094="","*",E3094),$F$3097:$F$3108,IF(F3094="","*",F3094))=1,INDEX($B:$B,SUMPRODUCT(((D3094="")+($D$3097:$D$3108=D3094)&gt;0)*((E3094="")+($E$3097:$E$3108=E3094)&gt;0)*((F3094="")+($F$3097:$F$3108=F3094)&gt;0)*ROW($B$3097:$B$3108))),IF(COUNTIFS($D$3097:$D$3108,IF(D3094="","*",D3094),$E$3097:$E$3108,IF(E3094="","*",E3094),$F$3097:$F$3108,IF(F3094="","*",F3094))=0,"Not available",COUNTIFS($D$3097:$D$3108,IF(D3094="","*",D3094),$E$3097:$E$3108,IF(E3094="","*",E3094),$F$3097:$F$3108,IF(F3094="","*",F3094))&amp;" match, keep choosing"))</f>
        <v>P3-050-BL-12V-DB</v>
      </c>
      <c r="C3094" s="16" t="n">
        <f aca="false">IF(COUNTIFS($D$3097:$D$3108,IF(D3094="","*",D3094),$E$3097:$E$3108,IF(E3094="","*",E3094),$F$3097:$F$3108,IF(F3094="","*",F3094))=1,INDEX($C:$C,SUMPRODUCT(((D3094="")+($D$3097:$D$3108=D3094)&gt;0)*((E3094="")+($E$3097:$E$3108=E3094)&gt;0)*((F3094="")+($F$3097:$F$3108=F3094)&gt;0)*ROW($B$3097:$B$3108))),"")</f>
        <v>3.61</v>
      </c>
      <c r="D3094" s="17" t="s">
        <v>7884</v>
      </c>
      <c r="E3094" s="17" t="s">
        <v>19723</v>
      </c>
      <c r="F3094" s="17" t="s">
        <v>29407</v>
      </c>
    </row>
    <row r="3096" customFormat="false" ht="15" hidden="false" customHeight="false" outlineLevel="0" collapsed="false">
      <c r="B3096" s="18" t="s">
        <v>701</v>
      </c>
      <c r="C3096" s="18" t="s">
        <v>702</v>
      </c>
      <c r="D3096" s="18" t="s">
        <v>722</v>
      </c>
      <c r="E3096" s="18" t="s">
        <v>723</v>
      </c>
      <c r="F3096" s="18" t="s">
        <v>21219</v>
      </c>
    </row>
    <row r="3097" customFormat="false" ht="15" hidden="false" customHeight="false" outlineLevel="0" collapsed="false">
      <c r="B3097" s="19" t="s">
        <v>31498</v>
      </c>
      <c r="C3097" s="20" t="n">
        <f aca="false">ROUND(26/FX,2)</f>
        <v>3.61</v>
      </c>
      <c r="D3097" s="21" t="s">
        <v>7884</v>
      </c>
      <c r="E3097" s="21" t="s">
        <v>19723</v>
      </c>
      <c r="F3097" s="21" t="s">
        <v>29407</v>
      </c>
    </row>
    <row r="3098" customFormat="false" ht="15" hidden="false" customHeight="false" outlineLevel="0" collapsed="false">
      <c r="B3098" s="19" t="s">
        <v>31499</v>
      </c>
      <c r="C3098" s="20" t="n">
        <f aca="false">ROUND(26/FX,2)</f>
        <v>3.61</v>
      </c>
      <c r="D3098" s="21" t="s">
        <v>7884</v>
      </c>
      <c r="E3098" s="21" t="s">
        <v>19743</v>
      </c>
      <c r="F3098" s="21" t="s">
        <v>29407</v>
      </c>
    </row>
    <row r="3099" customFormat="false" ht="15" hidden="false" customHeight="false" outlineLevel="0" collapsed="false">
      <c r="B3099" s="19" t="s">
        <v>31500</v>
      </c>
      <c r="C3099" s="20" t="n">
        <f aca="false">ROUND(26/FX,2)</f>
        <v>3.61</v>
      </c>
      <c r="D3099" s="21" t="s">
        <v>7884</v>
      </c>
      <c r="E3099" s="21" t="s">
        <v>19723</v>
      </c>
      <c r="F3099" s="21" t="s">
        <v>29288</v>
      </c>
    </row>
    <row r="3100" customFormat="false" ht="15" hidden="false" customHeight="false" outlineLevel="0" collapsed="false">
      <c r="B3100" s="19" t="s">
        <v>31501</v>
      </c>
      <c r="C3100" s="20" t="n">
        <f aca="false">ROUND(26/FX,2)</f>
        <v>3.61</v>
      </c>
      <c r="D3100" s="21" t="s">
        <v>7884</v>
      </c>
      <c r="E3100" s="21" t="s">
        <v>19743</v>
      </c>
      <c r="F3100" s="21" t="s">
        <v>29288</v>
      </c>
    </row>
    <row r="3101" customFormat="false" ht="15" hidden="false" customHeight="false" outlineLevel="0" collapsed="false">
      <c r="B3101" s="19" t="s">
        <v>31502</v>
      </c>
      <c r="C3101" s="20" t="n">
        <f aca="false">ROUND(26/FX,2)</f>
        <v>3.61</v>
      </c>
      <c r="D3101" s="21" t="s">
        <v>6362</v>
      </c>
      <c r="E3101" s="21" t="s">
        <v>19723</v>
      </c>
      <c r="F3101" s="21" t="s">
        <v>29407</v>
      </c>
    </row>
    <row r="3102" customFormat="false" ht="15" hidden="false" customHeight="false" outlineLevel="0" collapsed="false">
      <c r="B3102" s="19" t="s">
        <v>31503</v>
      </c>
      <c r="C3102" s="20" t="n">
        <f aca="false">ROUND(26/FX,2)</f>
        <v>3.61</v>
      </c>
      <c r="D3102" s="21" t="s">
        <v>6362</v>
      </c>
      <c r="E3102" s="21" t="s">
        <v>19743</v>
      </c>
      <c r="F3102" s="21" t="s">
        <v>29407</v>
      </c>
    </row>
    <row r="3103" customFormat="false" ht="15" hidden="false" customHeight="false" outlineLevel="0" collapsed="false">
      <c r="B3103" s="19" t="s">
        <v>31504</v>
      </c>
      <c r="C3103" s="20" t="n">
        <f aca="false">ROUND(26/FX,2)</f>
        <v>3.61</v>
      </c>
      <c r="D3103" s="21" t="s">
        <v>6362</v>
      </c>
      <c r="E3103" s="21" t="s">
        <v>19723</v>
      </c>
      <c r="F3103" s="21" t="s">
        <v>29288</v>
      </c>
    </row>
    <row r="3104" customFormat="false" ht="15" hidden="false" customHeight="false" outlineLevel="0" collapsed="false">
      <c r="B3104" s="19" t="s">
        <v>31505</v>
      </c>
      <c r="C3104" s="20" t="n">
        <f aca="false">ROUND(26/FX,2)</f>
        <v>3.61</v>
      </c>
      <c r="D3104" s="21" t="s">
        <v>6362</v>
      </c>
      <c r="E3104" s="21" t="s">
        <v>19743</v>
      </c>
      <c r="F3104" s="21" t="s">
        <v>29288</v>
      </c>
    </row>
    <row r="3105" customFormat="false" ht="15" hidden="false" customHeight="false" outlineLevel="0" collapsed="false">
      <c r="B3105" s="19" t="s">
        <v>31506</v>
      </c>
      <c r="C3105" s="20" t="n">
        <f aca="false">ROUND(26/FX,2)</f>
        <v>3.61</v>
      </c>
      <c r="D3105" s="21" t="s">
        <v>6549</v>
      </c>
      <c r="E3105" s="21" t="s">
        <v>19723</v>
      </c>
      <c r="F3105" s="21" t="s">
        <v>29407</v>
      </c>
    </row>
    <row r="3106" customFormat="false" ht="15" hidden="false" customHeight="false" outlineLevel="0" collapsed="false">
      <c r="B3106" s="19" t="s">
        <v>31507</v>
      </c>
      <c r="C3106" s="20" t="n">
        <f aca="false">ROUND(26/FX,2)</f>
        <v>3.61</v>
      </c>
      <c r="D3106" s="21" t="s">
        <v>6549</v>
      </c>
      <c r="E3106" s="21" t="s">
        <v>19743</v>
      </c>
      <c r="F3106" s="21" t="s">
        <v>29407</v>
      </c>
    </row>
    <row r="3107" customFormat="false" ht="15" hidden="false" customHeight="false" outlineLevel="0" collapsed="false">
      <c r="B3107" s="19" t="s">
        <v>31508</v>
      </c>
      <c r="C3107" s="20" t="n">
        <f aca="false">ROUND(26/FX,2)</f>
        <v>3.61</v>
      </c>
      <c r="D3107" s="21" t="s">
        <v>6549</v>
      </c>
      <c r="E3107" s="21" t="s">
        <v>19723</v>
      </c>
      <c r="F3107" s="21" t="s">
        <v>29288</v>
      </c>
    </row>
    <row r="3108" customFormat="false" ht="15" hidden="false" customHeight="false" outlineLevel="0" collapsed="false">
      <c r="B3108" s="19" t="s">
        <v>31509</v>
      </c>
      <c r="C3108" s="20" t="n">
        <f aca="false">ROUND(26/FX,2)</f>
        <v>3.61</v>
      </c>
      <c r="D3108" s="21" t="s">
        <v>6549</v>
      </c>
      <c r="E3108" s="21" t="s">
        <v>19743</v>
      </c>
      <c r="F3108" s="21" t="s">
        <v>29288</v>
      </c>
    </row>
    <row r="3111" customFormat="false" ht="61.5" hidden="false" customHeight="true" outlineLevel="0" collapsed="false">
      <c r="A3111" s="9"/>
      <c r="B3111" s="10" t="s">
        <v>31510</v>
      </c>
      <c r="C3111" s="10"/>
      <c r="D3111" s="10"/>
    </row>
    <row r="3112" customFormat="false" ht="15" hidden="false" customHeight="false" outlineLevel="0" collapsed="false">
      <c r="B3112" s="18" t="s">
        <v>701</v>
      </c>
      <c r="C3112" s="18" t="s">
        <v>702</v>
      </c>
      <c r="D3112" s="18" t="s">
        <v>5610</v>
      </c>
    </row>
    <row r="3113" customFormat="false" ht="15" hidden="false" customHeight="false" outlineLevel="0" collapsed="false">
      <c r="B3113" s="19" t="s">
        <v>31511</v>
      </c>
      <c r="C3113" s="20" t="n">
        <f aca="false">ROUND(38.35/FX,2)</f>
        <v>5.33</v>
      </c>
      <c r="D3113" s="22" t="s">
        <v>5612</v>
      </c>
    </row>
    <row r="3116" customFormat="false" ht="61.5" hidden="false" customHeight="true" outlineLevel="0" collapsed="false">
      <c r="A3116" s="9"/>
      <c r="B3116" s="10" t="s">
        <v>31512</v>
      </c>
      <c r="C3116" s="10"/>
      <c r="D3116" s="10"/>
    </row>
    <row r="3117" customFormat="false" ht="15" hidden="false" customHeight="false" outlineLevel="0" collapsed="false">
      <c r="A3117" s="12" t="s">
        <v>700</v>
      </c>
      <c r="B3117" s="13" t="s">
        <v>701</v>
      </c>
      <c r="C3117" s="13" t="s">
        <v>702</v>
      </c>
      <c r="D3117" s="13" t="s">
        <v>723</v>
      </c>
    </row>
    <row r="3118" customFormat="false" ht="30" hidden="false" customHeight="true" outlineLevel="0" collapsed="false">
      <c r="A3118" s="14" t="s">
        <v>706</v>
      </c>
      <c r="B3118" s="15" t="str">
        <f aca="false">IF(COUNTIFS($D$3121:$D$3136,IF(D3118="","*",D3118))=1,INDEX($B:$B,SUMPRODUCT(((D3118="")+($D$3121:$D$3136=D3118)&gt;0)*ROW($B$3121:$B$3136))),IF(COUNTIFS($D$3121:$D$3136,IF(D3118="","*",D3118))=0,"Not available",COUNTIFS($D$3121:$D$3136,IF(D3118="","*",D3118))&amp;" match, keep choosing"))</f>
        <v>P3-071-PJLXJC-1.75-0.2</v>
      </c>
      <c r="C3118" s="16" t="n">
        <f aca="false">IF(COUNTIFS($D$3121:$D$3136,IF(D3118="","*",D3118))=1,INDEX($C:$C,SUMPRODUCT(((D3118="")+($D$3121:$D$3136=D3118)&gt;0)*ROW($B$3121:$B$3136))),"")</f>
        <v>2.35</v>
      </c>
      <c r="D3118" s="17" t="s">
        <v>31513</v>
      </c>
    </row>
    <row r="3120" customFormat="false" ht="15" hidden="false" customHeight="false" outlineLevel="0" collapsed="false">
      <c r="B3120" s="18" t="s">
        <v>701</v>
      </c>
      <c r="C3120" s="18" t="s">
        <v>702</v>
      </c>
      <c r="D3120" s="18" t="s">
        <v>723</v>
      </c>
    </row>
    <row r="3121" customFormat="false" ht="28.35" hidden="false" customHeight="false" outlineLevel="0" collapsed="false">
      <c r="B3121" s="19" t="s">
        <v>31514</v>
      </c>
      <c r="C3121" s="20" t="n">
        <f aca="false">ROUND(16.9/FX,2)</f>
        <v>2.35</v>
      </c>
      <c r="D3121" s="21" t="s">
        <v>31513</v>
      </c>
    </row>
    <row r="3122" customFormat="false" ht="28.35" hidden="false" customHeight="false" outlineLevel="0" collapsed="false">
      <c r="B3122" s="19" t="s">
        <v>31515</v>
      </c>
      <c r="C3122" s="20" t="n">
        <f aca="false">ROUND(16.9/FX,2)</f>
        <v>2.35</v>
      </c>
      <c r="D3122" s="21" t="s">
        <v>31516</v>
      </c>
    </row>
    <row r="3123" customFormat="false" ht="28.35" hidden="false" customHeight="false" outlineLevel="0" collapsed="false">
      <c r="B3123" s="19" t="s">
        <v>31517</v>
      </c>
      <c r="C3123" s="20" t="n">
        <f aca="false">ROUND(16.9/FX,2)</f>
        <v>2.35</v>
      </c>
      <c r="D3123" s="21" t="s">
        <v>31518</v>
      </c>
    </row>
    <row r="3124" customFormat="false" ht="28.35" hidden="false" customHeight="false" outlineLevel="0" collapsed="false">
      <c r="B3124" s="19" t="s">
        <v>31519</v>
      </c>
      <c r="C3124" s="20" t="n">
        <f aca="false">ROUND(16.9/FX,2)</f>
        <v>2.35</v>
      </c>
      <c r="D3124" s="21" t="s">
        <v>31520</v>
      </c>
    </row>
    <row r="3125" customFormat="false" ht="28.35" hidden="false" customHeight="false" outlineLevel="0" collapsed="false">
      <c r="B3125" s="19" t="s">
        <v>31521</v>
      </c>
      <c r="C3125" s="20" t="n">
        <f aca="false">ROUND(16.9/FX,2)</f>
        <v>2.35</v>
      </c>
      <c r="D3125" s="21" t="s">
        <v>31522</v>
      </c>
    </row>
    <row r="3126" customFormat="false" ht="28.35" hidden="false" customHeight="false" outlineLevel="0" collapsed="false">
      <c r="B3126" s="19" t="s">
        <v>31523</v>
      </c>
      <c r="C3126" s="20" t="n">
        <f aca="false">ROUND(16.9/FX,2)</f>
        <v>2.35</v>
      </c>
      <c r="D3126" s="21" t="s">
        <v>31524</v>
      </c>
    </row>
    <row r="3127" customFormat="false" ht="28.35" hidden="false" customHeight="false" outlineLevel="0" collapsed="false">
      <c r="B3127" s="19" t="s">
        <v>31525</v>
      </c>
      <c r="C3127" s="20" t="n">
        <f aca="false">ROUND(16.9/FX,2)</f>
        <v>2.35</v>
      </c>
      <c r="D3127" s="21" t="s">
        <v>31526</v>
      </c>
    </row>
    <row r="3128" customFormat="false" ht="28.35" hidden="false" customHeight="false" outlineLevel="0" collapsed="false">
      <c r="B3128" s="19" t="s">
        <v>31527</v>
      </c>
      <c r="C3128" s="20" t="n">
        <f aca="false">ROUND(16.9/FX,2)</f>
        <v>2.35</v>
      </c>
      <c r="D3128" s="21" t="s">
        <v>31528</v>
      </c>
    </row>
    <row r="3129" customFormat="false" ht="28.35" hidden="false" customHeight="false" outlineLevel="0" collapsed="false">
      <c r="B3129" s="19" t="s">
        <v>31529</v>
      </c>
      <c r="C3129" s="20" t="n">
        <f aca="false">ROUND(16.9/FX,2)</f>
        <v>2.35</v>
      </c>
      <c r="D3129" s="21" t="s">
        <v>31530</v>
      </c>
    </row>
    <row r="3130" customFormat="false" ht="28.35" hidden="false" customHeight="false" outlineLevel="0" collapsed="false">
      <c r="B3130" s="19" t="s">
        <v>31531</v>
      </c>
      <c r="C3130" s="20" t="n">
        <f aca="false">ROUND(16.9/FX,2)</f>
        <v>2.35</v>
      </c>
      <c r="D3130" s="21" t="s">
        <v>31532</v>
      </c>
    </row>
    <row r="3131" customFormat="false" ht="28.35" hidden="false" customHeight="false" outlineLevel="0" collapsed="false">
      <c r="B3131" s="19" t="s">
        <v>31533</v>
      </c>
      <c r="C3131" s="20" t="n">
        <f aca="false">ROUND(16.9/FX,2)</f>
        <v>2.35</v>
      </c>
      <c r="D3131" s="21" t="s">
        <v>31534</v>
      </c>
    </row>
    <row r="3132" customFormat="false" ht="28.35" hidden="false" customHeight="false" outlineLevel="0" collapsed="false">
      <c r="B3132" s="19" t="s">
        <v>31535</v>
      </c>
      <c r="C3132" s="20" t="n">
        <f aca="false">ROUND(16.9/FX,2)</f>
        <v>2.35</v>
      </c>
      <c r="D3132" s="21" t="s">
        <v>31536</v>
      </c>
    </row>
    <row r="3133" customFormat="false" ht="28.35" hidden="false" customHeight="false" outlineLevel="0" collapsed="false">
      <c r="B3133" s="19" t="s">
        <v>31537</v>
      </c>
      <c r="C3133" s="20" t="n">
        <f aca="false">ROUND(16.9/FX,2)</f>
        <v>2.35</v>
      </c>
      <c r="D3133" s="21" t="s">
        <v>31538</v>
      </c>
    </row>
    <row r="3134" customFormat="false" ht="28.35" hidden="false" customHeight="false" outlineLevel="0" collapsed="false">
      <c r="B3134" s="19" t="s">
        <v>31539</v>
      </c>
      <c r="C3134" s="20" t="n">
        <f aca="false">ROUND(16.9/FX,2)</f>
        <v>2.35</v>
      </c>
      <c r="D3134" s="21" t="s">
        <v>31540</v>
      </c>
    </row>
    <row r="3135" customFormat="false" ht="28.35" hidden="false" customHeight="false" outlineLevel="0" collapsed="false">
      <c r="B3135" s="19" t="s">
        <v>31541</v>
      </c>
      <c r="C3135" s="20" t="n">
        <f aca="false">ROUND(16.9/FX,2)</f>
        <v>2.35</v>
      </c>
      <c r="D3135" s="21" t="s">
        <v>31542</v>
      </c>
    </row>
    <row r="3136" customFormat="false" ht="28.35" hidden="false" customHeight="false" outlineLevel="0" collapsed="false">
      <c r="B3136" s="19" t="s">
        <v>31543</v>
      </c>
      <c r="C3136" s="20" t="n">
        <f aca="false">ROUND(16.9/FX,2)</f>
        <v>2.35</v>
      </c>
      <c r="D3136" s="21" t="s">
        <v>31544</v>
      </c>
    </row>
    <row r="3139" customFormat="false" ht="61.5" hidden="false" customHeight="true" outlineLevel="0" collapsed="false">
      <c r="A3139" s="9"/>
      <c r="B3139" s="10" t="s">
        <v>31545</v>
      </c>
      <c r="C3139" s="10"/>
      <c r="D3139" s="10"/>
    </row>
    <row r="3140" customFormat="false" ht="15" hidden="false" customHeight="false" outlineLevel="0" collapsed="false">
      <c r="A3140" s="12" t="s">
        <v>700</v>
      </c>
      <c r="B3140" s="13" t="s">
        <v>701</v>
      </c>
      <c r="C3140" s="13" t="s">
        <v>702</v>
      </c>
      <c r="D3140" s="13" t="s">
        <v>723</v>
      </c>
    </row>
    <row r="3141" customFormat="false" ht="30" hidden="false" customHeight="true" outlineLevel="0" collapsed="false">
      <c r="A3141" s="14" t="s">
        <v>706</v>
      </c>
      <c r="B3141" s="15" t="str">
        <f aca="false">IF(COUNTIFS($D$3144:$D$3147,IF(D3141="","*",D3141))=1,INDEX($B:$B,SUMPRODUCT(((D3141="")+($D$3144:$D$3147=D3141)&gt;0)*ROW($B$3144:$B$3147))),IF(COUNTIFS($D$3144:$D$3147,IF(D3141="","*",D3141))=0,"Not available",COUNTIFS($D$3144:$D$3147,IF(D3141="","*",D3141))&amp;" match, keep choosing"))</f>
        <v>P3-059-YS1.75HC</v>
      </c>
      <c r="C3141" s="16" t="n">
        <f aca="false">IF(COUNTIFS($D$3144:$D$3147,IF(D3141="","*",D3141))=1,INDEX($C:$C,SUMPRODUCT(((D3141="")+($D$3144:$D$3147=D3141)&gt;0)*ROW($B$3144:$B$3147))),"")</f>
        <v>1.48</v>
      </c>
      <c r="D3141" s="17" t="s">
        <v>31546</v>
      </c>
    </row>
    <row r="3143" customFormat="false" ht="15" hidden="false" customHeight="false" outlineLevel="0" collapsed="false">
      <c r="B3143" s="18" t="s">
        <v>701</v>
      </c>
      <c r="C3143" s="18" t="s">
        <v>702</v>
      </c>
      <c r="D3143" s="18" t="s">
        <v>723</v>
      </c>
    </row>
    <row r="3144" customFormat="false" ht="15" hidden="false" customHeight="false" outlineLevel="0" collapsed="false">
      <c r="B3144" s="19" t="s">
        <v>31547</v>
      </c>
      <c r="C3144" s="20" t="n">
        <f aca="false">ROUND(10.68/FX,2)</f>
        <v>1.48</v>
      </c>
      <c r="D3144" s="21" t="s">
        <v>31546</v>
      </c>
    </row>
    <row r="3145" customFormat="false" ht="15" hidden="false" customHeight="false" outlineLevel="0" collapsed="false">
      <c r="B3145" s="19" t="s">
        <v>31548</v>
      </c>
      <c r="C3145" s="20" t="n">
        <f aca="false">ROUND(10.68/FX,2)</f>
        <v>1.48</v>
      </c>
      <c r="D3145" s="21" t="s">
        <v>31549</v>
      </c>
    </row>
    <row r="3146" customFormat="false" ht="15" hidden="false" customHeight="false" outlineLevel="0" collapsed="false">
      <c r="B3146" s="19" t="s">
        <v>31550</v>
      </c>
      <c r="C3146" s="20" t="n">
        <f aca="false">ROUND(13.52/FX,2)</f>
        <v>1.88</v>
      </c>
      <c r="D3146" s="21" t="s">
        <v>31551</v>
      </c>
    </row>
    <row r="3147" customFormat="false" ht="15" hidden="false" customHeight="false" outlineLevel="0" collapsed="false">
      <c r="B3147" s="19" t="s">
        <v>31552</v>
      </c>
      <c r="C3147" s="20" t="n">
        <f aca="false">ROUND(13.52/FX,2)</f>
        <v>1.88</v>
      </c>
      <c r="D3147" s="21" t="s">
        <v>31553</v>
      </c>
    </row>
    <row r="3150" customFormat="false" ht="61.5" hidden="false" customHeight="true" outlineLevel="0" collapsed="false">
      <c r="A3150" s="9"/>
      <c r="B3150" s="10" t="s">
        <v>31554</v>
      </c>
      <c r="C3150" s="10"/>
      <c r="D3150" s="10"/>
      <c r="E3150" s="10"/>
      <c r="F3150" s="10"/>
      <c r="G3150" s="10"/>
    </row>
    <row r="3151" customFormat="false" ht="15" hidden="false" customHeight="false" outlineLevel="0" collapsed="false">
      <c r="A3151" s="12" t="s">
        <v>700</v>
      </c>
      <c r="B3151" s="13" t="s">
        <v>701</v>
      </c>
      <c r="C3151" s="13" t="s">
        <v>702</v>
      </c>
      <c r="D3151" s="13" t="s">
        <v>6159</v>
      </c>
      <c r="E3151" s="13" t="s">
        <v>6328</v>
      </c>
      <c r="F3151" s="13" t="s">
        <v>6695</v>
      </c>
      <c r="G3151" s="13" t="s">
        <v>7711</v>
      </c>
    </row>
    <row r="3152" customFormat="false" ht="30" hidden="false" customHeight="true" outlineLevel="0" collapsed="false">
      <c r="A3152" s="14" t="s">
        <v>706</v>
      </c>
      <c r="B3152" s="15" t="str">
        <f aca="false">IF(COUNTIFS($D$3155:$D$3164,IF(D3152="","*",D3152),$E$3155:$E$3164,IF(E3152="","*",E3152),$F$3155:$F$3164,IF(F3152="","*",F3152),$G$3155:$G$3164,IF(G3152="","*",G3152))=1,INDEX($B:$B,SUMPRODUCT(((D3152="")+($D$3155:$D$3164=D3152)&gt;0)*((E3152="")+($E$3155:$E$3164=E3152)&gt;0)*((F3152="")+($F$3155:$F$3164=F3152)&gt;0)*((G3152="")+($G$3155:$G$3164=G3152)&gt;0)*ROW($B$3155:$B$3164))),IF(COUNTIFS($D$3155:$D$3164,IF(D3152="","*",D3152),$E$3155:$E$3164,IF(E3152="","*",E3152),$F$3155:$F$3164,IF(F3152="","*",F3152),$G$3155:$G$3164,IF(G3152="","*",G3152))=0,"Not available",COUNTIFS($D$3155:$D$3164,IF(D3152="","*",D3152),$E$3155:$E$3164,IF(E3152="","*",E3152),$F$3155:$F$3164,IF(F3152="","*",F3152),$G$3155:$G$3164,IF(G3152="","*",G3152))&amp;" match, keep choosing"))</f>
        <v>FG-BR-26T</v>
      </c>
      <c r="C3152" s="16" t="n">
        <f aca="false">IF(COUNTIFS($D$3155:$D$3164,IF(D3152="","*",D3152),$E$3155:$E$3164,IF(E3152="","*",E3152),$F$3155:$F$3164,IF(F3152="","*",F3152),$G$3155:$G$3164,IF(G3152="","*",G3152))=1,INDEX($C:$C,SUMPRODUCT(((D3152="")+($D$3155:$D$3164=D3152)&gt;0)*((E3152="")+($E$3155:$E$3164=E3152)&gt;0)*((F3152="")+($F$3155:$F$3164=F3152)&gt;0)*((G3152="")+($G$3155:$G$3164=G3152)&gt;0)*ROW($B$3155:$B$3164))),"")</f>
        <v>0.13</v>
      </c>
      <c r="D3152" s="17" t="s">
        <v>6336</v>
      </c>
      <c r="E3152" s="17" t="s">
        <v>31555</v>
      </c>
      <c r="F3152" s="17" t="s">
        <v>31556</v>
      </c>
      <c r="G3152" s="17" t="s">
        <v>6336</v>
      </c>
    </row>
    <row r="3154" customFormat="false" ht="15" hidden="false" customHeight="false" outlineLevel="0" collapsed="false">
      <c r="B3154" s="18" t="s">
        <v>701</v>
      </c>
      <c r="C3154" s="18" t="s">
        <v>702</v>
      </c>
      <c r="D3154" s="18" t="s">
        <v>6159</v>
      </c>
      <c r="E3154" s="18" t="s">
        <v>6328</v>
      </c>
      <c r="F3154" s="18" t="s">
        <v>6695</v>
      </c>
      <c r="G3154" s="18" t="s">
        <v>7711</v>
      </c>
    </row>
    <row r="3155" customFormat="false" ht="15" hidden="false" customHeight="false" outlineLevel="0" collapsed="false">
      <c r="B3155" s="19" t="s">
        <v>31557</v>
      </c>
      <c r="C3155" s="20" t="n">
        <f aca="false">ROUND(0.93/FX,2)</f>
        <v>0.13</v>
      </c>
      <c r="D3155" s="21" t="s">
        <v>6336</v>
      </c>
      <c r="E3155" s="21" t="s">
        <v>31555</v>
      </c>
      <c r="F3155" s="21" t="s">
        <v>31556</v>
      </c>
      <c r="G3155" s="21" t="s">
        <v>6336</v>
      </c>
    </row>
    <row r="3156" customFormat="false" ht="15" hidden="false" customHeight="false" outlineLevel="0" collapsed="false">
      <c r="B3156" s="19" t="s">
        <v>31558</v>
      </c>
      <c r="C3156" s="20" t="n">
        <f aca="false">ROUND(1.04/FX,2)</f>
        <v>0.14</v>
      </c>
      <c r="D3156" s="21" t="s">
        <v>6336</v>
      </c>
      <c r="E3156" s="21" t="s">
        <v>31555</v>
      </c>
      <c r="F3156" s="21" t="s">
        <v>7796</v>
      </c>
      <c r="G3156" s="21" t="s">
        <v>6336</v>
      </c>
    </row>
    <row r="3157" customFormat="false" ht="15" hidden="false" customHeight="false" outlineLevel="0" collapsed="false">
      <c r="B3157" s="19" t="s">
        <v>31559</v>
      </c>
      <c r="C3157" s="20" t="n">
        <f aca="false">ROUND(1.82/FX,2)</f>
        <v>0.25</v>
      </c>
      <c r="D3157" s="21" t="s">
        <v>31560</v>
      </c>
      <c r="E3157" s="21" t="s">
        <v>31561</v>
      </c>
      <c r="F3157" s="21" t="s">
        <v>6336</v>
      </c>
      <c r="G3157" s="21" t="s">
        <v>789</v>
      </c>
    </row>
    <row r="3158" customFormat="false" ht="15" hidden="false" customHeight="false" outlineLevel="0" collapsed="false">
      <c r="B3158" s="19" t="s">
        <v>31562</v>
      </c>
      <c r="C3158" s="20" t="n">
        <f aca="false">ROUND(1.82/FX,2)</f>
        <v>0.25</v>
      </c>
      <c r="D3158" s="21" t="s">
        <v>29156</v>
      </c>
      <c r="E3158" s="21" t="s">
        <v>31561</v>
      </c>
      <c r="F3158" s="21" t="s">
        <v>6336</v>
      </c>
      <c r="G3158" s="21" t="s">
        <v>789</v>
      </c>
    </row>
    <row r="3159" customFormat="false" ht="28.35" hidden="false" customHeight="false" outlineLevel="0" collapsed="false">
      <c r="B3159" s="19" t="s">
        <v>31563</v>
      </c>
      <c r="C3159" s="20" t="n">
        <f aca="false">ROUND(1.95/FX,2)</f>
        <v>0.27</v>
      </c>
      <c r="D3159" s="21" t="s">
        <v>6336</v>
      </c>
      <c r="E3159" s="21" t="s">
        <v>31564</v>
      </c>
      <c r="F3159" s="21" t="s">
        <v>31565</v>
      </c>
      <c r="G3159" s="21" t="s">
        <v>789</v>
      </c>
    </row>
    <row r="3160" customFormat="false" ht="28.35" hidden="false" customHeight="false" outlineLevel="0" collapsed="false">
      <c r="B3160" s="19" t="s">
        <v>31566</v>
      </c>
      <c r="C3160" s="20" t="n">
        <f aca="false">ROUND(3.25/FX,2)</f>
        <v>0.45</v>
      </c>
      <c r="D3160" s="21" t="s">
        <v>6336</v>
      </c>
      <c r="E3160" s="21" t="s">
        <v>31564</v>
      </c>
      <c r="F3160" s="21" t="s">
        <v>31567</v>
      </c>
      <c r="G3160" s="21" t="s">
        <v>789</v>
      </c>
    </row>
    <row r="3161" customFormat="false" ht="28.35" hidden="false" customHeight="false" outlineLevel="0" collapsed="false">
      <c r="B3161" s="19" t="s">
        <v>31568</v>
      </c>
      <c r="C3161" s="20" t="n">
        <f aca="false">ROUND(1.3/FX,2)</f>
        <v>0.18</v>
      </c>
      <c r="D3161" s="21" t="s">
        <v>6336</v>
      </c>
      <c r="E3161" s="21" t="s">
        <v>31564</v>
      </c>
      <c r="F3161" s="21" t="s">
        <v>7796</v>
      </c>
      <c r="G3161" s="21" t="s">
        <v>789</v>
      </c>
    </row>
    <row r="3162" customFormat="false" ht="28.35" hidden="false" customHeight="false" outlineLevel="0" collapsed="false">
      <c r="B3162" s="19" t="s">
        <v>31569</v>
      </c>
      <c r="C3162" s="20" t="n">
        <f aca="false">ROUND(4.92/FX,2)</f>
        <v>0.68</v>
      </c>
      <c r="D3162" s="21" t="s">
        <v>6336</v>
      </c>
      <c r="E3162" s="21" t="s">
        <v>31564</v>
      </c>
      <c r="F3162" s="21" t="s">
        <v>7796</v>
      </c>
      <c r="G3162" s="21" t="s">
        <v>6740</v>
      </c>
    </row>
    <row r="3163" customFormat="false" ht="28.35" hidden="false" customHeight="false" outlineLevel="0" collapsed="false">
      <c r="B3163" s="19" t="s">
        <v>31570</v>
      </c>
      <c r="C3163" s="20" t="n">
        <f aca="false">ROUND(1.3/FX,2)</f>
        <v>0.18</v>
      </c>
      <c r="D3163" s="21" t="s">
        <v>6336</v>
      </c>
      <c r="E3163" s="21" t="s">
        <v>31564</v>
      </c>
      <c r="F3163" s="21" t="s">
        <v>7796</v>
      </c>
      <c r="G3163" s="21" t="s">
        <v>847</v>
      </c>
    </row>
    <row r="3164" customFormat="false" ht="28.35" hidden="false" customHeight="false" outlineLevel="0" collapsed="false">
      <c r="B3164" s="19" t="s">
        <v>31571</v>
      </c>
      <c r="C3164" s="20" t="n">
        <f aca="false">ROUND(5.85/FX,2)</f>
        <v>0.81</v>
      </c>
      <c r="D3164" s="21" t="s">
        <v>6336</v>
      </c>
      <c r="E3164" s="21" t="s">
        <v>31564</v>
      </c>
      <c r="F3164" s="21" t="s">
        <v>31572</v>
      </c>
      <c r="G3164" s="21" t="s">
        <v>789</v>
      </c>
    </row>
    <row r="3167" customFormat="false" ht="61.5" hidden="false" customHeight="true" outlineLevel="0" collapsed="false">
      <c r="A3167" s="9"/>
      <c r="B3167" s="10" t="s">
        <v>31573</v>
      </c>
      <c r="C3167" s="10"/>
      <c r="D3167" s="10"/>
      <c r="E3167" s="10"/>
      <c r="F3167" s="10"/>
      <c r="G3167" s="10"/>
    </row>
    <row r="3168" customFormat="false" ht="15" hidden="false" customHeight="false" outlineLevel="0" collapsed="false">
      <c r="A3168" s="12" t="s">
        <v>700</v>
      </c>
      <c r="B3168" s="13" t="s">
        <v>701</v>
      </c>
      <c r="C3168" s="13" t="s">
        <v>702</v>
      </c>
      <c r="D3168" s="13" t="s">
        <v>21219</v>
      </c>
      <c r="E3168" s="13" t="s">
        <v>16136</v>
      </c>
      <c r="F3168" s="13" t="s">
        <v>31574</v>
      </c>
      <c r="G3168" s="13" t="s">
        <v>31575</v>
      </c>
    </row>
    <row r="3169" customFormat="false" ht="30" hidden="false" customHeight="true" outlineLevel="0" collapsed="false">
      <c r="A3169" s="14" t="s">
        <v>706</v>
      </c>
      <c r="B3169" s="15" t="str">
        <f aca="false">IF(COUNTIFS($D$3172:$D$3203,IF(D3169="","*",D3169),$E$3172:$E$3203,IF(E3169="","*",E3169),$F$3172:$F$3203,IF(F3169="","*",F3169),$G$3172:$G$3203,IF(G3169="","*",G3169))=1,INDEX($B:$B,SUMPRODUCT(((D3169="")+($D$3172:$D$3203=D3169)&gt;0)*((E3169="")+($E$3172:$E$3203=E3169)&gt;0)*((F3169="")+($F$3172:$F$3203=F3169)&gt;0)*((G3169="")+($G$3172:$G$3203=G3169)&gt;0)*ROW($B$3172:$B$3203))),IF(COUNTIFS($D$3172:$D$3203,IF(D3169="","*",D3169),$E$3172:$E$3203,IF(E3169="","*",E3169),$F$3172:$F$3203,IF(F3169="","*",F3169),$G$3172:$G$3203,IF(G3169="","*",G3169))=0,"Not available",COUNTIFS($D$3172:$D$3203,IF(D3169="","*",D3169),$E$3172:$E$3203,IF(E3169="","*",E3169),$F$3172:$F$3203,IF(F3169="","*",F3169),$G$3172:$G$3203,IF(G3169="","*",G3169))&amp;" match, keep choosing"))</f>
        <v>P3-044-12V-L-PZ0.2-+DBX</v>
      </c>
      <c r="C3169" s="16" t="n">
        <f aca="false">IF(COUNTIFS($D$3172:$D$3203,IF(D3169="","*",D3169),$E$3172:$E$3203,IF(E3169="","*",E3169),$F$3172:$F$3203,IF(F3169="","*",F3169),$G$3172:$G$3203,IF(G3169="","*",G3169))=1,INDEX($C:$C,SUMPRODUCT(((D3169="")+($D$3172:$D$3203=D3169)&gt;0)*((E3169="")+($E$3172:$E$3203=E3169)&gt;0)*((F3169="")+($F$3172:$F$3203=F3169)&gt;0)*((G3169="")+($G$3172:$G$3203=G3169)&gt;0)*ROW($B$3172:$B$3203))),"")</f>
        <v>8.33</v>
      </c>
      <c r="D3169" s="17" t="s">
        <v>29407</v>
      </c>
      <c r="E3169" s="17" t="s">
        <v>19552</v>
      </c>
      <c r="F3169" s="17" t="s">
        <v>20366</v>
      </c>
      <c r="G3169" s="17" t="s">
        <v>31576</v>
      </c>
    </row>
    <row r="3171" customFormat="false" ht="15" hidden="false" customHeight="false" outlineLevel="0" collapsed="false">
      <c r="B3171" s="18" t="s">
        <v>701</v>
      </c>
      <c r="C3171" s="18" t="s">
        <v>702</v>
      </c>
      <c r="D3171" s="18" t="s">
        <v>21219</v>
      </c>
      <c r="E3171" s="18" t="s">
        <v>16136</v>
      </c>
      <c r="F3171" s="18" t="s">
        <v>31574</v>
      </c>
      <c r="G3171" s="18" t="s">
        <v>31575</v>
      </c>
    </row>
    <row r="3172" customFormat="false" ht="15" hidden="false" customHeight="false" outlineLevel="0" collapsed="false">
      <c r="B3172" s="19" t="s">
        <v>31577</v>
      </c>
      <c r="C3172" s="20" t="n">
        <f aca="false">ROUND(60/FX,2)</f>
        <v>8.33</v>
      </c>
      <c r="D3172" s="21" t="s">
        <v>29407</v>
      </c>
      <c r="E3172" s="21" t="s">
        <v>19552</v>
      </c>
      <c r="F3172" s="21" t="s">
        <v>20366</v>
      </c>
      <c r="G3172" s="21" t="s">
        <v>31576</v>
      </c>
    </row>
    <row r="3173" customFormat="false" ht="15" hidden="false" customHeight="false" outlineLevel="0" collapsed="false">
      <c r="B3173" s="19" t="s">
        <v>31578</v>
      </c>
      <c r="C3173" s="20" t="n">
        <f aca="false">ROUND(60/FX,2)</f>
        <v>8.33</v>
      </c>
      <c r="D3173" s="21" t="s">
        <v>29407</v>
      </c>
      <c r="E3173" s="21" t="s">
        <v>19555</v>
      </c>
      <c r="F3173" s="21" t="s">
        <v>20366</v>
      </c>
      <c r="G3173" s="21" t="s">
        <v>31576</v>
      </c>
    </row>
    <row r="3174" customFormat="false" ht="15" hidden="false" customHeight="false" outlineLevel="0" collapsed="false">
      <c r="B3174" s="19" t="s">
        <v>31579</v>
      </c>
      <c r="C3174" s="20" t="n">
        <f aca="false">ROUND(60/FX,2)</f>
        <v>8.33</v>
      </c>
      <c r="D3174" s="21" t="s">
        <v>29407</v>
      </c>
      <c r="E3174" s="21" t="s">
        <v>19552</v>
      </c>
      <c r="F3174" s="21" t="s">
        <v>20366</v>
      </c>
      <c r="G3174" s="21" t="s">
        <v>31580</v>
      </c>
    </row>
    <row r="3175" customFormat="false" ht="15" hidden="false" customHeight="false" outlineLevel="0" collapsed="false">
      <c r="B3175" s="19" t="s">
        <v>31581</v>
      </c>
      <c r="C3175" s="20" t="n">
        <f aca="false">ROUND(60/FX,2)</f>
        <v>8.33</v>
      </c>
      <c r="D3175" s="21" t="s">
        <v>29407</v>
      </c>
      <c r="E3175" s="21" t="s">
        <v>19555</v>
      </c>
      <c r="F3175" s="21" t="s">
        <v>20366</v>
      </c>
      <c r="G3175" s="21" t="s">
        <v>31580</v>
      </c>
    </row>
    <row r="3176" customFormat="false" ht="15" hidden="false" customHeight="false" outlineLevel="0" collapsed="false">
      <c r="B3176" s="19" t="s">
        <v>31582</v>
      </c>
      <c r="C3176" s="20" t="n">
        <f aca="false">ROUND(60/FX,2)</f>
        <v>8.33</v>
      </c>
      <c r="D3176" s="21" t="s">
        <v>29407</v>
      </c>
      <c r="E3176" s="21" t="s">
        <v>19552</v>
      </c>
      <c r="F3176" s="21" t="s">
        <v>20366</v>
      </c>
      <c r="G3176" s="21" t="s">
        <v>31583</v>
      </c>
    </row>
    <row r="3177" customFormat="false" ht="15" hidden="false" customHeight="false" outlineLevel="0" collapsed="false">
      <c r="B3177" s="19" t="s">
        <v>31584</v>
      </c>
      <c r="C3177" s="20" t="n">
        <f aca="false">ROUND(60/FX,2)</f>
        <v>8.33</v>
      </c>
      <c r="D3177" s="21" t="s">
        <v>29407</v>
      </c>
      <c r="E3177" s="21" t="s">
        <v>19555</v>
      </c>
      <c r="F3177" s="21" t="s">
        <v>20366</v>
      </c>
      <c r="G3177" s="21" t="s">
        <v>31583</v>
      </c>
    </row>
    <row r="3178" customFormat="false" ht="15" hidden="false" customHeight="false" outlineLevel="0" collapsed="false">
      <c r="B3178" s="19" t="s">
        <v>31585</v>
      </c>
      <c r="C3178" s="20" t="n">
        <f aca="false">ROUND(60/FX,2)</f>
        <v>8.33</v>
      </c>
      <c r="D3178" s="21" t="s">
        <v>29407</v>
      </c>
      <c r="E3178" s="21" t="s">
        <v>19552</v>
      </c>
      <c r="F3178" s="21" t="s">
        <v>20366</v>
      </c>
      <c r="G3178" s="21" t="s">
        <v>31586</v>
      </c>
    </row>
    <row r="3179" customFormat="false" ht="15" hidden="false" customHeight="false" outlineLevel="0" collapsed="false">
      <c r="B3179" s="19" t="s">
        <v>31587</v>
      </c>
      <c r="C3179" s="20" t="n">
        <f aca="false">ROUND(60/FX,2)</f>
        <v>8.33</v>
      </c>
      <c r="D3179" s="21" t="s">
        <v>29407</v>
      </c>
      <c r="E3179" s="21" t="s">
        <v>19555</v>
      </c>
      <c r="F3179" s="21" t="s">
        <v>20366</v>
      </c>
      <c r="G3179" s="21" t="s">
        <v>31586</v>
      </c>
    </row>
    <row r="3180" customFormat="false" ht="15" hidden="false" customHeight="false" outlineLevel="0" collapsed="false">
      <c r="B3180" s="19" t="s">
        <v>31588</v>
      </c>
      <c r="C3180" s="20" t="n">
        <f aca="false">ROUND(60/FX,2)</f>
        <v>8.33</v>
      </c>
      <c r="D3180" s="21" t="s">
        <v>29407</v>
      </c>
      <c r="E3180" s="21" t="s">
        <v>19552</v>
      </c>
      <c r="F3180" s="21" t="s">
        <v>20391</v>
      </c>
      <c r="G3180" s="21" t="s">
        <v>31576</v>
      </c>
    </row>
    <row r="3181" customFormat="false" ht="15" hidden="false" customHeight="false" outlineLevel="0" collapsed="false">
      <c r="B3181" s="19" t="s">
        <v>31589</v>
      </c>
      <c r="C3181" s="20" t="n">
        <f aca="false">ROUND(60/FX,2)</f>
        <v>8.33</v>
      </c>
      <c r="D3181" s="21" t="s">
        <v>29407</v>
      </c>
      <c r="E3181" s="21" t="s">
        <v>19555</v>
      </c>
      <c r="F3181" s="21" t="s">
        <v>20391</v>
      </c>
      <c r="G3181" s="21" t="s">
        <v>31576</v>
      </c>
    </row>
    <row r="3182" customFormat="false" ht="15" hidden="false" customHeight="false" outlineLevel="0" collapsed="false">
      <c r="B3182" s="19" t="s">
        <v>31590</v>
      </c>
      <c r="C3182" s="20" t="n">
        <f aca="false">ROUND(60/FX,2)</f>
        <v>8.33</v>
      </c>
      <c r="D3182" s="21" t="s">
        <v>29407</v>
      </c>
      <c r="E3182" s="21" t="s">
        <v>19552</v>
      </c>
      <c r="F3182" s="21" t="s">
        <v>20391</v>
      </c>
      <c r="G3182" s="21" t="s">
        <v>31580</v>
      </c>
    </row>
    <row r="3183" customFormat="false" ht="15" hidden="false" customHeight="false" outlineLevel="0" collapsed="false">
      <c r="B3183" s="19" t="s">
        <v>31591</v>
      </c>
      <c r="C3183" s="20" t="n">
        <f aca="false">ROUND(60/FX,2)</f>
        <v>8.33</v>
      </c>
      <c r="D3183" s="21" t="s">
        <v>29407</v>
      </c>
      <c r="E3183" s="21" t="s">
        <v>19555</v>
      </c>
      <c r="F3183" s="21" t="s">
        <v>20391</v>
      </c>
      <c r="G3183" s="21" t="s">
        <v>31580</v>
      </c>
    </row>
    <row r="3184" customFormat="false" ht="15" hidden="false" customHeight="false" outlineLevel="0" collapsed="false">
      <c r="B3184" s="19" t="s">
        <v>31592</v>
      </c>
      <c r="C3184" s="20" t="n">
        <f aca="false">ROUND(52.5/FX,2)</f>
        <v>7.29</v>
      </c>
      <c r="D3184" s="21" t="s">
        <v>29407</v>
      </c>
      <c r="E3184" s="21" t="s">
        <v>19552</v>
      </c>
      <c r="F3184" s="21" t="s">
        <v>20391</v>
      </c>
      <c r="G3184" s="21" t="s">
        <v>31583</v>
      </c>
    </row>
    <row r="3185" customFormat="false" ht="15" hidden="false" customHeight="false" outlineLevel="0" collapsed="false">
      <c r="B3185" s="19" t="s">
        <v>31593</v>
      </c>
      <c r="C3185" s="20" t="n">
        <f aca="false">ROUND(52.5/FX,2)</f>
        <v>7.29</v>
      </c>
      <c r="D3185" s="21" t="s">
        <v>29407</v>
      </c>
      <c r="E3185" s="21" t="s">
        <v>19555</v>
      </c>
      <c r="F3185" s="21" t="s">
        <v>20391</v>
      </c>
      <c r="G3185" s="21" t="s">
        <v>31583</v>
      </c>
    </row>
    <row r="3186" customFormat="false" ht="15" hidden="false" customHeight="false" outlineLevel="0" collapsed="false">
      <c r="B3186" s="19" t="s">
        <v>31594</v>
      </c>
      <c r="C3186" s="20" t="n">
        <f aca="false">ROUND(60/FX,2)</f>
        <v>8.33</v>
      </c>
      <c r="D3186" s="21" t="s">
        <v>29407</v>
      </c>
      <c r="E3186" s="21" t="s">
        <v>19552</v>
      </c>
      <c r="F3186" s="21" t="s">
        <v>20391</v>
      </c>
      <c r="G3186" s="21" t="s">
        <v>31586</v>
      </c>
    </row>
    <row r="3187" customFormat="false" ht="15" hidden="false" customHeight="false" outlineLevel="0" collapsed="false">
      <c r="B3187" s="19" t="s">
        <v>31595</v>
      </c>
      <c r="C3187" s="20" t="n">
        <f aca="false">ROUND(60/FX,2)</f>
        <v>8.33</v>
      </c>
      <c r="D3187" s="21" t="s">
        <v>29407</v>
      </c>
      <c r="E3187" s="21" t="s">
        <v>19555</v>
      </c>
      <c r="F3187" s="21" t="s">
        <v>20391</v>
      </c>
      <c r="G3187" s="21" t="s">
        <v>31586</v>
      </c>
    </row>
    <row r="3188" customFormat="false" ht="15" hidden="false" customHeight="false" outlineLevel="0" collapsed="false">
      <c r="B3188" s="19" t="s">
        <v>31596</v>
      </c>
      <c r="C3188" s="20" t="n">
        <f aca="false">ROUND(60/FX,2)</f>
        <v>8.33</v>
      </c>
      <c r="D3188" s="21" t="s">
        <v>29288</v>
      </c>
      <c r="E3188" s="21" t="s">
        <v>19552</v>
      </c>
      <c r="F3188" s="21" t="s">
        <v>20366</v>
      </c>
      <c r="G3188" s="21" t="s">
        <v>31576</v>
      </c>
    </row>
    <row r="3189" customFormat="false" ht="15" hidden="false" customHeight="false" outlineLevel="0" collapsed="false">
      <c r="B3189" s="19" t="s">
        <v>31597</v>
      </c>
      <c r="C3189" s="20" t="n">
        <f aca="false">ROUND(60/FX,2)</f>
        <v>8.33</v>
      </c>
      <c r="D3189" s="21" t="s">
        <v>29288</v>
      </c>
      <c r="E3189" s="21" t="s">
        <v>19555</v>
      </c>
      <c r="F3189" s="21" t="s">
        <v>20366</v>
      </c>
      <c r="G3189" s="21" t="s">
        <v>31576</v>
      </c>
    </row>
    <row r="3190" customFormat="false" ht="15" hidden="false" customHeight="false" outlineLevel="0" collapsed="false">
      <c r="B3190" s="19" t="s">
        <v>31598</v>
      </c>
      <c r="C3190" s="20" t="n">
        <f aca="false">ROUND(60/FX,2)</f>
        <v>8.33</v>
      </c>
      <c r="D3190" s="21" t="s">
        <v>29288</v>
      </c>
      <c r="E3190" s="21" t="s">
        <v>19552</v>
      </c>
      <c r="F3190" s="21" t="s">
        <v>20366</v>
      </c>
      <c r="G3190" s="21" t="s">
        <v>31580</v>
      </c>
    </row>
    <row r="3191" customFormat="false" ht="15" hidden="false" customHeight="false" outlineLevel="0" collapsed="false">
      <c r="B3191" s="19" t="s">
        <v>31599</v>
      </c>
      <c r="C3191" s="20" t="n">
        <f aca="false">ROUND(60/FX,2)</f>
        <v>8.33</v>
      </c>
      <c r="D3191" s="21" t="s">
        <v>29288</v>
      </c>
      <c r="E3191" s="21" t="s">
        <v>19555</v>
      </c>
      <c r="F3191" s="21" t="s">
        <v>20366</v>
      </c>
      <c r="G3191" s="21" t="s">
        <v>31580</v>
      </c>
    </row>
    <row r="3192" customFormat="false" ht="15" hidden="false" customHeight="false" outlineLevel="0" collapsed="false">
      <c r="B3192" s="19" t="s">
        <v>31600</v>
      </c>
      <c r="C3192" s="20" t="n">
        <f aca="false">ROUND(60/FX,2)</f>
        <v>8.33</v>
      </c>
      <c r="D3192" s="21" t="s">
        <v>29288</v>
      </c>
      <c r="E3192" s="21" t="s">
        <v>19552</v>
      </c>
      <c r="F3192" s="21" t="s">
        <v>20366</v>
      </c>
      <c r="G3192" s="21" t="s">
        <v>31583</v>
      </c>
    </row>
    <row r="3193" customFormat="false" ht="15" hidden="false" customHeight="false" outlineLevel="0" collapsed="false">
      <c r="B3193" s="19" t="s">
        <v>31601</v>
      </c>
      <c r="C3193" s="20" t="n">
        <f aca="false">ROUND(60/FX,2)</f>
        <v>8.33</v>
      </c>
      <c r="D3193" s="21" t="s">
        <v>29288</v>
      </c>
      <c r="E3193" s="21" t="s">
        <v>19555</v>
      </c>
      <c r="F3193" s="21" t="s">
        <v>20366</v>
      </c>
      <c r="G3193" s="21" t="s">
        <v>31583</v>
      </c>
    </row>
    <row r="3194" customFormat="false" ht="15" hidden="false" customHeight="false" outlineLevel="0" collapsed="false">
      <c r="B3194" s="19" t="s">
        <v>31602</v>
      </c>
      <c r="C3194" s="20" t="n">
        <f aca="false">ROUND(60/FX,2)</f>
        <v>8.33</v>
      </c>
      <c r="D3194" s="21" t="s">
        <v>29288</v>
      </c>
      <c r="E3194" s="21" t="s">
        <v>19552</v>
      </c>
      <c r="F3194" s="21" t="s">
        <v>20366</v>
      </c>
      <c r="G3194" s="21" t="s">
        <v>31586</v>
      </c>
    </row>
    <row r="3195" customFormat="false" ht="15" hidden="false" customHeight="false" outlineLevel="0" collapsed="false">
      <c r="B3195" s="19" t="s">
        <v>31603</v>
      </c>
      <c r="C3195" s="20" t="n">
        <f aca="false">ROUND(60/FX,2)</f>
        <v>8.33</v>
      </c>
      <c r="D3195" s="21" t="s">
        <v>29288</v>
      </c>
      <c r="E3195" s="21" t="s">
        <v>19555</v>
      </c>
      <c r="F3195" s="21" t="s">
        <v>20366</v>
      </c>
      <c r="G3195" s="21" t="s">
        <v>31586</v>
      </c>
    </row>
    <row r="3196" customFormat="false" ht="15" hidden="false" customHeight="false" outlineLevel="0" collapsed="false">
      <c r="B3196" s="19" t="s">
        <v>31604</v>
      </c>
      <c r="C3196" s="20" t="n">
        <f aca="false">ROUND(60/FX,2)</f>
        <v>8.33</v>
      </c>
      <c r="D3196" s="21" t="s">
        <v>29288</v>
      </c>
      <c r="E3196" s="21" t="s">
        <v>19552</v>
      </c>
      <c r="F3196" s="21" t="s">
        <v>20391</v>
      </c>
      <c r="G3196" s="21" t="s">
        <v>31576</v>
      </c>
    </row>
    <row r="3197" customFormat="false" ht="15" hidden="false" customHeight="false" outlineLevel="0" collapsed="false">
      <c r="B3197" s="19" t="s">
        <v>31605</v>
      </c>
      <c r="C3197" s="20" t="n">
        <f aca="false">ROUND(60/FX,2)</f>
        <v>8.33</v>
      </c>
      <c r="D3197" s="21" t="s">
        <v>29288</v>
      </c>
      <c r="E3197" s="21" t="s">
        <v>19555</v>
      </c>
      <c r="F3197" s="21" t="s">
        <v>20391</v>
      </c>
      <c r="G3197" s="21" t="s">
        <v>31576</v>
      </c>
    </row>
    <row r="3198" customFormat="false" ht="15" hidden="false" customHeight="false" outlineLevel="0" collapsed="false">
      <c r="B3198" s="19" t="s">
        <v>31606</v>
      </c>
      <c r="C3198" s="20" t="n">
        <f aca="false">ROUND(60/FX,2)</f>
        <v>8.33</v>
      </c>
      <c r="D3198" s="21" t="s">
        <v>29288</v>
      </c>
      <c r="E3198" s="21" t="s">
        <v>19552</v>
      </c>
      <c r="F3198" s="21" t="s">
        <v>20391</v>
      </c>
      <c r="G3198" s="21" t="s">
        <v>31580</v>
      </c>
    </row>
    <row r="3199" customFormat="false" ht="15" hidden="false" customHeight="false" outlineLevel="0" collapsed="false">
      <c r="B3199" s="19" t="s">
        <v>31607</v>
      </c>
      <c r="C3199" s="20" t="n">
        <f aca="false">ROUND(60/FX,2)</f>
        <v>8.33</v>
      </c>
      <c r="D3199" s="21" t="s">
        <v>29288</v>
      </c>
      <c r="E3199" s="21" t="s">
        <v>19555</v>
      </c>
      <c r="F3199" s="21" t="s">
        <v>20391</v>
      </c>
      <c r="G3199" s="21" t="s">
        <v>31580</v>
      </c>
    </row>
    <row r="3200" customFormat="false" ht="15" hidden="false" customHeight="false" outlineLevel="0" collapsed="false">
      <c r="B3200" s="19" t="s">
        <v>31608</v>
      </c>
      <c r="C3200" s="20" t="n">
        <f aca="false">ROUND(60/FX,2)</f>
        <v>8.33</v>
      </c>
      <c r="D3200" s="21" t="s">
        <v>29288</v>
      </c>
      <c r="E3200" s="21" t="s">
        <v>19552</v>
      </c>
      <c r="F3200" s="21" t="s">
        <v>20391</v>
      </c>
      <c r="G3200" s="21" t="s">
        <v>31583</v>
      </c>
    </row>
    <row r="3201" customFormat="false" ht="15" hidden="false" customHeight="false" outlineLevel="0" collapsed="false">
      <c r="B3201" s="19" t="s">
        <v>31609</v>
      </c>
      <c r="C3201" s="20" t="n">
        <f aca="false">ROUND(60/FX,2)</f>
        <v>8.33</v>
      </c>
      <c r="D3201" s="21" t="s">
        <v>29288</v>
      </c>
      <c r="E3201" s="21" t="s">
        <v>19555</v>
      </c>
      <c r="F3201" s="21" t="s">
        <v>20391</v>
      </c>
      <c r="G3201" s="21" t="s">
        <v>31583</v>
      </c>
    </row>
    <row r="3202" customFormat="false" ht="15" hidden="false" customHeight="false" outlineLevel="0" collapsed="false">
      <c r="B3202" s="19" t="s">
        <v>31610</v>
      </c>
      <c r="C3202" s="20" t="n">
        <f aca="false">ROUND(60/FX,2)</f>
        <v>8.33</v>
      </c>
      <c r="D3202" s="21" t="s">
        <v>29288</v>
      </c>
      <c r="E3202" s="21" t="s">
        <v>19552</v>
      </c>
      <c r="F3202" s="21" t="s">
        <v>20391</v>
      </c>
      <c r="G3202" s="21" t="s">
        <v>31586</v>
      </c>
    </row>
    <row r="3203" customFormat="false" ht="15" hidden="false" customHeight="false" outlineLevel="0" collapsed="false">
      <c r="B3203" s="19" t="s">
        <v>31611</v>
      </c>
      <c r="C3203" s="20" t="n">
        <f aca="false">ROUND(60/FX,2)</f>
        <v>8.33</v>
      </c>
      <c r="D3203" s="21" t="s">
        <v>29288</v>
      </c>
      <c r="E3203" s="21" t="s">
        <v>19555</v>
      </c>
      <c r="F3203" s="21" t="s">
        <v>20391</v>
      </c>
      <c r="G3203" s="21" t="s">
        <v>31586</v>
      </c>
    </row>
    <row r="3206" customFormat="false" ht="61.5" hidden="false" customHeight="true" outlineLevel="0" collapsed="false">
      <c r="A3206" s="9"/>
      <c r="B3206" s="10" t="s">
        <v>31612</v>
      </c>
      <c r="C3206" s="10"/>
      <c r="D3206" s="10"/>
      <c r="E3206" s="10"/>
    </row>
    <row r="3207" customFormat="false" ht="15" hidden="false" customHeight="false" outlineLevel="0" collapsed="false">
      <c r="A3207" s="12" t="s">
        <v>700</v>
      </c>
      <c r="B3207" s="13" t="s">
        <v>701</v>
      </c>
      <c r="C3207" s="13" t="s">
        <v>702</v>
      </c>
      <c r="D3207" s="13" t="s">
        <v>723</v>
      </c>
      <c r="E3207" s="13" t="s">
        <v>31574</v>
      </c>
    </row>
    <row r="3208" customFormat="false" ht="30" hidden="false" customHeight="true" outlineLevel="0" collapsed="false">
      <c r="A3208" s="14" t="s">
        <v>706</v>
      </c>
      <c r="B3208" s="15" t="str">
        <f aca="false">IF(COUNTIFS($D$3211:$D$3216,IF(D3208="","*",D3208),$E$3211:$E$3216,IF(E3208="","*",E3208))=1,INDEX($B:$B,SUMPRODUCT(((D3208="")+($D$3211:$D$3216=D3208)&gt;0)*((E3208="")+($E$3211:$E$3216=E3208)&gt;0)*ROW($B$3211:$B$3216))),IF(COUNTIFS($D$3211:$D$3216,IF(D3208="","*",D3208),$E$3211:$E$3216,IF(E3208="","*",E3208))=0,"Not available",COUNTIFS($D$3211:$D$3216,IF(D3208="","*",D3208),$E$3211:$E$3216,IF(E3208="","*",E3208))&amp;" match, keep choosing"))</f>
        <v>P3-058-L-BDZJ</v>
      </c>
      <c r="C3208" s="16" t="n">
        <f aca="false">IF(COUNTIFS($D$3211:$D$3216,IF(D3208="","*",D3208),$E$3211:$E$3216,IF(E3208="","*",E3208))=1,INDEX($C:$C,SUMPRODUCT(((D3208="")+($D$3211:$D$3216=D3208)&gt;0)*((E3208="")+($E$3211:$E$3216=E3208)&gt;0)*ROW($B$3211:$B$3216))),"")</f>
        <v>2.08</v>
      </c>
      <c r="D3208" s="17" t="s">
        <v>31613</v>
      </c>
      <c r="E3208" s="17" t="s">
        <v>20366</v>
      </c>
    </row>
    <row r="3210" customFormat="false" ht="15" hidden="false" customHeight="false" outlineLevel="0" collapsed="false">
      <c r="B3210" s="18" t="s">
        <v>701</v>
      </c>
      <c r="C3210" s="18" t="s">
        <v>702</v>
      </c>
      <c r="D3210" s="18" t="s">
        <v>723</v>
      </c>
      <c r="E3210" s="18" t="s">
        <v>31574</v>
      </c>
    </row>
    <row r="3211" customFormat="false" ht="15" hidden="false" customHeight="false" outlineLevel="0" collapsed="false">
      <c r="B3211" s="19" t="s">
        <v>31614</v>
      </c>
      <c r="C3211" s="20" t="n">
        <f aca="false">ROUND(14.95/FX,2)</f>
        <v>2.08</v>
      </c>
      <c r="D3211" s="21" t="s">
        <v>31613</v>
      </c>
      <c r="E3211" s="21" t="s">
        <v>20366</v>
      </c>
    </row>
    <row r="3212" customFormat="false" ht="15" hidden="false" customHeight="false" outlineLevel="0" collapsed="false">
      <c r="B3212" s="19" t="s">
        <v>31615</v>
      </c>
      <c r="C3212" s="20" t="n">
        <f aca="false">ROUND(17.29/FX,2)</f>
        <v>2.4</v>
      </c>
      <c r="D3212" s="21" t="s">
        <v>31616</v>
      </c>
      <c r="E3212" s="21" t="s">
        <v>20366</v>
      </c>
    </row>
    <row r="3213" customFormat="false" ht="15" hidden="false" customHeight="false" outlineLevel="0" collapsed="false">
      <c r="B3213" s="19" t="s">
        <v>31617</v>
      </c>
      <c r="C3213" s="20" t="n">
        <f aca="false">ROUND(14.95/FX,2)</f>
        <v>2.08</v>
      </c>
      <c r="D3213" s="21" t="s">
        <v>31613</v>
      </c>
      <c r="E3213" s="21" t="s">
        <v>20391</v>
      </c>
    </row>
    <row r="3214" customFormat="false" ht="15" hidden="false" customHeight="false" outlineLevel="0" collapsed="false">
      <c r="B3214" s="19" t="s">
        <v>31618</v>
      </c>
      <c r="C3214" s="20" t="n">
        <f aca="false">ROUND(17.29/FX,2)</f>
        <v>2.4</v>
      </c>
      <c r="D3214" s="21" t="s">
        <v>31616</v>
      </c>
      <c r="E3214" s="21" t="s">
        <v>20391</v>
      </c>
    </row>
    <row r="3215" customFormat="false" ht="15" hidden="false" customHeight="false" outlineLevel="0" collapsed="false">
      <c r="B3215" s="19" t="s">
        <v>31619</v>
      </c>
      <c r="C3215" s="20" t="n">
        <f aca="false">ROUND(41/FX,2)</f>
        <v>5.69</v>
      </c>
      <c r="D3215" s="21" t="s">
        <v>31620</v>
      </c>
      <c r="E3215" s="21" t="s">
        <v>31621</v>
      </c>
    </row>
    <row r="3216" customFormat="false" ht="15" hidden="false" customHeight="false" outlineLevel="0" collapsed="false">
      <c r="B3216" s="19" t="s">
        <v>31622</v>
      </c>
      <c r="C3216" s="20" t="n">
        <f aca="false">ROUND(41/FX,2)</f>
        <v>5.69</v>
      </c>
      <c r="D3216" s="21" t="s">
        <v>31620</v>
      </c>
      <c r="E3216" s="21" t="s">
        <v>31623</v>
      </c>
    </row>
    <row r="3219" customFormat="false" ht="61.5" hidden="false" customHeight="true" outlineLevel="0" collapsed="false">
      <c r="A3219" s="9"/>
      <c r="B3219" s="10" t="s">
        <v>31624</v>
      </c>
      <c r="C3219" s="10"/>
      <c r="D3219" s="10"/>
    </row>
    <row r="3220" customFormat="false" ht="15" hidden="false" customHeight="false" outlineLevel="0" collapsed="false">
      <c r="A3220" s="12" t="s">
        <v>700</v>
      </c>
      <c r="B3220" s="13" t="s">
        <v>701</v>
      </c>
      <c r="C3220" s="13" t="s">
        <v>702</v>
      </c>
      <c r="D3220" s="13" t="s">
        <v>723</v>
      </c>
    </row>
    <row r="3221" customFormat="false" ht="30" hidden="false" customHeight="true" outlineLevel="0" collapsed="false">
      <c r="A3221" s="14" t="s">
        <v>706</v>
      </c>
      <c r="B3221" s="15" t="str">
        <f aca="false">IF(COUNTIFS($D$3224:$D$3226,IF(D3221="","*",D3221))=1,INDEX($B:$B,SUMPRODUCT(((D3221="")+($D$3224:$D$3226=D3221)&gt;0)*ROW($B$3224:$B$3226))),IF(COUNTIFS($D$3224:$D$3226,IF(D3221="","*",D3221))=0,"Not available",COUNTIFS($D$3224:$D$3226,IF(D3221="","*",D3221))&amp;" match, keep choosing"))</f>
        <v>P3-060-DB1.75HC</v>
      </c>
      <c r="C3221" s="16" t="n">
        <f aca="false">IF(COUNTIFS($D$3224:$D$3226,IF(D3221="","*",D3221))=1,INDEX($C:$C,SUMPRODUCT(((D3221="")+($D$3224:$D$3226=D3221)&gt;0)*ROW($B$3224:$B$3226))),"")</f>
        <v>1.81</v>
      </c>
      <c r="D3221" s="17" t="s">
        <v>31625</v>
      </c>
    </row>
    <row r="3223" customFormat="false" ht="15" hidden="false" customHeight="false" outlineLevel="0" collapsed="false">
      <c r="B3223" s="18" t="s">
        <v>701</v>
      </c>
      <c r="C3223" s="18" t="s">
        <v>702</v>
      </c>
      <c r="D3223" s="18" t="s">
        <v>723</v>
      </c>
    </row>
    <row r="3224" customFormat="false" ht="28.35" hidden="false" customHeight="false" outlineLevel="0" collapsed="false">
      <c r="B3224" s="19" t="s">
        <v>31626</v>
      </c>
      <c r="C3224" s="20" t="n">
        <f aca="false">ROUND(13/FX,2)</f>
        <v>1.81</v>
      </c>
      <c r="D3224" s="21" t="s">
        <v>31625</v>
      </c>
    </row>
    <row r="3225" customFormat="false" ht="15" hidden="false" customHeight="false" outlineLevel="0" collapsed="false">
      <c r="B3225" s="19" t="s">
        <v>31627</v>
      </c>
      <c r="C3225" s="20" t="n">
        <f aca="false">ROUND(11.05/FX,2)</f>
        <v>1.53</v>
      </c>
      <c r="D3225" s="21" t="s">
        <v>31546</v>
      </c>
    </row>
    <row r="3226" customFormat="false" ht="15" hidden="false" customHeight="false" outlineLevel="0" collapsed="false">
      <c r="B3226" s="19" t="s">
        <v>31628</v>
      </c>
      <c r="C3226" s="20" t="n">
        <f aca="false">ROUND(10.97/FX,2)</f>
        <v>1.52</v>
      </c>
      <c r="D3226" s="21" t="s">
        <v>31551</v>
      </c>
    </row>
    <row r="3229" customFormat="false" ht="61.5" hidden="false" customHeight="true" outlineLevel="0" collapsed="false">
      <c r="A3229" s="9"/>
      <c r="B3229" s="10" t="s">
        <v>31629</v>
      </c>
      <c r="C3229" s="10"/>
      <c r="D3229" s="10"/>
      <c r="E3229" s="10"/>
    </row>
    <row r="3230" customFormat="false" ht="15" hidden="false" customHeight="false" outlineLevel="0" collapsed="false">
      <c r="A3230" s="12" t="s">
        <v>700</v>
      </c>
      <c r="B3230" s="13" t="s">
        <v>701</v>
      </c>
      <c r="C3230" s="13" t="s">
        <v>702</v>
      </c>
      <c r="D3230" s="13" t="s">
        <v>722</v>
      </c>
      <c r="E3230" s="13" t="s">
        <v>723</v>
      </c>
    </row>
    <row r="3231" customFormat="false" ht="30" hidden="false" customHeight="true" outlineLevel="0" collapsed="false">
      <c r="A3231" s="14" t="s">
        <v>706</v>
      </c>
      <c r="B3231" s="15" t="str">
        <f aca="false">IF(COUNTIFS($D$3234:$D$3241,IF(D3231="","*",D3231),$E$3234:$E$3241,IF(E3231="","*",E3231))=1,INDEX($B:$B,SUMPRODUCT(((D3231="")+($D$3234:$D$3241=D3231)&gt;0)*((E3231="")+($E$3234:$E$3241=E3231)&gt;0)*ROW($B$3234:$B$3241))),IF(COUNTIFS($D$3234:$D$3241,IF(D3231="","*",D3231),$E$3234:$E$3241,IF(E3231="","*",E3231))=0,"Not available",COUNTIFS($D$3234:$D$3241,IF(D3231="","*",D3231),$E$3234:$E$3241,IF(E3231="","*",E3231))&amp;" match, keep choosing"))</f>
        <v>P3-083-BK-L</v>
      </c>
      <c r="C3231" s="16" t="n">
        <f aca="false">IF(COUNTIFS($D$3234:$D$3241,IF(D3231="","*",D3231),$E$3234:$E$3241,IF(E3231="","*",E3231))=1,INDEX($C:$C,SUMPRODUCT(((D3231="")+($D$3234:$D$3241=D3231)&gt;0)*((E3231="")+($E$3234:$E$3241=E3231)&gt;0)*ROW($B$3234:$B$3241))),"")</f>
        <v>2.17</v>
      </c>
      <c r="D3231" s="17" t="s">
        <v>724</v>
      </c>
      <c r="E3231" s="17" t="s">
        <v>20366</v>
      </c>
    </row>
    <row r="3233" customFormat="false" ht="15" hidden="false" customHeight="false" outlineLevel="0" collapsed="false">
      <c r="B3233" s="18" t="s">
        <v>701</v>
      </c>
      <c r="C3233" s="18" t="s">
        <v>702</v>
      </c>
      <c r="D3233" s="18" t="s">
        <v>722</v>
      </c>
      <c r="E3233" s="18" t="s">
        <v>723</v>
      </c>
    </row>
    <row r="3234" customFormat="false" ht="15" hidden="false" customHeight="false" outlineLevel="0" collapsed="false">
      <c r="B3234" s="19" t="s">
        <v>31630</v>
      </c>
      <c r="C3234" s="20" t="n">
        <f aca="false">ROUND(15.6/FX,2)</f>
        <v>2.17</v>
      </c>
      <c r="D3234" s="21" t="s">
        <v>724</v>
      </c>
      <c r="E3234" s="21" t="s">
        <v>20366</v>
      </c>
    </row>
    <row r="3235" customFormat="false" ht="15" hidden="false" customHeight="false" outlineLevel="0" collapsed="false">
      <c r="B3235" s="19" t="s">
        <v>31631</v>
      </c>
      <c r="C3235" s="20" t="n">
        <f aca="false">ROUND(15.6/FX,2)</f>
        <v>2.17</v>
      </c>
      <c r="D3235" s="21" t="s">
        <v>724</v>
      </c>
      <c r="E3235" s="21" t="s">
        <v>20391</v>
      </c>
    </row>
    <row r="3236" customFormat="false" ht="15" hidden="false" customHeight="false" outlineLevel="0" collapsed="false">
      <c r="B3236" s="19" t="s">
        <v>31632</v>
      </c>
      <c r="C3236" s="20" t="n">
        <f aca="false">ROUND(15.6/FX,2)</f>
        <v>2.17</v>
      </c>
      <c r="D3236" s="21" t="s">
        <v>6336</v>
      </c>
      <c r="E3236" s="21" t="s">
        <v>31633</v>
      </c>
    </row>
    <row r="3237" customFormat="false" ht="15" hidden="false" customHeight="false" outlineLevel="0" collapsed="false">
      <c r="B3237" s="19" t="s">
        <v>31634</v>
      </c>
      <c r="C3237" s="20" t="n">
        <f aca="false">ROUND(15.6/FX,2)</f>
        <v>2.17</v>
      </c>
      <c r="D3237" s="21" t="s">
        <v>6336</v>
      </c>
      <c r="E3237" s="21" t="s">
        <v>31635</v>
      </c>
    </row>
    <row r="3238" customFormat="false" ht="15" hidden="false" customHeight="false" outlineLevel="0" collapsed="false">
      <c r="B3238" s="19" t="s">
        <v>31636</v>
      </c>
      <c r="C3238" s="20" t="n">
        <f aca="false">ROUND(12.35/FX,2)</f>
        <v>1.72</v>
      </c>
      <c r="D3238" s="21" t="s">
        <v>6362</v>
      </c>
      <c r="E3238" s="21" t="s">
        <v>20366</v>
      </c>
    </row>
    <row r="3239" customFormat="false" ht="15" hidden="false" customHeight="false" outlineLevel="0" collapsed="false">
      <c r="B3239" s="19" t="s">
        <v>31637</v>
      </c>
      <c r="C3239" s="20" t="n">
        <f aca="false">ROUND(12.35/FX,2)</f>
        <v>1.72</v>
      </c>
      <c r="D3239" s="21" t="s">
        <v>6362</v>
      </c>
      <c r="E3239" s="21" t="s">
        <v>20391</v>
      </c>
    </row>
    <row r="3240" customFormat="false" ht="28.35" hidden="false" customHeight="false" outlineLevel="0" collapsed="false">
      <c r="B3240" s="19" t="s">
        <v>31638</v>
      </c>
      <c r="C3240" s="20" t="n">
        <f aca="false">ROUND(15.6/FX,2)</f>
        <v>2.17</v>
      </c>
      <c r="D3240" s="21" t="s">
        <v>6336</v>
      </c>
      <c r="E3240" s="21" t="s">
        <v>31639</v>
      </c>
    </row>
    <row r="3241" customFormat="false" ht="28.35" hidden="false" customHeight="false" outlineLevel="0" collapsed="false">
      <c r="B3241" s="19" t="s">
        <v>31640</v>
      </c>
      <c r="C3241" s="20" t="n">
        <f aca="false">ROUND(15.6/FX,2)</f>
        <v>2.17</v>
      </c>
      <c r="D3241" s="21" t="s">
        <v>6336</v>
      </c>
      <c r="E3241" s="21" t="s">
        <v>31641</v>
      </c>
    </row>
    <row r="3244" customFormat="false" ht="61.5" hidden="false" customHeight="true" outlineLevel="0" collapsed="false">
      <c r="A3244" s="9"/>
      <c r="B3244" s="10" t="s">
        <v>31642</v>
      </c>
      <c r="C3244" s="10"/>
      <c r="D3244" s="10"/>
    </row>
    <row r="3245" customFormat="false" ht="15" hidden="false" customHeight="false" outlineLevel="0" collapsed="false">
      <c r="A3245" s="12" t="s">
        <v>700</v>
      </c>
      <c r="B3245" s="13" t="s">
        <v>701</v>
      </c>
      <c r="C3245" s="13" t="s">
        <v>702</v>
      </c>
      <c r="D3245" s="13" t="s">
        <v>722</v>
      </c>
    </row>
    <row r="3246" customFormat="false" ht="30" hidden="false" customHeight="true" outlineLevel="0" collapsed="false">
      <c r="A3246" s="14" t="s">
        <v>706</v>
      </c>
      <c r="B3246" s="15" t="str">
        <f aca="false">IF(COUNTIFS($D$3249:$D$3250,IF(D3246="","*",D3246))=1,INDEX($B:$B,SUMPRODUCT(((D3246="")+($D$3249:$D$3250=D3246)&gt;0)*ROW($B$3249:$B$3250))),IF(COUNTIFS($D$3249:$D$3250,IF(D3246="","*",D3246))=0,"Not available",COUNTIFS($D$3249:$D$3250,IF(D3246="","*",D3246))&amp;" match, keep choosing"))</f>
        <v>P3-027-BK</v>
      </c>
      <c r="C3246" s="16" t="n">
        <f aca="false">IF(COUNTIFS($D$3249:$D$3250,IF(D3246="","*",D3246))=1,INDEX($C:$C,SUMPRODUCT(((D3246="")+($D$3249:$D$3250=D3246)&gt;0)*ROW($B$3249:$B$3250))),"")</f>
        <v>1.26</v>
      </c>
      <c r="D3246" s="17" t="s">
        <v>724</v>
      </c>
    </row>
    <row r="3248" customFormat="false" ht="15" hidden="false" customHeight="false" outlineLevel="0" collapsed="false">
      <c r="B3248" s="18" t="s">
        <v>701</v>
      </c>
      <c r="C3248" s="18" t="s">
        <v>702</v>
      </c>
      <c r="D3248" s="18" t="s">
        <v>722</v>
      </c>
    </row>
    <row r="3249" customFormat="false" ht="15" hidden="false" customHeight="false" outlineLevel="0" collapsed="false">
      <c r="B3249" s="19" t="s">
        <v>31643</v>
      </c>
      <c r="C3249" s="20" t="n">
        <f aca="false">ROUND(9.1/FX,2)</f>
        <v>1.26</v>
      </c>
      <c r="D3249" s="21" t="s">
        <v>724</v>
      </c>
    </row>
    <row r="3250" customFormat="false" ht="15" hidden="false" customHeight="false" outlineLevel="0" collapsed="false">
      <c r="B3250" s="19" t="s">
        <v>31644</v>
      </c>
      <c r="C3250" s="20" t="n">
        <f aca="false">ROUND(9.1/FX,2)</f>
        <v>1.26</v>
      </c>
      <c r="D3250" s="21" t="s">
        <v>751</v>
      </c>
    </row>
    <row r="3253" customFormat="false" ht="61.5" hidden="false" customHeight="true" outlineLevel="0" collapsed="false">
      <c r="A3253" s="9"/>
      <c r="B3253" s="10" t="s">
        <v>31645</v>
      </c>
      <c r="C3253" s="10"/>
      <c r="D3253" s="10"/>
    </row>
    <row r="3254" customFormat="false" ht="15" hidden="false" customHeight="false" outlineLevel="0" collapsed="false">
      <c r="B3254" s="18" t="s">
        <v>701</v>
      </c>
      <c r="C3254" s="18" t="s">
        <v>702</v>
      </c>
      <c r="D3254" s="18" t="s">
        <v>5610</v>
      </c>
    </row>
    <row r="3255" customFormat="false" ht="15" hidden="false" customHeight="false" outlineLevel="0" collapsed="false">
      <c r="B3255" s="19" t="s">
        <v>31646</v>
      </c>
      <c r="C3255" s="20" t="n">
        <f aca="false">ROUND(1.83/FX,2)</f>
        <v>0.25</v>
      </c>
      <c r="D3255" s="22" t="s">
        <v>5612</v>
      </c>
    </row>
    <row r="3258" customFormat="false" ht="61.5" hidden="false" customHeight="true" outlineLevel="0" collapsed="false">
      <c r="A3258" s="9"/>
      <c r="B3258" s="10" t="s">
        <v>31647</v>
      </c>
      <c r="C3258" s="10"/>
      <c r="D3258" s="10"/>
      <c r="E3258" s="10"/>
      <c r="F3258" s="10"/>
      <c r="G3258" s="10"/>
    </row>
    <row r="3259" customFormat="false" ht="15" hidden="false" customHeight="false" outlineLevel="0" collapsed="false">
      <c r="A3259" s="12" t="s">
        <v>700</v>
      </c>
      <c r="B3259" s="13" t="s">
        <v>701</v>
      </c>
      <c r="C3259" s="13" t="s">
        <v>702</v>
      </c>
      <c r="D3259" s="13" t="s">
        <v>722</v>
      </c>
      <c r="E3259" s="13" t="s">
        <v>704</v>
      </c>
      <c r="F3259" s="13" t="s">
        <v>705</v>
      </c>
      <c r="G3259" s="13" t="s">
        <v>723</v>
      </c>
    </row>
    <row r="3260" customFormat="false" ht="30" hidden="false" customHeight="true" outlineLevel="0" collapsed="false">
      <c r="A3260" s="14" t="s">
        <v>706</v>
      </c>
      <c r="B3260" s="15" t="str">
        <f aca="false">IF(COUNTIFS($D$3263:$D$3281,IF(D3260="","*",D3260),$E$3263:$E$3281,IF(E3260="","*",E3260),$F$3263:$F$3281,IF(F3260="","*",F3260),$G$3263:$G$3281,IF(G3260="","*",G3260))=1,INDEX($B:$B,SUMPRODUCT(((D3260="")+($D$3263:$D$3281=D3260)&gt;0)*((E3260="")+($E$3263:$E$3281=E3260)&gt;0)*((F3260="")+($F$3263:$F$3281=F3260)&gt;0)*((G3260="")+($G$3263:$G$3281=G3260)&gt;0)*ROW($B$3263:$B$3281))),IF(COUNTIFS($D$3263:$D$3281,IF(D3260="","*",D3260),$E$3263:$E$3281,IF(E3260="","*",E3260),$F$3263:$F$3281,IF(F3260="","*",F3260),$G$3263:$G$3281,IF(G3260="","*",G3260))=0,"Not available",COUNTIFS($D$3263:$D$3281,IF(D3260="","*",D3260),$E$3263:$E$3281,IF(E3260="","*",E3260),$F$3263:$F$3281,IF(F3260="","*",F3260),$G$3263:$G$3281,IF(G3260="","*",G3260))&amp;" match, keep choosing"))</f>
        <v>P3-068-AL-JS-CR10-JDK</v>
      </c>
      <c r="C3260" s="16" t="n">
        <f aca="false">IF(COUNTIFS($D$3263:$D$3281,IF(D3260="","*",D3260),$E$3263:$E$3281,IF(E3260="","*",E3260),$F$3263:$F$3281,IF(F3260="","*",F3260),$G$3263:$G$3281,IF(G3260="","*",G3260))=1,INDEX($C:$C,SUMPRODUCT(((D3260="")+($D$3263:$D$3281=D3260)&gt;0)*((E3260="")+($E$3263:$E$3281=E3260)&gt;0)*((F3260="")+($F$3263:$F$3281=F3260)&gt;0)*((G3260="")+($G$3263:$G$3281=G3260)&gt;0)*ROW($B$3263:$B$3281))),"")</f>
        <v>0.45</v>
      </c>
      <c r="D3260" s="17" t="s">
        <v>6336</v>
      </c>
      <c r="E3260" s="17" t="s">
        <v>6550</v>
      </c>
      <c r="F3260" s="17" t="s">
        <v>13732</v>
      </c>
      <c r="G3260" s="17" t="s">
        <v>31648</v>
      </c>
    </row>
    <row r="3262" customFormat="false" ht="15" hidden="false" customHeight="false" outlineLevel="0" collapsed="false">
      <c r="B3262" s="18" t="s">
        <v>701</v>
      </c>
      <c r="C3262" s="18" t="s">
        <v>702</v>
      </c>
      <c r="D3262" s="18" t="s">
        <v>722</v>
      </c>
      <c r="E3262" s="18" t="s">
        <v>704</v>
      </c>
      <c r="F3262" s="18" t="s">
        <v>705</v>
      </c>
      <c r="G3262" s="18" t="s">
        <v>723</v>
      </c>
    </row>
    <row r="3263" customFormat="false" ht="15" hidden="false" customHeight="false" outlineLevel="0" collapsed="false">
      <c r="B3263" s="19" t="s">
        <v>31649</v>
      </c>
      <c r="C3263" s="20" t="n">
        <f aca="false">ROUND(3.25/FX,2)</f>
        <v>0.45</v>
      </c>
      <c r="D3263" s="21" t="s">
        <v>6336</v>
      </c>
      <c r="E3263" s="21" t="s">
        <v>6550</v>
      </c>
      <c r="F3263" s="21" t="s">
        <v>13732</v>
      </c>
      <c r="G3263" s="21" t="s">
        <v>31648</v>
      </c>
    </row>
    <row r="3264" customFormat="false" ht="15" hidden="false" customHeight="false" outlineLevel="0" collapsed="false">
      <c r="B3264" s="19" t="s">
        <v>31650</v>
      </c>
      <c r="C3264" s="20" t="n">
        <f aca="false">ROUND(1.9/FX,2)</f>
        <v>0.26</v>
      </c>
      <c r="D3264" s="21" t="s">
        <v>724</v>
      </c>
      <c r="E3264" s="21" t="s">
        <v>6336</v>
      </c>
      <c r="F3264" s="21" t="s">
        <v>13732</v>
      </c>
      <c r="G3264" s="21" t="s">
        <v>29346</v>
      </c>
    </row>
    <row r="3265" customFormat="false" ht="28.35" hidden="false" customHeight="false" outlineLevel="0" collapsed="false">
      <c r="B3265" s="19" t="s">
        <v>31651</v>
      </c>
      <c r="C3265" s="20" t="n">
        <f aca="false">ROUND(9.1/FX,2)</f>
        <v>1.26</v>
      </c>
      <c r="D3265" s="21" t="s">
        <v>6336</v>
      </c>
      <c r="E3265" s="21" t="s">
        <v>6336</v>
      </c>
      <c r="F3265" s="21" t="s">
        <v>13732</v>
      </c>
      <c r="G3265" s="21" t="s">
        <v>31652</v>
      </c>
    </row>
    <row r="3266" customFormat="false" ht="41.75" hidden="false" customHeight="false" outlineLevel="0" collapsed="false">
      <c r="B3266" s="19" t="s">
        <v>31653</v>
      </c>
      <c r="C3266" s="20" t="n">
        <f aca="false">ROUND(2.21/FX,2)</f>
        <v>0.31</v>
      </c>
      <c r="D3266" s="21" t="s">
        <v>6336</v>
      </c>
      <c r="E3266" s="21" t="s">
        <v>6336</v>
      </c>
      <c r="F3266" s="21" t="s">
        <v>13732</v>
      </c>
      <c r="G3266" s="21" t="s">
        <v>31654</v>
      </c>
    </row>
    <row r="3267" customFormat="false" ht="28.35" hidden="false" customHeight="false" outlineLevel="0" collapsed="false">
      <c r="B3267" s="19" t="s">
        <v>31655</v>
      </c>
      <c r="C3267" s="20" t="n">
        <f aca="false">ROUND(10/FX,2)</f>
        <v>1.39</v>
      </c>
      <c r="D3267" s="21" t="s">
        <v>6336</v>
      </c>
      <c r="E3267" s="21" t="s">
        <v>6336</v>
      </c>
      <c r="F3267" s="21" t="s">
        <v>13732</v>
      </c>
      <c r="G3267" s="21" t="s">
        <v>31656</v>
      </c>
    </row>
    <row r="3268" customFormat="false" ht="28.35" hidden="false" customHeight="false" outlineLevel="0" collapsed="false">
      <c r="B3268" s="19" t="s">
        <v>31657</v>
      </c>
      <c r="C3268" s="20" t="n">
        <f aca="false">ROUND(10/FX,2)</f>
        <v>1.39</v>
      </c>
      <c r="D3268" s="21" t="s">
        <v>6336</v>
      </c>
      <c r="E3268" s="21" t="s">
        <v>6336</v>
      </c>
      <c r="F3268" s="21" t="s">
        <v>13732</v>
      </c>
      <c r="G3268" s="21" t="s">
        <v>31658</v>
      </c>
    </row>
    <row r="3269" customFormat="false" ht="15" hidden="false" customHeight="false" outlineLevel="0" collapsed="false">
      <c r="B3269" s="19" t="s">
        <v>31659</v>
      </c>
      <c r="C3269" s="20" t="n">
        <f aca="false">ROUND(2.34/FX,2)</f>
        <v>0.33</v>
      </c>
      <c r="D3269" s="21" t="s">
        <v>6336</v>
      </c>
      <c r="E3269" s="21" t="s">
        <v>6336</v>
      </c>
      <c r="F3269" s="21" t="s">
        <v>13732</v>
      </c>
      <c r="G3269" s="21" t="s">
        <v>31660</v>
      </c>
    </row>
    <row r="3270" customFormat="false" ht="28.35" hidden="false" customHeight="false" outlineLevel="0" collapsed="false">
      <c r="B3270" s="19" t="s">
        <v>31661</v>
      </c>
      <c r="C3270" s="20" t="n">
        <f aca="false">ROUND(3.25/FX,2)</f>
        <v>0.45</v>
      </c>
      <c r="D3270" s="21" t="s">
        <v>6336</v>
      </c>
      <c r="E3270" s="21" t="s">
        <v>6336</v>
      </c>
      <c r="F3270" s="21" t="s">
        <v>13732</v>
      </c>
      <c r="G3270" s="21" t="s">
        <v>31662</v>
      </c>
    </row>
    <row r="3271" customFormat="false" ht="28.35" hidden="false" customHeight="false" outlineLevel="0" collapsed="false">
      <c r="B3271" s="19" t="s">
        <v>31663</v>
      </c>
      <c r="C3271" s="20" t="n">
        <f aca="false">ROUND(35.75/FX,2)</f>
        <v>4.97</v>
      </c>
      <c r="D3271" s="21" t="s">
        <v>6336</v>
      </c>
      <c r="E3271" s="21" t="s">
        <v>6336</v>
      </c>
      <c r="F3271" s="21" t="s">
        <v>13743</v>
      </c>
      <c r="G3271" s="21" t="s">
        <v>31664</v>
      </c>
    </row>
    <row r="3272" customFormat="false" ht="15" hidden="false" customHeight="false" outlineLevel="0" collapsed="false">
      <c r="B3272" s="19" t="s">
        <v>31665</v>
      </c>
      <c r="C3272" s="20" t="n">
        <f aca="false">ROUND(3.25/FX,2)</f>
        <v>0.45</v>
      </c>
      <c r="D3272" s="21" t="s">
        <v>6549</v>
      </c>
      <c r="E3272" s="21" t="s">
        <v>6550</v>
      </c>
      <c r="F3272" s="21" t="s">
        <v>13732</v>
      </c>
      <c r="G3272" s="21" t="s">
        <v>31666</v>
      </c>
    </row>
    <row r="3273" customFormat="false" ht="15" hidden="false" customHeight="false" outlineLevel="0" collapsed="false">
      <c r="B3273" s="19" t="s">
        <v>31667</v>
      </c>
      <c r="C3273" s="20" t="n">
        <f aca="false">ROUND(3.51/FX,2)</f>
        <v>0.49</v>
      </c>
      <c r="D3273" s="21" t="s">
        <v>6549</v>
      </c>
      <c r="E3273" s="21" t="s">
        <v>6550</v>
      </c>
      <c r="F3273" s="21" t="s">
        <v>13732</v>
      </c>
      <c r="G3273" s="21" t="s">
        <v>31668</v>
      </c>
    </row>
    <row r="3274" customFormat="false" ht="15" hidden="false" customHeight="false" outlineLevel="0" collapsed="false">
      <c r="B3274" s="19" t="s">
        <v>31669</v>
      </c>
      <c r="C3274" s="20" t="n">
        <f aca="false">ROUND(1.82/FX,2)</f>
        <v>0.25</v>
      </c>
      <c r="D3274" s="21" t="s">
        <v>6549</v>
      </c>
      <c r="E3274" s="21" t="s">
        <v>6336</v>
      </c>
      <c r="F3274" s="21" t="s">
        <v>13732</v>
      </c>
      <c r="G3274" s="21" t="s">
        <v>31670</v>
      </c>
    </row>
    <row r="3275" customFormat="false" ht="15" hidden="false" customHeight="false" outlineLevel="0" collapsed="false">
      <c r="B3275" s="19" t="s">
        <v>31671</v>
      </c>
      <c r="C3275" s="20" t="n">
        <f aca="false">ROUND(4.49/FX,2)</f>
        <v>0.62</v>
      </c>
      <c r="D3275" s="21" t="s">
        <v>6549</v>
      </c>
      <c r="E3275" s="21" t="s">
        <v>6336</v>
      </c>
      <c r="F3275" s="21" t="s">
        <v>13732</v>
      </c>
      <c r="G3275" s="21" t="s">
        <v>31672</v>
      </c>
    </row>
    <row r="3276" customFormat="false" ht="15" hidden="false" customHeight="false" outlineLevel="0" collapsed="false">
      <c r="B3276" s="19" t="s">
        <v>31673</v>
      </c>
      <c r="C3276" s="20" t="n">
        <f aca="false">ROUND(4.32/FX,2)</f>
        <v>0.6</v>
      </c>
      <c r="D3276" s="21" t="s">
        <v>6549</v>
      </c>
      <c r="E3276" s="21" t="s">
        <v>6336</v>
      </c>
      <c r="F3276" s="21" t="s">
        <v>13732</v>
      </c>
      <c r="G3276" s="21" t="s">
        <v>29144</v>
      </c>
    </row>
    <row r="3277" customFormat="false" ht="15" hidden="false" customHeight="false" outlineLevel="0" collapsed="false">
      <c r="B3277" s="19" t="s">
        <v>31674</v>
      </c>
      <c r="C3277" s="20" t="n">
        <f aca="false">ROUND(1.76/FX,2)</f>
        <v>0.24</v>
      </c>
      <c r="D3277" s="21" t="s">
        <v>6549</v>
      </c>
      <c r="E3277" s="21" t="s">
        <v>6336</v>
      </c>
      <c r="F3277" s="21" t="s">
        <v>13732</v>
      </c>
      <c r="G3277" s="21" t="s">
        <v>29344</v>
      </c>
    </row>
    <row r="3278" customFormat="false" ht="15" hidden="false" customHeight="false" outlineLevel="0" collapsed="false">
      <c r="B3278" s="19" t="s">
        <v>31675</v>
      </c>
      <c r="C3278" s="20" t="n">
        <f aca="false">ROUND(1.82/FX,2)</f>
        <v>0.25</v>
      </c>
      <c r="D3278" s="21" t="s">
        <v>6549</v>
      </c>
      <c r="E3278" s="21" t="s">
        <v>6336</v>
      </c>
      <c r="F3278" s="21" t="s">
        <v>13732</v>
      </c>
      <c r="G3278" s="21" t="s">
        <v>29346</v>
      </c>
    </row>
    <row r="3279" customFormat="false" ht="15" hidden="false" customHeight="false" outlineLevel="0" collapsed="false">
      <c r="B3279" s="19" t="s">
        <v>31676</v>
      </c>
      <c r="C3279" s="20" t="n">
        <f aca="false">ROUND(1.95/FX,2)</f>
        <v>0.27</v>
      </c>
      <c r="D3279" s="21" t="s">
        <v>6549</v>
      </c>
      <c r="E3279" s="21" t="s">
        <v>6336</v>
      </c>
      <c r="F3279" s="21" t="s">
        <v>13732</v>
      </c>
      <c r="G3279" s="21" t="s">
        <v>31677</v>
      </c>
    </row>
    <row r="3280" customFormat="false" ht="28.35" hidden="false" customHeight="false" outlineLevel="0" collapsed="false">
      <c r="B3280" s="19" t="s">
        <v>31678</v>
      </c>
      <c r="C3280" s="20" t="n">
        <f aca="false">ROUND(1.82/FX,2)</f>
        <v>0.25</v>
      </c>
      <c r="D3280" s="21" t="s">
        <v>6549</v>
      </c>
      <c r="E3280" s="21" t="s">
        <v>6336</v>
      </c>
      <c r="F3280" s="21" t="s">
        <v>13732</v>
      </c>
      <c r="G3280" s="21" t="s">
        <v>31679</v>
      </c>
    </row>
    <row r="3281" customFormat="false" ht="28.35" hidden="false" customHeight="false" outlineLevel="0" collapsed="false">
      <c r="B3281" s="19" t="s">
        <v>31680</v>
      </c>
      <c r="C3281" s="20" t="n">
        <f aca="false">ROUND(16.9/FX,2)</f>
        <v>2.35</v>
      </c>
      <c r="D3281" s="21" t="s">
        <v>6336</v>
      </c>
      <c r="E3281" s="21" t="s">
        <v>6336</v>
      </c>
      <c r="F3281" s="21" t="s">
        <v>13732</v>
      </c>
      <c r="G3281" s="21" t="s">
        <v>31681</v>
      </c>
    </row>
    <row r="3284" customFormat="false" ht="61.5" hidden="false" customHeight="true" outlineLevel="0" collapsed="false">
      <c r="A3284" s="9"/>
      <c r="B3284" s="10" t="s">
        <v>31682</v>
      </c>
      <c r="C3284" s="10"/>
      <c r="D3284" s="10"/>
      <c r="E3284" s="10"/>
    </row>
    <row r="3285" customFormat="false" ht="15" hidden="false" customHeight="false" outlineLevel="0" collapsed="false">
      <c r="A3285" s="12" t="s">
        <v>700</v>
      </c>
      <c r="B3285" s="13" t="s">
        <v>701</v>
      </c>
      <c r="C3285" s="13" t="s">
        <v>702</v>
      </c>
      <c r="D3285" s="13" t="s">
        <v>722</v>
      </c>
      <c r="E3285" s="13" t="s">
        <v>723</v>
      </c>
    </row>
    <row r="3286" customFormat="false" ht="30" hidden="false" customHeight="true" outlineLevel="0" collapsed="false">
      <c r="A3286" s="14" t="s">
        <v>706</v>
      </c>
      <c r="B3286" s="15" t="str">
        <f aca="false">IF(COUNTIFS($D$3289:$D$3302,IF(D3286="","*",D3286),$E$3289:$E$3302,IF(E3286="","*",E3286))=1,INDEX($B:$B,SUMPRODUCT(((D3286="")+($D$3289:$D$3302=D3286)&gt;0)*((E3286="")+($E$3289:$E$3302=E3286)&gt;0)*ROW($B$3289:$B$3302))),IF(COUNTIFS($D$3289:$D$3302,IF(D3286="","*",D3286),$E$3289:$E$3302,IF(E3286="","*",E3286))=0,"Not available",COUNTIFS($D$3289:$D$3302,IF(D3286="","*",D3286),$E$3289:$E$3302,IF(E3286="","*",E3286))&amp;" match, keep choosing"))</f>
        <v>P3-085-BL-CR8-M6LW</v>
      </c>
      <c r="C3286" s="16" t="n">
        <f aca="false">IF(COUNTIFS($D$3289:$D$3302,IF(D3286="","*",D3286),$E$3289:$E$3302,IF(E3286="","*",E3286))=1,INDEX($C:$C,SUMPRODUCT(((D3286="")+($D$3289:$D$3302=D3286)&gt;0)*((E3286="")+($E$3289:$E$3302=E3286)&gt;0)*ROW($B$3289:$B$3302))),"")</f>
        <v>0.45</v>
      </c>
      <c r="D3286" s="17" t="s">
        <v>7884</v>
      </c>
      <c r="E3286" s="17" t="s">
        <v>31683</v>
      </c>
    </row>
    <row r="3288" customFormat="false" ht="15" hidden="false" customHeight="false" outlineLevel="0" collapsed="false">
      <c r="B3288" s="18" t="s">
        <v>701</v>
      </c>
      <c r="C3288" s="18" t="s">
        <v>702</v>
      </c>
      <c r="D3288" s="18" t="s">
        <v>722</v>
      </c>
      <c r="E3288" s="18" t="s">
        <v>723</v>
      </c>
    </row>
    <row r="3289" customFormat="false" ht="15" hidden="false" customHeight="false" outlineLevel="0" collapsed="false">
      <c r="B3289" s="19" t="s">
        <v>31684</v>
      </c>
      <c r="C3289" s="20" t="n">
        <f aca="false">ROUND(3.25/FX,2)</f>
        <v>0.45</v>
      </c>
      <c r="D3289" s="21" t="s">
        <v>7884</v>
      </c>
      <c r="E3289" s="21" t="s">
        <v>31683</v>
      </c>
    </row>
    <row r="3290" customFormat="false" ht="15" hidden="false" customHeight="false" outlineLevel="0" collapsed="false">
      <c r="B3290" s="19" t="s">
        <v>31685</v>
      </c>
      <c r="C3290" s="20" t="n">
        <f aca="false">ROUND(3.25/FX,2)</f>
        <v>0.45</v>
      </c>
      <c r="D3290" s="21" t="s">
        <v>6362</v>
      </c>
      <c r="E3290" s="21" t="s">
        <v>31683</v>
      </c>
    </row>
    <row r="3291" customFormat="false" ht="15" hidden="false" customHeight="false" outlineLevel="0" collapsed="false">
      <c r="B3291" s="19" t="s">
        <v>31686</v>
      </c>
      <c r="C3291" s="20" t="n">
        <f aca="false">ROUND(4.2/FX,2)</f>
        <v>0.58</v>
      </c>
      <c r="D3291" s="21" t="s">
        <v>6362</v>
      </c>
      <c r="E3291" s="21" t="s">
        <v>29144</v>
      </c>
    </row>
    <row r="3292" customFormat="false" ht="28.35" hidden="false" customHeight="false" outlineLevel="0" collapsed="false">
      <c r="B3292" s="19" t="s">
        <v>31687</v>
      </c>
      <c r="C3292" s="20" t="n">
        <f aca="false">ROUND(4.65/FX,2)</f>
        <v>0.65</v>
      </c>
      <c r="D3292" s="21" t="s">
        <v>6362</v>
      </c>
      <c r="E3292" s="21" t="s">
        <v>31688</v>
      </c>
    </row>
    <row r="3293" customFormat="false" ht="15" hidden="false" customHeight="false" outlineLevel="0" collapsed="false">
      <c r="B3293" s="19" t="s">
        <v>31689</v>
      </c>
      <c r="C3293" s="20" t="n">
        <f aca="false">ROUND(3.25/FX,2)</f>
        <v>0.45</v>
      </c>
      <c r="D3293" s="21" t="s">
        <v>6549</v>
      </c>
      <c r="E3293" s="21" t="s">
        <v>31683</v>
      </c>
    </row>
    <row r="3294" customFormat="false" ht="41.75" hidden="false" customHeight="false" outlineLevel="0" collapsed="false">
      <c r="B3294" s="19" t="s">
        <v>31690</v>
      </c>
      <c r="C3294" s="20" t="n">
        <f aca="false">ROUND(1.82/FX,2)</f>
        <v>0.25</v>
      </c>
      <c r="D3294" s="21" t="s">
        <v>6549</v>
      </c>
      <c r="E3294" s="21" t="s">
        <v>31691</v>
      </c>
    </row>
    <row r="3295" customFormat="false" ht="28.35" hidden="false" customHeight="false" outlineLevel="0" collapsed="false">
      <c r="B3295" s="19" t="s">
        <v>31692</v>
      </c>
      <c r="C3295" s="20" t="n">
        <f aca="false">ROUND(3.25/FX,2)</f>
        <v>0.45</v>
      </c>
      <c r="D3295" s="21" t="s">
        <v>6549</v>
      </c>
      <c r="E3295" s="21" t="s">
        <v>31693</v>
      </c>
    </row>
    <row r="3296" customFormat="false" ht="28.35" hidden="false" customHeight="false" outlineLevel="0" collapsed="false">
      <c r="B3296" s="19" t="s">
        <v>31694</v>
      </c>
      <c r="C3296" s="20" t="n">
        <f aca="false">ROUND(4.65/FX,2)</f>
        <v>0.65</v>
      </c>
      <c r="D3296" s="21" t="s">
        <v>6549</v>
      </c>
      <c r="E3296" s="21" t="s">
        <v>31695</v>
      </c>
    </row>
    <row r="3297" customFormat="false" ht="28.35" hidden="false" customHeight="false" outlineLevel="0" collapsed="false">
      <c r="B3297" s="19" t="s">
        <v>31696</v>
      </c>
      <c r="C3297" s="20" t="n">
        <f aca="false">ROUND(4.65/FX,2)</f>
        <v>0.65</v>
      </c>
      <c r="D3297" s="21" t="s">
        <v>6549</v>
      </c>
      <c r="E3297" s="21" t="s">
        <v>31697</v>
      </c>
    </row>
    <row r="3298" customFormat="false" ht="28.35" hidden="false" customHeight="false" outlineLevel="0" collapsed="false">
      <c r="B3298" s="19" t="s">
        <v>31698</v>
      </c>
      <c r="C3298" s="20" t="n">
        <f aca="false">ROUND(4.65/FX,2)</f>
        <v>0.65</v>
      </c>
      <c r="D3298" s="21" t="s">
        <v>6549</v>
      </c>
      <c r="E3298" s="21" t="s">
        <v>31699</v>
      </c>
    </row>
    <row r="3299" customFormat="false" ht="28.35" hidden="false" customHeight="false" outlineLevel="0" collapsed="false">
      <c r="B3299" s="19" t="s">
        <v>31700</v>
      </c>
      <c r="C3299" s="20" t="n">
        <f aca="false">ROUND(2.99/FX,2)</f>
        <v>0.42</v>
      </c>
      <c r="D3299" s="21" t="s">
        <v>6549</v>
      </c>
      <c r="E3299" s="21" t="s">
        <v>31701</v>
      </c>
    </row>
    <row r="3300" customFormat="false" ht="41.75" hidden="false" customHeight="false" outlineLevel="0" collapsed="false">
      <c r="B3300" s="19" t="s">
        <v>31702</v>
      </c>
      <c r="C3300" s="20" t="n">
        <f aca="false">ROUND(5.2/FX,2)</f>
        <v>0.72</v>
      </c>
      <c r="D3300" s="21" t="s">
        <v>6549</v>
      </c>
      <c r="E3300" s="21" t="s">
        <v>31703</v>
      </c>
    </row>
    <row r="3301" customFormat="false" ht="41.75" hidden="false" customHeight="false" outlineLevel="0" collapsed="false">
      <c r="B3301" s="19" t="s">
        <v>31704</v>
      </c>
      <c r="C3301" s="20" t="n">
        <f aca="false">ROUND(2.99/FX,2)</f>
        <v>0.42</v>
      </c>
      <c r="D3301" s="21" t="s">
        <v>6549</v>
      </c>
      <c r="E3301" s="21" t="s">
        <v>31705</v>
      </c>
    </row>
    <row r="3302" customFormat="false" ht="28.35" hidden="false" customHeight="false" outlineLevel="0" collapsed="false">
      <c r="B3302" s="19" t="s">
        <v>31706</v>
      </c>
      <c r="C3302" s="20" t="n">
        <f aca="false">ROUND(9.7/FX,2)</f>
        <v>1.35</v>
      </c>
      <c r="D3302" s="21" t="s">
        <v>6549</v>
      </c>
      <c r="E3302" s="21" t="s">
        <v>31707</v>
      </c>
    </row>
    <row r="3305" customFormat="false" ht="61.5" hidden="false" customHeight="true" outlineLevel="0" collapsed="false">
      <c r="A3305" s="9"/>
      <c r="B3305" s="10" t="s">
        <v>31708</v>
      </c>
      <c r="C3305" s="10"/>
      <c r="D3305" s="10"/>
      <c r="E3305" s="10"/>
    </row>
    <row r="3306" customFormat="false" ht="15" hidden="false" customHeight="false" outlineLevel="0" collapsed="false">
      <c r="A3306" s="12" t="s">
        <v>700</v>
      </c>
      <c r="B3306" s="13" t="s">
        <v>701</v>
      </c>
      <c r="C3306" s="13" t="s">
        <v>702</v>
      </c>
      <c r="D3306" s="13" t="s">
        <v>723</v>
      </c>
      <c r="E3306" s="13" t="s">
        <v>21219</v>
      </c>
    </row>
    <row r="3307" customFormat="false" ht="30" hidden="false" customHeight="true" outlineLevel="0" collapsed="false">
      <c r="A3307" s="14" t="s">
        <v>706</v>
      </c>
      <c r="B3307" s="15" t="str">
        <f aca="false">IF(COUNTIFS($D$3310:$D$3361,IF(D3307="","*",D3307),$E$3310:$E$3361,IF(E3307="","*",E3307))=1,INDEX($B:$B,SUMPRODUCT(((D3307="")+($D$3310:$D$3361=D3307)&gt;0)*((E3307="")+($E$3310:$E$3361=E3307)&gt;0)*ROW($B$3310:$B$3361))),IF(COUNTIFS($D$3310:$D$3361,IF(D3307="","*",D3307),$E$3310:$E$3361,IF(E3307="","*",E3307))=0,"Not available",COUNTIFS($D$3310:$D$3361,IF(D3307="","*",D3307),$E$3310:$E$3361,IF(E3307="","*",E3307))&amp;" match, keep choosing"))</f>
        <v>P3-104-12V-JC-1.750.2</v>
      </c>
      <c r="C3307" s="16" t="n">
        <f aca="false">IF(COUNTIFS($D$3310:$D$3361,IF(D3307="","*",D3307),$E$3310:$E$3361,IF(E3307="","*",E3307))=1,INDEX($C:$C,SUMPRODUCT(((D3307="")+($D$3310:$D$3361=D3307)&gt;0)*((E3307="")+($E$3310:$E$3361=E3307)&gt;0)*ROW($B$3310:$B$3361))),"")</f>
        <v>2.35</v>
      </c>
      <c r="D3307" s="17" t="s">
        <v>31709</v>
      </c>
      <c r="E3307" s="17" t="s">
        <v>29407</v>
      </c>
    </row>
    <row r="3309" customFormat="false" ht="15" hidden="false" customHeight="false" outlineLevel="0" collapsed="false">
      <c r="B3309" s="18" t="s">
        <v>701</v>
      </c>
      <c r="C3309" s="18" t="s">
        <v>702</v>
      </c>
      <c r="D3309" s="18" t="s">
        <v>723</v>
      </c>
      <c r="E3309" s="18" t="s">
        <v>21219</v>
      </c>
    </row>
    <row r="3310" customFormat="false" ht="28.35" hidden="false" customHeight="false" outlineLevel="0" collapsed="false">
      <c r="B3310" s="19" t="s">
        <v>31710</v>
      </c>
      <c r="C3310" s="20" t="n">
        <f aca="false">ROUND(16.9/FX,2)</f>
        <v>2.35</v>
      </c>
      <c r="D3310" s="21" t="s">
        <v>31709</v>
      </c>
      <c r="E3310" s="21" t="s">
        <v>29407</v>
      </c>
    </row>
    <row r="3311" customFormat="false" ht="28.35" hidden="false" customHeight="false" outlineLevel="0" collapsed="false">
      <c r="B3311" s="19" t="s">
        <v>31711</v>
      </c>
      <c r="C3311" s="20" t="n">
        <f aca="false">ROUND(16.9/FX,2)</f>
        <v>2.35</v>
      </c>
      <c r="D3311" s="21" t="s">
        <v>31712</v>
      </c>
      <c r="E3311" s="21" t="s">
        <v>29407</v>
      </c>
    </row>
    <row r="3312" customFormat="false" ht="28.35" hidden="false" customHeight="false" outlineLevel="0" collapsed="false">
      <c r="B3312" s="19" t="s">
        <v>31713</v>
      </c>
      <c r="C3312" s="20" t="n">
        <f aca="false">ROUND(16.9/FX,2)</f>
        <v>2.35</v>
      </c>
      <c r="D3312" s="21" t="s">
        <v>31714</v>
      </c>
      <c r="E3312" s="21" t="s">
        <v>29407</v>
      </c>
    </row>
    <row r="3313" customFormat="false" ht="28.35" hidden="false" customHeight="false" outlineLevel="0" collapsed="false">
      <c r="B3313" s="19" t="s">
        <v>31715</v>
      </c>
      <c r="C3313" s="20" t="n">
        <f aca="false">ROUND(16.9/FX,2)</f>
        <v>2.35</v>
      </c>
      <c r="D3313" s="21" t="s">
        <v>31716</v>
      </c>
      <c r="E3313" s="21" t="s">
        <v>29407</v>
      </c>
    </row>
    <row r="3314" customFormat="false" ht="28.35" hidden="false" customHeight="false" outlineLevel="0" collapsed="false">
      <c r="B3314" s="19" t="s">
        <v>31717</v>
      </c>
      <c r="C3314" s="20" t="n">
        <f aca="false">ROUND(16.9/FX,2)</f>
        <v>2.35</v>
      </c>
      <c r="D3314" s="21" t="s">
        <v>31718</v>
      </c>
      <c r="E3314" s="21" t="s">
        <v>29407</v>
      </c>
    </row>
    <row r="3315" customFormat="false" ht="28.35" hidden="false" customHeight="false" outlineLevel="0" collapsed="false">
      <c r="B3315" s="19" t="s">
        <v>31719</v>
      </c>
      <c r="C3315" s="20" t="n">
        <f aca="false">ROUND(16.9/FX,2)</f>
        <v>2.35</v>
      </c>
      <c r="D3315" s="21" t="s">
        <v>31720</v>
      </c>
      <c r="E3315" s="21" t="s">
        <v>29407</v>
      </c>
    </row>
    <row r="3316" customFormat="false" ht="28.35" hidden="false" customHeight="false" outlineLevel="0" collapsed="false">
      <c r="B3316" s="19" t="s">
        <v>31721</v>
      </c>
      <c r="C3316" s="20" t="n">
        <f aca="false">ROUND(16.9/FX,2)</f>
        <v>2.35</v>
      </c>
      <c r="D3316" s="21" t="s">
        <v>31722</v>
      </c>
      <c r="E3316" s="21" t="s">
        <v>29407</v>
      </c>
    </row>
    <row r="3317" customFormat="false" ht="28.35" hidden="false" customHeight="false" outlineLevel="0" collapsed="false">
      <c r="B3317" s="19" t="s">
        <v>31723</v>
      </c>
      <c r="C3317" s="20" t="n">
        <f aca="false">ROUND(16.9/FX,2)</f>
        <v>2.35</v>
      </c>
      <c r="D3317" s="21" t="s">
        <v>31724</v>
      </c>
      <c r="E3317" s="21" t="s">
        <v>29407</v>
      </c>
    </row>
    <row r="3318" customFormat="false" ht="28.35" hidden="false" customHeight="false" outlineLevel="0" collapsed="false">
      <c r="B3318" s="19" t="s">
        <v>31725</v>
      </c>
      <c r="C3318" s="20" t="n">
        <f aca="false">ROUND(14.3/FX,2)</f>
        <v>1.99</v>
      </c>
      <c r="D3318" s="21" t="s">
        <v>31726</v>
      </c>
      <c r="E3318" s="21" t="s">
        <v>29407</v>
      </c>
    </row>
    <row r="3319" customFormat="false" ht="28.35" hidden="false" customHeight="false" outlineLevel="0" collapsed="false">
      <c r="B3319" s="19" t="s">
        <v>31727</v>
      </c>
      <c r="C3319" s="20" t="n">
        <f aca="false">ROUND(14.3/FX,2)</f>
        <v>1.99</v>
      </c>
      <c r="D3319" s="21" t="s">
        <v>31728</v>
      </c>
      <c r="E3319" s="21" t="s">
        <v>29407</v>
      </c>
    </row>
    <row r="3320" customFormat="false" ht="28.35" hidden="false" customHeight="false" outlineLevel="0" collapsed="false">
      <c r="B3320" s="19" t="s">
        <v>31729</v>
      </c>
      <c r="C3320" s="20" t="n">
        <f aca="false">ROUND(14.3/FX,2)</f>
        <v>1.99</v>
      </c>
      <c r="D3320" s="21" t="s">
        <v>31730</v>
      </c>
      <c r="E3320" s="21" t="s">
        <v>29407</v>
      </c>
    </row>
    <row r="3321" customFormat="false" ht="28.35" hidden="false" customHeight="false" outlineLevel="0" collapsed="false">
      <c r="B3321" s="19" t="s">
        <v>31731</v>
      </c>
      <c r="C3321" s="20" t="n">
        <f aca="false">ROUND(14.3/FX,2)</f>
        <v>1.99</v>
      </c>
      <c r="D3321" s="21" t="s">
        <v>31732</v>
      </c>
      <c r="E3321" s="21" t="s">
        <v>29407</v>
      </c>
    </row>
    <row r="3322" customFormat="false" ht="28.35" hidden="false" customHeight="false" outlineLevel="0" collapsed="false">
      <c r="B3322" s="19" t="s">
        <v>31733</v>
      </c>
      <c r="C3322" s="20" t="n">
        <f aca="false">ROUND(14.3/FX,2)</f>
        <v>1.99</v>
      </c>
      <c r="D3322" s="21" t="s">
        <v>31734</v>
      </c>
      <c r="E3322" s="21" t="s">
        <v>29407</v>
      </c>
    </row>
    <row r="3323" customFormat="false" ht="28.35" hidden="false" customHeight="false" outlineLevel="0" collapsed="false">
      <c r="B3323" s="19" t="s">
        <v>31735</v>
      </c>
      <c r="C3323" s="20" t="n">
        <f aca="false">ROUND(14.3/FX,2)</f>
        <v>1.99</v>
      </c>
      <c r="D3323" s="21" t="s">
        <v>31736</v>
      </c>
      <c r="E3323" s="21" t="s">
        <v>29407</v>
      </c>
    </row>
    <row r="3324" customFormat="false" ht="28.35" hidden="false" customHeight="false" outlineLevel="0" collapsed="false">
      <c r="B3324" s="19" t="s">
        <v>31737</v>
      </c>
      <c r="C3324" s="20" t="n">
        <f aca="false">ROUND(14.3/FX,2)</f>
        <v>1.99</v>
      </c>
      <c r="D3324" s="21" t="s">
        <v>31738</v>
      </c>
      <c r="E3324" s="21" t="s">
        <v>29407</v>
      </c>
    </row>
    <row r="3325" customFormat="false" ht="28.35" hidden="false" customHeight="false" outlineLevel="0" collapsed="false">
      <c r="B3325" s="19" t="s">
        <v>31739</v>
      </c>
      <c r="C3325" s="20" t="n">
        <f aca="false">ROUND(14.3/FX,2)</f>
        <v>1.99</v>
      </c>
      <c r="D3325" s="21" t="s">
        <v>31740</v>
      </c>
      <c r="E3325" s="21" t="s">
        <v>29407</v>
      </c>
    </row>
    <row r="3326" customFormat="false" ht="28.35" hidden="false" customHeight="false" outlineLevel="0" collapsed="false">
      <c r="B3326" s="19" t="s">
        <v>31741</v>
      </c>
      <c r="C3326" s="20" t="n">
        <f aca="false">ROUND(14.3/FX,2)</f>
        <v>1.99</v>
      </c>
      <c r="D3326" s="21" t="s">
        <v>31742</v>
      </c>
      <c r="E3326" s="21" t="s">
        <v>29407</v>
      </c>
    </row>
    <row r="3327" customFormat="false" ht="28.35" hidden="false" customHeight="false" outlineLevel="0" collapsed="false">
      <c r="B3327" s="19" t="s">
        <v>31743</v>
      </c>
      <c r="C3327" s="20" t="n">
        <f aca="false">ROUND(14.3/FX,2)</f>
        <v>1.99</v>
      </c>
      <c r="D3327" s="21" t="s">
        <v>31744</v>
      </c>
      <c r="E3327" s="21" t="s">
        <v>29407</v>
      </c>
    </row>
    <row r="3328" customFormat="false" ht="28.35" hidden="false" customHeight="false" outlineLevel="0" collapsed="false">
      <c r="B3328" s="19" t="s">
        <v>31745</v>
      </c>
      <c r="C3328" s="20" t="n">
        <f aca="false">ROUND(14.3/FX,2)</f>
        <v>1.99</v>
      </c>
      <c r="D3328" s="21" t="s">
        <v>31746</v>
      </c>
      <c r="E3328" s="21" t="s">
        <v>29407</v>
      </c>
    </row>
    <row r="3329" customFormat="false" ht="28.35" hidden="false" customHeight="false" outlineLevel="0" collapsed="false">
      <c r="B3329" s="19" t="s">
        <v>31747</v>
      </c>
      <c r="C3329" s="20" t="n">
        <f aca="false">ROUND(14.3/FX,2)</f>
        <v>1.99</v>
      </c>
      <c r="D3329" s="21" t="s">
        <v>31748</v>
      </c>
      <c r="E3329" s="21" t="s">
        <v>29407</v>
      </c>
    </row>
    <row r="3330" customFormat="false" ht="28.35" hidden="false" customHeight="false" outlineLevel="0" collapsed="false">
      <c r="B3330" s="19" t="s">
        <v>31749</v>
      </c>
      <c r="C3330" s="20" t="n">
        <f aca="false">ROUND(14.3/FX,2)</f>
        <v>1.99</v>
      </c>
      <c r="D3330" s="21" t="s">
        <v>31750</v>
      </c>
      <c r="E3330" s="21" t="s">
        <v>29407</v>
      </c>
    </row>
    <row r="3331" customFormat="false" ht="28.35" hidden="false" customHeight="false" outlineLevel="0" collapsed="false">
      <c r="B3331" s="19" t="s">
        <v>31751</v>
      </c>
      <c r="C3331" s="20" t="n">
        <f aca="false">ROUND(14.3/FX,2)</f>
        <v>1.99</v>
      </c>
      <c r="D3331" s="21" t="s">
        <v>31752</v>
      </c>
      <c r="E3331" s="21" t="s">
        <v>29407</v>
      </c>
    </row>
    <row r="3332" customFormat="false" ht="28.35" hidden="false" customHeight="false" outlineLevel="0" collapsed="false">
      <c r="B3332" s="19" t="s">
        <v>31753</v>
      </c>
      <c r="C3332" s="20" t="n">
        <f aca="false">ROUND(14.3/FX,2)</f>
        <v>1.99</v>
      </c>
      <c r="D3332" s="21" t="s">
        <v>31754</v>
      </c>
      <c r="E3332" s="21" t="s">
        <v>29407</v>
      </c>
    </row>
    <row r="3333" customFormat="false" ht="28.35" hidden="false" customHeight="false" outlineLevel="0" collapsed="false">
      <c r="B3333" s="19" t="s">
        <v>31755</v>
      </c>
      <c r="C3333" s="20" t="n">
        <f aca="false">ROUND(14.3/FX,2)</f>
        <v>1.99</v>
      </c>
      <c r="D3333" s="21" t="s">
        <v>31756</v>
      </c>
      <c r="E3333" s="21" t="s">
        <v>29407</v>
      </c>
    </row>
    <row r="3334" customFormat="false" ht="28.35" hidden="false" customHeight="false" outlineLevel="0" collapsed="false">
      <c r="B3334" s="19" t="s">
        <v>31757</v>
      </c>
      <c r="C3334" s="20" t="n">
        <f aca="false">ROUND(14.3/FX,2)</f>
        <v>1.99</v>
      </c>
      <c r="D3334" s="21" t="s">
        <v>31758</v>
      </c>
      <c r="E3334" s="21" t="s">
        <v>29407</v>
      </c>
    </row>
    <row r="3335" customFormat="false" ht="28.35" hidden="false" customHeight="false" outlineLevel="0" collapsed="false">
      <c r="B3335" s="19" t="s">
        <v>31759</v>
      </c>
      <c r="C3335" s="20" t="n">
        <f aca="false">ROUND(14.3/FX,2)</f>
        <v>1.99</v>
      </c>
      <c r="D3335" s="21" t="s">
        <v>31760</v>
      </c>
      <c r="E3335" s="21" t="s">
        <v>29407</v>
      </c>
    </row>
    <row r="3336" customFormat="false" ht="28.35" hidden="false" customHeight="false" outlineLevel="0" collapsed="false">
      <c r="B3336" s="19" t="s">
        <v>31761</v>
      </c>
      <c r="C3336" s="20" t="n">
        <f aca="false">ROUND(14.3/FX,2)</f>
        <v>1.99</v>
      </c>
      <c r="D3336" s="21" t="s">
        <v>31762</v>
      </c>
      <c r="E3336" s="21" t="s">
        <v>29407</v>
      </c>
    </row>
    <row r="3337" customFormat="false" ht="28.35" hidden="false" customHeight="false" outlineLevel="0" collapsed="false">
      <c r="B3337" s="19" t="s">
        <v>31763</v>
      </c>
      <c r="C3337" s="20" t="n">
        <f aca="false">ROUND(14.3/FX,2)</f>
        <v>1.99</v>
      </c>
      <c r="D3337" s="21" t="s">
        <v>31764</v>
      </c>
      <c r="E3337" s="21" t="s">
        <v>29407</v>
      </c>
    </row>
    <row r="3338" customFormat="false" ht="28.35" hidden="false" customHeight="false" outlineLevel="0" collapsed="false">
      <c r="B3338" s="19" t="s">
        <v>31765</v>
      </c>
      <c r="C3338" s="20" t="n">
        <f aca="false">ROUND(14.3/FX,2)</f>
        <v>1.99</v>
      </c>
      <c r="D3338" s="21" t="s">
        <v>31766</v>
      </c>
      <c r="E3338" s="21" t="s">
        <v>29407</v>
      </c>
    </row>
    <row r="3339" customFormat="false" ht="28.35" hidden="false" customHeight="false" outlineLevel="0" collapsed="false">
      <c r="B3339" s="19" t="s">
        <v>31767</v>
      </c>
      <c r="C3339" s="20" t="n">
        <f aca="false">ROUND(14.3/FX,2)</f>
        <v>1.99</v>
      </c>
      <c r="D3339" s="21" t="s">
        <v>31768</v>
      </c>
      <c r="E3339" s="21" t="s">
        <v>29407</v>
      </c>
    </row>
    <row r="3340" customFormat="false" ht="28.35" hidden="false" customHeight="false" outlineLevel="0" collapsed="false">
      <c r="B3340" s="19" t="s">
        <v>31769</v>
      </c>
      <c r="C3340" s="20" t="n">
        <f aca="false">ROUND(14.3/FX,2)</f>
        <v>1.99</v>
      </c>
      <c r="D3340" s="21" t="s">
        <v>31726</v>
      </c>
      <c r="E3340" s="21" t="s">
        <v>29288</v>
      </c>
    </row>
    <row r="3341" customFormat="false" ht="28.35" hidden="false" customHeight="false" outlineLevel="0" collapsed="false">
      <c r="B3341" s="19" t="s">
        <v>31770</v>
      </c>
      <c r="C3341" s="20" t="n">
        <f aca="false">ROUND(14.3/FX,2)</f>
        <v>1.99</v>
      </c>
      <c r="D3341" s="21" t="s">
        <v>31728</v>
      </c>
      <c r="E3341" s="21" t="s">
        <v>29288</v>
      </c>
    </row>
    <row r="3342" customFormat="false" ht="28.35" hidden="false" customHeight="false" outlineLevel="0" collapsed="false">
      <c r="B3342" s="19" t="s">
        <v>31771</v>
      </c>
      <c r="C3342" s="20" t="n">
        <f aca="false">ROUND(14.3/FX,2)</f>
        <v>1.99</v>
      </c>
      <c r="D3342" s="21" t="s">
        <v>31730</v>
      </c>
      <c r="E3342" s="21" t="s">
        <v>29288</v>
      </c>
    </row>
    <row r="3343" customFormat="false" ht="28.35" hidden="false" customHeight="false" outlineLevel="0" collapsed="false">
      <c r="B3343" s="19" t="s">
        <v>31772</v>
      </c>
      <c r="C3343" s="20" t="n">
        <f aca="false">ROUND(14.3/FX,2)</f>
        <v>1.99</v>
      </c>
      <c r="D3343" s="21" t="s">
        <v>31732</v>
      </c>
      <c r="E3343" s="21" t="s">
        <v>29288</v>
      </c>
    </row>
    <row r="3344" customFormat="false" ht="28.35" hidden="false" customHeight="false" outlineLevel="0" collapsed="false">
      <c r="B3344" s="19" t="s">
        <v>31773</v>
      </c>
      <c r="C3344" s="20" t="n">
        <f aca="false">ROUND(14.3/FX,2)</f>
        <v>1.99</v>
      </c>
      <c r="D3344" s="21" t="s">
        <v>31734</v>
      </c>
      <c r="E3344" s="21" t="s">
        <v>29288</v>
      </c>
    </row>
    <row r="3345" customFormat="false" ht="28.35" hidden="false" customHeight="false" outlineLevel="0" collapsed="false">
      <c r="B3345" s="19" t="s">
        <v>31774</v>
      </c>
      <c r="C3345" s="20" t="n">
        <f aca="false">ROUND(14.3/FX,2)</f>
        <v>1.99</v>
      </c>
      <c r="D3345" s="21" t="s">
        <v>31736</v>
      </c>
      <c r="E3345" s="21" t="s">
        <v>29288</v>
      </c>
    </row>
    <row r="3346" customFormat="false" ht="28.35" hidden="false" customHeight="false" outlineLevel="0" collapsed="false">
      <c r="B3346" s="19" t="s">
        <v>31775</v>
      </c>
      <c r="C3346" s="20" t="n">
        <f aca="false">ROUND(14.3/FX,2)</f>
        <v>1.99</v>
      </c>
      <c r="D3346" s="21" t="s">
        <v>31738</v>
      </c>
      <c r="E3346" s="21" t="s">
        <v>29288</v>
      </c>
    </row>
    <row r="3347" customFormat="false" ht="28.35" hidden="false" customHeight="false" outlineLevel="0" collapsed="false">
      <c r="B3347" s="19" t="s">
        <v>31776</v>
      </c>
      <c r="C3347" s="20" t="n">
        <f aca="false">ROUND(14.3/FX,2)</f>
        <v>1.99</v>
      </c>
      <c r="D3347" s="21" t="s">
        <v>31740</v>
      </c>
      <c r="E3347" s="21" t="s">
        <v>29288</v>
      </c>
    </row>
    <row r="3348" customFormat="false" ht="28.35" hidden="false" customHeight="false" outlineLevel="0" collapsed="false">
      <c r="B3348" s="19" t="s">
        <v>31777</v>
      </c>
      <c r="C3348" s="20" t="n">
        <f aca="false">ROUND(14.3/FX,2)</f>
        <v>1.99</v>
      </c>
      <c r="D3348" s="21" t="s">
        <v>31742</v>
      </c>
      <c r="E3348" s="21" t="s">
        <v>29288</v>
      </c>
    </row>
    <row r="3349" customFormat="false" ht="28.35" hidden="false" customHeight="false" outlineLevel="0" collapsed="false">
      <c r="B3349" s="19" t="s">
        <v>31778</v>
      </c>
      <c r="C3349" s="20" t="n">
        <f aca="false">ROUND(14.3/FX,2)</f>
        <v>1.99</v>
      </c>
      <c r="D3349" s="21" t="s">
        <v>31744</v>
      </c>
      <c r="E3349" s="21" t="s">
        <v>29288</v>
      </c>
    </row>
    <row r="3350" customFormat="false" ht="28.35" hidden="false" customHeight="false" outlineLevel="0" collapsed="false">
      <c r="B3350" s="19" t="s">
        <v>31779</v>
      </c>
      <c r="C3350" s="20" t="n">
        <f aca="false">ROUND(14.3/FX,2)</f>
        <v>1.99</v>
      </c>
      <c r="D3350" s="21" t="s">
        <v>31746</v>
      </c>
      <c r="E3350" s="21" t="s">
        <v>29288</v>
      </c>
    </row>
    <row r="3351" customFormat="false" ht="28.35" hidden="false" customHeight="false" outlineLevel="0" collapsed="false">
      <c r="B3351" s="19" t="s">
        <v>31780</v>
      </c>
      <c r="C3351" s="20" t="n">
        <f aca="false">ROUND(14.3/FX,2)</f>
        <v>1.99</v>
      </c>
      <c r="D3351" s="21" t="s">
        <v>31748</v>
      </c>
      <c r="E3351" s="21" t="s">
        <v>29288</v>
      </c>
    </row>
    <row r="3352" customFormat="false" ht="28.35" hidden="false" customHeight="false" outlineLevel="0" collapsed="false">
      <c r="B3352" s="19" t="s">
        <v>31781</v>
      </c>
      <c r="C3352" s="20" t="n">
        <f aca="false">ROUND(14.3/FX,2)</f>
        <v>1.99</v>
      </c>
      <c r="D3352" s="21" t="s">
        <v>31750</v>
      </c>
      <c r="E3352" s="21" t="s">
        <v>29288</v>
      </c>
    </row>
    <row r="3353" customFormat="false" ht="28.35" hidden="false" customHeight="false" outlineLevel="0" collapsed="false">
      <c r="B3353" s="19" t="s">
        <v>31782</v>
      </c>
      <c r="C3353" s="20" t="n">
        <f aca="false">ROUND(14.3/FX,2)</f>
        <v>1.99</v>
      </c>
      <c r="D3353" s="21" t="s">
        <v>31752</v>
      </c>
      <c r="E3353" s="21" t="s">
        <v>29288</v>
      </c>
    </row>
    <row r="3354" customFormat="false" ht="28.35" hidden="false" customHeight="false" outlineLevel="0" collapsed="false">
      <c r="B3354" s="19" t="s">
        <v>31783</v>
      </c>
      <c r="C3354" s="20" t="n">
        <f aca="false">ROUND(14.3/FX,2)</f>
        <v>1.99</v>
      </c>
      <c r="D3354" s="21" t="s">
        <v>31754</v>
      </c>
      <c r="E3354" s="21" t="s">
        <v>29288</v>
      </c>
    </row>
    <row r="3355" customFormat="false" ht="28.35" hidden="false" customHeight="false" outlineLevel="0" collapsed="false">
      <c r="B3355" s="19" t="s">
        <v>31784</v>
      </c>
      <c r="C3355" s="20" t="n">
        <f aca="false">ROUND(14.3/FX,2)</f>
        <v>1.99</v>
      </c>
      <c r="D3355" s="21" t="s">
        <v>31756</v>
      </c>
      <c r="E3355" s="21" t="s">
        <v>29288</v>
      </c>
    </row>
    <row r="3356" customFormat="false" ht="28.35" hidden="false" customHeight="false" outlineLevel="0" collapsed="false">
      <c r="B3356" s="19" t="s">
        <v>31785</v>
      </c>
      <c r="C3356" s="20" t="n">
        <f aca="false">ROUND(14.3/FX,2)</f>
        <v>1.99</v>
      </c>
      <c r="D3356" s="21" t="s">
        <v>31758</v>
      </c>
      <c r="E3356" s="21" t="s">
        <v>29288</v>
      </c>
    </row>
    <row r="3357" customFormat="false" ht="28.35" hidden="false" customHeight="false" outlineLevel="0" collapsed="false">
      <c r="B3357" s="19" t="s">
        <v>31786</v>
      </c>
      <c r="C3357" s="20" t="n">
        <f aca="false">ROUND(14.3/FX,2)</f>
        <v>1.99</v>
      </c>
      <c r="D3357" s="21" t="s">
        <v>31760</v>
      </c>
      <c r="E3357" s="21" t="s">
        <v>29288</v>
      </c>
    </row>
    <row r="3358" customFormat="false" ht="28.35" hidden="false" customHeight="false" outlineLevel="0" collapsed="false">
      <c r="B3358" s="19" t="s">
        <v>31787</v>
      </c>
      <c r="C3358" s="20" t="n">
        <f aca="false">ROUND(14.3/FX,2)</f>
        <v>1.99</v>
      </c>
      <c r="D3358" s="21" t="s">
        <v>31762</v>
      </c>
      <c r="E3358" s="21" t="s">
        <v>29288</v>
      </c>
    </row>
    <row r="3359" customFormat="false" ht="28.35" hidden="false" customHeight="false" outlineLevel="0" collapsed="false">
      <c r="B3359" s="19" t="s">
        <v>31788</v>
      </c>
      <c r="C3359" s="20" t="n">
        <f aca="false">ROUND(14.3/FX,2)</f>
        <v>1.99</v>
      </c>
      <c r="D3359" s="21" t="s">
        <v>31764</v>
      </c>
      <c r="E3359" s="21" t="s">
        <v>29288</v>
      </c>
    </row>
    <row r="3360" customFormat="false" ht="28.35" hidden="false" customHeight="false" outlineLevel="0" collapsed="false">
      <c r="B3360" s="19" t="s">
        <v>31789</v>
      </c>
      <c r="C3360" s="20" t="n">
        <f aca="false">ROUND(14.3/FX,2)</f>
        <v>1.99</v>
      </c>
      <c r="D3360" s="21" t="s">
        <v>31766</v>
      </c>
      <c r="E3360" s="21" t="s">
        <v>29288</v>
      </c>
    </row>
    <row r="3361" customFormat="false" ht="28.35" hidden="false" customHeight="false" outlineLevel="0" collapsed="false">
      <c r="B3361" s="19" t="s">
        <v>31790</v>
      </c>
      <c r="C3361" s="20" t="n">
        <f aca="false">ROUND(14.3/FX,2)</f>
        <v>1.99</v>
      </c>
      <c r="D3361" s="21" t="s">
        <v>31768</v>
      </c>
      <c r="E3361" s="21" t="s">
        <v>29288</v>
      </c>
    </row>
    <row r="3364" customFormat="false" ht="61.5" hidden="false" customHeight="true" outlineLevel="0" collapsed="false">
      <c r="A3364" s="9"/>
      <c r="B3364" s="10" t="s">
        <v>31791</v>
      </c>
      <c r="C3364" s="10"/>
      <c r="D3364" s="10"/>
    </row>
    <row r="3365" customFormat="false" ht="15" hidden="false" customHeight="false" outlineLevel="0" collapsed="false">
      <c r="A3365" s="12" t="s">
        <v>700</v>
      </c>
      <c r="B3365" s="13" t="s">
        <v>701</v>
      </c>
      <c r="C3365" s="13" t="s">
        <v>702</v>
      </c>
      <c r="D3365" s="13" t="s">
        <v>723</v>
      </c>
    </row>
    <row r="3366" customFormat="false" ht="30" hidden="false" customHeight="true" outlineLevel="0" collapsed="false">
      <c r="A3366" s="14" t="s">
        <v>706</v>
      </c>
      <c r="B3366" s="15" t="str">
        <f aca="false">IF(COUNTIFS($D$3369:$D$3374,IF(D3366="","*",D3366))=1,INDEX($B:$B,SUMPRODUCT(((D3366="")+($D$3369:$D$3374=D3366)&gt;0)*ROW($B$3369:$B$3374))),IF(COUNTIFS($D$3369:$D$3374,IF(D3366="","*",D3366))=0,"Not available",COUNTIFS($D$3369:$D$3374,IF(D3366="","*",D3366))&amp;" match, keep choosing"))</f>
        <v>P3-018-DDJZ23</v>
      </c>
      <c r="C3366" s="16" t="n">
        <f aca="false">IF(COUNTIFS($D$3369:$D$3374,IF(D3366="","*",D3366))=1,INDEX($C:$C,SUMPRODUCT(((D3366="")+($D$3369:$D$3374=D3366)&gt;0)*ROW($B$3369:$B$3374))),"")</f>
        <v>0.59</v>
      </c>
      <c r="D3366" s="17" t="s">
        <v>31792</v>
      </c>
    </row>
    <row r="3368" customFormat="false" ht="15" hidden="false" customHeight="false" outlineLevel="0" collapsed="false">
      <c r="B3368" s="18" t="s">
        <v>701</v>
      </c>
      <c r="C3368" s="18" t="s">
        <v>702</v>
      </c>
      <c r="D3368" s="18" t="s">
        <v>723</v>
      </c>
    </row>
    <row r="3369" customFormat="false" ht="28.35" hidden="false" customHeight="false" outlineLevel="0" collapsed="false">
      <c r="B3369" s="19" t="s">
        <v>31793</v>
      </c>
      <c r="C3369" s="20" t="n">
        <f aca="false">ROUND(4.22/FX,2)</f>
        <v>0.59</v>
      </c>
      <c r="D3369" s="21" t="s">
        <v>31792</v>
      </c>
    </row>
    <row r="3370" customFormat="false" ht="28.35" hidden="false" customHeight="false" outlineLevel="0" collapsed="false">
      <c r="B3370" s="19" t="s">
        <v>31794</v>
      </c>
      <c r="C3370" s="20" t="n">
        <f aca="false">ROUND(5.07/FX,2)</f>
        <v>0.7</v>
      </c>
      <c r="D3370" s="21" t="s">
        <v>31795</v>
      </c>
    </row>
    <row r="3371" customFormat="false" ht="28.35" hidden="false" customHeight="false" outlineLevel="0" collapsed="false">
      <c r="B3371" s="19" t="s">
        <v>31796</v>
      </c>
      <c r="C3371" s="20" t="n">
        <f aca="false">ROUND(6.76/FX,2)</f>
        <v>0.94</v>
      </c>
      <c r="D3371" s="21" t="s">
        <v>31797</v>
      </c>
    </row>
    <row r="3372" customFormat="false" ht="28.35" hidden="false" customHeight="false" outlineLevel="0" collapsed="false">
      <c r="B3372" s="19" t="s">
        <v>31798</v>
      </c>
      <c r="C3372" s="20" t="n">
        <f aca="false">ROUND(7.93/FX,2)</f>
        <v>1.1</v>
      </c>
      <c r="D3372" s="21" t="s">
        <v>31799</v>
      </c>
    </row>
    <row r="3373" customFormat="false" ht="28.35" hidden="false" customHeight="false" outlineLevel="0" collapsed="false">
      <c r="B3373" s="19" t="s">
        <v>31800</v>
      </c>
      <c r="C3373" s="20" t="n">
        <f aca="false">ROUND(6.02/FX,2)</f>
        <v>0.84</v>
      </c>
      <c r="D3373" s="21" t="s">
        <v>31801</v>
      </c>
    </row>
    <row r="3374" customFormat="false" ht="28.35" hidden="false" customHeight="false" outlineLevel="0" collapsed="false">
      <c r="B3374" s="19" t="s">
        <v>31802</v>
      </c>
      <c r="C3374" s="20" t="n">
        <f aca="false">ROUND(7.93/FX,2)</f>
        <v>1.1</v>
      </c>
      <c r="D3374" s="21" t="s">
        <v>31803</v>
      </c>
    </row>
    <row r="3377" customFormat="false" ht="61.5" hidden="false" customHeight="true" outlineLevel="0" collapsed="false">
      <c r="A3377" s="9"/>
      <c r="B3377" s="10" t="s">
        <v>31804</v>
      </c>
      <c r="C3377" s="10"/>
      <c r="D3377" s="10"/>
      <c r="E3377" s="10"/>
    </row>
    <row r="3378" customFormat="false" ht="15" hidden="false" customHeight="false" outlineLevel="0" collapsed="false">
      <c r="A3378" s="12" t="s">
        <v>700</v>
      </c>
      <c r="B3378" s="13" t="s">
        <v>701</v>
      </c>
      <c r="C3378" s="13" t="s">
        <v>702</v>
      </c>
      <c r="D3378" s="13" t="s">
        <v>722</v>
      </c>
      <c r="E3378" s="13" t="s">
        <v>723</v>
      </c>
    </row>
    <row r="3379" customFormat="false" ht="30" hidden="false" customHeight="true" outlineLevel="0" collapsed="false">
      <c r="A3379" s="14" t="s">
        <v>706</v>
      </c>
      <c r="B3379" s="15" t="str">
        <f aca="false">IF(COUNTIFS($D$3382:$D$3384,IF(D3379="","*",D3379),$E$3382:$E$3384,IF(E3379="","*",E3379))=1,INDEX($B:$B,SUMPRODUCT(((D3379="")+($D$3382:$D$3384=D3379)&gt;0)*((E3379="")+($E$3382:$E$3384=E3379)&gt;0)*ROW($B$3382:$B$3384))),IF(COUNTIFS($D$3382:$D$3384,IF(D3379="","*",D3379),$E$3382:$E$3384,IF(E3379="","*",E3379))=0,"Not available",COUNTIFS($D$3382:$D$3384,IF(D3379="","*",D3379),$E$3382:$E$3384,IF(E3379="","*",E3379))&amp;" match, keep choosing"))</f>
        <v>P3-088-BK-SJA1A1MINIYHGJCJCLTJ-DLC</v>
      </c>
      <c r="C3379" s="16" t="n">
        <f aca="false">IF(COUNTIFS($D$3382:$D$3384,IF(D3379="","*",D3379),$E$3382:$E$3384,IF(E3379="","*",E3379))=1,INDEX($C:$C,SUMPRODUCT(((D3379="")+($D$3382:$D$3384=D3379)&gt;0)*((E3379="")+($E$3382:$E$3384=E3379)&gt;0)*ROW($B$3382:$B$3384))),"")</f>
        <v>6.5</v>
      </c>
      <c r="D3379" s="17" t="s">
        <v>724</v>
      </c>
      <c r="E3379" s="17" t="s">
        <v>31805</v>
      </c>
    </row>
    <row r="3381" customFormat="false" ht="15" hidden="false" customHeight="false" outlineLevel="0" collapsed="false">
      <c r="B3381" s="18" t="s">
        <v>701</v>
      </c>
      <c r="C3381" s="18" t="s">
        <v>702</v>
      </c>
      <c r="D3381" s="18" t="s">
        <v>722</v>
      </c>
      <c r="E3381" s="18" t="s">
        <v>723</v>
      </c>
    </row>
    <row r="3382" customFormat="false" ht="55.2" hidden="false" customHeight="false" outlineLevel="0" collapsed="false">
      <c r="B3382" s="19" t="s">
        <v>31806</v>
      </c>
      <c r="C3382" s="20" t="n">
        <f aca="false">ROUND(46.8/FX,2)</f>
        <v>6.5</v>
      </c>
      <c r="D3382" s="21" t="s">
        <v>724</v>
      </c>
      <c r="E3382" s="21" t="s">
        <v>31805</v>
      </c>
    </row>
    <row r="3383" customFormat="false" ht="55.2" hidden="false" customHeight="false" outlineLevel="0" collapsed="false">
      <c r="B3383" s="19" t="s">
        <v>31807</v>
      </c>
      <c r="C3383" s="20" t="n">
        <f aca="false">ROUND(46.8/FX,2)</f>
        <v>6.5</v>
      </c>
      <c r="D3383" s="21" t="s">
        <v>6336</v>
      </c>
      <c r="E3383" s="21" t="s">
        <v>31808</v>
      </c>
    </row>
    <row r="3384" customFormat="false" ht="55.2" hidden="false" customHeight="false" outlineLevel="0" collapsed="false">
      <c r="B3384" s="19" t="s">
        <v>31809</v>
      </c>
      <c r="C3384" s="20" t="n">
        <f aca="false">ROUND(36.4/FX,2)</f>
        <v>5.06</v>
      </c>
      <c r="D3384" s="21" t="s">
        <v>6549</v>
      </c>
      <c r="E3384" s="21" t="s">
        <v>31810</v>
      </c>
    </row>
    <row r="3387" customFormat="false" ht="61.5" hidden="false" customHeight="true" outlineLevel="0" collapsed="false">
      <c r="A3387" s="9"/>
      <c r="B3387" s="10" t="s">
        <v>31811</v>
      </c>
      <c r="C3387" s="10"/>
      <c r="D3387" s="10"/>
      <c r="E3387" s="10"/>
      <c r="F3387" s="10"/>
    </row>
    <row r="3388" customFormat="false" ht="15" hidden="false" customHeight="false" outlineLevel="0" collapsed="false">
      <c r="A3388" s="12" t="s">
        <v>700</v>
      </c>
      <c r="B3388" s="13" t="s">
        <v>701</v>
      </c>
      <c r="C3388" s="13" t="s">
        <v>702</v>
      </c>
      <c r="D3388" s="13" t="s">
        <v>723</v>
      </c>
      <c r="E3388" s="13" t="s">
        <v>6328</v>
      </c>
      <c r="F3388" s="13" t="s">
        <v>6523</v>
      </c>
    </row>
    <row r="3389" customFormat="false" ht="30" hidden="false" customHeight="true" outlineLevel="0" collapsed="false">
      <c r="A3389" s="14" t="s">
        <v>706</v>
      </c>
      <c r="B3389" s="15" t="str">
        <f aca="false">IF(COUNTIFS($D$3392:$D$3393,IF(D3389="","*",D3389),$E$3392:$E$3393,IF(E3389="","*",E3389),$F$3392:$F$3393,IF(F3389="","*",F3389))=1,INDEX($B:$B,SUMPRODUCT(((D3389="")+($D$3392:$D$3393=D3389)&gt;0)*((E3389="")+($E$3392:$E$3393=E3389)&gt;0)*((F3389="")+($F$3392:$F$3393=F3389)&gt;0)*ROW($B$3392:$B$3393))),IF(COUNTIFS($D$3392:$D$3393,IF(D3389="","*",D3389),$E$3392:$E$3393,IF(E3389="","*",E3389),$F$3392:$F$3393,IF(F3389="","*",F3389))=0,"Not available",COUNTIFS($D$3392:$D$3393,IF(D3389="","*",D3389),$E$3392:$E$3393,IF(E3389="","*",E3389),$F$3392:$F$3393,IF(F3389="","*",F3389))&amp;" match, keep choosing"))</f>
        <v>P3-067-1.750.2-x1P1P-CHTSYDTPZ</v>
      </c>
      <c r="C3389" s="16" t="n">
        <f aca="false">IF(COUNTIFS($D$3392:$D$3393,IF(D3389="","*",D3389),$E$3392:$E$3393,IF(E3389="","*",E3389),$F$3392:$F$3393,IF(F3389="","*",F3389))=1,INDEX($C:$C,SUMPRODUCT(((D3389="")+($D$3392:$D$3393=D3389)&gt;0)*((E3389="")+($E$3392:$E$3393=E3389)&gt;0)*((F3389="")+($F$3392:$F$3393=F3389)&gt;0)*ROW($B$3392:$B$3393))),"")</f>
        <v>2.78</v>
      </c>
      <c r="D3389" s="17" t="s">
        <v>31812</v>
      </c>
      <c r="E3389" s="17" t="s">
        <v>31813</v>
      </c>
      <c r="F3389" s="17" t="s">
        <v>31814</v>
      </c>
    </row>
    <row r="3391" customFormat="false" ht="15" hidden="false" customHeight="false" outlineLevel="0" collapsed="false">
      <c r="B3391" s="18" t="s">
        <v>701</v>
      </c>
      <c r="C3391" s="18" t="s">
        <v>702</v>
      </c>
      <c r="D3391" s="18" t="s">
        <v>723</v>
      </c>
      <c r="E3391" s="18" t="s">
        <v>6328</v>
      </c>
      <c r="F3391" s="18" t="s">
        <v>6523</v>
      </c>
    </row>
    <row r="3392" customFormat="false" ht="28.35" hidden="false" customHeight="false" outlineLevel="0" collapsed="false">
      <c r="B3392" s="19" t="s">
        <v>31815</v>
      </c>
      <c r="C3392" s="20" t="n">
        <f aca="false">ROUND(20/FX,2)</f>
        <v>2.78</v>
      </c>
      <c r="D3392" s="21" t="s">
        <v>31812</v>
      </c>
      <c r="E3392" s="21" t="s">
        <v>31813</v>
      </c>
      <c r="F3392" s="21" t="s">
        <v>31814</v>
      </c>
    </row>
    <row r="3393" customFormat="false" ht="28.35" hidden="false" customHeight="false" outlineLevel="0" collapsed="false">
      <c r="B3393" s="19" t="s">
        <v>31816</v>
      </c>
      <c r="C3393" s="20" t="n">
        <f aca="false">ROUND(3.25/FX,2)</f>
        <v>0.45</v>
      </c>
      <c r="D3393" s="21" t="s">
        <v>15458</v>
      </c>
      <c r="E3393" s="21" t="s">
        <v>31817</v>
      </c>
      <c r="F3393" s="21" t="s">
        <v>31818</v>
      </c>
    </row>
    <row r="3396" customFormat="false" ht="61.5" hidden="false" customHeight="true" outlineLevel="0" collapsed="false">
      <c r="A3396" s="9"/>
      <c r="B3396" s="10" t="s">
        <v>31819</v>
      </c>
      <c r="C3396" s="10"/>
      <c r="D3396" s="10"/>
      <c r="E3396" s="10"/>
      <c r="F3396" s="10"/>
    </row>
    <row r="3397" customFormat="false" ht="15" hidden="false" customHeight="false" outlineLevel="0" collapsed="false">
      <c r="A3397" s="12" t="s">
        <v>700</v>
      </c>
      <c r="B3397" s="13" t="s">
        <v>701</v>
      </c>
      <c r="C3397" s="13" t="s">
        <v>702</v>
      </c>
      <c r="D3397" s="13" t="s">
        <v>722</v>
      </c>
      <c r="E3397" s="13" t="s">
        <v>723</v>
      </c>
      <c r="F3397" s="13" t="s">
        <v>6328</v>
      </c>
    </row>
    <row r="3398" customFormat="false" ht="30" hidden="false" customHeight="true" outlineLevel="0" collapsed="false">
      <c r="A3398" s="14" t="s">
        <v>706</v>
      </c>
      <c r="B3398" s="15" t="str">
        <f aca="false">IF(COUNTIFS($D$3401:$D$3404,IF(D3398="","*",D3398),$E$3401:$E$3404,IF(E3398="","*",E3398),$F$3401:$F$3404,IF(F3398="","*",F3398))=1,INDEX($B:$B,SUMPRODUCT(((D3398="")+($D$3401:$D$3404=D3398)&gt;0)*((E3398="")+($E$3401:$E$3404=E3398)&gt;0)*((F3398="")+($F$3401:$F$3404=F3398)&gt;0)*ROW($B$3401:$B$3404))),IF(COUNTIFS($D$3401:$D$3404,IF(D3398="","*",D3398),$E$3401:$E$3404,IF(E3398="","*",E3398),$F$3401:$F$3404,IF(F3398="","*",F3398))=0,"Not available",COUNTIFS($D$3401:$D$3404,IF(D3398="","*",D3398),$E$3401:$E$3404,IF(E3398="","*",E3398),$F$3401:$F$3404,IF(F3398="","*",F3398))&amp;" match, keep choosing"))</f>
        <v>P3-123-BK-DCL-XK</v>
      </c>
      <c r="C3398" s="16" t="n">
        <f aca="false">IF(COUNTIFS($D$3401:$D$3404,IF(D3398="","*",D3398),$E$3401:$E$3404,IF(E3398="","*",E3398),$F$3401:$F$3404,IF(F3398="","*",F3398))=1,INDEX($C:$C,SUMPRODUCT(((D3398="")+($D$3401:$D$3404=D3398)&gt;0)*((E3398="")+($E$3401:$E$3404=E3398)&gt;0)*((F3398="")+($F$3401:$F$3404=F3398)&gt;0)*ROW($B$3401:$B$3404))),"")</f>
        <v>1.81</v>
      </c>
      <c r="D3398" s="17" t="s">
        <v>724</v>
      </c>
      <c r="E3398" s="17" t="s">
        <v>31820</v>
      </c>
      <c r="F3398" s="17" t="s">
        <v>31821</v>
      </c>
    </row>
    <row r="3400" customFormat="false" ht="15" hidden="false" customHeight="false" outlineLevel="0" collapsed="false">
      <c r="B3400" s="18" t="s">
        <v>701</v>
      </c>
      <c r="C3400" s="18" t="s">
        <v>702</v>
      </c>
      <c r="D3400" s="18" t="s">
        <v>722</v>
      </c>
      <c r="E3400" s="18" t="s">
        <v>723</v>
      </c>
      <c r="F3400" s="18" t="s">
        <v>6328</v>
      </c>
    </row>
    <row r="3401" customFormat="false" ht="15" hidden="false" customHeight="false" outlineLevel="0" collapsed="false">
      <c r="B3401" s="19" t="s">
        <v>31822</v>
      </c>
      <c r="C3401" s="20" t="n">
        <f aca="false">ROUND(13/FX,2)</f>
        <v>1.81</v>
      </c>
      <c r="D3401" s="21" t="s">
        <v>724</v>
      </c>
      <c r="E3401" s="21" t="s">
        <v>31820</v>
      </c>
      <c r="F3401" s="21" t="s">
        <v>31821</v>
      </c>
    </row>
    <row r="3402" customFormat="false" ht="15" hidden="false" customHeight="false" outlineLevel="0" collapsed="false">
      <c r="B3402" s="19" t="s">
        <v>31823</v>
      </c>
      <c r="C3402" s="20" t="n">
        <f aca="false">ROUND(9.1/FX,2)</f>
        <v>1.26</v>
      </c>
      <c r="D3402" s="21" t="s">
        <v>724</v>
      </c>
      <c r="E3402" s="21" t="s">
        <v>31824</v>
      </c>
      <c r="F3402" s="21" t="s">
        <v>31825</v>
      </c>
    </row>
    <row r="3403" customFormat="false" ht="15" hidden="false" customHeight="false" outlineLevel="0" collapsed="false">
      <c r="B3403" s="19" t="s">
        <v>31826</v>
      </c>
      <c r="C3403" s="20" t="n">
        <f aca="false">ROUND(13/FX,2)</f>
        <v>1.81</v>
      </c>
      <c r="D3403" s="21" t="s">
        <v>6549</v>
      </c>
      <c r="E3403" s="21" t="s">
        <v>31820</v>
      </c>
      <c r="F3403" s="21" t="s">
        <v>31821</v>
      </c>
    </row>
    <row r="3404" customFormat="false" ht="15" hidden="false" customHeight="false" outlineLevel="0" collapsed="false">
      <c r="B3404" s="19" t="s">
        <v>31827</v>
      </c>
      <c r="C3404" s="20" t="n">
        <f aca="false">ROUND(9.1/FX,2)</f>
        <v>1.26</v>
      </c>
      <c r="D3404" s="21" t="s">
        <v>6549</v>
      </c>
      <c r="E3404" s="21" t="s">
        <v>31824</v>
      </c>
      <c r="F3404" s="21" t="s">
        <v>31825</v>
      </c>
    </row>
    <row r="3407" customFormat="false" ht="61.5" hidden="false" customHeight="true" outlineLevel="0" collapsed="false">
      <c r="A3407" s="9"/>
      <c r="B3407" s="10" t="s">
        <v>31828</v>
      </c>
      <c r="C3407" s="10"/>
      <c r="D3407" s="10"/>
    </row>
    <row r="3408" customFormat="false" ht="15" hidden="false" customHeight="false" outlineLevel="0" collapsed="false">
      <c r="B3408" s="18" t="s">
        <v>701</v>
      </c>
      <c r="C3408" s="18" t="s">
        <v>702</v>
      </c>
      <c r="D3408" s="18" t="s">
        <v>5610</v>
      </c>
    </row>
    <row r="3409" customFormat="false" ht="15" hidden="false" customHeight="false" outlineLevel="0" collapsed="false">
      <c r="B3409" s="19" t="s">
        <v>31829</v>
      </c>
      <c r="C3409" s="20" t="n">
        <f aca="false">ROUND(35.1/FX,2)</f>
        <v>4.88</v>
      </c>
      <c r="D3409" s="22" t="s">
        <v>5612</v>
      </c>
    </row>
    <row r="3412" customFormat="false" ht="61.5" hidden="false" customHeight="true" outlineLevel="0" collapsed="false">
      <c r="A3412" s="9"/>
      <c r="B3412" s="10" t="s">
        <v>31830</v>
      </c>
      <c r="C3412" s="10"/>
      <c r="D3412" s="10"/>
      <c r="E3412" s="10"/>
    </row>
    <row r="3413" customFormat="false" ht="15" hidden="false" customHeight="false" outlineLevel="0" collapsed="false">
      <c r="A3413" s="12" t="s">
        <v>700</v>
      </c>
      <c r="B3413" s="13" t="s">
        <v>701</v>
      </c>
      <c r="C3413" s="13" t="s">
        <v>702</v>
      </c>
      <c r="D3413" s="13" t="s">
        <v>5610</v>
      </c>
      <c r="E3413" s="13" t="s">
        <v>723</v>
      </c>
    </row>
    <row r="3414" customFormat="false" ht="30" hidden="false" customHeight="true" outlineLevel="0" collapsed="false">
      <c r="A3414" s="14" t="s">
        <v>706</v>
      </c>
      <c r="B3414" s="15" t="str">
        <f aca="false">IF(COUNTIFS($D$3417:$D$3420,IF(D3414="","*",D3414),$E$3417:$E$3420,IF(E3414="","*",E3414))=1,INDEX($B:$B,SUMPRODUCT(((D3414="")+($D$3417:$D$3420=D3414)&gt;0)*((E3414="")+($E$3417:$E$3420=E3414)&gt;0)*ROW($B$3417:$B$3420))),IF(COUNTIFS($D$3417:$D$3420,IF(D3414="","*",D3414),$E$3417:$E$3420,IF(E3414="","*",E3414))=0,"Not available",COUNTIFS($D$3417:$D$3420,IF(D3414="","*",D3414),$E$3417:$E$3420,IF(E3414="","*",E3414))&amp;" match, keep choosing"))</f>
        <v>P3-046-BR-1.75</v>
      </c>
      <c r="C3414" s="16" t="n">
        <f aca="false">IF(COUNTIFS($D$3417:$D$3420,IF(D3414="","*",D3414),$E$3417:$E$3420,IF(E3414="","*",E3414))=1,INDEX($C:$C,SUMPRODUCT(((D3414="")+($D$3417:$D$3420=D3414)&gt;0)*((E3414="")+($E$3417:$E$3420=E3414)&gt;0)*ROW($B$3417:$B$3420))),"")</f>
        <v>0.29</v>
      </c>
      <c r="D3414" s="17" t="s">
        <v>21113</v>
      </c>
      <c r="E3414" s="17" t="s">
        <v>128</v>
      </c>
    </row>
    <row r="3416" customFormat="false" ht="15" hidden="false" customHeight="false" outlineLevel="0" collapsed="false">
      <c r="B3416" s="18" t="s">
        <v>701</v>
      </c>
      <c r="C3416" s="18" t="s">
        <v>702</v>
      </c>
      <c r="D3416" s="18" t="s">
        <v>5610</v>
      </c>
      <c r="E3416" s="18" t="s">
        <v>723</v>
      </c>
    </row>
    <row r="3417" customFormat="false" ht="15" hidden="false" customHeight="false" outlineLevel="0" collapsed="false">
      <c r="B3417" s="19" t="s">
        <v>31831</v>
      </c>
      <c r="C3417" s="20" t="n">
        <f aca="false">ROUND(2.1/FX,2)</f>
        <v>0.29</v>
      </c>
      <c r="D3417" s="21" t="s">
        <v>21113</v>
      </c>
      <c r="E3417" s="21" t="s">
        <v>128</v>
      </c>
    </row>
    <row r="3418" customFormat="false" ht="15" hidden="false" customHeight="false" outlineLevel="0" collapsed="false">
      <c r="B3418" s="19" t="s">
        <v>31832</v>
      </c>
      <c r="C3418" s="20" t="n">
        <f aca="false">ROUND(2.15/FX,2)</f>
        <v>0.3</v>
      </c>
      <c r="D3418" s="21" t="s">
        <v>20884</v>
      </c>
      <c r="E3418" s="21" t="s">
        <v>128</v>
      </c>
    </row>
    <row r="3419" customFormat="false" ht="15" hidden="false" customHeight="false" outlineLevel="0" collapsed="false">
      <c r="B3419" s="19" t="s">
        <v>31833</v>
      </c>
      <c r="C3419" s="20" t="n">
        <f aca="false">ROUND(2.6/FX,2)</f>
        <v>0.36</v>
      </c>
      <c r="D3419" s="21" t="s">
        <v>21113</v>
      </c>
      <c r="E3419" s="21" t="s">
        <v>26929</v>
      </c>
    </row>
    <row r="3420" customFormat="false" ht="15" hidden="false" customHeight="false" outlineLevel="0" collapsed="false">
      <c r="B3420" s="19" t="s">
        <v>31834</v>
      </c>
      <c r="C3420" s="20" t="n">
        <f aca="false">ROUND(3.45/FX,2)</f>
        <v>0.48</v>
      </c>
      <c r="D3420" s="21" t="s">
        <v>20884</v>
      </c>
      <c r="E3420" s="21" t="s">
        <v>26929</v>
      </c>
    </row>
    <row r="3423" customFormat="false" ht="61.5" hidden="false" customHeight="true" outlineLevel="0" collapsed="false">
      <c r="A3423" s="9"/>
      <c r="B3423" s="10" t="s">
        <v>31835</v>
      </c>
      <c r="C3423" s="10"/>
      <c r="D3423" s="10"/>
      <c r="E3423" s="10"/>
    </row>
    <row r="3424" customFormat="false" ht="15" hidden="false" customHeight="false" outlineLevel="0" collapsed="false">
      <c r="A3424" s="12" t="s">
        <v>700</v>
      </c>
      <c r="B3424" s="13" t="s">
        <v>701</v>
      </c>
      <c r="C3424" s="13" t="s">
        <v>702</v>
      </c>
      <c r="D3424" s="13" t="s">
        <v>722</v>
      </c>
      <c r="E3424" s="13" t="s">
        <v>723</v>
      </c>
    </row>
    <row r="3425" customFormat="false" ht="30" hidden="false" customHeight="true" outlineLevel="0" collapsed="false">
      <c r="A3425" s="14" t="s">
        <v>706</v>
      </c>
      <c r="B3425" s="15" t="str">
        <f aca="false">IF(COUNTIFS($D$3428:$D$3435,IF(D3425="","*",D3425),$E$3428:$E$3435,IF(E3425="","*",E3425))=1,INDEX($B:$B,SUMPRODUCT(((D3425="")+($D$3428:$D$3435=D3425)&gt;0)*((E3425="")+($E$3428:$E$3435=E3425)&gt;0)*ROW($B$3428:$B$3435))),IF(COUNTIFS($D$3428:$D$3435,IF(D3425="","*",D3425),$E$3428:$E$3435,IF(E3425="","*",E3425))=0,"Not available",COUNTIFS($D$3428:$D$3435,IF(D3425="","*",D3425),$E$3428:$E$3435,IF(E3425="","*",E3425))&amp;" match, keep choosing"))</f>
        <v>P3-041-BK-V5</v>
      </c>
      <c r="C3425" s="16" t="n">
        <f aca="false">IF(COUNTIFS($D$3428:$D$3435,IF(D3425="","*",D3425),$E$3428:$E$3435,IF(E3425="","*",E3425))=1,INDEX($C:$C,SUMPRODUCT(((D3425="")+($D$3428:$D$3435=D3425)&gt;0)*((E3425="")+($E$3428:$E$3435=E3425)&gt;0)*ROW($B$3428:$B$3435))),"")</f>
        <v>0.14</v>
      </c>
      <c r="D3425" s="17" t="s">
        <v>724</v>
      </c>
      <c r="E3425" s="17" t="s">
        <v>29344</v>
      </c>
    </row>
    <row r="3427" customFormat="false" ht="15" hidden="false" customHeight="false" outlineLevel="0" collapsed="false">
      <c r="B3427" s="18" t="s">
        <v>701</v>
      </c>
      <c r="C3427" s="18" t="s">
        <v>702</v>
      </c>
      <c r="D3427" s="18" t="s">
        <v>722</v>
      </c>
      <c r="E3427" s="18" t="s">
        <v>723</v>
      </c>
    </row>
    <row r="3428" customFormat="false" ht="15" hidden="false" customHeight="false" outlineLevel="0" collapsed="false">
      <c r="B3428" s="19" t="s">
        <v>31836</v>
      </c>
      <c r="C3428" s="20" t="n">
        <f aca="false">ROUND(1/FX,2)</f>
        <v>0.14</v>
      </c>
      <c r="D3428" s="21" t="s">
        <v>724</v>
      </c>
      <c r="E3428" s="21" t="s">
        <v>29344</v>
      </c>
    </row>
    <row r="3429" customFormat="false" ht="15" hidden="false" customHeight="false" outlineLevel="0" collapsed="false">
      <c r="B3429" s="19" t="s">
        <v>31837</v>
      </c>
      <c r="C3429" s="20" t="n">
        <f aca="false">ROUND(1/FX,2)</f>
        <v>0.14</v>
      </c>
      <c r="D3429" s="21" t="s">
        <v>724</v>
      </c>
      <c r="E3429" s="21" t="s">
        <v>29346</v>
      </c>
    </row>
    <row r="3430" customFormat="false" ht="15" hidden="false" customHeight="false" outlineLevel="0" collapsed="false">
      <c r="B3430" s="19" t="s">
        <v>31838</v>
      </c>
      <c r="C3430" s="20" t="n">
        <f aca="false">ROUND(1.13/FX,2)</f>
        <v>0.16</v>
      </c>
      <c r="D3430" s="21" t="s">
        <v>7884</v>
      </c>
      <c r="E3430" s="21" t="s">
        <v>29344</v>
      </c>
    </row>
    <row r="3431" customFormat="false" ht="15" hidden="false" customHeight="false" outlineLevel="0" collapsed="false">
      <c r="B3431" s="19" t="s">
        <v>31839</v>
      </c>
      <c r="C3431" s="20" t="n">
        <f aca="false">ROUND(1/FX,2)</f>
        <v>0.14</v>
      </c>
      <c r="D3431" s="21" t="s">
        <v>7884</v>
      </c>
      <c r="E3431" s="21" t="s">
        <v>29346</v>
      </c>
    </row>
    <row r="3432" customFormat="false" ht="15" hidden="false" customHeight="false" outlineLevel="0" collapsed="false">
      <c r="B3432" s="19" t="s">
        <v>31840</v>
      </c>
      <c r="C3432" s="20" t="n">
        <f aca="false">ROUND(1.13/FX,2)</f>
        <v>0.16</v>
      </c>
      <c r="D3432" s="21" t="s">
        <v>6362</v>
      </c>
      <c r="E3432" s="21" t="s">
        <v>29344</v>
      </c>
    </row>
    <row r="3433" customFormat="false" ht="15" hidden="false" customHeight="false" outlineLevel="0" collapsed="false">
      <c r="B3433" s="19" t="s">
        <v>31841</v>
      </c>
      <c r="C3433" s="20" t="n">
        <f aca="false">ROUND(1/FX,2)</f>
        <v>0.14</v>
      </c>
      <c r="D3433" s="21" t="s">
        <v>6362</v>
      </c>
      <c r="E3433" s="21" t="s">
        <v>29346</v>
      </c>
    </row>
    <row r="3434" customFormat="false" ht="15" hidden="false" customHeight="false" outlineLevel="0" collapsed="false">
      <c r="B3434" s="19" t="s">
        <v>31842</v>
      </c>
      <c r="C3434" s="20" t="n">
        <f aca="false">ROUND(1.13/FX,2)</f>
        <v>0.16</v>
      </c>
      <c r="D3434" s="21" t="s">
        <v>18157</v>
      </c>
      <c r="E3434" s="21" t="s">
        <v>29344</v>
      </c>
    </row>
    <row r="3435" customFormat="false" ht="15" hidden="false" customHeight="false" outlineLevel="0" collapsed="false">
      <c r="B3435" s="19" t="s">
        <v>31843</v>
      </c>
      <c r="C3435" s="20" t="n">
        <f aca="false">ROUND(1/FX,2)</f>
        <v>0.14</v>
      </c>
      <c r="D3435" s="21" t="s">
        <v>18157</v>
      </c>
      <c r="E3435" s="21" t="s">
        <v>29346</v>
      </c>
    </row>
    <row r="3438" customFormat="false" ht="61.5" hidden="false" customHeight="true" outlineLevel="0" collapsed="false">
      <c r="A3438" s="9"/>
      <c r="B3438" s="10" t="s">
        <v>31844</v>
      </c>
      <c r="C3438" s="10"/>
      <c r="D3438" s="10"/>
      <c r="E3438" s="10"/>
    </row>
    <row r="3439" customFormat="false" ht="15" hidden="false" customHeight="false" outlineLevel="0" collapsed="false">
      <c r="A3439" s="12" t="s">
        <v>700</v>
      </c>
      <c r="B3439" s="13" t="s">
        <v>701</v>
      </c>
      <c r="C3439" s="13" t="s">
        <v>702</v>
      </c>
      <c r="D3439" s="13" t="s">
        <v>723</v>
      </c>
      <c r="E3439" s="13" t="s">
        <v>13701</v>
      </c>
    </row>
    <row r="3440" customFormat="false" ht="30" hidden="false" customHeight="true" outlineLevel="0" collapsed="false">
      <c r="A3440" s="14" t="s">
        <v>706</v>
      </c>
      <c r="B3440" s="15" t="str">
        <f aca="false">IF(COUNTIFS($D$3443:$D$3448,IF(D3440="","*",D3440),$E$3443:$E$3448,IF(E3440="","*",E3440))=1,INDEX($B:$B,SUMPRODUCT(((D3440="")+($D$3443:$D$3448=D3440)&gt;0)*((E3440="")+($E$3443:$E$3448=E3440)&gt;0)*ROW($B$3443:$B$3448))),IF(COUNTIFS($D$3443:$D$3448,IF(D3440="","*",D3440),$E$3443:$E$3448,IF(E3440="","*",E3440))=0,"Not available",COUNTIFS($D$3443:$D$3448,IF(D3440="","*",D3440),$E$3443:$E$3448,IF(E3440="","*",E3440))&amp;" match, keep choosing"))</f>
        <v>P3-079-M5x10-H</v>
      </c>
      <c r="C3440" s="16" t="n">
        <f aca="false">IF(COUNTIFS($D$3443:$D$3448,IF(D3440="","*",D3440),$E$3443:$E$3448,IF(E3440="","*",E3440))=1,INDEX($C:$C,SUMPRODUCT(((D3440="")+($D$3443:$D$3448=D3440)&gt;0)*((E3440="")+($E$3443:$E$3448=E3440)&gt;0)*ROW($B$3443:$B$3448))),"")</f>
        <v>0.33</v>
      </c>
      <c r="D3440" s="17" t="s">
        <v>724</v>
      </c>
      <c r="E3440" s="17" t="s">
        <v>23566</v>
      </c>
    </row>
    <row r="3442" customFormat="false" ht="15" hidden="false" customHeight="false" outlineLevel="0" collapsed="false">
      <c r="B3442" s="18" t="s">
        <v>701</v>
      </c>
      <c r="C3442" s="18" t="s">
        <v>702</v>
      </c>
      <c r="D3442" s="18" t="s">
        <v>723</v>
      </c>
      <c r="E3442" s="18" t="s">
        <v>13701</v>
      </c>
    </row>
    <row r="3443" customFormat="false" ht="15" hidden="false" customHeight="false" outlineLevel="0" collapsed="false">
      <c r="B3443" s="19" t="s">
        <v>31845</v>
      </c>
      <c r="C3443" s="20" t="n">
        <f aca="false">ROUND(2.41/FX,2)</f>
        <v>0.33</v>
      </c>
      <c r="D3443" s="21" t="s">
        <v>724</v>
      </c>
      <c r="E3443" s="21" t="s">
        <v>23566</v>
      </c>
    </row>
    <row r="3444" customFormat="false" ht="15" hidden="false" customHeight="false" outlineLevel="0" collapsed="false">
      <c r="B3444" s="19" t="s">
        <v>31846</v>
      </c>
      <c r="C3444" s="20" t="n">
        <f aca="false">ROUND(2.41/FX,2)</f>
        <v>0.33</v>
      </c>
      <c r="D3444" s="21" t="s">
        <v>31847</v>
      </c>
      <c r="E3444" s="21" t="s">
        <v>23566</v>
      </c>
    </row>
    <row r="3445" customFormat="false" ht="15" hidden="false" customHeight="false" outlineLevel="0" collapsed="false">
      <c r="B3445" s="19" t="s">
        <v>31848</v>
      </c>
      <c r="C3445" s="20" t="n">
        <f aca="false">ROUND(2.67/FX,2)</f>
        <v>0.37</v>
      </c>
      <c r="D3445" s="21" t="s">
        <v>724</v>
      </c>
      <c r="E3445" s="21" t="s">
        <v>23549</v>
      </c>
    </row>
    <row r="3446" customFormat="false" ht="15" hidden="false" customHeight="false" outlineLevel="0" collapsed="false">
      <c r="B3446" s="19" t="s">
        <v>31849</v>
      </c>
      <c r="C3446" s="20" t="n">
        <f aca="false">ROUND(2.67/FX,2)</f>
        <v>0.37</v>
      </c>
      <c r="D3446" s="21" t="s">
        <v>31847</v>
      </c>
      <c r="E3446" s="21" t="s">
        <v>23549</v>
      </c>
    </row>
    <row r="3447" customFormat="false" ht="15" hidden="false" customHeight="false" outlineLevel="0" collapsed="false">
      <c r="B3447" s="19" t="s">
        <v>31850</v>
      </c>
      <c r="C3447" s="20" t="n">
        <f aca="false">ROUND(2.15/FX,2)</f>
        <v>0.3</v>
      </c>
      <c r="D3447" s="21" t="s">
        <v>724</v>
      </c>
      <c r="E3447" s="21" t="s">
        <v>28329</v>
      </c>
    </row>
    <row r="3448" customFormat="false" ht="15" hidden="false" customHeight="false" outlineLevel="0" collapsed="false">
      <c r="B3448" s="19" t="s">
        <v>31851</v>
      </c>
      <c r="C3448" s="20" t="n">
        <f aca="false">ROUND(2.15/FX,2)</f>
        <v>0.3</v>
      </c>
      <c r="D3448" s="21" t="s">
        <v>31847</v>
      </c>
      <c r="E3448" s="21" t="s">
        <v>28329</v>
      </c>
    </row>
    <row r="3451" customFormat="false" ht="61.5" hidden="false" customHeight="true" outlineLevel="0" collapsed="false">
      <c r="A3451" s="9"/>
      <c r="B3451" s="10" t="s">
        <v>31852</v>
      </c>
      <c r="C3451" s="10"/>
      <c r="D3451" s="10"/>
      <c r="E3451" s="10"/>
    </row>
    <row r="3452" customFormat="false" ht="15" hidden="false" customHeight="false" outlineLevel="0" collapsed="false">
      <c r="A3452" s="12" t="s">
        <v>700</v>
      </c>
      <c r="B3452" s="13" t="s">
        <v>701</v>
      </c>
      <c r="C3452" s="13" t="s">
        <v>702</v>
      </c>
      <c r="D3452" s="13" t="s">
        <v>722</v>
      </c>
      <c r="E3452" s="13" t="s">
        <v>723</v>
      </c>
    </row>
    <row r="3453" customFormat="false" ht="30" hidden="false" customHeight="true" outlineLevel="0" collapsed="false">
      <c r="A3453" s="14" t="s">
        <v>706</v>
      </c>
      <c r="B3453" s="15" t="str">
        <f aca="false">IF(COUNTIFS($D$3456:$D$3466,IF(D3453="","*",D3453),$E$3456:$E$3466,IF(E3453="","*",E3453))=1,INDEX($B:$B,SUMPRODUCT(((D3453="")+($D$3456:$D$3466=D3453)&gt;0)*((E3453="")+($E$3456:$E$3466=E3453)&gt;0)*ROW($B$3456:$B$3466))),IF(COUNTIFS($D$3456:$D$3466,IF(D3453="","*",D3453),$E$3456:$E$3466,IF(E3453="","*",E3453))=0,"Not available",COUNTIFS($D$3456:$D$3466,IF(D3453="","*",D3453),$E$3456:$E$3466,IF(E3453="","*",E3453))&amp;" match, keep choosing"))</f>
        <v>P3-055-AX-JS</v>
      </c>
      <c r="C3453" s="16" t="n">
        <f aca="false">IF(COUNTIFS($D$3456:$D$3466,IF(D3453="","*",D3453),$E$3456:$E$3466,IF(E3453="","*",E3453))=1,INDEX($C:$C,SUMPRODUCT(((D3453="")+($D$3456:$D$3466=D3453)&gt;0)*((E3453="")+($E$3456:$E$3466=E3453)&gt;0)*ROW($B$3456:$B$3466))),"")</f>
        <v>0.33</v>
      </c>
      <c r="D3453" s="17" t="s">
        <v>6336</v>
      </c>
      <c r="E3453" s="17" t="s">
        <v>31853</v>
      </c>
    </row>
    <row r="3455" customFormat="false" ht="15" hidden="false" customHeight="false" outlineLevel="0" collapsed="false">
      <c r="B3455" s="18" t="s">
        <v>701</v>
      </c>
      <c r="C3455" s="18" t="s">
        <v>702</v>
      </c>
      <c r="D3455" s="18" t="s">
        <v>722</v>
      </c>
      <c r="E3455" s="18" t="s">
        <v>723</v>
      </c>
    </row>
    <row r="3456" customFormat="false" ht="15" hidden="false" customHeight="false" outlineLevel="0" collapsed="false">
      <c r="B3456" s="19" t="s">
        <v>31854</v>
      </c>
      <c r="C3456" s="20" t="n">
        <f aca="false">ROUND(2.34/FX,2)</f>
        <v>0.33</v>
      </c>
      <c r="D3456" s="21" t="s">
        <v>6336</v>
      </c>
      <c r="E3456" s="21" t="s">
        <v>31853</v>
      </c>
    </row>
    <row r="3457" customFormat="false" ht="15" hidden="false" customHeight="false" outlineLevel="0" collapsed="false">
      <c r="B3457" s="19" t="s">
        <v>31855</v>
      </c>
      <c r="C3457" s="20" t="n">
        <f aca="false">ROUND(1.82/FX,2)</f>
        <v>0.25</v>
      </c>
      <c r="D3457" s="21" t="s">
        <v>724</v>
      </c>
      <c r="E3457" s="21" t="s">
        <v>31856</v>
      </c>
    </row>
    <row r="3458" customFormat="false" ht="15" hidden="false" customHeight="false" outlineLevel="0" collapsed="false">
      <c r="B3458" s="19" t="s">
        <v>31857</v>
      </c>
      <c r="C3458" s="20" t="n">
        <f aca="false">ROUND(3/FX,2)</f>
        <v>0.42</v>
      </c>
      <c r="D3458" s="21" t="s">
        <v>724</v>
      </c>
      <c r="E3458" s="21" t="s">
        <v>31858</v>
      </c>
    </row>
    <row r="3459" customFormat="false" ht="15" hidden="false" customHeight="false" outlineLevel="0" collapsed="false">
      <c r="B3459" s="19" t="s">
        <v>31859</v>
      </c>
      <c r="C3459" s="20" t="n">
        <f aca="false">ROUND(3.5/FX,2)</f>
        <v>0.49</v>
      </c>
      <c r="D3459" s="21" t="s">
        <v>724</v>
      </c>
      <c r="E3459" s="21" t="s">
        <v>31860</v>
      </c>
    </row>
    <row r="3460" customFormat="false" ht="15" hidden="false" customHeight="false" outlineLevel="0" collapsed="false">
      <c r="B3460" s="19" t="s">
        <v>31861</v>
      </c>
      <c r="C3460" s="20" t="n">
        <f aca="false">ROUND(2.34/FX,2)</f>
        <v>0.33</v>
      </c>
      <c r="D3460" s="21" t="s">
        <v>724</v>
      </c>
      <c r="E3460" s="21" t="s">
        <v>31862</v>
      </c>
    </row>
    <row r="3461" customFormat="false" ht="15" hidden="false" customHeight="false" outlineLevel="0" collapsed="false">
      <c r="B3461" s="19" t="s">
        <v>31863</v>
      </c>
      <c r="C3461" s="20" t="n">
        <f aca="false">ROUND(1.43/FX,2)</f>
        <v>0.2</v>
      </c>
      <c r="D3461" s="21" t="s">
        <v>724</v>
      </c>
      <c r="E3461" s="21" t="s">
        <v>31864</v>
      </c>
    </row>
    <row r="3462" customFormat="false" ht="15" hidden="false" customHeight="false" outlineLevel="0" collapsed="false">
      <c r="B3462" s="19" t="s">
        <v>31865</v>
      </c>
      <c r="C3462" s="20" t="n">
        <f aca="false">ROUND(3/FX,2)</f>
        <v>0.42</v>
      </c>
      <c r="D3462" s="21" t="s">
        <v>6336</v>
      </c>
      <c r="E3462" s="21" t="s">
        <v>31866</v>
      </c>
    </row>
    <row r="3463" customFormat="false" ht="15" hidden="false" customHeight="false" outlineLevel="0" collapsed="false">
      <c r="B3463" s="19" t="s">
        <v>31867</v>
      </c>
      <c r="C3463" s="20" t="n">
        <f aca="false">ROUND(2.73/FX,2)</f>
        <v>0.38</v>
      </c>
      <c r="D3463" s="21" t="s">
        <v>6336</v>
      </c>
      <c r="E3463" s="21" t="s">
        <v>31868</v>
      </c>
    </row>
    <row r="3464" customFormat="false" ht="15" hidden="false" customHeight="false" outlineLevel="0" collapsed="false">
      <c r="B3464" s="19" t="s">
        <v>31869</v>
      </c>
      <c r="C3464" s="20" t="n">
        <f aca="false">ROUND(2.34/FX,2)</f>
        <v>0.33</v>
      </c>
      <c r="D3464" s="21" t="s">
        <v>6336</v>
      </c>
      <c r="E3464" s="21" t="s">
        <v>31870</v>
      </c>
    </row>
    <row r="3465" customFormat="false" ht="15" hidden="false" customHeight="false" outlineLevel="0" collapsed="false">
      <c r="B3465" s="19" t="s">
        <v>31871</v>
      </c>
      <c r="C3465" s="20" t="n">
        <f aca="false">ROUND(1.69/FX,2)</f>
        <v>0.23</v>
      </c>
      <c r="D3465" s="21" t="s">
        <v>6336</v>
      </c>
      <c r="E3465" s="21" t="s">
        <v>31872</v>
      </c>
    </row>
    <row r="3466" customFormat="false" ht="28.35" hidden="false" customHeight="false" outlineLevel="0" collapsed="false">
      <c r="B3466" s="19" t="s">
        <v>31873</v>
      </c>
      <c r="C3466" s="20" t="n">
        <f aca="false">ROUND(1.17/FX,2)</f>
        <v>0.16</v>
      </c>
      <c r="D3466" s="21" t="s">
        <v>6336</v>
      </c>
      <c r="E3466" s="21" t="s">
        <v>31874</v>
      </c>
    </row>
    <row r="3469" customFormat="false" ht="61.5" hidden="false" customHeight="true" outlineLevel="0" collapsed="false">
      <c r="A3469" s="9"/>
      <c r="B3469" s="10" t="s">
        <v>31875</v>
      </c>
      <c r="C3469" s="10"/>
      <c r="D3469" s="10"/>
    </row>
    <row r="3470" customFormat="false" ht="15" hidden="false" customHeight="false" outlineLevel="0" collapsed="false">
      <c r="A3470" s="12" t="s">
        <v>700</v>
      </c>
      <c r="B3470" s="13" t="s">
        <v>701</v>
      </c>
      <c r="C3470" s="13" t="s">
        <v>702</v>
      </c>
      <c r="D3470" s="13" t="s">
        <v>723</v>
      </c>
    </row>
    <row r="3471" customFormat="false" ht="30" hidden="false" customHeight="true" outlineLevel="0" collapsed="false">
      <c r="A3471" s="14" t="s">
        <v>706</v>
      </c>
      <c r="B3471" s="15" t="str">
        <f aca="false">IF(COUNTIFS($D$3474:$D$3475,IF(D3471="","*",D3471))=1,INDEX($B:$B,SUMPRODUCT(((D3471="")+($D$3474:$D$3475=D3471)&gt;0)*ROW($B$3474:$B$3475))),IF(COUNTIFS($D$3474:$D$3475,IF(D3471="","*",D3471))=0,"Not available",COUNTIFS($D$3474:$D$3475,IF(D3471="","*",D3471))&amp;" match, keep choosing"))</f>
        <v>P3-069-V5</v>
      </c>
      <c r="C3471" s="16" t="n">
        <f aca="false">IF(COUNTIFS($D$3474:$D$3475,IF(D3471="","*",D3471))=1,INDEX($C:$C,SUMPRODUCT(((D3471="")+($D$3474:$D$3475=D3471)&gt;0)*ROW($B$3474:$B$3475))),"")</f>
        <v>1.44</v>
      </c>
      <c r="D3471" s="17" t="s">
        <v>29344</v>
      </c>
    </row>
    <row r="3473" customFormat="false" ht="15" hidden="false" customHeight="false" outlineLevel="0" collapsed="false">
      <c r="B3473" s="18" t="s">
        <v>701</v>
      </c>
      <c r="C3473" s="18" t="s">
        <v>702</v>
      </c>
      <c r="D3473" s="18" t="s">
        <v>723</v>
      </c>
    </row>
    <row r="3474" customFormat="false" ht="15" hidden="false" customHeight="false" outlineLevel="0" collapsed="false">
      <c r="B3474" s="19" t="s">
        <v>31876</v>
      </c>
      <c r="C3474" s="20" t="n">
        <f aca="false">ROUND(10.4/FX,2)</f>
        <v>1.44</v>
      </c>
      <c r="D3474" s="21" t="s">
        <v>29344</v>
      </c>
    </row>
    <row r="3475" customFormat="false" ht="15" hidden="false" customHeight="false" outlineLevel="0" collapsed="false">
      <c r="B3475" s="19" t="s">
        <v>31877</v>
      </c>
      <c r="C3475" s="20" t="n">
        <f aca="false">ROUND(10.4/FX,2)</f>
        <v>1.44</v>
      </c>
      <c r="D3475" s="21" t="s">
        <v>29346</v>
      </c>
    </row>
    <row r="3478" customFormat="false" ht="61.5" hidden="false" customHeight="true" outlineLevel="0" collapsed="false">
      <c r="A3478" s="9"/>
      <c r="B3478" s="10" t="s">
        <v>31878</v>
      </c>
      <c r="C3478" s="10"/>
      <c r="D3478" s="10"/>
      <c r="E3478" s="10"/>
      <c r="F3478" s="10"/>
      <c r="G3478" s="10"/>
      <c r="H3478" s="10"/>
    </row>
    <row r="3479" customFormat="false" ht="15" hidden="false" customHeight="false" outlineLevel="0" collapsed="false">
      <c r="A3479" s="12" t="s">
        <v>700</v>
      </c>
      <c r="B3479" s="13" t="s">
        <v>701</v>
      </c>
      <c r="C3479" s="13" t="s">
        <v>702</v>
      </c>
      <c r="D3479" s="13" t="s">
        <v>6159</v>
      </c>
      <c r="E3479" s="13" t="s">
        <v>705</v>
      </c>
      <c r="F3479" s="13" t="s">
        <v>723</v>
      </c>
      <c r="G3479" s="13" t="s">
        <v>21219</v>
      </c>
      <c r="H3479" s="13" t="s">
        <v>15381</v>
      </c>
    </row>
    <row r="3480" customFormat="false" ht="30" hidden="false" customHeight="true" outlineLevel="0" collapsed="false">
      <c r="A3480" s="14" t="s">
        <v>706</v>
      </c>
      <c r="B3480" s="15" t="str">
        <f aca="false">IF(COUNTIFS($D$3483:$D$3597,IF(D3480="","*",D3480),$E$3483:$E$3597,IF(E3480="","*",E3480),$F$3483:$F$3597,IF(F3480="","*",F3480),$G$3483:$G$3597,IF(G3480="","*",G3480),$H$3483:$H$3597,IF(H3480="","*",H3480))=1,INDEX($B:$B,SUMPRODUCT(((D3480="")+($D$3483:$D$3597=D3480)&gt;0)*((E3480="")+($E$3483:$E$3597=E3480)&gt;0)*((F3480="")+($F$3483:$F$3597=F3480)&gt;0)*((G3480="")+($G$3483:$G$3597=G3480)&gt;0)*((H3480="")+($H$3483:$H$3597=H3480)&gt;0)*ROW($B$3483:$B$3597))),IF(COUNTIFS($D$3483:$D$3597,IF(D3480="","*",D3480),$E$3483:$E$3597,IF(E3480="","*",E3480),$F$3483:$F$3597,IF(F3480="","*",F3480),$G$3483:$G$3597,IF(G3480="","*",G3480),$H$3483:$H$3597,IF(H3480="","*",H3480))=0,"Not available",COUNTIFS($D$3483:$D$3597,IF(D3480="","*",D3480),$E$3483:$E$3597,IF(E3480="","*",E3480),$F$3483:$F$3597,IF(F3480="","*",F3480),$G$3483:$G$3597,IF(G3480="","*",G3480),$H$3483:$H$3597,IF(H3480="","*",H3480))&amp;" match, keep choosing"))</f>
        <v>FAN-12025-SL-12V</v>
      </c>
      <c r="C3480" s="16" t="n">
        <f aca="false">IF(COUNTIFS($D$3483:$D$3597,IF(D3480="","*",D3480),$E$3483:$E$3597,IF(E3480="","*",E3480),$F$3483:$F$3597,IF(F3480="","*",F3480),$G$3483:$G$3597,IF(G3480="","*",G3480),$H$3483:$H$3597,IF(H3480="","*",H3480))=1,INDEX($C:$C,SUMPRODUCT(((D3480="")+($D$3483:$D$3597=D3480)&gt;0)*((E3480="")+($E$3483:$E$3597=E3480)&gt;0)*((F3480="")+($F$3483:$F$3597=F3480)&gt;0)*((G3480="")+($G$3483:$G$3597=G3480)&gt;0)*((H3480="")+($H$3483:$H$3597=H3480)&gt;0)*ROW($B$3483:$B$3597))),"")</f>
        <v>0.63</v>
      </c>
      <c r="D3480" s="17" t="s">
        <v>31879</v>
      </c>
      <c r="E3480" s="17" t="s">
        <v>13732</v>
      </c>
      <c r="F3480" s="17" t="s">
        <v>734</v>
      </c>
      <c r="G3480" s="17" t="s">
        <v>29407</v>
      </c>
      <c r="H3480" s="17" t="s">
        <v>31880</v>
      </c>
    </row>
    <row r="3482" customFormat="false" ht="15" hidden="false" customHeight="false" outlineLevel="0" collapsed="false">
      <c r="B3482" s="18" t="s">
        <v>701</v>
      </c>
      <c r="C3482" s="18" t="s">
        <v>702</v>
      </c>
      <c r="D3482" s="18" t="s">
        <v>6159</v>
      </c>
      <c r="E3482" s="18" t="s">
        <v>705</v>
      </c>
      <c r="F3482" s="18" t="s">
        <v>723</v>
      </c>
      <c r="G3482" s="18" t="s">
        <v>21219</v>
      </c>
      <c r="H3482" s="18" t="s">
        <v>15381</v>
      </c>
    </row>
    <row r="3483" customFormat="false" ht="15" hidden="false" customHeight="false" outlineLevel="0" collapsed="false">
      <c r="B3483" s="19" t="s">
        <v>31881</v>
      </c>
      <c r="C3483" s="20" t="n">
        <f aca="false">ROUND(4.55/FX,2)</f>
        <v>0.63</v>
      </c>
      <c r="D3483" s="21" t="s">
        <v>31879</v>
      </c>
      <c r="E3483" s="21" t="s">
        <v>13732</v>
      </c>
      <c r="F3483" s="21" t="s">
        <v>734</v>
      </c>
      <c r="G3483" s="21" t="s">
        <v>29407</v>
      </c>
      <c r="H3483" s="21" t="s">
        <v>31880</v>
      </c>
    </row>
    <row r="3484" customFormat="false" ht="15" hidden="false" customHeight="false" outlineLevel="0" collapsed="false">
      <c r="B3484" s="19" t="s">
        <v>31882</v>
      </c>
      <c r="C3484" s="20" t="n">
        <f aca="false">ROUND(4.81/FX,2)</f>
        <v>0.67</v>
      </c>
      <c r="D3484" s="21" t="s">
        <v>31879</v>
      </c>
      <c r="E3484" s="21" t="s">
        <v>13732</v>
      </c>
      <c r="F3484" s="21" t="s">
        <v>734</v>
      </c>
      <c r="G3484" s="21" t="s">
        <v>29288</v>
      </c>
      <c r="H3484" s="21" t="s">
        <v>31880</v>
      </c>
    </row>
    <row r="3485" customFormat="false" ht="15" hidden="false" customHeight="false" outlineLevel="0" collapsed="false">
      <c r="B3485" s="19" t="s">
        <v>31883</v>
      </c>
      <c r="C3485" s="20" t="n">
        <f aca="false">ROUND(4.55/FX,2)</f>
        <v>0.63</v>
      </c>
      <c r="D3485" s="21" t="s">
        <v>31879</v>
      </c>
      <c r="E3485" s="21" t="s">
        <v>13732</v>
      </c>
      <c r="F3485" s="21" t="s">
        <v>734</v>
      </c>
      <c r="G3485" s="21" t="s">
        <v>31884</v>
      </c>
      <c r="H3485" s="21" t="s">
        <v>31880</v>
      </c>
    </row>
    <row r="3486" customFormat="false" ht="15" hidden="false" customHeight="false" outlineLevel="0" collapsed="false">
      <c r="B3486" s="19" t="s">
        <v>31885</v>
      </c>
      <c r="C3486" s="20" t="n">
        <f aca="false">ROUND(10.4/FX,2)</f>
        <v>1.44</v>
      </c>
      <c r="D3486" s="21" t="s">
        <v>31886</v>
      </c>
      <c r="E3486" s="21" t="s">
        <v>13732</v>
      </c>
      <c r="F3486" s="21" t="s">
        <v>734</v>
      </c>
      <c r="G3486" s="21" t="s">
        <v>29407</v>
      </c>
      <c r="H3486" s="21" t="s">
        <v>31880</v>
      </c>
    </row>
    <row r="3487" customFormat="false" ht="15" hidden="false" customHeight="false" outlineLevel="0" collapsed="false">
      <c r="B3487" s="19" t="s">
        <v>31887</v>
      </c>
      <c r="C3487" s="20" t="n">
        <f aca="false">ROUND(10.4/FX,2)</f>
        <v>1.44</v>
      </c>
      <c r="D3487" s="21" t="s">
        <v>31886</v>
      </c>
      <c r="E3487" s="21" t="s">
        <v>13732</v>
      </c>
      <c r="F3487" s="21" t="s">
        <v>31888</v>
      </c>
      <c r="G3487" s="21" t="s">
        <v>29407</v>
      </c>
      <c r="H3487" s="21" t="s">
        <v>31880</v>
      </c>
    </row>
    <row r="3488" customFormat="false" ht="15" hidden="false" customHeight="false" outlineLevel="0" collapsed="false">
      <c r="B3488" s="19" t="s">
        <v>31889</v>
      </c>
      <c r="C3488" s="20" t="n">
        <f aca="false">ROUND(8.45/FX,2)</f>
        <v>1.17</v>
      </c>
      <c r="D3488" s="21" t="s">
        <v>31890</v>
      </c>
      <c r="E3488" s="21" t="s">
        <v>13732</v>
      </c>
      <c r="F3488" s="21" t="s">
        <v>734</v>
      </c>
      <c r="G3488" s="21" t="s">
        <v>29407</v>
      </c>
      <c r="H3488" s="21" t="s">
        <v>31891</v>
      </c>
    </row>
    <row r="3489" customFormat="false" ht="15" hidden="false" customHeight="false" outlineLevel="0" collapsed="false">
      <c r="B3489" s="19" t="s">
        <v>31892</v>
      </c>
      <c r="C3489" s="20" t="n">
        <f aca="false">ROUND(8.45/FX,2)</f>
        <v>1.17</v>
      </c>
      <c r="D3489" s="21" t="s">
        <v>31890</v>
      </c>
      <c r="E3489" s="21" t="s">
        <v>13732</v>
      </c>
      <c r="F3489" s="21" t="s">
        <v>734</v>
      </c>
      <c r="G3489" s="21" t="s">
        <v>29288</v>
      </c>
      <c r="H3489" s="21" t="s">
        <v>31891</v>
      </c>
    </row>
    <row r="3490" customFormat="false" ht="15" hidden="false" customHeight="false" outlineLevel="0" collapsed="false">
      <c r="B3490" s="19" t="s">
        <v>31893</v>
      </c>
      <c r="C3490" s="20" t="n">
        <f aca="false">ROUND(8.45/FX,2)</f>
        <v>1.17</v>
      </c>
      <c r="D3490" s="21" t="s">
        <v>31890</v>
      </c>
      <c r="E3490" s="21" t="s">
        <v>13732</v>
      </c>
      <c r="F3490" s="21" t="s">
        <v>734</v>
      </c>
      <c r="G3490" s="21" t="s">
        <v>31884</v>
      </c>
      <c r="H3490" s="21" t="s">
        <v>31891</v>
      </c>
    </row>
    <row r="3491" customFormat="false" ht="15" hidden="false" customHeight="false" outlineLevel="0" collapsed="false">
      <c r="B3491" s="19" t="s">
        <v>31894</v>
      </c>
      <c r="C3491" s="20" t="n">
        <f aca="false">ROUND(2.8/FX,2)</f>
        <v>0.39</v>
      </c>
      <c r="D3491" s="21" t="s">
        <v>31890</v>
      </c>
      <c r="E3491" s="21" t="s">
        <v>13732</v>
      </c>
      <c r="F3491" s="21" t="s">
        <v>734</v>
      </c>
      <c r="G3491" s="21" t="s">
        <v>29407</v>
      </c>
      <c r="H3491" s="21" t="s">
        <v>31895</v>
      </c>
    </row>
    <row r="3492" customFormat="false" ht="15" hidden="false" customHeight="false" outlineLevel="0" collapsed="false">
      <c r="B3492" s="19" t="s">
        <v>31896</v>
      </c>
      <c r="C3492" s="20" t="n">
        <f aca="false">ROUND(3.19/FX,2)</f>
        <v>0.44</v>
      </c>
      <c r="D3492" s="21" t="s">
        <v>31890</v>
      </c>
      <c r="E3492" s="21" t="s">
        <v>13732</v>
      </c>
      <c r="F3492" s="21" t="s">
        <v>734</v>
      </c>
      <c r="G3492" s="21" t="s">
        <v>29288</v>
      </c>
      <c r="H3492" s="21" t="s">
        <v>31895</v>
      </c>
    </row>
    <row r="3493" customFormat="false" ht="15" hidden="false" customHeight="false" outlineLevel="0" collapsed="false">
      <c r="B3493" s="19" t="s">
        <v>31897</v>
      </c>
      <c r="C3493" s="20" t="n">
        <f aca="false">ROUND(2.8/FX,2)</f>
        <v>0.39</v>
      </c>
      <c r="D3493" s="21" t="s">
        <v>31890</v>
      </c>
      <c r="E3493" s="21" t="s">
        <v>13732</v>
      </c>
      <c r="F3493" s="21" t="s">
        <v>734</v>
      </c>
      <c r="G3493" s="21" t="s">
        <v>31884</v>
      </c>
      <c r="H3493" s="21" t="s">
        <v>31895</v>
      </c>
    </row>
    <row r="3494" customFormat="false" ht="15" hidden="false" customHeight="false" outlineLevel="0" collapsed="false">
      <c r="B3494" s="19" t="s">
        <v>31898</v>
      </c>
      <c r="C3494" s="20" t="n">
        <f aca="false">ROUND(8.45/FX,2)</f>
        <v>1.17</v>
      </c>
      <c r="D3494" s="21" t="s">
        <v>31899</v>
      </c>
      <c r="E3494" s="21" t="s">
        <v>13732</v>
      </c>
      <c r="F3494" s="21" t="s">
        <v>734</v>
      </c>
      <c r="G3494" s="21" t="s">
        <v>29407</v>
      </c>
      <c r="H3494" s="21" t="s">
        <v>31891</v>
      </c>
    </row>
    <row r="3495" customFormat="false" ht="15" hidden="false" customHeight="false" outlineLevel="0" collapsed="false">
      <c r="B3495" s="19" t="s">
        <v>31900</v>
      </c>
      <c r="C3495" s="20" t="n">
        <f aca="false">ROUND(8.45/FX,2)</f>
        <v>1.17</v>
      </c>
      <c r="D3495" s="21" t="s">
        <v>31899</v>
      </c>
      <c r="E3495" s="21" t="s">
        <v>13732</v>
      </c>
      <c r="F3495" s="21" t="s">
        <v>734</v>
      </c>
      <c r="G3495" s="21" t="s">
        <v>29288</v>
      </c>
      <c r="H3495" s="21" t="s">
        <v>31891</v>
      </c>
    </row>
    <row r="3496" customFormat="false" ht="15" hidden="false" customHeight="false" outlineLevel="0" collapsed="false">
      <c r="B3496" s="19" t="s">
        <v>31901</v>
      </c>
      <c r="C3496" s="20" t="n">
        <f aca="false">ROUND(8.71/FX,2)</f>
        <v>1.21</v>
      </c>
      <c r="D3496" s="21" t="s">
        <v>31899</v>
      </c>
      <c r="E3496" s="21" t="s">
        <v>13732</v>
      </c>
      <c r="F3496" s="21" t="s">
        <v>734</v>
      </c>
      <c r="G3496" s="21" t="s">
        <v>31884</v>
      </c>
      <c r="H3496" s="21" t="s">
        <v>31891</v>
      </c>
    </row>
    <row r="3497" customFormat="false" ht="15" hidden="false" customHeight="false" outlineLevel="0" collapsed="false">
      <c r="B3497" s="19" t="s">
        <v>31902</v>
      </c>
      <c r="C3497" s="20" t="n">
        <f aca="false">ROUND(2.73/FX,2)</f>
        <v>0.38</v>
      </c>
      <c r="D3497" s="21" t="s">
        <v>31899</v>
      </c>
      <c r="E3497" s="21" t="s">
        <v>13732</v>
      </c>
      <c r="F3497" s="21" t="s">
        <v>734</v>
      </c>
      <c r="G3497" s="21" t="s">
        <v>29407</v>
      </c>
      <c r="H3497" s="21" t="s">
        <v>31895</v>
      </c>
    </row>
    <row r="3498" customFormat="false" ht="15" hidden="false" customHeight="false" outlineLevel="0" collapsed="false">
      <c r="B3498" s="19" t="s">
        <v>31903</v>
      </c>
      <c r="C3498" s="20" t="n">
        <f aca="false">ROUND(2.86/FX,2)</f>
        <v>0.4</v>
      </c>
      <c r="D3498" s="21" t="s">
        <v>31899</v>
      </c>
      <c r="E3498" s="21" t="s">
        <v>13732</v>
      </c>
      <c r="F3498" s="21" t="s">
        <v>734</v>
      </c>
      <c r="G3498" s="21" t="s">
        <v>29288</v>
      </c>
      <c r="H3498" s="21" t="s">
        <v>31895</v>
      </c>
    </row>
    <row r="3499" customFormat="false" ht="15" hidden="false" customHeight="false" outlineLevel="0" collapsed="false">
      <c r="B3499" s="19" t="s">
        <v>31904</v>
      </c>
      <c r="C3499" s="20" t="n">
        <f aca="false">ROUND(2.73/FX,2)</f>
        <v>0.38</v>
      </c>
      <c r="D3499" s="21" t="s">
        <v>31899</v>
      </c>
      <c r="E3499" s="21" t="s">
        <v>13732</v>
      </c>
      <c r="F3499" s="21" t="s">
        <v>734</v>
      </c>
      <c r="G3499" s="21" t="s">
        <v>31884</v>
      </c>
      <c r="H3499" s="21" t="s">
        <v>31895</v>
      </c>
    </row>
    <row r="3500" customFormat="false" ht="15" hidden="false" customHeight="false" outlineLevel="0" collapsed="false">
      <c r="B3500" s="19" t="s">
        <v>31905</v>
      </c>
      <c r="C3500" s="20" t="n">
        <f aca="false">ROUND(8.45/FX,2)</f>
        <v>1.17</v>
      </c>
      <c r="D3500" s="21" t="s">
        <v>31906</v>
      </c>
      <c r="E3500" s="21" t="s">
        <v>13732</v>
      </c>
      <c r="F3500" s="21" t="s">
        <v>734</v>
      </c>
      <c r="G3500" s="21" t="s">
        <v>29407</v>
      </c>
      <c r="H3500" s="21" t="s">
        <v>31891</v>
      </c>
    </row>
    <row r="3501" customFormat="false" ht="15" hidden="false" customHeight="false" outlineLevel="0" collapsed="false">
      <c r="B3501" s="19" t="s">
        <v>31907</v>
      </c>
      <c r="C3501" s="20" t="n">
        <f aca="false">ROUND(8.45/FX,2)</f>
        <v>1.17</v>
      </c>
      <c r="D3501" s="21" t="s">
        <v>31906</v>
      </c>
      <c r="E3501" s="21" t="s">
        <v>13732</v>
      </c>
      <c r="F3501" s="21" t="s">
        <v>734</v>
      </c>
      <c r="G3501" s="21" t="s">
        <v>29288</v>
      </c>
      <c r="H3501" s="21" t="s">
        <v>31891</v>
      </c>
    </row>
    <row r="3502" customFormat="false" ht="15" hidden="false" customHeight="false" outlineLevel="0" collapsed="false">
      <c r="B3502" s="19" t="s">
        <v>31908</v>
      </c>
      <c r="C3502" s="20" t="n">
        <f aca="false">ROUND(8.45/FX,2)</f>
        <v>1.17</v>
      </c>
      <c r="D3502" s="21" t="s">
        <v>31906</v>
      </c>
      <c r="E3502" s="21" t="s">
        <v>13732</v>
      </c>
      <c r="F3502" s="21" t="s">
        <v>734</v>
      </c>
      <c r="G3502" s="21" t="s">
        <v>31884</v>
      </c>
      <c r="H3502" s="21" t="s">
        <v>31891</v>
      </c>
    </row>
    <row r="3503" customFormat="false" ht="15" hidden="false" customHeight="false" outlineLevel="0" collapsed="false">
      <c r="B3503" s="19" t="s">
        <v>31909</v>
      </c>
      <c r="C3503" s="20" t="n">
        <f aca="false">ROUND(3.64/FX,2)</f>
        <v>0.51</v>
      </c>
      <c r="D3503" s="21" t="s">
        <v>31906</v>
      </c>
      <c r="E3503" s="21" t="s">
        <v>13732</v>
      </c>
      <c r="F3503" s="21" t="s">
        <v>734</v>
      </c>
      <c r="G3503" s="21" t="s">
        <v>29407</v>
      </c>
      <c r="H3503" s="21" t="s">
        <v>31895</v>
      </c>
    </row>
    <row r="3504" customFormat="false" ht="15" hidden="false" customHeight="false" outlineLevel="0" collapsed="false">
      <c r="B3504" s="19" t="s">
        <v>31910</v>
      </c>
      <c r="C3504" s="20" t="n">
        <f aca="false">ROUND(3.12/FX,2)</f>
        <v>0.43</v>
      </c>
      <c r="D3504" s="21" t="s">
        <v>31906</v>
      </c>
      <c r="E3504" s="21" t="s">
        <v>13732</v>
      </c>
      <c r="F3504" s="21" t="s">
        <v>734</v>
      </c>
      <c r="G3504" s="21" t="s">
        <v>29288</v>
      </c>
      <c r="H3504" s="21" t="s">
        <v>31895</v>
      </c>
    </row>
    <row r="3505" customFormat="false" ht="15" hidden="false" customHeight="false" outlineLevel="0" collapsed="false">
      <c r="B3505" s="19" t="s">
        <v>31911</v>
      </c>
      <c r="C3505" s="20" t="n">
        <f aca="false">ROUND(2.99/FX,2)</f>
        <v>0.42</v>
      </c>
      <c r="D3505" s="21" t="s">
        <v>31906</v>
      </c>
      <c r="E3505" s="21" t="s">
        <v>13732</v>
      </c>
      <c r="F3505" s="21" t="s">
        <v>734</v>
      </c>
      <c r="G3505" s="21" t="s">
        <v>31884</v>
      </c>
      <c r="H3505" s="21" t="s">
        <v>31895</v>
      </c>
    </row>
    <row r="3506" customFormat="false" ht="15" hidden="false" customHeight="false" outlineLevel="0" collapsed="false">
      <c r="B3506" s="19" t="s">
        <v>31912</v>
      </c>
      <c r="C3506" s="20" t="n">
        <f aca="false">ROUND(8.45/FX,2)</f>
        <v>1.17</v>
      </c>
      <c r="D3506" s="21" t="s">
        <v>16916</v>
      </c>
      <c r="E3506" s="21" t="s">
        <v>13732</v>
      </c>
      <c r="F3506" s="21" t="s">
        <v>31913</v>
      </c>
      <c r="G3506" s="21" t="s">
        <v>29407</v>
      </c>
      <c r="H3506" s="21" t="s">
        <v>31891</v>
      </c>
    </row>
    <row r="3507" customFormat="false" ht="15" hidden="false" customHeight="false" outlineLevel="0" collapsed="false">
      <c r="B3507" s="19" t="s">
        <v>31914</v>
      </c>
      <c r="C3507" s="20" t="n">
        <f aca="false">ROUND(8.45/FX,2)</f>
        <v>1.17</v>
      </c>
      <c r="D3507" s="21" t="s">
        <v>16916</v>
      </c>
      <c r="E3507" s="21" t="s">
        <v>13732</v>
      </c>
      <c r="F3507" s="21" t="s">
        <v>31913</v>
      </c>
      <c r="G3507" s="21" t="s">
        <v>29288</v>
      </c>
      <c r="H3507" s="21" t="s">
        <v>31891</v>
      </c>
    </row>
    <row r="3508" customFormat="false" ht="15" hidden="false" customHeight="false" outlineLevel="0" collapsed="false">
      <c r="B3508" s="19" t="s">
        <v>31915</v>
      </c>
      <c r="C3508" s="20" t="n">
        <f aca="false">ROUND(8.45/FX,2)</f>
        <v>1.17</v>
      </c>
      <c r="D3508" s="21" t="s">
        <v>16916</v>
      </c>
      <c r="E3508" s="21" t="s">
        <v>13732</v>
      </c>
      <c r="F3508" s="21" t="s">
        <v>31913</v>
      </c>
      <c r="G3508" s="21" t="s">
        <v>31884</v>
      </c>
      <c r="H3508" s="21" t="s">
        <v>31891</v>
      </c>
    </row>
    <row r="3509" customFormat="false" ht="15" hidden="false" customHeight="false" outlineLevel="0" collapsed="false">
      <c r="B3509" s="19" t="s">
        <v>31916</v>
      </c>
      <c r="C3509" s="20" t="n">
        <f aca="false">ROUND(3.25/FX,2)</f>
        <v>0.45</v>
      </c>
      <c r="D3509" s="21" t="s">
        <v>16916</v>
      </c>
      <c r="E3509" s="21" t="s">
        <v>13732</v>
      </c>
      <c r="F3509" s="21" t="s">
        <v>31913</v>
      </c>
      <c r="G3509" s="21" t="s">
        <v>29407</v>
      </c>
      <c r="H3509" s="21" t="s">
        <v>31895</v>
      </c>
    </row>
    <row r="3510" customFormat="false" ht="15" hidden="false" customHeight="false" outlineLevel="0" collapsed="false">
      <c r="B3510" s="19" t="s">
        <v>31917</v>
      </c>
      <c r="C3510" s="20" t="n">
        <f aca="false">ROUND(2.6/FX,2)</f>
        <v>0.36</v>
      </c>
      <c r="D3510" s="21" t="s">
        <v>16916</v>
      </c>
      <c r="E3510" s="21" t="s">
        <v>13732</v>
      </c>
      <c r="F3510" s="21" t="s">
        <v>31913</v>
      </c>
      <c r="G3510" s="21" t="s">
        <v>29288</v>
      </c>
      <c r="H3510" s="21" t="s">
        <v>31895</v>
      </c>
    </row>
    <row r="3511" customFormat="false" ht="15" hidden="false" customHeight="false" outlineLevel="0" collapsed="false">
      <c r="B3511" s="19" t="s">
        <v>31918</v>
      </c>
      <c r="C3511" s="20" t="n">
        <f aca="false">ROUND(3.25/FX,2)</f>
        <v>0.45</v>
      </c>
      <c r="D3511" s="21" t="s">
        <v>16916</v>
      </c>
      <c r="E3511" s="21" t="s">
        <v>13732</v>
      </c>
      <c r="F3511" s="21" t="s">
        <v>31913</v>
      </c>
      <c r="G3511" s="21" t="s">
        <v>31884</v>
      </c>
      <c r="H3511" s="21" t="s">
        <v>31895</v>
      </c>
    </row>
    <row r="3512" customFormat="false" ht="15" hidden="false" customHeight="false" outlineLevel="0" collapsed="false">
      <c r="B3512" s="19" t="s">
        <v>31919</v>
      </c>
      <c r="C3512" s="20" t="n">
        <f aca="false">ROUND(2.15/FX,2)</f>
        <v>0.3</v>
      </c>
      <c r="D3512" s="21" t="s">
        <v>16916</v>
      </c>
      <c r="E3512" s="21" t="s">
        <v>13732</v>
      </c>
      <c r="F3512" s="21" t="s">
        <v>31913</v>
      </c>
      <c r="G3512" s="21" t="s">
        <v>29407</v>
      </c>
      <c r="H3512" s="21" t="s">
        <v>31880</v>
      </c>
    </row>
    <row r="3513" customFormat="false" ht="15" hidden="false" customHeight="false" outlineLevel="0" collapsed="false">
      <c r="B3513" s="19" t="s">
        <v>31920</v>
      </c>
      <c r="C3513" s="20" t="n">
        <f aca="false">ROUND(2.15/FX,2)</f>
        <v>0.3</v>
      </c>
      <c r="D3513" s="21" t="s">
        <v>16916</v>
      </c>
      <c r="E3513" s="21" t="s">
        <v>13732</v>
      </c>
      <c r="F3513" s="21" t="s">
        <v>31913</v>
      </c>
      <c r="G3513" s="21" t="s">
        <v>29288</v>
      </c>
      <c r="H3513" s="21" t="s">
        <v>31880</v>
      </c>
    </row>
    <row r="3514" customFormat="false" ht="15" hidden="false" customHeight="false" outlineLevel="0" collapsed="false">
      <c r="B3514" s="19" t="s">
        <v>31921</v>
      </c>
      <c r="C3514" s="20" t="n">
        <f aca="false">ROUND(2.99/FX,2)</f>
        <v>0.42</v>
      </c>
      <c r="D3514" s="21" t="s">
        <v>16916</v>
      </c>
      <c r="E3514" s="21" t="s">
        <v>13732</v>
      </c>
      <c r="F3514" s="21" t="s">
        <v>31922</v>
      </c>
      <c r="G3514" s="21" t="s">
        <v>29288</v>
      </c>
      <c r="H3514" s="21" t="s">
        <v>31880</v>
      </c>
    </row>
    <row r="3515" customFormat="false" ht="15" hidden="false" customHeight="false" outlineLevel="0" collapsed="false">
      <c r="B3515" s="19" t="s">
        <v>31923</v>
      </c>
      <c r="C3515" s="20" t="n">
        <f aca="false">ROUND(2.15/FX,2)</f>
        <v>0.3</v>
      </c>
      <c r="D3515" s="21" t="s">
        <v>16916</v>
      </c>
      <c r="E3515" s="21" t="s">
        <v>13732</v>
      </c>
      <c r="F3515" s="21" t="s">
        <v>31913</v>
      </c>
      <c r="G3515" s="21" t="s">
        <v>31884</v>
      </c>
      <c r="H3515" s="21" t="s">
        <v>31880</v>
      </c>
    </row>
    <row r="3516" customFormat="false" ht="15" hidden="false" customHeight="false" outlineLevel="0" collapsed="false">
      <c r="B3516" s="19" t="s">
        <v>31924</v>
      </c>
      <c r="C3516" s="20" t="n">
        <f aca="false">ROUND(8.45/FX,2)</f>
        <v>1.17</v>
      </c>
      <c r="D3516" s="21" t="s">
        <v>31925</v>
      </c>
      <c r="E3516" s="21" t="s">
        <v>13732</v>
      </c>
      <c r="F3516" s="21" t="s">
        <v>734</v>
      </c>
      <c r="G3516" s="21" t="s">
        <v>29407</v>
      </c>
      <c r="H3516" s="21" t="s">
        <v>31891</v>
      </c>
    </row>
    <row r="3517" customFormat="false" ht="15" hidden="false" customHeight="false" outlineLevel="0" collapsed="false">
      <c r="B3517" s="19" t="s">
        <v>31926</v>
      </c>
      <c r="C3517" s="20" t="n">
        <f aca="false">ROUND(8.45/FX,2)</f>
        <v>1.17</v>
      </c>
      <c r="D3517" s="21" t="s">
        <v>31925</v>
      </c>
      <c r="E3517" s="21" t="s">
        <v>13732</v>
      </c>
      <c r="F3517" s="21" t="s">
        <v>734</v>
      </c>
      <c r="G3517" s="21" t="s">
        <v>29288</v>
      </c>
      <c r="H3517" s="21" t="s">
        <v>31891</v>
      </c>
    </row>
    <row r="3518" customFormat="false" ht="15" hidden="false" customHeight="false" outlineLevel="0" collapsed="false">
      <c r="B3518" s="19" t="s">
        <v>31927</v>
      </c>
      <c r="C3518" s="20" t="n">
        <f aca="false">ROUND(8.45/FX,2)</f>
        <v>1.17</v>
      </c>
      <c r="D3518" s="21" t="s">
        <v>31925</v>
      </c>
      <c r="E3518" s="21" t="s">
        <v>13732</v>
      </c>
      <c r="F3518" s="21" t="s">
        <v>734</v>
      </c>
      <c r="G3518" s="21" t="s">
        <v>31884</v>
      </c>
      <c r="H3518" s="21" t="s">
        <v>31891</v>
      </c>
    </row>
    <row r="3519" customFormat="false" ht="15" hidden="false" customHeight="false" outlineLevel="0" collapsed="false">
      <c r="B3519" s="19" t="s">
        <v>31928</v>
      </c>
      <c r="C3519" s="20" t="n">
        <f aca="false">ROUND(3.12/FX,2)</f>
        <v>0.43</v>
      </c>
      <c r="D3519" s="21" t="s">
        <v>31925</v>
      </c>
      <c r="E3519" s="21" t="s">
        <v>13732</v>
      </c>
      <c r="F3519" s="21" t="s">
        <v>734</v>
      </c>
      <c r="G3519" s="21" t="s">
        <v>29407</v>
      </c>
      <c r="H3519" s="21" t="s">
        <v>31895</v>
      </c>
    </row>
    <row r="3520" customFormat="false" ht="15" hidden="false" customHeight="false" outlineLevel="0" collapsed="false">
      <c r="B3520" s="19" t="s">
        <v>31929</v>
      </c>
      <c r="C3520" s="20" t="n">
        <f aca="false">ROUND(3.12/FX,2)</f>
        <v>0.43</v>
      </c>
      <c r="D3520" s="21" t="s">
        <v>31925</v>
      </c>
      <c r="E3520" s="21" t="s">
        <v>13732</v>
      </c>
      <c r="F3520" s="21" t="s">
        <v>734</v>
      </c>
      <c r="G3520" s="21" t="s">
        <v>29288</v>
      </c>
      <c r="H3520" s="21" t="s">
        <v>31895</v>
      </c>
    </row>
    <row r="3521" customFormat="false" ht="15" hidden="false" customHeight="false" outlineLevel="0" collapsed="false">
      <c r="B3521" s="19" t="s">
        <v>31930</v>
      </c>
      <c r="C3521" s="20" t="n">
        <f aca="false">ROUND(3.25/FX,2)</f>
        <v>0.45</v>
      </c>
      <c r="D3521" s="21" t="s">
        <v>31925</v>
      </c>
      <c r="E3521" s="21" t="s">
        <v>13732</v>
      </c>
      <c r="F3521" s="21" t="s">
        <v>734</v>
      </c>
      <c r="G3521" s="21" t="s">
        <v>31884</v>
      </c>
      <c r="H3521" s="21" t="s">
        <v>31895</v>
      </c>
    </row>
    <row r="3522" customFormat="false" ht="15" hidden="false" customHeight="false" outlineLevel="0" collapsed="false">
      <c r="B3522" s="19" t="s">
        <v>31931</v>
      </c>
      <c r="C3522" s="20" t="n">
        <f aca="false">ROUND(2.86/FX,2)</f>
        <v>0.4</v>
      </c>
      <c r="D3522" s="21" t="s">
        <v>31925</v>
      </c>
      <c r="E3522" s="21" t="s">
        <v>13732</v>
      </c>
      <c r="F3522" s="21" t="s">
        <v>734</v>
      </c>
      <c r="G3522" s="21" t="s">
        <v>29407</v>
      </c>
      <c r="H3522" s="21" t="s">
        <v>31880</v>
      </c>
    </row>
    <row r="3523" customFormat="false" ht="15" hidden="false" customHeight="false" outlineLevel="0" collapsed="false">
      <c r="B3523" s="19" t="s">
        <v>31932</v>
      </c>
      <c r="C3523" s="20" t="n">
        <f aca="false">ROUND(2.86/FX,2)</f>
        <v>0.4</v>
      </c>
      <c r="D3523" s="21" t="s">
        <v>31925</v>
      </c>
      <c r="E3523" s="21" t="s">
        <v>13732</v>
      </c>
      <c r="F3523" s="21" t="s">
        <v>734</v>
      </c>
      <c r="G3523" s="21" t="s">
        <v>29288</v>
      </c>
      <c r="H3523" s="21" t="s">
        <v>31880</v>
      </c>
    </row>
    <row r="3524" customFormat="false" ht="15" hidden="false" customHeight="false" outlineLevel="0" collapsed="false">
      <c r="B3524" s="19" t="s">
        <v>31933</v>
      </c>
      <c r="C3524" s="20" t="n">
        <f aca="false">ROUND(3.25/FX,2)</f>
        <v>0.45</v>
      </c>
      <c r="D3524" s="21" t="s">
        <v>31925</v>
      </c>
      <c r="E3524" s="21" t="s">
        <v>13732</v>
      </c>
      <c r="F3524" s="21" t="s">
        <v>734</v>
      </c>
      <c r="G3524" s="21" t="s">
        <v>31884</v>
      </c>
      <c r="H3524" s="21" t="s">
        <v>31880</v>
      </c>
    </row>
    <row r="3525" customFormat="false" ht="15" hidden="false" customHeight="false" outlineLevel="0" collapsed="false">
      <c r="B3525" s="19" t="s">
        <v>31934</v>
      </c>
      <c r="C3525" s="20" t="n">
        <f aca="false">ROUND(13/FX,2)</f>
        <v>1.81</v>
      </c>
      <c r="D3525" s="21" t="s">
        <v>31935</v>
      </c>
      <c r="E3525" s="21" t="s">
        <v>13732</v>
      </c>
      <c r="F3525" s="21" t="s">
        <v>734</v>
      </c>
      <c r="G3525" s="21" t="s">
        <v>29407</v>
      </c>
      <c r="H3525" s="21" t="s">
        <v>31891</v>
      </c>
    </row>
    <row r="3526" customFormat="false" ht="15" hidden="false" customHeight="false" outlineLevel="0" collapsed="false">
      <c r="B3526" s="19" t="s">
        <v>31936</v>
      </c>
      <c r="C3526" s="20" t="n">
        <f aca="false">ROUND(13/FX,2)</f>
        <v>1.81</v>
      </c>
      <c r="D3526" s="21" t="s">
        <v>31935</v>
      </c>
      <c r="E3526" s="21" t="s">
        <v>13732</v>
      </c>
      <c r="F3526" s="21" t="s">
        <v>734</v>
      </c>
      <c r="G3526" s="21" t="s">
        <v>29288</v>
      </c>
      <c r="H3526" s="21" t="s">
        <v>31891</v>
      </c>
    </row>
    <row r="3527" customFormat="false" ht="15" hidden="false" customHeight="false" outlineLevel="0" collapsed="false">
      <c r="B3527" s="19" t="s">
        <v>31937</v>
      </c>
      <c r="C3527" s="20" t="n">
        <f aca="false">ROUND(13/FX,2)</f>
        <v>1.81</v>
      </c>
      <c r="D3527" s="21" t="s">
        <v>31935</v>
      </c>
      <c r="E3527" s="21" t="s">
        <v>13732</v>
      </c>
      <c r="F3527" s="21" t="s">
        <v>734</v>
      </c>
      <c r="G3527" s="21" t="s">
        <v>31884</v>
      </c>
      <c r="H3527" s="21" t="s">
        <v>31891</v>
      </c>
    </row>
    <row r="3528" customFormat="false" ht="15" hidden="false" customHeight="false" outlineLevel="0" collapsed="false">
      <c r="B3528" s="19" t="s">
        <v>31938</v>
      </c>
      <c r="C3528" s="20" t="n">
        <f aca="false">ROUND(5.85/FX,2)</f>
        <v>0.81</v>
      </c>
      <c r="D3528" s="21" t="s">
        <v>31935</v>
      </c>
      <c r="E3528" s="21" t="s">
        <v>13732</v>
      </c>
      <c r="F3528" s="21" t="s">
        <v>734</v>
      </c>
      <c r="G3528" s="21" t="s">
        <v>29407</v>
      </c>
      <c r="H3528" s="21" t="s">
        <v>31895</v>
      </c>
    </row>
    <row r="3529" customFormat="false" ht="15" hidden="false" customHeight="false" outlineLevel="0" collapsed="false">
      <c r="B3529" s="19" t="s">
        <v>31939</v>
      </c>
      <c r="C3529" s="20" t="n">
        <f aca="false">ROUND(5.85/FX,2)</f>
        <v>0.81</v>
      </c>
      <c r="D3529" s="21" t="s">
        <v>31935</v>
      </c>
      <c r="E3529" s="21" t="s">
        <v>13732</v>
      </c>
      <c r="F3529" s="21" t="s">
        <v>734</v>
      </c>
      <c r="G3529" s="21" t="s">
        <v>29288</v>
      </c>
      <c r="H3529" s="21" t="s">
        <v>31895</v>
      </c>
    </row>
    <row r="3530" customFormat="false" ht="15" hidden="false" customHeight="false" outlineLevel="0" collapsed="false">
      <c r="B3530" s="19" t="s">
        <v>31940</v>
      </c>
      <c r="C3530" s="20" t="n">
        <f aca="false">ROUND(5.85/FX,2)</f>
        <v>0.81</v>
      </c>
      <c r="D3530" s="21" t="s">
        <v>31935</v>
      </c>
      <c r="E3530" s="21" t="s">
        <v>13732</v>
      </c>
      <c r="F3530" s="21" t="s">
        <v>734</v>
      </c>
      <c r="G3530" s="21" t="s">
        <v>31884</v>
      </c>
      <c r="H3530" s="21" t="s">
        <v>31895</v>
      </c>
    </row>
    <row r="3531" customFormat="false" ht="15" hidden="false" customHeight="false" outlineLevel="0" collapsed="false">
      <c r="B3531" s="19" t="s">
        <v>31941</v>
      </c>
      <c r="C3531" s="20" t="n">
        <f aca="false">ROUND(3.9/FX,2)</f>
        <v>0.54</v>
      </c>
      <c r="D3531" s="21" t="s">
        <v>31935</v>
      </c>
      <c r="E3531" s="21" t="s">
        <v>13732</v>
      </c>
      <c r="F3531" s="21" t="s">
        <v>734</v>
      </c>
      <c r="G3531" s="21" t="s">
        <v>29407</v>
      </c>
      <c r="H3531" s="21" t="s">
        <v>31880</v>
      </c>
    </row>
    <row r="3532" customFormat="false" ht="15" hidden="false" customHeight="false" outlineLevel="0" collapsed="false">
      <c r="B3532" s="19" t="s">
        <v>31942</v>
      </c>
      <c r="C3532" s="20" t="n">
        <f aca="false">ROUND(4.03/FX,2)</f>
        <v>0.56</v>
      </c>
      <c r="D3532" s="21" t="s">
        <v>31935</v>
      </c>
      <c r="E3532" s="21" t="s">
        <v>13732</v>
      </c>
      <c r="F3532" s="21" t="s">
        <v>734</v>
      </c>
      <c r="G3532" s="21" t="s">
        <v>29288</v>
      </c>
      <c r="H3532" s="21" t="s">
        <v>31880</v>
      </c>
    </row>
    <row r="3533" customFormat="false" ht="15" hidden="false" customHeight="false" outlineLevel="0" collapsed="false">
      <c r="B3533" s="19" t="s">
        <v>31943</v>
      </c>
      <c r="C3533" s="20" t="n">
        <f aca="false">ROUND(4.29/FX,2)</f>
        <v>0.6</v>
      </c>
      <c r="D3533" s="21" t="s">
        <v>31935</v>
      </c>
      <c r="E3533" s="21" t="s">
        <v>13732</v>
      </c>
      <c r="F3533" s="21" t="s">
        <v>734</v>
      </c>
      <c r="G3533" s="21" t="s">
        <v>31884</v>
      </c>
      <c r="H3533" s="21" t="s">
        <v>31880</v>
      </c>
    </row>
    <row r="3534" customFormat="false" ht="15" hidden="false" customHeight="false" outlineLevel="0" collapsed="false">
      <c r="B3534" s="19" t="s">
        <v>31944</v>
      </c>
      <c r="C3534" s="20" t="n">
        <f aca="false">ROUND(10.4/FX,2)</f>
        <v>1.44</v>
      </c>
      <c r="D3534" s="21" t="s">
        <v>16922</v>
      </c>
      <c r="E3534" s="21" t="s">
        <v>13732</v>
      </c>
      <c r="F3534" s="21" t="s">
        <v>734</v>
      </c>
      <c r="G3534" s="21" t="s">
        <v>29407</v>
      </c>
      <c r="H3534" s="21" t="s">
        <v>31891</v>
      </c>
    </row>
    <row r="3535" customFormat="false" ht="15" hidden="false" customHeight="false" outlineLevel="0" collapsed="false">
      <c r="B3535" s="19" t="s">
        <v>31945</v>
      </c>
      <c r="C3535" s="20" t="n">
        <f aca="false">ROUND(10.4/FX,2)</f>
        <v>1.44</v>
      </c>
      <c r="D3535" s="21" t="s">
        <v>16922</v>
      </c>
      <c r="E3535" s="21" t="s">
        <v>13732</v>
      </c>
      <c r="F3535" s="21" t="s">
        <v>734</v>
      </c>
      <c r="G3535" s="21" t="s">
        <v>29288</v>
      </c>
      <c r="H3535" s="21" t="s">
        <v>31891</v>
      </c>
    </row>
    <row r="3536" customFormat="false" ht="15" hidden="false" customHeight="false" outlineLevel="0" collapsed="false">
      <c r="B3536" s="19" t="s">
        <v>31946</v>
      </c>
      <c r="C3536" s="20" t="n">
        <f aca="false">ROUND(10.4/FX,2)</f>
        <v>1.44</v>
      </c>
      <c r="D3536" s="21" t="s">
        <v>16922</v>
      </c>
      <c r="E3536" s="21" t="s">
        <v>13732</v>
      </c>
      <c r="F3536" s="21" t="s">
        <v>734</v>
      </c>
      <c r="G3536" s="21" t="s">
        <v>31884</v>
      </c>
      <c r="H3536" s="21" t="s">
        <v>31891</v>
      </c>
    </row>
    <row r="3537" customFormat="false" ht="15" hidden="false" customHeight="false" outlineLevel="0" collapsed="false">
      <c r="B3537" s="19" t="s">
        <v>31947</v>
      </c>
      <c r="C3537" s="20" t="n">
        <f aca="false">ROUND(2.6/FX,2)</f>
        <v>0.36</v>
      </c>
      <c r="D3537" s="21" t="s">
        <v>16922</v>
      </c>
      <c r="E3537" s="21" t="s">
        <v>13732</v>
      </c>
      <c r="F3537" s="21" t="s">
        <v>734</v>
      </c>
      <c r="G3537" s="21" t="s">
        <v>29407</v>
      </c>
      <c r="H3537" s="21" t="s">
        <v>31895</v>
      </c>
    </row>
    <row r="3538" customFormat="false" ht="15" hidden="false" customHeight="false" outlineLevel="0" collapsed="false">
      <c r="B3538" s="19" t="s">
        <v>31948</v>
      </c>
      <c r="C3538" s="20" t="n">
        <f aca="false">ROUND(3.25/FX,2)</f>
        <v>0.45</v>
      </c>
      <c r="D3538" s="21" t="s">
        <v>16922</v>
      </c>
      <c r="E3538" s="21" t="s">
        <v>13732</v>
      </c>
      <c r="F3538" s="21" t="s">
        <v>734</v>
      </c>
      <c r="G3538" s="21" t="s">
        <v>29288</v>
      </c>
      <c r="H3538" s="21" t="s">
        <v>31895</v>
      </c>
    </row>
    <row r="3539" customFormat="false" ht="15" hidden="false" customHeight="false" outlineLevel="0" collapsed="false">
      <c r="B3539" s="19" t="s">
        <v>31949</v>
      </c>
      <c r="C3539" s="20" t="n">
        <f aca="false">ROUND(3.25/FX,2)</f>
        <v>0.45</v>
      </c>
      <c r="D3539" s="21" t="s">
        <v>16922</v>
      </c>
      <c r="E3539" s="21" t="s">
        <v>13732</v>
      </c>
      <c r="F3539" s="21" t="s">
        <v>734</v>
      </c>
      <c r="G3539" s="21" t="s">
        <v>31884</v>
      </c>
      <c r="H3539" s="21" t="s">
        <v>31895</v>
      </c>
    </row>
    <row r="3540" customFormat="false" ht="15" hidden="false" customHeight="false" outlineLevel="0" collapsed="false">
      <c r="B3540" s="19" t="s">
        <v>31950</v>
      </c>
      <c r="C3540" s="20" t="n">
        <f aca="false">ROUND(2.21/FX,2)</f>
        <v>0.31</v>
      </c>
      <c r="D3540" s="21" t="s">
        <v>16922</v>
      </c>
      <c r="E3540" s="21" t="s">
        <v>13732</v>
      </c>
      <c r="F3540" s="21" t="s">
        <v>734</v>
      </c>
      <c r="G3540" s="21" t="s">
        <v>29407</v>
      </c>
      <c r="H3540" s="21" t="s">
        <v>31880</v>
      </c>
    </row>
    <row r="3541" customFormat="false" ht="15" hidden="false" customHeight="false" outlineLevel="0" collapsed="false">
      <c r="B3541" s="19" t="s">
        <v>31951</v>
      </c>
      <c r="C3541" s="20" t="n">
        <f aca="false">ROUND(2.34/FX,2)</f>
        <v>0.33</v>
      </c>
      <c r="D3541" s="21" t="s">
        <v>16922</v>
      </c>
      <c r="E3541" s="21" t="s">
        <v>13732</v>
      </c>
      <c r="F3541" s="21" t="s">
        <v>734</v>
      </c>
      <c r="G3541" s="21" t="s">
        <v>29288</v>
      </c>
      <c r="H3541" s="21" t="s">
        <v>31880</v>
      </c>
    </row>
    <row r="3542" customFormat="false" ht="15" hidden="false" customHeight="false" outlineLevel="0" collapsed="false">
      <c r="B3542" s="19" t="s">
        <v>31952</v>
      </c>
      <c r="C3542" s="20" t="n">
        <f aca="false">ROUND(2.21/FX,2)</f>
        <v>0.31</v>
      </c>
      <c r="D3542" s="21" t="s">
        <v>16922</v>
      </c>
      <c r="E3542" s="21" t="s">
        <v>13732</v>
      </c>
      <c r="F3542" s="21" t="s">
        <v>734</v>
      </c>
      <c r="G3542" s="21" t="s">
        <v>31884</v>
      </c>
      <c r="H3542" s="21" t="s">
        <v>31880</v>
      </c>
    </row>
    <row r="3543" customFormat="false" ht="15" hidden="false" customHeight="false" outlineLevel="0" collapsed="false">
      <c r="B3543" s="19" t="s">
        <v>31953</v>
      </c>
      <c r="C3543" s="20" t="n">
        <f aca="false">ROUND(9.1/FX,2)</f>
        <v>1.26</v>
      </c>
      <c r="D3543" s="21" t="s">
        <v>31954</v>
      </c>
      <c r="E3543" s="21" t="s">
        <v>13732</v>
      </c>
      <c r="F3543" s="21" t="s">
        <v>734</v>
      </c>
      <c r="G3543" s="21" t="s">
        <v>29407</v>
      </c>
      <c r="H3543" s="21" t="s">
        <v>31955</v>
      </c>
    </row>
    <row r="3544" customFormat="false" ht="15" hidden="false" customHeight="false" outlineLevel="0" collapsed="false">
      <c r="B3544" s="19" t="s">
        <v>31956</v>
      </c>
      <c r="C3544" s="20" t="n">
        <f aca="false">ROUND(9.1/FX,2)</f>
        <v>1.26</v>
      </c>
      <c r="D3544" s="21" t="s">
        <v>31954</v>
      </c>
      <c r="E3544" s="21" t="s">
        <v>13732</v>
      </c>
      <c r="F3544" s="21" t="s">
        <v>734</v>
      </c>
      <c r="G3544" s="21" t="s">
        <v>29288</v>
      </c>
      <c r="H3544" s="21" t="s">
        <v>31955</v>
      </c>
    </row>
    <row r="3545" customFormat="false" ht="15" hidden="false" customHeight="false" outlineLevel="0" collapsed="false">
      <c r="B3545" s="19" t="s">
        <v>31957</v>
      </c>
      <c r="C3545" s="20" t="n">
        <f aca="false">ROUND(9.1/FX,2)</f>
        <v>1.26</v>
      </c>
      <c r="D3545" s="21" t="s">
        <v>31954</v>
      </c>
      <c r="E3545" s="21" t="s">
        <v>13732</v>
      </c>
      <c r="F3545" s="21" t="s">
        <v>734</v>
      </c>
      <c r="G3545" s="21" t="s">
        <v>31884</v>
      </c>
      <c r="H3545" s="21" t="s">
        <v>31955</v>
      </c>
    </row>
    <row r="3546" customFormat="false" ht="15" hidden="false" customHeight="false" outlineLevel="0" collapsed="false">
      <c r="B3546" s="19" t="s">
        <v>31958</v>
      </c>
      <c r="C3546" s="20" t="n">
        <f aca="false">ROUND(2.86/FX,2)</f>
        <v>0.4</v>
      </c>
      <c r="D3546" s="21" t="s">
        <v>31954</v>
      </c>
      <c r="E3546" s="21" t="s">
        <v>13732</v>
      </c>
      <c r="F3546" s="21" t="s">
        <v>734</v>
      </c>
      <c r="G3546" s="21" t="s">
        <v>29407</v>
      </c>
      <c r="H3546" s="21" t="s">
        <v>31880</v>
      </c>
    </row>
    <row r="3547" customFormat="false" ht="15" hidden="false" customHeight="false" outlineLevel="0" collapsed="false">
      <c r="B3547" s="19" t="s">
        <v>31959</v>
      </c>
      <c r="C3547" s="20" t="n">
        <f aca="false">ROUND(3.12/FX,2)</f>
        <v>0.43</v>
      </c>
      <c r="D3547" s="21" t="s">
        <v>31954</v>
      </c>
      <c r="E3547" s="21" t="s">
        <v>13732</v>
      </c>
      <c r="F3547" s="21" t="s">
        <v>734</v>
      </c>
      <c r="G3547" s="21" t="s">
        <v>29288</v>
      </c>
      <c r="H3547" s="21" t="s">
        <v>31880</v>
      </c>
    </row>
    <row r="3548" customFormat="false" ht="15" hidden="false" customHeight="false" outlineLevel="0" collapsed="false">
      <c r="B3548" s="19" t="s">
        <v>31960</v>
      </c>
      <c r="C3548" s="20" t="n">
        <f aca="false">ROUND(2.86/FX,2)</f>
        <v>0.4</v>
      </c>
      <c r="D3548" s="21" t="s">
        <v>31954</v>
      </c>
      <c r="E3548" s="21" t="s">
        <v>13732</v>
      </c>
      <c r="F3548" s="21" t="s">
        <v>734</v>
      </c>
      <c r="G3548" s="21" t="s">
        <v>31884</v>
      </c>
      <c r="H3548" s="21" t="s">
        <v>31880</v>
      </c>
    </row>
    <row r="3549" customFormat="false" ht="15" hidden="false" customHeight="false" outlineLevel="0" collapsed="false">
      <c r="B3549" s="19" t="s">
        <v>31961</v>
      </c>
      <c r="C3549" s="20" t="n">
        <f aca="false">ROUND(8.45/FX,2)</f>
        <v>1.17</v>
      </c>
      <c r="D3549" s="21" t="s">
        <v>31962</v>
      </c>
      <c r="E3549" s="21" t="s">
        <v>13732</v>
      </c>
      <c r="F3549" s="21" t="s">
        <v>734</v>
      </c>
      <c r="G3549" s="21" t="s">
        <v>29407</v>
      </c>
      <c r="H3549" s="21" t="s">
        <v>31891</v>
      </c>
    </row>
    <row r="3550" customFormat="false" ht="15" hidden="false" customHeight="false" outlineLevel="0" collapsed="false">
      <c r="B3550" s="19" t="s">
        <v>31963</v>
      </c>
      <c r="C3550" s="20" t="n">
        <f aca="false">ROUND(8.45/FX,2)</f>
        <v>1.17</v>
      </c>
      <c r="D3550" s="21" t="s">
        <v>31962</v>
      </c>
      <c r="E3550" s="21" t="s">
        <v>13732</v>
      </c>
      <c r="F3550" s="21" t="s">
        <v>734</v>
      </c>
      <c r="G3550" s="21" t="s">
        <v>29288</v>
      </c>
      <c r="H3550" s="21" t="s">
        <v>31891</v>
      </c>
    </row>
    <row r="3551" customFormat="false" ht="15" hidden="false" customHeight="false" outlineLevel="0" collapsed="false">
      <c r="B3551" s="19" t="s">
        <v>31964</v>
      </c>
      <c r="C3551" s="20" t="n">
        <f aca="false">ROUND(8.45/FX,2)</f>
        <v>1.17</v>
      </c>
      <c r="D3551" s="21" t="s">
        <v>31962</v>
      </c>
      <c r="E3551" s="21" t="s">
        <v>13732</v>
      </c>
      <c r="F3551" s="21" t="s">
        <v>734</v>
      </c>
      <c r="G3551" s="21" t="s">
        <v>31884</v>
      </c>
      <c r="H3551" s="21" t="s">
        <v>31891</v>
      </c>
    </row>
    <row r="3552" customFormat="false" ht="15" hidden="false" customHeight="false" outlineLevel="0" collapsed="false">
      <c r="B3552" s="19" t="s">
        <v>31965</v>
      </c>
      <c r="C3552" s="20" t="n">
        <f aca="false">ROUND(3.12/FX,2)</f>
        <v>0.43</v>
      </c>
      <c r="D3552" s="21" t="s">
        <v>31962</v>
      </c>
      <c r="E3552" s="21" t="s">
        <v>13732</v>
      </c>
      <c r="F3552" s="21" t="s">
        <v>734</v>
      </c>
      <c r="G3552" s="21" t="s">
        <v>29407</v>
      </c>
      <c r="H3552" s="21" t="s">
        <v>31895</v>
      </c>
    </row>
    <row r="3553" customFormat="false" ht="15" hidden="false" customHeight="false" outlineLevel="0" collapsed="false">
      <c r="B3553" s="19" t="s">
        <v>31966</v>
      </c>
      <c r="C3553" s="20" t="n">
        <f aca="false">ROUND(3.12/FX,2)</f>
        <v>0.43</v>
      </c>
      <c r="D3553" s="21" t="s">
        <v>31962</v>
      </c>
      <c r="E3553" s="21" t="s">
        <v>13732</v>
      </c>
      <c r="F3553" s="21" t="s">
        <v>734</v>
      </c>
      <c r="G3553" s="21" t="s">
        <v>29288</v>
      </c>
      <c r="H3553" s="21" t="s">
        <v>31895</v>
      </c>
    </row>
    <row r="3554" customFormat="false" ht="15" hidden="false" customHeight="false" outlineLevel="0" collapsed="false">
      <c r="B3554" s="19" t="s">
        <v>31967</v>
      </c>
      <c r="C3554" s="20" t="n">
        <f aca="false">ROUND(3.12/FX,2)</f>
        <v>0.43</v>
      </c>
      <c r="D3554" s="21" t="s">
        <v>31962</v>
      </c>
      <c r="E3554" s="21" t="s">
        <v>13732</v>
      </c>
      <c r="F3554" s="21" t="s">
        <v>734</v>
      </c>
      <c r="G3554" s="21" t="s">
        <v>31884</v>
      </c>
      <c r="H3554" s="21" t="s">
        <v>31895</v>
      </c>
    </row>
    <row r="3555" customFormat="false" ht="15" hidden="false" customHeight="false" outlineLevel="0" collapsed="false">
      <c r="B3555" s="19" t="s">
        <v>31968</v>
      </c>
      <c r="C3555" s="20" t="n">
        <f aca="false">ROUND(2.6/FX,2)</f>
        <v>0.36</v>
      </c>
      <c r="D3555" s="21" t="s">
        <v>31962</v>
      </c>
      <c r="E3555" s="21" t="s">
        <v>13732</v>
      </c>
      <c r="F3555" s="21" t="s">
        <v>734</v>
      </c>
      <c r="G3555" s="21" t="s">
        <v>29407</v>
      </c>
      <c r="H3555" s="21" t="s">
        <v>31880</v>
      </c>
    </row>
    <row r="3556" customFormat="false" ht="15" hidden="false" customHeight="false" outlineLevel="0" collapsed="false">
      <c r="B3556" s="19" t="s">
        <v>31969</v>
      </c>
      <c r="C3556" s="20" t="n">
        <f aca="false">ROUND(2.86/FX,2)</f>
        <v>0.4</v>
      </c>
      <c r="D3556" s="21" t="s">
        <v>31962</v>
      </c>
      <c r="E3556" s="21" t="s">
        <v>13732</v>
      </c>
      <c r="F3556" s="21" t="s">
        <v>734</v>
      </c>
      <c r="G3556" s="21" t="s">
        <v>29288</v>
      </c>
      <c r="H3556" s="21" t="s">
        <v>31880</v>
      </c>
    </row>
    <row r="3557" customFormat="false" ht="15" hidden="false" customHeight="false" outlineLevel="0" collapsed="false">
      <c r="B3557" s="19" t="s">
        <v>31970</v>
      </c>
      <c r="C3557" s="20" t="n">
        <f aca="false">ROUND(2.6/FX,2)</f>
        <v>0.36</v>
      </c>
      <c r="D3557" s="21" t="s">
        <v>31962</v>
      </c>
      <c r="E3557" s="21" t="s">
        <v>13732</v>
      </c>
      <c r="F3557" s="21" t="s">
        <v>734</v>
      </c>
      <c r="G3557" s="21" t="s">
        <v>31884</v>
      </c>
      <c r="H3557" s="21" t="s">
        <v>31880</v>
      </c>
    </row>
    <row r="3558" customFormat="false" ht="15" hidden="false" customHeight="false" outlineLevel="0" collapsed="false">
      <c r="B3558" s="19" t="s">
        <v>31971</v>
      </c>
      <c r="C3558" s="20" t="n">
        <f aca="false">ROUND(7.15/FX,2)</f>
        <v>0.99</v>
      </c>
      <c r="D3558" s="21" t="s">
        <v>31972</v>
      </c>
      <c r="E3558" s="21" t="s">
        <v>13732</v>
      </c>
      <c r="F3558" s="21" t="s">
        <v>734</v>
      </c>
      <c r="G3558" s="21" t="s">
        <v>29407</v>
      </c>
      <c r="H3558" s="21" t="s">
        <v>31891</v>
      </c>
    </row>
    <row r="3559" customFormat="false" ht="15" hidden="false" customHeight="false" outlineLevel="0" collapsed="false">
      <c r="B3559" s="19" t="s">
        <v>31973</v>
      </c>
      <c r="C3559" s="20" t="n">
        <f aca="false">ROUND(7.15/FX,2)</f>
        <v>0.99</v>
      </c>
      <c r="D3559" s="21" t="s">
        <v>31972</v>
      </c>
      <c r="E3559" s="21" t="s">
        <v>13732</v>
      </c>
      <c r="F3559" s="21" t="s">
        <v>734</v>
      </c>
      <c r="G3559" s="21" t="s">
        <v>29288</v>
      </c>
      <c r="H3559" s="21" t="s">
        <v>31891</v>
      </c>
    </row>
    <row r="3560" customFormat="false" ht="15" hidden="false" customHeight="false" outlineLevel="0" collapsed="false">
      <c r="B3560" s="19" t="s">
        <v>31974</v>
      </c>
      <c r="C3560" s="20" t="n">
        <f aca="false">ROUND(7.15/FX,2)</f>
        <v>0.99</v>
      </c>
      <c r="D3560" s="21" t="s">
        <v>31972</v>
      </c>
      <c r="E3560" s="21" t="s">
        <v>13732</v>
      </c>
      <c r="F3560" s="21" t="s">
        <v>734</v>
      </c>
      <c r="G3560" s="21" t="s">
        <v>31884</v>
      </c>
      <c r="H3560" s="21" t="s">
        <v>31891</v>
      </c>
    </row>
    <row r="3561" customFormat="false" ht="15" hidden="false" customHeight="false" outlineLevel="0" collapsed="false">
      <c r="B3561" s="19" t="s">
        <v>31975</v>
      </c>
      <c r="C3561" s="20" t="n">
        <f aca="false">ROUND(3.25/FX,2)</f>
        <v>0.45</v>
      </c>
      <c r="D3561" s="21" t="s">
        <v>31972</v>
      </c>
      <c r="E3561" s="21" t="s">
        <v>13732</v>
      </c>
      <c r="F3561" s="21" t="s">
        <v>734</v>
      </c>
      <c r="G3561" s="21" t="s">
        <v>29407</v>
      </c>
      <c r="H3561" s="21" t="s">
        <v>31895</v>
      </c>
    </row>
    <row r="3562" customFormat="false" ht="15" hidden="false" customHeight="false" outlineLevel="0" collapsed="false">
      <c r="B3562" s="19" t="s">
        <v>31976</v>
      </c>
      <c r="C3562" s="20" t="n">
        <f aca="false">ROUND(3.25/FX,2)</f>
        <v>0.45</v>
      </c>
      <c r="D3562" s="21" t="s">
        <v>31972</v>
      </c>
      <c r="E3562" s="21" t="s">
        <v>13732</v>
      </c>
      <c r="F3562" s="21" t="s">
        <v>734</v>
      </c>
      <c r="G3562" s="21" t="s">
        <v>29288</v>
      </c>
      <c r="H3562" s="21" t="s">
        <v>31895</v>
      </c>
    </row>
    <row r="3563" customFormat="false" ht="15" hidden="false" customHeight="false" outlineLevel="0" collapsed="false">
      <c r="B3563" s="19" t="s">
        <v>31977</v>
      </c>
      <c r="C3563" s="20" t="n">
        <f aca="false">ROUND(3.25/FX,2)</f>
        <v>0.45</v>
      </c>
      <c r="D3563" s="21" t="s">
        <v>31972</v>
      </c>
      <c r="E3563" s="21" t="s">
        <v>13732</v>
      </c>
      <c r="F3563" s="21" t="s">
        <v>734</v>
      </c>
      <c r="G3563" s="21" t="s">
        <v>31884</v>
      </c>
      <c r="H3563" s="21" t="s">
        <v>31895</v>
      </c>
    </row>
    <row r="3564" customFormat="false" ht="15" hidden="false" customHeight="false" outlineLevel="0" collapsed="false">
      <c r="B3564" s="19" t="s">
        <v>31978</v>
      </c>
      <c r="C3564" s="20" t="n">
        <f aca="false">ROUND(2.86/FX,2)</f>
        <v>0.4</v>
      </c>
      <c r="D3564" s="21" t="s">
        <v>31972</v>
      </c>
      <c r="E3564" s="21" t="s">
        <v>13732</v>
      </c>
      <c r="F3564" s="21" t="s">
        <v>734</v>
      </c>
      <c r="G3564" s="21" t="s">
        <v>29407</v>
      </c>
      <c r="H3564" s="21" t="s">
        <v>31880</v>
      </c>
    </row>
    <row r="3565" customFormat="false" ht="15" hidden="false" customHeight="false" outlineLevel="0" collapsed="false">
      <c r="B3565" s="19" t="s">
        <v>31979</v>
      </c>
      <c r="C3565" s="20" t="n">
        <f aca="false">ROUND(2.86/FX,2)</f>
        <v>0.4</v>
      </c>
      <c r="D3565" s="21" t="s">
        <v>31972</v>
      </c>
      <c r="E3565" s="21" t="s">
        <v>13732</v>
      </c>
      <c r="F3565" s="21" t="s">
        <v>734</v>
      </c>
      <c r="G3565" s="21" t="s">
        <v>29288</v>
      </c>
      <c r="H3565" s="21" t="s">
        <v>31880</v>
      </c>
    </row>
    <row r="3566" customFormat="false" ht="15" hidden="false" customHeight="false" outlineLevel="0" collapsed="false">
      <c r="B3566" s="19" t="s">
        <v>31980</v>
      </c>
      <c r="C3566" s="20" t="n">
        <f aca="false">ROUND(2.86/FX,2)</f>
        <v>0.4</v>
      </c>
      <c r="D3566" s="21" t="s">
        <v>31972</v>
      </c>
      <c r="E3566" s="21" t="s">
        <v>13732</v>
      </c>
      <c r="F3566" s="21" t="s">
        <v>734</v>
      </c>
      <c r="G3566" s="21" t="s">
        <v>31884</v>
      </c>
      <c r="H3566" s="21" t="s">
        <v>31880</v>
      </c>
    </row>
    <row r="3567" customFormat="false" ht="15" hidden="false" customHeight="false" outlineLevel="0" collapsed="false">
      <c r="B3567" s="19" t="s">
        <v>31981</v>
      </c>
      <c r="C3567" s="20" t="n">
        <f aca="false">ROUND(3.51/FX,2)</f>
        <v>0.49</v>
      </c>
      <c r="D3567" s="21" t="s">
        <v>31982</v>
      </c>
      <c r="E3567" s="21" t="s">
        <v>13732</v>
      </c>
      <c r="F3567" s="21" t="s">
        <v>31983</v>
      </c>
      <c r="G3567" s="21" t="s">
        <v>29407</v>
      </c>
      <c r="H3567" s="21" t="s">
        <v>31880</v>
      </c>
    </row>
    <row r="3568" customFormat="false" ht="15" hidden="false" customHeight="false" outlineLevel="0" collapsed="false">
      <c r="B3568" s="19" t="s">
        <v>31984</v>
      </c>
      <c r="C3568" s="20" t="n">
        <f aca="false">ROUND(8.45/FX,2)</f>
        <v>1.17</v>
      </c>
      <c r="D3568" s="21" t="s">
        <v>31985</v>
      </c>
      <c r="E3568" s="21" t="s">
        <v>13732</v>
      </c>
      <c r="F3568" s="21" t="s">
        <v>734</v>
      </c>
      <c r="G3568" s="21" t="s">
        <v>29407</v>
      </c>
      <c r="H3568" s="21" t="s">
        <v>31891</v>
      </c>
    </row>
    <row r="3569" customFormat="false" ht="15" hidden="false" customHeight="false" outlineLevel="0" collapsed="false">
      <c r="B3569" s="19" t="s">
        <v>31986</v>
      </c>
      <c r="C3569" s="20" t="n">
        <f aca="false">ROUND(10/FX,2)</f>
        <v>1.39</v>
      </c>
      <c r="D3569" s="21" t="s">
        <v>31985</v>
      </c>
      <c r="E3569" s="21" t="s">
        <v>13732</v>
      </c>
      <c r="F3569" s="21" t="s">
        <v>31987</v>
      </c>
      <c r="G3569" s="21" t="s">
        <v>29407</v>
      </c>
      <c r="H3569" s="21" t="s">
        <v>31891</v>
      </c>
    </row>
    <row r="3570" customFormat="false" ht="15" hidden="false" customHeight="false" outlineLevel="0" collapsed="false">
      <c r="B3570" s="19" t="s">
        <v>31988</v>
      </c>
      <c r="C3570" s="20" t="n">
        <f aca="false">ROUND(8.45/FX,2)</f>
        <v>1.17</v>
      </c>
      <c r="D3570" s="21" t="s">
        <v>31985</v>
      </c>
      <c r="E3570" s="21" t="s">
        <v>13732</v>
      </c>
      <c r="F3570" s="21" t="s">
        <v>734</v>
      </c>
      <c r="G3570" s="21" t="s">
        <v>29288</v>
      </c>
      <c r="H3570" s="21" t="s">
        <v>31891</v>
      </c>
    </row>
    <row r="3571" customFormat="false" ht="15" hidden="false" customHeight="false" outlineLevel="0" collapsed="false">
      <c r="B3571" s="19" t="s">
        <v>31989</v>
      </c>
      <c r="C3571" s="20" t="n">
        <f aca="false">ROUND(8.45/FX,2)</f>
        <v>1.17</v>
      </c>
      <c r="D3571" s="21" t="s">
        <v>31985</v>
      </c>
      <c r="E3571" s="21" t="s">
        <v>13732</v>
      </c>
      <c r="F3571" s="21" t="s">
        <v>734</v>
      </c>
      <c r="G3571" s="21" t="s">
        <v>31884</v>
      </c>
      <c r="H3571" s="21" t="s">
        <v>31891</v>
      </c>
    </row>
    <row r="3572" customFormat="false" ht="15" hidden="false" customHeight="false" outlineLevel="0" collapsed="false">
      <c r="B3572" s="19" t="s">
        <v>31990</v>
      </c>
      <c r="C3572" s="20" t="n">
        <f aca="false">ROUND(3.25/FX,2)</f>
        <v>0.45</v>
      </c>
      <c r="D3572" s="21" t="s">
        <v>31985</v>
      </c>
      <c r="E3572" s="21" t="s">
        <v>13732</v>
      </c>
      <c r="F3572" s="21" t="s">
        <v>734</v>
      </c>
      <c r="G3572" s="21" t="s">
        <v>29407</v>
      </c>
      <c r="H3572" s="21" t="s">
        <v>31895</v>
      </c>
    </row>
    <row r="3573" customFormat="false" ht="15" hidden="false" customHeight="false" outlineLevel="0" collapsed="false">
      <c r="B3573" s="19" t="s">
        <v>31991</v>
      </c>
      <c r="C3573" s="20" t="n">
        <f aca="false">ROUND(5/FX,2)</f>
        <v>0.69</v>
      </c>
      <c r="D3573" s="21" t="s">
        <v>31985</v>
      </c>
      <c r="E3573" s="21" t="s">
        <v>13732</v>
      </c>
      <c r="F3573" s="21" t="s">
        <v>31987</v>
      </c>
      <c r="G3573" s="21" t="s">
        <v>29407</v>
      </c>
      <c r="H3573" s="21" t="s">
        <v>31895</v>
      </c>
    </row>
    <row r="3574" customFormat="false" ht="15" hidden="false" customHeight="false" outlineLevel="0" collapsed="false">
      <c r="B3574" s="19" t="s">
        <v>31992</v>
      </c>
      <c r="C3574" s="20" t="n">
        <f aca="false">ROUND(3.25/FX,2)</f>
        <v>0.45</v>
      </c>
      <c r="D3574" s="21" t="s">
        <v>31985</v>
      </c>
      <c r="E3574" s="21" t="s">
        <v>13732</v>
      </c>
      <c r="F3574" s="21" t="s">
        <v>734</v>
      </c>
      <c r="G3574" s="21" t="s">
        <v>29288</v>
      </c>
      <c r="H3574" s="21" t="s">
        <v>31895</v>
      </c>
    </row>
    <row r="3575" customFormat="false" ht="15" hidden="false" customHeight="false" outlineLevel="0" collapsed="false">
      <c r="B3575" s="19" t="s">
        <v>31993</v>
      </c>
      <c r="C3575" s="20" t="n">
        <f aca="false">ROUND(3.25/FX,2)</f>
        <v>0.45</v>
      </c>
      <c r="D3575" s="21" t="s">
        <v>31985</v>
      </c>
      <c r="E3575" s="21" t="s">
        <v>13732</v>
      </c>
      <c r="F3575" s="21" t="s">
        <v>734</v>
      </c>
      <c r="G3575" s="21" t="s">
        <v>31884</v>
      </c>
      <c r="H3575" s="21" t="s">
        <v>31895</v>
      </c>
    </row>
    <row r="3576" customFormat="false" ht="15" hidden="false" customHeight="false" outlineLevel="0" collapsed="false">
      <c r="B3576" s="19" t="s">
        <v>31994</v>
      </c>
      <c r="C3576" s="20" t="n">
        <f aca="false">ROUND(2.86/FX,2)</f>
        <v>0.4</v>
      </c>
      <c r="D3576" s="21" t="s">
        <v>31985</v>
      </c>
      <c r="E3576" s="21" t="s">
        <v>13732</v>
      </c>
      <c r="F3576" s="21" t="s">
        <v>734</v>
      </c>
      <c r="G3576" s="21" t="s">
        <v>29407</v>
      </c>
      <c r="H3576" s="21" t="s">
        <v>31880</v>
      </c>
    </row>
    <row r="3577" customFormat="false" ht="15" hidden="false" customHeight="false" outlineLevel="0" collapsed="false">
      <c r="B3577" s="19" t="s">
        <v>31995</v>
      </c>
      <c r="C3577" s="20" t="n">
        <f aca="false">ROUND(4.16/FX,2)</f>
        <v>0.58</v>
      </c>
      <c r="D3577" s="21" t="s">
        <v>31985</v>
      </c>
      <c r="E3577" s="21" t="s">
        <v>13732</v>
      </c>
      <c r="F3577" s="21" t="s">
        <v>31987</v>
      </c>
      <c r="G3577" s="21" t="s">
        <v>29407</v>
      </c>
      <c r="H3577" s="21" t="s">
        <v>31880</v>
      </c>
    </row>
    <row r="3578" customFormat="false" ht="15" hidden="false" customHeight="false" outlineLevel="0" collapsed="false">
      <c r="B3578" s="19" t="s">
        <v>31996</v>
      </c>
      <c r="C3578" s="20" t="n">
        <f aca="false">ROUND(6.08/FX,2)</f>
        <v>0.84</v>
      </c>
      <c r="D3578" s="21" t="s">
        <v>31985</v>
      </c>
      <c r="E3578" s="21" t="s">
        <v>13739</v>
      </c>
      <c r="F3578" s="21" t="s">
        <v>734</v>
      </c>
      <c r="G3578" s="21" t="s">
        <v>29407</v>
      </c>
      <c r="H3578" s="21" t="s">
        <v>31880</v>
      </c>
    </row>
    <row r="3579" customFormat="false" ht="15" hidden="false" customHeight="false" outlineLevel="0" collapsed="false">
      <c r="B3579" s="19" t="s">
        <v>31997</v>
      </c>
      <c r="C3579" s="20" t="n">
        <f aca="false">ROUND(2.85/FX,2)</f>
        <v>0.4</v>
      </c>
      <c r="D3579" s="21" t="s">
        <v>31985</v>
      </c>
      <c r="E3579" s="21" t="s">
        <v>13732</v>
      </c>
      <c r="F3579" s="21" t="s">
        <v>734</v>
      </c>
      <c r="G3579" s="21" t="s">
        <v>29288</v>
      </c>
      <c r="H3579" s="21" t="s">
        <v>31880</v>
      </c>
    </row>
    <row r="3580" customFormat="false" ht="15" hidden="false" customHeight="false" outlineLevel="0" collapsed="false">
      <c r="B3580" s="19" t="s">
        <v>31998</v>
      </c>
      <c r="C3580" s="20" t="n">
        <f aca="false">ROUND(2.6/FX,2)</f>
        <v>0.36</v>
      </c>
      <c r="D3580" s="21" t="s">
        <v>31985</v>
      </c>
      <c r="E3580" s="21" t="s">
        <v>13732</v>
      </c>
      <c r="F3580" s="21" t="s">
        <v>734</v>
      </c>
      <c r="G3580" s="21" t="s">
        <v>31884</v>
      </c>
      <c r="H3580" s="21" t="s">
        <v>31880</v>
      </c>
    </row>
    <row r="3581" customFormat="false" ht="15" hidden="false" customHeight="false" outlineLevel="0" collapsed="false">
      <c r="B3581" s="19" t="s">
        <v>31999</v>
      </c>
      <c r="C3581" s="20" t="n">
        <f aca="false">ROUND(3.25/FX,2)</f>
        <v>0.45</v>
      </c>
      <c r="D3581" s="21" t="s">
        <v>32000</v>
      </c>
      <c r="E3581" s="21" t="s">
        <v>13732</v>
      </c>
      <c r="F3581" s="21" t="s">
        <v>734</v>
      </c>
      <c r="G3581" s="21" t="s">
        <v>29407</v>
      </c>
      <c r="H3581" s="21" t="s">
        <v>6336</v>
      </c>
    </row>
    <row r="3582" customFormat="false" ht="15" hidden="false" customHeight="false" outlineLevel="0" collapsed="false">
      <c r="B3582" s="19" t="s">
        <v>32001</v>
      </c>
      <c r="C3582" s="20" t="n">
        <f aca="false">ROUND(3.25/FX,2)</f>
        <v>0.45</v>
      </c>
      <c r="D3582" s="21" t="s">
        <v>32000</v>
      </c>
      <c r="E3582" s="21" t="s">
        <v>13732</v>
      </c>
      <c r="F3582" s="21" t="s">
        <v>734</v>
      </c>
      <c r="G3582" s="21" t="s">
        <v>29288</v>
      </c>
      <c r="H3582" s="21" t="s">
        <v>6336</v>
      </c>
    </row>
    <row r="3583" customFormat="false" ht="15" hidden="false" customHeight="false" outlineLevel="0" collapsed="false">
      <c r="B3583" s="19" t="s">
        <v>32002</v>
      </c>
      <c r="C3583" s="20" t="n">
        <f aca="false">ROUND(3.25/FX,2)</f>
        <v>0.45</v>
      </c>
      <c r="D3583" s="21" t="s">
        <v>32000</v>
      </c>
      <c r="E3583" s="21" t="s">
        <v>13732</v>
      </c>
      <c r="F3583" s="21" t="s">
        <v>734</v>
      </c>
      <c r="G3583" s="21" t="s">
        <v>31884</v>
      </c>
      <c r="H3583" s="21" t="s">
        <v>6336</v>
      </c>
    </row>
    <row r="3584" customFormat="false" ht="15" hidden="false" customHeight="false" outlineLevel="0" collapsed="false">
      <c r="B3584" s="19" t="s">
        <v>32003</v>
      </c>
      <c r="C3584" s="20" t="n">
        <f aca="false">ROUND(3.12/FX,2)</f>
        <v>0.43</v>
      </c>
      <c r="D3584" s="21" t="s">
        <v>32004</v>
      </c>
      <c r="E3584" s="21" t="s">
        <v>13732</v>
      </c>
      <c r="F3584" s="21" t="s">
        <v>734</v>
      </c>
      <c r="G3584" s="21" t="s">
        <v>29407</v>
      </c>
      <c r="H3584" s="21" t="s">
        <v>31880</v>
      </c>
    </row>
    <row r="3585" customFormat="false" ht="15" hidden="false" customHeight="false" outlineLevel="0" collapsed="false">
      <c r="B3585" s="19" t="s">
        <v>32005</v>
      </c>
      <c r="C3585" s="20" t="n">
        <f aca="false">ROUND(3.38/FX,2)</f>
        <v>0.47</v>
      </c>
      <c r="D3585" s="21" t="s">
        <v>32004</v>
      </c>
      <c r="E3585" s="21" t="s">
        <v>13732</v>
      </c>
      <c r="F3585" s="21" t="s">
        <v>734</v>
      </c>
      <c r="G3585" s="21" t="s">
        <v>29288</v>
      </c>
      <c r="H3585" s="21" t="s">
        <v>31880</v>
      </c>
    </row>
    <row r="3586" customFormat="false" ht="15" hidden="false" customHeight="false" outlineLevel="0" collapsed="false">
      <c r="B3586" s="19" t="s">
        <v>32006</v>
      </c>
      <c r="C3586" s="20" t="n">
        <f aca="false">ROUND(3.12/FX,2)</f>
        <v>0.43</v>
      </c>
      <c r="D3586" s="21" t="s">
        <v>32004</v>
      </c>
      <c r="E3586" s="21" t="s">
        <v>13732</v>
      </c>
      <c r="F3586" s="21" t="s">
        <v>734</v>
      </c>
      <c r="G3586" s="21" t="s">
        <v>31884</v>
      </c>
      <c r="H3586" s="21" t="s">
        <v>31880</v>
      </c>
    </row>
    <row r="3587" customFormat="false" ht="15" hidden="false" customHeight="false" outlineLevel="0" collapsed="false">
      <c r="B3587" s="19" t="s">
        <v>32007</v>
      </c>
      <c r="C3587" s="20" t="n">
        <f aca="false">ROUND(3.51/FX,2)</f>
        <v>0.49</v>
      </c>
      <c r="D3587" s="21" t="s">
        <v>32008</v>
      </c>
      <c r="E3587" s="21" t="s">
        <v>13732</v>
      </c>
      <c r="F3587" s="21" t="s">
        <v>734</v>
      </c>
      <c r="G3587" s="21" t="s">
        <v>29407</v>
      </c>
      <c r="H3587" s="21" t="s">
        <v>31880</v>
      </c>
    </row>
    <row r="3588" customFormat="false" ht="15" hidden="false" customHeight="false" outlineLevel="0" collapsed="false">
      <c r="B3588" s="19" t="s">
        <v>32009</v>
      </c>
      <c r="C3588" s="20" t="n">
        <f aca="false">ROUND(3.51/FX,2)</f>
        <v>0.49</v>
      </c>
      <c r="D3588" s="21" t="s">
        <v>32008</v>
      </c>
      <c r="E3588" s="21" t="s">
        <v>13732</v>
      </c>
      <c r="F3588" s="21" t="s">
        <v>734</v>
      </c>
      <c r="G3588" s="21" t="s">
        <v>29288</v>
      </c>
      <c r="H3588" s="21" t="s">
        <v>31880</v>
      </c>
    </row>
    <row r="3589" customFormat="false" ht="15" hidden="false" customHeight="false" outlineLevel="0" collapsed="false">
      <c r="B3589" s="19" t="s">
        <v>32010</v>
      </c>
      <c r="C3589" s="20" t="n">
        <f aca="false">ROUND(3.51/FX,2)</f>
        <v>0.49</v>
      </c>
      <c r="D3589" s="21" t="s">
        <v>32008</v>
      </c>
      <c r="E3589" s="21" t="s">
        <v>13732</v>
      </c>
      <c r="F3589" s="21" t="s">
        <v>734</v>
      </c>
      <c r="G3589" s="21" t="s">
        <v>31884</v>
      </c>
      <c r="H3589" s="21" t="s">
        <v>31880</v>
      </c>
    </row>
    <row r="3590" customFormat="false" ht="28.35" hidden="false" customHeight="false" outlineLevel="0" collapsed="false">
      <c r="B3590" s="19" t="s">
        <v>32011</v>
      </c>
      <c r="C3590" s="20" t="n">
        <f aca="false">ROUND(9.1/FX,2)</f>
        <v>1.26</v>
      </c>
      <c r="D3590" s="21" t="s">
        <v>32012</v>
      </c>
      <c r="E3590" s="21" t="s">
        <v>13732</v>
      </c>
      <c r="F3590" s="21" t="s">
        <v>32013</v>
      </c>
      <c r="G3590" s="21" t="s">
        <v>29407</v>
      </c>
      <c r="H3590" s="21" t="s">
        <v>31891</v>
      </c>
    </row>
    <row r="3591" customFormat="false" ht="28.35" hidden="false" customHeight="false" outlineLevel="0" collapsed="false">
      <c r="B3591" s="19" t="s">
        <v>32014</v>
      </c>
      <c r="C3591" s="20" t="n">
        <f aca="false">ROUND(7.8/FX,2)</f>
        <v>1.08</v>
      </c>
      <c r="D3591" s="21" t="s">
        <v>32012</v>
      </c>
      <c r="E3591" s="21" t="s">
        <v>13732</v>
      </c>
      <c r="F3591" s="21" t="s">
        <v>32015</v>
      </c>
      <c r="G3591" s="21" t="s">
        <v>29288</v>
      </c>
      <c r="H3591" s="21" t="s">
        <v>31891</v>
      </c>
    </row>
    <row r="3592" customFormat="false" ht="28.35" hidden="false" customHeight="false" outlineLevel="0" collapsed="false">
      <c r="B3592" s="19" t="s">
        <v>32016</v>
      </c>
      <c r="C3592" s="20" t="n">
        <f aca="false">ROUND(9.1/FX,2)</f>
        <v>1.26</v>
      </c>
      <c r="D3592" s="21" t="s">
        <v>32012</v>
      </c>
      <c r="E3592" s="21" t="s">
        <v>13732</v>
      </c>
      <c r="F3592" s="21" t="s">
        <v>32013</v>
      </c>
      <c r="G3592" s="21" t="s">
        <v>29288</v>
      </c>
      <c r="H3592" s="21" t="s">
        <v>31891</v>
      </c>
    </row>
    <row r="3593" customFormat="false" ht="28.35" hidden="false" customHeight="false" outlineLevel="0" collapsed="false">
      <c r="B3593" s="19" t="s">
        <v>32017</v>
      </c>
      <c r="C3593" s="20" t="n">
        <f aca="false">ROUND(9.1/FX,2)</f>
        <v>1.26</v>
      </c>
      <c r="D3593" s="21" t="s">
        <v>32012</v>
      </c>
      <c r="E3593" s="21" t="s">
        <v>13732</v>
      </c>
      <c r="F3593" s="21" t="s">
        <v>32013</v>
      </c>
      <c r="G3593" s="21" t="s">
        <v>31884</v>
      </c>
      <c r="H3593" s="21" t="s">
        <v>31891</v>
      </c>
    </row>
    <row r="3594" customFormat="false" ht="28.35" hidden="false" customHeight="false" outlineLevel="0" collapsed="false">
      <c r="B3594" s="19" t="s">
        <v>32018</v>
      </c>
      <c r="C3594" s="20" t="n">
        <f aca="false">ROUND(2.86/FX,2)</f>
        <v>0.4</v>
      </c>
      <c r="D3594" s="21" t="s">
        <v>32012</v>
      </c>
      <c r="E3594" s="21" t="s">
        <v>13732</v>
      </c>
      <c r="F3594" s="21" t="s">
        <v>32013</v>
      </c>
      <c r="G3594" s="21" t="s">
        <v>29407</v>
      </c>
      <c r="H3594" s="21" t="s">
        <v>31880</v>
      </c>
    </row>
    <row r="3595" customFormat="false" ht="28.35" hidden="false" customHeight="false" outlineLevel="0" collapsed="false">
      <c r="B3595" s="19" t="s">
        <v>32019</v>
      </c>
      <c r="C3595" s="20" t="n">
        <f aca="false">ROUND(3.9/FX,2)</f>
        <v>0.54</v>
      </c>
      <c r="D3595" s="21" t="s">
        <v>32012</v>
      </c>
      <c r="E3595" s="21" t="s">
        <v>13732</v>
      </c>
      <c r="F3595" s="21" t="s">
        <v>32015</v>
      </c>
      <c r="G3595" s="21" t="s">
        <v>29288</v>
      </c>
      <c r="H3595" s="21" t="s">
        <v>31880</v>
      </c>
    </row>
    <row r="3596" customFormat="false" ht="28.35" hidden="false" customHeight="false" outlineLevel="0" collapsed="false">
      <c r="B3596" s="19" t="s">
        <v>32020</v>
      </c>
      <c r="C3596" s="20" t="n">
        <f aca="false">ROUND(3.12/FX,2)</f>
        <v>0.43</v>
      </c>
      <c r="D3596" s="21" t="s">
        <v>32012</v>
      </c>
      <c r="E3596" s="21" t="s">
        <v>13732</v>
      </c>
      <c r="F3596" s="21" t="s">
        <v>32013</v>
      </c>
      <c r="G3596" s="21" t="s">
        <v>29288</v>
      </c>
      <c r="H3596" s="21" t="s">
        <v>31880</v>
      </c>
    </row>
    <row r="3597" customFormat="false" ht="28.35" hidden="false" customHeight="false" outlineLevel="0" collapsed="false">
      <c r="B3597" s="19" t="s">
        <v>32021</v>
      </c>
      <c r="C3597" s="20" t="n">
        <f aca="false">ROUND(2.99/FX,2)</f>
        <v>0.42</v>
      </c>
      <c r="D3597" s="21" t="s">
        <v>32012</v>
      </c>
      <c r="E3597" s="21" t="s">
        <v>13732</v>
      </c>
      <c r="F3597" s="21" t="s">
        <v>32013</v>
      </c>
      <c r="G3597" s="21" t="s">
        <v>31884</v>
      </c>
      <c r="H3597" s="21" t="s">
        <v>31880</v>
      </c>
    </row>
    <row r="3600" customFormat="false" ht="61.5" hidden="false" customHeight="true" outlineLevel="0" collapsed="false">
      <c r="A3600" s="9"/>
      <c r="B3600" s="10" t="s">
        <v>32022</v>
      </c>
      <c r="C3600" s="10"/>
      <c r="D3600" s="10"/>
      <c r="E3600" s="10"/>
      <c r="F3600" s="10"/>
    </row>
    <row r="3601" customFormat="false" ht="15" hidden="false" customHeight="false" outlineLevel="0" collapsed="false">
      <c r="A3601" s="12" t="s">
        <v>700</v>
      </c>
      <c r="B3601" s="13" t="s">
        <v>701</v>
      </c>
      <c r="C3601" s="13" t="s">
        <v>702</v>
      </c>
      <c r="D3601" s="13" t="s">
        <v>722</v>
      </c>
      <c r="E3601" s="13" t="s">
        <v>723</v>
      </c>
      <c r="F3601" s="13" t="s">
        <v>6523</v>
      </c>
    </row>
    <row r="3602" customFormat="false" ht="30" hidden="false" customHeight="true" outlineLevel="0" collapsed="false">
      <c r="A3602" s="14" t="s">
        <v>706</v>
      </c>
      <c r="B3602" s="15" t="str">
        <f aca="false">IF(COUNTIFS($D$3605:$D$3613,IF(D3602="","*",D3602),$E$3605:$E$3613,IF(E3602="","*",E3602),$F$3605:$F$3613,IF(F3602="","*",F3602))=1,INDEX($B:$B,SUMPRODUCT(((D3602="")+($D$3605:$D$3613=D3602)&gt;0)*((E3602="")+($E$3605:$E$3613=E3602)&gt;0)*((F3602="")+($F$3605:$F$3613=F3602)&gt;0)*ROW($B$3605:$B$3613))),IF(COUNTIFS($D$3605:$D$3613,IF(D3602="","*",D3602),$E$3605:$E$3613,IF(E3602="","*",E3602),$F$3605:$F$3613,IF(F3602="","*",F3602))=0,"Not available",COUNTIFS($D$3605:$D$3613,IF(D3602="","*",D3602),$E$3605:$E$3613,IF(E3602="","*",E3602),$F$3605:$F$3613,IF(F3602="","*",F3602))&amp;" match, keep choosing"))</f>
        <v>P3-004-9x9x12-BK-BDJ</v>
      </c>
      <c r="C3602" s="16" t="n">
        <f aca="false">IF(COUNTIFS($D$3605:$D$3613,IF(D3602="","*",D3602),$E$3605:$E$3613,IF(E3602="","*",E3602),$F$3605:$F$3613,IF(F3602="","*",F3602))=1,INDEX($C:$C,SUMPRODUCT(((D3602="")+($D$3605:$D$3613=D3602)&gt;0)*((E3602="")+($E$3605:$E$3613=E3602)&gt;0)*((F3602="")+($F$3605:$F$3613=F3602)&gt;0)*ROW($B$3605:$B$3613))),"")</f>
        <v>0.08</v>
      </c>
      <c r="D3602" s="17" t="s">
        <v>724</v>
      </c>
      <c r="E3602" s="17" t="s">
        <v>32023</v>
      </c>
      <c r="F3602" s="17" t="s">
        <v>32024</v>
      </c>
    </row>
    <row r="3604" customFormat="false" ht="15" hidden="false" customHeight="false" outlineLevel="0" collapsed="false">
      <c r="B3604" s="18" t="s">
        <v>701</v>
      </c>
      <c r="C3604" s="18" t="s">
        <v>702</v>
      </c>
      <c r="D3604" s="18" t="s">
        <v>722</v>
      </c>
      <c r="E3604" s="18" t="s">
        <v>723</v>
      </c>
      <c r="F3604" s="18" t="s">
        <v>6523</v>
      </c>
    </row>
    <row r="3605" customFormat="false" ht="15" hidden="false" customHeight="false" outlineLevel="0" collapsed="false">
      <c r="B3605" s="19" t="s">
        <v>32025</v>
      </c>
      <c r="C3605" s="20" t="n">
        <f aca="false">ROUND(0.59/FX,2)</f>
        <v>0.08</v>
      </c>
      <c r="D3605" s="21" t="s">
        <v>724</v>
      </c>
      <c r="E3605" s="21" t="s">
        <v>32023</v>
      </c>
      <c r="F3605" s="21" t="s">
        <v>32024</v>
      </c>
    </row>
    <row r="3606" customFormat="false" ht="28.35" hidden="false" customHeight="false" outlineLevel="0" collapsed="false">
      <c r="B3606" s="19" t="s">
        <v>32026</v>
      </c>
      <c r="C3606" s="20" t="n">
        <f aca="false">ROUND(0.72/FX,2)</f>
        <v>0.1</v>
      </c>
      <c r="D3606" s="21" t="s">
        <v>724</v>
      </c>
      <c r="E3606" s="21" t="s">
        <v>32027</v>
      </c>
      <c r="F3606" s="21" t="s">
        <v>32024</v>
      </c>
    </row>
    <row r="3607" customFormat="false" ht="15" hidden="false" customHeight="false" outlineLevel="0" collapsed="false">
      <c r="B3607" s="19" t="s">
        <v>32028</v>
      </c>
      <c r="C3607" s="20" t="n">
        <f aca="false">ROUND(0.65/FX,2)</f>
        <v>0.09</v>
      </c>
      <c r="D3607" s="21" t="s">
        <v>7884</v>
      </c>
      <c r="E3607" s="21" t="s">
        <v>32023</v>
      </c>
      <c r="F3607" s="21" t="s">
        <v>32024</v>
      </c>
    </row>
    <row r="3608" customFormat="false" ht="28.35" hidden="false" customHeight="false" outlineLevel="0" collapsed="false">
      <c r="B3608" s="19" t="s">
        <v>32029</v>
      </c>
      <c r="C3608" s="20" t="n">
        <f aca="false">ROUND(0.72/FX,2)</f>
        <v>0.1</v>
      </c>
      <c r="D3608" s="21" t="s">
        <v>7884</v>
      </c>
      <c r="E3608" s="21" t="s">
        <v>32027</v>
      </c>
      <c r="F3608" s="21" t="s">
        <v>32024</v>
      </c>
    </row>
    <row r="3609" customFormat="false" ht="15" hidden="false" customHeight="false" outlineLevel="0" collapsed="false">
      <c r="B3609" s="19" t="s">
        <v>32030</v>
      </c>
      <c r="C3609" s="20" t="n">
        <f aca="false">ROUND(0.52/FX,2)</f>
        <v>0.07</v>
      </c>
      <c r="D3609" s="21" t="s">
        <v>6549</v>
      </c>
      <c r="E3609" s="21" t="s">
        <v>32023</v>
      </c>
      <c r="F3609" s="21" t="s">
        <v>32024</v>
      </c>
    </row>
    <row r="3610" customFormat="false" ht="15" hidden="false" customHeight="false" outlineLevel="0" collapsed="false">
      <c r="B3610" s="19" t="s">
        <v>32031</v>
      </c>
      <c r="C3610" s="20" t="n">
        <f aca="false">ROUND(0.72/FX,2)</f>
        <v>0.1</v>
      </c>
      <c r="D3610" s="21" t="s">
        <v>6549</v>
      </c>
      <c r="E3610" s="21" t="s">
        <v>32032</v>
      </c>
      <c r="F3610" s="21" t="s">
        <v>32024</v>
      </c>
    </row>
    <row r="3611" customFormat="false" ht="28.35" hidden="false" customHeight="false" outlineLevel="0" collapsed="false">
      <c r="B3611" s="19" t="s">
        <v>32033</v>
      </c>
      <c r="C3611" s="20" t="n">
        <f aca="false">ROUND(0.72/FX,2)</f>
        <v>0.1</v>
      </c>
      <c r="D3611" s="21" t="s">
        <v>6549</v>
      </c>
      <c r="E3611" s="21" t="s">
        <v>32027</v>
      </c>
      <c r="F3611" s="21" t="s">
        <v>32024</v>
      </c>
    </row>
    <row r="3612" customFormat="false" ht="28.35" hidden="false" customHeight="false" outlineLevel="0" collapsed="false">
      <c r="B3612" s="19" t="s">
        <v>32034</v>
      </c>
      <c r="C3612" s="20" t="n">
        <f aca="false">ROUND(0.52/FX,2)</f>
        <v>0.07</v>
      </c>
      <c r="D3612" s="21" t="s">
        <v>7884</v>
      </c>
      <c r="E3612" s="21" t="s">
        <v>32035</v>
      </c>
      <c r="F3612" s="21" t="s">
        <v>6336</v>
      </c>
    </row>
    <row r="3613" customFormat="false" ht="28.35" hidden="false" customHeight="false" outlineLevel="0" collapsed="false">
      <c r="B3613" s="19" t="s">
        <v>32036</v>
      </c>
      <c r="C3613" s="20" t="n">
        <f aca="false">ROUND(0.52/FX,2)</f>
        <v>0.07</v>
      </c>
      <c r="D3613" s="21" t="s">
        <v>6549</v>
      </c>
      <c r="E3613" s="21" t="s">
        <v>32035</v>
      </c>
      <c r="F3613" s="21" t="s">
        <v>6336</v>
      </c>
    </row>
    <row r="3616" customFormat="false" ht="61.5" hidden="false" customHeight="true" outlineLevel="0" collapsed="false">
      <c r="A3616" s="9"/>
      <c r="B3616" s="10" t="s">
        <v>32037</v>
      </c>
      <c r="C3616" s="10"/>
      <c r="D3616" s="10"/>
      <c r="E3616" s="10"/>
      <c r="F3616" s="10"/>
      <c r="G3616" s="10"/>
      <c r="H3616" s="10"/>
    </row>
    <row r="3617" customFormat="false" ht="15" hidden="false" customHeight="false" outlineLevel="0" collapsed="false">
      <c r="A3617" s="12" t="s">
        <v>700</v>
      </c>
      <c r="B3617" s="13" t="s">
        <v>701</v>
      </c>
      <c r="C3617" s="13" t="s">
        <v>702</v>
      </c>
      <c r="D3617" s="13" t="s">
        <v>722</v>
      </c>
      <c r="E3617" s="13" t="s">
        <v>704</v>
      </c>
      <c r="F3617" s="13" t="s">
        <v>723</v>
      </c>
      <c r="G3617" s="13" t="s">
        <v>6328</v>
      </c>
      <c r="H3617" s="13" t="s">
        <v>6523</v>
      </c>
    </row>
    <row r="3618" customFormat="false" ht="30" hidden="false" customHeight="true" outlineLevel="0" collapsed="false">
      <c r="A3618" s="14" t="s">
        <v>706</v>
      </c>
      <c r="B3618" s="15" t="str">
        <f aca="false">IF(COUNTIFS($D$3621:$D$3636,IF(D3618="","*",D3618),$E$3621:$E$3636,IF(E3618="","*",E3618),$F$3621:$F$3636,IF(F3618="","*",F3618),$G$3621:$G$3636,IF(G3618="","*",G3618),$H$3621:$H$3636,IF(H3618="","*",H3618))=1,INDEX($B:$B,SUMPRODUCT(((D3618="")+($D$3621:$D$3636=D3618)&gt;0)*((E3618="")+($E$3621:$E$3636=E3618)&gt;0)*((F3618="")+($F$3621:$F$3636=F3618)&gt;0)*((G3618="")+($G$3621:$G$3636=G3618)&gt;0)*((H3618="")+($H$3621:$H$3636=H3618)&gt;0)*ROW($B$3621:$B$3636))),IF(COUNTIFS($D$3621:$D$3636,IF(D3618="","*",D3618),$E$3621:$E$3636,IF(E3618="","*",E3618),$F$3621:$F$3636,IF(F3618="","*",F3618),$G$3621:$G$3636,IF(G3618="","*",G3618),$H$3621:$H$3636,IF(H3618="","*",H3618))=0,"Not available",COUNTIFS($D$3621:$D$3636,IF(D3618="","*",D3618),$E$3621:$E$3636,IF(E3618="","*",E3618),$F$3621:$F$3636,IF(F3618="","*",F3618),$G$3621:$G$3636,IF(G3618="","*",G3618),$H$3621:$H$3636,IF(H3618="","*",H3618))&amp;" match, keep choosing"))</f>
        <v>FG2-DG-12cm-BK-AL-S</v>
      </c>
      <c r="C3618" s="16" t="n">
        <f aca="false">IF(COUNTIFS($D$3621:$D$3636,IF(D3618="","*",D3618),$E$3621:$E$3636,IF(E3618="","*",E3618),$F$3621:$F$3636,IF(F3618="","*",F3618),$G$3621:$G$3636,IF(G3618="","*",G3618),$H$3621:$H$3636,IF(H3618="","*",H3618))=1,INDEX($C:$C,SUMPRODUCT(((D3618="")+($D$3621:$D$3636=D3618)&gt;0)*((E3618="")+($E$3621:$E$3636=E3618)&gt;0)*((F3618="")+($F$3621:$F$3636=F3618)&gt;0)*((G3618="")+($G$3621:$G$3636=G3618)&gt;0)*((H3618="")+($H$3621:$H$3636=H3618)&gt;0)*ROW($B$3621:$B$3636))),"")</f>
        <v>0.87</v>
      </c>
      <c r="D3618" s="17" t="s">
        <v>724</v>
      </c>
      <c r="E3618" s="17" t="s">
        <v>32038</v>
      </c>
      <c r="F3618" s="17" t="s">
        <v>19610</v>
      </c>
      <c r="G3618" s="17" t="s">
        <v>32039</v>
      </c>
      <c r="H3618" s="17" t="s">
        <v>32040</v>
      </c>
    </row>
    <row r="3620" customFormat="false" ht="15" hidden="false" customHeight="false" outlineLevel="0" collapsed="false">
      <c r="B3620" s="18" t="s">
        <v>701</v>
      </c>
      <c r="C3620" s="18" t="s">
        <v>702</v>
      </c>
      <c r="D3620" s="18" t="s">
        <v>722</v>
      </c>
      <c r="E3620" s="18" t="s">
        <v>704</v>
      </c>
      <c r="F3620" s="18" t="s">
        <v>723</v>
      </c>
      <c r="G3620" s="18" t="s">
        <v>6328</v>
      </c>
      <c r="H3620" s="18" t="s">
        <v>6523</v>
      </c>
    </row>
    <row r="3621" customFormat="false" ht="15" hidden="false" customHeight="false" outlineLevel="0" collapsed="false">
      <c r="B3621" s="19" t="s">
        <v>32041</v>
      </c>
      <c r="C3621" s="20" t="n">
        <f aca="false">ROUND(6.27/FX,2)</f>
        <v>0.87</v>
      </c>
      <c r="D3621" s="21" t="s">
        <v>724</v>
      </c>
      <c r="E3621" s="21" t="s">
        <v>32038</v>
      </c>
      <c r="F3621" s="21" t="s">
        <v>19610</v>
      </c>
      <c r="G3621" s="21" t="s">
        <v>32039</v>
      </c>
      <c r="H3621" s="21" t="s">
        <v>32040</v>
      </c>
    </row>
    <row r="3622" customFormat="false" ht="15" hidden="false" customHeight="false" outlineLevel="0" collapsed="false">
      <c r="B3622" s="19" t="s">
        <v>32042</v>
      </c>
      <c r="C3622" s="20" t="n">
        <f aca="false">ROUND(5.62/FX,2)</f>
        <v>0.78</v>
      </c>
      <c r="D3622" s="21" t="s">
        <v>751</v>
      </c>
      <c r="E3622" s="21" t="s">
        <v>32038</v>
      </c>
      <c r="F3622" s="21" t="s">
        <v>19610</v>
      </c>
      <c r="G3622" s="21" t="s">
        <v>32039</v>
      </c>
      <c r="H3622" s="21" t="s">
        <v>32040</v>
      </c>
    </row>
    <row r="3623" customFormat="false" ht="15" hidden="false" customHeight="false" outlineLevel="0" collapsed="false">
      <c r="B3623" s="19" t="s">
        <v>32043</v>
      </c>
      <c r="C3623" s="20" t="n">
        <f aca="false">ROUND(4.12/FX,2)</f>
        <v>0.57</v>
      </c>
      <c r="D3623" s="21" t="s">
        <v>724</v>
      </c>
      <c r="E3623" s="21" t="s">
        <v>32038</v>
      </c>
      <c r="F3623" s="21" t="s">
        <v>19610</v>
      </c>
      <c r="G3623" s="21" t="s">
        <v>32039</v>
      </c>
      <c r="H3623" s="21" t="s">
        <v>32044</v>
      </c>
    </row>
    <row r="3624" customFormat="false" ht="15" hidden="false" customHeight="false" outlineLevel="0" collapsed="false">
      <c r="B3624" s="19" t="s">
        <v>32045</v>
      </c>
      <c r="C3624" s="20" t="n">
        <f aca="false">ROUND(3.6/FX,2)</f>
        <v>0.5</v>
      </c>
      <c r="D3624" s="21" t="s">
        <v>751</v>
      </c>
      <c r="E3624" s="21" t="s">
        <v>32038</v>
      </c>
      <c r="F3624" s="21" t="s">
        <v>19610</v>
      </c>
      <c r="G3624" s="21" t="s">
        <v>32039</v>
      </c>
      <c r="H3624" s="21" t="s">
        <v>32044</v>
      </c>
    </row>
    <row r="3625" customFormat="false" ht="15" hidden="false" customHeight="false" outlineLevel="0" collapsed="false">
      <c r="B3625" s="19" t="s">
        <v>32046</v>
      </c>
      <c r="C3625" s="20" t="n">
        <f aca="false">ROUND(4.38/FX,2)</f>
        <v>0.61</v>
      </c>
      <c r="D3625" s="21" t="s">
        <v>724</v>
      </c>
      <c r="E3625" s="21" t="s">
        <v>32038</v>
      </c>
      <c r="F3625" s="21" t="s">
        <v>19610</v>
      </c>
      <c r="G3625" s="21" t="s">
        <v>32039</v>
      </c>
      <c r="H3625" s="21" t="s">
        <v>32047</v>
      </c>
    </row>
    <row r="3626" customFormat="false" ht="15" hidden="false" customHeight="false" outlineLevel="0" collapsed="false">
      <c r="B3626" s="19" t="s">
        <v>32048</v>
      </c>
      <c r="C3626" s="20" t="n">
        <f aca="false">ROUND(4/FX,2)</f>
        <v>0.56</v>
      </c>
      <c r="D3626" s="21" t="s">
        <v>751</v>
      </c>
      <c r="E3626" s="21" t="s">
        <v>32038</v>
      </c>
      <c r="F3626" s="21" t="s">
        <v>19610</v>
      </c>
      <c r="G3626" s="21" t="s">
        <v>32039</v>
      </c>
      <c r="H3626" s="21" t="s">
        <v>32047</v>
      </c>
    </row>
    <row r="3627" customFormat="false" ht="15" hidden="false" customHeight="false" outlineLevel="0" collapsed="false">
      <c r="B3627" s="19" t="s">
        <v>32049</v>
      </c>
      <c r="C3627" s="20" t="n">
        <f aca="false">ROUND(4.65/FX,2)</f>
        <v>0.65</v>
      </c>
      <c r="D3627" s="21" t="s">
        <v>724</v>
      </c>
      <c r="E3627" s="21" t="s">
        <v>32038</v>
      </c>
      <c r="F3627" s="21" t="s">
        <v>19610</v>
      </c>
      <c r="G3627" s="21" t="s">
        <v>32039</v>
      </c>
      <c r="H3627" s="21" t="s">
        <v>32050</v>
      </c>
    </row>
    <row r="3628" customFormat="false" ht="15" hidden="false" customHeight="false" outlineLevel="0" collapsed="false">
      <c r="B3628" s="19" t="s">
        <v>32051</v>
      </c>
      <c r="C3628" s="20" t="n">
        <f aca="false">ROUND(4.39/FX,2)</f>
        <v>0.61</v>
      </c>
      <c r="D3628" s="21" t="s">
        <v>751</v>
      </c>
      <c r="E3628" s="21" t="s">
        <v>32038</v>
      </c>
      <c r="F3628" s="21" t="s">
        <v>19610</v>
      </c>
      <c r="G3628" s="21" t="s">
        <v>32039</v>
      </c>
      <c r="H3628" s="21" t="s">
        <v>32050</v>
      </c>
    </row>
    <row r="3629" customFormat="false" ht="15" hidden="false" customHeight="false" outlineLevel="0" collapsed="false">
      <c r="B3629" s="19" t="s">
        <v>32052</v>
      </c>
      <c r="C3629" s="20" t="n">
        <f aca="false">ROUND(1.3/FX,2)</f>
        <v>0.18</v>
      </c>
      <c r="D3629" s="21" t="s">
        <v>6336</v>
      </c>
      <c r="E3629" s="21" t="s">
        <v>32053</v>
      </c>
      <c r="F3629" s="21" t="s">
        <v>734</v>
      </c>
      <c r="G3629" s="21" t="s">
        <v>32054</v>
      </c>
      <c r="H3629" s="21" t="s">
        <v>32040</v>
      </c>
    </row>
    <row r="3630" customFormat="false" ht="15" hidden="false" customHeight="false" outlineLevel="0" collapsed="false">
      <c r="B3630" s="19" t="s">
        <v>32055</v>
      </c>
      <c r="C3630" s="20" t="n">
        <f aca="false">ROUND(1.83/FX,2)</f>
        <v>0.25</v>
      </c>
      <c r="D3630" s="21" t="s">
        <v>6336</v>
      </c>
      <c r="E3630" s="21" t="s">
        <v>32053</v>
      </c>
      <c r="F3630" s="21" t="s">
        <v>734</v>
      </c>
      <c r="G3630" s="21" t="s">
        <v>32054</v>
      </c>
      <c r="H3630" s="21" t="s">
        <v>32056</v>
      </c>
    </row>
    <row r="3631" customFormat="false" ht="15" hidden="false" customHeight="false" outlineLevel="0" collapsed="false">
      <c r="B3631" s="19" t="s">
        <v>32057</v>
      </c>
      <c r="C3631" s="20" t="n">
        <f aca="false">ROUND(6.89/FX,2)</f>
        <v>0.96</v>
      </c>
      <c r="D3631" s="21" t="s">
        <v>6336</v>
      </c>
      <c r="E3631" s="21" t="s">
        <v>26929</v>
      </c>
      <c r="F3631" s="21" t="s">
        <v>734</v>
      </c>
      <c r="G3631" s="21" t="s">
        <v>32054</v>
      </c>
      <c r="H3631" s="21" t="s">
        <v>32056</v>
      </c>
    </row>
    <row r="3632" customFormat="false" ht="15" hidden="false" customHeight="false" outlineLevel="0" collapsed="false">
      <c r="B3632" s="19" t="s">
        <v>32058</v>
      </c>
      <c r="C3632" s="20" t="n">
        <f aca="false">ROUND(0.7/FX,2)</f>
        <v>0.1</v>
      </c>
      <c r="D3632" s="21" t="s">
        <v>6336</v>
      </c>
      <c r="E3632" s="21" t="s">
        <v>32053</v>
      </c>
      <c r="F3632" s="21" t="s">
        <v>734</v>
      </c>
      <c r="G3632" s="21" t="s">
        <v>32054</v>
      </c>
      <c r="H3632" s="21" t="s">
        <v>32059</v>
      </c>
    </row>
    <row r="3633" customFormat="false" ht="15" hidden="false" customHeight="false" outlineLevel="0" collapsed="false">
      <c r="B3633" s="19" t="s">
        <v>32060</v>
      </c>
      <c r="C3633" s="20" t="n">
        <f aca="false">ROUND(0.4/FX,2)</f>
        <v>0.06</v>
      </c>
      <c r="D3633" s="21" t="s">
        <v>6336</v>
      </c>
      <c r="E3633" s="21" t="s">
        <v>32053</v>
      </c>
      <c r="F3633" s="21" t="s">
        <v>734</v>
      </c>
      <c r="G3633" s="21" t="s">
        <v>32054</v>
      </c>
      <c r="H3633" s="21" t="s">
        <v>32061</v>
      </c>
    </row>
    <row r="3634" customFormat="false" ht="15" hidden="false" customHeight="false" outlineLevel="0" collapsed="false">
      <c r="B3634" s="19" t="s">
        <v>32062</v>
      </c>
      <c r="C3634" s="20" t="n">
        <f aca="false">ROUND(1.62/FX,2)</f>
        <v>0.23</v>
      </c>
      <c r="D3634" s="21" t="s">
        <v>6336</v>
      </c>
      <c r="E3634" s="21" t="s">
        <v>26929</v>
      </c>
      <c r="F3634" s="21" t="s">
        <v>734</v>
      </c>
      <c r="G3634" s="21" t="s">
        <v>32054</v>
      </c>
      <c r="H3634" s="21" t="s">
        <v>32061</v>
      </c>
    </row>
    <row r="3635" customFormat="false" ht="15" hidden="false" customHeight="false" outlineLevel="0" collapsed="false">
      <c r="B3635" s="19" t="s">
        <v>32063</v>
      </c>
      <c r="C3635" s="20" t="n">
        <f aca="false">ROUND(2.23/FX,2)</f>
        <v>0.31</v>
      </c>
      <c r="D3635" s="21" t="s">
        <v>6336</v>
      </c>
      <c r="E3635" s="21" t="s">
        <v>32053</v>
      </c>
      <c r="F3635" s="21" t="s">
        <v>734</v>
      </c>
      <c r="G3635" s="21" t="s">
        <v>32054</v>
      </c>
      <c r="H3635" s="21" t="s">
        <v>32064</v>
      </c>
    </row>
    <row r="3636" customFormat="false" ht="15" hidden="false" customHeight="false" outlineLevel="0" collapsed="false">
      <c r="B3636" s="19" t="s">
        <v>32065</v>
      </c>
      <c r="C3636" s="20" t="n">
        <f aca="false">ROUND(0.85/FX,2)</f>
        <v>0.12</v>
      </c>
      <c r="D3636" s="21" t="s">
        <v>6336</v>
      </c>
      <c r="E3636" s="21" t="s">
        <v>32053</v>
      </c>
      <c r="F3636" s="21" t="s">
        <v>734</v>
      </c>
      <c r="G3636" s="21" t="s">
        <v>32054</v>
      </c>
      <c r="H3636" s="21" t="s">
        <v>32047</v>
      </c>
    </row>
    <row r="3639" customFormat="false" ht="61.5" hidden="false" customHeight="true" outlineLevel="0" collapsed="false">
      <c r="A3639" s="9"/>
      <c r="B3639" s="10" t="s">
        <v>32066</v>
      </c>
      <c r="C3639" s="10"/>
      <c r="D3639" s="10"/>
    </row>
    <row r="3640" customFormat="false" ht="15" hidden="false" customHeight="false" outlineLevel="0" collapsed="false">
      <c r="B3640" s="18" t="s">
        <v>701</v>
      </c>
      <c r="C3640" s="18" t="s">
        <v>702</v>
      </c>
      <c r="D3640" s="18" t="s">
        <v>5610</v>
      </c>
    </row>
    <row r="3641" customFormat="false" ht="15" hidden="false" customHeight="false" outlineLevel="0" collapsed="false">
      <c r="B3641" s="19" t="s">
        <v>32067</v>
      </c>
      <c r="C3641" s="20" t="n">
        <f aca="false">ROUND(1.17/FX,2)</f>
        <v>0.16</v>
      </c>
      <c r="D3641" s="22" t="s">
        <v>5612</v>
      </c>
    </row>
    <row r="3644" customFormat="false" ht="61.5" hidden="false" customHeight="true" outlineLevel="0" collapsed="false">
      <c r="A3644" s="9"/>
      <c r="B3644" s="10" t="s">
        <v>32068</v>
      </c>
      <c r="C3644" s="10"/>
      <c r="D3644" s="10"/>
      <c r="E3644" s="10"/>
      <c r="F3644" s="10"/>
    </row>
    <row r="3645" customFormat="false" ht="15" hidden="false" customHeight="false" outlineLevel="0" collapsed="false">
      <c r="A3645" s="12" t="s">
        <v>700</v>
      </c>
      <c r="B3645" s="13" t="s">
        <v>701</v>
      </c>
      <c r="C3645" s="13" t="s">
        <v>702</v>
      </c>
      <c r="D3645" s="13" t="s">
        <v>722</v>
      </c>
      <c r="E3645" s="13" t="s">
        <v>723</v>
      </c>
      <c r="F3645" s="13" t="s">
        <v>13701</v>
      </c>
    </row>
    <row r="3646" customFormat="false" ht="30" hidden="false" customHeight="true" outlineLevel="0" collapsed="false">
      <c r="A3646" s="14" t="s">
        <v>706</v>
      </c>
      <c r="B3646" s="15" t="str">
        <f aca="false">IF(COUNTIFS($D$3649:$D$3670,IF(D3646="","*",D3646),$E$3649:$E$3670,IF(E3646="","*",E3646),$F$3649:$F$3670,IF(F3646="","*",F3646))=1,INDEX($B:$B,SUMPRODUCT(((D3646="")+($D$3649:$D$3670=D3646)&gt;0)*((E3646="")+($E$3649:$E$3670=E3646)&gt;0)*((F3646="")+($F$3649:$F$3670=F3646)&gt;0)*ROW($B$3649:$B$3670))),IF(COUNTIFS($D$3649:$D$3670,IF(D3646="","*",D3646),$E$3649:$E$3670,IF(E3646="","*",E3646),$F$3649:$F$3670,IF(F3646="","*",F3646))=0,"Not available",COUNTIFS($D$3649:$D$3670,IF(D3646="","*",D3646),$E$3649:$E$3670,IF(E3646="","*",E3646),$F$3649:$F$3670,IF(F3646="","*",F3646))&amp;" match, keep choosing"))</f>
        <v>P3-032-BK-BTK-PC4-01</v>
      </c>
      <c r="C3646" s="16" t="n">
        <f aca="false">IF(COUNTIFS($D$3649:$D$3670,IF(D3646="","*",D3646),$E$3649:$E$3670,IF(E3646="","*",E3646),$F$3649:$F$3670,IF(F3646="","*",F3646))=1,INDEX($C:$C,SUMPRODUCT(((D3646="")+($D$3649:$D$3670=D3646)&gt;0)*((E3646="")+($E$3649:$E$3670=E3646)&gt;0)*((F3646="")+($F$3649:$F$3670=F3646)&gt;0)*ROW($B$3649:$B$3670))),"")</f>
        <v>0.14</v>
      </c>
      <c r="D3646" s="17" t="s">
        <v>724</v>
      </c>
      <c r="E3646" s="17" t="s">
        <v>32069</v>
      </c>
      <c r="F3646" s="17" t="s">
        <v>6336</v>
      </c>
    </row>
    <row r="3648" customFormat="false" ht="15" hidden="false" customHeight="false" outlineLevel="0" collapsed="false">
      <c r="B3648" s="18" t="s">
        <v>701</v>
      </c>
      <c r="C3648" s="18" t="s">
        <v>702</v>
      </c>
      <c r="D3648" s="18" t="s">
        <v>722</v>
      </c>
      <c r="E3648" s="18" t="s">
        <v>723</v>
      </c>
      <c r="F3648" s="18" t="s">
        <v>13701</v>
      </c>
    </row>
    <row r="3649" customFormat="false" ht="15" hidden="false" customHeight="false" outlineLevel="0" collapsed="false">
      <c r="B3649" s="19" t="s">
        <v>32070</v>
      </c>
      <c r="C3649" s="20" t="n">
        <f aca="false">ROUND(0.99/FX,2)</f>
        <v>0.14</v>
      </c>
      <c r="D3649" s="21" t="s">
        <v>724</v>
      </c>
      <c r="E3649" s="21" t="s">
        <v>32069</v>
      </c>
      <c r="F3649" s="21" t="s">
        <v>6336</v>
      </c>
    </row>
    <row r="3650" customFormat="false" ht="15" hidden="false" customHeight="false" outlineLevel="0" collapsed="false">
      <c r="B3650" s="19" t="s">
        <v>32071</v>
      </c>
      <c r="C3650" s="20" t="n">
        <f aca="false">ROUND(1.07/FX,2)</f>
        <v>0.15</v>
      </c>
      <c r="D3650" s="21" t="s">
        <v>724</v>
      </c>
      <c r="E3650" s="21" t="s">
        <v>32072</v>
      </c>
      <c r="F3650" s="21" t="s">
        <v>6336</v>
      </c>
    </row>
    <row r="3651" customFormat="false" ht="15" hidden="false" customHeight="false" outlineLevel="0" collapsed="false">
      <c r="B3651" s="19" t="s">
        <v>32073</v>
      </c>
      <c r="C3651" s="20" t="n">
        <f aca="false">ROUND(1.59/FX,2)</f>
        <v>0.22</v>
      </c>
      <c r="D3651" s="21" t="s">
        <v>724</v>
      </c>
      <c r="E3651" s="21" t="s">
        <v>32074</v>
      </c>
      <c r="F3651" s="21" t="s">
        <v>6336</v>
      </c>
    </row>
    <row r="3652" customFormat="false" ht="15" hidden="false" customHeight="false" outlineLevel="0" collapsed="false">
      <c r="B3652" s="19" t="s">
        <v>32075</v>
      </c>
      <c r="C3652" s="20" t="n">
        <f aca="false">ROUND(0.99/FX,2)</f>
        <v>0.14</v>
      </c>
      <c r="D3652" s="21" t="s">
        <v>724</v>
      </c>
      <c r="E3652" s="21" t="s">
        <v>32076</v>
      </c>
      <c r="F3652" s="21" t="s">
        <v>6336</v>
      </c>
    </row>
    <row r="3653" customFormat="false" ht="15" hidden="false" customHeight="false" outlineLevel="0" collapsed="false">
      <c r="B3653" s="19" t="s">
        <v>32077</v>
      </c>
      <c r="C3653" s="20" t="n">
        <f aca="false">ROUND(0.9/FX,2)</f>
        <v>0.13</v>
      </c>
      <c r="D3653" s="21" t="s">
        <v>724</v>
      </c>
      <c r="E3653" s="21" t="s">
        <v>32078</v>
      </c>
      <c r="F3653" s="21" t="s">
        <v>6336</v>
      </c>
    </row>
    <row r="3654" customFormat="false" ht="15" hidden="false" customHeight="false" outlineLevel="0" collapsed="false">
      <c r="B3654" s="19" t="s">
        <v>32079</v>
      </c>
      <c r="C3654" s="20" t="n">
        <f aca="false">ROUND(0.69/FX,2)</f>
        <v>0.1</v>
      </c>
      <c r="D3654" s="21" t="s">
        <v>724</v>
      </c>
      <c r="E3654" s="21" t="s">
        <v>32080</v>
      </c>
      <c r="F3654" s="21" t="s">
        <v>6336</v>
      </c>
    </row>
    <row r="3655" customFormat="false" ht="15" hidden="false" customHeight="false" outlineLevel="0" collapsed="false">
      <c r="B3655" s="19" t="s">
        <v>32081</v>
      </c>
      <c r="C3655" s="20" t="n">
        <f aca="false">ROUND(0.99/FX,2)</f>
        <v>0.14</v>
      </c>
      <c r="D3655" s="21" t="s">
        <v>724</v>
      </c>
      <c r="E3655" s="21" t="s">
        <v>32082</v>
      </c>
      <c r="F3655" s="21" t="s">
        <v>6336</v>
      </c>
    </row>
    <row r="3656" customFormat="false" ht="15" hidden="false" customHeight="false" outlineLevel="0" collapsed="false">
      <c r="B3656" s="19" t="s">
        <v>32083</v>
      </c>
      <c r="C3656" s="20" t="n">
        <f aca="false">ROUND(0.51/FX,2)</f>
        <v>0.07</v>
      </c>
      <c r="D3656" s="21" t="s">
        <v>7884</v>
      </c>
      <c r="E3656" s="21" t="s">
        <v>32069</v>
      </c>
      <c r="F3656" s="21" t="s">
        <v>6336</v>
      </c>
    </row>
    <row r="3657" customFormat="false" ht="15" hidden="false" customHeight="false" outlineLevel="0" collapsed="false">
      <c r="B3657" s="19" t="s">
        <v>32084</v>
      </c>
      <c r="C3657" s="20" t="n">
        <f aca="false">ROUND(0.83/FX,2)</f>
        <v>0.12</v>
      </c>
      <c r="D3657" s="21" t="s">
        <v>7884</v>
      </c>
      <c r="E3657" s="21" t="s">
        <v>32072</v>
      </c>
      <c r="F3657" s="21" t="s">
        <v>6336</v>
      </c>
    </row>
    <row r="3658" customFormat="false" ht="15" hidden="false" customHeight="false" outlineLevel="0" collapsed="false">
      <c r="B3658" s="19" t="s">
        <v>32085</v>
      </c>
      <c r="C3658" s="20" t="n">
        <f aca="false">ROUND(1.34/FX,2)</f>
        <v>0.19</v>
      </c>
      <c r="D3658" s="21" t="s">
        <v>7884</v>
      </c>
      <c r="E3658" s="21" t="s">
        <v>32074</v>
      </c>
      <c r="F3658" s="21" t="s">
        <v>6336</v>
      </c>
    </row>
    <row r="3659" customFormat="false" ht="15" hidden="false" customHeight="false" outlineLevel="0" collapsed="false">
      <c r="B3659" s="19" t="s">
        <v>32086</v>
      </c>
      <c r="C3659" s="20" t="n">
        <f aca="false">ROUND(0.73/FX,2)</f>
        <v>0.1</v>
      </c>
      <c r="D3659" s="21" t="s">
        <v>7884</v>
      </c>
      <c r="E3659" s="21" t="s">
        <v>32076</v>
      </c>
      <c r="F3659" s="21" t="s">
        <v>6336</v>
      </c>
    </row>
    <row r="3660" customFormat="false" ht="15" hidden="false" customHeight="false" outlineLevel="0" collapsed="false">
      <c r="B3660" s="19" t="s">
        <v>32087</v>
      </c>
      <c r="C3660" s="20" t="n">
        <f aca="false">ROUND(0.68/FX,2)</f>
        <v>0.09</v>
      </c>
      <c r="D3660" s="21" t="s">
        <v>7884</v>
      </c>
      <c r="E3660" s="21" t="s">
        <v>32078</v>
      </c>
      <c r="F3660" s="21" t="s">
        <v>6336</v>
      </c>
    </row>
    <row r="3661" customFormat="false" ht="15" hidden="false" customHeight="false" outlineLevel="0" collapsed="false">
      <c r="B3661" s="19" t="s">
        <v>32088</v>
      </c>
      <c r="C3661" s="20" t="n">
        <f aca="false">ROUND(0.51/FX,2)</f>
        <v>0.07</v>
      </c>
      <c r="D3661" s="21" t="s">
        <v>7884</v>
      </c>
      <c r="E3661" s="21" t="s">
        <v>32089</v>
      </c>
      <c r="F3661" s="21" t="s">
        <v>6336</v>
      </c>
    </row>
    <row r="3662" customFormat="false" ht="15" hidden="false" customHeight="false" outlineLevel="0" collapsed="false">
      <c r="B3662" s="19" t="s">
        <v>32090</v>
      </c>
      <c r="C3662" s="20" t="n">
        <f aca="false">ROUND(0.55/FX,2)</f>
        <v>0.08</v>
      </c>
      <c r="D3662" s="21" t="s">
        <v>7884</v>
      </c>
      <c r="E3662" s="21" t="s">
        <v>32091</v>
      </c>
      <c r="F3662" s="21" t="s">
        <v>6336</v>
      </c>
    </row>
    <row r="3663" customFormat="false" ht="15" hidden="false" customHeight="false" outlineLevel="0" collapsed="false">
      <c r="B3663" s="19" t="s">
        <v>32092</v>
      </c>
      <c r="C3663" s="20" t="n">
        <f aca="false">ROUND(2.7/FX,2)</f>
        <v>0.38</v>
      </c>
      <c r="D3663" s="21" t="s">
        <v>6336</v>
      </c>
      <c r="E3663" s="21" t="s">
        <v>32093</v>
      </c>
      <c r="F3663" s="21" t="s">
        <v>6336</v>
      </c>
    </row>
    <row r="3664" customFormat="false" ht="15" hidden="false" customHeight="false" outlineLevel="0" collapsed="false">
      <c r="B3664" s="19" t="s">
        <v>32094</v>
      </c>
      <c r="C3664" s="20" t="n">
        <f aca="false">ROUND(2.1/FX,2)</f>
        <v>0.29</v>
      </c>
      <c r="D3664" s="21" t="s">
        <v>6336</v>
      </c>
      <c r="E3664" s="21" t="s">
        <v>32095</v>
      </c>
      <c r="F3664" s="21" t="s">
        <v>6336</v>
      </c>
    </row>
    <row r="3665" customFormat="false" ht="15" hidden="false" customHeight="false" outlineLevel="0" collapsed="false">
      <c r="B3665" s="19" t="s">
        <v>32096</v>
      </c>
      <c r="C3665" s="20" t="n">
        <f aca="false">ROUND(0.68/FX,2)</f>
        <v>0.09</v>
      </c>
      <c r="D3665" s="21" t="s">
        <v>724</v>
      </c>
      <c r="E3665" s="21" t="s">
        <v>32097</v>
      </c>
      <c r="F3665" s="21" t="s">
        <v>16204</v>
      </c>
    </row>
    <row r="3666" customFormat="false" ht="15" hidden="false" customHeight="false" outlineLevel="0" collapsed="false">
      <c r="B3666" s="19" t="s">
        <v>32098</v>
      </c>
      <c r="C3666" s="20" t="n">
        <f aca="false">ROUND(0.48/FX,2)</f>
        <v>0.07</v>
      </c>
      <c r="D3666" s="21" t="s">
        <v>724</v>
      </c>
      <c r="E3666" s="21" t="s">
        <v>32099</v>
      </c>
      <c r="F3666" s="21" t="s">
        <v>14829</v>
      </c>
    </row>
    <row r="3667" customFormat="false" ht="15" hidden="false" customHeight="false" outlineLevel="0" collapsed="false">
      <c r="B3667" s="19" t="s">
        <v>32100</v>
      </c>
      <c r="C3667" s="20" t="n">
        <f aca="false">ROUND(1.05/FX,2)</f>
        <v>0.15</v>
      </c>
      <c r="D3667" s="21" t="s">
        <v>7884</v>
      </c>
      <c r="E3667" s="21" t="s">
        <v>32099</v>
      </c>
      <c r="F3667" s="21" t="s">
        <v>14829</v>
      </c>
    </row>
    <row r="3668" customFormat="false" ht="15" hidden="false" customHeight="false" outlineLevel="0" collapsed="false">
      <c r="B3668" s="19" t="s">
        <v>32101</v>
      </c>
      <c r="C3668" s="20" t="n">
        <f aca="false">ROUND(0.82/FX,2)</f>
        <v>0.11</v>
      </c>
      <c r="D3668" s="21" t="s">
        <v>751</v>
      </c>
      <c r="E3668" s="21" t="s">
        <v>32080</v>
      </c>
      <c r="F3668" s="21" t="s">
        <v>6336</v>
      </c>
    </row>
    <row r="3669" customFormat="false" ht="28.35" hidden="false" customHeight="false" outlineLevel="0" collapsed="false">
      <c r="B3669" s="19" t="s">
        <v>32102</v>
      </c>
      <c r="C3669" s="20" t="n">
        <f aca="false">ROUND(0.87/FX,2)</f>
        <v>0.12</v>
      </c>
      <c r="D3669" s="21" t="s">
        <v>751</v>
      </c>
      <c r="E3669" s="21" t="s">
        <v>32103</v>
      </c>
      <c r="F3669" s="21" t="s">
        <v>6336</v>
      </c>
    </row>
    <row r="3670" customFormat="false" ht="15" hidden="false" customHeight="false" outlineLevel="0" collapsed="false">
      <c r="B3670" s="19" t="s">
        <v>32104</v>
      </c>
      <c r="C3670" s="20" t="n">
        <f aca="false">ROUND(0.99/FX,2)</f>
        <v>0.14</v>
      </c>
      <c r="D3670" s="21" t="s">
        <v>751</v>
      </c>
      <c r="E3670" s="21" t="s">
        <v>32082</v>
      </c>
      <c r="F3670" s="21" t="s">
        <v>6336</v>
      </c>
    </row>
    <row r="3673" customFormat="false" ht="61.5" hidden="false" customHeight="true" outlineLevel="0" collapsed="false">
      <c r="A3673" s="9"/>
      <c r="B3673" s="10" t="s">
        <v>32105</v>
      </c>
      <c r="C3673" s="10"/>
      <c r="D3673" s="10"/>
      <c r="E3673" s="10"/>
    </row>
    <row r="3674" customFormat="false" ht="15" hidden="false" customHeight="false" outlineLevel="0" collapsed="false">
      <c r="A3674" s="12" t="s">
        <v>700</v>
      </c>
      <c r="B3674" s="13" t="s">
        <v>701</v>
      </c>
      <c r="C3674" s="13" t="s">
        <v>702</v>
      </c>
      <c r="D3674" s="13" t="s">
        <v>722</v>
      </c>
      <c r="E3674" s="13" t="s">
        <v>723</v>
      </c>
    </row>
    <row r="3675" customFormat="false" ht="30" hidden="false" customHeight="true" outlineLevel="0" collapsed="false">
      <c r="A3675" s="14" t="s">
        <v>706</v>
      </c>
      <c r="B3675" s="15" t="str">
        <f aca="false">IF(COUNTIFS($D$3678:$D$3693,IF(D3675="","*",D3675),$E$3678:$E$3693,IF(E3675="","*",E3675))=1,INDEX($B:$B,SUMPRODUCT(((D3675="")+($D$3678:$D$3693=D3675)&gt;0)*((E3675="")+($E$3678:$E$3693=E3675)&gt;0)*ROW($B$3678:$B$3693))),IF(COUNTIFS($D$3678:$D$3693,IF(D3675="","*",D3675),$E$3678:$E$3693,IF(E3675="","*",E3675))=0,"Not available",COUNTIFS($D$3678:$D$3693,IF(D3675="","*",D3675),$E$3678:$E$3693,IF(E3675="","*",E3675))&amp;" match, keep choosing"))</f>
        <v>P3-056-BL-2x4-100M</v>
      </c>
      <c r="C3675" s="16" t="n">
        <f aca="false">IF(COUNTIFS($D$3678:$D$3693,IF(D3675="","*",D3675),$E$3678:$E$3693,IF(E3675="","*",E3675))=1,INDEX($C:$C,SUMPRODUCT(((D3675="")+($D$3678:$D$3693=D3675)&gt;0)*((E3675="")+($E$3678:$E$3693=E3675)&gt;0)*ROW($B$3678:$B$3693))),"")</f>
        <v>45.14</v>
      </c>
      <c r="D3675" s="17" t="s">
        <v>7884</v>
      </c>
      <c r="E3675" s="17" t="s">
        <v>32106</v>
      </c>
    </row>
    <row r="3677" customFormat="false" ht="15" hidden="false" customHeight="false" outlineLevel="0" collapsed="false">
      <c r="B3677" s="18" t="s">
        <v>701</v>
      </c>
      <c r="C3677" s="18" t="s">
        <v>702</v>
      </c>
      <c r="D3677" s="18" t="s">
        <v>722</v>
      </c>
      <c r="E3677" s="18" t="s">
        <v>723</v>
      </c>
    </row>
    <row r="3678" customFormat="false" ht="15" hidden="false" customHeight="false" outlineLevel="0" collapsed="false">
      <c r="B3678" s="19" t="s">
        <v>32107</v>
      </c>
      <c r="C3678" s="20" t="n">
        <f aca="false">ROUND(325/FX,2)</f>
        <v>45.14</v>
      </c>
      <c r="D3678" s="21" t="s">
        <v>7884</v>
      </c>
      <c r="E3678" s="21" t="s">
        <v>32106</v>
      </c>
    </row>
    <row r="3679" customFormat="false" ht="15" hidden="false" customHeight="false" outlineLevel="0" collapsed="false">
      <c r="B3679" s="19" t="s">
        <v>32108</v>
      </c>
      <c r="C3679" s="20" t="n">
        <f aca="false">ROUND(1.95/FX,2)</f>
        <v>0.27</v>
      </c>
      <c r="D3679" s="21" t="s">
        <v>7884</v>
      </c>
      <c r="E3679" s="21" t="s">
        <v>32109</v>
      </c>
    </row>
    <row r="3680" customFormat="false" ht="15" hidden="false" customHeight="false" outlineLevel="0" collapsed="false">
      <c r="B3680" s="19" t="s">
        <v>32110</v>
      </c>
      <c r="C3680" s="20" t="n">
        <f aca="false">ROUND(3.25/FX,2)</f>
        <v>0.45</v>
      </c>
      <c r="D3680" s="21" t="s">
        <v>6369</v>
      </c>
      <c r="E3680" s="21" t="s">
        <v>32111</v>
      </c>
    </row>
    <row r="3681" customFormat="false" ht="15" hidden="false" customHeight="false" outlineLevel="0" collapsed="false">
      <c r="B3681" s="19" t="s">
        <v>32112</v>
      </c>
      <c r="C3681" s="20" t="n">
        <f aca="false">ROUND(170.3/FX,2)</f>
        <v>23.65</v>
      </c>
      <c r="D3681" s="21" t="s">
        <v>6369</v>
      </c>
      <c r="E3681" s="21" t="s">
        <v>32106</v>
      </c>
    </row>
    <row r="3682" customFormat="false" ht="15" hidden="false" customHeight="false" outlineLevel="0" collapsed="false">
      <c r="B3682" s="19" t="s">
        <v>32113</v>
      </c>
      <c r="C3682" s="20" t="n">
        <f aca="false">ROUND(17.03/FX,2)</f>
        <v>2.37</v>
      </c>
      <c r="D3682" s="21" t="s">
        <v>6369</v>
      </c>
      <c r="E3682" s="21" t="s">
        <v>32114</v>
      </c>
    </row>
    <row r="3683" customFormat="false" ht="15" hidden="false" customHeight="false" outlineLevel="0" collapsed="false">
      <c r="B3683" s="19" t="s">
        <v>32115</v>
      </c>
      <c r="C3683" s="20" t="n">
        <f aca="false">ROUND(353.6/FX,2)</f>
        <v>49.11</v>
      </c>
      <c r="D3683" s="21" t="s">
        <v>6369</v>
      </c>
      <c r="E3683" s="21" t="s">
        <v>32116</v>
      </c>
    </row>
    <row r="3684" customFormat="false" ht="15" hidden="false" customHeight="false" outlineLevel="0" collapsed="false">
      <c r="B3684" s="19" t="s">
        <v>32117</v>
      </c>
      <c r="C3684" s="20" t="n">
        <f aca="false">ROUND(85.15/FX,2)</f>
        <v>11.83</v>
      </c>
      <c r="D3684" s="21" t="s">
        <v>6369</v>
      </c>
      <c r="E3684" s="21" t="s">
        <v>32118</v>
      </c>
    </row>
    <row r="3685" customFormat="false" ht="15" hidden="false" customHeight="false" outlineLevel="0" collapsed="false">
      <c r="B3685" s="19" t="s">
        <v>32119</v>
      </c>
      <c r="C3685" s="20" t="n">
        <f aca="false">ROUND(8.52/FX,2)</f>
        <v>1.18</v>
      </c>
      <c r="D3685" s="21" t="s">
        <v>6369</v>
      </c>
      <c r="E3685" s="21" t="s">
        <v>32120</v>
      </c>
    </row>
    <row r="3686" customFormat="false" ht="15" hidden="false" customHeight="false" outlineLevel="0" collapsed="false">
      <c r="B3686" s="19" t="s">
        <v>32121</v>
      </c>
      <c r="C3686" s="20" t="n">
        <f aca="false">ROUND(2.73/FX,2)</f>
        <v>0.38</v>
      </c>
      <c r="D3686" s="21" t="s">
        <v>6369</v>
      </c>
      <c r="E3686" s="21" t="s">
        <v>32109</v>
      </c>
    </row>
    <row r="3687" customFormat="false" ht="15" hidden="false" customHeight="false" outlineLevel="0" collapsed="false">
      <c r="B3687" s="19" t="s">
        <v>32122</v>
      </c>
      <c r="C3687" s="20" t="n">
        <f aca="false">ROUND(3.25/FX,2)</f>
        <v>0.45</v>
      </c>
      <c r="D3687" s="21" t="s">
        <v>751</v>
      </c>
      <c r="E3687" s="21" t="s">
        <v>32111</v>
      </c>
    </row>
    <row r="3688" customFormat="false" ht="15" hidden="false" customHeight="false" outlineLevel="0" collapsed="false">
      <c r="B3688" s="19" t="s">
        <v>32123</v>
      </c>
      <c r="C3688" s="20" t="n">
        <f aca="false">ROUND(2.21/FX,2)</f>
        <v>0.31</v>
      </c>
      <c r="D3688" s="21" t="s">
        <v>751</v>
      </c>
      <c r="E3688" s="21" t="s">
        <v>32124</v>
      </c>
    </row>
    <row r="3689" customFormat="false" ht="15" hidden="false" customHeight="false" outlineLevel="0" collapsed="false">
      <c r="B3689" s="19" t="s">
        <v>32125</v>
      </c>
      <c r="C3689" s="20" t="n">
        <f aca="false">ROUND(170.3/FX,2)</f>
        <v>23.65</v>
      </c>
      <c r="D3689" s="21" t="s">
        <v>751</v>
      </c>
      <c r="E3689" s="21" t="s">
        <v>32126</v>
      </c>
    </row>
    <row r="3690" customFormat="false" ht="15" hidden="false" customHeight="false" outlineLevel="0" collapsed="false">
      <c r="B3690" s="19" t="s">
        <v>32127</v>
      </c>
      <c r="C3690" s="20" t="n">
        <f aca="false">ROUND(341.76/FX,2)</f>
        <v>47.47</v>
      </c>
      <c r="D3690" s="21" t="s">
        <v>751</v>
      </c>
      <c r="E3690" s="21" t="s">
        <v>32116</v>
      </c>
    </row>
    <row r="3691" customFormat="false" ht="15" hidden="false" customHeight="false" outlineLevel="0" collapsed="false">
      <c r="B3691" s="19" t="s">
        <v>32128</v>
      </c>
      <c r="C3691" s="20" t="n">
        <f aca="false">ROUND(1.87/FX,2)</f>
        <v>0.26</v>
      </c>
      <c r="D3691" s="21" t="s">
        <v>751</v>
      </c>
      <c r="E3691" s="21" t="s">
        <v>32109</v>
      </c>
    </row>
    <row r="3692" customFormat="false" ht="15" hidden="false" customHeight="false" outlineLevel="0" collapsed="false">
      <c r="B3692" s="19" t="s">
        <v>32129</v>
      </c>
      <c r="C3692" s="20" t="n">
        <f aca="false">ROUND(2.86/FX,2)</f>
        <v>0.4</v>
      </c>
      <c r="D3692" s="21" t="s">
        <v>751</v>
      </c>
      <c r="E3692" s="21" t="s">
        <v>32130</v>
      </c>
    </row>
    <row r="3693" customFormat="false" ht="15" hidden="false" customHeight="false" outlineLevel="0" collapsed="false">
      <c r="B3693" s="19" t="s">
        <v>32131</v>
      </c>
      <c r="C3693" s="20" t="n">
        <f aca="false">ROUND(5.33/FX,2)</f>
        <v>0.74</v>
      </c>
      <c r="D3693" s="21" t="s">
        <v>751</v>
      </c>
      <c r="E3693" s="21" t="s">
        <v>32132</v>
      </c>
    </row>
    <row r="3696" customFormat="false" ht="61.5" hidden="false" customHeight="true" outlineLevel="0" collapsed="false">
      <c r="A3696" s="9"/>
      <c r="B3696" s="10" t="s">
        <v>32133</v>
      </c>
      <c r="C3696" s="10"/>
      <c r="D3696" s="10"/>
    </row>
    <row r="3697" customFormat="false" ht="15" hidden="false" customHeight="false" outlineLevel="0" collapsed="false">
      <c r="B3697" s="18" t="s">
        <v>701</v>
      </c>
      <c r="C3697" s="18" t="s">
        <v>702</v>
      </c>
      <c r="D3697" s="18" t="s">
        <v>5610</v>
      </c>
    </row>
    <row r="3698" customFormat="false" ht="15" hidden="false" customHeight="false" outlineLevel="0" collapsed="false">
      <c r="B3698" s="19" t="s">
        <v>32134</v>
      </c>
      <c r="C3698" s="20" t="n">
        <f aca="false">ROUND(10.4/FX,2)</f>
        <v>1.44</v>
      </c>
      <c r="D3698" s="22" t="s">
        <v>5612</v>
      </c>
    </row>
    <row r="3701" customFormat="false" ht="61.5" hidden="false" customHeight="true" outlineLevel="0" collapsed="false">
      <c r="A3701" s="9"/>
      <c r="B3701" s="10" t="s">
        <v>32135</v>
      </c>
      <c r="C3701" s="10"/>
      <c r="D3701" s="10"/>
      <c r="E3701" s="10"/>
      <c r="F3701" s="10"/>
      <c r="G3701" s="10"/>
    </row>
    <row r="3702" customFormat="false" ht="15" hidden="false" customHeight="false" outlineLevel="0" collapsed="false">
      <c r="A3702" s="12" t="s">
        <v>700</v>
      </c>
      <c r="B3702" s="13" t="s">
        <v>701</v>
      </c>
      <c r="C3702" s="13" t="s">
        <v>702</v>
      </c>
      <c r="D3702" s="13" t="s">
        <v>722</v>
      </c>
      <c r="E3702" s="13" t="s">
        <v>705</v>
      </c>
      <c r="F3702" s="13" t="s">
        <v>723</v>
      </c>
      <c r="G3702" s="13" t="s">
        <v>6523</v>
      </c>
    </row>
    <row r="3703" customFormat="false" ht="30" hidden="false" customHeight="true" outlineLevel="0" collapsed="false">
      <c r="A3703" s="14" t="s">
        <v>706</v>
      </c>
      <c r="B3703" s="15" t="str">
        <f aca="false">IF(COUNTIFS($D$3706:$D$3736,IF(D3703="","*",D3703),$E$3706:$E$3736,IF(E3703="","*",E3703),$F$3706:$F$3736,IF(F3703="","*",F3703),$G$3706:$G$3736,IF(G3703="","*",G3703))=1,INDEX($B:$B,SUMPRODUCT(((D3703="")+($D$3706:$D$3736=D3703)&gt;0)*((E3703="")+($E$3706:$E$3736=E3703)&gt;0)*((F3703="")+($F$3706:$F$3736=F3703)&gt;0)*((G3703="")+($G$3706:$G$3736=G3703)&gt;0)*ROW($B$3706:$B$3736))),IF(COUNTIFS($D$3706:$D$3736,IF(D3703="","*",D3703),$E$3706:$E$3736,IF(E3703="","*",E3703),$F$3706:$F$3736,IF(F3703="","*",F3703),$G$3706:$G$3736,IF(G3703="","*",G3703))=0,"Not available",COUNTIFS($D$3706:$D$3736,IF(D3703="","*",D3703),$E$3706:$E$3736,IF(E3703="","*",E3703),$F$3706:$F$3736,IF(F3703="","*",F3703),$G$3706:$G$3736,IF(G3703="","*",G3703))&amp;" match, keep choosing"))</f>
        <v>P3-072-14-SET</v>
      </c>
      <c r="C3703" s="16" t="n">
        <f aca="false">IF(COUNTIFS($D$3706:$D$3736,IF(D3703="","*",D3703),$E$3706:$E$3736,IF(E3703="","*",E3703),$F$3706:$F$3736,IF(F3703="","*",F3703),$G$3706:$G$3736,IF(G3703="","*",G3703))=1,INDEX($C:$C,SUMPRODUCT(((D3703="")+($D$3706:$D$3736=D3703)&gt;0)*((E3703="")+($E$3706:$E$3736=E3703)&gt;0)*((F3703="")+($F$3706:$F$3736=F3703)&gt;0)*((G3703="")+($G$3706:$G$3736=G3703)&gt;0)*ROW($B$3706:$B$3736))),"")</f>
        <v>0.06</v>
      </c>
      <c r="D3703" s="17" t="s">
        <v>6336</v>
      </c>
      <c r="E3703" s="17" t="s">
        <v>13732</v>
      </c>
      <c r="F3703" s="17" t="s">
        <v>11672</v>
      </c>
      <c r="G3703" s="17" t="s">
        <v>20019</v>
      </c>
    </row>
    <row r="3705" customFormat="false" ht="15" hidden="false" customHeight="false" outlineLevel="0" collapsed="false">
      <c r="B3705" s="18" t="s">
        <v>701</v>
      </c>
      <c r="C3705" s="18" t="s">
        <v>702</v>
      </c>
      <c r="D3705" s="18" t="s">
        <v>722</v>
      </c>
      <c r="E3705" s="18" t="s">
        <v>705</v>
      </c>
      <c r="F3705" s="18" t="s">
        <v>723</v>
      </c>
      <c r="G3705" s="18" t="s">
        <v>6523</v>
      </c>
    </row>
    <row r="3706" customFormat="false" ht="15" hidden="false" customHeight="false" outlineLevel="0" collapsed="false">
      <c r="B3706" s="19" t="s">
        <v>32136</v>
      </c>
      <c r="C3706" s="20" t="n">
        <f aca="false">ROUND(0.4/FX,2)</f>
        <v>0.06</v>
      </c>
      <c r="D3706" s="21" t="s">
        <v>6336</v>
      </c>
      <c r="E3706" s="21" t="s">
        <v>13732</v>
      </c>
      <c r="F3706" s="21" t="s">
        <v>11672</v>
      </c>
      <c r="G3706" s="21" t="s">
        <v>20019</v>
      </c>
    </row>
    <row r="3707" customFormat="false" ht="15" hidden="false" customHeight="false" outlineLevel="0" collapsed="false">
      <c r="B3707" s="19" t="s">
        <v>32137</v>
      </c>
      <c r="C3707" s="20" t="n">
        <f aca="false">ROUND(1.04/FX,2)</f>
        <v>0.14</v>
      </c>
      <c r="D3707" s="21" t="s">
        <v>724</v>
      </c>
      <c r="E3707" s="21" t="s">
        <v>13974</v>
      </c>
      <c r="F3707" s="21" t="s">
        <v>32138</v>
      </c>
      <c r="G3707" s="21" t="s">
        <v>32139</v>
      </c>
    </row>
    <row r="3708" customFormat="false" ht="15" hidden="false" customHeight="false" outlineLevel="0" collapsed="false">
      <c r="B3708" s="19" t="s">
        <v>32140</v>
      </c>
      <c r="C3708" s="20" t="n">
        <f aca="false">ROUND(1.43/FX,2)</f>
        <v>0.2</v>
      </c>
      <c r="D3708" s="21" t="s">
        <v>18154</v>
      </c>
      <c r="E3708" s="21" t="s">
        <v>13743</v>
      </c>
      <c r="F3708" s="21" t="s">
        <v>32141</v>
      </c>
      <c r="G3708" s="21" t="s">
        <v>19980</v>
      </c>
    </row>
    <row r="3709" customFormat="false" ht="15" hidden="false" customHeight="false" outlineLevel="0" collapsed="false">
      <c r="B3709" s="19" t="s">
        <v>32142</v>
      </c>
      <c r="C3709" s="20" t="n">
        <f aca="false">ROUND(0.26/FX,2)</f>
        <v>0.04</v>
      </c>
      <c r="D3709" s="21" t="s">
        <v>18154</v>
      </c>
      <c r="E3709" s="21" t="s">
        <v>13732</v>
      </c>
      <c r="F3709" s="21" t="s">
        <v>32143</v>
      </c>
      <c r="G3709" s="21" t="s">
        <v>19980</v>
      </c>
    </row>
    <row r="3710" customFormat="false" ht="15" hidden="false" customHeight="false" outlineLevel="0" collapsed="false">
      <c r="B3710" s="19" t="s">
        <v>32144</v>
      </c>
      <c r="C3710" s="20" t="n">
        <f aca="false">ROUND(1.04/FX,2)</f>
        <v>0.14</v>
      </c>
      <c r="D3710" s="21" t="s">
        <v>6336</v>
      </c>
      <c r="E3710" s="21" t="s">
        <v>13732</v>
      </c>
      <c r="F3710" s="21" t="s">
        <v>11672</v>
      </c>
      <c r="G3710" s="21" t="s">
        <v>19980</v>
      </c>
    </row>
    <row r="3711" customFormat="false" ht="15" hidden="false" customHeight="false" outlineLevel="0" collapsed="false">
      <c r="B3711" s="19" t="s">
        <v>32145</v>
      </c>
      <c r="C3711" s="20" t="n">
        <f aca="false">ROUND(1.04/FX,2)</f>
        <v>0.14</v>
      </c>
      <c r="D3711" s="21" t="s">
        <v>724</v>
      </c>
      <c r="E3711" s="21" t="s">
        <v>13981</v>
      </c>
      <c r="F3711" s="21" t="s">
        <v>32138</v>
      </c>
      <c r="G3711" s="21" t="s">
        <v>32146</v>
      </c>
    </row>
    <row r="3712" customFormat="false" ht="15" hidden="false" customHeight="false" outlineLevel="0" collapsed="false">
      <c r="B3712" s="19" t="s">
        <v>32147</v>
      </c>
      <c r="C3712" s="20" t="n">
        <f aca="false">ROUND(1.04/FX,2)</f>
        <v>0.14</v>
      </c>
      <c r="D3712" s="21" t="s">
        <v>724</v>
      </c>
      <c r="E3712" s="21" t="s">
        <v>13981</v>
      </c>
      <c r="F3712" s="21" t="s">
        <v>32138</v>
      </c>
      <c r="G3712" s="21" t="s">
        <v>32148</v>
      </c>
    </row>
    <row r="3713" customFormat="false" ht="15" hidden="false" customHeight="false" outlineLevel="0" collapsed="false">
      <c r="B3713" s="19" t="s">
        <v>32149</v>
      </c>
      <c r="C3713" s="20" t="n">
        <f aca="false">ROUND(2.73/FX,2)</f>
        <v>0.38</v>
      </c>
      <c r="D3713" s="21" t="s">
        <v>724</v>
      </c>
      <c r="E3713" s="21" t="s">
        <v>21725</v>
      </c>
      <c r="F3713" s="21" t="s">
        <v>32138</v>
      </c>
      <c r="G3713" s="21" t="s">
        <v>32150</v>
      </c>
    </row>
    <row r="3714" customFormat="false" ht="15" hidden="false" customHeight="false" outlineLevel="0" collapsed="false">
      <c r="B3714" s="19" t="s">
        <v>32151</v>
      </c>
      <c r="C3714" s="20" t="n">
        <f aca="false">ROUND(5.85/FX,2)</f>
        <v>0.81</v>
      </c>
      <c r="D3714" s="21" t="s">
        <v>724</v>
      </c>
      <c r="E3714" s="21" t="s">
        <v>23567</v>
      </c>
      <c r="F3714" s="21" t="s">
        <v>32138</v>
      </c>
      <c r="G3714" s="21" t="s">
        <v>32152</v>
      </c>
    </row>
    <row r="3715" customFormat="false" ht="15" hidden="false" customHeight="false" outlineLevel="0" collapsed="false">
      <c r="B3715" s="19" t="s">
        <v>32153</v>
      </c>
      <c r="C3715" s="20" t="n">
        <f aca="false">ROUND(5.85/FX,2)</f>
        <v>0.81</v>
      </c>
      <c r="D3715" s="21" t="s">
        <v>724</v>
      </c>
      <c r="E3715" s="21" t="s">
        <v>23567</v>
      </c>
      <c r="F3715" s="21" t="s">
        <v>32138</v>
      </c>
      <c r="G3715" s="21" t="s">
        <v>32154</v>
      </c>
    </row>
    <row r="3716" customFormat="false" ht="15" hidden="false" customHeight="false" outlineLevel="0" collapsed="false">
      <c r="B3716" s="19" t="s">
        <v>32155</v>
      </c>
      <c r="C3716" s="20" t="n">
        <f aca="false">ROUND(0.39/FX,2)</f>
        <v>0.05</v>
      </c>
      <c r="D3716" s="21" t="s">
        <v>724</v>
      </c>
      <c r="E3716" s="21" t="s">
        <v>13997</v>
      </c>
      <c r="F3716" s="21" t="s">
        <v>32156</v>
      </c>
      <c r="G3716" s="21" t="s">
        <v>6336</v>
      </c>
    </row>
    <row r="3717" customFormat="false" ht="15" hidden="false" customHeight="false" outlineLevel="0" collapsed="false">
      <c r="B3717" s="19" t="s">
        <v>32157</v>
      </c>
      <c r="C3717" s="20" t="n">
        <f aca="false">ROUND(1.82/FX,2)</f>
        <v>0.25</v>
      </c>
      <c r="D3717" s="21" t="s">
        <v>724</v>
      </c>
      <c r="E3717" s="21" t="s">
        <v>13743</v>
      </c>
      <c r="F3717" s="21" t="s">
        <v>32158</v>
      </c>
      <c r="G3717" s="21" t="s">
        <v>6336</v>
      </c>
    </row>
    <row r="3718" customFormat="false" ht="15" hidden="false" customHeight="false" outlineLevel="0" collapsed="false">
      <c r="B3718" s="19" t="s">
        <v>32159</v>
      </c>
      <c r="C3718" s="20" t="n">
        <f aca="false">ROUND(1.15/FX,2)</f>
        <v>0.16</v>
      </c>
      <c r="D3718" s="21" t="s">
        <v>724</v>
      </c>
      <c r="E3718" s="21" t="s">
        <v>14013</v>
      </c>
      <c r="F3718" s="21" t="s">
        <v>32160</v>
      </c>
      <c r="G3718" s="21" t="s">
        <v>6336</v>
      </c>
    </row>
    <row r="3719" customFormat="false" ht="15" hidden="false" customHeight="false" outlineLevel="0" collapsed="false">
      <c r="B3719" s="19" t="s">
        <v>32161</v>
      </c>
      <c r="C3719" s="20" t="n">
        <f aca="false">ROUND(1.69/FX,2)</f>
        <v>0.23</v>
      </c>
      <c r="D3719" s="21" t="s">
        <v>724</v>
      </c>
      <c r="E3719" s="21" t="s">
        <v>13743</v>
      </c>
      <c r="F3719" s="21" t="s">
        <v>32162</v>
      </c>
      <c r="G3719" s="21" t="s">
        <v>6336</v>
      </c>
    </row>
    <row r="3720" customFormat="false" ht="15" hidden="false" customHeight="false" outlineLevel="0" collapsed="false">
      <c r="B3720" s="19" t="s">
        <v>32163</v>
      </c>
      <c r="C3720" s="20" t="n">
        <f aca="false">ROUND(1.43/FX,2)</f>
        <v>0.2</v>
      </c>
      <c r="D3720" s="21" t="s">
        <v>724</v>
      </c>
      <c r="E3720" s="21" t="s">
        <v>13743</v>
      </c>
      <c r="F3720" s="21" t="s">
        <v>32164</v>
      </c>
      <c r="G3720" s="21" t="s">
        <v>6336</v>
      </c>
    </row>
    <row r="3721" customFormat="false" ht="15" hidden="false" customHeight="false" outlineLevel="0" collapsed="false">
      <c r="B3721" s="19" t="s">
        <v>32165</v>
      </c>
      <c r="C3721" s="20" t="n">
        <f aca="false">ROUND(1.69/FX,2)</f>
        <v>0.23</v>
      </c>
      <c r="D3721" s="21" t="s">
        <v>724</v>
      </c>
      <c r="E3721" s="21" t="s">
        <v>13743</v>
      </c>
      <c r="F3721" s="21" t="s">
        <v>32166</v>
      </c>
      <c r="G3721" s="21" t="s">
        <v>6336</v>
      </c>
    </row>
    <row r="3722" customFormat="false" ht="15" hidden="false" customHeight="false" outlineLevel="0" collapsed="false">
      <c r="B3722" s="19" t="s">
        <v>32167</v>
      </c>
      <c r="C3722" s="20" t="n">
        <f aca="false">ROUND(0.26/FX,2)</f>
        <v>0.04</v>
      </c>
      <c r="D3722" s="21" t="s">
        <v>724</v>
      </c>
      <c r="E3722" s="21" t="s">
        <v>13732</v>
      </c>
      <c r="F3722" s="21" t="s">
        <v>32168</v>
      </c>
      <c r="G3722" s="21" t="s">
        <v>6336</v>
      </c>
    </row>
    <row r="3723" customFormat="false" ht="15" hidden="false" customHeight="false" outlineLevel="0" collapsed="false">
      <c r="B3723" s="19" t="s">
        <v>32169</v>
      </c>
      <c r="C3723" s="20" t="n">
        <f aca="false">ROUND(1.24/FX,2)</f>
        <v>0.17</v>
      </c>
      <c r="D3723" s="21" t="s">
        <v>724</v>
      </c>
      <c r="E3723" s="21" t="s">
        <v>13743</v>
      </c>
      <c r="F3723" s="21" t="s">
        <v>32170</v>
      </c>
      <c r="G3723" s="21" t="s">
        <v>6336</v>
      </c>
    </row>
    <row r="3724" customFormat="false" ht="15" hidden="false" customHeight="false" outlineLevel="0" collapsed="false">
      <c r="B3724" s="19" t="s">
        <v>32171</v>
      </c>
      <c r="C3724" s="20" t="n">
        <f aca="false">ROUND(0.78/FX,2)</f>
        <v>0.11</v>
      </c>
      <c r="D3724" s="21" t="s">
        <v>724</v>
      </c>
      <c r="E3724" s="21" t="s">
        <v>13743</v>
      </c>
      <c r="F3724" s="21" t="s">
        <v>32172</v>
      </c>
      <c r="G3724" s="21" t="s">
        <v>6336</v>
      </c>
    </row>
    <row r="3725" customFormat="false" ht="15" hidden="false" customHeight="false" outlineLevel="0" collapsed="false">
      <c r="B3725" s="19" t="s">
        <v>32173</v>
      </c>
      <c r="C3725" s="20" t="n">
        <f aca="false">ROUND(0.26/FX,2)</f>
        <v>0.04</v>
      </c>
      <c r="D3725" s="21" t="s">
        <v>724</v>
      </c>
      <c r="E3725" s="21" t="s">
        <v>13732</v>
      </c>
      <c r="F3725" s="21" t="s">
        <v>32174</v>
      </c>
      <c r="G3725" s="21" t="s">
        <v>6336</v>
      </c>
    </row>
    <row r="3726" customFormat="false" ht="15" hidden="false" customHeight="false" outlineLevel="0" collapsed="false">
      <c r="B3726" s="19" t="s">
        <v>32175</v>
      </c>
      <c r="C3726" s="20" t="n">
        <f aca="false">ROUND(0.39/FX,2)</f>
        <v>0.05</v>
      </c>
      <c r="D3726" s="21" t="s">
        <v>7884</v>
      </c>
      <c r="E3726" s="21" t="s">
        <v>13997</v>
      </c>
      <c r="F3726" s="21" t="s">
        <v>32156</v>
      </c>
      <c r="G3726" s="21" t="s">
        <v>6336</v>
      </c>
    </row>
    <row r="3727" customFormat="false" ht="28.35" hidden="false" customHeight="false" outlineLevel="0" collapsed="false">
      <c r="B3727" s="19" t="s">
        <v>32176</v>
      </c>
      <c r="C3727" s="20" t="n">
        <f aca="false">ROUND(0.39/FX,2)</f>
        <v>0.05</v>
      </c>
      <c r="D3727" s="21" t="s">
        <v>7884</v>
      </c>
      <c r="E3727" s="21" t="s">
        <v>13997</v>
      </c>
      <c r="F3727" s="21" t="s">
        <v>32177</v>
      </c>
      <c r="G3727" s="21" t="s">
        <v>6336</v>
      </c>
    </row>
    <row r="3728" customFormat="false" ht="15" hidden="false" customHeight="false" outlineLevel="0" collapsed="false">
      <c r="B3728" s="19" t="s">
        <v>32178</v>
      </c>
      <c r="C3728" s="20" t="n">
        <f aca="false">ROUND(1.95/FX,2)</f>
        <v>0.27</v>
      </c>
      <c r="D3728" s="21" t="s">
        <v>18154</v>
      </c>
      <c r="E3728" s="21" t="s">
        <v>13997</v>
      </c>
      <c r="F3728" s="21" t="s">
        <v>32179</v>
      </c>
      <c r="G3728" s="21" t="s">
        <v>6336</v>
      </c>
    </row>
    <row r="3729" customFormat="false" ht="15" hidden="false" customHeight="false" outlineLevel="0" collapsed="false">
      <c r="B3729" s="19" t="s">
        <v>32180</v>
      </c>
      <c r="C3729" s="20" t="n">
        <f aca="false">ROUND(0.78/FX,2)</f>
        <v>0.11</v>
      </c>
      <c r="D3729" s="21" t="s">
        <v>18154</v>
      </c>
      <c r="E3729" s="21" t="s">
        <v>13743</v>
      </c>
      <c r="F3729" s="21" t="s">
        <v>32172</v>
      </c>
      <c r="G3729" s="21" t="s">
        <v>6336</v>
      </c>
    </row>
    <row r="3730" customFormat="false" ht="28.35" hidden="false" customHeight="false" outlineLevel="0" collapsed="false">
      <c r="B3730" s="19" t="s">
        <v>32181</v>
      </c>
      <c r="C3730" s="20" t="n">
        <f aca="false">ROUND(0.29/FX,2)</f>
        <v>0.04</v>
      </c>
      <c r="D3730" s="21" t="s">
        <v>6336</v>
      </c>
      <c r="E3730" s="21" t="s">
        <v>13732</v>
      </c>
      <c r="F3730" s="21" t="s">
        <v>32182</v>
      </c>
      <c r="G3730" s="21" t="s">
        <v>6336</v>
      </c>
    </row>
    <row r="3731" customFormat="false" ht="15" hidden="false" customHeight="false" outlineLevel="0" collapsed="false">
      <c r="B3731" s="19" t="s">
        <v>32183</v>
      </c>
      <c r="C3731" s="20" t="n">
        <f aca="false">ROUND(1.15/FX,2)</f>
        <v>0.16</v>
      </c>
      <c r="D3731" s="21" t="s">
        <v>751</v>
      </c>
      <c r="E3731" s="21" t="s">
        <v>14013</v>
      </c>
      <c r="F3731" s="21" t="s">
        <v>32160</v>
      </c>
      <c r="G3731" s="21" t="s">
        <v>6336</v>
      </c>
    </row>
    <row r="3732" customFormat="false" ht="15" hidden="false" customHeight="false" outlineLevel="0" collapsed="false">
      <c r="B3732" s="19" t="s">
        <v>32184</v>
      </c>
      <c r="C3732" s="20" t="n">
        <f aca="false">ROUND(1.95/FX,2)</f>
        <v>0.27</v>
      </c>
      <c r="D3732" s="21" t="s">
        <v>751</v>
      </c>
      <c r="E3732" s="21" t="s">
        <v>13997</v>
      </c>
      <c r="F3732" s="21" t="s">
        <v>32162</v>
      </c>
      <c r="G3732" s="21" t="s">
        <v>6336</v>
      </c>
    </row>
    <row r="3733" customFormat="false" ht="15" hidden="false" customHeight="false" outlineLevel="0" collapsed="false">
      <c r="B3733" s="19" t="s">
        <v>32185</v>
      </c>
      <c r="C3733" s="20" t="n">
        <f aca="false">ROUND(1.95/FX,2)</f>
        <v>0.27</v>
      </c>
      <c r="D3733" s="21" t="s">
        <v>751</v>
      </c>
      <c r="E3733" s="21" t="s">
        <v>13997</v>
      </c>
      <c r="F3733" s="21" t="s">
        <v>32179</v>
      </c>
      <c r="G3733" s="21" t="s">
        <v>6336</v>
      </c>
    </row>
    <row r="3734" customFormat="false" ht="15" hidden="false" customHeight="false" outlineLevel="0" collapsed="false">
      <c r="B3734" s="19" t="s">
        <v>32186</v>
      </c>
      <c r="C3734" s="20" t="n">
        <f aca="false">ROUND(1.04/FX,2)</f>
        <v>0.14</v>
      </c>
      <c r="D3734" s="21" t="s">
        <v>751</v>
      </c>
      <c r="E3734" s="21" t="s">
        <v>14013</v>
      </c>
      <c r="F3734" s="21" t="s">
        <v>32168</v>
      </c>
      <c r="G3734" s="21" t="s">
        <v>6336</v>
      </c>
    </row>
    <row r="3735" customFormat="false" ht="15" hidden="false" customHeight="false" outlineLevel="0" collapsed="false">
      <c r="B3735" s="19" t="s">
        <v>32187</v>
      </c>
      <c r="C3735" s="20" t="n">
        <f aca="false">ROUND(2.47/FX,2)</f>
        <v>0.34</v>
      </c>
      <c r="D3735" s="21" t="s">
        <v>751</v>
      </c>
      <c r="E3735" s="21" t="s">
        <v>13997</v>
      </c>
      <c r="F3735" s="21" t="s">
        <v>32170</v>
      </c>
      <c r="G3735" s="21" t="s">
        <v>6336</v>
      </c>
    </row>
    <row r="3736" customFormat="false" ht="15" hidden="false" customHeight="false" outlineLevel="0" collapsed="false">
      <c r="B3736" s="19" t="s">
        <v>32188</v>
      </c>
      <c r="C3736" s="20" t="n">
        <f aca="false">ROUND(0.78/FX,2)</f>
        <v>0.11</v>
      </c>
      <c r="D3736" s="21" t="s">
        <v>751</v>
      </c>
      <c r="E3736" s="21" t="s">
        <v>13743</v>
      </c>
      <c r="F3736" s="21" t="s">
        <v>32172</v>
      </c>
      <c r="G3736" s="21" t="s">
        <v>6336</v>
      </c>
    </row>
    <row r="3739" customFormat="false" ht="61.5" hidden="false" customHeight="true" outlineLevel="0" collapsed="false">
      <c r="A3739" s="9"/>
      <c r="B3739" s="10" t="s">
        <v>32189</v>
      </c>
      <c r="C3739" s="10"/>
      <c r="D3739" s="10"/>
    </row>
    <row r="3740" customFormat="false" ht="15" hidden="false" customHeight="false" outlineLevel="0" collapsed="false">
      <c r="A3740" s="12" t="s">
        <v>700</v>
      </c>
      <c r="B3740" s="13" t="s">
        <v>701</v>
      </c>
      <c r="C3740" s="13" t="s">
        <v>702</v>
      </c>
      <c r="D3740" s="13" t="s">
        <v>723</v>
      </c>
    </row>
    <row r="3741" customFormat="false" ht="30" hidden="false" customHeight="true" outlineLevel="0" collapsed="false">
      <c r="A3741" s="14" t="s">
        <v>706</v>
      </c>
      <c r="B3741" s="15" t="str">
        <f aca="false">IF(COUNTIFS($D$3744:$D$3746,IF(D3741="","*",D3741))=1,INDEX($B:$B,SUMPRODUCT(((D3741="")+($D$3744:$D$3746=D3741)&gt;0)*ROW($B$3744:$B$3746))),IF(COUNTIFS($D$3744:$D$3746,IF(D3741="","*",D3741))=0,"Not available",COUNTIFS($D$3744:$D$3746,IF(D3741="","*",D3741))&amp;" match, keep choosing"))</f>
        <v>P3-064-AD5MPROAD5xDWLDBSMPEIPT-MM</v>
      </c>
      <c r="C3741" s="16" t="n">
        <f aca="false">IF(COUNTIFS($D$3744:$D$3746,IF(D3741="","*",D3741))=1,INDEX($C:$C,SUMPRODUCT(((D3741="")+($D$3744:$D$3746=D3741)&gt;0)*ROW($B$3744:$B$3746))),"")</f>
        <v>3.25</v>
      </c>
      <c r="D3741" s="17" t="s">
        <v>32190</v>
      </c>
    </row>
    <row r="3743" customFormat="false" ht="15" hidden="false" customHeight="false" outlineLevel="0" collapsed="false">
      <c r="B3743" s="18" t="s">
        <v>701</v>
      </c>
      <c r="C3743" s="18" t="s">
        <v>702</v>
      </c>
      <c r="D3743" s="18" t="s">
        <v>723</v>
      </c>
    </row>
    <row r="3744" customFormat="false" ht="55.2" hidden="false" customHeight="false" outlineLevel="0" collapsed="false">
      <c r="B3744" s="19" t="s">
        <v>32191</v>
      </c>
      <c r="C3744" s="20" t="n">
        <f aca="false">ROUND(23.4/FX,2)</f>
        <v>3.25</v>
      </c>
      <c r="D3744" s="21" t="s">
        <v>32190</v>
      </c>
    </row>
    <row r="3745" customFormat="false" ht="55.2" hidden="false" customHeight="false" outlineLevel="0" collapsed="false">
      <c r="B3745" s="19" t="s">
        <v>32192</v>
      </c>
      <c r="C3745" s="20" t="n">
        <f aca="false">ROUND(23.4/FX,2)</f>
        <v>3.25</v>
      </c>
      <c r="D3745" s="21" t="s">
        <v>32193</v>
      </c>
    </row>
    <row r="3746" customFormat="false" ht="41.75" hidden="false" customHeight="false" outlineLevel="0" collapsed="false">
      <c r="B3746" s="19" t="s">
        <v>32194</v>
      </c>
      <c r="C3746" s="20" t="n">
        <f aca="false">ROUND(23.4/FX,2)</f>
        <v>3.25</v>
      </c>
      <c r="D3746" s="21" t="s">
        <v>32195</v>
      </c>
    </row>
    <row r="3749" customFormat="false" ht="61.5" hidden="false" customHeight="true" outlineLevel="0" collapsed="false">
      <c r="A3749" s="9"/>
      <c r="B3749" s="10" t="s">
        <v>32196</v>
      </c>
      <c r="C3749" s="10"/>
      <c r="D3749" s="10"/>
    </row>
    <row r="3750" customFormat="false" ht="15" hidden="false" customHeight="false" outlineLevel="0" collapsed="false">
      <c r="A3750" s="12" t="s">
        <v>700</v>
      </c>
      <c r="B3750" s="13" t="s">
        <v>701</v>
      </c>
      <c r="C3750" s="13" t="s">
        <v>702</v>
      </c>
      <c r="D3750" s="13" t="s">
        <v>723</v>
      </c>
    </row>
    <row r="3751" customFormat="false" ht="30" hidden="false" customHeight="true" outlineLevel="0" collapsed="false">
      <c r="A3751" s="14" t="s">
        <v>706</v>
      </c>
      <c r="B3751" s="15" t="str">
        <f aca="false">IF(COUNTIFS($D$3754:$D$3756,IF(D3751="","*",D3751))=1,INDEX($B:$B,SUMPRODUCT(((D3751="")+($D$3754:$D$3756=D3751)&gt;0)*ROW($B$3754:$B$3756))),IF(COUNTIFS($D$3754:$D$3756,IF(D3751="","*",D3751))=0,"Not available",COUNTIFS($D$3754:$D$3756,IF(D3751="","*",D3751))&amp;" match, keep choosing"))</f>
        <v>P3-122-150ML</v>
      </c>
      <c r="C3751" s="16" t="n">
        <f aca="false">IF(COUNTIFS($D$3754:$D$3756,IF(D3751="","*",D3751))=1,INDEX($C:$C,SUMPRODUCT(((D3751="")+($D$3754:$D$3756=D3751)&gt;0)*ROW($B$3754:$B$3756))),"")</f>
        <v>2.71</v>
      </c>
      <c r="D3751" s="17" t="s">
        <v>32197</v>
      </c>
    </row>
    <row r="3753" customFormat="false" ht="15" hidden="false" customHeight="false" outlineLevel="0" collapsed="false">
      <c r="B3753" s="18" t="s">
        <v>701</v>
      </c>
      <c r="C3753" s="18" t="s">
        <v>702</v>
      </c>
      <c r="D3753" s="18" t="s">
        <v>723</v>
      </c>
    </row>
    <row r="3754" customFormat="false" ht="15" hidden="false" customHeight="false" outlineLevel="0" collapsed="false">
      <c r="B3754" s="19" t="s">
        <v>32198</v>
      </c>
      <c r="C3754" s="20" t="n">
        <f aca="false">ROUND(19.5/FX,2)</f>
        <v>2.71</v>
      </c>
      <c r="D3754" s="21" t="s">
        <v>32197</v>
      </c>
    </row>
    <row r="3755" customFormat="false" ht="15" hidden="false" customHeight="false" outlineLevel="0" collapsed="false">
      <c r="B3755" s="19" t="s">
        <v>32199</v>
      </c>
      <c r="C3755" s="20" t="n">
        <f aca="false">ROUND(32.5/FX,2)</f>
        <v>4.51</v>
      </c>
      <c r="D3755" s="21" t="s">
        <v>32200</v>
      </c>
    </row>
    <row r="3756" customFormat="false" ht="15" hidden="false" customHeight="false" outlineLevel="0" collapsed="false">
      <c r="B3756" s="19" t="s">
        <v>32201</v>
      </c>
      <c r="C3756" s="20" t="n">
        <f aca="false">ROUND(52/FX,2)</f>
        <v>7.22</v>
      </c>
      <c r="D3756" s="21" t="s">
        <v>32202</v>
      </c>
    </row>
    <row r="3759" customFormat="false" ht="61.5" hidden="false" customHeight="true" outlineLevel="0" collapsed="false">
      <c r="A3759" s="9"/>
      <c r="B3759" s="10" t="s">
        <v>32203</v>
      </c>
      <c r="C3759" s="10"/>
      <c r="D3759" s="10"/>
      <c r="E3759" s="10"/>
    </row>
    <row r="3760" customFormat="false" ht="15" hidden="false" customHeight="false" outlineLevel="0" collapsed="false">
      <c r="A3760" s="12" t="s">
        <v>700</v>
      </c>
      <c r="B3760" s="13" t="s">
        <v>701</v>
      </c>
      <c r="C3760" s="13" t="s">
        <v>702</v>
      </c>
      <c r="D3760" s="13" t="s">
        <v>722</v>
      </c>
      <c r="E3760" s="13" t="s">
        <v>723</v>
      </c>
    </row>
    <row r="3761" customFormat="false" ht="30" hidden="false" customHeight="true" outlineLevel="0" collapsed="false">
      <c r="A3761" s="14" t="s">
        <v>706</v>
      </c>
      <c r="B3761" s="15" t="str">
        <f aca="false">IF(COUNTIFS($D$3764:$D$3774,IF(D3761="","*",D3761),$E$3764:$E$3774,IF(E3761="","*",E3761))=1,INDEX($B:$B,SUMPRODUCT(((D3761="")+($D$3764:$D$3774=D3761)&gt;0)*((E3761="")+($E$3764:$E$3774=E3761)&gt;0)*ROW($B$3764:$B$3774))),IF(COUNTIFS($D$3764:$D$3774,IF(D3761="","*",D3761),$E$3764:$E$3774,IF(E3761="","*",E3761))=0,"Not available",COUNTIFS($D$3764:$D$3774,IF(D3761="","*",D3761),$E$3764:$E$3774,IF(E3761="","*",E3761))&amp;" match, keep choosing"))</f>
        <v>P3-066-BK-WJ16-GD16</v>
      </c>
      <c r="C3761" s="16" t="n">
        <f aca="false">IF(COUNTIFS($D$3764:$D$3774,IF(D3761="","*",D3761),$E$3764:$E$3774,IF(E3761="","*",E3761))=1,INDEX($C:$C,SUMPRODUCT(((D3761="")+($D$3764:$D$3774=D3761)&gt;0)*((E3761="")+($E$3764:$E$3774=E3761)&gt;0)*ROW($B$3764:$B$3774))),"")</f>
        <v>0.13</v>
      </c>
      <c r="D3761" s="17" t="s">
        <v>724</v>
      </c>
      <c r="E3761" s="17" t="s">
        <v>32204</v>
      </c>
    </row>
    <row r="3763" customFormat="false" ht="15" hidden="false" customHeight="false" outlineLevel="0" collapsed="false">
      <c r="B3763" s="18" t="s">
        <v>701</v>
      </c>
      <c r="C3763" s="18" t="s">
        <v>702</v>
      </c>
      <c r="D3763" s="18" t="s">
        <v>722</v>
      </c>
      <c r="E3763" s="18" t="s">
        <v>723</v>
      </c>
    </row>
    <row r="3764" customFormat="false" ht="15" hidden="false" customHeight="false" outlineLevel="0" collapsed="false">
      <c r="B3764" s="19" t="s">
        <v>32205</v>
      </c>
      <c r="C3764" s="20" t="n">
        <f aca="false">ROUND(0.91/FX,2)</f>
        <v>0.13</v>
      </c>
      <c r="D3764" s="21" t="s">
        <v>724</v>
      </c>
      <c r="E3764" s="21" t="s">
        <v>32204</v>
      </c>
    </row>
    <row r="3765" customFormat="false" ht="15" hidden="false" customHeight="false" outlineLevel="0" collapsed="false">
      <c r="B3765" s="19" t="s">
        <v>32206</v>
      </c>
      <c r="C3765" s="20" t="n">
        <f aca="false">ROUND(0.91/FX,2)</f>
        <v>0.13</v>
      </c>
      <c r="D3765" s="21" t="s">
        <v>724</v>
      </c>
      <c r="E3765" s="21" t="s">
        <v>32207</v>
      </c>
    </row>
    <row r="3766" customFormat="false" ht="15" hidden="false" customHeight="false" outlineLevel="0" collapsed="false">
      <c r="B3766" s="19" t="s">
        <v>32208</v>
      </c>
      <c r="C3766" s="20" t="n">
        <f aca="false">ROUND(0.91/FX,2)</f>
        <v>0.13</v>
      </c>
      <c r="D3766" s="21" t="s">
        <v>7884</v>
      </c>
      <c r="E3766" s="21" t="s">
        <v>32204</v>
      </c>
    </row>
    <row r="3767" customFormat="false" ht="15" hidden="false" customHeight="false" outlineLevel="0" collapsed="false">
      <c r="B3767" s="19" t="s">
        <v>32209</v>
      </c>
      <c r="C3767" s="20" t="n">
        <f aca="false">ROUND(0.91/FX,2)</f>
        <v>0.13</v>
      </c>
      <c r="D3767" s="21" t="s">
        <v>7884</v>
      </c>
      <c r="E3767" s="21" t="s">
        <v>32207</v>
      </c>
    </row>
    <row r="3768" customFormat="false" ht="15" hidden="false" customHeight="false" outlineLevel="0" collapsed="false">
      <c r="B3768" s="19" t="s">
        <v>32210</v>
      </c>
      <c r="C3768" s="20" t="n">
        <f aca="false">ROUND(0.91/FX,2)</f>
        <v>0.13</v>
      </c>
      <c r="D3768" s="21" t="s">
        <v>6362</v>
      </c>
      <c r="E3768" s="21" t="s">
        <v>32204</v>
      </c>
    </row>
    <row r="3769" customFormat="false" ht="15" hidden="false" customHeight="false" outlineLevel="0" collapsed="false">
      <c r="B3769" s="19" t="s">
        <v>32211</v>
      </c>
      <c r="C3769" s="20" t="n">
        <f aca="false">ROUND(0.91/FX,2)</f>
        <v>0.13</v>
      </c>
      <c r="D3769" s="21" t="s">
        <v>6362</v>
      </c>
      <c r="E3769" s="21" t="s">
        <v>32207</v>
      </c>
    </row>
    <row r="3770" customFormat="false" ht="15" hidden="false" customHeight="false" outlineLevel="0" collapsed="false">
      <c r="B3770" s="19" t="s">
        <v>32212</v>
      </c>
      <c r="C3770" s="20" t="n">
        <f aca="false">ROUND(0.91/FX,2)</f>
        <v>0.13</v>
      </c>
      <c r="D3770" s="21" t="s">
        <v>751</v>
      </c>
      <c r="E3770" s="21" t="s">
        <v>32204</v>
      </c>
    </row>
    <row r="3771" customFormat="false" ht="15" hidden="false" customHeight="false" outlineLevel="0" collapsed="false">
      <c r="B3771" s="19" t="s">
        <v>32213</v>
      </c>
      <c r="C3771" s="20" t="n">
        <f aca="false">ROUND(0.91/FX,2)</f>
        <v>0.13</v>
      </c>
      <c r="D3771" s="21" t="s">
        <v>751</v>
      </c>
      <c r="E3771" s="21" t="s">
        <v>32207</v>
      </c>
    </row>
    <row r="3772" customFormat="false" ht="28.35" hidden="false" customHeight="false" outlineLevel="0" collapsed="false">
      <c r="B3772" s="19" t="s">
        <v>32214</v>
      </c>
      <c r="C3772" s="20" t="n">
        <f aca="false">ROUND(0.91/FX,2)</f>
        <v>0.13</v>
      </c>
      <c r="D3772" s="21" t="s">
        <v>6336</v>
      </c>
      <c r="E3772" s="21" t="s">
        <v>32215</v>
      </c>
    </row>
    <row r="3773" customFormat="false" ht="28.35" hidden="false" customHeight="false" outlineLevel="0" collapsed="false">
      <c r="B3773" s="19" t="s">
        <v>32216</v>
      </c>
      <c r="C3773" s="20" t="n">
        <f aca="false">ROUND(0.91/FX,2)</f>
        <v>0.13</v>
      </c>
      <c r="D3773" s="21" t="s">
        <v>6336</v>
      </c>
      <c r="E3773" s="21" t="s">
        <v>32217</v>
      </c>
    </row>
    <row r="3774" customFormat="false" ht="28.35" hidden="false" customHeight="false" outlineLevel="0" collapsed="false">
      <c r="B3774" s="19" t="s">
        <v>32218</v>
      </c>
      <c r="C3774" s="20" t="n">
        <f aca="false">ROUND(1.3/FX,2)</f>
        <v>0.18</v>
      </c>
      <c r="D3774" s="21" t="s">
        <v>6336</v>
      </c>
      <c r="E3774" s="21" t="s">
        <v>32219</v>
      </c>
    </row>
    <row r="3777" customFormat="false" ht="61.5" hidden="false" customHeight="true" outlineLevel="0" collapsed="false">
      <c r="A3777" s="9"/>
      <c r="B3777" s="10" t="s">
        <v>32220</v>
      </c>
      <c r="C3777" s="10"/>
      <c r="D3777" s="10"/>
    </row>
    <row r="3778" customFormat="false" ht="15" hidden="false" customHeight="false" outlineLevel="0" collapsed="false">
      <c r="A3778" s="12" t="s">
        <v>700</v>
      </c>
      <c r="B3778" s="13" t="s">
        <v>701</v>
      </c>
      <c r="C3778" s="13" t="s">
        <v>702</v>
      </c>
      <c r="D3778" s="13" t="s">
        <v>723</v>
      </c>
    </row>
    <row r="3779" customFormat="false" ht="30" hidden="false" customHeight="true" outlineLevel="0" collapsed="false">
      <c r="A3779" s="14" t="s">
        <v>706</v>
      </c>
      <c r="B3779" s="15" t="str">
        <f aca="false">IF(COUNTIFS($D$3782:$D$3784,IF(D3779="","*",D3779))=1,INDEX($B:$B,SUMPRODUCT(((D3779="")+($D$3782:$D$3784=D3779)&gt;0)*ROW($B$3782:$B$3784))),IF(COUNTIFS($D$3782:$D$3784,IF(D3779="","*",D3779))=0,"Not available",COUNTIFS($D$3782:$D$3784,IF(D3779="","*",D3779))&amp;" match, keep choosing"))</f>
        <v>P3-003-160x30M</v>
      </c>
      <c r="C3779" s="16" t="n">
        <f aca="false">IF(COUNTIFS($D$3782:$D$3784,IF(D3779="","*",D3779))=1,INDEX($C:$C,SUMPRODUCT(((D3779="")+($D$3782:$D$3784=D3779)&gt;0)*ROW($B$3782:$B$3784))),"")</f>
        <v>6.32</v>
      </c>
      <c r="D3779" s="17" t="s">
        <v>32221</v>
      </c>
    </row>
    <row r="3781" customFormat="false" ht="15" hidden="false" customHeight="false" outlineLevel="0" collapsed="false">
      <c r="B3781" s="18" t="s">
        <v>701</v>
      </c>
      <c r="C3781" s="18" t="s">
        <v>702</v>
      </c>
      <c r="D3781" s="18" t="s">
        <v>723</v>
      </c>
    </row>
    <row r="3782" customFormat="false" ht="15" hidden="false" customHeight="false" outlineLevel="0" collapsed="false">
      <c r="B3782" s="19" t="s">
        <v>32222</v>
      </c>
      <c r="C3782" s="20" t="n">
        <f aca="false">ROUND(45.5/FX,2)</f>
        <v>6.32</v>
      </c>
      <c r="D3782" s="21" t="s">
        <v>32221</v>
      </c>
    </row>
    <row r="3783" customFormat="false" ht="15" hidden="false" customHeight="false" outlineLevel="0" collapsed="false">
      <c r="B3783" s="19" t="s">
        <v>32223</v>
      </c>
      <c r="C3783" s="20" t="n">
        <f aca="false">ROUND(32.5/FX,2)</f>
        <v>4.51</v>
      </c>
      <c r="D3783" s="21" t="s">
        <v>32224</v>
      </c>
    </row>
    <row r="3784" customFormat="false" ht="15" hidden="false" customHeight="false" outlineLevel="0" collapsed="false">
      <c r="B3784" s="19" t="s">
        <v>32225</v>
      </c>
      <c r="C3784" s="20" t="n">
        <f aca="false">ROUND(61.03/FX,2)</f>
        <v>8.48</v>
      </c>
      <c r="D3784" s="21" t="s">
        <v>32226</v>
      </c>
    </row>
    <row r="3787" customFormat="false" ht="61.5" hidden="false" customHeight="true" outlineLevel="0" collapsed="false">
      <c r="A3787" s="9"/>
      <c r="B3787" s="10" t="s">
        <v>32227</v>
      </c>
      <c r="C3787" s="10"/>
      <c r="D3787" s="10"/>
    </row>
    <row r="3788" customFormat="false" ht="15" hidden="false" customHeight="false" outlineLevel="0" collapsed="false">
      <c r="A3788" s="12" t="s">
        <v>700</v>
      </c>
      <c r="B3788" s="13" t="s">
        <v>701</v>
      </c>
      <c r="C3788" s="13" t="s">
        <v>702</v>
      </c>
      <c r="D3788" s="13" t="s">
        <v>723</v>
      </c>
    </row>
    <row r="3789" customFormat="false" ht="30" hidden="false" customHeight="true" outlineLevel="0" collapsed="false">
      <c r="A3789" s="14" t="s">
        <v>706</v>
      </c>
      <c r="B3789" s="15" t="str">
        <f aca="false">IF(COUNTIFS($D$3792:$D$3794,IF(D3789="","*",D3789))=1,INDEX($B:$B,SUMPRODUCT(((D3789="")+($D$3792:$D$3794=D3789)&gt;0)*ROW($B$3792:$B$3794))),IF(COUNTIFS($D$3792:$D$3794,IF(D3789="","*",D3789))=0,"Not available",COUNTIFS($D$3792:$D$3794,IF(D3789="","*",D3789))&amp;" match, keep choosing"))</f>
        <v>P3-033-200x210</v>
      </c>
      <c r="C3789" s="16" t="n">
        <f aca="false">IF(COUNTIFS($D$3792:$D$3794,IF(D3789="","*",D3789))=1,INDEX($C:$C,SUMPRODUCT(((D3789="")+($D$3792:$D$3794=D3789)&gt;0)*ROW($B$3792:$B$3794))),"")</f>
        <v>0.14</v>
      </c>
      <c r="D3789" s="17" t="s">
        <v>32228</v>
      </c>
    </row>
    <row r="3791" customFormat="false" ht="15" hidden="false" customHeight="false" outlineLevel="0" collapsed="false">
      <c r="B3791" s="18" t="s">
        <v>701</v>
      </c>
      <c r="C3791" s="18" t="s">
        <v>702</v>
      </c>
      <c r="D3791" s="18" t="s">
        <v>723</v>
      </c>
    </row>
    <row r="3792" customFormat="false" ht="15" hidden="false" customHeight="false" outlineLevel="0" collapsed="false">
      <c r="B3792" s="19" t="s">
        <v>32229</v>
      </c>
      <c r="C3792" s="20" t="n">
        <f aca="false">ROUND(1.04/FX,2)</f>
        <v>0.14</v>
      </c>
      <c r="D3792" s="21" t="s">
        <v>32228</v>
      </c>
    </row>
    <row r="3793" customFormat="false" ht="15" hidden="false" customHeight="false" outlineLevel="0" collapsed="false">
      <c r="B3793" s="19" t="s">
        <v>32230</v>
      </c>
      <c r="C3793" s="20" t="n">
        <f aca="false">ROUND(1.24/FX,2)</f>
        <v>0.17</v>
      </c>
      <c r="D3793" s="21" t="s">
        <v>32231</v>
      </c>
    </row>
    <row r="3794" customFormat="false" ht="15" hidden="false" customHeight="false" outlineLevel="0" collapsed="false">
      <c r="B3794" s="19" t="s">
        <v>32232</v>
      </c>
      <c r="C3794" s="20" t="n">
        <f aca="false">ROUND(1.56/FX,2)</f>
        <v>0.22</v>
      </c>
      <c r="D3794" s="21" t="s">
        <v>32233</v>
      </c>
    </row>
    <row r="3797" customFormat="false" ht="61.5" hidden="false" customHeight="true" outlineLevel="0" collapsed="false">
      <c r="A3797" s="9"/>
      <c r="B3797" s="10" t="s">
        <v>32234</v>
      </c>
      <c r="C3797" s="10"/>
      <c r="D3797" s="10"/>
    </row>
    <row r="3798" customFormat="false" ht="15" hidden="false" customHeight="false" outlineLevel="0" collapsed="false">
      <c r="A3798" s="12" t="s">
        <v>700</v>
      </c>
      <c r="B3798" s="13" t="s">
        <v>701</v>
      </c>
      <c r="C3798" s="13" t="s">
        <v>702</v>
      </c>
      <c r="D3798" s="13" t="s">
        <v>6329</v>
      </c>
    </row>
    <row r="3799" customFormat="false" ht="30" hidden="false" customHeight="true" outlineLevel="0" collapsed="false">
      <c r="A3799" s="14" t="s">
        <v>706</v>
      </c>
      <c r="B3799" s="15" t="str">
        <f aca="false">IF(COUNTIFS($D$3802:$D$3898,IF(D3799="","*",D3799))=1,INDEX($B:$B,SUMPRODUCT(((D3799="")+($D$3802:$D$3898=D3799)&gt;0)*ROW($B$3802:$B$3898))),IF(COUNTIFS($D$3802:$D$3898,IF(D3799="","*",D3799))=0,"Not available",COUNTIFS($D$3802:$D$3898,IF(D3799="","*",D3799))&amp;" match, keep choosing"))</f>
        <v>KAP-10</v>
      </c>
      <c r="C3799" s="16" t="n">
        <f aca="false">IF(COUNTIFS($D$3802:$D$3898,IF(D3799="","*",D3799))=1,INDEX($C:$C,SUMPRODUCT(((D3799="")+($D$3802:$D$3898=D3799)&gt;0)*ROW($B$3802:$B$3898))),"")</f>
        <v>0.78</v>
      </c>
      <c r="D3799" s="17" t="s">
        <v>707</v>
      </c>
    </row>
    <row r="3801" customFormat="false" ht="15" hidden="false" customHeight="false" outlineLevel="0" collapsed="false">
      <c r="B3801" s="18" t="s">
        <v>701</v>
      </c>
      <c r="C3801" s="18" t="s">
        <v>702</v>
      </c>
      <c r="D3801" s="18" t="s">
        <v>6329</v>
      </c>
    </row>
    <row r="3802" customFormat="false" ht="15" hidden="false" customHeight="false" outlineLevel="0" collapsed="false">
      <c r="B3802" s="19" t="s">
        <v>32235</v>
      </c>
      <c r="C3802" s="20" t="n">
        <f aca="false">ROUND(5.59/FX,2)</f>
        <v>0.78</v>
      </c>
      <c r="D3802" s="21" t="s">
        <v>707</v>
      </c>
    </row>
    <row r="3803" customFormat="false" ht="15" hidden="false" customHeight="false" outlineLevel="0" collapsed="false">
      <c r="B3803" s="19" t="s">
        <v>32236</v>
      </c>
      <c r="C3803" s="20" t="n">
        <f aca="false">ROUND(55.9/FX,2)</f>
        <v>7.76</v>
      </c>
      <c r="D3803" s="21" t="s">
        <v>2600</v>
      </c>
    </row>
    <row r="3804" customFormat="false" ht="15" hidden="false" customHeight="false" outlineLevel="0" collapsed="false">
      <c r="B3804" s="19" t="s">
        <v>32237</v>
      </c>
      <c r="C3804" s="20" t="n">
        <f aca="false">ROUND(58.7/FX,2)</f>
        <v>8.15</v>
      </c>
      <c r="D3804" s="21" t="s">
        <v>12096</v>
      </c>
    </row>
    <row r="3805" customFormat="false" ht="15" hidden="false" customHeight="false" outlineLevel="0" collapsed="false">
      <c r="B3805" s="19" t="s">
        <v>32238</v>
      </c>
      <c r="C3805" s="20" t="n">
        <f aca="false">ROUND(60.37/FX,2)</f>
        <v>8.38</v>
      </c>
      <c r="D3805" s="21" t="s">
        <v>2641</v>
      </c>
    </row>
    <row r="3806" customFormat="false" ht="15" hidden="false" customHeight="false" outlineLevel="0" collapsed="false">
      <c r="B3806" s="19" t="s">
        <v>32239</v>
      </c>
      <c r="C3806" s="20" t="n">
        <f aca="false">ROUND(6.15/FX,2)</f>
        <v>0.85</v>
      </c>
      <c r="D3806" s="21" t="s">
        <v>5091</v>
      </c>
    </row>
    <row r="3807" customFormat="false" ht="15" hidden="false" customHeight="false" outlineLevel="0" collapsed="false">
      <c r="B3807" s="19" t="s">
        <v>32240</v>
      </c>
      <c r="C3807" s="20" t="n">
        <f aca="false">ROUND(61.49/FX,2)</f>
        <v>8.54</v>
      </c>
      <c r="D3807" s="21" t="s">
        <v>2651</v>
      </c>
    </row>
    <row r="3808" customFormat="false" ht="15" hidden="false" customHeight="false" outlineLevel="0" collapsed="false">
      <c r="B3808" s="19" t="s">
        <v>32241</v>
      </c>
      <c r="C3808" s="20" t="n">
        <f aca="false">ROUND(64.29/FX,2)</f>
        <v>8.93</v>
      </c>
      <c r="D3808" s="21" t="s">
        <v>25804</v>
      </c>
    </row>
    <row r="3809" customFormat="false" ht="15" hidden="false" customHeight="false" outlineLevel="0" collapsed="false">
      <c r="B3809" s="19" t="s">
        <v>32242</v>
      </c>
      <c r="C3809" s="20" t="n">
        <f aca="false">ROUND(6.71/FX,2)</f>
        <v>0.93</v>
      </c>
      <c r="D3809" s="21" t="s">
        <v>761</v>
      </c>
    </row>
    <row r="3810" customFormat="false" ht="15" hidden="false" customHeight="false" outlineLevel="0" collapsed="false">
      <c r="B3810" s="19" t="s">
        <v>32243</v>
      </c>
      <c r="C3810" s="20" t="n">
        <f aca="false">ROUND(67.08/FX,2)</f>
        <v>9.32</v>
      </c>
      <c r="D3810" s="21" t="s">
        <v>2701</v>
      </c>
    </row>
    <row r="3811" customFormat="false" ht="15" hidden="false" customHeight="false" outlineLevel="0" collapsed="false">
      <c r="B3811" s="19" t="s">
        <v>32244</v>
      </c>
      <c r="C3811" s="20" t="n">
        <f aca="false">ROUND(69.88/FX,2)</f>
        <v>9.71</v>
      </c>
      <c r="D3811" s="21" t="s">
        <v>11968</v>
      </c>
    </row>
    <row r="3812" customFormat="false" ht="15" hidden="false" customHeight="false" outlineLevel="0" collapsed="false">
      <c r="B3812" s="19" t="s">
        <v>32245</v>
      </c>
      <c r="C3812" s="20" t="n">
        <f aca="false">ROUND(7.27/FX,2)</f>
        <v>1.01</v>
      </c>
      <c r="D3812" s="21" t="s">
        <v>4761</v>
      </c>
    </row>
    <row r="3813" customFormat="false" ht="15" hidden="false" customHeight="false" outlineLevel="0" collapsed="false">
      <c r="B3813" s="19" t="s">
        <v>32246</v>
      </c>
      <c r="C3813" s="20" t="n">
        <f aca="false">ROUND(72.67/FX,2)</f>
        <v>10.09</v>
      </c>
      <c r="D3813" s="21" t="s">
        <v>2751</v>
      </c>
    </row>
    <row r="3814" customFormat="false" ht="15" hidden="false" customHeight="false" outlineLevel="0" collapsed="false">
      <c r="B3814" s="19" t="s">
        <v>32247</v>
      </c>
      <c r="C3814" s="20" t="n">
        <f aca="false">ROUND(75.47/FX,2)</f>
        <v>10.48</v>
      </c>
      <c r="D3814" s="21" t="s">
        <v>12223</v>
      </c>
    </row>
    <row r="3815" customFormat="false" ht="15" hidden="false" customHeight="false" outlineLevel="0" collapsed="false">
      <c r="B3815" s="19" t="s">
        <v>32248</v>
      </c>
      <c r="C3815" s="20" t="n">
        <f aca="false">ROUND(7.83/FX,2)</f>
        <v>1.09</v>
      </c>
      <c r="D3815" s="21" t="s">
        <v>4721</v>
      </c>
    </row>
    <row r="3816" customFormat="false" ht="15" hidden="false" customHeight="false" outlineLevel="0" collapsed="false">
      <c r="B3816" s="19" t="s">
        <v>32249</v>
      </c>
      <c r="C3816" s="20" t="n">
        <f aca="false">ROUND(78.26/FX,2)</f>
        <v>10.87</v>
      </c>
      <c r="D3816" s="21" t="s">
        <v>2801</v>
      </c>
    </row>
    <row r="3817" customFormat="false" ht="15" hidden="false" customHeight="false" outlineLevel="0" collapsed="false">
      <c r="B3817" s="19" t="s">
        <v>32250</v>
      </c>
      <c r="C3817" s="20" t="n">
        <f aca="false">ROUND(81.06/FX,2)</f>
        <v>11.26</v>
      </c>
      <c r="D3817" s="21" t="s">
        <v>12101</v>
      </c>
    </row>
    <row r="3818" customFormat="false" ht="15" hidden="false" customHeight="false" outlineLevel="0" collapsed="false">
      <c r="B3818" s="19" t="s">
        <v>32251</v>
      </c>
      <c r="C3818" s="20" t="n">
        <f aca="false">ROUND(8.38/FX,2)</f>
        <v>1.16</v>
      </c>
      <c r="D3818" s="21" t="s">
        <v>714</v>
      </c>
    </row>
    <row r="3819" customFormat="false" ht="15" hidden="false" customHeight="false" outlineLevel="0" collapsed="false">
      <c r="B3819" s="19" t="s">
        <v>32252</v>
      </c>
      <c r="C3819" s="20" t="n">
        <f aca="false">ROUND(83.85/FX,2)</f>
        <v>11.65</v>
      </c>
      <c r="D3819" s="21" t="s">
        <v>2851</v>
      </c>
    </row>
    <row r="3820" customFormat="false" ht="15" hidden="false" customHeight="false" outlineLevel="0" collapsed="false">
      <c r="B3820" s="19" t="s">
        <v>32253</v>
      </c>
      <c r="C3820" s="20" t="n">
        <f aca="false">ROUND(86.65/FX,2)</f>
        <v>12.03</v>
      </c>
      <c r="D3820" s="21" t="s">
        <v>12736</v>
      </c>
    </row>
    <row r="3821" customFormat="false" ht="15" hidden="false" customHeight="false" outlineLevel="0" collapsed="false">
      <c r="B3821" s="19" t="s">
        <v>32254</v>
      </c>
      <c r="C3821" s="20" t="n">
        <f aca="false">ROUND(8.94/FX,2)</f>
        <v>1.24</v>
      </c>
      <c r="D3821" s="21" t="s">
        <v>3833</v>
      </c>
    </row>
    <row r="3822" customFormat="false" ht="15" hidden="false" customHeight="false" outlineLevel="0" collapsed="false">
      <c r="B3822" s="19" t="s">
        <v>32255</v>
      </c>
      <c r="C3822" s="20" t="n">
        <f aca="false">ROUND(89.44/FX,2)</f>
        <v>12.42</v>
      </c>
      <c r="D3822" s="21" t="s">
        <v>2901</v>
      </c>
    </row>
    <row r="3823" customFormat="false" ht="15" hidden="false" customHeight="false" outlineLevel="0" collapsed="false">
      <c r="B3823" s="19" t="s">
        <v>32256</v>
      </c>
      <c r="C3823" s="20" t="n">
        <f aca="false">ROUND(92.24/FX,2)</f>
        <v>12.81</v>
      </c>
      <c r="D3823" s="21" t="s">
        <v>3881</v>
      </c>
    </row>
    <row r="3824" customFormat="false" ht="15" hidden="false" customHeight="false" outlineLevel="0" collapsed="false">
      <c r="B3824" s="19" t="s">
        <v>32257</v>
      </c>
      <c r="C3824" s="20" t="n">
        <f aca="false">ROUND(9.5/FX,2)</f>
        <v>1.32</v>
      </c>
      <c r="D3824" s="21" t="s">
        <v>5492</v>
      </c>
    </row>
    <row r="3825" customFormat="false" ht="15" hidden="false" customHeight="false" outlineLevel="0" collapsed="false">
      <c r="B3825" s="19" t="s">
        <v>32258</v>
      </c>
      <c r="C3825" s="20" t="n">
        <f aca="false">ROUND(95.03/FX,2)</f>
        <v>13.2</v>
      </c>
      <c r="D3825" s="21" t="s">
        <v>883</v>
      </c>
    </row>
    <row r="3826" customFormat="false" ht="15" hidden="false" customHeight="false" outlineLevel="0" collapsed="false">
      <c r="B3826" s="19" t="s">
        <v>32259</v>
      </c>
      <c r="C3826" s="20" t="n">
        <f aca="false">ROUND(97.83/FX,2)</f>
        <v>13.59</v>
      </c>
      <c r="D3826" s="21" t="s">
        <v>6497</v>
      </c>
    </row>
    <row r="3827" customFormat="false" ht="15" hidden="false" customHeight="false" outlineLevel="0" collapsed="false">
      <c r="B3827" s="19" t="s">
        <v>32260</v>
      </c>
      <c r="C3827" s="20" t="n">
        <f aca="false">ROUND(10.06/FX,2)</f>
        <v>1.4</v>
      </c>
      <c r="D3827" s="21" t="s">
        <v>4000</v>
      </c>
    </row>
    <row r="3828" customFormat="false" ht="15" hidden="false" customHeight="false" outlineLevel="0" collapsed="false">
      <c r="B3828" s="19" t="s">
        <v>32261</v>
      </c>
      <c r="C3828" s="20" t="n">
        <f aca="false">ROUND(100.62/FX,2)</f>
        <v>13.98</v>
      </c>
      <c r="D3828" s="21" t="s">
        <v>938</v>
      </c>
    </row>
    <row r="3829" customFormat="false" ht="15" hidden="false" customHeight="false" outlineLevel="0" collapsed="false">
      <c r="B3829" s="19" t="s">
        <v>32262</v>
      </c>
      <c r="C3829" s="20" t="n">
        <f aca="false">ROUND(103.42/FX,2)</f>
        <v>14.36</v>
      </c>
      <c r="D3829" s="21" t="s">
        <v>13660</v>
      </c>
    </row>
    <row r="3830" customFormat="false" ht="15" hidden="false" customHeight="false" outlineLevel="0" collapsed="false">
      <c r="B3830" s="19" t="s">
        <v>32263</v>
      </c>
      <c r="C3830" s="20" t="n">
        <f aca="false">ROUND(10.62/FX,2)</f>
        <v>1.48</v>
      </c>
      <c r="D3830" s="21" t="s">
        <v>6940</v>
      </c>
    </row>
    <row r="3831" customFormat="false" ht="15" hidden="false" customHeight="false" outlineLevel="0" collapsed="false">
      <c r="B3831" s="19" t="s">
        <v>32264</v>
      </c>
      <c r="C3831" s="20" t="n">
        <f aca="false">ROUND(106.21/FX,2)</f>
        <v>14.75</v>
      </c>
      <c r="D3831" s="21" t="s">
        <v>993</v>
      </c>
    </row>
    <row r="3832" customFormat="false" ht="15" hidden="false" customHeight="false" outlineLevel="0" collapsed="false">
      <c r="B3832" s="19" t="s">
        <v>32265</v>
      </c>
      <c r="C3832" s="20" t="n">
        <f aca="false">ROUND(109/FX,2)</f>
        <v>15.14</v>
      </c>
      <c r="D3832" s="21" t="s">
        <v>3936</v>
      </c>
    </row>
    <row r="3833" customFormat="false" ht="15" hidden="false" customHeight="false" outlineLevel="0" collapsed="false">
      <c r="B3833" s="19" t="s">
        <v>32266</v>
      </c>
      <c r="C3833" s="20" t="n">
        <f aca="false">ROUND(1.3/FX,2)</f>
        <v>0.18</v>
      </c>
      <c r="D3833" s="21" t="s">
        <v>837</v>
      </c>
    </row>
    <row r="3834" customFormat="false" ht="15" hidden="false" customHeight="false" outlineLevel="0" collapsed="false">
      <c r="B3834" s="19" t="s">
        <v>32267</v>
      </c>
      <c r="C3834" s="20" t="n">
        <f aca="false">ROUND(5.75/FX,2)</f>
        <v>0.8</v>
      </c>
      <c r="D3834" s="21" t="s">
        <v>3247</v>
      </c>
    </row>
    <row r="3835" customFormat="false" ht="15" hidden="false" customHeight="false" outlineLevel="0" collapsed="false">
      <c r="B3835" s="19" t="s">
        <v>32268</v>
      </c>
      <c r="C3835" s="20" t="n">
        <f aca="false">ROUND(111.8/FX,2)</f>
        <v>15.53</v>
      </c>
      <c r="D3835" s="21" t="s">
        <v>1048</v>
      </c>
    </row>
    <row r="3836" customFormat="false" ht="15" hidden="false" customHeight="false" outlineLevel="0" collapsed="false">
      <c r="B3836" s="19" t="s">
        <v>32269</v>
      </c>
      <c r="C3836" s="20" t="n">
        <f aca="false">ROUND(114.6/FX,2)</f>
        <v>15.92</v>
      </c>
      <c r="D3836" s="21" t="s">
        <v>4776</v>
      </c>
    </row>
    <row r="3837" customFormat="false" ht="15" hidden="false" customHeight="false" outlineLevel="0" collapsed="false">
      <c r="B3837" s="19" t="s">
        <v>32270</v>
      </c>
      <c r="C3837" s="20" t="n">
        <f aca="false">ROUND(11.74/FX,2)</f>
        <v>1.63</v>
      </c>
      <c r="D3837" s="21" t="s">
        <v>13852</v>
      </c>
    </row>
    <row r="3838" customFormat="false" ht="15" hidden="false" customHeight="false" outlineLevel="0" collapsed="false">
      <c r="B3838" s="19" t="s">
        <v>32271</v>
      </c>
      <c r="C3838" s="20" t="n">
        <f aca="false">ROUND(117.39/FX,2)</f>
        <v>16.3</v>
      </c>
      <c r="D3838" s="21" t="s">
        <v>1103</v>
      </c>
    </row>
    <row r="3839" customFormat="false" ht="15" hidden="false" customHeight="false" outlineLevel="0" collapsed="false">
      <c r="B3839" s="19" t="s">
        <v>32272</v>
      </c>
      <c r="C3839" s="20" t="n">
        <f aca="false">ROUND(120.19/FX,2)</f>
        <v>16.69</v>
      </c>
      <c r="D3839" s="21" t="s">
        <v>4793</v>
      </c>
    </row>
    <row r="3840" customFormat="false" ht="15" hidden="false" customHeight="false" outlineLevel="0" collapsed="false">
      <c r="B3840" s="19" t="s">
        <v>32273</v>
      </c>
      <c r="C3840" s="20" t="n">
        <f aca="false">ROUND(12.3/FX,2)</f>
        <v>1.71</v>
      </c>
      <c r="D3840" s="21" t="s">
        <v>5097</v>
      </c>
    </row>
    <row r="3841" customFormat="false" ht="15" hidden="false" customHeight="false" outlineLevel="0" collapsed="false">
      <c r="B3841" s="19" t="s">
        <v>32274</v>
      </c>
      <c r="C3841" s="20" t="n">
        <f aca="false">ROUND(122.98/FX,2)</f>
        <v>17.08</v>
      </c>
      <c r="D3841" s="21" t="s">
        <v>1158</v>
      </c>
    </row>
    <row r="3842" customFormat="false" ht="15" hidden="false" customHeight="false" outlineLevel="0" collapsed="false">
      <c r="B3842" s="19" t="s">
        <v>32275</v>
      </c>
      <c r="C3842" s="20" t="n">
        <f aca="false">ROUND(125.78/FX,2)</f>
        <v>17.47</v>
      </c>
      <c r="D3842" s="21" t="s">
        <v>3991</v>
      </c>
    </row>
    <row r="3843" customFormat="false" ht="15" hidden="false" customHeight="false" outlineLevel="0" collapsed="false">
      <c r="B3843" s="19" t="s">
        <v>32276</v>
      </c>
      <c r="C3843" s="20" t="n">
        <f aca="false">ROUND(12.86/FX,2)</f>
        <v>1.79</v>
      </c>
      <c r="D3843" s="21" t="s">
        <v>7020</v>
      </c>
    </row>
    <row r="3844" customFormat="false" ht="15" hidden="false" customHeight="false" outlineLevel="0" collapsed="false">
      <c r="B3844" s="19" t="s">
        <v>32277</v>
      </c>
      <c r="C3844" s="20" t="n">
        <f aca="false">ROUND(128.57/FX,2)</f>
        <v>17.86</v>
      </c>
      <c r="D3844" s="21" t="s">
        <v>1213</v>
      </c>
    </row>
    <row r="3845" customFormat="false" ht="15" hidden="false" customHeight="false" outlineLevel="0" collapsed="false">
      <c r="B3845" s="19" t="s">
        <v>32278</v>
      </c>
      <c r="C3845" s="20" t="n">
        <f aca="false">ROUND(131.37/FX,2)</f>
        <v>18.25</v>
      </c>
      <c r="D3845" s="21" t="s">
        <v>4826</v>
      </c>
    </row>
    <row r="3846" customFormat="false" ht="15" hidden="false" customHeight="false" outlineLevel="0" collapsed="false">
      <c r="B3846" s="19" t="s">
        <v>32279</v>
      </c>
      <c r="C3846" s="20" t="n">
        <f aca="false">ROUND(13.42/FX,2)</f>
        <v>1.86</v>
      </c>
      <c r="D3846" s="21" t="s">
        <v>6723</v>
      </c>
    </row>
    <row r="3847" customFormat="false" ht="15" hidden="false" customHeight="false" outlineLevel="0" collapsed="false">
      <c r="B3847" s="19" t="s">
        <v>32280</v>
      </c>
      <c r="C3847" s="20" t="n">
        <f aca="false">ROUND(134.16/FX,2)</f>
        <v>18.63</v>
      </c>
      <c r="D3847" s="21" t="s">
        <v>1268</v>
      </c>
    </row>
    <row r="3848" customFormat="false" ht="15" hidden="false" customHeight="false" outlineLevel="0" collapsed="false">
      <c r="B3848" s="19" t="s">
        <v>32281</v>
      </c>
      <c r="C3848" s="20" t="n">
        <f aca="false">ROUND(136.96/FX,2)</f>
        <v>19.02</v>
      </c>
      <c r="D3848" s="21" t="s">
        <v>6278</v>
      </c>
    </row>
    <row r="3849" customFormat="false" ht="15" hidden="false" customHeight="false" outlineLevel="0" collapsed="false">
      <c r="B3849" s="19" t="s">
        <v>32282</v>
      </c>
      <c r="C3849" s="20" t="n">
        <f aca="false">ROUND(13.98/FX,2)</f>
        <v>1.94</v>
      </c>
      <c r="D3849" s="21" t="s">
        <v>3317</v>
      </c>
    </row>
    <row r="3850" customFormat="false" ht="15" hidden="false" customHeight="false" outlineLevel="0" collapsed="false">
      <c r="B3850" s="19" t="s">
        <v>32283</v>
      </c>
      <c r="C3850" s="20" t="n">
        <f aca="false">ROUND(139.75/FX,2)</f>
        <v>19.41</v>
      </c>
      <c r="D3850" s="21" t="s">
        <v>1323</v>
      </c>
    </row>
    <row r="3851" customFormat="false" ht="15" hidden="false" customHeight="false" outlineLevel="0" collapsed="false">
      <c r="B3851" s="19" t="s">
        <v>32284</v>
      </c>
      <c r="C3851" s="20" t="n">
        <f aca="false">ROUND(14.53/FX,2)</f>
        <v>2.02</v>
      </c>
      <c r="D3851" s="21" t="s">
        <v>7061</v>
      </c>
    </row>
    <row r="3852" customFormat="false" ht="15" hidden="false" customHeight="false" outlineLevel="0" collapsed="false">
      <c r="B3852" s="19" t="s">
        <v>32285</v>
      </c>
      <c r="C3852" s="20" t="n">
        <f aca="false">ROUND(15.1/FX,2)</f>
        <v>2.1</v>
      </c>
      <c r="D3852" s="21" t="s">
        <v>13774</v>
      </c>
    </row>
    <row r="3853" customFormat="false" ht="15" hidden="false" customHeight="false" outlineLevel="0" collapsed="false">
      <c r="B3853" s="19" t="s">
        <v>32286</v>
      </c>
      <c r="C3853" s="20" t="n">
        <f aca="false">ROUND(15.65/FX,2)</f>
        <v>2.17</v>
      </c>
      <c r="D3853" s="21" t="s">
        <v>6768</v>
      </c>
    </row>
    <row r="3854" customFormat="false" ht="15" hidden="false" customHeight="false" outlineLevel="0" collapsed="false">
      <c r="B3854" s="19" t="s">
        <v>32287</v>
      </c>
      <c r="C3854" s="20" t="n">
        <f aca="false">ROUND(16.21/FX,2)</f>
        <v>2.25</v>
      </c>
      <c r="D3854" s="21" t="s">
        <v>14008</v>
      </c>
    </row>
    <row r="3855" customFormat="false" ht="15" hidden="false" customHeight="false" outlineLevel="0" collapsed="false">
      <c r="B3855" s="19" t="s">
        <v>32288</v>
      </c>
      <c r="C3855" s="20" t="n">
        <f aca="false">ROUND(1.68/FX,2)</f>
        <v>0.23</v>
      </c>
      <c r="D3855" s="21" t="s">
        <v>839</v>
      </c>
    </row>
    <row r="3856" customFormat="false" ht="15" hidden="false" customHeight="false" outlineLevel="0" collapsed="false">
      <c r="B3856" s="19" t="s">
        <v>32289</v>
      </c>
      <c r="C3856" s="20" t="n">
        <f aca="false">ROUND(16.77/FX,2)</f>
        <v>2.33</v>
      </c>
      <c r="D3856" s="21" t="s">
        <v>784</v>
      </c>
    </row>
    <row r="3857" customFormat="false" ht="15" hidden="false" customHeight="false" outlineLevel="0" collapsed="false">
      <c r="B3857" s="19" t="s">
        <v>32290</v>
      </c>
      <c r="C3857" s="20" t="n">
        <f aca="false">ROUND(167.7/FX,2)</f>
        <v>23.29</v>
      </c>
      <c r="D3857" s="21" t="s">
        <v>1520</v>
      </c>
    </row>
    <row r="3858" customFormat="false" ht="15" hidden="false" customHeight="false" outlineLevel="0" collapsed="false">
      <c r="B3858" s="19" t="s">
        <v>32291</v>
      </c>
      <c r="C3858" s="20" t="n">
        <f aca="false">ROUND(17.33/FX,2)</f>
        <v>2.41</v>
      </c>
      <c r="D3858" s="21" t="s">
        <v>14083</v>
      </c>
    </row>
    <row r="3859" customFormat="false" ht="15" hidden="false" customHeight="false" outlineLevel="0" collapsed="false">
      <c r="B3859" s="19" t="s">
        <v>32292</v>
      </c>
      <c r="C3859" s="20" t="n">
        <f aca="false">ROUND(17.89/FX,2)</f>
        <v>2.48</v>
      </c>
      <c r="D3859" s="21" t="s">
        <v>6244</v>
      </c>
    </row>
    <row r="3860" customFormat="false" ht="15" hidden="false" customHeight="false" outlineLevel="0" collapsed="false">
      <c r="B3860" s="19" t="s">
        <v>32293</v>
      </c>
      <c r="C3860" s="20" t="n">
        <f aca="false">ROUND(18.45/FX,2)</f>
        <v>2.56</v>
      </c>
      <c r="D3860" s="21" t="s">
        <v>13781</v>
      </c>
    </row>
    <row r="3861" customFormat="false" ht="15" hidden="false" customHeight="false" outlineLevel="0" collapsed="false">
      <c r="B3861" s="19" t="s">
        <v>32294</v>
      </c>
      <c r="C3861" s="20" t="n">
        <f aca="false">ROUND(19/FX,2)</f>
        <v>2.64</v>
      </c>
      <c r="D3861" s="21" t="s">
        <v>6805</v>
      </c>
    </row>
    <row r="3862" customFormat="false" ht="15" hidden="false" customHeight="false" outlineLevel="0" collapsed="false">
      <c r="B3862" s="19" t="s">
        <v>32295</v>
      </c>
      <c r="C3862" s="20" t="n">
        <f aca="false">ROUND(19.57/FX,2)</f>
        <v>2.72</v>
      </c>
      <c r="D3862" s="21" t="s">
        <v>3328</v>
      </c>
    </row>
    <row r="3863" customFormat="false" ht="15" hidden="false" customHeight="false" outlineLevel="0" collapsed="false">
      <c r="B3863" s="19" t="s">
        <v>32296</v>
      </c>
      <c r="C3863" s="20" t="n">
        <f aca="false">ROUND(20.12/FX,2)</f>
        <v>2.79</v>
      </c>
      <c r="D3863" s="21" t="s">
        <v>6730</v>
      </c>
    </row>
    <row r="3864" customFormat="false" ht="15" hidden="false" customHeight="false" outlineLevel="0" collapsed="false">
      <c r="B3864" s="19" t="s">
        <v>32297</v>
      </c>
      <c r="C3864" s="20" t="n">
        <f aca="false">ROUND(20.68/FX,2)</f>
        <v>2.87</v>
      </c>
      <c r="D3864" s="21" t="s">
        <v>13791</v>
      </c>
    </row>
    <row r="3865" customFormat="false" ht="15" hidden="false" customHeight="false" outlineLevel="0" collapsed="false">
      <c r="B3865" s="19" t="s">
        <v>32298</v>
      </c>
      <c r="C3865" s="20" t="n">
        <f aca="false">ROUND(21.24/FX,2)</f>
        <v>2.95</v>
      </c>
      <c r="D3865" s="21" t="s">
        <v>5496</v>
      </c>
    </row>
    <row r="3866" customFormat="false" ht="15" hidden="false" customHeight="false" outlineLevel="0" collapsed="false">
      <c r="B3866" s="19" t="s">
        <v>32299</v>
      </c>
      <c r="C3866" s="20" t="n">
        <f aca="false">ROUND(22.36/FX,2)</f>
        <v>3.11</v>
      </c>
      <c r="D3866" s="21" t="s">
        <v>16910</v>
      </c>
    </row>
    <row r="3867" customFormat="false" ht="15" hidden="false" customHeight="false" outlineLevel="0" collapsed="false">
      <c r="B3867" s="19" t="s">
        <v>32300</v>
      </c>
      <c r="C3867" s="20" t="n">
        <f aca="false">ROUND(2.24/FX,2)</f>
        <v>0.31</v>
      </c>
      <c r="D3867" s="21" t="s">
        <v>841</v>
      </c>
    </row>
    <row r="3868" customFormat="false" ht="15" hidden="false" customHeight="false" outlineLevel="0" collapsed="false">
      <c r="B3868" s="19" t="s">
        <v>32301</v>
      </c>
      <c r="C3868" s="20" t="n">
        <f aca="false">ROUND(22.36/FX,2)</f>
        <v>3.11</v>
      </c>
      <c r="D3868" s="21" t="s">
        <v>6246</v>
      </c>
    </row>
    <row r="3869" customFormat="false" ht="15" hidden="false" customHeight="false" outlineLevel="0" collapsed="false">
      <c r="B3869" s="19" t="s">
        <v>32302</v>
      </c>
      <c r="C3869" s="20" t="n">
        <f aca="false">ROUND(22.92/FX,2)</f>
        <v>3.18</v>
      </c>
      <c r="D3869" s="21" t="s">
        <v>14024</v>
      </c>
    </row>
    <row r="3870" customFormat="false" ht="15" hidden="false" customHeight="false" outlineLevel="0" collapsed="false">
      <c r="B3870" s="19" t="s">
        <v>32303</v>
      </c>
      <c r="C3870" s="20" t="n">
        <f aca="false">ROUND(23.48/FX,2)</f>
        <v>3.26</v>
      </c>
      <c r="D3870" s="21" t="s">
        <v>14100</v>
      </c>
    </row>
    <row r="3871" customFormat="false" ht="15" hidden="false" customHeight="false" outlineLevel="0" collapsed="false">
      <c r="B3871" s="19" t="s">
        <v>32304</v>
      </c>
      <c r="C3871" s="20" t="n">
        <f aca="false">ROUND(24.04/FX,2)</f>
        <v>3.34</v>
      </c>
      <c r="D3871" s="21" t="s">
        <v>14497</v>
      </c>
    </row>
    <row r="3872" customFormat="false" ht="15" hidden="false" customHeight="false" outlineLevel="0" collapsed="false">
      <c r="B3872" s="19" t="s">
        <v>32305</v>
      </c>
      <c r="C3872" s="20" t="n">
        <f aca="false">ROUND(25.16/FX,2)</f>
        <v>3.49</v>
      </c>
      <c r="D3872" s="21" t="s">
        <v>14216</v>
      </c>
    </row>
    <row r="3873" customFormat="false" ht="15" hidden="false" customHeight="false" outlineLevel="0" collapsed="false">
      <c r="B3873" s="19" t="s">
        <v>32306</v>
      </c>
      <c r="C3873" s="20" t="n">
        <f aca="false">ROUND(25.71/FX,2)</f>
        <v>3.57</v>
      </c>
      <c r="D3873" s="21" t="s">
        <v>7358</v>
      </c>
    </row>
    <row r="3874" customFormat="false" ht="15" hidden="false" customHeight="false" outlineLevel="0" collapsed="false">
      <c r="B3874" s="19" t="s">
        <v>32307</v>
      </c>
      <c r="C3874" s="20" t="n">
        <f aca="false">ROUND(26.27/FX,2)</f>
        <v>3.65</v>
      </c>
      <c r="D3874" s="21" t="s">
        <v>13804</v>
      </c>
    </row>
    <row r="3875" customFormat="false" ht="15" hidden="false" customHeight="false" outlineLevel="0" collapsed="false">
      <c r="B3875" s="19" t="s">
        <v>32308</v>
      </c>
      <c r="C3875" s="20" t="n">
        <f aca="false">ROUND(26.83/FX,2)</f>
        <v>3.73</v>
      </c>
      <c r="D3875" s="21" t="s">
        <v>14417</v>
      </c>
    </row>
    <row r="3876" customFormat="false" ht="15" hidden="false" customHeight="false" outlineLevel="0" collapsed="false">
      <c r="B3876" s="19" t="s">
        <v>32309</v>
      </c>
      <c r="C3876" s="20" t="n">
        <f aca="false">ROUND(26.83/FX,2)</f>
        <v>3.73</v>
      </c>
      <c r="D3876" s="21" t="s">
        <v>6742</v>
      </c>
    </row>
    <row r="3877" customFormat="false" ht="15" hidden="false" customHeight="false" outlineLevel="0" collapsed="false">
      <c r="B3877" s="19" t="s">
        <v>32310</v>
      </c>
      <c r="C3877" s="20" t="n">
        <f aca="false">ROUND(27.39/FX,2)</f>
        <v>3.8</v>
      </c>
      <c r="D3877" s="21" t="s">
        <v>32311</v>
      </c>
    </row>
    <row r="3878" customFormat="false" ht="15" hidden="false" customHeight="false" outlineLevel="0" collapsed="false">
      <c r="B3878" s="19" t="s">
        <v>32312</v>
      </c>
      <c r="C3878" s="20" t="n">
        <f aca="false">ROUND(2.8/FX,2)</f>
        <v>0.39</v>
      </c>
      <c r="D3878" s="21" t="s">
        <v>789</v>
      </c>
    </row>
    <row r="3879" customFormat="false" ht="15" hidden="false" customHeight="false" outlineLevel="0" collapsed="false">
      <c r="B3879" s="19" t="s">
        <v>32313</v>
      </c>
      <c r="C3879" s="20" t="n">
        <f aca="false">ROUND(27.95/FX,2)</f>
        <v>3.88</v>
      </c>
      <c r="D3879" s="21" t="s">
        <v>2911</v>
      </c>
    </row>
    <row r="3880" customFormat="false" ht="15" hidden="false" customHeight="false" outlineLevel="0" collapsed="false">
      <c r="B3880" s="19" t="s">
        <v>32314</v>
      </c>
      <c r="C3880" s="20" t="n">
        <f aca="false">ROUND(279.5/FX,2)</f>
        <v>38.82</v>
      </c>
      <c r="D3880" s="21" t="s">
        <v>2142</v>
      </c>
    </row>
    <row r="3881" customFormat="false" ht="15" hidden="false" customHeight="false" outlineLevel="0" collapsed="false">
      <c r="B3881" s="19" t="s">
        <v>32315</v>
      </c>
      <c r="C3881" s="20" t="n">
        <f aca="false">ROUND(30.75/FX,2)</f>
        <v>4.27</v>
      </c>
      <c r="D3881" s="21" t="s">
        <v>7275</v>
      </c>
    </row>
    <row r="3882" customFormat="false" ht="15" hidden="false" customHeight="false" outlineLevel="0" collapsed="false">
      <c r="B3882" s="19" t="s">
        <v>32316</v>
      </c>
      <c r="C3882" s="20" t="n">
        <f aca="false">ROUND(32.42/FX,2)</f>
        <v>4.5</v>
      </c>
      <c r="D3882" s="21" t="s">
        <v>2951</v>
      </c>
    </row>
    <row r="3883" customFormat="false" ht="15" hidden="false" customHeight="false" outlineLevel="0" collapsed="false">
      <c r="B3883" s="19" t="s">
        <v>32317</v>
      </c>
      <c r="C3883" s="20" t="n">
        <f aca="false">ROUND(3.35/FX,2)</f>
        <v>0.47</v>
      </c>
      <c r="D3883" s="21" t="s">
        <v>716</v>
      </c>
    </row>
    <row r="3884" customFormat="false" ht="15" hidden="false" customHeight="false" outlineLevel="0" collapsed="false">
      <c r="B3884" s="19" t="s">
        <v>32318</v>
      </c>
      <c r="C3884" s="20" t="n">
        <f aca="false">ROUND(33.54/FX,2)</f>
        <v>4.66</v>
      </c>
      <c r="D3884" s="21" t="s">
        <v>2961</v>
      </c>
    </row>
    <row r="3885" customFormat="false" ht="15" hidden="false" customHeight="false" outlineLevel="0" collapsed="false">
      <c r="B3885" s="19" t="s">
        <v>32319</v>
      </c>
      <c r="C3885" s="20" t="n">
        <f aca="false">ROUND(36.34/FX,2)</f>
        <v>5.05</v>
      </c>
      <c r="D3885" s="21" t="s">
        <v>13817</v>
      </c>
    </row>
    <row r="3886" customFormat="false" ht="15" hidden="false" customHeight="false" outlineLevel="0" collapsed="false">
      <c r="B3886" s="19" t="s">
        <v>32320</v>
      </c>
      <c r="C3886" s="20" t="n">
        <f aca="false">ROUND(38.01/FX,2)</f>
        <v>5.28</v>
      </c>
      <c r="D3886" s="21" t="s">
        <v>3001</v>
      </c>
    </row>
    <row r="3887" customFormat="false" ht="15" hidden="false" customHeight="false" outlineLevel="0" collapsed="false">
      <c r="B3887" s="19" t="s">
        <v>32321</v>
      </c>
      <c r="C3887" s="20" t="n">
        <f aca="false">ROUND(3.91/FX,2)</f>
        <v>0.54</v>
      </c>
      <c r="D3887" s="21" t="s">
        <v>845</v>
      </c>
    </row>
    <row r="3888" customFormat="false" ht="15" hidden="false" customHeight="false" outlineLevel="0" collapsed="false">
      <c r="B3888" s="19" t="s">
        <v>32322</v>
      </c>
      <c r="C3888" s="20" t="n">
        <f aca="false">ROUND(39.13/FX,2)</f>
        <v>5.43</v>
      </c>
      <c r="D3888" s="21" t="s">
        <v>3011</v>
      </c>
    </row>
    <row r="3889" customFormat="false" ht="15" hidden="false" customHeight="false" outlineLevel="0" collapsed="false">
      <c r="B3889" s="19" t="s">
        <v>32323</v>
      </c>
      <c r="C3889" s="20" t="n">
        <f aca="false">ROUND(41.93/FX,2)</f>
        <v>5.82</v>
      </c>
      <c r="D3889" s="21" t="s">
        <v>7396</v>
      </c>
    </row>
    <row r="3890" customFormat="false" ht="15" hidden="false" customHeight="false" outlineLevel="0" collapsed="false">
      <c r="B3890" s="19" t="s">
        <v>32324</v>
      </c>
      <c r="C3890" s="20" t="n">
        <f aca="false">ROUND(43.6/FX,2)</f>
        <v>6.06</v>
      </c>
      <c r="D3890" s="21" t="s">
        <v>3051</v>
      </c>
    </row>
    <row r="3891" customFormat="false" ht="15" hidden="false" customHeight="false" outlineLevel="0" collapsed="false">
      <c r="B3891" s="19" t="s">
        <v>32325</v>
      </c>
      <c r="C3891" s="20" t="n">
        <f aca="false">ROUND(4.47/FX,2)</f>
        <v>0.62</v>
      </c>
      <c r="D3891" s="21" t="s">
        <v>847</v>
      </c>
    </row>
    <row r="3892" customFormat="false" ht="15" hidden="false" customHeight="false" outlineLevel="0" collapsed="false">
      <c r="B3892" s="19" t="s">
        <v>32326</v>
      </c>
      <c r="C3892" s="20" t="n">
        <f aca="false">ROUND(44.72/FX,2)</f>
        <v>6.21</v>
      </c>
      <c r="D3892" s="21" t="s">
        <v>3061</v>
      </c>
    </row>
    <row r="3893" customFormat="false" ht="15" hidden="false" customHeight="false" outlineLevel="0" collapsed="false">
      <c r="B3893" s="19" t="s">
        <v>32327</v>
      </c>
      <c r="C3893" s="20" t="n">
        <f aca="false">ROUND(47.52/FX,2)</f>
        <v>6.6</v>
      </c>
      <c r="D3893" s="21" t="s">
        <v>11870</v>
      </c>
    </row>
    <row r="3894" customFormat="false" ht="15" hidden="false" customHeight="false" outlineLevel="0" collapsed="false">
      <c r="B3894" s="19" t="s">
        <v>32328</v>
      </c>
      <c r="C3894" s="20" t="n">
        <f aca="false">ROUND(49.19/FX,2)</f>
        <v>6.83</v>
      </c>
      <c r="D3894" s="21" t="s">
        <v>3101</v>
      </c>
    </row>
    <row r="3895" customFormat="false" ht="15" hidden="false" customHeight="false" outlineLevel="0" collapsed="false">
      <c r="B3895" s="19" t="s">
        <v>32329</v>
      </c>
      <c r="C3895" s="20" t="n">
        <f aca="false">ROUND(5.03/FX,2)</f>
        <v>0.7</v>
      </c>
      <c r="D3895" s="21" t="s">
        <v>719</v>
      </c>
    </row>
    <row r="3896" customFormat="false" ht="15" hidden="false" customHeight="false" outlineLevel="0" collapsed="false">
      <c r="B3896" s="19" t="s">
        <v>32330</v>
      </c>
      <c r="C3896" s="20" t="n">
        <f aca="false">ROUND(50.31/FX,2)</f>
        <v>6.99</v>
      </c>
      <c r="D3896" s="21" t="s">
        <v>3111</v>
      </c>
    </row>
    <row r="3897" customFormat="false" ht="15" hidden="false" customHeight="false" outlineLevel="0" collapsed="false">
      <c r="B3897" s="19" t="s">
        <v>32331</v>
      </c>
      <c r="C3897" s="20" t="n">
        <f aca="false">ROUND(53.11/FX,2)</f>
        <v>7.38</v>
      </c>
      <c r="D3897" s="21" t="s">
        <v>12306</v>
      </c>
    </row>
    <row r="3898" customFormat="false" ht="15" hidden="false" customHeight="false" outlineLevel="0" collapsed="false">
      <c r="B3898" s="19" t="s">
        <v>32332</v>
      </c>
      <c r="C3898" s="20" t="n">
        <f aca="false">ROUND(54.78/FX,2)</f>
        <v>7.61</v>
      </c>
      <c r="D3898" s="21" t="s">
        <v>3151</v>
      </c>
    </row>
    <row r="3901" customFormat="false" ht="61.5" hidden="false" customHeight="true" outlineLevel="0" collapsed="false">
      <c r="A3901" s="9"/>
      <c r="B3901" s="10" t="s">
        <v>32333</v>
      </c>
      <c r="C3901" s="10"/>
      <c r="D3901" s="10"/>
    </row>
    <row r="3902" customFormat="false" ht="15" hidden="false" customHeight="false" outlineLevel="0" collapsed="false">
      <c r="B3902" s="18" t="s">
        <v>701</v>
      </c>
      <c r="C3902" s="18" t="s">
        <v>702</v>
      </c>
      <c r="D3902" s="18" t="s">
        <v>5610</v>
      </c>
    </row>
    <row r="3903" customFormat="false" ht="15" hidden="false" customHeight="false" outlineLevel="0" collapsed="false">
      <c r="B3903" s="19" t="s">
        <v>32334</v>
      </c>
      <c r="C3903" s="20" t="n">
        <f aca="false">ROUND(10.92/FX,2)</f>
        <v>1.52</v>
      </c>
      <c r="D3903" s="22" t="s">
        <v>5612</v>
      </c>
    </row>
    <row r="3906" customFormat="false" ht="61.5" hidden="false" customHeight="true" outlineLevel="0" collapsed="false">
      <c r="A3906" s="9"/>
      <c r="B3906" s="10" t="s">
        <v>32335</v>
      </c>
      <c r="C3906" s="10"/>
      <c r="D3906" s="10"/>
      <c r="E3906" s="10"/>
      <c r="F3906" s="10"/>
    </row>
    <row r="3907" customFormat="false" ht="15" hidden="false" customHeight="false" outlineLevel="0" collapsed="false">
      <c r="A3907" s="12" t="s">
        <v>700</v>
      </c>
      <c r="B3907" s="13" t="s">
        <v>701</v>
      </c>
      <c r="C3907" s="13" t="s">
        <v>702</v>
      </c>
      <c r="D3907" s="13" t="s">
        <v>722</v>
      </c>
      <c r="E3907" s="13" t="s">
        <v>723</v>
      </c>
      <c r="F3907" s="13" t="s">
        <v>6559</v>
      </c>
    </row>
    <row r="3908" customFormat="false" ht="30" hidden="false" customHeight="true" outlineLevel="0" collapsed="false">
      <c r="A3908" s="14" t="s">
        <v>706</v>
      </c>
      <c r="B3908" s="15" t="str">
        <f aca="false">IF(COUNTIFS($D$3911:$D$3931,IF(D3908="","*",D3908),$E$3911:$E$3931,IF(E3908="","*",E3908),$F$3911:$F$3931,IF(F3908="","*",F3908))=1,INDEX($B:$B,SUMPRODUCT(((D3908="")+($D$3911:$D$3931=D3908)&gt;0)*((E3908="")+($E$3911:$E$3931=E3908)&gt;0)*((F3908="")+($F$3911:$F$3931=F3908)&gt;0)*ROW($B$3911:$B$3931))),IF(COUNTIFS($D$3911:$D$3931,IF(D3908="","*",D3908),$E$3911:$E$3931,IF(E3908="","*",E3908),$F$3911:$F$3931,IF(F3908="","*",F3908))=0,"Not available",COUNTIFS($D$3911:$D$3931,IF(D3908="","*",D3908),$E$3911:$E$3931,IF(E3908="","*",E3908),$F$3911:$F$3931,IF(F3908="","*",F3908))&amp;" match, keep choosing"))</f>
        <v>P3-102-K10-BK-2020-DB-2GT-20C-BDC-D-MM</v>
      </c>
      <c r="C3908" s="16" t="n">
        <f aca="false">IF(COUNTIFS($D$3911:$D$3931,IF(D3908="","*",D3908),$E$3911:$E$3931,IF(E3908="","*",E3908),$F$3911:$F$3931,IF(F3908="","*",F3908))=1,INDEX($C:$C,SUMPRODUCT(((D3908="")+($D$3911:$D$3931=D3908)&gt;0)*((E3908="")+($E$3911:$E$3931=E3908)&gt;0)*((F3908="")+($F$3911:$F$3931=F3908)&gt;0)*ROW($B$3911:$B$3931))),"")</f>
        <v>2.08</v>
      </c>
      <c r="D3908" s="17" t="s">
        <v>724</v>
      </c>
      <c r="E3908" s="17" t="s">
        <v>32336</v>
      </c>
      <c r="F3908" s="17" t="s">
        <v>6561</v>
      </c>
    </row>
    <row r="3910" customFormat="false" ht="15" hidden="false" customHeight="false" outlineLevel="0" collapsed="false">
      <c r="B3910" s="18" t="s">
        <v>701</v>
      </c>
      <c r="C3910" s="18" t="s">
        <v>702</v>
      </c>
      <c r="D3910" s="18" t="s">
        <v>722</v>
      </c>
      <c r="E3910" s="18" t="s">
        <v>723</v>
      </c>
      <c r="F3910" s="18" t="s">
        <v>6559</v>
      </c>
    </row>
    <row r="3911" customFormat="false" ht="28.35" hidden="false" customHeight="false" outlineLevel="0" collapsed="false">
      <c r="B3911" s="19" t="s">
        <v>32337</v>
      </c>
      <c r="C3911" s="20" t="n">
        <f aca="false">ROUND(15/FX,2)</f>
        <v>2.08</v>
      </c>
      <c r="D3911" s="21" t="s">
        <v>724</v>
      </c>
      <c r="E3911" s="21" t="s">
        <v>32336</v>
      </c>
      <c r="F3911" s="21" t="s">
        <v>6561</v>
      </c>
    </row>
    <row r="3912" customFormat="false" ht="28.35" hidden="false" customHeight="false" outlineLevel="0" collapsed="false">
      <c r="B3912" s="19" t="s">
        <v>32338</v>
      </c>
      <c r="C3912" s="20" t="n">
        <f aca="false">ROUND(15/FX,2)</f>
        <v>2.08</v>
      </c>
      <c r="D3912" s="21" t="s">
        <v>724</v>
      </c>
      <c r="E3912" s="21" t="s">
        <v>32339</v>
      </c>
      <c r="F3912" s="21" t="s">
        <v>6561</v>
      </c>
    </row>
    <row r="3913" customFormat="false" ht="28.35" hidden="false" customHeight="false" outlineLevel="0" collapsed="false">
      <c r="B3913" s="19" t="s">
        <v>32340</v>
      </c>
      <c r="C3913" s="20" t="n">
        <f aca="false">ROUND(27.3/FX,2)</f>
        <v>3.79</v>
      </c>
      <c r="D3913" s="21" t="s">
        <v>724</v>
      </c>
      <c r="E3913" s="21" t="s">
        <v>32341</v>
      </c>
      <c r="F3913" s="21" t="s">
        <v>6561</v>
      </c>
    </row>
    <row r="3914" customFormat="false" ht="28.35" hidden="false" customHeight="false" outlineLevel="0" collapsed="false">
      <c r="B3914" s="19" t="s">
        <v>32342</v>
      </c>
      <c r="C3914" s="20" t="n">
        <f aca="false">ROUND(15/FX,2)</f>
        <v>2.08</v>
      </c>
      <c r="D3914" s="21" t="s">
        <v>6549</v>
      </c>
      <c r="E3914" s="21" t="s">
        <v>32336</v>
      </c>
      <c r="F3914" s="21" t="s">
        <v>6561</v>
      </c>
    </row>
    <row r="3915" customFormat="false" ht="28.35" hidden="false" customHeight="false" outlineLevel="0" collapsed="false">
      <c r="B3915" s="19" t="s">
        <v>32343</v>
      </c>
      <c r="C3915" s="20" t="n">
        <f aca="false">ROUND(15/FX,2)</f>
        <v>2.08</v>
      </c>
      <c r="D3915" s="21" t="s">
        <v>6549</v>
      </c>
      <c r="E3915" s="21" t="s">
        <v>32339</v>
      </c>
      <c r="F3915" s="21" t="s">
        <v>6561</v>
      </c>
    </row>
    <row r="3916" customFormat="false" ht="28.35" hidden="false" customHeight="false" outlineLevel="0" collapsed="false">
      <c r="B3916" s="19" t="s">
        <v>32344</v>
      </c>
      <c r="C3916" s="20" t="n">
        <f aca="false">ROUND(39/FX,2)</f>
        <v>5.42</v>
      </c>
      <c r="D3916" s="21" t="s">
        <v>6549</v>
      </c>
      <c r="E3916" s="21" t="s">
        <v>32345</v>
      </c>
      <c r="F3916" s="21" t="s">
        <v>6561</v>
      </c>
    </row>
    <row r="3917" customFormat="false" ht="28.35" hidden="false" customHeight="false" outlineLevel="0" collapsed="false">
      <c r="B3917" s="19" t="s">
        <v>32346</v>
      </c>
      <c r="C3917" s="20" t="n">
        <f aca="false">ROUND(13/FX,2)</f>
        <v>1.81</v>
      </c>
      <c r="D3917" s="21" t="s">
        <v>724</v>
      </c>
      <c r="E3917" s="21" t="s">
        <v>32347</v>
      </c>
      <c r="F3917" s="21" t="s">
        <v>6568</v>
      </c>
    </row>
    <row r="3918" customFormat="false" ht="28.35" hidden="false" customHeight="false" outlineLevel="0" collapsed="false">
      <c r="B3918" s="19" t="s">
        <v>32348</v>
      </c>
      <c r="C3918" s="20" t="n">
        <f aca="false">ROUND(13/FX,2)</f>
        <v>1.81</v>
      </c>
      <c r="D3918" s="21" t="s">
        <v>724</v>
      </c>
      <c r="E3918" s="21" t="s">
        <v>32336</v>
      </c>
      <c r="F3918" s="21" t="s">
        <v>6568</v>
      </c>
    </row>
    <row r="3919" customFormat="false" ht="28.35" hidden="false" customHeight="false" outlineLevel="0" collapsed="false">
      <c r="B3919" s="19" t="s">
        <v>32349</v>
      </c>
      <c r="C3919" s="20" t="n">
        <f aca="false">ROUND(13/FX,2)</f>
        <v>1.81</v>
      </c>
      <c r="D3919" s="21" t="s">
        <v>724</v>
      </c>
      <c r="E3919" s="21" t="s">
        <v>32339</v>
      </c>
      <c r="F3919" s="21" t="s">
        <v>6568</v>
      </c>
    </row>
    <row r="3920" customFormat="false" ht="55.2" hidden="false" customHeight="false" outlineLevel="0" collapsed="false">
      <c r="B3920" s="19" t="s">
        <v>32350</v>
      </c>
      <c r="C3920" s="20" t="n">
        <f aca="false">ROUND(28.6/FX,2)</f>
        <v>3.97</v>
      </c>
      <c r="D3920" s="21" t="s">
        <v>724</v>
      </c>
      <c r="E3920" s="21" t="s">
        <v>32351</v>
      </c>
      <c r="F3920" s="21" t="s">
        <v>6568</v>
      </c>
    </row>
    <row r="3921" customFormat="false" ht="55.2" hidden="false" customHeight="false" outlineLevel="0" collapsed="false">
      <c r="B3921" s="19" t="s">
        <v>32352</v>
      </c>
      <c r="C3921" s="20" t="n">
        <f aca="false">ROUND(20.67/FX,2)</f>
        <v>2.87</v>
      </c>
      <c r="D3921" s="21" t="s">
        <v>724</v>
      </c>
      <c r="E3921" s="21" t="s">
        <v>32353</v>
      </c>
      <c r="F3921" s="21" t="s">
        <v>6568</v>
      </c>
    </row>
    <row r="3922" customFormat="false" ht="28.35" hidden="false" customHeight="false" outlineLevel="0" collapsed="false">
      <c r="B3922" s="19" t="s">
        <v>32354</v>
      </c>
      <c r="C3922" s="20" t="n">
        <f aca="false">ROUND(26/FX,2)</f>
        <v>3.61</v>
      </c>
      <c r="D3922" s="21" t="s">
        <v>724</v>
      </c>
      <c r="E3922" s="21" t="s">
        <v>32341</v>
      </c>
      <c r="F3922" s="21" t="s">
        <v>6568</v>
      </c>
    </row>
    <row r="3923" customFormat="false" ht="28.35" hidden="false" customHeight="false" outlineLevel="0" collapsed="false">
      <c r="B3923" s="19" t="s">
        <v>32355</v>
      </c>
      <c r="C3923" s="20" t="n">
        <f aca="false">ROUND(16.9/FX,2)</f>
        <v>2.35</v>
      </c>
      <c r="D3923" s="21" t="s">
        <v>7884</v>
      </c>
      <c r="E3923" s="21" t="s">
        <v>32339</v>
      </c>
      <c r="F3923" s="21" t="s">
        <v>6568</v>
      </c>
    </row>
    <row r="3924" customFormat="false" ht="28.35" hidden="false" customHeight="false" outlineLevel="0" collapsed="false">
      <c r="B3924" s="19" t="s">
        <v>32356</v>
      </c>
      <c r="C3924" s="20" t="n">
        <f aca="false">ROUND(13/FX,2)</f>
        <v>1.81</v>
      </c>
      <c r="D3924" s="21" t="s">
        <v>6549</v>
      </c>
      <c r="E3924" s="21" t="s">
        <v>32347</v>
      </c>
      <c r="F3924" s="21" t="s">
        <v>6568</v>
      </c>
    </row>
    <row r="3925" customFormat="false" ht="28.35" hidden="false" customHeight="false" outlineLevel="0" collapsed="false">
      <c r="B3925" s="19" t="s">
        <v>32357</v>
      </c>
      <c r="C3925" s="20" t="n">
        <f aca="false">ROUND(13/FX,2)</f>
        <v>1.81</v>
      </c>
      <c r="D3925" s="21" t="s">
        <v>6549</v>
      </c>
      <c r="E3925" s="21" t="s">
        <v>32336</v>
      </c>
      <c r="F3925" s="21" t="s">
        <v>6568</v>
      </c>
    </row>
    <row r="3926" customFormat="false" ht="28.35" hidden="false" customHeight="false" outlineLevel="0" collapsed="false">
      <c r="B3926" s="19" t="s">
        <v>32358</v>
      </c>
      <c r="C3926" s="20" t="n">
        <f aca="false">ROUND(13/FX,2)</f>
        <v>1.81</v>
      </c>
      <c r="D3926" s="21" t="s">
        <v>6549</v>
      </c>
      <c r="E3926" s="21" t="s">
        <v>32339</v>
      </c>
      <c r="F3926" s="21" t="s">
        <v>6568</v>
      </c>
    </row>
    <row r="3927" customFormat="false" ht="28.35" hidden="false" customHeight="false" outlineLevel="0" collapsed="false">
      <c r="B3927" s="19" t="s">
        <v>32359</v>
      </c>
      <c r="C3927" s="20" t="n">
        <f aca="false">ROUND(39/FX,2)</f>
        <v>5.42</v>
      </c>
      <c r="D3927" s="21" t="s">
        <v>6549</v>
      </c>
      <c r="E3927" s="21" t="s">
        <v>32345</v>
      </c>
      <c r="F3927" s="21" t="s">
        <v>6568</v>
      </c>
    </row>
    <row r="3928" customFormat="false" ht="55.2" hidden="false" customHeight="false" outlineLevel="0" collapsed="false">
      <c r="B3928" s="19" t="s">
        <v>32360</v>
      </c>
      <c r="C3928" s="20" t="n">
        <f aca="false">ROUND(26/FX,2)</f>
        <v>3.61</v>
      </c>
      <c r="D3928" s="21" t="s">
        <v>6549</v>
      </c>
      <c r="E3928" s="21" t="s">
        <v>32351</v>
      </c>
      <c r="F3928" s="21" t="s">
        <v>6568</v>
      </c>
    </row>
    <row r="3929" customFormat="false" ht="28.35" hidden="false" customHeight="false" outlineLevel="0" collapsed="false">
      <c r="B3929" s="19" t="s">
        <v>32361</v>
      </c>
      <c r="C3929" s="20" t="n">
        <f aca="false">ROUND(22.75/FX,2)</f>
        <v>3.16</v>
      </c>
      <c r="D3929" s="21" t="s">
        <v>724</v>
      </c>
      <c r="E3929" s="21" t="s">
        <v>32339</v>
      </c>
      <c r="F3929" s="21" t="s">
        <v>32362</v>
      </c>
    </row>
    <row r="3930" customFormat="false" ht="28.35" hidden="false" customHeight="false" outlineLevel="0" collapsed="false">
      <c r="B3930" s="19" t="s">
        <v>32363</v>
      </c>
      <c r="C3930" s="20" t="n">
        <f aca="false">ROUND(27.3/FX,2)</f>
        <v>3.79</v>
      </c>
      <c r="D3930" s="21" t="s">
        <v>724</v>
      </c>
      <c r="E3930" s="21" t="s">
        <v>32341</v>
      </c>
      <c r="F3930" s="21" t="s">
        <v>32362</v>
      </c>
    </row>
    <row r="3931" customFormat="false" ht="28.35" hidden="false" customHeight="false" outlineLevel="0" collapsed="false">
      <c r="B3931" s="19" t="s">
        <v>32364</v>
      </c>
      <c r="C3931" s="20" t="n">
        <f aca="false">ROUND(22.75/FX,2)</f>
        <v>3.16</v>
      </c>
      <c r="D3931" s="21" t="s">
        <v>6549</v>
      </c>
      <c r="E3931" s="21" t="s">
        <v>32339</v>
      </c>
      <c r="F3931" s="21" t="s">
        <v>32362</v>
      </c>
    </row>
    <row r="3934" customFormat="false" ht="61.5" hidden="false" customHeight="true" outlineLevel="0" collapsed="false">
      <c r="A3934" s="9"/>
      <c r="B3934" s="10" t="s">
        <v>32365</v>
      </c>
      <c r="C3934" s="10"/>
      <c r="D3934" s="10"/>
      <c r="E3934" s="10"/>
      <c r="F3934" s="10"/>
    </row>
    <row r="3935" customFormat="false" ht="15" hidden="false" customHeight="false" outlineLevel="0" collapsed="false">
      <c r="A3935" s="12" t="s">
        <v>700</v>
      </c>
      <c r="B3935" s="13" t="s">
        <v>701</v>
      </c>
      <c r="C3935" s="13" t="s">
        <v>702</v>
      </c>
      <c r="D3935" s="13" t="s">
        <v>722</v>
      </c>
      <c r="E3935" s="13" t="s">
        <v>723</v>
      </c>
      <c r="F3935" s="13" t="s">
        <v>6328</v>
      </c>
    </row>
    <row r="3936" customFormat="false" ht="30" hidden="false" customHeight="true" outlineLevel="0" collapsed="false">
      <c r="A3936" s="14" t="s">
        <v>706</v>
      </c>
      <c r="B3936" s="15" t="str">
        <f aca="false">IF(COUNTIFS($D$3939:$D$3942,IF(D3936="","*",D3936),$E$3939:$E$3942,IF(E3936="","*",E3936),$F$3939:$F$3942,IF(F3936="","*",F3936))=1,INDEX($B:$B,SUMPRODUCT(((D3936="")+($D$3939:$D$3942=D3936)&gt;0)*((E3936="")+($E$3939:$E$3942=E3936)&gt;0)*((F3936="")+($F$3939:$F$3942=F3936)&gt;0)*ROW($B$3939:$B$3942))),IF(COUNTIFS($D$3939:$D$3942,IF(D3936="","*",D3936),$E$3939:$E$3942,IF(E3936="","*",E3936),$F$3939:$F$3942,IF(F3936="","*",F3936))=0,"Not available",COUNTIFS($D$3939:$D$3942,IF(D3936="","*",D3936),$E$3939:$E$3942,IF(E3936="","*",E3936),$F$3939:$F$3942,IF(F3936="","*",F3936))&amp;" match, keep choosing"))</f>
        <v>P3-084-BK-YHLS-L</v>
      </c>
      <c r="C3936" s="16" t="n">
        <f aca="false">IF(COUNTIFS($D$3939:$D$3942,IF(D3936="","*",D3936),$E$3939:$E$3942,IF(E3936="","*",E3936),$F$3939:$F$3942,IF(F3936="","*",F3936))=1,INDEX($C:$C,SUMPRODUCT(((D3936="")+($D$3939:$D$3942=D3936)&gt;0)*((E3936="")+($E$3939:$E$3942=E3936)&gt;0)*((F3936="")+($F$3939:$F$3942=F3936)&gt;0)*ROW($B$3939:$B$3942))),"")</f>
        <v>0.36</v>
      </c>
      <c r="D3936" s="17" t="s">
        <v>724</v>
      </c>
      <c r="E3936" s="17" t="s">
        <v>26861</v>
      </c>
      <c r="F3936" s="17" t="s">
        <v>32366</v>
      </c>
    </row>
    <row r="3938" customFormat="false" ht="15" hidden="false" customHeight="false" outlineLevel="0" collapsed="false">
      <c r="B3938" s="18" t="s">
        <v>701</v>
      </c>
      <c r="C3938" s="18" t="s">
        <v>702</v>
      </c>
      <c r="D3938" s="18" t="s">
        <v>722</v>
      </c>
      <c r="E3938" s="18" t="s">
        <v>723</v>
      </c>
      <c r="F3938" s="18" t="s">
        <v>6328</v>
      </c>
    </row>
    <row r="3939" customFormat="false" ht="15" hidden="false" customHeight="false" outlineLevel="0" collapsed="false">
      <c r="B3939" s="19" t="s">
        <v>32367</v>
      </c>
      <c r="C3939" s="20" t="n">
        <f aca="false">ROUND(2.6/FX,2)</f>
        <v>0.36</v>
      </c>
      <c r="D3939" s="21" t="s">
        <v>724</v>
      </c>
      <c r="E3939" s="21" t="s">
        <v>26861</v>
      </c>
      <c r="F3939" s="21" t="s">
        <v>32366</v>
      </c>
    </row>
    <row r="3940" customFormat="false" ht="15" hidden="false" customHeight="false" outlineLevel="0" collapsed="false">
      <c r="B3940" s="19" t="s">
        <v>32368</v>
      </c>
      <c r="C3940" s="20" t="n">
        <f aca="false">ROUND(3.51/FX,2)</f>
        <v>0.49</v>
      </c>
      <c r="D3940" s="21" t="s">
        <v>724</v>
      </c>
      <c r="E3940" s="21" t="s">
        <v>26980</v>
      </c>
      <c r="F3940" s="21" t="s">
        <v>32366</v>
      </c>
    </row>
    <row r="3941" customFormat="false" ht="15" hidden="false" customHeight="false" outlineLevel="0" collapsed="false">
      <c r="B3941" s="19" t="s">
        <v>32369</v>
      </c>
      <c r="C3941" s="20" t="n">
        <f aca="false">ROUND(2.6/FX,2)</f>
        <v>0.36</v>
      </c>
      <c r="D3941" s="21" t="s">
        <v>6549</v>
      </c>
      <c r="E3941" s="21" t="s">
        <v>26861</v>
      </c>
      <c r="F3941" s="21" t="s">
        <v>32370</v>
      </c>
    </row>
    <row r="3942" customFormat="false" ht="15" hidden="false" customHeight="false" outlineLevel="0" collapsed="false">
      <c r="B3942" s="19" t="s">
        <v>32371</v>
      </c>
      <c r="C3942" s="20" t="n">
        <f aca="false">ROUND(3.12/FX,2)</f>
        <v>0.43</v>
      </c>
      <c r="D3942" s="21" t="s">
        <v>6549</v>
      </c>
      <c r="E3942" s="21" t="s">
        <v>26980</v>
      </c>
      <c r="F3942" s="21" t="s">
        <v>32370</v>
      </c>
    </row>
    <row r="3945" customFormat="false" ht="61.5" hidden="false" customHeight="true" outlineLevel="0" collapsed="false">
      <c r="A3945" s="9"/>
      <c r="B3945" s="10" t="s">
        <v>32372</v>
      </c>
      <c r="C3945" s="10"/>
      <c r="D3945" s="10"/>
      <c r="E3945" s="10"/>
      <c r="F3945" s="10"/>
      <c r="G3945" s="10"/>
    </row>
    <row r="3946" customFormat="false" ht="15" hidden="false" customHeight="false" outlineLevel="0" collapsed="false">
      <c r="A3946" s="12" t="s">
        <v>700</v>
      </c>
      <c r="B3946" s="13" t="s">
        <v>701</v>
      </c>
      <c r="C3946" s="13" t="s">
        <v>702</v>
      </c>
      <c r="D3946" s="13" t="s">
        <v>722</v>
      </c>
      <c r="E3946" s="13" t="s">
        <v>723</v>
      </c>
      <c r="F3946" s="13" t="s">
        <v>6436</v>
      </c>
      <c r="G3946" s="13" t="s">
        <v>24797</v>
      </c>
    </row>
    <row r="3947" customFormat="false" ht="30" hidden="false" customHeight="true" outlineLevel="0" collapsed="false">
      <c r="A3947" s="14" t="s">
        <v>706</v>
      </c>
      <c r="B3947" s="15" t="str">
        <f aca="false">IF(COUNTIFS($D$3950:$D$3956,IF(D3947="","*",D3947),$E$3950:$E$3956,IF(E3947="","*",E3947),$F$3950:$F$3956,IF(F3947="","*",F3947),$G$3950:$G$3956,IF(G3947="","*",G3947))=1,INDEX($B:$B,SUMPRODUCT(((D3947="")+($D$3950:$D$3956=D3947)&gt;0)*((E3947="")+($E$3950:$E$3956=E3947)&gt;0)*((F3947="")+($F$3950:$F$3956=F3947)&gt;0)*((G3947="")+($G$3950:$G$3956=G3947)&gt;0)*ROW($B$3950:$B$3956))),IF(COUNTIFS($D$3950:$D$3956,IF(D3947="","*",D3947),$E$3950:$E$3956,IF(E3947="","*",E3947),$F$3950:$F$3956,IF(F3947="","*",F3947),$G$3950:$G$3956,IF(G3947="","*",G3947))=0,"Not available",COUNTIFS($D$3950:$D$3956,IF(D3947="","*",D3947),$E$3950:$E$3956,IF(E3947="","*",E3947),$F$3950:$F$3956,IF(F3947="","*",F3947),$G$3950:$G$3956,IF(G3947="","*",G3947))&amp;" match, keep choosing"))</f>
        <v>P3-038-BK-CNC-YK-HD4</v>
      </c>
      <c r="C3947" s="16" t="n">
        <f aca="false">IF(COUNTIFS($D$3950:$D$3956,IF(D3947="","*",D3947),$E$3950:$E$3956,IF(E3947="","*",E3947),$F$3950:$F$3956,IF(F3947="","*",F3947),$G$3950:$G$3956,IF(G3947="","*",G3947))=1,INDEX($C:$C,SUMPRODUCT(((D3947="")+($D$3950:$D$3956=D3947)&gt;0)*((E3947="")+($E$3950:$E$3956=E3947)&gt;0)*((F3947="")+($F$3950:$F$3956=F3947)&gt;0)*((G3947="")+($G$3950:$G$3956=G3947)&gt;0)*ROW($B$3950:$B$3956))),"")</f>
        <v>0.4</v>
      </c>
      <c r="D3947" s="17" t="s">
        <v>724</v>
      </c>
      <c r="E3947" s="17" t="s">
        <v>32373</v>
      </c>
      <c r="F3947" s="17" t="s">
        <v>12898</v>
      </c>
      <c r="G3947" s="17" t="s">
        <v>841</v>
      </c>
    </row>
    <row r="3949" customFormat="false" ht="15" hidden="false" customHeight="false" outlineLevel="0" collapsed="false">
      <c r="B3949" s="18" t="s">
        <v>701</v>
      </c>
      <c r="C3949" s="18" t="s">
        <v>702</v>
      </c>
      <c r="D3949" s="18" t="s">
        <v>722</v>
      </c>
      <c r="E3949" s="18" t="s">
        <v>723</v>
      </c>
      <c r="F3949" s="18" t="s">
        <v>6436</v>
      </c>
      <c r="G3949" s="18" t="s">
        <v>24797</v>
      </c>
    </row>
    <row r="3950" customFormat="false" ht="15" hidden="false" customHeight="false" outlineLevel="0" collapsed="false">
      <c r="B3950" s="19" t="s">
        <v>32374</v>
      </c>
      <c r="C3950" s="20" t="n">
        <f aca="false">ROUND(2.86/FX,2)</f>
        <v>0.4</v>
      </c>
      <c r="D3950" s="21" t="s">
        <v>724</v>
      </c>
      <c r="E3950" s="21" t="s">
        <v>32373</v>
      </c>
      <c r="F3950" s="21" t="s">
        <v>12898</v>
      </c>
      <c r="G3950" s="21" t="s">
        <v>841</v>
      </c>
    </row>
    <row r="3951" customFormat="false" ht="15" hidden="false" customHeight="false" outlineLevel="0" collapsed="false">
      <c r="B3951" s="19" t="s">
        <v>32375</v>
      </c>
      <c r="C3951" s="20" t="n">
        <f aca="false">ROUND(3.64/FX,2)</f>
        <v>0.51</v>
      </c>
      <c r="D3951" s="21" t="s">
        <v>724</v>
      </c>
      <c r="E3951" s="21" t="s">
        <v>32376</v>
      </c>
      <c r="F3951" s="21" t="s">
        <v>12898</v>
      </c>
      <c r="G3951" s="21" t="s">
        <v>841</v>
      </c>
    </row>
    <row r="3952" customFormat="false" ht="15" hidden="false" customHeight="false" outlineLevel="0" collapsed="false">
      <c r="B3952" s="19" t="s">
        <v>32377</v>
      </c>
      <c r="C3952" s="20" t="n">
        <f aca="false">ROUND(1.69/FX,2)</f>
        <v>0.23</v>
      </c>
      <c r="D3952" s="21" t="s">
        <v>724</v>
      </c>
      <c r="E3952" s="21" t="s">
        <v>32373</v>
      </c>
      <c r="F3952" s="21" t="s">
        <v>28721</v>
      </c>
      <c r="G3952" s="21" t="s">
        <v>839</v>
      </c>
    </row>
    <row r="3953" customFormat="false" ht="15" hidden="false" customHeight="false" outlineLevel="0" collapsed="false">
      <c r="B3953" s="19" t="s">
        <v>32378</v>
      </c>
      <c r="C3953" s="20" t="n">
        <f aca="false">ROUND(2.6/FX,2)</f>
        <v>0.36</v>
      </c>
      <c r="D3953" s="21" t="s">
        <v>724</v>
      </c>
      <c r="E3953" s="21" t="s">
        <v>32373</v>
      </c>
      <c r="F3953" s="21" t="s">
        <v>28721</v>
      </c>
      <c r="G3953" s="21" t="s">
        <v>841</v>
      </c>
    </row>
    <row r="3954" customFormat="false" ht="15" hidden="false" customHeight="false" outlineLevel="0" collapsed="false">
      <c r="B3954" s="19" t="s">
        <v>32379</v>
      </c>
      <c r="C3954" s="20" t="n">
        <f aca="false">ROUND(3.25/FX,2)</f>
        <v>0.45</v>
      </c>
      <c r="D3954" s="21" t="s">
        <v>6549</v>
      </c>
      <c r="E3954" s="21" t="s">
        <v>32376</v>
      </c>
      <c r="F3954" s="21" t="s">
        <v>12898</v>
      </c>
      <c r="G3954" s="21" t="s">
        <v>841</v>
      </c>
    </row>
    <row r="3955" customFormat="false" ht="15" hidden="false" customHeight="false" outlineLevel="0" collapsed="false">
      <c r="B3955" s="19" t="s">
        <v>32380</v>
      </c>
      <c r="C3955" s="20" t="n">
        <f aca="false">ROUND(1.69/FX,2)</f>
        <v>0.23</v>
      </c>
      <c r="D3955" s="21" t="s">
        <v>6549</v>
      </c>
      <c r="E3955" s="21" t="s">
        <v>32373</v>
      </c>
      <c r="F3955" s="21" t="s">
        <v>28721</v>
      </c>
      <c r="G3955" s="21" t="s">
        <v>839</v>
      </c>
    </row>
    <row r="3956" customFormat="false" ht="15" hidden="false" customHeight="false" outlineLevel="0" collapsed="false">
      <c r="B3956" s="19" t="s">
        <v>32381</v>
      </c>
      <c r="C3956" s="20" t="n">
        <f aca="false">ROUND(2.6/FX,2)</f>
        <v>0.36</v>
      </c>
      <c r="D3956" s="21" t="s">
        <v>6549</v>
      </c>
      <c r="E3956" s="21" t="s">
        <v>32373</v>
      </c>
      <c r="F3956" s="21" t="s">
        <v>28721</v>
      </c>
      <c r="G3956" s="21" t="s">
        <v>841</v>
      </c>
    </row>
    <row r="3959" customFormat="false" ht="61.5" hidden="false" customHeight="true" outlineLevel="0" collapsed="false">
      <c r="A3959" s="9"/>
      <c r="B3959" s="10" t="s">
        <v>32382</v>
      </c>
      <c r="C3959" s="10"/>
      <c r="D3959" s="10"/>
    </row>
    <row r="3960" customFormat="false" ht="15" hidden="false" customHeight="false" outlineLevel="0" collapsed="false">
      <c r="A3960" s="12" t="s">
        <v>700</v>
      </c>
      <c r="B3960" s="13" t="s">
        <v>701</v>
      </c>
      <c r="C3960" s="13" t="s">
        <v>702</v>
      </c>
      <c r="D3960" s="13" t="s">
        <v>723</v>
      </c>
    </row>
    <row r="3961" customFormat="false" ht="30" hidden="false" customHeight="true" outlineLevel="0" collapsed="false">
      <c r="A3961" s="14" t="s">
        <v>706</v>
      </c>
      <c r="B3961" s="15" t="str">
        <f aca="false">IF(COUNTIFS($D$3964:$D$3965,IF(D3961="","*",D3961))=1,INDEX($B:$B,SUMPRODUCT(((D3961="")+($D$3964:$D$3965=D3961)&gt;0)*ROW($B$3964:$B$3965))),IF(COUNTIFS($D$3964:$D$3965,IF(D3961="","*",D3961))=0,"Not available",COUNTIFS($D$3964:$D$3965,IF(D3961="","*",D3961))&amp;" match, keep choosing"))</f>
        <v>P3-109</v>
      </c>
      <c r="C3961" s="16" t="n">
        <f aca="false">IF(COUNTIFS($D$3964:$D$3965,IF(D3961="","*",D3961))=1,INDEX($C:$C,SUMPRODUCT(((D3961="")+($D$3964:$D$3965=D3961)&gt;0)*ROW($B$3964:$B$3965))),"")</f>
        <v>0.7</v>
      </c>
      <c r="D3961" s="17" t="s">
        <v>21092</v>
      </c>
    </row>
    <row r="3963" customFormat="false" ht="15" hidden="false" customHeight="false" outlineLevel="0" collapsed="false">
      <c r="B3963" s="18" t="s">
        <v>701</v>
      </c>
      <c r="C3963" s="18" t="s">
        <v>702</v>
      </c>
      <c r="D3963" s="18" t="s">
        <v>723</v>
      </c>
    </row>
    <row r="3964" customFormat="false" ht="15" hidden="false" customHeight="false" outlineLevel="0" collapsed="false">
      <c r="B3964" s="19" t="s">
        <v>32383</v>
      </c>
      <c r="C3964" s="20" t="n">
        <f aca="false">ROUND(5.07/FX,2)</f>
        <v>0.7</v>
      </c>
      <c r="D3964" s="21" t="s">
        <v>21092</v>
      </c>
    </row>
    <row r="3965" customFormat="false" ht="15" hidden="false" customHeight="false" outlineLevel="0" collapsed="false">
      <c r="B3965" s="19" t="s">
        <v>32384</v>
      </c>
      <c r="C3965" s="20" t="n">
        <f aca="false">ROUND(13.5/FX,2)</f>
        <v>1.88</v>
      </c>
      <c r="D3965" s="21" t="s">
        <v>32385</v>
      </c>
    </row>
    <row r="3968" customFormat="false" ht="61.5" hidden="false" customHeight="true" outlineLevel="0" collapsed="false">
      <c r="A3968" s="9"/>
      <c r="B3968" s="10" t="s">
        <v>32386</v>
      </c>
      <c r="C3968" s="10"/>
      <c r="D3968" s="10"/>
    </row>
    <row r="3969" customFormat="false" ht="15" hidden="false" customHeight="false" outlineLevel="0" collapsed="false">
      <c r="A3969" s="12" t="s">
        <v>700</v>
      </c>
      <c r="B3969" s="13" t="s">
        <v>701</v>
      </c>
      <c r="C3969" s="13" t="s">
        <v>702</v>
      </c>
      <c r="D3969" s="13" t="s">
        <v>5610</v>
      </c>
    </row>
    <row r="3970" customFormat="false" ht="30" hidden="false" customHeight="true" outlineLevel="0" collapsed="false">
      <c r="A3970" s="14" t="s">
        <v>706</v>
      </c>
      <c r="B3970" s="15" t="str">
        <f aca="false">IF(COUNTIFS($D$3973:$D$3974,IF(D3970="","*",D3970))=1,INDEX($B:$B,SUMPRODUCT(((D3970="")+($D$3973:$D$3974=D3970)&gt;0)*ROW($B$3973:$B$3974))),IF(COUNTIFS($D$3973:$D$3974,IF(D3970="","*",D3970))=0,"Not available",COUNTIFS($D$3973:$D$3974,IF(D3970="","*",D3970))&amp;" match, keep choosing"))</f>
        <v>P3-111-30</v>
      </c>
      <c r="C3970" s="16" t="n">
        <f aca="false">IF(COUNTIFS($D$3973:$D$3974,IF(D3970="","*",D3970))=1,INDEX($C:$C,SUMPRODUCT(((D3970="")+($D$3973:$D$3974=D3970)&gt;0)*ROW($B$3973:$B$3974))),"")</f>
        <v>1.72</v>
      </c>
      <c r="D3970" s="17" t="s">
        <v>29478</v>
      </c>
    </row>
    <row r="3972" customFormat="false" ht="15" hidden="false" customHeight="false" outlineLevel="0" collapsed="false">
      <c r="B3972" s="18" t="s">
        <v>701</v>
      </c>
      <c r="C3972" s="18" t="s">
        <v>702</v>
      </c>
      <c r="D3972" s="18" t="s">
        <v>5610</v>
      </c>
    </row>
    <row r="3973" customFormat="false" ht="15" hidden="false" customHeight="false" outlineLevel="0" collapsed="false">
      <c r="B3973" s="19" t="s">
        <v>32387</v>
      </c>
      <c r="C3973" s="20" t="n">
        <f aca="false">ROUND(12.35/FX,2)</f>
        <v>1.72</v>
      </c>
      <c r="D3973" s="21" t="s">
        <v>29478</v>
      </c>
    </row>
    <row r="3974" customFormat="false" ht="15" hidden="false" customHeight="false" outlineLevel="0" collapsed="false">
      <c r="B3974" s="19" t="s">
        <v>32388</v>
      </c>
      <c r="C3974" s="20" t="n">
        <f aca="false">ROUND(12.35/FX,2)</f>
        <v>1.72</v>
      </c>
      <c r="D3974" s="21" t="s">
        <v>29484</v>
      </c>
    </row>
    <row r="3977" customFormat="false" ht="61.5" hidden="false" customHeight="true" outlineLevel="0" collapsed="false">
      <c r="A3977" s="9"/>
      <c r="B3977" s="10" t="s">
        <v>32389</v>
      </c>
      <c r="C3977" s="10"/>
      <c r="D3977" s="10"/>
    </row>
    <row r="3978" customFormat="false" ht="15" hidden="false" customHeight="false" outlineLevel="0" collapsed="false">
      <c r="B3978" s="18" t="s">
        <v>701</v>
      </c>
      <c r="C3978" s="18" t="s">
        <v>702</v>
      </c>
      <c r="D3978" s="18" t="s">
        <v>5610</v>
      </c>
    </row>
    <row r="3979" customFormat="false" ht="15" hidden="false" customHeight="false" outlineLevel="0" collapsed="false">
      <c r="B3979" s="19" t="s">
        <v>32390</v>
      </c>
      <c r="C3979" s="20" t="n">
        <f aca="false">ROUND(101.4/FX,2)</f>
        <v>14.08</v>
      </c>
      <c r="D3979" s="22" t="s">
        <v>5612</v>
      </c>
    </row>
    <row r="3982" customFormat="false" ht="61.5" hidden="false" customHeight="true" outlineLevel="0" collapsed="false">
      <c r="A3982" s="9"/>
      <c r="B3982" s="10" t="s">
        <v>32391</v>
      </c>
      <c r="C3982" s="10"/>
      <c r="D3982" s="10"/>
      <c r="E3982" s="10"/>
    </row>
    <row r="3983" customFormat="false" ht="15" hidden="false" customHeight="false" outlineLevel="0" collapsed="false">
      <c r="A3983" s="12" t="s">
        <v>700</v>
      </c>
      <c r="B3983" s="13" t="s">
        <v>701</v>
      </c>
      <c r="C3983" s="13" t="s">
        <v>702</v>
      </c>
      <c r="D3983" s="13" t="s">
        <v>722</v>
      </c>
      <c r="E3983" s="13" t="s">
        <v>723</v>
      </c>
    </row>
    <row r="3984" customFormat="false" ht="30" hidden="false" customHeight="true" outlineLevel="0" collapsed="false">
      <c r="A3984" s="14" t="s">
        <v>706</v>
      </c>
      <c r="B3984" s="15" t="str">
        <f aca="false">IF(COUNTIFS($D$3987:$D$3994,IF(D3984="","*",D3984),$E$3987:$E$3994,IF(E3984="","*",E3984))=1,INDEX($B:$B,SUMPRODUCT(((D3984="")+($D$3987:$D$3994=D3984)&gt;0)*((E3984="")+($E$3987:$E$3994=E3984)&gt;0)*ROW($B$3987:$B$3994))),IF(COUNTIFS($D$3987:$D$3994,IF(D3984="","*",D3984),$E$3987:$E$3994,IF(E3984="","*",E3984))=0,"Not available",COUNTIFS($D$3987:$D$3994,IF(D3984="","*",D3984),$E$3987:$E$3994,IF(E3984="","*",E3984))&amp;" match, keep choosing"))</f>
        <v>P3-110-BK-SYMGN12H2020LXC</v>
      </c>
      <c r="C3984" s="16" t="n">
        <f aca="false">IF(COUNTIFS($D$3987:$D$3994,IF(D3984="","*",D3984),$E$3987:$E$3994,IF(E3984="","*",E3984))=1,INDEX($C:$C,SUMPRODUCT(((D3984="")+($D$3987:$D$3994=D3984)&gt;0)*((E3984="")+($E$3987:$E$3994=E3984)&gt;0)*ROW($B$3987:$B$3994))),"")</f>
        <v>1.17</v>
      </c>
      <c r="D3984" s="17" t="s">
        <v>724</v>
      </c>
      <c r="E3984" s="17" t="s">
        <v>32392</v>
      </c>
    </row>
    <row r="3986" customFormat="false" ht="15" hidden="false" customHeight="false" outlineLevel="0" collapsed="false">
      <c r="B3986" s="18" t="s">
        <v>701</v>
      </c>
      <c r="C3986" s="18" t="s">
        <v>702</v>
      </c>
      <c r="D3986" s="18" t="s">
        <v>722</v>
      </c>
      <c r="E3986" s="18" t="s">
        <v>723</v>
      </c>
    </row>
    <row r="3987" customFormat="false" ht="28.35" hidden="false" customHeight="false" outlineLevel="0" collapsed="false">
      <c r="B3987" s="19" t="s">
        <v>32393</v>
      </c>
      <c r="C3987" s="20" t="n">
        <f aca="false">ROUND(8.45/FX,2)</f>
        <v>1.17</v>
      </c>
      <c r="D3987" s="21" t="s">
        <v>724</v>
      </c>
      <c r="E3987" s="21" t="s">
        <v>32392</v>
      </c>
    </row>
    <row r="3988" customFormat="false" ht="28.35" hidden="false" customHeight="false" outlineLevel="0" collapsed="false">
      <c r="B3988" s="19" t="s">
        <v>32394</v>
      </c>
      <c r="C3988" s="20" t="n">
        <f aca="false">ROUND(10.39/FX,2)</f>
        <v>1.44</v>
      </c>
      <c r="D3988" s="21" t="s">
        <v>724</v>
      </c>
      <c r="E3988" s="21" t="s">
        <v>32395</v>
      </c>
    </row>
    <row r="3989" customFormat="false" ht="28.35" hidden="false" customHeight="false" outlineLevel="0" collapsed="false">
      <c r="B3989" s="19" t="s">
        <v>32396</v>
      </c>
      <c r="C3989" s="20" t="n">
        <f aca="false">ROUND(8.45/FX,2)</f>
        <v>1.17</v>
      </c>
      <c r="D3989" s="21" t="s">
        <v>724</v>
      </c>
      <c r="E3989" s="21" t="s">
        <v>32397</v>
      </c>
    </row>
    <row r="3990" customFormat="false" ht="28.35" hidden="false" customHeight="false" outlineLevel="0" collapsed="false">
      <c r="B3990" s="19" t="s">
        <v>32398</v>
      </c>
      <c r="C3990" s="20" t="n">
        <f aca="false">ROUND(10.39/FX,2)</f>
        <v>1.44</v>
      </c>
      <c r="D3990" s="21" t="s">
        <v>724</v>
      </c>
      <c r="E3990" s="21" t="s">
        <v>32399</v>
      </c>
    </row>
    <row r="3991" customFormat="false" ht="28.35" hidden="false" customHeight="false" outlineLevel="0" collapsed="false">
      <c r="B3991" s="19" t="s">
        <v>32400</v>
      </c>
      <c r="C3991" s="20" t="n">
        <f aca="false">ROUND(8.45/FX,2)</f>
        <v>1.17</v>
      </c>
      <c r="D3991" s="21" t="s">
        <v>6549</v>
      </c>
      <c r="E3991" s="21" t="s">
        <v>32392</v>
      </c>
    </row>
    <row r="3992" customFormat="false" ht="28.35" hidden="false" customHeight="false" outlineLevel="0" collapsed="false">
      <c r="B3992" s="19" t="s">
        <v>32401</v>
      </c>
      <c r="C3992" s="20" t="n">
        <f aca="false">ROUND(8.45/FX,2)</f>
        <v>1.17</v>
      </c>
      <c r="D3992" s="21" t="s">
        <v>6549</v>
      </c>
      <c r="E3992" s="21" t="s">
        <v>32395</v>
      </c>
    </row>
    <row r="3993" customFormat="false" ht="28.35" hidden="false" customHeight="false" outlineLevel="0" collapsed="false">
      <c r="B3993" s="19" t="s">
        <v>32402</v>
      </c>
      <c r="C3993" s="20" t="n">
        <f aca="false">ROUND(8.45/FX,2)</f>
        <v>1.17</v>
      </c>
      <c r="D3993" s="21" t="s">
        <v>6549</v>
      </c>
      <c r="E3993" s="21" t="s">
        <v>32397</v>
      </c>
    </row>
    <row r="3994" customFormat="false" ht="28.35" hidden="false" customHeight="false" outlineLevel="0" collapsed="false">
      <c r="B3994" s="19" t="s">
        <v>32403</v>
      </c>
      <c r="C3994" s="20" t="n">
        <f aca="false">ROUND(10.39/FX,2)</f>
        <v>1.44</v>
      </c>
      <c r="D3994" s="21" t="s">
        <v>6549</v>
      </c>
      <c r="E3994" s="21" t="s">
        <v>32399</v>
      </c>
    </row>
    <row r="3997" customFormat="false" ht="61.5" hidden="false" customHeight="true" outlineLevel="0" collapsed="false">
      <c r="A3997" s="9"/>
      <c r="B3997" s="10" t="s">
        <v>32404</v>
      </c>
      <c r="C3997" s="10"/>
      <c r="D3997" s="10"/>
    </row>
    <row r="3998" customFormat="false" ht="15" hidden="false" customHeight="false" outlineLevel="0" collapsed="false">
      <c r="B3998" s="18" t="s">
        <v>701</v>
      </c>
      <c r="C3998" s="18" t="s">
        <v>702</v>
      </c>
      <c r="D3998" s="18" t="s">
        <v>5610</v>
      </c>
    </row>
    <row r="3999" customFormat="false" ht="15" hidden="false" customHeight="false" outlineLevel="0" collapsed="false">
      <c r="B3999" s="19" t="s">
        <v>32405</v>
      </c>
      <c r="C3999" s="20" t="n">
        <f aca="false">ROUND(18.85/FX,2)</f>
        <v>2.62</v>
      </c>
      <c r="D3999" s="22" t="s">
        <v>5612</v>
      </c>
    </row>
    <row r="4002" customFormat="false" ht="61.5" hidden="false" customHeight="true" outlineLevel="0" collapsed="false">
      <c r="A4002" s="9"/>
      <c r="B4002" s="10" t="s">
        <v>32406</v>
      </c>
      <c r="C4002" s="10"/>
      <c r="D4002" s="10"/>
      <c r="E4002" s="10"/>
    </row>
    <row r="4003" customFormat="false" ht="15" hidden="false" customHeight="false" outlineLevel="0" collapsed="false">
      <c r="A4003" s="12" t="s">
        <v>700</v>
      </c>
      <c r="B4003" s="13" t="s">
        <v>701</v>
      </c>
      <c r="C4003" s="13" t="s">
        <v>702</v>
      </c>
      <c r="D4003" s="13" t="s">
        <v>722</v>
      </c>
      <c r="E4003" s="13" t="s">
        <v>723</v>
      </c>
    </row>
    <row r="4004" customFormat="false" ht="30" hidden="false" customHeight="true" outlineLevel="0" collapsed="false">
      <c r="A4004" s="14" t="s">
        <v>706</v>
      </c>
      <c r="B4004" s="15" t="str">
        <f aca="false">IF(COUNTIFS($D$4007:$D$4009,IF(D4004="","*",D4004),$E$4007:$E$4009,IF(E4004="","*",E4004))=1,INDEX($B:$B,SUMPRODUCT(((D4004="")+($D$4007:$D$4009=D4004)&gt;0)*((E4004="")+($E$4007:$E$4009=E4004)&gt;0)*ROW($B$4007:$B$4009))),IF(COUNTIFS($D$4007:$D$4009,IF(D4004="","*",D4004),$E$4007:$E$4009,IF(E4004="","*",E4004))=0,"Not available",COUNTIFS($D$4007:$D$4009,IF(D4004="","*",D4004),$E$4007:$E$4009,IF(E4004="","*",E4004))&amp;" match, keep choosing"))</f>
        <v>P3-035-BK</v>
      </c>
      <c r="C4004" s="16" t="n">
        <f aca="false">IF(COUNTIFS($D$4007:$D$4009,IF(D4004="","*",D4004),$E$4007:$E$4009,IF(E4004="","*",E4004))=1,INDEX($C:$C,SUMPRODUCT(((D4004="")+($D$4007:$D$4009=D4004)&gt;0)*((E4004="")+($E$4007:$E$4009=E4004)&gt;0)*ROW($B$4007:$B$4009))),"")</f>
        <v>1.11</v>
      </c>
      <c r="D4004" s="17" t="s">
        <v>724</v>
      </c>
      <c r="E4004" s="17" t="s">
        <v>734</v>
      </c>
    </row>
    <row r="4006" customFormat="false" ht="15" hidden="false" customHeight="false" outlineLevel="0" collapsed="false">
      <c r="B4006" s="18" t="s">
        <v>701</v>
      </c>
      <c r="C4006" s="18" t="s">
        <v>702</v>
      </c>
      <c r="D4006" s="18" t="s">
        <v>722</v>
      </c>
      <c r="E4006" s="18" t="s">
        <v>723</v>
      </c>
    </row>
    <row r="4007" customFormat="false" ht="15" hidden="false" customHeight="false" outlineLevel="0" collapsed="false">
      <c r="B4007" s="19" t="s">
        <v>32407</v>
      </c>
      <c r="C4007" s="20" t="n">
        <f aca="false">ROUND(8/FX,2)</f>
        <v>1.11</v>
      </c>
      <c r="D4007" s="21" t="s">
        <v>724</v>
      </c>
      <c r="E4007" s="21" t="s">
        <v>734</v>
      </c>
    </row>
    <row r="4008" customFormat="false" ht="15" hidden="false" customHeight="false" outlineLevel="0" collapsed="false">
      <c r="B4008" s="19" t="s">
        <v>32408</v>
      </c>
      <c r="C4008" s="20" t="n">
        <f aca="false">ROUND(9.85/FX,2)</f>
        <v>1.37</v>
      </c>
      <c r="D4008" s="21" t="s">
        <v>724</v>
      </c>
      <c r="E4008" s="21" t="s">
        <v>32409</v>
      </c>
    </row>
    <row r="4009" customFormat="false" ht="15" hidden="false" customHeight="false" outlineLevel="0" collapsed="false">
      <c r="B4009" s="19" t="s">
        <v>32410</v>
      </c>
      <c r="C4009" s="20" t="n">
        <f aca="false">ROUND(8/FX,2)</f>
        <v>1.11</v>
      </c>
      <c r="D4009" s="21" t="s">
        <v>6549</v>
      </c>
      <c r="E4009" s="21" t="s">
        <v>734</v>
      </c>
    </row>
    <row r="4012" customFormat="false" ht="61.5" hidden="false" customHeight="true" outlineLevel="0" collapsed="false">
      <c r="A4012" s="9"/>
      <c r="B4012" s="10" t="s">
        <v>32411</v>
      </c>
      <c r="C4012" s="10"/>
      <c r="D4012" s="10"/>
      <c r="E4012" s="10"/>
    </row>
    <row r="4013" customFormat="false" ht="15" hidden="false" customHeight="false" outlineLevel="0" collapsed="false">
      <c r="A4013" s="12" t="s">
        <v>700</v>
      </c>
      <c r="B4013" s="13" t="s">
        <v>701</v>
      </c>
      <c r="C4013" s="13" t="s">
        <v>702</v>
      </c>
      <c r="D4013" s="13" t="s">
        <v>722</v>
      </c>
      <c r="E4013" s="13" t="s">
        <v>723</v>
      </c>
    </row>
    <row r="4014" customFormat="false" ht="30" hidden="false" customHeight="true" outlineLevel="0" collapsed="false">
      <c r="A4014" s="14" t="s">
        <v>706</v>
      </c>
      <c r="B4014" s="15" t="str">
        <f aca="false">IF(COUNTIFS($D$4017:$D$4023,IF(D4014="","*",D4014),$E$4017:$E$4023,IF(E4014="","*",E4014))=1,INDEX($B:$B,SUMPRODUCT(((D4014="")+($D$4017:$D$4023=D4014)&gt;0)*((E4014="")+($E$4017:$E$4023=E4014)&gt;0)*ROW($B$4017:$B$4023))),IF(COUNTIFS($D$4017:$D$4023,IF(D4014="","*",D4014),$E$4017:$E$4023,IF(E4014="","*",E4014))=0,"Not available",COUNTIFS($D$4017:$D$4023,IF(D4014="","*",D4014),$E$4017:$E$4023,IF(E4014="","*",E4014))&amp;" match, keep choosing"))</f>
        <v>P3-034-BK-DDSLJ</v>
      </c>
      <c r="C4014" s="16" t="n">
        <f aca="false">IF(COUNTIFS($D$4017:$D$4023,IF(D4014="","*",D4014),$E$4017:$E$4023,IF(E4014="","*",E4014))=1,INDEX($C:$C,SUMPRODUCT(((D4014="")+($D$4017:$D$4023=D4014)&gt;0)*((E4014="")+($E$4017:$E$4023=E4014)&gt;0)*ROW($B$4017:$B$4023))),"")</f>
        <v>0.54</v>
      </c>
      <c r="D4014" s="17" t="s">
        <v>724</v>
      </c>
      <c r="E4014" s="17" t="s">
        <v>32412</v>
      </c>
    </row>
    <row r="4016" customFormat="false" ht="15" hidden="false" customHeight="false" outlineLevel="0" collapsed="false">
      <c r="B4016" s="18" t="s">
        <v>701</v>
      </c>
      <c r="C4016" s="18" t="s">
        <v>702</v>
      </c>
      <c r="D4016" s="18" t="s">
        <v>722</v>
      </c>
      <c r="E4016" s="18" t="s">
        <v>723</v>
      </c>
    </row>
    <row r="4017" customFormat="false" ht="15" hidden="false" customHeight="false" outlineLevel="0" collapsed="false">
      <c r="B4017" s="19" t="s">
        <v>32413</v>
      </c>
      <c r="C4017" s="20" t="n">
        <f aca="false">ROUND(3.9/FX,2)</f>
        <v>0.54</v>
      </c>
      <c r="D4017" s="21" t="s">
        <v>724</v>
      </c>
      <c r="E4017" s="21" t="s">
        <v>32412</v>
      </c>
    </row>
    <row r="4018" customFormat="false" ht="41.75" hidden="false" customHeight="false" outlineLevel="0" collapsed="false">
      <c r="B4018" s="19" t="s">
        <v>32414</v>
      </c>
      <c r="C4018" s="20" t="n">
        <f aca="false">ROUND(7.62/FX,2)</f>
        <v>1.06</v>
      </c>
      <c r="D4018" s="21" t="s">
        <v>724</v>
      </c>
      <c r="E4018" s="21" t="s">
        <v>32415</v>
      </c>
    </row>
    <row r="4019" customFormat="false" ht="55.2" hidden="false" customHeight="false" outlineLevel="0" collapsed="false">
      <c r="B4019" s="19" t="s">
        <v>32416</v>
      </c>
      <c r="C4019" s="20" t="n">
        <f aca="false">ROUND(42.06/FX,2)</f>
        <v>5.84</v>
      </c>
      <c r="D4019" s="21" t="s">
        <v>724</v>
      </c>
      <c r="E4019" s="21" t="s">
        <v>32417</v>
      </c>
    </row>
    <row r="4020" customFormat="false" ht="41.75" hidden="false" customHeight="false" outlineLevel="0" collapsed="false">
      <c r="B4020" s="19" t="s">
        <v>32418</v>
      </c>
      <c r="C4020" s="20" t="n">
        <f aca="false">ROUND(5.39/FX,2)</f>
        <v>0.75</v>
      </c>
      <c r="D4020" s="21" t="s">
        <v>724</v>
      </c>
      <c r="E4020" s="21" t="s">
        <v>32419</v>
      </c>
    </row>
    <row r="4021" customFormat="false" ht="15" hidden="false" customHeight="false" outlineLevel="0" collapsed="false">
      <c r="B4021" s="19" t="s">
        <v>32420</v>
      </c>
      <c r="C4021" s="20" t="n">
        <f aca="false">ROUND(3.9/FX,2)</f>
        <v>0.54</v>
      </c>
      <c r="D4021" s="21" t="s">
        <v>751</v>
      </c>
      <c r="E4021" s="21" t="s">
        <v>32412</v>
      </c>
    </row>
    <row r="4022" customFormat="false" ht="41.75" hidden="false" customHeight="false" outlineLevel="0" collapsed="false">
      <c r="B4022" s="19" t="s">
        <v>32421</v>
      </c>
      <c r="C4022" s="20" t="n">
        <f aca="false">ROUND(7.62/FX,2)</f>
        <v>1.06</v>
      </c>
      <c r="D4022" s="21" t="s">
        <v>751</v>
      </c>
      <c r="E4022" s="21" t="s">
        <v>32415</v>
      </c>
    </row>
    <row r="4023" customFormat="false" ht="41.75" hidden="false" customHeight="false" outlineLevel="0" collapsed="false">
      <c r="B4023" s="19" t="s">
        <v>32422</v>
      </c>
      <c r="C4023" s="20" t="n">
        <f aca="false">ROUND(5.39/FX,2)</f>
        <v>0.75</v>
      </c>
      <c r="D4023" s="21" t="s">
        <v>751</v>
      </c>
      <c r="E4023" s="21" t="s">
        <v>32419</v>
      </c>
    </row>
    <row r="4026" customFormat="false" ht="61.5" hidden="false" customHeight="true" outlineLevel="0" collapsed="false">
      <c r="A4026" s="9"/>
      <c r="B4026" s="10" t="s">
        <v>32423</v>
      </c>
      <c r="C4026" s="10"/>
      <c r="D4026" s="10"/>
    </row>
    <row r="4027" customFormat="false" ht="15" hidden="false" customHeight="false" outlineLevel="0" collapsed="false">
      <c r="B4027" s="18" t="s">
        <v>701</v>
      </c>
      <c r="C4027" s="18" t="s">
        <v>702</v>
      </c>
      <c r="D4027" s="18" t="s">
        <v>5610</v>
      </c>
    </row>
    <row r="4028" customFormat="false" ht="15" hidden="false" customHeight="false" outlineLevel="0" collapsed="false">
      <c r="B4028" s="19" t="s">
        <v>32424</v>
      </c>
      <c r="C4028" s="20" t="n">
        <f aca="false">ROUND(51/FX,2)</f>
        <v>7.08</v>
      </c>
      <c r="D4028" s="22" t="s">
        <v>5612</v>
      </c>
    </row>
    <row r="4031" customFormat="false" ht="61.5" hidden="false" customHeight="true" outlineLevel="0" collapsed="false">
      <c r="A4031" s="9"/>
      <c r="B4031" s="10" t="s">
        <v>32425</v>
      </c>
      <c r="C4031" s="10"/>
      <c r="D4031" s="10"/>
      <c r="E4031" s="10"/>
      <c r="F4031" s="10"/>
    </row>
    <row r="4032" customFormat="false" ht="15" hidden="false" customHeight="false" outlineLevel="0" collapsed="false">
      <c r="A4032" s="12" t="s">
        <v>700</v>
      </c>
      <c r="B4032" s="13" t="s">
        <v>701</v>
      </c>
      <c r="C4032" s="13" t="s">
        <v>702</v>
      </c>
      <c r="D4032" s="13" t="s">
        <v>722</v>
      </c>
      <c r="E4032" s="13" t="s">
        <v>704</v>
      </c>
      <c r="F4032" s="13" t="s">
        <v>723</v>
      </c>
    </row>
    <row r="4033" customFormat="false" ht="30" hidden="false" customHeight="true" outlineLevel="0" collapsed="false">
      <c r="A4033" s="14" t="s">
        <v>706</v>
      </c>
      <c r="B4033" s="15" t="str">
        <f aca="false">IF(COUNTIFS($D$4036:$D$4039,IF(D4033="","*",D4033),$E$4036:$E$4039,IF(E4033="","*",E4033),$F$4036:$F$4039,IF(F4033="","*",F4033))=1,INDEX($B:$B,SUMPRODUCT(((D4033="")+($D$4036:$D$4039=D4033)&gt;0)*((E4033="")+($E$4036:$E$4039=E4033)&gt;0)*((F4033="")+($F$4036:$F$4039=F4033)&gt;0)*ROW($B$4036:$B$4039))),IF(COUNTIFS($D$4036:$D$4039,IF(D4033="","*",D4033),$E$4036:$E$4039,IF(E4033="","*",E4033),$F$4036:$F$4039,IF(F4033="","*",F4033))=0,"Not available",COUNTIFS($D$4036:$D$4039,IF(D4033="","*",D4033),$E$4036:$E$4039,IF(E4033="","*",E4033),$F$4036:$F$4039,IF(F4033="","*",F4033))&amp;" match, keep choosing"))</f>
        <v>P3-040-BK-AL-M3ZZ50</v>
      </c>
      <c r="C4033" s="16" t="n">
        <f aca="false">IF(COUNTIFS($D$4036:$D$4039,IF(D4033="","*",D4033),$E$4036:$E$4039,IF(E4033="","*",E4033),$F$4036:$F$4039,IF(F4033="","*",F4033))=1,INDEX($C:$C,SUMPRODUCT(((D4033="")+($D$4036:$D$4039=D4033)&gt;0)*((E4033="")+($E$4036:$E$4039=E4033)&gt;0)*((F4033="")+($F$4036:$F$4039=F4033)&gt;0)*ROW($B$4036:$B$4039))),"")</f>
        <v>0.63</v>
      </c>
      <c r="D4033" s="17" t="s">
        <v>724</v>
      </c>
      <c r="E4033" s="17" t="s">
        <v>6550</v>
      </c>
      <c r="F4033" s="17" t="s">
        <v>32426</v>
      </c>
    </row>
    <row r="4035" customFormat="false" ht="15" hidden="false" customHeight="false" outlineLevel="0" collapsed="false">
      <c r="B4035" s="18" t="s">
        <v>701</v>
      </c>
      <c r="C4035" s="18" t="s">
        <v>702</v>
      </c>
      <c r="D4035" s="18" t="s">
        <v>722</v>
      </c>
      <c r="E4035" s="18" t="s">
        <v>704</v>
      </c>
      <c r="F4035" s="18" t="s">
        <v>723</v>
      </c>
    </row>
    <row r="4036" customFormat="false" ht="15" hidden="false" customHeight="false" outlineLevel="0" collapsed="false">
      <c r="B4036" s="19" t="s">
        <v>32427</v>
      </c>
      <c r="C4036" s="20" t="n">
        <f aca="false">ROUND(4.55/FX,2)</f>
        <v>0.63</v>
      </c>
      <c r="D4036" s="21" t="s">
        <v>724</v>
      </c>
      <c r="E4036" s="21" t="s">
        <v>6550</v>
      </c>
      <c r="F4036" s="21" t="s">
        <v>32426</v>
      </c>
    </row>
    <row r="4037" customFormat="false" ht="28.35" hidden="false" customHeight="false" outlineLevel="0" collapsed="false">
      <c r="B4037" s="19" t="s">
        <v>32428</v>
      </c>
      <c r="C4037" s="20" t="n">
        <f aca="false">ROUND(1.3/FX,2)</f>
        <v>0.18</v>
      </c>
      <c r="D4037" s="21" t="s">
        <v>6336</v>
      </c>
      <c r="E4037" s="21" t="s">
        <v>6336</v>
      </c>
      <c r="F4037" s="21" t="s">
        <v>32429</v>
      </c>
    </row>
    <row r="4038" customFormat="false" ht="15" hidden="false" customHeight="false" outlineLevel="0" collapsed="false">
      <c r="B4038" s="19" t="s">
        <v>32430</v>
      </c>
      <c r="C4038" s="20" t="n">
        <f aca="false">ROUND(3.9/FX,2)</f>
        <v>0.54</v>
      </c>
      <c r="D4038" s="21" t="s">
        <v>6549</v>
      </c>
      <c r="E4038" s="21" t="s">
        <v>6550</v>
      </c>
      <c r="F4038" s="21" t="s">
        <v>32431</v>
      </c>
    </row>
    <row r="4039" customFormat="false" ht="15" hidden="false" customHeight="false" outlineLevel="0" collapsed="false">
      <c r="B4039" s="19" t="s">
        <v>32432</v>
      </c>
      <c r="C4039" s="20" t="n">
        <f aca="false">ROUND(4.55/FX,2)</f>
        <v>0.63</v>
      </c>
      <c r="D4039" s="21" t="s">
        <v>6549</v>
      </c>
      <c r="E4039" s="21" t="s">
        <v>6550</v>
      </c>
      <c r="F4039" s="21" t="s">
        <v>32426</v>
      </c>
    </row>
    <row r="4042" customFormat="false" ht="61.5" hidden="false" customHeight="true" outlineLevel="0" collapsed="false">
      <c r="A4042" s="9"/>
      <c r="B4042" s="10" t="s">
        <v>32433</v>
      </c>
      <c r="C4042" s="10"/>
      <c r="D4042" s="10"/>
    </row>
    <row r="4043" customFormat="false" ht="15" hidden="false" customHeight="false" outlineLevel="0" collapsed="false">
      <c r="A4043" s="12" t="s">
        <v>700</v>
      </c>
      <c r="B4043" s="13" t="s">
        <v>701</v>
      </c>
      <c r="C4043" s="13" t="s">
        <v>702</v>
      </c>
      <c r="D4043" s="13" t="s">
        <v>723</v>
      </c>
    </row>
    <row r="4044" customFormat="false" ht="30" hidden="false" customHeight="true" outlineLevel="0" collapsed="false">
      <c r="A4044" s="14" t="s">
        <v>706</v>
      </c>
      <c r="B4044" s="15" t="str">
        <f aca="false">IF(COUNTIFS($D$4047:$D$4048,IF(D4044="","*",D4044))=1,INDEX($B:$B,SUMPRODUCT(((D4044="")+($D$4047:$D$4048=D4044)&gt;0)*ROW($B$4047:$B$4048))),IF(COUNTIFS($D$4047:$D$4048,IF(D4044="","*",D4044))=0,"Not available",COUNTIFS($D$4047:$D$4048,IF(D4044="","*",D4044))&amp;" match, keep choosing"))</f>
        <v>P3-078-SKDS10</v>
      </c>
      <c r="C4044" s="16" t="n">
        <f aca="false">IF(COUNTIFS($D$4047:$D$4048,IF(D4044="","*",D4044))=1,INDEX($C:$C,SUMPRODUCT(((D4044="")+($D$4047:$D$4048=D4044)&gt;0)*ROW($B$4047:$B$4048))),"")</f>
        <v>1.53</v>
      </c>
      <c r="D4044" s="17" t="s">
        <v>32434</v>
      </c>
    </row>
    <row r="4046" customFormat="false" ht="15" hidden="false" customHeight="false" outlineLevel="0" collapsed="false">
      <c r="B4046" s="18" t="s">
        <v>701</v>
      </c>
      <c r="C4046" s="18" t="s">
        <v>702</v>
      </c>
      <c r="D4046" s="18" t="s">
        <v>723</v>
      </c>
    </row>
    <row r="4047" customFormat="false" ht="15" hidden="false" customHeight="false" outlineLevel="0" collapsed="false">
      <c r="B4047" s="19" t="s">
        <v>32435</v>
      </c>
      <c r="C4047" s="20" t="n">
        <f aca="false">ROUND(11.05/FX,2)</f>
        <v>1.53</v>
      </c>
      <c r="D4047" s="21" t="s">
        <v>32434</v>
      </c>
    </row>
    <row r="4048" customFormat="false" ht="15" hidden="false" customHeight="false" outlineLevel="0" collapsed="false">
      <c r="B4048" s="19" t="s">
        <v>32436</v>
      </c>
      <c r="C4048" s="20" t="n">
        <f aca="false">ROUND(8.61/FX,2)</f>
        <v>1.2</v>
      </c>
      <c r="D4048" s="21" t="s">
        <v>32437</v>
      </c>
    </row>
    <row r="4051" customFormat="false" ht="61.5" hidden="false" customHeight="true" outlineLevel="0" collapsed="false">
      <c r="A4051" s="9"/>
      <c r="B4051" s="10" t="s">
        <v>32438</v>
      </c>
      <c r="C4051" s="10"/>
      <c r="D4051" s="10"/>
      <c r="E4051" s="10"/>
      <c r="F4051" s="10"/>
    </row>
    <row r="4052" customFormat="false" ht="15" hidden="false" customHeight="false" outlineLevel="0" collapsed="false">
      <c r="A4052" s="12" t="s">
        <v>700</v>
      </c>
      <c r="B4052" s="13" t="s">
        <v>701</v>
      </c>
      <c r="C4052" s="13" t="s">
        <v>702</v>
      </c>
      <c r="D4052" s="13" t="s">
        <v>722</v>
      </c>
      <c r="E4052" s="13" t="s">
        <v>723</v>
      </c>
      <c r="F4052" s="13" t="s">
        <v>6523</v>
      </c>
    </row>
    <row r="4053" customFormat="false" ht="30" hidden="false" customHeight="true" outlineLevel="0" collapsed="false">
      <c r="A4053" s="14" t="s">
        <v>706</v>
      </c>
      <c r="B4053" s="15" t="str">
        <f aca="false">IF(COUNTIFS($D$4056:$D$4074,IF(D4053="","*",D4053),$E$4056:$E$4074,IF(E4053="","*",E4053),$F$4056:$F$4074,IF(F4053="","*",F4053))=1,INDEX($B:$B,SUMPRODUCT(((D4053="")+($D$4056:$D$4074=D4053)&gt;0)*((E4053="")+($E$4056:$E$4074=E4053)&gt;0)*((F4053="")+($F$4056:$F$4074=F4053)&gt;0)*ROW($B$4056:$B$4074))),IF(COUNTIFS($D$4056:$D$4074,IF(D4053="","*",D4053),$E$4056:$E$4074,IF(E4053="","*",E4053),$F$4056:$F$4074,IF(F4053="","*",F4053))=0,"Not available",COUNTIFS($D$4056:$D$4074,IF(D4053="","*",D4053),$E$4056:$E$4074,IF(E4053="","*",E4053),$F$4056:$F$4074,IF(F4053="","*",F4053))&amp;" match, keep choosing"))</f>
        <v>P3-105-10x10x10-BK-M3</v>
      </c>
      <c r="C4053" s="16" t="n">
        <f aca="false">IF(COUNTIFS($D$4056:$D$4074,IF(D4053="","*",D4053),$E$4056:$E$4074,IF(E4053="","*",E4053),$F$4056:$F$4074,IF(F4053="","*",F4053))=1,INDEX($C:$C,SUMPRODUCT(((D4053="")+($D$4056:$D$4074=D4053)&gt;0)*((E4053="")+($E$4056:$E$4074=E4053)&gt;0)*((F4053="")+($F$4056:$F$4074=F4053)&gt;0)*ROW($B$4056:$B$4074))),"")</f>
        <v>0.16</v>
      </c>
      <c r="D4053" s="17" t="s">
        <v>724</v>
      </c>
      <c r="E4053" s="17" t="s">
        <v>11407</v>
      </c>
      <c r="F4053" s="17" t="s">
        <v>32439</v>
      </c>
    </row>
    <row r="4055" customFormat="false" ht="15" hidden="false" customHeight="false" outlineLevel="0" collapsed="false">
      <c r="B4055" s="18" t="s">
        <v>701</v>
      </c>
      <c r="C4055" s="18" t="s">
        <v>702</v>
      </c>
      <c r="D4055" s="18" t="s">
        <v>722</v>
      </c>
      <c r="E4055" s="18" t="s">
        <v>723</v>
      </c>
      <c r="F4055" s="18" t="s">
        <v>6523</v>
      </c>
    </row>
    <row r="4056" customFormat="false" ht="15" hidden="false" customHeight="false" outlineLevel="0" collapsed="false">
      <c r="B4056" s="19" t="s">
        <v>32440</v>
      </c>
      <c r="C4056" s="20" t="n">
        <f aca="false">ROUND(1.17/FX,2)</f>
        <v>0.16</v>
      </c>
      <c r="D4056" s="21" t="s">
        <v>724</v>
      </c>
      <c r="E4056" s="21" t="s">
        <v>11407</v>
      </c>
      <c r="F4056" s="21" t="s">
        <v>32439</v>
      </c>
    </row>
    <row r="4057" customFormat="false" ht="15" hidden="false" customHeight="false" outlineLevel="0" collapsed="false">
      <c r="B4057" s="19" t="s">
        <v>32441</v>
      </c>
      <c r="C4057" s="20" t="n">
        <f aca="false">ROUND(1.17/FX,2)</f>
        <v>0.16</v>
      </c>
      <c r="D4057" s="21" t="s">
        <v>6549</v>
      </c>
      <c r="E4057" s="21" t="s">
        <v>11407</v>
      </c>
      <c r="F4057" s="21" t="s">
        <v>32439</v>
      </c>
    </row>
    <row r="4058" customFormat="false" ht="15" hidden="false" customHeight="false" outlineLevel="0" collapsed="false">
      <c r="B4058" s="19" t="s">
        <v>32442</v>
      </c>
      <c r="C4058" s="20" t="n">
        <f aca="false">ROUND(1.56/FX,2)</f>
        <v>0.22</v>
      </c>
      <c r="D4058" s="21" t="s">
        <v>724</v>
      </c>
      <c r="E4058" s="21" t="s">
        <v>11409</v>
      </c>
      <c r="F4058" s="21" t="s">
        <v>32443</v>
      </c>
    </row>
    <row r="4059" customFormat="false" ht="15" hidden="false" customHeight="false" outlineLevel="0" collapsed="false">
      <c r="B4059" s="19" t="s">
        <v>32444</v>
      </c>
      <c r="C4059" s="20" t="n">
        <f aca="false">ROUND(1.56/FX,2)</f>
        <v>0.22</v>
      </c>
      <c r="D4059" s="21" t="s">
        <v>6549</v>
      </c>
      <c r="E4059" s="21" t="s">
        <v>11409</v>
      </c>
      <c r="F4059" s="21" t="s">
        <v>32443</v>
      </c>
    </row>
    <row r="4060" customFormat="false" ht="15" hidden="false" customHeight="false" outlineLevel="0" collapsed="false">
      <c r="B4060" s="19" t="s">
        <v>32445</v>
      </c>
      <c r="C4060" s="20" t="n">
        <f aca="false">ROUND(2.08/FX,2)</f>
        <v>0.29</v>
      </c>
      <c r="D4060" s="21" t="s">
        <v>724</v>
      </c>
      <c r="E4060" s="21" t="s">
        <v>11411</v>
      </c>
      <c r="F4060" s="21" t="s">
        <v>32446</v>
      </c>
    </row>
    <row r="4061" customFormat="false" ht="15" hidden="false" customHeight="false" outlineLevel="0" collapsed="false">
      <c r="B4061" s="19" t="s">
        <v>32447</v>
      </c>
      <c r="C4061" s="20" t="n">
        <f aca="false">ROUND(2.08/FX,2)</f>
        <v>0.29</v>
      </c>
      <c r="D4061" s="21" t="s">
        <v>6549</v>
      </c>
      <c r="E4061" s="21" t="s">
        <v>11411</v>
      </c>
      <c r="F4061" s="21" t="s">
        <v>32446</v>
      </c>
    </row>
    <row r="4062" customFormat="false" ht="15" hidden="false" customHeight="false" outlineLevel="0" collapsed="false">
      <c r="B4062" s="19" t="s">
        <v>32448</v>
      </c>
      <c r="C4062" s="20" t="n">
        <f aca="false">ROUND(2.99/FX,2)</f>
        <v>0.42</v>
      </c>
      <c r="D4062" s="21" t="s">
        <v>724</v>
      </c>
      <c r="E4062" s="21" t="s">
        <v>11413</v>
      </c>
      <c r="F4062" s="21" t="s">
        <v>32449</v>
      </c>
    </row>
    <row r="4063" customFormat="false" ht="15" hidden="false" customHeight="false" outlineLevel="0" collapsed="false">
      <c r="B4063" s="19" t="s">
        <v>32450</v>
      </c>
      <c r="C4063" s="20" t="n">
        <f aca="false">ROUND(2.99/FX,2)</f>
        <v>0.42</v>
      </c>
      <c r="D4063" s="21" t="s">
        <v>7884</v>
      </c>
      <c r="E4063" s="21" t="s">
        <v>32451</v>
      </c>
      <c r="F4063" s="21" t="s">
        <v>32449</v>
      </c>
    </row>
    <row r="4064" customFormat="false" ht="15" hidden="false" customHeight="false" outlineLevel="0" collapsed="false">
      <c r="B4064" s="19" t="s">
        <v>32452</v>
      </c>
      <c r="C4064" s="20" t="n">
        <f aca="false">ROUND(2.99/FX,2)</f>
        <v>0.42</v>
      </c>
      <c r="D4064" s="21" t="s">
        <v>7884</v>
      </c>
      <c r="E4064" s="21" t="s">
        <v>32453</v>
      </c>
      <c r="F4064" s="21" t="s">
        <v>32449</v>
      </c>
    </row>
    <row r="4065" customFormat="false" ht="15" hidden="false" customHeight="false" outlineLevel="0" collapsed="false">
      <c r="B4065" s="19" t="s">
        <v>32454</v>
      </c>
      <c r="C4065" s="20" t="n">
        <f aca="false">ROUND(2.99/FX,2)</f>
        <v>0.42</v>
      </c>
      <c r="D4065" s="21" t="s">
        <v>6336</v>
      </c>
      <c r="E4065" s="21" t="s">
        <v>32455</v>
      </c>
      <c r="F4065" s="21" t="s">
        <v>32449</v>
      </c>
    </row>
    <row r="4066" customFormat="false" ht="15" hidden="false" customHeight="false" outlineLevel="0" collapsed="false">
      <c r="B4066" s="19" t="s">
        <v>32456</v>
      </c>
      <c r="C4066" s="20" t="n">
        <f aca="false">ROUND(2.99/FX,2)</f>
        <v>0.42</v>
      </c>
      <c r="D4066" s="21" t="s">
        <v>6336</v>
      </c>
      <c r="E4066" s="21" t="s">
        <v>32457</v>
      </c>
      <c r="F4066" s="21" t="s">
        <v>32449</v>
      </c>
    </row>
    <row r="4067" customFormat="false" ht="15" hidden="false" customHeight="false" outlineLevel="0" collapsed="false">
      <c r="B4067" s="19" t="s">
        <v>32458</v>
      </c>
      <c r="C4067" s="20" t="n">
        <f aca="false">ROUND(2.99/FX,2)</f>
        <v>0.42</v>
      </c>
      <c r="D4067" s="21" t="s">
        <v>6362</v>
      </c>
      <c r="E4067" s="21" t="s">
        <v>32459</v>
      </c>
      <c r="F4067" s="21" t="s">
        <v>32449</v>
      </c>
    </row>
    <row r="4068" customFormat="false" ht="15" hidden="false" customHeight="false" outlineLevel="0" collapsed="false">
      <c r="B4068" s="19" t="s">
        <v>32460</v>
      </c>
      <c r="C4068" s="20" t="n">
        <f aca="false">ROUND(2.99/FX,2)</f>
        <v>0.42</v>
      </c>
      <c r="D4068" s="21" t="s">
        <v>6362</v>
      </c>
      <c r="E4068" s="21" t="s">
        <v>11413</v>
      </c>
      <c r="F4068" s="21" t="s">
        <v>32449</v>
      </c>
    </row>
    <row r="4069" customFormat="false" ht="15" hidden="false" customHeight="false" outlineLevel="0" collapsed="false">
      <c r="B4069" s="19" t="s">
        <v>32461</v>
      </c>
      <c r="C4069" s="20" t="n">
        <f aca="false">ROUND(2.99/FX,2)</f>
        <v>0.42</v>
      </c>
      <c r="D4069" s="21" t="s">
        <v>6549</v>
      </c>
      <c r="E4069" s="21" t="s">
        <v>11413</v>
      </c>
      <c r="F4069" s="21" t="s">
        <v>32449</v>
      </c>
    </row>
    <row r="4070" customFormat="false" ht="15" hidden="false" customHeight="false" outlineLevel="0" collapsed="false">
      <c r="B4070" s="19" t="s">
        <v>32462</v>
      </c>
      <c r="C4070" s="20" t="n">
        <f aca="false">ROUND(2.99/FX,2)</f>
        <v>0.42</v>
      </c>
      <c r="D4070" s="21" t="s">
        <v>6336</v>
      </c>
      <c r="E4070" s="21" t="s">
        <v>32463</v>
      </c>
      <c r="F4070" s="21" t="s">
        <v>32449</v>
      </c>
    </row>
    <row r="4071" customFormat="false" ht="15" hidden="false" customHeight="false" outlineLevel="0" collapsed="false">
      <c r="B4071" s="19" t="s">
        <v>32464</v>
      </c>
      <c r="C4071" s="20" t="n">
        <f aca="false">ROUND(5.72/FX,2)</f>
        <v>0.79</v>
      </c>
      <c r="D4071" s="21" t="s">
        <v>724</v>
      </c>
      <c r="E4071" s="21" t="s">
        <v>11415</v>
      </c>
      <c r="F4071" s="21" t="s">
        <v>32465</v>
      </c>
    </row>
    <row r="4072" customFormat="false" ht="15" hidden="false" customHeight="false" outlineLevel="0" collapsed="false">
      <c r="B4072" s="19" t="s">
        <v>32466</v>
      </c>
      <c r="C4072" s="20" t="n">
        <f aca="false">ROUND(5.72/FX,2)</f>
        <v>0.79</v>
      </c>
      <c r="D4072" s="21" t="s">
        <v>6549</v>
      </c>
      <c r="E4072" s="21" t="s">
        <v>11415</v>
      </c>
      <c r="F4072" s="21" t="s">
        <v>32465</v>
      </c>
    </row>
    <row r="4073" customFormat="false" ht="15" hidden="false" customHeight="false" outlineLevel="0" collapsed="false">
      <c r="B4073" s="19" t="s">
        <v>32467</v>
      </c>
      <c r="C4073" s="20" t="n">
        <f aca="false">ROUND(7.15/FX,2)</f>
        <v>0.99</v>
      </c>
      <c r="D4073" s="21" t="s">
        <v>724</v>
      </c>
      <c r="E4073" s="21" t="s">
        <v>22841</v>
      </c>
      <c r="F4073" s="21" t="s">
        <v>32468</v>
      </c>
    </row>
    <row r="4074" customFormat="false" ht="15" hidden="false" customHeight="false" outlineLevel="0" collapsed="false">
      <c r="B4074" s="19" t="s">
        <v>32469</v>
      </c>
      <c r="C4074" s="20" t="n">
        <f aca="false">ROUND(7.15/FX,2)</f>
        <v>0.99</v>
      </c>
      <c r="D4074" s="21" t="s">
        <v>6549</v>
      </c>
      <c r="E4074" s="21" t="s">
        <v>22841</v>
      </c>
      <c r="F4074" s="21" t="s">
        <v>32468</v>
      </c>
    </row>
    <row r="4077" customFormat="false" ht="61.5" hidden="false" customHeight="true" outlineLevel="0" collapsed="false">
      <c r="A4077" s="9"/>
      <c r="B4077" s="10" t="s">
        <v>32470</v>
      </c>
      <c r="C4077" s="10"/>
      <c r="D4077" s="10"/>
      <c r="E4077" s="10"/>
      <c r="F4077" s="10"/>
      <c r="G4077" s="10"/>
      <c r="H4077" s="10"/>
      <c r="I4077" s="10"/>
      <c r="J4077" s="10"/>
    </row>
    <row r="4078" customFormat="false" ht="15" hidden="false" customHeight="false" outlineLevel="0" collapsed="false">
      <c r="A4078" s="12" t="s">
        <v>700</v>
      </c>
      <c r="B4078" s="13" t="s">
        <v>701</v>
      </c>
      <c r="C4078" s="13" t="s">
        <v>702</v>
      </c>
      <c r="D4078" s="13" t="s">
        <v>722</v>
      </c>
      <c r="E4078" s="13" t="s">
        <v>705</v>
      </c>
      <c r="F4078" s="13" t="s">
        <v>723</v>
      </c>
      <c r="G4078" s="13" t="s">
        <v>6436</v>
      </c>
      <c r="H4078" s="13" t="s">
        <v>28420</v>
      </c>
      <c r="I4078" s="13" t="s">
        <v>28688</v>
      </c>
      <c r="J4078" s="13" t="s">
        <v>20446</v>
      </c>
    </row>
    <row r="4079" customFormat="false" ht="30" hidden="false" customHeight="true" outlineLevel="0" collapsed="false">
      <c r="A4079" s="14" t="s">
        <v>706</v>
      </c>
      <c r="B4079" s="15" t="str">
        <f aca="false">IF(COUNTIFS($D$4082:$D$4173,IF(D4079="","*",D4079),$E$4082:$E$4173,IF(E4079="","*",E4079),$F$4082:$F$4173,IF(F4079="","*",F4079),$G$4082:$G$4173,IF(G4079="","*",G4079),$H$4082:$H$4173,IF(H4079="","*",H4079),$I$4082:$I$4173,IF(I4079="","*",I4079),$J$4082:$J$4173,IF(J4079="","*",J4079))=1,INDEX($B:$B,SUMPRODUCT(((D4079="")+($D$4082:$D$4173=D4079)&gt;0)*((E4079="")+($E$4082:$E$4173=E4079)&gt;0)*((F4079="")+($F$4082:$F$4173=F4079)&gt;0)*((G4079="")+($G$4082:$G$4173=G4079)&gt;0)*((H4079="")+($H$4082:$H$4173=H4079)&gt;0)*((I4079="")+($I$4082:$I$4173=I4079)&gt;0)*((J4079="")+($J$4082:$J$4173=J4079)&gt;0)*ROW($B$4082:$B$4173))),IF(COUNTIFS($D$4082:$D$4173,IF(D4079="","*",D4079),$E$4082:$E$4173,IF(E4079="","*",E4079),$F$4082:$F$4173,IF(F4079="","*",F4079),$G$4082:$G$4173,IF(G4079="","*",G4079),$H$4082:$H$4173,IF(H4079="","*",H4079),$I$4082:$I$4173,IF(I4079="","*",I4079),$J$4082:$J$4173,IF(J4079="","*",J4079))=0,"Not available",COUNTIFS($D$4082:$D$4173,IF(D4079="","*",D4079),$E$4082:$E$4173,IF(E4079="","*",E4079),$F$4082:$F$4173,IF(F4079="","*",F4079),$G$4082:$G$4173,IF(G4079="","*",G4079),$H$4082:$H$4173,IF(H4079="","*",H4079),$I$4082:$I$4173,IF(I4079="","*",I4079),$J$4082:$J$4173,IF(J4079="","*",J4079))&amp;" match, keep choosing"))</f>
        <v>PLT-L-1515-5H-PR-WH</v>
      </c>
      <c r="C4079" s="16" t="n">
        <f aca="false">IF(COUNTIFS($D$4082:$D$4173,IF(D4079="","*",D4079),$E$4082:$E$4173,IF(E4079="","*",E4079),$F$4082:$F$4173,IF(F4079="","*",F4079),$G$4082:$G$4173,IF(G4079="","*",G4079),$H$4082:$H$4173,IF(H4079="","*",H4079),$I$4082:$I$4173,IF(I4079="","*",I4079),$J$4082:$J$4173,IF(J4079="","*",J4079))=1,INDEX($C:$C,SUMPRODUCT(((D4079="")+($D$4082:$D$4173=D4079)&gt;0)*((E4079="")+($E$4082:$E$4173=E4079)&gt;0)*((F4079="")+($F$4082:$F$4173=F4079)&gt;0)*((G4079="")+($G$4082:$G$4173=G4079)&gt;0)*((H4079="")+($H$4082:$H$4173=H4079)&gt;0)*((I4079="")+($I$4082:$I$4173=I4079)&gt;0)*((J4079="")+($J$4082:$J$4173=J4079)&gt;0)*ROW($B$4082:$B$4173))),"")</f>
        <v>0.51</v>
      </c>
      <c r="D4079" s="17" t="s">
        <v>32471</v>
      </c>
      <c r="E4079" s="17" t="s">
        <v>13732</v>
      </c>
      <c r="F4079" s="17" t="s">
        <v>734</v>
      </c>
      <c r="G4079" s="17" t="s">
        <v>28721</v>
      </c>
      <c r="H4079" s="17" t="s">
        <v>26861</v>
      </c>
      <c r="I4079" s="17" t="s">
        <v>22976</v>
      </c>
      <c r="J4079" s="17" t="s">
        <v>32472</v>
      </c>
    </row>
    <row r="4081" customFormat="false" ht="15" hidden="false" customHeight="false" outlineLevel="0" collapsed="false">
      <c r="B4081" s="18" t="s">
        <v>701</v>
      </c>
      <c r="C4081" s="18" t="s">
        <v>702</v>
      </c>
      <c r="D4081" s="18" t="s">
        <v>722</v>
      </c>
      <c r="E4081" s="18" t="s">
        <v>705</v>
      </c>
      <c r="F4081" s="18" t="s">
        <v>723</v>
      </c>
      <c r="G4081" s="18" t="s">
        <v>6436</v>
      </c>
      <c r="H4081" s="18" t="s">
        <v>28420</v>
      </c>
      <c r="I4081" s="18" t="s">
        <v>28688</v>
      </c>
      <c r="J4081" s="18" t="s">
        <v>20446</v>
      </c>
    </row>
    <row r="4082" customFormat="false" ht="15" hidden="false" customHeight="false" outlineLevel="0" collapsed="false">
      <c r="B4082" s="19" t="s">
        <v>32473</v>
      </c>
      <c r="C4082" s="20" t="n">
        <f aca="false">ROUND(3.64/FX,2)</f>
        <v>0.51</v>
      </c>
      <c r="D4082" s="21" t="s">
        <v>32471</v>
      </c>
      <c r="E4082" s="21" t="s">
        <v>13732</v>
      </c>
      <c r="F4082" s="21" t="s">
        <v>734</v>
      </c>
      <c r="G4082" s="21" t="s">
        <v>28721</v>
      </c>
      <c r="H4082" s="21" t="s">
        <v>26861</v>
      </c>
      <c r="I4082" s="21" t="s">
        <v>22976</v>
      </c>
      <c r="J4082" s="21" t="s">
        <v>32472</v>
      </c>
    </row>
    <row r="4083" customFormat="false" ht="15" hidden="false" customHeight="false" outlineLevel="0" collapsed="false">
      <c r="B4083" s="19" t="s">
        <v>32474</v>
      </c>
      <c r="C4083" s="20" t="n">
        <f aca="false">ROUND(2.73/FX,2)</f>
        <v>0.38</v>
      </c>
      <c r="D4083" s="21" t="s">
        <v>32471</v>
      </c>
      <c r="E4083" s="21" t="s">
        <v>13732</v>
      </c>
      <c r="F4083" s="21" t="s">
        <v>734</v>
      </c>
      <c r="G4083" s="21" t="s">
        <v>28721</v>
      </c>
      <c r="H4083" s="21" t="s">
        <v>26861</v>
      </c>
      <c r="I4083" s="21" t="s">
        <v>16909</v>
      </c>
      <c r="J4083" s="21" t="s">
        <v>18383</v>
      </c>
    </row>
    <row r="4084" customFormat="false" ht="15" hidden="false" customHeight="false" outlineLevel="0" collapsed="false">
      <c r="B4084" s="19" t="s">
        <v>32475</v>
      </c>
      <c r="C4084" s="20" t="n">
        <f aca="false">ROUND(3.51/FX,2)</f>
        <v>0.49</v>
      </c>
      <c r="D4084" s="21" t="s">
        <v>724</v>
      </c>
      <c r="E4084" s="21" t="s">
        <v>13732</v>
      </c>
      <c r="F4084" s="21" t="s">
        <v>32476</v>
      </c>
      <c r="G4084" s="21" t="s">
        <v>6336</v>
      </c>
      <c r="H4084" s="21" t="s">
        <v>26861</v>
      </c>
      <c r="I4084" s="21" t="s">
        <v>16909</v>
      </c>
      <c r="J4084" s="21" t="s">
        <v>32472</v>
      </c>
    </row>
    <row r="4085" customFormat="false" ht="28.35" hidden="false" customHeight="false" outlineLevel="0" collapsed="false">
      <c r="B4085" s="19" t="s">
        <v>32477</v>
      </c>
      <c r="C4085" s="20" t="n">
        <f aca="false">ROUND(5.2/FX,2)</f>
        <v>0.72</v>
      </c>
      <c r="D4085" s="21" t="s">
        <v>32478</v>
      </c>
      <c r="E4085" s="21" t="s">
        <v>13732</v>
      </c>
      <c r="F4085" s="21" t="s">
        <v>734</v>
      </c>
      <c r="G4085" s="21" t="s">
        <v>12898</v>
      </c>
      <c r="H4085" s="21" t="s">
        <v>26861</v>
      </c>
      <c r="I4085" s="21" t="s">
        <v>16909</v>
      </c>
      <c r="J4085" s="21" t="s">
        <v>32472</v>
      </c>
    </row>
    <row r="4086" customFormat="false" ht="15" hidden="false" customHeight="false" outlineLevel="0" collapsed="false">
      <c r="B4086" s="19" t="s">
        <v>32479</v>
      </c>
      <c r="C4086" s="20" t="n">
        <f aca="false">ROUND(5.2/FX,2)</f>
        <v>0.72</v>
      </c>
      <c r="D4086" s="21" t="s">
        <v>6712</v>
      </c>
      <c r="E4086" s="21" t="s">
        <v>13732</v>
      </c>
      <c r="F4086" s="21" t="s">
        <v>734</v>
      </c>
      <c r="G4086" s="21" t="s">
        <v>12898</v>
      </c>
      <c r="H4086" s="21" t="s">
        <v>26861</v>
      </c>
      <c r="I4086" s="21" t="s">
        <v>16909</v>
      </c>
      <c r="J4086" s="21" t="s">
        <v>32472</v>
      </c>
    </row>
    <row r="4087" customFormat="false" ht="28.35" hidden="false" customHeight="false" outlineLevel="0" collapsed="false">
      <c r="B4087" s="19" t="s">
        <v>32480</v>
      </c>
      <c r="C4087" s="20" t="n">
        <f aca="false">ROUND(3.25/FX,2)</f>
        <v>0.45</v>
      </c>
      <c r="D4087" s="21" t="s">
        <v>32478</v>
      </c>
      <c r="E4087" s="21" t="s">
        <v>13732</v>
      </c>
      <c r="F4087" s="21" t="s">
        <v>734</v>
      </c>
      <c r="G4087" s="21" t="s">
        <v>28721</v>
      </c>
      <c r="H4087" s="21" t="s">
        <v>26861</v>
      </c>
      <c r="I4087" s="21" t="s">
        <v>16909</v>
      </c>
      <c r="J4087" s="21" t="s">
        <v>32472</v>
      </c>
    </row>
    <row r="4088" customFormat="false" ht="28.35" hidden="false" customHeight="false" outlineLevel="0" collapsed="false">
      <c r="B4088" s="19" t="s">
        <v>32481</v>
      </c>
      <c r="C4088" s="20" t="n">
        <f aca="false">ROUND(32.6/FX,2)</f>
        <v>4.53</v>
      </c>
      <c r="D4088" s="21" t="s">
        <v>32478</v>
      </c>
      <c r="E4088" s="21" t="s">
        <v>13997</v>
      </c>
      <c r="F4088" s="21" t="s">
        <v>734</v>
      </c>
      <c r="G4088" s="21" t="s">
        <v>28721</v>
      </c>
      <c r="H4088" s="21" t="s">
        <v>26861</v>
      </c>
      <c r="I4088" s="21" t="s">
        <v>16909</v>
      </c>
      <c r="J4088" s="21" t="s">
        <v>32472</v>
      </c>
    </row>
    <row r="4089" customFormat="false" ht="15" hidden="false" customHeight="false" outlineLevel="0" collapsed="false">
      <c r="B4089" s="19" t="s">
        <v>32482</v>
      </c>
      <c r="C4089" s="20" t="n">
        <f aca="false">ROUND(37.18/FX,2)</f>
        <v>5.16</v>
      </c>
      <c r="D4089" s="21" t="s">
        <v>724</v>
      </c>
      <c r="E4089" s="21" t="s">
        <v>13732</v>
      </c>
      <c r="F4089" s="21" t="s">
        <v>6688</v>
      </c>
      <c r="G4089" s="21" t="s">
        <v>28721</v>
      </c>
      <c r="H4089" s="21" t="s">
        <v>26861</v>
      </c>
      <c r="I4089" s="21" t="s">
        <v>16909</v>
      </c>
      <c r="J4089" s="21" t="s">
        <v>32472</v>
      </c>
    </row>
    <row r="4090" customFormat="false" ht="15" hidden="false" customHeight="false" outlineLevel="0" collapsed="false">
      <c r="B4090" s="19" t="s">
        <v>32483</v>
      </c>
      <c r="C4090" s="20" t="n">
        <f aca="false">ROUND(4.42/FX,2)</f>
        <v>0.61</v>
      </c>
      <c r="D4090" s="21" t="s">
        <v>32484</v>
      </c>
      <c r="E4090" s="21" t="s">
        <v>13732</v>
      </c>
      <c r="F4090" s="21" t="s">
        <v>734</v>
      </c>
      <c r="G4090" s="21" t="s">
        <v>28721</v>
      </c>
      <c r="H4090" s="21" t="s">
        <v>26861</v>
      </c>
      <c r="I4090" s="21" t="s">
        <v>16909</v>
      </c>
      <c r="J4090" s="21" t="s">
        <v>32472</v>
      </c>
    </row>
    <row r="4091" customFormat="false" ht="15" hidden="false" customHeight="false" outlineLevel="0" collapsed="false">
      <c r="B4091" s="19" t="s">
        <v>32485</v>
      </c>
      <c r="C4091" s="20" t="n">
        <f aca="false">ROUND(2.73/FX,2)</f>
        <v>0.38</v>
      </c>
      <c r="D4091" s="21" t="s">
        <v>19341</v>
      </c>
      <c r="E4091" s="21" t="s">
        <v>13732</v>
      </c>
      <c r="F4091" s="21" t="s">
        <v>734</v>
      </c>
      <c r="G4091" s="21" t="s">
        <v>28721</v>
      </c>
      <c r="H4091" s="21" t="s">
        <v>26861</v>
      </c>
      <c r="I4091" s="21" t="s">
        <v>16909</v>
      </c>
      <c r="J4091" s="21" t="s">
        <v>32472</v>
      </c>
    </row>
    <row r="4092" customFormat="false" ht="15" hidden="false" customHeight="false" outlineLevel="0" collapsed="false">
      <c r="B4092" s="19" t="s">
        <v>32486</v>
      </c>
      <c r="C4092" s="20" t="n">
        <f aca="false">ROUND(4.42/FX,2)</f>
        <v>0.61</v>
      </c>
      <c r="D4092" s="21" t="s">
        <v>32487</v>
      </c>
      <c r="E4092" s="21" t="s">
        <v>13732</v>
      </c>
      <c r="F4092" s="21" t="s">
        <v>734</v>
      </c>
      <c r="G4092" s="21" t="s">
        <v>28721</v>
      </c>
      <c r="H4092" s="21" t="s">
        <v>26861</v>
      </c>
      <c r="I4092" s="21" t="s">
        <v>16909</v>
      </c>
      <c r="J4092" s="21" t="s">
        <v>32472</v>
      </c>
    </row>
    <row r="4093" customFormat="false" ht="15" hidden="false" customHeight="false" outlineLevel="0" collapsed="false">
      <c r="B4093" s="19" t="s">
        <v>32488</v>
      </c>
      <c r="C4093" s="20" t="n">
        <f aca="false">ROUND(4.42/FX,2)</f>
        <v>0.61</v>
      </c>
      <c r="D4093" s="21" t="s">
        <v>32489</v>
      </c>
      <c r="E4093" s="21" t="s">
        <v>13732</v>
      </c>
      <c r="F4093" s="21" t="s">
        <v>734</v>
      </c>
      <c r="G4093" s="21" t="s">
        <v>28721</v>
      </c>
      <c r="H4093" s="21" t="s">
        <v>26861</v>
      </c>
      <c r="I4093" s="21" t="s">
        <v>16909</v>
      </c>
      <c r="J4093" s="21" t="s">
        <v>32472</v>
      </c>
    </row>
    <row r="4094" customFormat="false" ht="15" hidden="false" customHeight="false" outlineLevel="0" collapsed="false">
      <c r="B4094" s="19" t="s">
        <v>32490</v>
      </c>
      <c r="C4094" s="20" t="n">
        <f aca="false">ROUND(2.6/FX,2)</f>
        <v>0.36</v>
      </c>
      <c r="D4094" s="21" t="s">
        <v>6712</v>
      </c>
      <c r="E4094" s="21" t="s">
        <v>13732</v>
      </c>
      <c r="F4094" s="21" t="s">
        <v>734</v>
      </c>
      <c r="G4094" s="21" t="s">
        <v>28721</v>
      </c>
      <c r="H4094" s="21" t="s">
        <v>26861</v>
      </c>
      <c r="I4094" s="21" t="s">
        <v>16909</v>
      </c>
      <c r="J4094" s="21" t="s">
        <v>32472</v>
      </c>
    </row>
    <row r="4095" customFormat="false" ht="15" hidden="false" customHeight="false" outlineLevel="0" collapsed="false">
      <c r="B4095" s="19" t="s">
        <v>32491</v>
      </c>
      <c r="C4095" s="20" t="n">
        <f aca="false">ROUND(30.68/FX,2)</f>
        <v>4.26</v>
      </c>
      <c r="D4095" s="21" t="s">
        <v>6712</v>
      </c>
      <c r="E4095" s="21" t="s">
        <v>13732</v>
      </c>
      <c r="F4095" s="21" t="s">
        <v>32492</v>
      </c>
      <c r="G4095" s="21" t="s">
        <v>28721</v>
      </c>
      <c r="H4095" s="21" t="s">
        <v>26861</v>
      </c>
      <c r="I4095" s="21" t="s">
        <v>16909</v>
      </c>
      <c r="J4095" s="21" t="s">
        <v>32472</v>
      </c>
    </row>
    <row r="4096" customFormat="false" ht="15" hidden="false" customHeight="false" outlineLevel="0" collapsed="false">
      <c r="B4096" s="19" t="s">
        <v>32493</v>
      </c>
      <c r="C4096" s="20" t="n">
        <f aca="false">ROUND(24.6/FX,2)</f>
        <v>3.42</v>
      </c>
      <c r="D4096" s="21" t="s">
        <v>6712</v>
      </c>
      <c r="E4096" s="21" t="s">
        <v>13732</v>
      </c>
      <c r="F4096" s="21" t="s">
        <v>32494</v>
      </c>
      <c r="G4096" s="21" t="s">
        <v>28721</v>
      </c>
      <c r="H4096" s="21" t="s">
        <v>26861</v>
      </c>
      <c r="I4096" s="21" t="s">
        <v>16909</v>
      </c>
      <c r="J4096" s="21" t="s">
        <v>32472</v>
      </c>
    </row>
    <row r="4097" customFormat="false" ht="15" hidden="false" customHeight="false" outlineLevel="0" collapsed="false">
      <c r="B4097" s="19" t="s">
        <v>32495</v>
      </c>
      <c r="C4097" s="20" t="n">
        <f aca="false">ROUND(4.42/FX,2)</f>
        <v>0.61</v>
      </c>
      <c r="D4097" s="21" t="s">
        <v>32496</v>
      </c>
      <c r="E4097" s="21" t="s">
        <v>13732</v>
      </c>
      <c r="F4097" s="21" t="s">
        <v>734</v>
      </c>
      <c r="G4097" s="21" t="s">
        <v>28721</v>
      </c>
      <c r="H4097" s="21" t="s">
        <v>26861</v>
      </c>
      <c r="I4097" s="21" t="s">
        <v>16909</v>
      </c>
      <c r="J4097" s="21" t="s">
        <v>32472</v>
      </c>
    </row>
    <row r="4098" customFormat="false" ht="15" hidden="false" customHeight="false" outlineLevel="0" collapsed="false">
      <c r="B4098" s="19" t="s">
        <v>32497</v>
      </c>
      <c r="C4098" s="20" t="n">
        <f aca="false">ROUND(3.25/FX,2)</f>
        <v>0.45</v>
      </c>
      <c r="D4098" s="21" t="s">
        <v>6549</v>
      </c>
      <c r="E4098" s="21" t="s">
        <v>13732</v>
      </c>
      <c r="F4098" s="21" t="s">
        <v>32476</v>
      </c>
      <c r="G4098" s="21" t="s">
        <v>6336</v>
      </c>
      <c r="H4098" s="21" t="s">
        <v>26861</v>
      </c>
      <c r="I4098" s="21" t="s">
        <v>16909</v>
      </c>
      <c r="J4098" s="21" t="s">
        <v>32472</v>
      </c>
    </row>
    <row r="4099" customFormat="false" ht="15" hidden="false" customHeight="false" outlineLevel="0" collapsed="false">
      <c r="B4099" s="19" t="s">
        <v>32498</v>
      </c>
      <c r="C4099" s="20" t="n">
        <f aca="false">ROUND(58.24/FX,2)</f>
        <v>8.09</v>
      </c>
      <c r="D4099" s="21" t="s">
        <v>724</v>
      </c>
      <c r="E4099" s="21" t="s">
        <v>13732</v>
      </c>
      <c r="F4099" s="21" t="s">
        <v>11672</v>
      </c>
      <c r="G4099" s="21" t="s">
        <v>6336</v>
      </c>
      <c r="H4099" s="21" t="s">
        <v>26861</v>
      </c>
      <c r="I4099" s="21" t="s">
        <v>12422</v>
      </c>
      <c r="J4099" s="21" t="s">
        <v>32499</v>
      </c>
    </row>
    <row r="4100" customFormat="false" ht="15" hidden="false" customHeight="false" outlineLevel="0" collapsed="false">
      <c r="B4100" s="19" t="s">
        <v>32500</v>
      </c>
      <c r="C4100" s="20" t="n">
        <f aca="false">ROUND(6.24/FX,2)</f>
        <v>0.87</v>
      </c>
      <c r="D4100" s="21" t="s">
        <v>32471</v>
      </c>
      <c r="E4100" s="21" t="s">
        <v>13732</v>
      </c>
      <c r="F4100" s="21" t="s">
        <v>734</v>
      </c>
      <c r="G4100" s="21" t="s">
        <v>28721</v>
      </c>
      <c r="H4100" s="21" t="s">
        <v>26861</v>
      </c>
      <c r="I4100" s="21" t="s">
        <v>12422</v>
      </c>
      <c r="J4100" s="21" t="s">
        <v>32501</v>
      </c>
    </row>
    <row r="4101" customFormat="false" ht="15" hidden="false" customHeight="false" outlineLevel="0" collapsed="false">
      <c r="B4101" s="19" t="s">
        <v>32502</v>
      </c>
      <c r="C4101" s="20" t="n">
        <f aca="false">ROUND(6.5/FX,2)</f>
        <v>0.9</v>
      </c>
      <c r="D4101" s="21" t="s">
        <v>6862</v>
      </c>
      <c r="E4101" s="21" t="s">
        <v>13732</v>
      </c>
      <c r="F4101" s="21" t="s">
        <v>734</v>
      </c>
      <c r="G4101" s="21" t="s">
        <v>28721</v>
      </c>
      <c r="H4101" s="21" t="s">
        <v>26861</v>
      </c>
      <c r="I4101" s="21" t="s">
        <v>32503</v>
      </c>
      <c r="J4101" s="21" t="s">
        <v>32499</v>
      </c>
    </row>
    <row r="4102" customFormat="false" ht="15" hidden="false" customHeight="false" outlineLevel="0" collapsed="false">
      <c r="B4102" s="19" t="s">
        <v>32504</v>
      </c>
      <c r="C4102" s="20" t="n">
        <f aca="false">ROUND(6.5/FX,2)</f>
        <v>0.9</v>
      </c>
      <c r="D4102" s="21" t="s">
        <v>32471</v>
      </c>
      <c r="E4102" s="21" t="s">
        <v>13732</v>
      </c>
      <c r="F4102" s="21" t="s">
        <v>734</v>
      </c>
      <c r="G4102" s="21" t="s">
        <v>28721</v>
      </c>
      <c r="H4102" s="21" t="s">
        <v>26861</v>
      </c>
      <c r="I4102" s="21" t="s">
        <v>32503</v>
      </c>
      <c r="J4102" s="21" t="s">
        <v>32499</v>
      </c>
    </row>
    <row r="4103" customFormat="false" ht="15" hidden="false" customHeight="false" outlineLevel="0" collapsed="false">
      <c r="B4103" s="19" t="s">
        <v>32505</v>
      </c>
      <c r="C4103" s="20" t="n">
        <f aca="false">ROUND(5.2/FX,2)</f>
        <v>0.72</v>
      </c>
      <c r="D4103" s="21" t="s">
        <v>32471</v>
      </c>
      <c r="E4103" s="21" t="s">
        <v>13732</v>
      </c>
      <c r="F4103" s="21" t="s">
        <v>734</v>
      </c>
      <c r="G4103" s="21" t="s">
        <v>28721</v>
      </c>
      <c r="H4103" s="21" t="s">
        <v>26861</v>
      </c>
      <c r="I4103" s="21" t="s">
        <v>22839</v>
      </c>
      <c r="J4103" s="21" t="s">
        <v>18383</v>
      </c>
    </row>
    <row r="4104" customFormat="false" ht="15" hidden="false" customHeight="false" outlineLevel="0" collapsed="false">
      <c r="B4104" s="19" t="s">
        <v>32506</v>
      </c>
      <c r="C4104" s="20" t="n">
        <f aca="false">ROUND(10.4/FX,2)</f>
        <v>1.44</v>
      </c>
      <c r="D4104" s="21" t="s">
        <v>6862</v>
      </c>
      <c r="E4104" s="21" t="s">
        <v>13732</v>
      </c>
      <c r="F4104" s="21" t="s">
        <v>734</v>
      </c>
      <c r="G4104" s="21" t="s">
        <v>12898</v>
      </c>
      <c r="H4104" s="21" t="s">
        <v>26861</v>
      </c>
      <c r="I4104" s="21" t="s">
        <v>22839</v>
      </c>
      <c r="J4104" s="21" t="s">
        <v>32472</v>
      </c>
    </row>
    <row r="4105" customFormat="false" ht="15" hidden="false" customHeight="false" outlineLevel="0" collapsed="false">
      <c r="B4105" s="19" t="s">
        <v>32507</v>
      </c>
      <c r="C4105" s="20" t="n">
        <f aca="false">ROUND(10.4/FX,2)</f>
        <v>1.44</v>
      </c>
      <c r="D4105" s="21" t="s">
        <v>32471</v>
      </c>
      <c r="E4105" s="21" t="s">
        <v>13732</v>
      </c>
      <c r="F4105" s="21" t="s">
        <v>734</v>
      </c>
      <c r="G4105" s="21" t="s">
        <v>12898</v>
      </c>
      <c r="H4105" s="21" t="s">
        <v>26861</v>
      </c>
      <c r="I4105" s="21" t="s">
        <v>22839</v>
      </c>
      <c r="J4105" s="21" t="s">
        <v>32472</v>
      </c>
    </row>
    <row r="4106" customFormat="false" ht="15" hidden="false" customHeight="false" outlineLevel="0" collapsed="false">
      <c r="B4106" s="19" t="s">
        <v>32508</v>
      </c>
      <c r="C4106" s="20" t="n">
        <f aca="false">ROUND(6.24/FX,2)</f>
        <v>0.87</v>
      </c>
      <c r="D4106" s="21" t="s">
        <v>6862</v>
      </c>
      <c r="E4106" s="21" t="s">
        <v>13732</v>
      </c>
      <c r="F4106" s="21" t="s">
        <v>32509</v>
      </c>
      <c r="G4106" s="21" t="s">
        <v>28721</v>
      </c>
      <c r="H4106" s="21" t="s">
        <v>26861</v>
      </c>
      <c r="I4106" s="21" t="s">
        <v>22839</v>
      </c>
      <c r="J4106" s="21" t="s">
        <v>32472</v>
      </c>
    </row>
    <row r="4107" customFormat="false" ht="15" hidden="false" customHeight="false" outlineLevel="0" collapsed="false">
      <c r="B4107" s="19" t="s">
        <v>32510</v>
      </c>
      <c r="C4107" s="20" t="n">
        <f aca="false">ROUND(7.35/FX,2)</f>
        <v>1.02</v>
      </c>
      <c r="D4107" s="21" t="s">
        <v>6862</v>
      </c>
      <c r="E4107" s="21" t="s">
        <v>13732</v>
      </c>
      <c r="F4107" s="21" t="s">
        <v>32511</v>
      </c>
      <c r="G4107" s="21" t="s">
        <v>28721</v>
      </c>
      <c r="H4107" s="21" t="s">
        <v>26861</v>
      </c>
      <c r="I4107" s="21" t="s">
        <v>22839</v>
      </c>
      <c r="J4107" s="21" t="s">
        <v>32472</v>
      </c>
    </row>
    <row r="4108" customFormat="false" ht="15" hidden="false" customHeight="false" outlineLevel="0" collapsed="false">
      <c r="B4108" s="19" t="s">
        <v>32512</v>
      </c>
      <c r="C4108" s="20" t="n">
        <f aca="false">ROUND(6.24/FX,2)</f>
        <v>0.87</v>
      </c>
      <c r="D4108" s="21" t="s">
        <v>32471</v>
      </c>
      <c r="E4108" s="21" t="s">
        <v>13732</v>
      </c>
      <c r="F4108" s="21" t="s">
        <v>734</v>
      </c>
      <c r="G4108" s="21" t="s">
        <v>28721</v>
      </c>
      <c r="H4108" s="21" t="s">
        <v>26861</v>
      </c>
      <c r="I4108" s="21" t="s">
        <v>22839</v>
      </c>
      <c r="J4108" s="21" t="s">
        <v>32472</v>
      </c>
    </row>
    <row r="4109" customFormat="false" ht="15" hidden="false" customHeight="false" outlineLevel="0" collapsed="false">
      <c r="B4109" s="19" t="s">
        <v>32513</v>
      </c>
      <c r="C4109" s="20" t="n">
        <f aca="false">ROUND(8.81/FX,2)</f>
        <v>1.22</v>
      </c>
      <c r="D4109" s="21" t="s">
        <v>32471</v>
      </c>
      <c r="E4109" s="21" t="s">
        <v>13732</v>
      </c>
      <c r="F4109" s="21" t="s">
        <v>32514</v>
      </c>
      <c r="G4109" s="21" t="s">
        <v>28721</v>
      </c>
      <c r="H4109" s="21" t="s">
        <v>26861</v>
      </c>
      <c r="I4109" s="21" t="s">
        <v>22839</v>
      </c>
      <c r="J4109" s="21" t="s">
        <v>32472</v>
      </c>
    </row>
    <row r="4110" customFormat="false" ht="15" hidden="false" customHeight="false" outlineLevel="0" collapsed="false">
      <c r="B4110" s="19" t="s">
        <v>32515</v>
      </c>
      <c r="C4110" s="20" t="n">
        <f aca="false">ROUND(10.4/FX,2)</f>
        <v>1.44</v>
      </c>
      <c r="D4110" s="21" t="s">
        <v>32471</v>
      </c>
      <c r="E4110" s="21" t="s">
        <v>13732</v>
      </c>
      <c r="F4110" s="21" t="s">
        <v>734</v>
      </c>
      <c r="G4110" s="21" t="s">
        <v>28721</v>
      </c>
      <c r="H4110" s="21" t="s">
        <v>26861</v>
      </c>
      <c r="I4110" s="21" t="s">
        <v>22839</v>
      </c>
      <c r="J4110" s="21" t="s">
        <v>32501</v>
      </c>
    </row>
    <row r="4111" customFormat="false" ht="15" hidden="false" customHeight="false" outlineLevel="0" collapsed="false">
      <c r="B4111" s="19" t="s">
        <v>32516</v>
      </c>
      <c r="C4111" s="20" t="n">
        <f aca="false">ROUND(7.54/FX,2)</f>
        <v>1.05</v>
      </c>
      <c r="D4111" s="21" t="s">
        <v>32471</v>
      </c>
      <c r="E4111" s="21" t="s">
        <v>13732</v>
      </c>
      <c r="F4111" s="21" t="s">
        <v>734</v>
      </c>
      <c r="G4111" s="21" t="s">
        <v>28721</v>
      </c>
      <c r="H4111" s="21" t="s">
        <v>26861</v>
      </c>
      <c r="I4111" s="21" t="s">
        <v>25358</v>
      </c>
      <c r="J4111" s="21" t="s">
        <v>32517</v>
      </c>
    </row>
    <row r="4112" customFormat="false" ht="15" hidden="false" customHeight="false" outlineLevel="0" collapsed="false">
      <c r="B4112" s="19" t="s">
        <v>32518</v>
      </c>
      <c r="C4112" s="20" t="n">
        <f aca="false">ROUND(7.93/FX,2)</f>
        <v>1.1</v>
      </c>
      <c r="D4112" s="21" t="s">
        <v>32471</v>
      </c>
      <c r="E4112" s="21" t="s">
        <v>13732</v>
      </c>
      <c r="F4112" s="21" t="s">
        <v>734</v>
      </c>
      <c r="G4112" s="21" t="s">
        <v>28721</v>
      </c>
      <c r="H4112" s="21" t="s">
        <v>26861</v>
      </c>
      <c r="I4112" s="21" t="s">
        <v>25358</v>
      </c>
      <c r="J4112" s="21" t="s">
        <v>32501</v>
      </c>
    </row>
    <row r="4113" customFormat="false" ht="15" hidden="false" customHeight="false" outlineLevel="0" collapsed="false">
      <c r="B4113" s="19" t="s">
        <v>32519</v>
      </c>
      <c r="C4113" s="20" t="n">
        <f aca="false">ROUND(11.7/FX,2)</f>
        <v>1.63</v>
      </c>
      <c r="D4113" s="21" t="s">
        <v>32471</v>
      </c>
      <c r="E4113" s="21" t="s">
        <v>13732</v>
      </c>
      <c r="F4113" s="21" t="s">
        <v>734</v>
      </c>
      <c r="G4113" s="21" t="s">
        <v>28721</v>
      </c>
      <c r="H4113" s="21" t="s">
        <v>26861</v>
      </c>
      <c r="I4113" s="21" t="s">
        <v>32520</v>
      </c>
      <c r="J4113" s="21" t="s">
        <v>32499</v>
      </c>
    </row>
    <row r="4114" customFormat="false" ht="15" hidden="false" customHeight="false" outlineLevel="0" collapsed="false">
      <c r="B4114" s="19" t="s">
        <v>32521</v>
      </c>
      <c r="C4114" s="20" t="n">
        <f aca="false">ROUND(12.74/FX,2)</f>
        <v>1.77</v>
      </c>
      <c r="D4114" s="21" t="s">
        <v>32471</v>
      </c>
      <c r="E4114" s="21" t="s">
        <v>13732</v>
      </c>
      <c r="F4114" s="21" t="s">
        <v>734</v>
      </c>
      <c r="G4114" s="21" t="s">
        <v>28721</v>
      </c>
      <c r="H4114" s="21" t="s">
        <v>26861</v>
      </c>
      <c r="I4114" s="21" t="s">
        <v>16919</v>
      </c>
      <c r="J4114" s="21" t="s">
        <v>18383</v>
      </c>
    </row>
    <row r="4115" customFormat="false" ht="15" hidden="false" customHeight="false" outlineLevel="0" collapsed="false">
      <c r="B4115" s="19" t="s">
        <v>32522</v>
      </c>
      <c r="C4115" s="20" t="n">
        <f aca="false">ROUND(10.53/FX,2)</f>
        <v>1.46</v>
      </c>
      <c r="D4115" s="21" t="s">
        <v>6862</v>
      </c>
      <c r="E4115" s="21" t="s">
        <v>13732</v>
      </c>
      <c r="F4115" s="21" t="s">
        <v>734</v>
      </c>
      <c r="G4115" s="21" t="s">
        <v>28721</v>
      </c>
      <c r="H4115" s="21" t="s">
        <v>26861</v>
      </c>
      <c r="I4115" s="21" t="s">
        <v>16919</v>
      </c>
      <c r="J4115" s="21" t="s">
        <v>32472</v>
      </c>
    </row>
    <row r="4116" customFormat="false" ht="15" hidden="false" customHeight="false" outlineLevel="0" collapsed="false">
      <c r="B4116" s="19" t="s">
        <v>32523</v>
      </c>
      <c r="C4116" s="20" t="n">
        <f aca="false">ROUND(10.53/FX,2)</f>
        <v>1.46</v>
      </c>
      <c r="D4116" s="21" t="s">
        <v>32471</v>
      </c>
      <c r="E4116" s="21" t="s">
        <v>13732</v>
      </c>
      <c r="F4116" s="21" t="s">
        <v>734</v>
      </c>
      <c r="G4116" s="21" t="s">
        <v>28721</v>
      </c>
      <c r="H4116" s="21" t="s">
        <v>26861</v>
      </c>
      <c r="I4116" s="21" t="s">
        <v>16919</v>
      </c>
      <c r="J4116" s="21" t="s">
        <v>32472</v>
      </c>
    </row>
    <row r="4117" customFormat="false" ht="15" hidden="false" customHeight="false" outlineLevel="0" collapsed="false">
      <c r="B4117" s="19" t="s">
        <v>32524</v>
      </c>
      <c r="C4117" s="20" t="n">
        <f aca="false">ROUND(102.14/FX,2)</f>
        <v>14.19</v>
      </c>
      <c r="D4117" s="21" t="s">
        <v>32471</v>
      </c>
      <c r="E4117" s="21" t="s">
        <v>13732</v>
      </c>
      <c r="F4117" s="21" t="s">
        <v>32525</v>
      </c>
      <c r="G4117" s="21" t="s">
        <v>28721</v>
      </c>
      <c r="H4117" s="21" t="s">
        <v>26861</v>
      </c>
      <c r="I4117" s="21" t="s">
        <v>16919</v>
      </c>
      <c r="J4117" s="21" t="s">
        <v>32472</v>
      </c>
    </row>
    <row r="4118" customFormat="false" ht="15" hidden="false" customHeight="false" outlineLevel="0" collapsed="false">
      <c r="B4118" s="19" t="s">
        <v>32526</v>
      </c>
      <c r="C4118" s="20" t="n">
        <f aca="false">ROUND(100/FX,2)</f>
        <v>13.89</v>
      </c>
      <c r="D4118" s="21" t="s">
        <v>32471</v>
      </c>
      <c r="E4118" s="21" t="s">
        <v>13732</v>
      </c>
      <c r="F4118" s="21" t="s">
        <v>32527</v>
      </c>
      <c r="G4118" s="21" t="s">
        <v>28721</v>
      </c>
      <c r="H4118" s="21" t="s">
        <v>26861</v>
      </c>
      <c r="I4118" s="21" t="s">
        <v>16919</v>
      </c>
      <c r="J4118" s="21" t="s">
        <v>32472</v>
      </c>
    </row>
    <row r="4119" customFormat="false" ht="15" hidden="false" customHeight="false" outlineLevel="0" collapsed="false">
      <c r="B4119" s="19" t="s">
        <v>32528</v>
      </c>
      <c r="C4119" s="20" t="n">
        <f aca="false">ROUND(24.05/FX,2)</f>
        <v>3.34</v>
      </c>
      <c r="D4119" s="21" t="s">
        <v>32471</v>
      </c>
      <c r="E4119" s="21" t="s">
        <v>13732</v>
      </c>
      <c r="F4119" s="21" t="s">
        <v>734</v>
      </c>
      <c r="G4119" s="21" t="s">
        <v>28721</v>
      </c>
      <c r="H4119" s="21" t="s">
        <v>26861</v>
      </c>
      <c r="I4119" s="21" t="s">
        <v>16919</v>
      </c>
      <c r="J4119" s="21" t="s">
        <v>32501</v>
      </c>
    </row>
    <row r="4120" customFormat="false" ht="15" hidden="false" customHeight="false" outlineLevel="0" collapsed="false">
      <c r="B4120" s="19" t="s">
        <v>32529</v>
      </c>
      <c r="C4120" s="20" t="n">
        <f aca="false">ROUND(14.3/FX,2)</f>
        <v>1.99</v>
      </c>
      <c r="D4120" s="21" t="s">
        <v>32471</v>
      </c>
      <c r="E4120" s="21" t="s">
        <v>13732</v>
      </c>
      <c r="F4120" s="21" t="s">
        <v>734</v>
      </c>
      <c r="G4120" s="21" t="s">
        <v>28721</v>
      </c>
      <c r="H4120" s="21" t="s">
        <v>26861</v>
      </c>
      <c r="I4120" s="21" t="s">
        <v>32530</v>
      </c>
      <c r="J4120" s="21" t="s">
        <v>32517</v>
      </c>
    </row>
    <row r="4121" customFormat="false" ht="15" hidden="false" customHeight="false" outlineLevel="0" collapsed="false">
      <c r="B4121" s="19" t="s">
        <v>32531</v>
      </c>
      <c r="C4121" s="20" t="n">
        <f aca="false">ROUND(19.5/FX,2)</f>
        <v>2.71</v>
      </c>
      <c r="D4121" s="21" t="s">
        <v>32471</v>
      </c>
      <c r="E4121" s="21" t="s">
        <v>13732</v>
      </c>
      <c r="F4121" s="21" t="s">
        <v>734</v>
      </c>
      <c r="G4121" s="21" t="s">
        <v>28721</v>
      </c>
      <c r="H4121" s="21" t="s">
        <v>26861</v>
      </c>
      <c r="I4121" s="21" t="s">
        <v>32532</v>
      </c>
      <c r="J4121" s="21" t="s">
        <v>32501</v>
      </c>
    </row>
    <row r="4122" customFormat="false" ht="15" hidden="false" customHeight="false" outlineLevel="0" collapsed="false">
      <c r="B4122" s="19" t="s">
        <v>32533</v>
      </c>
      <c r="C4122" s="20" t="n">
        <f aca="false">ROUND(21.84/FX,2)</f>
        <v>3.03</v>
      </c>
      <c r="D4122" s="21" t="s">
        <v>6862</v>
      </c>
      <c r="E4122" s="21" t="s">
        <v>13732</v>
      </c>
      <c r="F4122" s="21" t="s">
        <v>734</v>
      </c>
      <c r="G4122" s="21" t="s">
        <v>28721</v>
      </c>
      <c r="H4122" s="21" t="s">
        <v>26861</v>
      </c>
      <c r="I4122" s="21" t="s">
        <v>32534</v>
      </c>
      <c r="J4122" s="21" t="s">
        <v>32499</v>
      </c>
    </row>
    <row r="4123" customFormat="false" ht="15" hidden="false" customHeight="false" outlineLevel="0" collapsed="false">
      <c r="B4123" s="19" t="s">
        <v>32535</v>
      </c>
      <c r="C4123" s="20" t="n">
        <f aca="false">ROUND(21.84/FX,2)</f>
        <v>3.03</v>
      </c>
      <c r="D4123" s="21" t="s">
        <v>32471</v>
      </c>
      <c r="E4123" s="21" t="s">
        <v>13732</v>
      </c>
      <c r="F4123" s="21" t="s">
        <v>734</v>
      </c>
      <c r="G4123" s="21" t="s">
        <v>28721</v>
      </c>
      <c r="H4123" s="21" t="s">
        <v>26861</v>
      </c>
      <c r="I4123" s="21" t="s">
        <v>32534</v>
      </c>
      <c r="J4123" s="21" t="s">
        <v>32499</v>
      </c>
    </row>
    <row r="4124" customFormat="false" ht="15" hidden="false" customHeight="false" outlineLevel="0" collapsed="false">
      <c r="B4124" s="19" t="s">
        <v>32536</v>
      </c>
      <c r="C4124" s="20" t="n">
        <f aca="false">ROUND(17.55/FX,2)</f>
        <v>2.44</v>
      </c>
      <c r="D4124" s="21" t="s">
        <v>32471</v>
      </c>
      <c r="E4124" s="21" t="s">
        <v>13732</v>
      </c>
      <c r="F4124" s="21" t="s">
        <v>734</v>
      </c>
      <c r="G4124" s="21" t="s">
        <v>28721</v>
      </c>
      <c r="H4124" s="21" t="s">
        <v>26861</v>
      </c>
      <c r="I4124" s="21" t="s">
        <v>22850</v>
      </c>
      <c r="J4124" s="21" t="s">
        <v>32472</v>
      </c>
    </row>
    <row r="4125" customFormat="false" ht="15" hidden="false" customHeight="false" outlineLevel="0" collapsed="false">
      <c r="B4125" s="19" t="s">
        <v>32537</v>
      </c>
      <c r="C4125" s="20" t="n">
        <f aca="false">ROUND(22.1/FX,2)</f>
        <v>3.07</v>
      </c>
      <c r="D4125" s="21" t="s">
        <v>32471</v>
      </c>
      <c r="E4125" s="21" t="s">
        <v>13732</v>
      </c>
      <c r="F4125" s="21" t="s">
        <v>734</v>
      </c>
      <c r="G4125" s="21" t="s">
        <v>28721</v>
      </c>
      <c r="H4125" s="21" t="s">
        <v>26861</v>
      </c>
      <c r="I4125" s="21" t="s">
        <v>32538</v>
      </c>
      <c r="J4125" s="21" t="s">
        <v>32501</v>
      </c>
    </row>
    <row r="4126" customFormat="false" ht="15" hidden="false" customHeight="false" outlineLevel="0" collapsed="false">
      <c r="B4126" s="19" t="s">
        <v>32539</v>
      </c>
      <c r="C4126" s="20" t="n">
        <f aca="false">ROUND(36.4/FX,2)</f>
        <v>5.06</v>
      </c>
      <c r="D4126" s="21" t="s">
        <v>32471</v>
      </c>
      <c r="E4126" s="21" t="s">
        <v>13732</v>
      </c>
      <c r="F4126" s="21" t="s">
        <v>734</v>
      </c>
      <c r="G4126" s="21" t="s">
        <v>28721</v>
      </c>
      <c r="H4126" s="21" t="s">
        <v>26861</v>
      </c>
      <c r="I4126" s="21" t="s">
        <v>32540</v>
      </c>
      <c r="J4126" s="21" t="s">
        <v>32499</v>
      </c>
    </row>
    <row r="4127" customFormat="false" ht="15" hidden="false" customHeight="false" outlineLevel="0" collapsed="false">
      <c r="B4127" s="19" t="s">
        <v>32541</v>
      </c>
      <c r="C4127" s="20" t="n">
        <f aca="false">ROUND(3.64/FX,2)</f>
        <v>0.51</v>
      </c>
      <c r="D4127" s="21" t="s">
        <v>32471</v>
      </c>
      <c r="E4127" s="21" t="s">
        <v>13732</v>
      </c>
      <c r="F4127" s="21" t="s">
        <v>734</v>
      </c>
      <c r="G4127" s="21" t="s">
        <v>28721</v>
      </c>
      <c r="H4127" s="21" t="s">
        <v>26980</v>
      </c>
      <c r="I4127" s="21" t="s">
        <v>22976</v>
      </c>
      <c r="J4127" s="21" t="s">
        <v>32472</v>
      </c>
    </row>
    <row r="4128" customFormat="false" ht="28.35" hidden="false" customHeight="false" outlineLevel="0" collapsed="false">
      <c r="B4128" s="19" t="s">
        <v>32542</v>
      </c>
      <c r="C4128" s="20" t="n">
        <f aca="false">ROUND(3.38/FX,2)</f>
        <v>0.47</v>
      </c>
      <c r="D4128" s="21" t="s">
        <v>32478</v>
      </c>
      <c r="E4128" s="21" t="s">
        <v>13732</v>
      </c>
      <c r="F4128" s="21" t="s">
        <v>734</v>
      </c>
      <c r="G4128" s="21" t="s">
        <v>12898</v>
      </c>
      <c r="H4128" s="21" t="s">
        <v>26980</v>
      </c>
      <c r="I4128" s="21" t="s">
        <v>16909</v>
      </c>
      <c r="J4128" s="21" t="s">
        <v>32472</v>
      </c>
    </row>
    <row r="4129" customFormat="false" ht="15" hidden="false" customHeight="false" outlineLevel="0" collapsed="false">
      <c r="B4129" s="19" t="s">
        <v>32543</v>
      </c>
      <c r="C4129" s="20" t="n">
        <f aca="false">ROUND(3.38/FX,2)</f>
        <v>0.47</v>
      </c>
      <c r="D4129" s="21" t="s">
        <v>6712</v>
      </c>
      <c r="E4129" s="21" t="s">
        <v>13732</v>
      </c>
      <c r="F4129" s="21" t="s">
        <v>734</v>
      </c>
      <c r="G4129" s="21" t="s">
        <v>12898</v>
      </c>
      <c r="H4129" s="21" t="s">
        <v>26980</v>
      </c>
      <c r="I4129" s="21" t="s">
        <v>16909</v>
      </c>
      <c r="J4129" s="21" t="s">
        <v>32472</v>
      </c>
    </row>
    <row r="4130" customFormat="false" ht="28.35" hidden="false" customHeight="false" outlineLevel="0" collapsed="false">
      <c r="B4130" s="19" t="s">
        <v>32544</v>
      </c>
      <c r="C4130" s="20" t="n">
        <f aca="false">ROUND(2.73/FX,2)</f>
        <v>0.38</v>
      </c>
      <c r="D4130" s="21" t="s">
        <v>32478</v>
      </c>
      <c r="E4130" s="21" t="s">
        <v>13732</v>
      </c>
      <c r="F4130" s="21" t="s">
        <v>734</v>
      </c>
      <c r="G4130" s="21" t="s">
        <v>28721</v>
      </c>
      <c r="H4130" s="21" t="s">
        <v>26980</v>
      </c>
      <c r="I4130" s="21" t="s">
        <v>16909</v>
      </c>
      <c r="J4130" s="21" t="s">
        <v>32472</v>
      </c>
    </row>
    <row r="4131" customFormat="false" ht="15" hidden="false" customHeight="false" outlineLevel="0" collapsed="false">
      <c r="B4131" s="19" t="s">
        <v>32545</v>
      </c>
      <c r="C4131" s="20" t="n">
        <f aca="false">ROUND(4.42/FX,2)</f>
        <v>0.61</v>
      </c>
      <c r="D4131" s="21" t="s">
        <v>32484</v>
      </c>
      <c r="E4131" s="21" t="s">
        <v>13732</v>
      </c>
      <c r="F4131" s="21" t="s">
        <v>734</v>
      </c>
      <c r="G4131" s="21" t="s">
        <v>28721</v>
      </c>
      <c r="H4131" s="21" t="s">
        <v>26980</v>
      </c>
      <c r="I4131" s="21" t="s">
        <v>16909</v>
      </c>
      <c r="J4131" s="21" t="s">
        <v>32472</v>
      </c>
    </row>
    <row r="4132" customFormat="false" ht="15" hidden="false" customHeight="false" outlineLevel="0" collapsed="false">
      <c r="B4132" s="19" t="s">
        <v>32546</v>
      </c>
      <c r="C4132" s="20" t="n">
        <f aca="false">ROUND(3.12/FX,2)</f>
        <v>0.43</v>
      </c>
      <c r="D4132" s="21" t="s">
        <v>19341</v>
      </c>
      <c r="E4132" s="21" t="s">
        <v>13732</v>
      </c>
      <c r="F4132" s="21" t="s">
        <v>734</v>
      </c>
      <c r="G4132" s="21" t="s">
        <v>28721</v>
      </c>
      <c r="H4132" s="21" t="s">
        <v>26980</v>
      </c>
      <c r="I4132" s="21" t="s">
        <v>16909</v>
      </c>
      <c r="J4132" s="21" t="s">
        <v>32472</v>
      </c>
    </row>
    <row r="4133" customFormat="false" ht="15" hidden="false" customHeight="false" outlineLevel="0" collapsed="false">
      <c r="B4133" s="19" t="s">
        <v>32547</v>
      </c>
      <c r="C4133" s="20" t="n">
        <f aca="false">ROUND(4.42/FX,2)</f>
        <v>0.61</v>
      </c>
      <c r="D4133" s="21" t="s">
        <v>32487</v>
      </c>
      <c r="E4133" s="21" t="s">
        <v>13732</v>
      </c>
      <c r="F4133" s="21" t="s">
        <v>734</v>
      </c>
      <c r="G4133" s="21" t="s">
        <v>28721</v>
      </c>
      <c r="H4133" s="21" t="s">
        <v>26980</v>
      </c>
      <c r="I4133" s="21" t="s">
        <v>16909</v>
      </c>
      <c r="J4133" s="21" t="s">
        <v>32472</v>
      </c>
    </row>
    <row r="4134" customFormat="false" ht="15" hidden="false" customHeight="false" outlineLevel="0" collapsed="false">
      <c r="B4134" s="19" t="s">
        <v>32548</v>
      </c>
      <c r="C4134" s="20" t="n">
        <f aca="false">ROUND(4.42/FX,2)</f>
        <v>0.61</v>
      </c>
      <c r="D4134" s="21" t="s">
        <v>32489</v>
      </c>
      <c r="E4134" s="21" t="s">
        <v>13732</v>
      </c>
      <c r="F4134" s="21" t="s">
        <v>734</v>
      </c>
      <c r="G4134" s="21" t="s">
        <v>28721</v>
      </c>
      <c r="H4134" s="21" t="s">
        <v>26980</v>
      </c>
      <c r="I4134" s="21" t="s">
        <v>16909</v>
      </c>
      <c r="J4134" s="21" t="s">
        <v>32472</v>
      </c>
    </row>
    <row r="4135" customFormat="false" ht="15" hidden="false" customHeight="false" outlineLevel="0" collapsed="false">
      <c r="B4135" s="19" t="s">
        <v>32549</v>
      </c>
      <c r="C4135" s="20" t="n">
        <f aca="false">ROUND(2.86/FX,2)</f>
        <v>0.4</v>
      </c>
      <c r="D4135" s="21" t="s">
        <v>6712</v>
      </c>
      <c r="E4135" s="21" t="s">
        <v>13732</v>
      </c>
      <c r="F4135" s="21" t="s">
        <v>734</v>
      </c>
      <c r="G4135" s="21" t="s">
        <v>28721</v>
      </c>
      <c r="H4135" s="21" t="s">
        <v>26980</v>
      </c>
      <c r="I4135" s="21" t="s">
        <v>16909</v>
      </c>
      <c r="J4135" s="21" t="s">
        <v>32472</v>
      </c>
    </row>
    <row r="4136" customFormat="false" ht="15" hidden="false" customHeight="false" outlineLevel="0" collapsed="false">
      <c r="B4136" s="19" t="s">
        <v>32550</v>
      </c>
      <c r="C4136" s="20" t="n">
        <f aca="false">ROUND(3.12/FX,2)</f>
        <v>0.43</v>
      </c>
      <c r="D4136" s="21" t="s">
        <v>32471</v>
      </c>
      <c r="E4136" s="21" t="s">
        <v>13732</v>
      </c>
      <c r="F4136" s="21" t="s">
        <v>734</v>
      </c>
      <c r="G4136" s="21" t="s">
        <v>28721</v>
      </c>
      <c r="H4136" s="21" t="s">
        <v>26980</v>
      </c>
      <c r="I4136" s="21" t="s">
        <v>16909</v>
      </c>
      <c r="J4136" s="21" t="s">
        <v>32472</v>
      </c>
    </row>
    <row r="4137" customFormat="false" ht="15" hidden="false" customHeight="false" outlineLevel="0" collapsed="false">
      <c r="B4137" s="19" t="s">
        <v>32551</v>
      </c>
      <c r="C4137" s="20" t="n">
        <f aca="false">ROUND(4.42/FX,2)</f>
        <v>0.61</v>
      </c>
      <c r="D4137" s="21" t="s">
        <v>32496</v>
      </c>
      <c r="E4137" s="21" t="s">
        <v>13732</v>
      </c>
      <c r="F4137" s="21" t="s">
        <v>734</v>
      </c>
      <c r="G4137" s="21" t="s">
        <v>28721</v>
      </c>
      <c r="H4137" s="21" t="s">
        <v>26980</v>
      </c>
      <c r="I4137" s="21" t="s">
        <v>16909</v>
      </c>
      <c r="J4137" s="21" t="s">
        <v>32472</v>
      </c>
    </row>
    <row r="4138" customFormat="false" ht="15" hidden="false" customHeight="false" outlineLevel="0" collapsed="false">
      <c r="B4138" s="19" t="s">
        <v>32552</v>
      </c>
      <c r="C4138" s="20" t="n">
        <f aca="false">ROUND(7.8/FX,2)</f>
        <v>1.08</v>
      </c>
      <c r="D4138" s="21" t="s">
        <v>32471</v>
      </c>
      <c r="E4138" s="21" t="s">
        <v>13732</v>
      </c>
      <c r="F4138" s="21" t="s">
        <v>734</v>
      </c>
      <c r="G4138" s="21" t="s">
        <v>28721</v>
      </c>
      <c r="H4138" s="21" t="s">
        <v>26980</v>
      </c>
      <c r="I4138" s="21" t="s">
        <v>12422</v>
      </c>
      <c r="J4138" s="21" t="s">
        <v>32553</v>
      </c>
    </row>
    <row r="4139" customFormat="false" ht="15" hidden="false" customHeight="false" outlineLevel="0" collapsed="false">
      <c r="B4139" s="19" t="s">
        <v>32554</v>
      </c>
      <c r="C4139" s="20" t="n">
        <f aca="false">ROUND(6.5/FX,2)</f>
        <v>0.9</v>
      </c>
      <c r="D4139" s="21" t="s">
        <v>32471</v>
      </c>
      <c r="E4139" s="21" t="s">
        <v>13732</v>
      </c>
      <c r="F4139" s="21" t="s">
        <v>734</v>
      </c>
      <c r="G4139" s="21" t="s">
        <v>28721</v>
      </c>
      <c r="H4139" s="21" t="s">
        <v>26980</v>
      </c>
      <c r="I4139" s="21" t="s">
        <v>32503</v>
      </c>
      <c r="J4139" s="21" t="s">
        <v>32499</v>
      </c>
    </row>
    <row r="4140" customFormat="false" ht="15" hidden="false" customHeight="false" outlineLevel="0" collapsed="false">
      <c r="B4140" s="19" t="s">
        <v>32555</v>
      </c>
      <c r="C4140" s="20" t="n">
        <f aca="false">ROUND(5.46/FX,2)</f>
        <v>0.76</v>
      </c>
      <c r="D4140" s="21" t="s">
        <v>32471</v>
      </c>
      <c r="E4140" s="21" t="s">
        <v>13732</v>
      </c>
      <c r="F4140" s="21" t="s">
        <v>734</v>
      </c>
      <c r="G4140" s="21" t="s">
        <v>28721</v>
      </c>
      <c r="H4140" s="21" t="s">
        <v>26980</v>
      </c>
      <c r="I4140" s="21" t="s">
        <v>22839</v>
      </c>
      <c r="J4140" s="21" t="s">
        <v>18383</v>
      </c>
    </row>
    <row r="4141" customFormat="false" ht="15" hidden="false" customHeight="false" outlineLevel="0" collapsed="false">
      <c r="B4141" s="19" t="s">
        <v>32556</v>
      </c>
      <c r="C4141" s="20" t="n">
        <f aca="false">ROUND(5.85/FX,2)</f>
        <v>0.81</v>
      </c>
      <c r="D4141" s="21" t="s">
        <v>6862</v>
      </c>
      <c r="E4141" s="21" t="s">
        <v>13732</v>
      </c>
      <c r="F4141" s="21" t="s">
        <v>32509</v>
      </c>
      <c r="G4141" s="21" t="s">
        <v>28721</v>
      </c>
      <c r="H4141" s="21" t="s">
        <v>26980</v>
      </c>
      <c r="I4141" s="21" t="s">
        <v>22839</v>
      </c>
      <c r="J4141" s="21" t="s">
        <v>32472</v>
      </c>
    </row>
    <row r="4142" customFormat="false" ht="15" hidden="false" customHeight="false" outlineLevel="0" collapsed="false">
      <c r="B4142" s="19" t="s">
        <v>32557</v>
      </c>
      <c r="C4142" s="20" t="n">
        <f aca="false">ROUND(7.35/FX,2)</f>
        <v>1.02</v>
      </c>
      <c r="D4142" s="21" t="s">
        <v>6862</v>
      </c>
      <c r="E4142" s="21" t="s">
        <v>13732</v>
      </c>
      <c r="F4142" s="21" t="s">
        <v>32511</v>
      </c>
      <c r="G4142" s="21" t="s">
        <v>28721</v>
      </c>
      <c r="H4142" s="21" t="s">
        <v>26980</v>
      </c>
      <c r="I4142" s="21" t="s">
        <v>22839</v>
      </c>
      <c r="J4142" s="21" t="s">
        <v>32472</v>
      </c>
    </row>
    <row r="4143" customFormat="false" ht="15" hidden="false" customHeight="false" outlineLevel="0" collapsed="false">
      <c r="B4143" s="19" t="s">
        <v>32558</v>
      </c>
      <c r="C4143" s="20" t="n">
        <f aca="false">ROUND(5.85/FX,2)</f>
        <v>0.81</v>
      </c>
      <c r="D4143" s="21" t="s">
        <v>32471</v>
      </c>
      <c r="E4143" s="21" t="s">
        <v>13732</v>
      </c>
      <c r="F4143" s="21" t="s">
        <v>32509</v>
      </c>
      <c r="G4143" s="21" t="s">
        <v>28721</v>
      </c>
      <c r="H4143" s="21" t="s">
        <v>26980</v>
      </c>
      <c r="I4143" s="21" t="s">
        <v>22839</v>
      </c>
      <c r="J4143" s="21" t="s">
        <v>32472</v>
      </c>
    </row>
    <row r="4144" customFormat="false" ht="15" hidden="false" customHeight="false" outlineLevel="0" collapsed="false">
      <c r="B4144" s="19" t="s">
        <v>32559</v>
      </c>
      <c r="C4144" s="20" t="n">
        <f aca="false">ROUND(6.7/FX,2)</f>
        <v>0.93</v>
      </c>
      <c r="D4144" s="21" t="s">
        <v>32471</v>
      </c>
      <c r="E4144" s="21" t="s">
        <v>13732</v>
      </c>
      <c r="F4144" s="21" t="s">
        <v>32511</v>
      </c>
      <c r="G4144" s="21" t="s">
        <v>28721</v>
      </c>
      <c r="H4144" s="21" t="s">
        <v>26980</v>
      </c>
      <c r="I4144" s="21" t="s">
        <v>22839</v>
      </c>
      <c r="J4144" s="21" t="s">
        <v>32472</v>
      </c>
    </row>
    <row r="4145" customFormat="false" ht="15" hidden="false" customHeight="false" outlineLevel="0" collapsed="false">
      <c r="B4145" s="19" t="s">
        <v>32560</v>
      </c>
      <c r="C4145" s="20" t="n">
        <f aca="false">ROUND(16.9/FX,2)</f>
        <v>2.35</v>
      </c>
      <c r="D4145" s="21" t="s">
        <v>32471</v>
      </c>
      <c r="E4145" s="21" t="s">
        <v>13732</v>
      </c>
      <c r="F4145" s="21" t="s">
        <v>734</v>
      </c>
      <c r="G4145" s="21" t="s">
        <v>28721</v>
      </c>
      <c r="H4145" s="21" t="s">
        <v>26980</v>
      </c>
      <c r="I4145" s="21" t="s">
        <v>22839</v>
      </c>
      <c r="J4145" s="21" t="s">
        <v>32517</v>
      </c>
    </row>
    <row r="4146" customFormat="false" ht="15" hidden="false" customHeight="false" outlineLevel="0" collapsed="false">
      <c r="B4146" s="19" t="s">
        <v>32561</v>
      </c>
      <c r="C4146" s="20" t="n">
        <f aca="false">ROUND(10.4/FX,2)</f>
        <v>1.44</v>
      </c>
      <c r="D4146" s="21" t="s">
        <v>32471</v>
      </c>
      <c r="E4146" s="21" t="s">
        <v>13732</v>
      </c>
      <c r="F4146" s="21" t="s">
        <v>734</v>
      </c>
      <c r="G4146" s="21" t="s">
        <v>28721</v>
      </c>
      <c r="H4146" s="21" t="s">
        <v>26980</v>
      </c>
      <c r="I4146" s="21" t="s">
        <v>25358</v>
      </c>
      <c r="J4146" s="21" t="s">
        <v>32501</v>
      </c>
    </row>
    <row r="4147" customFormat="false" ht="15" hidden="false" customHeight="false" outlineLevel="0" collapsed="false">
      <c r="B4147" s="19" t="s">
        <v>32562</v>
      </c>
      <c r="C4147" s="20" t="n">
        <f aca="false">ROUND(9.75/FX,2)</f>
        <v>1.35</v>
      </c>
      <c r="D4147" s="21" t="s">
        <v>32471</v>
      </c>
      <c r="E4147" s="21" t="s">
        <v>13732</v>
      </c>
      <c r="F4147" s="21" t="s">
        <v>734</v>
      </c>
      <c r="G4147" s="21" t="s">
        <v>28721</v>
      </c>
      <c r="H4147" s="21" t="s">
        <v>26980</v>
      </c>
      <c r="I4147" s="21" t="s">
        <v>25358</v>
      </c>
      <c r="J4147" s="21" t="s">
        <v>32553</v>
      </c>
    </row>
    <row r="4148" customFormat="false" ht="15" hidden="false" customHeight="false" outlineLevel="0" collapsed="false">
      <c r="B4148" s="19" t="s">
        <v>32563</v>
      </c>
      <c r="C4148" s="20" t="n">
        <f aca="false">ROUND(11.7/FX,2)</f>
        <v>1.63</v>
      </c>
      <c r="D4148" s="21" t="s">
        <v>32471</v>
      </c>
      <c r="E4148" s="21" t="s">
        <v>13732</v>
      </c>
      <c r="F4148" s="21" t="s">
        <v>734</v>
      </c>
      <c r="G4148" s="21" t="s">
        <v>28721</v>
      </c>
      <c r="H4148" s="21" t="s">
        <v>26980</v>
      </c>
      <c r="I4148" s="21" t="s">
        <v>32520</v>
      </c>
      <c r="J4148" s="21" t="s">
        <v>32499</v>
      </c>
    </row>
    <row r="4149" customFormat="false" ht="15" hidden="false" customHeight="false" outlineLevel="0" collapsed="false">
      <c r="B4149" s="19" t="s">
        <v>32564</v>
      </c>
      <c r="C4149" s="20" t="n">
        <f aca="false">ROUND(12.47/FX,2)</f>
        <v>1.73</v>
      </c>
      <c r="D4149" s="21" t="s">
        <v>32471</v>
      </c>
      <c r="E4149" s="21" t="s">
        <v>13732</v>
      </c>
      <c r="F4149" s="21" t="s">
        <v>734</v>
      </c>
      <c r="G4149" s="21" t="s">
        <v>28721</v>
      </c>
      <c r="H4149" s="21" t="s">
        <v>26980</v>
      </c>
      <c r="I4149" s="21" t="s">
        <v>16919</v>
      </c>
      <c r="J4149" s="21" t="s">
        <v>18383</v>
      </c>
    </row>
    <row r="4150" customFormat="false" ht="15" hidden="false" customHeight="false" outlineLevel="0" collapsed="false">
      <c r="B4150" s="19" t="s">
        <v>32565</v>
      </c>
      <c r="C4150" s="20" t="n">
        <f aca="false">ROUND(14.3/FX,2)</f>
        <v>1.99</v>
      </c>
      <c r="D4150" s="21" t="s">
        <v>6862</v>
      </c>
      <c r="E4150" s="21" t="s">
        <v>13732</v>
      </c>
      <c r="F4150" s="21" t="s">
        <v>734</v>
      </c>
      <c r="G4150" s="21" t="s">
        <v>28721</v>
      </c>
      <c r="H4150" s="21" t="s">
        <v>26980</v>
      </c>
      <c r="I4150" s="21" t="s">
        <v>16919</v>
      </c>
      <c r="J4150" s="21" t="s">
        <v>32472</v>
      </c>
    </row>
    <row r="4151" customFormat="false" ht="15" hidden="false" customHeight="false" outlineLevel="0" collapsed="false">
      <c r="B4151" s="19" t="s">
        <v>32566</v>
      </c>
      <c r="C4151" s="20" t="n">
        <f aca="false">ROUND(95/FX,2)</f>
        <v>13.19</v>
      </c>
      <c r="D4151" s="21" t="s">
        <v>6862</v>
      </c>
      <c r="E4151" s="21" t="s">
        <v>13732</v>
      </c>
      <c r="F4151" s="21" t="s">
        <v>32514</v>
      </c>
      <c r="G4151" s="21" t="s">
        <v>28721</v>
      </c>
      <c r="H4151" s="21" t="s">
        <v>26980</v>
      </c>
      <c r="I4151" s="21" t="s">
        <v>16919</v>
      </c>
      <c r="J4151" s="21" t="s">
        <v>32472</v>
      </c>
    </row>
    <row r="4152" customFormat="false" ht="15" hidden="false" customHeight="false" outlineLevel="0" collapsed="false">
      <c r="B4152" s="19" t="s">
        <v>32567</v>
      </c>
      <c r="C4152" s="20" t="n">
        <f aca="false">ROUND(11.05/FX,2)</f>
        <v>1.53</v>
      </c>
      <c r="D4152" s="21" t="s">
        <v>32471</v>
      </c>
      <c r="E4152" s="21" t="s">
        <v>13732</v>
      </c>
      <c r="F4152" s="21" t="s">
        <v>734</v>
      </c>
      <c r="G4152" s="21" t="s">
        <v>28721</v>
      </c>
      <c r="H4152" s="21" t="s">
        <v>26980</v>
      </c>
      <c r="I4152" s="21" t="s">
        <v>16919</v>
      </c>
      <c r="J4152" s="21" t="s">
        <v>32472</v>
      </c>
    </row>
    <row r="4153" customFormat="false" ht="15" hidden="false" customHeight="false" outlineLevel="0" collapsed="false">
      <c r="B4153" s="19" t="s">
        <v>32568</v>
      </c>
      <c r="C4153" s="20" t="n">
        <f aca="false">ROUND(33.8/FX,2)</f>
        <v>4.69</v>
      </c>
      <c r="D4153" s="21" t="s">
        <v>32471</v>
      </c>
      <c r="E4153" s="21" t="s">
        <v>13732</v>
      </c>
      <c r="F4153" s="21" t="s">
        <v>734</v>
      </c>
      <c r="G4153" s="21" t="s">
        <v>28721</v>
      </c>
      <c r="H4153" s="21" t="s">
        <v>26980</v>
      </c>
      <c r="I4153" s="21" t="s">
        <v>16919</v>
      </c>
      <c r="J4153" s="21" t="s">
        <v>32517</v>
      </c>
    </row>
    <row r="4154" customFormat="false" ht="15" hidden="false" customHeight="false" outlineLevel="0" collapsed="false">
      <c r="B4154" s="19" t="s">
        <v>32569</v>
      </c>
      <c r="C4154" s="20" t="n">
        <f aca="false">ROUND(24.05/FX,2)</f>
        <v>3.34</v>
      </c>
      <c r="D4154" s="21" t="s">
        <v>32471</v>
      </c>
      <c r="E4154" s="21" t="s">
        <v>13732</v>
      </c>
      <c r="F4154" s="21" t="s">
        <v>734</v>
      </c>
      <c r="G4154" s="21" t="s">
        <v>28721</v>
      </c>
      <c r="H4154" s="21" t="s">
        <v>26980</v>
      </c>
      <c r="I4154" s="21" t="s">
        <v>16919</v>
      </c>
      <c r="J4154" s="21" t="s">
        <v>32501</v>
      </c>
    </row>
    <row r="4155" customFormat="false" ht="15" hidden="false" customHeight="false" outlineLevel="0" collapsed="false">
      <c r="B4155" s="19" t="s">
        <v>32570</v>
      </c>
      <c r="C4155" s="20" t="n">
        <f aca="false">ROUND(26/FX,2)</f>
        <v>3.61</v>
      </c>
      <c r="D4155" s="21" t="s">
        <v>32471</v>
      </c>
      <c r="E4155" s="21" t="s">
        <v>13732</v>
      </c>
      <c r="F4155" s="21" t="s">
        <v>734</v>
      </c>
      <c r="G4155" s="21" t="s">
        <v>28721</v>
      </c>
      <c r="H4155" s="21" t="s">
        <v>26980</v>
      </c>
      <c r="I4155" s="21" t="s">
        <v>32532</v>
      </c>
      <c r="J4155" s="21" t="s">
        <v>32553</v>
      </c>
    </row>
    <row r="4156" customFormat="false" ht="15" hidden="false" customHeight="false" outlineLevel="0" collapsed="false">
      <c r="B4156" s="19" t="s">
        <v>32571</v>
      </c>
      <c r="C4156" s="20" t="n">
        <f aca="false">ROUND(22.75/FX,2)</f>
        <v>3.16</v>
      </c>
      <c r="D4156" s="21" t="s">
        <v>724</v>
      </c>
      <c r="E4156" s="21" t="s">
        <v>13732</v>
      </c>
      <c r="F4156" s="21" t="s">
        <v>734</v>
      </c>
      <c r="G4156" s="21" t="s">
        <v>28721</v>
      </c>
      <c r="H4156" s="21" t="s">
        <v>26980</v>
      </c>
      <c r="I4156" s="21" t="s">
        <v>32534</v>
      </c>
      <c r="J4156" s="21" t="s">
        <v>32499</v>
      </c>
    </row>
    <row r="4157" customFormat="false" ht="15" hidden="false" customHeight="false" outlineLevel="0" collapsed="false">
      <c r="B4157" s="19" t="s">
        <v>32572</v>
      </c>
      <c r="C4157" s="20" t="n">
        <f aca="false">ROUND(22.75/FX,2)</f>
        <v>3.16</v>
      </c>
      <c r="D4157" s="21" t="s">
        <v>32471</v>
      </c>
      <c r="E4157" s="21" t="s">
        <v>13732</v>
      </c>
      <c r="F4157" s="21" t="s">
        <v>734</v>
      </c>
      <c r="G4157" s="21" t="s">
        <v>28721</v>
      </c>
      <c r="H4157" s="21" t="s">
        <v>26980</v>
      </c>
      <c r="I4157" s="21" t="s">
        <v>32534</v>
      </c>
      <c r="J4157" s="21" t="s">
        <v>32499</v>
      </c>
    </row>
    <row r="4158" customFormat="false" ht="15" hidden="false" customHeight="false" outlineLevel="0" collapsed="false">
      <c r="B4158" s="19" t="s">
        <v>32573</v>
      </c>
      <c r="C4158" s="20" t="n">
        <f aca="false">ROUND(17.55/FX,2)</f>
        <v>2.44</v>
      </c>
      <c r="D4158" s="21" t="s">
        <v>32471</v>
      </c>
      <c r="E4158" s="21" t="s">
        <v>13732</v>
      </c>
      <c r="F4158" s="21" t="s">
        <v>734</v>
      </c>
      <c r="G4158" s="21" t="s">
        <v>28721</v>
      </c>
      <c r="H4158" s="21" t="s">
        <v>26980</v>
      </c>
      <c r="I4158" s="21" t="s">
        <v>22850</v>
      </c>
      <c r="J4158" s="21" t="s">
        <v>32472</v>
      </c>
    </row>
    <row r="4159" customFormat="false" ht="15" hidden="false" customHeight="false" outlineLevel="0" collapsed="false">
      <c r="B4159" s="19" t="s">
        <v>32574</v>
      </c>
      <c r="C4159" s="20" t="n">
        <f aca="false">ROUND(28.6/FX,2)</f>
        <v>3.97</v>
      </c>
      <c r="D4159" s="21" t="s">
        <v>32471</v>
      </c>
      <c r="E4159" s="21" t="s">
        <v>13732</v>
      </c>
      <c r="F4159" s="21" t="s">
        <v>734</v>
      </c>
      <c r="G4159" s="21" t="s">
        <v>28721</v>
      </c>
      <c r="H4159" s="21" t="s">
        <v>26980</v>
      </c>
      <c r="I4159" s="21" t="s">
        <v>32538</v>
      </c>
      <c r="J4159" s="21" t="s">
        <v>32553</v>
      </c>
    </row>
    <row r="4160" customFormat="false" ht="15" hidden="false" customHeight="false" outlineLevel="0" collapsed="false">
      <c r="B4160" s="19" t="s">
        <v>32575</v>
      </c>
      <c r="C4160" s="20" t="n">
        <f aca="false">ROUND(39/FX,2)</f>
        <v>5.42</v>
      </c>
      <c r="D4160" s="21" t="s">
        <v>32471</v>
      </c>
      <c r="E4160" s="21" t="s">
        <v>13732</v>
      </c>
      <c r="F4160" s="21" t="s">
        <v>734</v>
      </c>
      <c r="G4160" s="21" t="s">
        <v>28721</v>
      </c>
      <c r="H4160" s="21" t="s">
        <v>26980</v>
      </c>
      <c r="I4160" s="21" t="s">
        <v>32540</v>
      </c>
      <c r="J4160" s="21" t="s">
        <v>32499</v>
      </c>
    </row>
    <row r="4161" customFormat="false" ht="15" hidden="false" customHeight="false" outlineLevel="0" collapsed="false">
      <c r="B4161" s="19" t="s">
        <v>32576</v>
      </c>
      <c r="C4161" s="20" t="n">
        <f aca="false">ROUND(5.46/FX,2)</f>
        <v>0.76</v>
      </c>
      <c r="D4161" s="21" t="s">
        <v>32471</v>
      </c>
      <c r="E4161" s="21" t="s">
        <v>13732</v>
      </c>
      <c r="F4161" s="21" t="s">
        <v>734</v>
      </c>
      <c r="G4161" s="21" t="s">
        <v>28721</v>
      </c>
      <c r="H4161" s="21" t="s">
        <v>32577</v>
      </c>
      <c r="I4161" s="21" t="s">
        <v>22976</v>
      </c>
      <c r="J4161" s="21" t="s">
        <v>32501</v>
      </c>
    </row>
    <row r="4162" customFormat="false" ht="15" hidden="false" customHeight="false" outlineLevel="0" collapsed="false">
      <c r="B4162" s="19" t="s">
        <v>32578</v>
      </c>
      <c r="C4162" s="20" t="n">
        <f aca="false">ROUND(5.59/FX,2)</f>
        <v>0.78</v>
      </c>
      <c r="D4162" s="21" t="s">
        <v>32471</v>
      </c>
      <c r="E4162" s="21" t="s">
        <v>13732</v>
      </c>
      <c r="F4162" s="21" t="s">
        <v>734</v>
      </c>
      <c r="G4162" s="21" t="s">
        <v>28721</v>
      </c>
      <c r="H4162" s="21" t="s">
        <v>32577</v>
      </c>
      <c r="I4162" s="21" t="s">
        <v>16909</v>
      </c>
      <c r="J4162" s="21" t="s">
        <v>32501</v>
      </c>
    </row>
    <row r="4163" customFormat="false" ht="15" hidden="false" customHeight="false" outlineLevel="0" collapsed="false">
      <c r="B4163" s="19" t="s">
        <v>32579</v>
      </c>
      <c r="C4163" s="20" t="n">
        <f aca="false">ROUND(7.8/FX,2)</f>
        <v>1.08</v>
      </c>
      <c r="D4163" s="21" t="s">
        <v>32471</v>
      </c>
      <c r="E4163" s="21" t="s">
        <v>13732</v>
      </c>
      <c r="F4163" s="21" t="s">
        <v>734</v>
      </c>
      <c r="G4163" s="21" t="s">
        <v>28721</v>
      </c>
      <c r="H4163" s="21" t="s">
        <v>32577</v>
      </c>
      <c r="I4163" s="21" t="s">
        <v>12422</v>
      </c>
      <c r="J4163" s="21" t="s">
        <v>32499</v>
      </c>
    </row>
    <row r="4164" customFormat="false" ht="15" hidden="false" customHeight="false" outlineLevel="0" collapsed="false">
      <c r="B4164" s="19" t="s">
        <v>32580</v>
      </c>
      <c r="C4164" s="20" t="n">
        <f aca="false">ROUND(9.1/FX,2)</f>
        <v>1.26</v>
      </c>
      <c r="D4164" s="21" t="s">
        <v>32471</v>
      </c>
      <c r="E4164" s="21" t="s">
        <v>13732</v>
      </c>
      <c r="F4164" s="21" t="s">
        <v>734</v>
      </c>
      <c r="G4164" s="21" t="s">
        <v>28721</v>
      </c>
      <c r="H4164" s="21" t="s">
        <v>32577</v>
      </c>
      <c r="I4164" s="21" t="s">
        <v>12422</v>
      </c>
      <c r="J4164" s="21" t="s">
        <v>32581</v>
      </c>
    </row>
    <row r="4165" customFormat="false" ht="15" hidden="false" customHeight="false" outlineLevel="0" collapsed="false">
      <c r="B4165" s="19" t="s">
        <v>32582</v>
      </c>
      <c r="C4165" s="20" t="n">
        <f aca="false">ROUND(9.1/FX,2)</f>
        <v>1.26</v>
      </c>
      <c r="D4165" s="21" t="s">
        <v>32471</v>
      </c>
      <c r="E4165" s="21" t="s">
        <v>13732</v>
      </c>
      <c r="F4165" s="21" t="s">
        <v>734</v>
      </c>
      <c r="G4165" s="21" t="s">
        <v>28721</v>
      </c>
      <c r="H4165" s="21" t="s">
        <v>32577</v>
      </c>
      <c r="I4165" s="21" t="s">
        <v>22839</v>
      </c>
      <c r="J4165" s="21" t="s">
        <v>32501</v>
      </c>
    </row>
    <row r="4166" customFormat="false" ht="15" hidden="false" customHeight="false" outlineLevel="0" collapsed="false">
      <c r="B4166" s="19" t="s">
        <v>32583</v>
      </c>
      <c r="C4166" s="20" t="n">
        <f aca="false">ROUND(15.6/FX,2)</f>
        <v>2.17</v>
      </c>
      <c r="D4166" s="21" t="s">
        <v>32471</v>
      </c>
      <c r="E4166" s="21" t="s">
        <v>13732</v>
      </c>
      <c r="F4166" s="21" t="s">
        <v>734</v>
      </c>
      <c r="G4166" s="21" t="s">
        <v>28721</v>
      </c>
      <c r="H4166" s="21" t="s">
        <v>32577</v>
      </c>
      <c r="I4166" s="21" t="s">
        <v>25358</v>
      </c>
      <c r="J4166" s="21" t="s">
        <v>32499</v>
      </c>
    </row>
    <row r="4167" customFormat="false" ht="15" hidden="false" customHeight="false" outlineLevel="0" collapsed="false">
      <c r="B4167" s="19" t="s">
        <v>32584</v>
      </c>
      <c r="C4167" s="20" t="n">
        <f aca="false">ROUND(24.05/FX,2)</f>
        <v>3.34</v>
      </c>
      <c r="D4167" s="21" t="s">
        <v>32471</v>
      </c>
      <c r="E4167" s="21" t="s">
        <v>13732</v>
      </c>
      <c r="F4167" s="21" t="s">
        <v>734</v>
      </c>
      <c r="G4167" s="21" t="s">
        <v>28721</v>
      </c>
      <c r="H4167" s="21" t="s">
        <v>32577</v>
      </c>
      <c r="I4167" s="21" t="s">
        <v>16919</v>
      </c>
      <c r="J4167" s="21" t="s">
        <v>32501</v>
      </c>
    </row>
    <row r="4168" customFormat="false" ht="15" hidden="false" customHeight="false" outlineLevel="0" collapsed="false">
      <c r="B4168" s="19" t="s">
        <v>32585</v>
      </c>
      <c r="C4168" s="20" t="n">
        <f aca="false">ROUND(35.1/FX,2)</f>
        <v>4.88</v>
      </c>
      <c r="D4168" s="21" t="s">
        <v>32471</v>
      </c>
      <c r="E4168" s="21" t="s">
        <v>13732</v>
      </c>
      <c r="F4168" s="21" t="s">
        <v>734</v>
      </c>
      <c r="G4168" s="21" t="s">
        <v>28721</v>
      </c>
      <c r="H4168" s="21" t="s">
        <v>32577</v>
      </c>
      <c r="I4168" s="21" t="s">
        <v>32532</v>
      </c>
      <c r="J4168" s="21" t="s">
        <v>32499</v>
      </c>
    </row>
    <row r="4169" customFormat="false" ht="15" hidden="false" customHeight="false" outlineLevel="0" collapsed="false">
      <c r="B4169" s="19" t="s">
        <v>32586</v>
      </c>
      <c r="C4169" s="20" t="n">
        <f aca="false">ROUND(31.2/FX,2)</f>
        <v>4.33</v>
      </c>
      <c r="D4169" s="21" t="s">
        <v>32471</v>
      </c>
      <c r="E4169" s="21" t="s">
        <v>13732</v>
      </c>
      <c r="F4169" s="21" t="s">
        <v>734</v>
      </c>
      <c r="G4169" s="21" t="s">
        <v>28721</v>
      </c>
      <c r="H4169" s="21" t="s">
        <v>32577</v>
      </c>
      <c r="I4169" s="21" t="s">
        <v>22850</v>
      </c>
      <c r="J4169" s="21" t="s">
        <v>32501</v>
      </c>
    </row>
    <row r="4170" customFormat="false" ht="15" hidden="false" customHeight="false" outlineLevel="0" collapsed="false">
      <c r="B4170" s="19" t="s">
        <v>32587</v>
      </c>
      <c r="C4170" s="20" t="n">
        <f aca="false">ROUND(45.5/FX,2)</f>
        <v>6.32</v>
      </c>
      <c r="D4170" s="21" t="s">
        <v>32471</v>
      </c>
      <c r="E4170" s="21" t="s">
        <v>13732</v>
      </c>
      <c r="F4170" s="21" t="s">
        <v>734</v>
      </c>
      <c r="G4170" s="21" t="s">
        <v>28721</v>
      </c>
      <c r="H4170" s="21" t="s">
        <v>32577</v>
      </c>
      <c r="I4170" s="21" t="s">
        <v>32538</v>
      </c>
      <c r="J4170" s="21" t="s">
        <v>32499</v>
      </c>
    </row>
    <row r="4171" customFormat="false" ht="15" hidden="false" customHeight="false" outlineLevel="0" collapsed="false">
      <c r="B4171" s="19" t="s">
        <v>32588</v>
      </c>
      <c r="C4171" s="20" t="n">
        <f aca="false">ROUND(15.6/FX,2)</f>
        <v>2.17</v>
      </c>
      <c r="D4171" s="21" t="s">
        <v>32471</v>
      </c>
      <c r="E4171" s="21" t="s">
        <v>13732</v>
      </c>
      <c r="F4171" s="21" t="s">
        <v>734</v>
      </c>
      <c r="G4171" s="21" t="s">
        <v>28721</v>
      </c>
      <c r="H4171" s="21" t="s">
        <v>32577</v>
      </c>
      <c r="I4171" s="21" t="s">
        <v>23448</v>
      </c>
      <c r="J4171" s="21" t="s">
        <v>32581</v>
      </c>
    </row>
    <row r="4172" customFormat="false" ht="15" hidden="false" customHeight="false" outlineLevel="0" collapsed="false">
      <c r="B4172" s="19" t="s">
        <v>32589</v>
      </c>
      <c r="C4172" s="20" t="n">
        <f aca="false">ROUND(37.7/FX,2)</f>
        <v>5.24</v>
      </c>
      <c r="D4172" s="21" t="s">
        <v>32471</v>
      </c>
      <c r="E4172" s="21" t="s">
        <v>13732</v>
      </c>
      <c r="F4172" s="21" t="s">
        <v>734</v>
      </c>
      <c r="G4172" s="21" t="s">
        <v>28721</v>
      </c>
      <c r="H4172" s="21" t="s">
        <v>32577</v>
      </c>
      <c r="I4172" s="21" t="s">
        <v>23452</v>
      </c>
      <c r="J4172" s="21" t="s">
        <v>32581</v>
      </c>
    </row>
    <row r="4173" customFormat="false" ht="15" hidden="false" customHeight="false" outlineLevel="0" collapsed="false">
      <c r="B4173" s="19" t="s">
        <v>32590</v>
      </c>
      <c r="C4173" s="20" t="n">
        <f aca="false">ROUND(50.7/FX,2)</f>
        <v>7.04</v>
      </c>
      <c r="D4173" s="21" t="s">
        <v>32471</v>
      </c>
      <c r="E4173" s="21" t="s">
        <v>13732</v>
      </c>
      <c r="F4173" s="21" t="s">
        <v>734</v>
      </c>
      <c r="G4173" s="21" t="s">
        <v>28721</v>
      </c>
      <c r="H4173" s="21" t="s">
        <v>32577</v>
      </c>
      <c r="I4173" s="21" t="s">
        <v>32591</v>
      </c>
      <c r="J4173" s="21" t="s">
        <v>32581</v>
      </c>
    </row>
    <row r="4176" customFormat="false" ht="61.5" hidden="false" customHeight="true" outlineLevel="0" collapsed="false">
      <c r="A4176" s="9"/>
      <c r="B4176" s="10" t="s">
        <v>32592</v>
      </c>
      <c r="C4176" s="10"/>
      <c r="D4176" s="10"/>
      <c r="E4176" s="10"/>
    </row>
    <row r="4177" customFormat="false" ht="15" hidden="false" customHeight="false" outlineLevel="0" collapsed="false">
      <c r="A4177" s="12" t="s">
        <v>700</v>
      </c>
      <c r="B4177" s="13" t="s">
        <v>701</v>
      </c>
      <c r="C4177" s="13" t="s">
        <v>702</v>
      </c>
      <c r="D4177" s="13" t="s">
        <v>722</v>
      </c>
      <c r="E4177" s="13" t="s">
        <v>723</v>
      </c>
    </row>
    <row r="4178" customFormat="false" ht="30" hidden="false" customHeight="true" outlineLevel="0" collapsed="false">
      <c r="A4178" s="14" t="s">
        <v>706</v>
      </c>
      <c r="B4178" s="15" t="str">
        <f aca="false">IF(COUNTIFS($D$4181:$D$4186,IF(D4178="","*",D4178),$E$4181:$E$4186,IF(E4178="","*",E4178))=1,INDEX($B:$B,SUMPRODUCT(((D4178="")+($D$4181:$D$4186=D4178)&gt;0)*((E4178="")+($E$4181:$E$4186=E4178)&gt;0)*ROW($B$4181:$B$4186))),IF(COUNTIFS($D$4181:$D$4186,IF(D4178="","*",D4178),$E$4181:$E$4186,IF(E4178="","*",E4178))=0,"Not available",COUNTIFS($D$4181:$D$4186,IF(D4178="","*",D4178),$E$4181:$E$4186,IF(E4178="","*",E4178))&amp;" match, keep choosing"))</f>
        <v>P3-120-BK</v>
      </c>
      <c r="C4178" s="16" t="n">
        <f aca="false">IF(COUNTIFS($D$4181:$D$4186,IF(D4178="","*",D4178),$E$4181:$E$4186,IF(E4178="","*",E4178))=1,INDEX($C:$C,SUMPRODUCT(((D4178="")+($D$4181:$D$4186=D4178)&gt;0)*((E4178="")+($E$4181:$E$4186=E4178)&gt;0)*ROW($B$4181:$B$4186))),"")</f>
        <v>6.14</v>
      </c>
      <c r="D4178" s="17" t="s">
        <v>724</v>
      </c>
      <c r="E4178" s="17" t="s">
        <v>734</v>
      </c>
    </row>
    <row r="4180" customFormat="false" ht="15" hidden="false" customHeight="false" outlineLevel="0" collapsed="false">
      <c r="B4180" s="18" t="s">
        <v>701</v>
      </c>
      <c r="C4180" s="18" t="s">
        <v>702</v>
      </c>
      <c r="D4180" s="18" t="s">
        <v>722</v>
      </c>
      <c r="E4180" s="18" t="s">
        <v>723</v>
      </c>
    </row>
    <row r="4181" customFormat="false" ht="15" hidden="false" customHeight="false" outlineLevel="0" collapsed="false">
      <c r="B4181" s="19" t="s">
        <v>32593</v>
      </c>
      <c r="C4181" s="20" t="n">
        <f aca="false">ROUND(44.2/FX,2)</f>
        <v>6.14</v>
      </c>
      <c r="D4181" s="21" t="s">
        <v>724</v>
      </c>
      <c r="E4181" s="21" t="s">
        <v>734</v>
      </c>
    </row>
    <row r="4182" customFormat="false" ht="15" hidden="false" customHeight="false" outlineLevel="0" collapsed="false">
      <c r="B4182" s="19" t="s">
        <v>32594</v>
      </c>
      <c r="C4182" s="20" t="n">
        <f aca="false">ROUND(44.2/FX,2)</f>
        <v>6.14</v>
      </c>
      <c r="D4182" s="21" t="s">
        <v>7884</v>
      </c>
      <c r="E4182" s="21" t="s">
        <v>734</v>
      </c>
    </row>
    <row r="4183" customFormat="false" ht="15" hidden="false" customHeight="false" outlineLevel="0" collapsed="false">
      <c r="B4183" s="19" t="s">
        <v>32595</v>
      </c>
      <c r="C4183" s="20" t="n">
        <f aca="false">ROUND(44.2/FX,2)</f>
        <v>6.14</v>
      </c>
      <c r="D4183" s="21" t="s">
        <v>6362</v>
      </c>
      <c r="E4183" s="21" t="s">
        <v>32596</v>
      </c>
    </row>
    <row r="4184" customFormat="false" ht="15" hidden="false" customHeight="false" outlineLevel="0" collapsed="false">
      <c r="B4184" s="19" t="s">
        <v>32597</v>
      </c>
      <c r="C4184" s="20" t="n">
        <f aca="false">ROUND(44.2/FX,2)</f>
        <v>6.14</v>
      </c>
      <c r="D4184" s="21" t="s">
        <v>6336</v>
      </c>
      <c r="E4184" s="21" t="s">
        <v>32598</v>
      </c>
    </row>
    <row r="4185" customFormat="false" ht="15" hidden="false" customHeight="false" outlineLevel="0" collapsed="false">
      <c r="B4185" s="19" t="s">
        <v>32599</v>
      </c>
      <c r="C4185" s="20" t="n">
        <f aca="false">ROUND(44.2/FX,2)</f>
        <v>6.14</v>
      </c>
      <c r="D4185" s="21" t="s">
        <v>6336</v>
      </c>
      <c r="E4185" s="21" t="s">
        <v>32600</v>
      </c>
    </row>
    <row r="4186" customFormat="false" ht="15" hidden="false" customHeight="false" outlineLevel="0" collapsed="false">
      <c r="B4186" s="19" t="s">
        <v>32601</v>
      </c>
      <c r="C4186" s="20" t="n">
        <f aca="false">ROUND(59.8/FX,2)</f>
        <v>8.31</v>
      </c>
      <c r="D4186" s="21" t="s">
        <v>6336</v>
      </c>
      <c r="E4186" s="21" t="s">
        <v>32602</v>
      </c>
    </row>
    <row r="4189" customFormat="false" ht="61.5" hidden="false" customHeight="true" outlineLevel="0" collapsed="false">
      <c r="A4189" s="9"/>
      <c r="B4189" s="10" t="s">
        <v>32603</v>
      </c>
      <c r="C4189" s="10"/>
      <c r="D4189" s="10"/>
    </row>
    <row r="4190" customFormat="false" ht="15" hidden="false" customHeight="false" outlineLevel="0" collapsed="false">
      <c r="B4190" s="18" t="s">
        <v>701</v>
      </c>
      <c r="C4190" s="18" t="s">
        <v>702</v>
      </c>
      <c r="D4190" s="18" t="s">
        <v>5610</v>
      </c>
    </row>
    <row r="4191" customFormat="false" ht="15" hidden="false" customHeight="false" outlineLevel="0" collapsed="false">
      <c r="B4191" s="19" t="s">
        <v>32604</v>
      </c>
      <c r="C4191" s="20" t="n">
        <f aca="false">ROUND(0.77/FX,2)</f>
        <v>0.11</v>
      </c>
      <c r="D4191" s="22" t="s">
        <v>5612</v>
      </c>
    </row>
    <row r="4194" customFormat="false" ht="61.5" hidden="false" customHeight="true" outlineLevel="0" collapsed="false">
      <c r="A4194" s="9"/>
      <c r="B4194" s="10" t="s">
        <v>32605</v>
      </c>
      <c r="C4194" s="10"/>
      <c r="D4194" s="10"/>
    </row>
    <row r="4195" customFormat="false" ht="15" hidden="false" customHeight="false" outlineLevel="0" collapsed="false">
      <c r="A4195" s="12" t="s">
        <v>700</v>
      </c>
      <c r="B4195" s="13" t="s">
        <v>701</v>
      </c>
      <c r="C4195" s="13" t="s">
        <v>702</v>
      </c>
      <c r="D4195" s="13" t="s">
        <v>722</v>
      </c>
    </row>
    <row r="4196" customFormat="false" ht="30" hidden="false" customHeight="true" outlineLevel="0" collapsed="false">
      <c r="A4196" s="14" t="s">
        <v>706</v>
      </c>
      <c r="B4196" s="15" t="str">
        <f aca="false">IF(COUNTIFS($D$4199:$D$4201,IF(D4196="","*",D4196))=1,INDEX($B:$B,SUMPRODUCT(((D4196="")+($D$4199:$D$4201=D4196)&gt;0)*ROW($B$4199:$B$4201))),IF(COUNTIFS($D$4199:$D$4201,IF(D4196="","*",D4196))=0,"Not available",COUNTIFS($D$4199:$D$4201,IF(D4196="","*",D4196))&amp;" match, keep choosing"))</f>
        <v>P3-125-BK</v>
      </c>
      <c r="C4196" s="16" t="n">
        <f aca="false">IF(COUNTIFS($D$4199:$D$4201,IF(D4196="","*",D4196))=1,INDEX($C:$C,SUMPRODUCT(((D4196="")+($D$4199:$D$4201=D4196)&gt;0)*ROW($B$4199:$B$4201))),"")</f>
        <v>2.35</v>
      </c>
      <c r="D4196" s="17" t="s">
        <v>724</v>
      </c>
    </row>
    <row r="4198" customFormat="false" ht="15" hidden="false" customHeight="false" outlineLevel="0" collapsed="false">
      <c r="B4198" s="18" t="s">
        <v>701</v>
      </c>
      <c r="C4198" s="18" t="s">
        <v>702</v>
      </c>
      <c r="D4198" s="18" t="s">
        <v>722</v>
      </c>
    </row>
    <row r="4199" customFormat="false" ht="15" hidden="false" customHeight="false" outlineLevel="0" collapsed="false">
      <c r="B4199" s="19" t="s">
        <v>32606</v>
      </c>
      <c r="C4199" s="20" t="n">
        <f aca="false">ROUND(16.9/FX,2)</f>
        <v>2.35</v>
      </c>
      <c r="D4199" s="21" t="s">
        <v>724</v>
      </c>
    </row>
    <row r="4200" customFormat="false" ht="15" hidden="false" customHeight="false" outlineLevel="0" collapsed="false">
      <c r="B4200" s="19" t="s">
        <v>32607</v>
      </c>
      <c r="C4200" s="20" t="n">
        <f aca="false">ROUND(17.55/FX,2)</f>
        <v>2.44</v>
      </c>
      <c r="D4200" s="21" t="s">
        <v>6362</v>
      </c>
    </row>
    <row r="4201" customFormat="false" ht="15" hidden="false" customHeight="false" outlineLevel="0" collapsed="false">
      <c r="B4201" s="19" t="s">
        <v>32608</v>
      </c>
      <c r="C4201" s="20" t="n">
        <f aca="false">ROUND(17.55/FX,2)</f>
        <v>2.44</v>
      </c>
      <c r="D4201" s="21" t="s">
        <v>6549</v>
      </c>
    </row>
  </sheetData>
  <mergeCells count="142">
    <mergeCell ref="B1:D1"/>
    <mergeCell ref="B11:D11"/>
    <mergeCell ref="B16:D16"/>
    <mergeCell ref="B25:D25"/>
    <mergeCell ref="B30:D30"/>
    <mergeCell ref="B40:D40"/>
    <mergeCell ref="B64:D64"/>
    <mergeCell ref="B78:E78"/>
    <mergeCell ref="B91:D91"/>
    <mergeCell ref="B96:E96"/>
    <mergeCell ref="B108:D108"/>
    <mergeCell ref="B113:D113"/>
    <mergeCell ref="B118:E118"/>
    <mergeCell ref="B197:G197"/>
    <mergeCell ref="B217:H217"/>
    <mergeCell ref="B277:E277"/>
    <mergeCell ref="B297:E297"/>
    <mergeCell ref="B306:E306"/>
    <mergeCell ref="B319:D319"/>
    <mergeCell ref="B347:D347"/>
    <mergeCell ref="B352:E352"/>
    <mergeCell ref="B363:D363"/>
    <mergeCell ref="B368:D368"/>
    <mergeCell ref="B377:F377"/>
    <mergeCell ref="B451:D451"/>
    <mergeCell ref="B460:D460"/>
    <mergeCell ref="B465:F465"/>
    <mergeCell ref="B475:E475"/>
    <mergeCell ref="B498:E498"/>
    <mergeCell ref="B509:E509"/>
    <mergeCell ref="B520:D520"/>
    <mergeCell ref="B525:D525"/>
    <mergeCell ref="B534:F534"/>
    <mergeCell ref="B550:D550"/>
    <mergeCell ref="B555:D555"/>
    <mergeCell ref="B560:E560"/>
    <mergeCell ref="B570:E570"/>
    <mergeCell ref="B579:D579"/>
    <mergeCell ref="B584:D584"/>
    <mergeCell ref="B589:E589"/>
    <mergeCell ref="B614:G614"/>
    <mergeCell ref="B629:I629"/>
    <mergeCell ref="B769:G769"/>
    <mergeCell ref="B782:D782"/>
    <mergeCell ref="B791:D791"/>
    <mergeCell ref="B796:D796"/>
    <mergeCell ref="B805:H805"/>
    <mergeCell ref="B829:F829"/>
    <mergeCell ref="B839:F839"/>
    <mergeCell ref="B850:D850"/>
    <mergeCell ref="B855:E855"/>
    <mergeCell ref="B866:D866"/>
    <mergeCell ref="B875:E875"/>
    <mergeCell ref="B909:D909"/>
    <mergeCell ref="B914:H914"/>
    <mergeCell ref="B956:D956"/>
    <mergeCell ref="B961:I961"/>
    <mergeCell ref="B997:D997"/>
    <mergeCell ref="B1002:E1002"/>
    <mergeCell ref="B1012:D1012"/>
    <mergeCell ref="B1017:F1017"/>
    <mergeCell ref="B1029:G1029"/>
    <mergeCell ref="B1048:D1048"/>
    <mergeCell ref="B1053:D1053"/>
    <mergeCell ref="B1062:D1062"/>
    <mergeCell ref="B1067:D1067"/>
    <mergeCell ref="B1072:D1072"/>
    <mergeCell ref="B1081:E1081"/>
    <mergeCell ref="B1091:F1091"/>
    <mergeCell ref="B1440:F1440"/>
    <mergeCell ref="B1593:F1593"/>
    <mergeCell ref="B1943:F1943"/>
    <mergeCell ref="B2292:F2292"/>
    <mergeCell ref="B2640:F2640"/>
    <mergeCell ref="B2990:D2990"/>
    <mergeCell ref="B2995:G2995"/>
    <mergeCell ref="B3011:D3011"/>
    <mergeCell ref="B3016:E3016"/>
    <mergeCell ref="B3027:D3027"/>
    <mergeCell ref="B3036:D3036"/>
    <mergeCell ref="B3045:D3045"/>
    <mergeCell ref="B3054:F3054"/>
    <mergeCell ref="B3064:F3064"/>
    <mergeCell ref="B3074:D3074"/>
    <mergeCell ref="B3083:D3083"/>
    <mergeCell ref="B3092:F3092"/>
    <mergeCell ref="B3111:D3111"/>
    <mergeCell ref="B3116:D3116"/>
    <mergeCell ref="B3139:D3139"/>
    <mergeCell ref="B3150:G3150"/>
    <mergeCell ref="B3167:G3167"/>
    <mergeCell ref="B3206:E3206"/>
    <mergeCell ref="B3219:D3219"/>
    <mergeCell ref="B3229:E3229"/>
    <mergeCell ref="B3244:D3244"/>
    <mergeCell ref="B3253:D3253"/>
    <mergeCell ref="B3258:G3258"/>
    <mergeCell ref="B3284:E3284"/>
    <mergeCell ref="B3305:E3305"/>
    <mergeCell ref="B3364:D3364"/>
    <mergeCell ref="B3377:E3377"/>
    <mergeCell ref="B3387:F3387"/>
    <mergeCell ref="B3396:F3396"/>
    <mergeCell ref="B3407:D3407"/>
    <mergeCell ref="B3412:E3412"/>
    <mergeCell ref="B3423:E3423"/>
    <mergeCell ref="B3438:E3438"/>
    <mergeCell ref="B3451:E3451"/>
    <mergeCell ref="B3469:D3469"/>
    <mergeCell ref="B3478:H3478"/>
    <mergeCell ref="B3600:F3600"/>
    <mergeCell ref="B3616:H3616"/>
    <mergeCell ref="B3639:D3639"/>
    <mergeCell ref="B3644:F3644"/>
    <mergeCell ref="B3673:E3673"/>
    <mergeCell ref="B3696:D3696"/>
    <mergeCell ref="B3701:G3701"/>
    <mergeCell ref="B3739:D3739"/>
    <mergeCell ref="B3749:D3749"/>
    <mergeCell ref="B3759:E3759"/>
    <mergeCell ref="B3777:D3777"/>
    <mergeCell ref="B3787:D3787"/>
    <mergeCell ref="B3797:D3797"/>
    <mergeCell ref="B3901:D3901"/>
    <mergeCell ref="B3906:F3906"/>
    <mergeCell ref="B3934:F3934"/>
    <mergeCell ref="B3945:G3945"/>
    <mergeCell ref="B3959:D3959"/>
    <mergeCell ref="B3968:D3968"/>
    <mergeCell ref="B3977:D3977"/>
    <mergeCell ref="B3982:E3982"/>
    <mergeCell ref="B3997:D3997"/>
    <mergeCell ref="B4002:E4002"/>
    <mergeCell ref="B4012:E4012"/>
    <mergeCell ref="B4026:D4026"/>
    <mergeCell ref="B4031:F4031"/>
    <mergeCell ref="B4042:D4042"/>
    <mergeCell ref="B4051:F4051"/>
    <mergeCell ref="B4077:J4077"/>
    <mergeCell ref="B4176:E4176"/>
    <mergeCell ref="B4189:D4189"/>
    <mergeCell ref="B4194:D4194"/>
  </mergeCells>
  <dataValidations count="253">
    <dataValidation allowBlank="true" error="Please choose from the list" errorStyle="stop" errorTitle="▶ Quick quote" operator="between" showDropDown="false" showErrorMessage="false" showInputMessage="false" sqref="D3" type="list">
      <formula1>_lists!$AIM$1:$AIM$3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8" type="list">
      <formula1>_lists!$AIN$1:$AIN$2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" type="list">
      <formula1>_lists!$AIO$1:$AIO$3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2" type="list">
      <formula1>_lists!$AIP$1:$AIP$17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6" type="list">
      <formula1>_lists!$AIQ$1:$AIQ$7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0" type="list">
      <formula1>_lists!$AIR$1:$AIR$2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0" type="list">
      <formula1>_lists!$AIS$1:$AIS$3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8" type="list">
      <formula1>_lists!$AIT$1:$AIT$2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8" type="list">
      <formula1>_lists!$AIU$1:$AIU$5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0" type="list">
      <formula1>_lists!$AIV$1:$AIV$7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0" type="list">
      <formula1>_lists!$AIW$1:$AIW$46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9" type="list">
      <formula1>_lists!$AIX$1:$AIX$2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9" type="list">
      <formula1>_lists!$AIY$1:$AIY$2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99" type="list">
      <formula1>_lists!$AIZ$1:$AIZ$7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99" type="list">
      <formula1>_lists!$AJA$1:$AJA$8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19" type="list">
      <formula1>_lists!$AJB$1:$AJB$3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19" type="list">
      <formula1>_lists!$AJC$1:$AJC$34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19" type="list">
      <formula1>_lists!$AJD$1:$AJD$3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19" type="list">
      <formula1>_lists!$AJE$1:$AJE$8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19" type="list">
      <formula1>_lists!$AJF$1:$AJF$3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79" type="list">
      <formula1>_lists!$AJG$1:$AJG$4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79" type="list">
      <formula1>_lists!$AJH$1:$AJH$5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9" type="list">
      <formula1>_lists!$AJI$1:$AJI$2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9" type="list">
      <formula1>_lists!$AJJ$1:$AJJ$2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8" type="list">
      <formula1>_lists!$AJK$1:$AJK$2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08" type="list">
      <formula1>_lists!$AJL$1:$AJL$3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1" type="list">
      <formula1>_lists!$AJM$1:$AJM$21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54" type="list">
      <formula1>_lists!$AJN$1:$AJN$2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54" type="list">
      <formula1>_lists!$AJO$1:$AJO$3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0" type="list">
      <formula1>_lists!$AJP$1:$AJP$2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9" type="list">
      <formula1>_lists!$AJQ$1:$AJQ$6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79" type="list">
      <formula1>_lists!$AJR$1:$AJR$2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79" type="list">
      <formula1>_lists!$AJS$1:$AJS$41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53" type="list">
      <formula1>_lists!$AJT$1:$AJT$2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67" type="list">
      <formula1>_lists!$AJU$1:$AJU$2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67" type="list">
      <formula1>_lists!$AJV$1:$AJV$3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67" type="list">
      <formula1>_lists!$AJW$1:$AJW$2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77" type="list">
      <formula1>_lists!$AJX$1:$AJX$2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77" type="list">
      <formula1>_lists!$AJY$1:$AJY$16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00" type="list">
      <formula1>_lists!$AJZ$1:$AJZ$4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00" type="list">
      <formula1>_lists!$AKA$1:$AKA$2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11" type="list">
      <formula1>_lists!$AKB$1:$AKB$2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11" type="list">
      <formula1>_lists!$AKC$1:$AKC$2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27" type="list">
      <formula1>_lists!$AKD$1:$AKD$2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36" type="list">
      <formula1>_lists!$AKE$1:$AKE$6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36" type="list">
      <formula1>_lists!$AKF$1:$AKF$3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536" type="list">
      <formula1>_lists!$AKG$1:$AKG$2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62" type="list">
      <formula1>_lists!$AKH$1:$AKH$2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62" type="list">
      <formula1>_lists!$AKI$1:$AKI$2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72" type="list">
      <formula1>_lists!$AKJ$1:$AKJ$2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72" type="list">
      <formula1>_lists!$AKK$1:$AKK$2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591" type="list">
      <formula1>_lists!$AKL$1:$AKL$7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591" type="list">
      <formula1>_lists!$AKM$1:$AKM$18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16" type="list">
      <formula1>_lists!$AKN$1:$AKN$3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16" type="list">
      <formula1>_lists!$AKO$1:$AKO$4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616" type="list">
      <formula1>_lists!$AKP$1:$AKP$2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616" type="list">
      <formula1>_lists!$AKQ$1:$AKQ$6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631" type="list">
      <formula1>_lists!$AKR$1:$AKR$4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631" type="list">
      <formula1>_lists!$AKS$1:$AKS$2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631" type="list">
      <formula1>_lists!$AKT$1:$AKT$7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631" type="list">
      <formula1>_lists!$AKU$1:$AKU$13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631" type="list">
      <formula1>_lists!$AKV$1:$AKV$3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631" type="list">
      <formula1>_lists!$AKW$1:$AKW$12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71" type="list">
      <formula1>_lists!$AKX$1:$AKX$3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71" type="list">
      <formula1>_lists!$AKY$1:$AKY$4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771" type="list">
      <formula1>_lists!$AKZ$1:$AKZ$2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771" type="list">
      <formula1>_lists!$ALA$1:$ALA$2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84" type="list">
      <formula1>_lists!$ALB$1:$ALB$2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98" type="list">
      <formula1>_lists!$ALC$1:$ALC$2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07" type="list">
      <formula1>_lists!$ALD$1:$ALD$3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07" type="list">
      <formula1>_lists!$ALE$1:$ALE$2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07" type="list">
      <formula1>_lists!$ALF$1:$ALF$8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807" type="list">
      <formula1>_lists!$ALG$1:$ALG$6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807" type="list">
      <formula1>_lists!$ALH$1:$ALH$2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31" type="list">
      <formula1>_lists!$ALI$1:$ALI$3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31" type="list">
      <formula1>_lists!$ALJ$1:$ALJ$2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31" type="list">
      <formula1>_lists!$ALK$1:$ALK$2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41" type="list">
      <formula1>_lists!$ALL$1:$ALL$2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41" type="list">
      <formula1>_lists!$ALM$1:$ALM$2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41" type="list">
      <formula1>_lists!$ALN$1:$ALN$4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57" type="list">
      <formula1>_lists!$ALO$1:$ALO$3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57" type="list">
      <formula1>_lists!$ALP$1:$ALP$4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68" type="list">
      <formula1>_lists!$ALQ$1:$ALQ$2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77" type="list">
      <formula1>_lists!$ALR$1:$ALR$4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77" type="list">
      <formula1>_lists!$ALS$1:$ALS$14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16" type="list">
      <formula1>_lists!$ALT$1:$ALT$6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16" type="list">
      <formula1>_lists!$ALU$1:$ALU$3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16" type="list">
      <formula1>_lists!$ALV$1:$ALV$2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916" type="list">
      <formula1>_lists!$ALW$1:$ALW$6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916" type="list">
      <formula1>_lists!$ALX$1:$ALX$6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963" type="list">
      <formula1>_lists!$ALY$1:$ALY$2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963" type="list">
      <formula1>_lists!$ALZ$1:$ALZ$4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963" type="list">
      <formula1>_lists!$AMA$1:$AMA$7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963" type="list">
      <formula1>_lists!$AMB$1:$AMB$10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963" type="list">
      <formula1>_lists!$AMC$1:$AMC$5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963" type="list">
      <formula1>_lists!$AMD$1:$AMD$3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04" type="list">
      <formula1>_lists!$AME$1:$AME$2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04" type="list">
      <formula1>_lists!$AMF$1:$AMF$2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19" type="list">
      <formula1>_lists!$AMG$1:$AMG$5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19" type="list">
      <formula1>_lists!$AMH$1:$AMH$3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19" type="list">
      <formula1>_lists!$AMI$1:$AMI$2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31" type="list">
      <formula1>_lists!$AMJ$1:$AMJ$5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31" type="list">
      <formula1>_lists!$AMK$1:$AMK$3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31" type="list">
      <formula1>_lists!$AML$1:$AML$8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1031" type="list">
      <formula1>_lists!$AMM$1:$AMM$2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55" type="list">
      <formula1>_lists!$AMN$1:$AMN$2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74" type="list">
      <formula1>_lists!$AMO$1:$AMO$2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83" type="list">
      <formula1>_lists!$AMP$1:$AMP$3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83" type="list">
      <formula1>_lists!$AMQ$1:$AMQ$2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093" type="list">
      <formula1>_lists!$AMR$1:$AMR$30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093" type="list">
      <formula1>_lists!$AMS$1:$AMS$17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093" type="list">
      <formula1>_lists!$AMT$1:$AMT$17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42" type="list">
      <formula1>_lists!$AMU$1:$AMU$31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442" type="list">
      <formula1>_lists!$AMV$1:$AMV$8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442" type="list">
      <formula1>_lists!$AMW$1:$AMW$8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595" type="list">
      <formula1>_lists!$AMX$1:$AMX$29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595" type="list">
      <formula1>_lists!$AMY$1:$AMY$17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595" type="list">
      <formula1>_lists!$AMZ$1:$AMZ$17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945" type="list">
      <formula1>_lists!$ANA$1:$ANA$29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945" type="list">
      <formula1>_lists!$ANB$1:$ANB$17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945" type="list">
      <formula1>_lists!$ANC$1:$ANC$17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294" type="list">
      <formula1>_lists!$AND$1:$AND$30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294" type="list">
      <formula1>_lists!$ANE$1:$ANE$17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294" type="list">
      <formula1>_lists!$ANF$1:$ANF$18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642" type="list">
      <formula1>_lists!$ANG$1:$ANG$29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642" type="list">
      <formula1>_lists!$ANH$1:$ANH$17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642" type="list">
      <formula1>_lists!$ANI$1:$ANI$18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997" type="list">
      <formula1>_lists!$ANJ$1:$ANJ$2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997" type="list">
      <formula1>_lists!$ANK$1:$ANK$3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997" type="list">
      <formula1>_lists!$ANL$1:$ANL$4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997" type="list">
      <formula1>_lists!$ANM$1:$ANM$9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18" type="list">
      <formula1>_lists!$ANN$1:$ANN$2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018" type="list">
      <formula1>_lists!$ANO$1:$ANO$2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29" type="list">
      <formula1>_lists!$ANP$1:$ANP$2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38" type="list">
      <formula1>_lists!$ANQ$1:$ANQ$2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47" type="list">
      <formula1>_lists!$ANR$1:$ANR$2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56" type="list">
      <formula1>_lists!$ANS$1:$ANS$2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056" type="list">
      <formula1>_lists!$ANT$1:$ANT$3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056" type="list">
      <formula1>_lists!$ANU$1:$ANU$2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66" type="list">
      <formula1>_lists!$ANV$1:$ANV$2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066" type="list">
      <formula1>_lists!$ANW$1:$ANW$3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066" type="list">
      <formula1>_lists!$ANX$1:$ANX$2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76" type="list">
      <formula1>_lists!$ANY$1:$ANY$2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85" type="list">
      <formula1>_lists!$ANZ$1:$ANZ$2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094" type="list">
      <formula1>_lists!$AOA$1:$AOA$3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094" type="list">
      <formula1>_lists!$AOB$1:$AOB$2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094" type="list">
      <formula1>_lists!$AOC$1:$AOC$2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18" type="list">
      <formula1>_lists!$AOD$1:$AOD$16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41" type="list">
      <formula1>_lists!$AOE$1:$AOE$4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52" type="list">
      <formula1>_lists!$AOF$1:$AOF$3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152" type="list">
      <formula1>_lists!$AOG$1:$AOG$3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152" type="list">
      <formula1>_lists!$AOH$1:$AOH$6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152" type="list">
      <formula1>_lists!$AOI$1:$AOI$4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169" type="list">
      <formula1>_lists!$AOJ$1:$AOJ$2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169" type="list">
      <formula1>_lists!$AOK$1:$AOK$2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169" type="list">
      <formula1>_lists!$AOL$1:$AOL$2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169" type="list">
      <formula1>_lists!$AOM$1:$AOM$4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08" type="list">
      <formula1>_lists!$AON$1:$AON$3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08" type="list">
      <formula1>_lists!$AOO$1:$AOO$4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21" type="list">
      <formula1>_lists!$AOP$1:$AOP$3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31" type="list">
      <formula1>_lists!$AOQ$1:$AOQ$3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31" type="list">
      <formula1>_lists!$AOR$1:$AOR$6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46" type="list">
      <formula1>_lists!$AOS$1:$AOS$2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60" type="list">
      <formula1>_lists!$AOT$1:$AOT$3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60" type="list">
      <formula1>_lists!$AOU$1:$AOU$2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260" type="list">
      <formula1>_lists!$AOV$1:$AOV$2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260" type="list">
      <formula1>_lists!$AOW$1:$AOW$18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286" type="list">
      <formula1>_lists!$AOX$1:$AOX$3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286" type="list">
      <formula1>_lists!$AOY$1:$AOY$12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07" type="list">
      <formula1>_lists!$AOZ$1:$AOZ$30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307" type="list">
      <formula1>_lists!$APA$1:$APA$2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66" type="list">
      <formula1>_lists!$APB$1:$APB$6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79" type="list">
      <formula1>_lists!$APC$1:$APC$3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379" type="list">
      <formula1>_lists!$APD$1:$APD$3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89" type="list">
      <formula1>_lists!$APE$1:$APE$2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389" type="list">
      <formula1>_lists!$APF$1:$APF$2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389" type="list">
      <formula1>_lists!$APG$1:$APG$2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398" type="list">
      <formula1>_lists!$APH$1:$APH$2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398" type="list">
      <formula1>_lists!$API$1:$API$2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398" type="list">
      <formula1>_lists!$APJ$1:$APJ$2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14" type="list">
      <formula1>_lists!$APK$1:$APK$2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414" type="list">
      <formula1>_lists!$APL$1:$APL$2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25" type="list">
      <formula1>_lists!$APM$1:$APM$4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425" type="list">
      <formula1>_lists!$APN$1:$APN$2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40" type="list">
      <formula1>_lists!$APO$1:$APO$2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440" type="list">
      <formula1>_lists!$APP$1:$APP$3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53" type="list">
      <formula1>_lists!$APQ$1:$APQ$2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453" type="list">
      <formula1>_lists!$APR$1:$APR$11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71" type="list">
      <formula1>_lists!$APS$1:$APS$2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480" type="list">
      <formula1>_lists!$APT$1:$APT$18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480" type="list">
      <formula1>_lists!$APU$1:$APU$2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480" type="list">
      <formula1>_lists!$APV$1:$APV$8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480" type="list">
      <formula1>_lists!$APW$1:$APW$3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3480" type="list">
      <formula1>_lists!$APX$1:$APX$5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02" type="list">
      <formula1>_lists!$APY$1:$APY$3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02" type="list">
      <formula1>_lists!$APZ$1:$APZ$4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602" type="list">
      <formula1>_lists!$AQA$1:$AQA$2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18" type="list">
      <formula1>_lists!$AQB$1:$AQB$3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18" type="list">
      <formula1>_lists!$AQC$1:$AQC$3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618" type="list">
      <formula1>_lists!$AQD$1:$AQD$2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618" type="list">
      <formula1>_lists!$AQE$1:$AQE$2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3618" type="list">
      <formula1>_lists!$AQF$1:$AQF$8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46" type="list">
      <formula1>_lists!$AQG$1:$AQG$4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46" type="list">
      <formula1>_lists!$AQH$1:$AQH$14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646" type="list">
      <formula1>_lists!$AQI$1:$AQI$3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675" type="list">
      <formula1>_lists!$AQJ$1:$AQJ$3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675" type="list">
      <formula1>_lists!$AQK$1:$AQK$11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03" type="list">
      <formula1>_lists!$AQL$1:$AQL$5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703" type="list">
      <formula1>_lists!$AQM$1:$AQM$8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703" type="list">
      <formula1>_lists!$AQN$1:$AQN$17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703" type="list">
      <formula1>_lists!$AQO$1:$AQO$9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41" type="list">
      <formula1>_lists!$AQP$1:$AQP$3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51" type="list">
      <formula1>_lists!$AQQ$1:$AQQ$3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61" type="list">
      <formula1>_lists!$AQR$1:$AQR$5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761" type="list">
      <formula1>_lists!$AQS$1:$AQS$5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79" type="list">
      <formula1>_lists!$AQT$1:$AQT$3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89" type="list">
      <formula1>_lists!$AQU$1:$AQU$3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799" type="list">
      <formula1>_lists!$AQV$1:$AQV$97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08" type="list">
      <formula1>_lists!$AQW$1:$AQW$3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908" type="list">
      <formula1>_lists!$AQX$1:$AQX$7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908" type="list">
      <formula1>_lists!$AQY$1:$AQY$3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36" type="list">
      <formula1>_lists!$AQZ$1:$AQZ$2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936" type="list">
      <formula1>_lists!$ARA$1:$ARA$2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936" type="list">
      <formula1>_lists!$ARB$1:$ARB$2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47" type="list">
      <formula1>_lists!$ARC$1:$ARC$2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947" type="list">
      <formula1>_lists!$ARD$1:$ARD$2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947" type="list">
      <formula1>_lists!$ARE$1:$ARE$2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947" type="list">
      <formula1>_lists!$ARF$1:$ARF$2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61" type="list">
      <formula1>_lists!$ARG$1:$ARG$2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70" type="list">
      <formula1>_lists!$ARH$1:$ARH$2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3984" type="list">
      <formula1>_lists!$ARI$1:$ARI$2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984" type="list">
      <formula1>_lists!$ARJ$1:$ARJ$4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04" type="list">
      <formula1>_lists!$ARK$1:$ARK$2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04" type="list">
      <formula1>_lists!$ARL$1:$ARL$2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14" type="list">
      <formula1>_lists!$ARM$1:$ARM$2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14" type="list">
      <formula1>_lists!$ARN$1:$ARN$4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33" type="list">
      <formula1>_lists!$ARO$1:$ARO$3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33" type="list">
      <formula1>_lists!$ARP$1:$ARP$2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033" type="list">
      <formula1>_lists!$ARQ$1:$ARQ$3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44" type="list">
      <formula1>_lists!$ARR$1:$ARR$2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53" type="list">
      <formula1>_lists!$ARS$1:$ARS$5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53" type="list">
      <formula1>_lists!$ART$1:$ART$12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053" type="list">
      <formula1>_lists!$ARU$1:$ARU$6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079" type="list">
      <formula1>_lists!$ARV$1:$ARV$11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079" type="list">
      <formula1>_lists!$ARW$1:$ARW$2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4079" type="list">
      <formula1>_lists!$ARX$1:$ARX$11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4079" type="list">
      <formula1>_lists!$ARY$1:$ARY$3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4079" type="list">
      <formula1>_lists!$ARZ$1:$ARZ$3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I4079" type="list">
      <formula1>_lists!$ASA$1:$ASA$17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J4079" type="list">
      <formula1>_lists!$ASB$1:$ASB$7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78" type="list">
      <formula1>_lists!$ASC$1:$ASC$4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4178" type="list">
      <formula1>_lists!$ASD$1:$ASD$5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4196" type="list">
      <formula1>_lists!$ASE$1:$ASE$3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32609</v>
      </c>
      <c r="C1" s="10"/>
      <c r="D1" s="10"/>
      <c r="E1" s="10"/>
      <c r="F1" s="10"/>
      <c r="G1" s="10"/>
    </row>
    <row r="2" customFormat="false" ht="15" hidden="false" customHeight="false" outlineLevel="0" collapsed="false">
      <c r="A2" s="12" t="s">
        <v>700</v>
      </c>
      <c r="B2" s="13" t="s">
        <v>701</v>
      </c>
      <c r="C2" s="13" t="s">
        <v>702</v>
      </c>
      <c r="D2" s="13" t="s">
        <v>722</v>
      </c>
      <c r="E2" s="13" t="s">
        <v>32610</v>
      </c>
      <c r="F2" s="13" t="s">
        <v>21219</v>
      </c>
      <c r="G2" s="13" t="s">
        <v>20008</v>
      </c>
    </row>
    <row r="3" customFormat="false" ht="30" hidden="false" customHeight="true" outlineLevel="0" collapsed="false">
      <c r="A3" s="14" t="s">
        <v>706</v>
      </c>
      <c r="B3" s="15" t="str">
        <f aca="false">IF(COUNTIFS($D$6:$D$65,IF(D3="","*",D3),$E$6:$E$65,IF(E3="","*",E3),$F$6:$F$65,IF(F3="","*",F3),$G$6:$G$65,IF(G3="","*",G3))=1,INDEX($B:$B,SUMPRODUCT(((D3="")+($D$6:$D$65=D3)&gt;0)*((E3="")+($E$6:$E$65=E3)&gt;0)*((F3="")+($F$6:$F$65=F3)&gt;0)*((G3="")+($G$6:$G$65=G3)&gt;0)*ROW($B$6:$B$65))),IF(COUNTIFS($D$6:$D$65,IF(D3="","*",D3),$E$6:$E$65,IF(E3="","*",E3),$F$6:$F$65,IF(F3="","*",F3),$G$6:$G$65,IF(G3="","*",G3))=0,"Not available",COUNTIFS($D$6:$D$65,IF(D3="","*",D3),$E$6:$E$65,IF(E3="","*",E3),$F$6:$F$65,IF(F3="","*",F3),$G$6:$G$65,IF(G3="","*",G3))&amp;" match, keep choosing"))</f>
        <v>HPR-D100-BK-110V-100W</v>
      </c>
      <c r="C3" s="16" t="n">
        <f aca="false">IF(COUNTIFS($D$6:$D$65,IF(D3="","*",D3),$E$6:$E$65,IF(E3="","*",E3),$F$6:$F$65,IF(F3="","*",F3),$G$6:$G$65,IF(G3="","*",G3))=1,INDEX($C:$C,SUMPRODUCT(((D3="")+($D$6:$D$65=D3)&gt;0)*((E3="")+($E$6:$E$65=E3)&gt;0)*((F3="")+($F$6:$F$65=F3)&gt;0)*((G3="")+($G$6:$G$65=G3)&gt;0)*ROW($B$6:$B$65))),"")</f>
        <v>1.49</v>
      </c>
      <c r="D3" s="17" t="s">
        <v>724</v>
      </c>
      <c r="E3" s="17" t="s">
        <v>22587</v>
      </c>
      <c r="F3" s="17" t="s">
        <v>32611</v>
      </c>
      <c r="G3" s="17" t="s">
        <v>32612</v>
      </c>
    </row>
    <row r="5" customFormat="false" ht="15" hidden="false" customHeight="false" outlineLevel="0" collapsed="false">
      <c r="B5" s="18" t="s">
        <v>701</v>
      </c>
      <c r="C5" s="18" t="s">
        <v>702</v>
      </c>
      <c r="D5" s="18" t="s">
        <v>722</v>
      </c>
      <c r="E5" s="18" t="s">
        <v>32610</v>
      </c>
      <c r="F5" s="18" t="s">
        <v>21219</v>
      </c>
      <c r="G5" s="18" t="s">
        <v>20008</v>
      </c>
    </row>
    <row r="6" customFormat="false" ht="15" hidden="false" customHeight="false" outlineLevel="0" collapsed="false">
      <c r="B6" s="19" t="s">
        <v>32613</v>
      </c>
      <c r="C6" s="20" t="n">
        <f aca="false">ROUND(10.73/FX,2)</f>
        <v>1.49</v>
      </c>
      <c r="D6" s="21" t="s">
        <v>724</v>
      </c>
      <c r="E6" s="21" t="s">
        <v>22587</v>
      </c>
      <c r="F6" s="21" t="s">
        <v>32611</v>
      </c>
      <c r="G6" s="21" t="s">
        <v>32612</v>
      </c>
    </row>
    <row r="7" customFormat="false" ht="15" hidden="false" customHeight="false" outlineLevel="0" collapsed="false">
      <c r="B7" s="19" t="s">
        <v>32614</v>
      </c>
      <c r="C7" s="20" t="n">
        <f aca="false">ROUND(10.73/FX,2)</f>
        <v>1.49</v>
      </c>
      <c r="D7" s="21" t="s">
        <v>6362</v>
      </c>
      <c r="E7" s="21" t="s">
        <v>22587</v>
      </c>
      <c r="F7" s="21" t="s">
        <v>32611</v>
      </c>
      <c r="G7" s="21" t="s">
        <v>32612</v>
      </c>
    </row>
    <row r="8" customFormat="false" ht="15" hidden="false" customHeight="false" outlineLevel="0" collapsed="false">
      <c r="B8" s="19" t="s">
        <v>32615</v>
      </c>
      <c r="C8" s="20" t="n">
        <f aca="false">ROUND(12.74/FX,2)</f>
        <v>1.77</v>
      </c>
      <c r="D8" s="21" t="s">
        <v>724</v>
      </c>
      <c r="E8" s="21" t="s">
        <v>32616</v>
      </c>
      <c r="F8" s="21" t="s">
        <v>32611</v>
      </c>
      <c r="G8" s="21" t="s">
        <v>29413</v>
      </c>
    </row>
    <row r="9" customFormat="false" ht="15" hidden="false" customHeight="false" outlineLevel="0" collapsed="false">
      <c r="B9" s="19" t="s">
        <v>32617</v>
      </c>
      <c r="C9" s="20" t="n">
        <f aca="false">ROUND(12.74/FX,2)</f>
        <v>1.77</v>
      </c>
      <c r="D9" s="21" t="s">
        <v>724</v>
      </c>
      <c r="E9" s="21" t="s">
        <v>32616</v>
      </c>
      <c r="F9" s="21" t="s">
        <v>21225</v>
      </c>
      <c r="G9" s="21" t="s">
        <v>29413</v>
      </c>
    </row>
    <row r="10" customFormat="false" ht="15" hidden="false" customHeight="false" outlineLevel="0" collapsed="false">
      <c r="B10" s="19" t="s">
        <v>32618</v>
      </c>
      <c r="C10" s="20" t="n">
        <f aca="false">ROUND(17/FX,2)</f>
        <v>2.36</v>
      </c>
      <c r="D10" s="21" t="s">
        <v>6362</v>
      </c>
      <c r="E10" s="21" t="s">
        <v>32616</v>
      </c>
      <c r="F10" s="21" t="s">
        <v>32611</v>
      </c>
      <c r="G10" s="21" t="s">
        <v>29413</v>
      </c>
    </row>
    <row r="11" customFormat="false" ht="15" hidden="false" customHeight="false" outlineLevel="0" collapsed="false">
      <c r="B11" s="19" t="s">
        <v>32619</v>
      </c>
      <c r="C11" s="20" t="n">
        <f aca="false">ROUND(12.74/FX,2)</f>
        <v>1.77</v>
      </c>
      <c r="D11" s="21" t="s">
        <v>6362</v>
      </c>
      <c r="E11" s="21" t="s">
        <v>32616</v>
      </c>
      <c r="F11" s="21" t="s">
        <v>21225</v>
      </c>
      <c r="G11" s="21" t="s">
        <v>29413</v>
      </c>
    </row>
    <row r="12" customFormat="false" ht="15" hidden="false" customHeight="false" outlineLevel="0" collapsed="false">
      <c r="B12" s="19" t="s">
        <v>32620</v>
      </c>
      <c r="C12" s="20" t="n">
        <f aca="false">ROUND(16.9/FX,2)</f>
        <v>2.35</v>
      </c>
      <c r="D12" s="21" t="s">
        <v>724</v>
      </c>
      <c r="E12" s="21" t="s">
        <v>32621</v>
      </c>
      <c r="F12" s="21" t="s">
        <v>29407</v>
      </c>
      <c r="G12" s="21" t="s">
        <v>20012</v>
      </c>
    </row>
    <row r="13" customFormat="false" ht="15" hidden="false" customHeight="false" outlineLevel="0" collapsed="false">
      <c r="B13" s="19" t="s">
        <v>32622</v>
      </c>
      <c r="C13" s="20" t="n">
        <f aca="false">ROUND(28.6/FX,2)</f>
        <v>3.97</v>
      </c>
      <c r="D13" s="21" t="s">
        <v>724</v>
      </c>
      <c r="E13" s="21" t="s">
        <v>32621</v>
      </c>
      <c r="F13" s="21" t="s">
        <v>21225</v>
      </c>
      <c r="G13" s="21" t="s">
        <v>32612</v>
      </c>
    </row>
    <row r="14" customFormat="false" ht="15" hidden="false" customHeight="false" outlineLevel="0" collapsed="false">
      <c r="B14" s="19" t="s">
        <v>32623</v>
      </c>
      <c r="C14" s="20" t="n">
        <f aca="false">ROUND(16.9/FX,2)</f>
        <v>2.35</v>
      </c>
      <c r="D14" s="21" t="s">
        <v>724</v>
      </c>
      <c r="E14" s="21" t="s">
        <v>32621</v>
      </c>
      <c r="F14" s="21" t="s">
        <v>32624</v>
      </c>
      <c r="G14" s="21" t="s">
        <v>32625</v>
      </c>
    </row>
    <row r="15" customFormat="false" ht="15" hidden="false" customHeight="false" outlineLevel="0" collapsed="false">
      <c r="B15" s="19" t="s">
        <v>32626</v>
      </c>
      <c r="C15" s="20" t="n">
        <f aca="false">ROUND(16.9/FX,2)</f>
        <v>2.35</v>
      </c>
      <c r="D15" s="21" t="s">
        <v>6362</v>
      </c>
      <c r="E15" s="21" t="s">
        <v>32621</v>
      </c>
      <c r="F15" s="21" t="s">
        <v>29407</v>
      </c>
      <c r="G15" s="21" t="s">
        <v>20012</v>
      </c>
    </row>
    <row r="16" customFormat="false" ht="15" hidden="false" customHeight="false" outlineLevel="0" collapsed="false">
      <c r="B16" s="19" t="s">
        <v>32627</v>
      </c>
      <c r="C16" s="20" t="n">
        <f aca="false">ROUND(28.6/FX,2)</f>
        <v>3.97</v>
      </c>
      <c r="D16" s="21" t="s">
        <v>6362</v>
      </c>
      <c r="E16" s="21" t="s">
        <v>32621</v>
      </c>
      <c r="F16" s="21" t="s">
        <v>21225</v>
      </c>
      <c r="G16" s="21" t="s">
        <v>32612</v>
      </c>
    </row>
    <row r="17" customFormat="false" ht="15" hidden="false" customHeight="false" outlineLevel="0" collapsed="false">
      <c r="B17" s="19" t="s">
        <v>32628</v>
      </c>
      <c r="C17" s="20" t="n">
        <f aca="false">ROUND(26/FX,2)</f>
        <v>3.61</v>
      </c>
      <c r="D17" s="21" t="s">
        <v>6362</v>
      </c>
      <c r="E17" s="21" t="s">
        <v>32621</v>
      </c>
      <c r="F17" s="21" t="s">
        <v>32624</v>
      </c>
      <c r="G17" s="21" t="s">
        <v>32625</v>
      </c>
    </row>
    <row r="18" customFormat="false" ht="15" hidden="false" customHeight="false" outlineLevel="0" collapsed="false">
      <c r="B18" s="19" t="s">
        <v>32629</v>
      </c>
      <c r="C18" s="20" t="n">
        <f aca="false">ROUND(19.5/FX,2)</f>
        <v>2.71</v>
      </c>
      <c r="D18" s="21" t="s">
        <v>724</v>
      </c>
      <c r="E18" s="21" t="s">
        <v>32630</v>
      </c>
      <c r="F18" s="21" t="s">
        <v>32611</v>
      </c>
      <c r="G18" s="21" t="s">
        <v>32612</v>
      </c>
    </row>
    <row r="19" customFormat="false" ht="15" hidden="false" customHeight="false" outlineLevel="0" collapsed="false">
      <c r="B19" s="19" t="s">
        <v>32631</v>
      </c>
      <c r="C19" s="20" t="n">
        <f aca="false">ROUND(19.5/FX,2)</f>
        <v>2.71</v>
      </c>
      <c r="D19" s="21" t="s">
        <v>724</v>
      </c>
      <c r="E19" s="21" t="s">
        <v>32630</v>
      </c>
      <c r="F19" s="21" t="s">
        <v>21225</v>
      </c>
      <c r="G19" s="21" t="s">
        <v>32612</v>
      </c>
    </row>
    <row r="20" customFormat="false" ht="15" hidden="false" customHeight="false" outlineLevel="0" collapsed="false">
      <c r="B20" s="19" t="s">
        <v>32632</v>
      </c>
      <c r="C20" s="20" t="n">
        <f aca="false">ROUND(31.2/FX,2)</f>
        <v>4.33</v>
      </c>
      <c r="D20" s="21" t="s">
        <v>724</v>
      </c>
      <c r="E20" s="21" t="s">
        <v>32630</v>
      </c>
      <c r="F20" s="21" t="s">
        <v>29288</v>
      </c>
      <c r="G20" s="21" t="s">
        <v>32612</v>
      </c>
    </row>
    <row r="21" customFormat="false" ht="15" hidden="false" customHeight="false" outlineLevel="0" collapsed="false">
      <c r="B21" s="19" t="s">
        <v>32633</v>
      </c>
      <c r="C21" s="20" t="n">
        <f aca="false">ROUND(28.6/FX,2)</f>
        <v>3.97</v>
      </c>
      <c r="D21" s="21" t="s">
        <v>6362</v>
      </c>
      <c r="E21" s="21" t="s">
        <v>32630</v>
      </c>
      <c r="F21" s="21" t="s">
        <v>21225</v>
      </c>
      <c r="G21" s="21" t="s">
        <v>32612</v>
      </c>
    </row>
    <row r="22" customFormat="false" ht="15" hidden="false" customHeight="false" outlineLevel="0" collapsed="false">
      <c r="B22" s="19" t="s">
        <v>32634</v>
      </c>
      <c r="C22" s="20" t="n">
        <f aca="false">ROUND(31.2/FX,2)</f>
        <v>4.33</v>
      </c>
      <c r="D22" s="21" t="s">
        <v>6362</v>
      </c>
      <c r="E22" s="21" t="s">
        <v>32630</v>
      </c>
      <c r="F22" s="21" t="s">
        <v>29288</v>
      </c>
      <c r="G22" s="21" t="s">
        <v>32612</v>
      </c>
    </row>
    <row r="23" customFormat="false" ht="15" hidden="false" customHeight="false" outlineLevel="0" collapsed="false">
      <c r="B23" s="19" t="s">
        <v>32635</v>
      </c>
      <c r="C23" s="20" t="n">
        <f aca="false">ROUND(24.18/FX,2)</f>
        <v>3.36</v>
      </c>
      <c r="D23" s="21" t="s">
        <v>724</v>
      </c>
      <c r="E23" s="21" t="s">
        <v>32636</v>
      </c>
      <c r="F23" s="21" t="s">
        <v>29407</v>
      </c>
      <c r="G23" s="21" t="s">
        <v>20012</v>
      </c>
    </row>
    <row r="24" customFormat="false" ht="15" hidden="false" customHeight="false" outlineLevel="0" collapsed="false">
      <c r="B24" s="19" t="s">
        <v>32637</v>
      </c>
      <c r="C24" s="20" t="n">
        <f aca="false">ROUND(24.18/FX,2)</f>
        <v>3.36</v>
      </c>
      <c r="D24" s="21" t="s">
        <v>724</v>
      </c>
      <c r="E24" s="21" t="s">
        <v>32636</v>
      </c>
      <c r="F24" s="21" t="s">
        <v>21225</v>
      </c>
      <c r="G24" s="21" t="s">
        <v>20012</v>
      </c>
    </row>
    <row r="25" customFormat="false" ht="15" hidden="false" customHeight="false" outlineLevel="0" collapsed="false">
      <c r="B25" s="19" t="s">
        <v>32638</v>
      </c>
      <c r="C25" s="20" t="n">
        <f aca="false">ROUND(35.1/FX,2)</f>
        <v>4.88</v>
      </c>
      <c r="D25" s="21" t="s">
        <v>6362</v>
      </c>
      <c r="E25" s="21" t="s">
        <v>32636</v>
      </c>
      <c r="F25" s="21" t="s">
        <v>29407</v>
      </c>
      <c r="G25" s="21" t="s">
        <v>20012</v>
      </c>
    </row>
    <row r="26" customFormat="false" ht="15" hidden="false" customHeight="false" outlineLevel="0" collapsed="false">
      <c r="B26" s="19" t="s">
        <v>32639</v>
      </c>
      <c r="C26" s="20" t="n">
        <f aca="false">ROUND(35.1/FX,2)</f>
        <v>4.88</v>
      </c>
      <c r="D26" s="21" t="s">
        <v>6362</v>
      </c>
      <c r="E26" s="21" t="s">
        <v>32636</v>
      </c>
      <c r="F26" s="21" t="s">
        <v>21225</v>
      </c>
      <c r="G26" s="21" t="s">
        <v>32612</v>
      </c>
    </row>
    <row r="27" customFormat="false" ht="15" hidden="false" customHeight="false" outlineLevel="0" collapsed="false">
      <c r="B27" s="19" t="s">
        <v>32640</v>
      </c>
      <c r="C27" s="20" t="n">
        <f aca="false">ROUND(35.1/FX,2)</f>
        <v>4.88</v>
      </c>
      <c r="D27" s="21" t="s">
        <v>6362</v>
      </c>
      <c r="E27" s="21" t="s">
        <v>32636</v>
      </c>
      <c r="F27" s="21" t="s">
        <v>21225</v>
      </c>
      <c r="G27" s="21" t="s">
        <v>20012</v>
      </c>
    </row>
    <row r="28" customFormat="false" ht="15" hidden="false" customHeight="false" outlineLevel="0" collapsed="false">
      <c r="B28" s="19" t="s">
        <v>32641</v>
      </c>
      <c r="C28" s="20" t="n">
        <f aca="false">ROUND(29.9/FX,2)</f>
        <v>4.15</v>
      </c>
      <c r="D28" s="21" t="s">
        <v>724</v>
      </c>
      <c r="E28" s="21" t="s">
        <v>32642</v>
      </c>
      <c r="F28" s="21" t="s">
        <v>32611</v>
      </c>
      <c r="G28" s="21" t="s">
        <v>32643</v>
      </c>
    </row>
    <row r="29" customFormat="false" ht="15" hidden="false" customHeight="false" outlineLevel="0" collapsed="false">
      <c r="B29" s="19" t="s">
        <v>32644</v>
      </c>
      <c r="C29" s="20" t="n">
        <f aca="false">ROUND(31.2/FX,2)</f>
        <v>4.33</v>
      </c>
      <c r="D29" s="21" t="s">
        <v>724</v>
      </c>
      <c r="E29" s="21" t="s">
        <v>32642</v>
      </c>
      <c r="F29" s="21" t="s">
        <v>29407</v>
      </c>
      <c r="G29" s="21" t="s">
        <v>32612</v>
      </c>
    </row>
    <row r="30" customFormat="false" ht="15" hidden="false" customHeight="false" outlineLevel="0" collapsed="false">
      <c r="B30" s="19" t="s">
        <v>32645</v>
      </c>
      <c r="C30" s="20" t="n">
        <f aca="false">ROUND(31.2/FX,2)</f>
        <v>4.33</v>
      </c>
      <c r="D30" s="21" t="s">
        <v>724</v>
      </c>
      <c r="E30" s="21" t="s">
        <v>32642</v>
      </c>
      <c r="F30" s="21" t="s">
        <v>29407</v>
      </c>
      <c r="G30" s="21" t="s">
        <v>20012</v>
      </c>
    </row>
    <row r="31" customFormat="false" ht="15" hidden="false" customHeight="false" outlineLevel="0" collapsed="false">
      <c r="B31" s="19" t="s">
        <v>32646</v>
      </c>
      <c r="C31" s="20" t="n">
        <f aca="false">ROUND(31.2/FX,2)</f>
        <v>4.33</v>
      </c>
      <c r="D31" s="21" t="s">
        <v>724</v>
      </c>
      <c r="E31" s="21" t="s">
        <v>32642</v>
      </c>
      <c r="F31" s="21" t="s">
        <v>21225</v>
      </c>
      <c r="G31" s="21" t="s">
        <v>20009</v>
      </c>
    </row>
    <row r="32" customFormat="false" ht="15" hidden="false" customHeight="false" outlineLevel="0" collapsed="false">
      <c r="B32" s="19" t="s">
        <v>32647</v>
      </c>
      <c r="C32" s="20" t="n">
        <f aca="false">ROUND(31.2/FX,2)</f>
        <v>4.33</v>
      </c>
      <c r="D32" s="21" t="s">
        <v>724</v>
      </c>
      <c r="E32" s="21" t="s">
        <v>32642</v>
      </c>
      <c r="F32" s="21" t="s">
        <v>32624</v>
      </c>
      <c r="G32" s="21" t="s">
        <v>32625</v>
      </c>
    </row>
    <row r="33" customFormat="false" ht="15" hidden="false" customHeight="false" outlineLevel="0" collapsed="false">
      <c r="B33" s="19" t="s">
        <v>32648</v>
      </c>
      <c r="C33" s="20" t="n">
        <f aca="false">ROUND(31.2/FX,2)</f>
        <v>4.33</v>
      </c>
      <c r="D33" s="21" t="s">
        <v>724</v>
      </c>
      <c r="E33" s="21" t="s">
        <v>32642</v>
      </c>
      <c r="F33" s="21" t="s">
        <v>29288</v>
      </c>
      <c r="G33" s="21" t="s">
        <v>32612</v>
      </c>
    </row>
    <row r="34" customFormat="false" ht="15" hidden="false" customHeight="false" outlineLevel="0" collapsed="false">
      <c r="B34" s="19" t="s">
        <v>32649</v>
      </c>
      <c r="C34" s="20" t="n">
        <f aca="false">ROUND(29.9/FX,2)</f>
        <v>4.15</v>
      </c>
      <c r="D34" s="21" t="s">
        <v>6362</v>
      </c>
      <c r="E34" s="21" t="s">
        <v>32642</v>
      </c>
      <c r="F34" s="21" t="s">
        <v>32611</v>
      </c>
      <c r="G34" s="21" t="s">
        <v>32643</v>
      </c>
    </row>
    <row r="35" customFormat="false" ht="15" hidden="false" customHeight="false" outlineLevel="0" collapsed="false">
      <c r="B35" s="19" t="s">
        <v>32650</v>
      </c>
      <c r="C35" s="20" t="n">
        <f aca="false">ROUND(31.2/FX,2)</f>
        <v>4.33</v>
      </c>
      <c r="D35" s="21" t="s">
        <v>6362</v>
      </c>
      <c r="E35" s="21" t="s">
        <v>32642</v>
      </c>
      <c r="F35" s="21" t="s">
        <v>29407</v>
      </c>
      <c r="G35" s="21" t="s">
        <v>32612</v>
      </c>
    </row>
    <row r="36" customFormat="false" ht="15" hidden="false" customHeight="false" outlineLevel="0" collapsed="false">
      <c r="B36" s="19" t="s">
        <v>32651</v>
      </c>
      <c r="C36" s="20" t="n">
        <f aca="false">ROUND(31.2/FX,2)</f>
        <v>4.33</v>
      </c>
      <c r="D36" s="21" t="s">
        <v>6362</v>
      </c>
      <c r="E36" s="21" t="s">
        <v>32642</v>
      </c>
      <c r="F36" s="21" t="s">
        <v>29407</v>
      </c>
      <c r="G36" s="21" t="s">
        <v>20012</v>
      </c>
    </row>
    <row r="37" customFormat="false" ht="15" hidden="false" customHeight="false" outlineLevel="0" collapsed="false">
      <c r="B37" s="19" t="s">
        <v>32652</v>
      </c>
      <c r="C37" s="20" t="n">
        <f aca="false">ROUND(31.2/FX,2)</f>
        <v>4.33</v>
      </c>
      <c r="D37" s="21" t="s">
        <v>6362</v>
      </c>
      <c r="E37" s="21" t="s">
        <v>32642</v>
      </c>
      <c r="F37" s="21" t="s">
        <v>21225</v>
      </c>
      <c r="G37" s="21" t="s">
        <v>32612</v>
      </c>
    </row>
    <row r="38" customFormat="false" ht="15" hidden="false" customHeight="false" outlineLevel="0" collapsed="false">
      <c r="B38" s="19" t="s">
        <v>32653</v>
      </c>
      <c r="C38" s="20" t="n">
        <f aca="false">ROUND(31.2/FX,2)</f>
        <v>4.33</v>
      </c>
      <c r="D38" s="21" t="s">
        <v>6362</v>
      </c>
      <c r="E38" s="21" t="s">
        <v>32642</v>
      </c>
      <c r="F38" s="21" t="s">
        <v>21225</v>
      </c>
      <c r="G38" s="21" t="s">
        <v>32654</v>
      </c>
    </row>
    <row r="39" customFormat="false" ht="15" hidden="false" customHeight="false" outlineLevel="0" collapsed="false">
      <c r="B39" s="19" t="s">
        <v>32655</v>
      </c>
      <c r="C39" s="20" t="n">
        <f aca="false">ROUND(31.2/FX,2)</f>
        <v>4.33</v>
      </c>
      <c r="D39" s="21" t="s">
        <v>6362</v>
      </c>
      <c r="E39" s="21" t="s">
        <v>32642</v>
      </c>
      <c r="F39" s="21" t="s">
        <v>21225</v>
      </c>
      <c r="G39" s="21" t="s">
        <v>20009</v>
      </c>
    </row>
    <row r="40" customFormat="false" ht="15" hidden="false" customHeight="false" outlineLevel="0" collapsed="false">
      <c r="B40" s="19" t="s">
        <v>32656</v>
      </c>
      <c r="C40" s="20" t="n">
        <f aca="false">ROUND(31.2/FX,2)</f>
        <v>4.33</v>
      </c>
      <c r="D40" s="21" t="s">
        <v>6362</v>
      </c>
      <c r="E40" s="21" t="s">
        <v>32642</v>
      </c>
      <c r="F40" s="21" t="s">
        <v>32624</v>
      </c>
      <c r="G40" s="21" t="s">
        <v>32625</v>
      </c>
    </row>
    <row r="41" customFormat="false" ht="15" hidden="false" customHeight="false" outlineLevel="0" collapsed="false">
      <c r="B41" s="19" t="s">
        <v>32657</v>
      </c>
      <c r="C41" s="20" t="n">
        <f aca="false">ROUND(42.9/FX,2)</f>
        <v>5.96</v>
      </c>
      <c r="D41" s="21" t="s">
        <v>724</v>
      </c>
      <c r="E41" s="21" t="s">
        <v>32658</v>
      </c>
      <c r="F41" s="21" t="s">
        <v>29407</v>
      </c>
      <c r="G41" s="21" t="s">
        <v>20012</v>
      </c>
    </row>
    <row r="42" customFormat="false" ht="15" hidden="false" customHeight="false" outlineLevel="0" collapsed="false">
      <c r="B42" s="19" t="s">
        <v>32659</v>
      </c>
      <c r="C42" s="20" t="n">
        <f aca="false">ROUND(42.9/FX,2)</f>
        <v>5.96</v>
      </c>
      <c r="D42" s="21" t="s">
        <v>724</v>
      </c>
      <c r="E42" s="21" t="s">
        <v>32658</v>
      </c>
      <c r="F42" s="21" t="s">
        <v>21225</v>
      </c>
      <c r="G42" s="21" t="s">
        <v>20012</v>
      </c>
    </row>
    <row r="43" customFormat="false" ht="15" hidden="false" customHeight="false" outlineLevel="0" collapsed="false">
      <c r="B43" s="19" t="s">
        <v>32660</v>
      </c>
      <c r="C43" s="20" t="n">
        <f aca="false">ROUND(42.9/FX,2)</f>
        <v>5.96</v>
      </c>
      <c r="D43" s="21" t="s">
        <v>724</v>
      </c>
      <c r="E43" s="21" t="s">
        <v>32658</v>
      </c>
      <c r="F43" s="21" t="s">
        <v>32624</v>
      </c>
      <c r="G43" s="21" t="s">
        <v>20012</v>
      </c>
    </row>
    <row r="44" customFormat="false" ht="15" hidden="false" customHeight="false" outlineLevel="0" collapsed="false">
      <c r="B44" s="19" t="s">
        <v>32661</v>
      </c>
      <c r="C44" s="20" t="n">
        <f aca="false">ROUND(62.4/FX,2)</f>
        <v>8.67</v>
      </c>
      <c r="D44" s="21" t="s">
        <v>6362</v>
      </c>
      <c r="E44" s="21" t="s">
        <v>32658</v>
      </c>
      <c r="F44" s="21" t="s">
        <v>29407</v>
      </c>
      <c r="G44" s="21" t="s">
        <v>20012</v>
      </c>
    </row>
    <row r="45" customFormat="false" ht="15" hidden="false" customHeight="false" outlineLevel="0" collapsed="false">
      <c r="B45" s="19" t="s">
        <v>32662</v>
      </c>
      <c r="C45" s="20" t="n">
        <f aca="false">ROUND(44.2/FX,2)</f>
        <v>6.14</v>
      </c>
      <c r="D45" s="21" t="s">
        <v>6362</v>
      </c>
      <c r="E45" s="21" t="s">
        <v>32658</v>
      </c>
      <c r="F45" s="21" t="s">
        <v>21225</v>
      </c>
      <c r="G45" s="21" t="s">
        <v>20012</v>
      </c>
    </row>
    <row r="46" customFormat="false" ht="15" hidden="false" customHeight="false" outlineLevel="0" collapsed="false">
      <c r="B46" s="19" t="s">
        <v>32663</v>
      </c>
      <c r="C46" s="20" t="n">
        <f aca="false">ROUND(44.2/FX,2)</f>
        <v>6.14</v>
      </c>
      <c r="D46" s="21" t="s">
        <v>6362</v>
      </c>
      <c r="E46" s="21" t="s">
        <v>32658</v>
      </c>
      <c r="F46" s="21" t="s">
        <v>32624</v>
      </c>
      <c r="G46" s="21" t="s">
        <v>20012</v>
      </c>
    </row>
    <row r="47" customFormat="false" ht="15" hidden="false" customHeight="false" outlineLevel="0" collapsed="false">
      <c r="B47" s="19" t="s">
        <v>32664</v>
      </c>
      <c r="C47" s="20" t="n">
        <f aca="false">ROUND(45.5/FX,2)</f>
        <v>6.32</v>
      </c>
      <c r="D47" s="21" t="s">
        <v>724</v>
      </c>
      <c r="E47" s="21" t="s">
        <v>32665</v>
      </c>
      <c r="F47" s="21" t="s">
        <v>21225</v>
      </c>
      <c r="G47" s="21" t="s">
        <v>20016</v>
      </c>
    </row>
    <row r="48" customFormat="false" ht="15" hidden="false" customHeight="false" outlineLevel="0" collapsed="false">
      <c r="B48" s="19" t="s">
        <v>32666</v>
      </c>
      <c r="C48" s="20" t="n">
        <f aca="false">ROUND(45.5/FX,2)</f>
        <v>6.32</v>
      </c>
      <c r="D48" s="21" t="s">
        <v>6362</v>
      </c>
      <c r="E48" s="21" t="s">
        <v>32665</v>
      </c>
      <c r="F48" s="21" t="s">
        <v>29407</v>
      </c>
      <c r="G48" s="21" t="s">
        <v>20012</v>
      </c>
    </row>
    <row r="49" customFormat="false" ht="15" hidden="false" customHeight="false" outlineLevel="0" collapsed="false">
      <c r="B49" s="19" t="s">
        <v>32667</v>
      </c>
      <c r="C49" s="20" t="n">
        <f aca="false">ROUND(65/FX,2)</f>
        <v>9.03</v>
      </c>
      <c r="D49" s="21" t="s">
        <v>6362</v>
      </c>
      <c r="E49" s="21" t="s">
        <v>32665</v>
      </c>
      <c r="F49" s="21" t="s">
        <v>21225</v>
      </c>
      <c r="G49" s="21" t="s">
        <v>20012</v>
      </c>
    </row>
    <row r="50" customFormat="false" ht="15" hidden="false" customHeight="false" outlineLevel="0" collapsed="false">
      <c r="B50" s="19" t="s">
        <v>32668</v>
      </c>
      <c r="C50" s="20" t="n">
        <f aca="false">ROUND(65/FX,2)</f>
        <v>9.03</v>
      </c>
      <c r="D50" s="21" t="s">
        <v>6362</v>
      </c>
      <c r="E50" s="21" t="s">
        <v>32665</v>
      </c>
      <c r="F50" s="21" t="s">
        <v>21225</v>
      </c>
      <c r="G50" s="21" t="s">
        <v>20016</v>
      </c>
    </row>
    <row r="51" customFormat="false" ht="15" hidden="false" customHeight="false" outlineLevel="0" collapsed="false">
      <c r="B51" s="19" t="s">
        <v>32669</v>
      </c>
      <c r="C51" s="20" t="n">
        <f aca="false">ROUND(52/FX,2)</f>
        <v>7.22</v>
      </c>
      <c r="D51" s="21" t="s">
        <v>724</v>
      </c>
      <c r="E51" s="21" t="s">
        <v>32670</v>
      </c>
      <c r="F51" s="21" t="s">
        <v>32624</v>
      </c>
      <c r="G51" s="21" t="s">
        <v>20016</v>
      </c>
    </row>
    <row r="52" customFormat="false" ht="15" hidden="false" customHeight="false" outlineLevel="0" collapsed="false">
      <c r="B52" s="19" t="s">
        <v>32671</v>
      </c>
      <c r="C52" s="20" t="n">
        <f aca="false">ROUND(75.4/FX,2)</f>
        <v>10.47</v>
      </c>
      <c r="D52" s="21" t="s">
        <v>6362</v>
      </c>
      <c r="E52" s="21" t="s">
        <v>32670</v>
      </c>
      <c r="F52" s="21" t="s">
        <v>32624</v>
      </c>
      <c r="G52" s="21" t="s">
        <v>20016</v>
      </c>
    </row>
    <row r="53" customFormat="false" ht="15" hidden="false" customHeight="false" outlineLevel="0" collapsed="false">
      <c r="B53" s="19" t="s">
        <v>32672</v>
      </c>
      <c r="C53" s="20" t="n">
        <f aca="false">ROUND(62.4/FX,2)</f>
        <v>8.67</v>
      </c>
      <c r="D53" s="21" t="s">
        <v>6362</v>
      </c>
      <c r="E53" s="21" t="s">
        <v>32673</v>
      </c>
      <c r="F53" s="21" t="s">
        <v>21225</v>
      </c>
      <c r="G53" s="21" t="s">
        <v>20016</v>
      </c>
    </row>
    <row r="54" customFormat="false" ht="15" hidden="false" customHeight="false" outlineLevel="0" collapsed="false">
      <c r="B54" s="19" t="s">
        <v>32674</v>
      </c>
      <c r="C54" s="20" t="n">
        <f aca="false">ROUND(68.9/FX,2)</f>
        <v>9.57</v>
      </c>
      <c r="D54" s="21" t="s">
        <v>724</v>
      </c>
      <c r="E54" s="21" t="s">
        <v>32675</v>
      </c>
      <c r="F54" s="21" t="s">
        <v>21225</v>
      </c>
      <c r="G54" s="21" t="s">
        <v>20014</v>
      </c>
    </row>
    <row r="55" customFormat="false" ht="15" hidden="false" customHeight="false" outlineLevel="0" collapsed="false">
      <c r="B55" s="19" t="s">
        <v>32676</v>
      </c>
      <c r="C55" s="20" t="n">
        <f aca="false">ROUND(68.9/FX,2)</f>
        <v>9.57</v>
      </c>
      <c r="D55" s="21" t="s">
        <v>6362</v>
      </c>
      <c r="E55" s="21" t="s">
        <v>32675</v>
      </c>
      <c r="F55" s="21" t="s">
        <v>21225</v>
      </c>
      <c r="G55" s="21" t="s">
        <v>20014</v>
      </c>
    </row>
    <row r="56" customFormat="false" ht="15" hidden="false" customHeight="false" outlineLevel="0" collapsed="false">
      <c r="B56" s="19" t="s">
        <v>32677</v>
      </c>
      <c r="C56" s="20" t="n">
        <f aca="false">ROUND(76.7/FX,2)</f>
        <v>10.65</v>
      </c>
      <c r="D56" s="21" t="s">
        <v>6362</v>
      </c>
      <c r="E56" s="21" t="s">
        <v>32678</v>
      </c>
      <c r="F56" s="21" t="s">
        <v>21225</v>
      </c>
      <c r="G56" s="21" t="s">
        <v>20014</v>
      </c>
    </row>
    <row r="57" customFormat="false" ht="15" hidden="false" customHeight="false" outlineLevel="0" collapsed="false">
      <c r="B57" s="19" t="s">
        <v>32679</v>
      </c>
      <c r="C57" s="20" t="n">
        <f aca="false">ROUND(123.5/FX,2)</f>
        <v>17.15</v>
      </c>
      <c r="D57" s="21" t="s">
        <v>6362</v>
      </c>
      <c r="E57" s="21" t="s">
        <v>32680</v>
      </c>
      <c r="F57" s="21" t="s">
        <v>32611</v>
      </c>
      <c r="G57" s="21" t="s">
        <v>20014</v>
      </c>
    </row>
    <row r="58" customFormat="false" ht="15" hidden="false" customHeight="false" outlineLevel="0" collapsed="false">
      <c r="B58" s="19" t="s">
        <v>32681</v>
      </c>
      <c r="C58" s="20" t="n">
        <f aca="false">ROUND(123.5/FX,2)</f>
        <v>17.15</v>
      </c>
      <c r="D58" s="21" t="s">
        <v>6362</v>
      </c>
      <c r="E58" s="21" t="s">
        <v>32680</v>
      </c>
      <c r="F58" s="21" t="s">
        <v>21225</v>
      </c>
      <c r="G58" s="21" t="s">
        <v>20014</v>
      </c>
    </row>
    <row r="59" customFormat="false" ht="15" hidden="false" customHeight="false" outlineLevel="0" collapsed="false">
      <c r="B59" s="19" t="s">
        <v>32682</v>
      </c>
      <c r="C59" s="20" t="n">
        <f aca="false">ROUND(123.5/FX,2)</f>
        <v>17.15</v>
      </c>
      <c r="D59" s="21" t="s">
        <v>6362</v>
      </c>
      <c r="E59" s="21" t="s">
        <v>32680</v>
      </c>
      <c r="F59" s="21" t="s">
        <v>21225</v>
      </c>
      <c r="G59" s="21" t="s">
        <v>32625</v>
      </c>
    </row>
    <row r="60" customFormat="false" ht="15" hidden="false" customHeight="false" outlineLevel="0" collapsed="false">
      <c r="B60" s="19" t="s">
        <v>32683</v>
      </c>
      <c r="C60" s="20" t="n">
        <f aca="false">ROUND(107.9/FX,2)</f>
        <v>14.99</v>
      </c>
      <c r="D60" s="21" t="s">
        <v>724</v>
      </c>
      <c r="E60" s="21" t="s">
        <v>32684</v>
      </c>
      <c r="F60" s="21" t="s">
        <v>21225</v>
      </c>
      <c r="G60" s="21" t="s">
        <v>22166</v>
      </c>
    </row>
    <row r="61" customFormat="false" ht="15" hidden="false" customHeight="false" outlineLevel="0" collapsed="false">
      <c r="B61" s="19" t="s">
        <v>32685</v>
      </c>
      <c r="C61" s="20" t="n">
        <f aca="false">ROUND(143/FX,2)</f>
        <v>19.86</v>
      </c>
      <c r="D61" s="21" t="s">
        <v>6362</v>
      </c>
      <c r="E61" s="21" t="s">
        <v>32684</v>
      </c>
      <c r="F61" s="21" t="s">
        <v>21225</v>
      </c>
      <c r="G61" s="21" t="s">
        <v>32625</v>
      </c>
    </row>
    <row r="62" customFormat="false" ht="15" hidden="false" customHeight="false" outlineLevel="0" collapsed="false">
      <c r="B62" s="19" t="s">
        <v>32686</v>
      </c>
      <c r="C62" s="20" t="n">
        <f aca="false">ROUND(143/FX,2)</f>
        <v>19.86</v>
      </c>
      <c r="D62" s="21" t="s">
        <v>6362</v>
      </c>
      <c r="E62" s="21" t="s">
        <v>32684</v>
      </c>
      <c r="F62" s="21" t="s">
        <v>21225</v>
      </c>
      <c r="G62" s="21" t="s">
        <v>22166</v>
      </c>
    </row>
    <row r="63" customFormat="false" ht="15" hidden="false" customHeight="false" outlineLevel="0" collapsed="false">
      <c r="B63" s="19" t="s">
        <v>32687</v>
      </c>
      <c r="C63" s="20" t="n">
        <f aca="false">ROUND(120.9/FX,2)</f>
        <v>16.79</v>
      </c>
      <c r="D63" s="21" t="s">
        <v>724</v>
      </c>
      <c r="E63" s="21" t="s">
        <v>32688</v>
      </c>
      <c r="F63" s="21" t="s">
        <v>32624</v>
      </c>
      <c r="G63" s="21" t="s">
        <v>32689</v>
      </c>
    </row>
    <row r="64" customFormat="false" ht="15" hidden="false" customHeight="false" outlineLevel="0" collapsed="false">
      <c r="B64" s="19" t="s">
        <v>32690</v>
      </c>
      <c r="C64" s="20" t="n">
        <f aca="false">ROUND(122.2/FX,2)</f>
        <v>16.97</v>
      </c>
      <c r="D64" s="21" t="s">
        <v>6362</v>
      </c>
      <c r="E64" s="21" t="s">
        <v>32688</v>
      </c>
      <c r="F64" s="21" t="s">
        <v>32624</v>
      </c>
      <c r="G64" s="21" t="s">
        <v>32689</v>
      </c>
    </row>
    <row r="65" customFormat="false" ht="15" hidden="false" customHeight="false" outlineLevel="0" collapsed="false">
      <c r="B65" s="19" t="s">
        <v>32691</v>
      </c>
      <c r="C65" s="20" t="n">
        <f aca="false">ROUND(187.2/FX,2)</f>
        <v>26</v>
      </c>
      <c r="D65" s="21" t="s">
        <v>6362</v>
      </c>
      <c r="E65" s="21" t="s">
        <v>32692</v>
      </c>
      <c r="F65" s="21" t="s">
        <v>32611</v>
      </c>
      <c r="G65" s="21" t="s">
        <v>32693</v>
      </c>
    </row>
    <row r="68" customFormat="false" ht="61.5" hidden="false" customHeight="true" outlineLevel="0" collapsed="false">
      <c r="A68" s="9"/>
      <c r="B68" s="10" t="s">
        <v>32694</v>
      </c>
      <c r="C68" s="10"/>
      <c r="D68" s="10"/>
    </row>
    <row r="69" customFormat="false" ht="15" hidden="false" customHeight="false" outlineLevel="0" collapsed="false">
      <c r="A69" s="12" t="s">
        <v>700</v>
      </c>
      <c r="B69" s="13" t="s">
        <v>701</v>
      </c>
      <c r="C69" s="13" t="s">
        <v>702</v>
      </c>
      <c r="D69" s="13" t="s">
        <v>6523</v>
      </c>
    </row>
    <row r="70" customFormat="false" ht="30" hidden="false" customHeight="true" outlineLevel="0" collapsed="false">
      <c r="A70" s="14" t="s">
        <v>706</v>
      </c>
      <c r="B70" s="15" t="str">
        <f aca="false">IF(COUNTIFS($D$73:$D$75,IF(D70="","*",D70))=1,INDEX($B:$B,SUMPRODUCT(((D70="")+($D$73:$D$75=D70)&gt;0)*ROW($B$73:$B$75))),IF(COUNTIFS($D$73:$D$75,IF(D70="","*",D70))=0,"Not available",COUNTIFS($D$73:$D$75,IF(D70="","*",D70))&amp;" match, keep choosing"))</f>
        <v>MK3-AL-100x100x2</v>
      </c>
      <c r="C70" s="16" t="n">
        <f aca="false">IF(COUNTIFS($D$73:$D$75,IF(D70="","*",D70))=1,INDEX($C:$C,SUMPRODUCT(((D70="")+($D$73:$D$75=D70)&gt;0)*ROW($B$73:$B$75))),"")</f>
        <v>5</v>
      </c>
      <c r="D70" s="17" t="s">
        <v>32695</v>
      </c>
    </row>
    <row r="72" customFormat="false" ht="15" hidden="false" customHeight="false" outlineLevel="0" collapsed="false">
      <c r="B72" s="18" t="s">
        <v>701</v>
      </c>
      <c r="C72" s="18" t="s">
        <v>702</v>
      </c>
      <c r="D72" s="18" t="s">
        <v>6523</v>
      </c>
    </row>
    <row r="73" customFormat="false" ht="15" hidden="false" customHeight="false" outlineLevel="0" collapsed="false">
      <c r="B73" s="19" t="s">
        <v>32696</v>
      </c>
      <c r="C73" s="20" t="n">
        <f aca="false">ROUND(35.97/FX,2)</f>
        <v>5</v>
      </c>
      <c r="D73" s="21" t="s">
        <v>32695</v>
      </c>
    </row>
    <row r="74" customFormat="false" ht="15" hidden="false" customHeight="false" outlineLevel="0" collapsed="false">
      <c r="B74" s="19" t="s">
        <v>32697</v>
      </c>
      <c r="C74" s="20" t="n">
        <f aca="false">ROUND(23/FX,2)</f>
        <v>3.19</v>
      </c>
      <c r="D74" s="21" t="s">
        <v>32698</v>
      </c>
    </row>
    <row r="75" customFormat="false" ht="15" hidden="false" customHeight="false" outlineLevel="0" collapsed="false">
      <c r="B75" s="19" t="s">
        <v>32699</v>
      </c>
      <c r="C75" s="20" t="n">
        <f aca="false">ROUND(28.28/FX,2)</f>
        <v>3.93</v>
      </c>
      <c r="D75" s="21" t="s">
        <v>32700</v>
      </c>
    </row>
    <row r="78" customFormat="false" ht="61.5" hidden="false" customHeight="true" outlineLevel="0" collapsed="false">
      <c r="A78" s="9"/>
      <c r="B78" s="10" t="s">
        <v>32701</v>
      </c>
      <c r="C78" s="10"/>
      <c r="D78" s="10"/>
      <c r="E78" s="10"/>
      <c r="F78" s="10"/>
      <c r="G78" s="10"/>
      <c r="H78" s="10"/>
    </row>
    <row r="79" customFormat="false" ht="15" hidden="false" customHeight="false" outlineLevel="0" collapsed="false">
      <c r="A79" s="12" t="s">
        <v>700</v>
      </c>
      <c r="B79" s="13" t="s">
        <v>701</v>
      </c>
      <c r="C79" s="13" t="s">
        <v>702</v>
      </c>
      <c r="D79" s="13" t="s">
        <v>722</v>
      </c>
      <c r="E79" s="13" t="s">
        <v>723</v>
      </c>
      <c r="F79" s="13" t="s">
        <v>32610</v>
      </c>
      <c r="G79" s="13" t="s">
        <v>21219</v>
      </c>
      <c r="H79" s="13" t="s">
        <v>20008</v>
      </c>
    </row>
    <row r="80" customFormat="false" ht="30" hidden="false" customHeight="true" outlineLevel="0" collapsed="false">
      <c r="A80" s="14" t="s">
        <v>706</v>
      </c>
      <c r="B80" s="15" t="str">
        <f aca="false">IF(COUNTIFS($D$83:$D$281,IF(D80="","*",D80),$E$83:$E$281,IF(E80="","*",E80),$F$83:$F$281,IF(F80="","*",F80),$G$83:$G$281,IF(G80="","*",G80),$H$83:$H$281,IF(H80="","*",H80))=1,INDEX($B:$B,SUMPRODUCT(((D80="")+($D$83:$D$281=D80)&gt;0)*((E80="")+($E$83:$E$281=E80)&gt;0)*((F80="")+($F$83:$F$281=F80)&gt;0)*((G80="")+($G$83:$G$281=G80)&gt;0)*((H80="")+($H$83:$H$281=H80)&gt;0)*ROW($B$83:$B$281))),IF(COUNTIFS($D$83:$D$281,IF(D80="","*",D80),$E$83:$E$281,IF(E80="","*",E80),$F$83:$F$281,IF(F80="","*",F80),$G$83:$G$281,IF(G80="","*",G80),$H$83:$H$281,IF(H80="","*",H80))=0,"Not available",COUNTIFS($D$83:$D$281,IF(D80="","*",D80),$E$83:$E$281,IF(E80="","*",E80),$F$83:$F$281,IF(F80="","*",F80),$G$83:$G$281,IF(G80="","*",G80),$H$83:$H$281,IF(H80="","*",H80))&amp;" match, keep choosing"))</f>
        <v>HP-100x200-BK-12V-50W</v>
      </c>
      <c r="C80" s="16" t="n">
        <f aca="false">IF(COUNTIFS($D$83:$D$281,IF(D80="","*",D80),$E$83:$E$281,IF(E80="","*",E80),$F$83:$F$281,IF(F80="","*",F80),$G$83:$G$281,IF(G80="","*",G80),$H$83:$H$281,IF(H80="","*",H80))=1,INDEX($C:$C,SUMPRODUCT(((D80="")+($D$83:$D$281=D80)&gt;0)*((E80="")+($E$83:$E$281=E80)&gt;0)*((F80="")+($F$83:$F$281=F80)&gt;0)*((G80="")+($G$83:$G$281=G80)&gt;0)*((H80="")+($H$83:$H$281=H80)&gt;0)*ROW($B$83:$B$281))),"")</f>
        <v>2.08</v>
      </c>
      <c r="D80" s="17" t="s">
        <v>724</v>
      </c>
      <c r="E80" s="17" t="s">
        <v>734</v>
      </c>
      <c r="F80" s="17" t="s">
        <v>32702</v>
      </c>
      <c r="G80" s="17" t="s">
        <v>29407</v>
      </c>
      <c r="H80" s="17" t="s">
        <v>29413</v>
      </c>
    </row>
    <row r="82" customFormat="false" ht="15" hidden="false" customHeight="false" outlineLevel="0" collapsed="false">
      <c r="B82" s="18" t="s">
        <v>701</v>
      </c>
      <c r="C82" s="18" t="s">
        <v>702</v>
      </c>
      <c r="D82" s="18" t="s">
        <v>722</v>
      </c>
      <c r="E82" s="18" t="s">
        <v>723</v>
      </c>
      <c r="F82" s="18" t="s">
        <v>32610</v>
      </c>
      <c r="G82" s="18" t="s">
        <v>21219</v>
      </c>
      <c r="H82" s="18" t="s">
        <v>20008</v>
      </c>
    </row>
    <row r="83" customFormat="false" ht="15" hidden="false" customHeight="false" outlineLevel="0" collapsed="false">
      <c r="B83" s="19" t="s">
        <v>32703</v>
      </c>
      <c r="C83" s="20" t="n">
        <f aca="false">ROUND(15/FX,2)</f>
        <v>2.08</v>
      </c>
      <c r="D83" s="21" t="s">
        <v>724</v>
      </c>
      <c r="E83" s="21" t="s">
        <v>734</v>
      </c>
      <c r="F83" s="21" t="s">
        <v>32702</v>
      </c>
      <c r="G83" s="21" t="s">
        <v>29407</v>
      </c>
      <c r="H83" s="21" t="s">
        <v>29413</v>
      </c>
    </row>
    <row r="84" customFormat="false" ht="15" hidden="false" customHeight="false" outlineLevel="0" collapsed="false">
      <c r="B84" s="19" t="s">
        <v>32704</v>
      </c>
      <c r="C84" s="20" t="n">
        <f aca="false">ROUND(19.5/FX,2)</f>
        <v>2.71</v>
      </c>
      <c r="D84" s="21" t="s">
        <v>6362</v>
      </c>
      <c r="E84" s="21" t="s">
        <v>734</v>
      </c>
      <c r="F84" s="21" t="s">
        <v>32702</v>
      </c>
      <c r="G84" s="21" t="s">
        <v>29407</v>
      </c>
      <c r="H84" s="21" t="s">
        <v>29413</v>
      </c>
    </row>
    <row r="85" customFormat="false" ht="15" hidden="false" customHeight="false" outlineLevel="0" collapsed="false">
      <c r="B85" s="19" t="s">
        <v>32705</v>
      </c>
      <c r="C85" s="20" t="n">
        <f aca="false">ROUND(15/FX,2)</f>
        <v>2.08</v>
      </c>
      <c r="D85" s="21" t="s">
        <v>6362</v>
      </c>
      <c r="E85" s="21" t="s">
        <v>734</v>
      </c>
      <c r="F85" s="21" t="s">
        <v>32702</v>
      </c>
      <c r="G85" s="21" t="s">
        <v>21225</v>
      </c>
      <c r="H85" s="21" t="s">
        <v>29413</v>
      </c>
    </row>
    <row r="86" customFormat="false" ht="15" hidden="false" customHeight="false" outlineLevel="0" collapsed="false">
      <c r="B86" s="19" t="s">
        <v>32706</v>
      </c>
      <c r="C86" s="20" t="n">
        <f aca="false">ROUND(22.49/FX,2)</f>
        <v>3.12</v>
      </c>
      <c r="D86" s="21" t="s">
        <v>724</v>
      </c>
      <c r="E86" s="21" t="s">
        <v>734</v>
      </c>
      <c r="F86" s="21" t="s">
        <v>32707</v>
      </c>
      <c r="G86" s="21" t="s">
        <v>21225</v>
      </c>
      <c r="H86" s="21" t="s">
        <v>29408</v>
      </c>
    </row>
    <row r="87" customFormat="false" ht="15" hidden="false" customHeight="false" outlineLevel="0" collapsed="false">
      <c r="B87" s="19" t="s">
        <v>32708</v>
      </c>
      <c r="C87" s="20" t="n">
        <f aca="false">ROUND(32.5/FX,2)</f>
        <v>4.51</v>
      </c>
      <c r="D87" s="21" t="s">
        <v>6362</v>
      </c>
      <c r="E87" s="21" t="s">
        <v>734</v>
      </c>
      <c r="F87" s="21" t="s">
        <v>32707</v>
      </c>
      <c r="G87" s="21" t="s">
        <v>21225</v>
      </c>
      <c r="H87" s="21" t="s">
        <v>29408</v>
      </c>
    </row>
    <row r="88" customFormat="false" ht="15" hidden="false" customHeight="false" outlineLevel="0" collapsed="false">
      <c r="B88" s="19" t="s">
        <v>32709</v>
      </c>
      <c r="C88" s="20" t="n">
        <f aca="false">ROUND(41.6/FX,2)</f>
        <v>5.78</v>
      </c>
      <c r="D88" s="21" t="s">
        <v>6362</v>
      </c>
      <c r="E88" s="21" t="s">
        <v>734</v>
      </c>
      <c r="F88" s="21" t="s">
        <v>32710</v>
      </c>
      <c r="G88" s="21" t="s">
        <v>29288</v>
      </c>
      <c r="H88" s="21" t="s">
        <v>20009</v>
      </c>
    </row>
    <row r="89" customFormat="false" ht="15" hidden="false" customHeight="false" outlineLevel="0" collapsed="false">
      <c r="B89" s="19" t="s">
        <v>32711</v>
      </c>
      <c r="C89" s="20" t="n">
        <f aca="false">ROUND(26.65/FX,2)</f>
        <v>3.7</v>
      </c>
      <c r="D89" s="21" t="s">
        <v>724</v>
      </c>
      <c r="E89" s="21" t="s">
        <v>734</v>
      </c>
      <c r="F89" s="21" t="s">
        <v>32712</v>
      </c>
      <c r="G89" s="21" t="s">
        <v>29407</v>
      </c>
      <c r="H89" s="21" t="s">
        <v>20009</v>
      </c>
    </row>
    <row r="90" customFormat="false" ht="15" hidden="false" customHeight="false" outlineLevel="0" collapsed="false">
      <c r="B90" s="19" t="s">
        <v>32713</v>
      </c>
      <c r="C90" s="20" t="n">
        <f aca="false">ROUND(26.65/FX,2)</f>
        <v>3.7</v>
      </c>
      <c r="D90" s="21" t="s">
        <v>6362</v>
      </c>
      <c r="E90" s="21" t="s">
        <v>734</v>
      </c>
      <c r="F90" s="21" t="s">
        <v>32712</v>
      </c>
      <c r="G90" s="21" t="s">
        <v>29407</v>
      </c>
      <c r="H90" s="21" t="s">
        <v>20009</v>
      </c>
    </row>
    <row r="91" customFormat="false" ht="15" hidden="false" customHeight="false" outlineLevel="0" collapsed="false">
      <c r="B91" s="19" t="s">
        <v>32714</v>
      </c>
      <c r="C91" s="20" t="n">
        <f aca="false">ROUND(29.9/FX,2)</f>
        <v>4.15</v>
      </c>
      <c r="D91" s="21" t="s">
        <v>724</v>
      </c>
      <c r="E91" s="21" t="s">
        <v>734</v>
      </c>
      <c r="F91" s="21" t="s">
        <v>32715</v>
      </c>
      <c r="G91" s="21" t="s">
        <v>32611</v>
      </c>
      <c r="H91" s="21" t="s">
        <v>32612</v>
      </c>
    </row>
    <row r="92" customFormat="false" ht="15" hidden="false" customHeight="false" outlineLevel="0" collapsed="false">
      <c r="B92" s="19" t="s">
        <v>32716</v>
      </c>
      <c r="C92" s="20" t="n">
        <f aca="false">ROUND(29.9/FX,2)</f>
        <v>4.15</v>
      </c>
      <c r="D92" s="21" t="s">
        <v>724</v>
      </c>
      <c r="E92" s="21" t="s">
        <v>734</v>
      </c>
      <c r="F92" s="21" t="s">
        <v>32715</v>
      </c>
      <c r="G92" s="21" t="s">
        <v>32611</v>
      </c>
      <c r="H92" s="21" t="s">
        <v>20012</v>
      </c>
    </row>
    <row r="93" customFormat="false" ht="15" hidden="false" customHeight="false" outlineLevel="0" collapsed="false">
      <c r="B93" s="19" t="s">
        <v>32717</v>
      </c>
      <c r="C93" s="20" t="n">
        <f aca="false">ROUND(29.9/FX,2)</f>
        <v>4.15</v>
      </c>
      <c r="D93" s="21" t="s">
        <v>724</v>
      </c>
      <c r="E93" s="21" t="s">
        <v>734</v>
      </c>
      <c r="F93" s="21" t="s">
        <v>32715</v>
      </c>
      <c r="G93" s="21" t="s">
        <v>32718</v>
      </c>
      <c r="H93" s="21" t="s">
        <v>20012</v>
      </c>
    </row>
    <row r="94" customFormat="false" ht="15" hidden="false" customHeight="false" outlineLevel="0" collapsed="false">
      <c r="B94" s="19" t="s">
        <v>32719</v>
      </c>
      <c r="C94" s="20" t="n">
        <f aca="false">ROUND(29.9/FX,2)</f>
        <v>4.15</v>
      </c>
      <c r="D94" s="21" t="s">
        <v>724</v>
      </c>
      <c r="E94" s="21" t="s">
        <v>734</v>
      </c>
      <c r="F94" s="21" t="s">
        <v>32715</v>
      </c>
      <c r="G94" s="21" t="s">
        <v>29407</v>
      </c>
      <c r="H94" s="21" t="s">
        <v>32612</v>
      </c>
    </row>
    <row r="95" customFormat="false" ht="15" hidden="false" customHeight="false" outlineLevel="0" collapsed="false">
      <c r="B95" s="19" t="s">
        <v>32720</v>
      </c>
      <c r="C95" s="20" t="n">
        <f aca="false">ROUND(29.9/FX,2)</f>
        <v>4.15</v>
      </c>
      <c r="D95" s="21" t="s">
        <v>724</v>
      </c>
      <c r="E95" s="21" t="s">
        <v>734</v>
      </c>
      <c r="F95" s="21" t="s">
        <v>32715</v>
      </c>
      <c r="G95" s="21" t="s">
        <v>29407</v>
      </c>
      <c r="H95" s="21" t="s">
        <v>20012</v>
      </c>
    </row>
    <row r="96" customFormat="false" ht="15" hidden="false" customHeight="false" outlineLevel="0" collapsed="false">
      <c r="B96" s="19" t="s">
        <v>32721</v>
      </c>
      <c r="C96" s="20" t="n">
        <f aca="false">ROUND(29.9/FX,2)</f>
        <v>4.15</v>
      </c>
      <c r="D96" s="21" t="s">
        <v>724</v>
      </c>
      <c r="E96" s="21" t="s">
        <v>734</v>
      </c>
      <c r="F96" s="21" t="s">
        <v>32715</v>
      </c>
      <c r="G96" s="21" t="s">
        <v>21225</v>
      </c>
      <c r="H96" s="21" t="s">
        <v>32612</v>
      </c>
    </row>
    <row r="97" customFormat="false" ht="15" hidden="false" customHeight="false" outlineLevel="0" collapsed="false">
      <c r="B97" s="19" t="s">
        <v>32722</v>
      </c>
      <c r="C97" s="20" t="n">
        <f aca="false">ROUND(29.9/FX,2)</f>
        <v>4.15</v>
      </c>
      <c r="D97" s="21" t="s">
        <v>724</v>
      </c>
      <c r="E97" s="21" t="s">
        <v>734</v>
      </c>
      <c r="F97" s="21" t="s">
        <v>32715</v>
      </c>
      <c r="G97" s="21" t="s">
        <v>21225</v>
      </c>
      <c r="H97" s="21" t="s">
        <v>20009</v>
      </c>
    </row>
    <row r="98" customFormat="false" ht="15" hidden="false" customHeight="false" outlineLevel="0" collapsed="false">
      <c r="B98" s="19" t="s">
        <v>32723</v>
      </c>
      <c r="C98" s="20" t="n">
        <f aca="false">ROUND(29.9/FX,2)</f>
        <v>4.15</v>
      </c>
      <c r="D98" s="21" t="s">
        <v>724</v>
      </c>
      <c r="E98" s="21" t="s">
        <v>734</v>
      </c>
      <c r="F98" s="21" t="s">
        <v>32715</v>
      </c>
      <c r="G98" s="21" t="s">
        <v>21225</v>
      </c>
      <c r="H98" s="21" t="s">
        <v>20012</v>
      </c>
    </row>
    <row r="99" customFormat="false" ht="15" hidden="false" customHeight="false" outlineLevel="0" collapsed="false">
      <c r="B99" s="19" t="s">
        <v>32724</v>
      </c>
      <c r="C99" s="20" t="n">
        <f aca="false">ROUND(29.9/FX,2)</f>
        <v>4.15</v>
      </c>
      <c r="D99" s="21" t="s">
        <v>724</v>
      </c>
      <c r="E99" s="21" t="s">
        <v>734</v>
      </c>
      <c r="F99" s="21" t="s">
        <v>32715</v>
      </c>
      <c r="G99" s="21" t="s">
        <v>21225</v>
      </c>
      <c r="H99" s="21" t="s">
        <v>32725</v>
      </c>
    </row>
    <row r="100" customFormat="false" ht="15" hidden="false" customHeight="false" outlineLevel="0" collapsed="false">
      <c r="B100" s="19" t="s">
        <v>32726</v>
      </c>
      <c r="C100" s="20" t="n">
        <f aca="false">ROUND(29.9/FX,2)</f>
        <v>4.15</v>
      </c>
      <c r="D100" s="21" t="s">
        <v>724</v>
      </c>
      <c r="E100" s="21" t="s">
        <v>734</v>
      </c>
      <c r="F100" s="21" t="s">
        <v>32715</v>
      </c>
      <c r="G100" s="21" t="s">
        <v>32727</v>
      </c>
      <c r="H100" s="21" t="s">
        <v>32725</v>
      </c>
    </row>
    <row r="101" customFormat="false" ht="15" hidden="false" customHeight="false" outlineLevel="0" collapsed="false">
      <c r="B101" s="19" t="s">
        <v>32728</v>
      </c>
      <c r="C101" s="20" t="n">
        <f aca="false">ROUND(29.9/FX,2)</f>
        <v>4.15</v>
      </c>
      <c r="D101" s="21" t="s">
        <v>724</v>
      </c>
      <c r="E101" s="21" t="s">
        <v>734</v>
      </c>
      <c r="F101" s="21" t="s">
        <v>32715</v>
      </c>
      <c r="G101" s="21" t="s">
        <v>29288</v>
      </c>
      <c r="H101" s="21" t="s">
        <v>32612</v>
      </c>
    </row>
    <row r="102" customFormat="false" ht="15" hidden="false" customHeight="false" outlineLevel="0" collapsed="false">
      <c r="B102" s="19" t="s">
        <v>32729</v>
      </c>
      <c r="C102" s="20" t="n">
        <f aca="false">ROUND(29.9/FX,2)</f>
        <v>4.15</v>
      </c>
      <c r="D102" s="21" t="s">
        <v>724</v>
      </c>
      <c r="E102" s="21" t="s">
        <v>734</v>
      </c>
      <c r="F102" s="21" t="s">
        <v>32715</v>
      </c>
      <c r="G102" s="21" t="s">
        <v>29288</v>
      </c>
      <c r="H102" s="21" t="s">
        <v>20012</v>
      </c>
    </row>
    <row r="103" customFormat="false" ht="15" hidden="false" customHeight="false" outlineLevel="0" collapsed="false">
      <c r="B103" s="19" t="s">
        <v>32730</v>
      </c>
      <c r="C103" s="20" t="n">
        <f aca="false">ROUND(29.9/FX,2)</f>
        <v>4.15</v>
      </c>
      <c r="D103" s="21" t="s">
        <v>6362</v>
      </c>
      <c r="E103" s="21" t="s">
        <v>734</v>
      </c>
      <c r="F103" s="21" t="s">
        <v>32715</v>
      </c>
      <c r="G103" s="21" t="s">
        <v>32611</v>
      </c>
      <c r="H103" s="21" t="s">
        <v>32612</v>
      </c>
    </row>
    <row r="104" customFormat="false" ht="15" hidden="false" customHeight="false" outlineLevel="0" collapsed="false">
      <c r="B104" s="19" t="s">
        <v>32731</v>
      </c>
      <c r="C104" s="20" t="n">
        <f aca="false">ROUND(29.9/FX,2)</f>
        <v>4.15</v>
      </c>
      <c r="D104" s="21" t="s">
        <v>6362</v>
      </c>
      <c r="E104" s="21" t="s">
        <v>734</v>
      </c>
      <c r="F104" s="21" t="s">
        <v>32715</v>
      </c>
      <c r="G104" s="21" t="s">
        <v>32611</v>
      </c>
      <c r="H104" s="21" t="s">
        <v>20012</v>
      </c>
    </row>
    <row r="105" customFormat="false" ht="15" hidden="false" customHeight="false" outlineLevel="0" collapsed="false">
      <c r="B105" s="19" t="s">
        <v>32732</v>
      </c>
      <c r="C105" s="20" t="n">
        <f aca="false">ROUND(29.9/FX,2)</f>
        <v>4.15</v>
      </c>
      <c r="D105" s="21" t="s">
        <v>6362</v>
      </c>
      <c r="E105" s="21" t="s">
        <v>734</v>
      </c>
      <c r="F105" s="21" t="s">
        <v>32715</v>
      </c>
      <c r="G105" s="21" t="s">
        <v>32718</v>
      </c>
      <c r="H105" s="21" t="s">
        <v>20012</v>
      </c>
    </row>
    <row r="106" customFormat="false" ht="15" hidden="false" customHeight="false" outlineLevel="0" collapsed="false">
      <c r="B106" s="19" t="s">
        <v>32733</v>
      </c>
      <c r="C106" s="20" t="n">
        <f aca="false">ROUND(29.9/FX,2)</f>
        <v>4.15</v>
      </c>
      <c r="D106" s="21" t="s">
        <v>6362</v>
      </c>
      <c r="E106" s="21" t="s">
        <v>734</v>
      </c>
      <c r="F106" s="21" t="s">
        <v>32715</v>
      </c>
      <c r="G106" s="21" t="s">
        <v>29407</v>
      </c>
      <c r="H106" s="21" t="s">
        <v>32612</v>
      </c>
    </row>
    <row r="107" customFormat="false" ht="15" hidden="false" customHeight="false" outlineLevel="0" collapsed="false">
      <c r="B107" s="19" t="s">
        <v>32734</v>
      </c>
      <c r="C107" s="20" t="n">
        <f aca="false">ROUND(29.9/FX,2)</f>
        <v>4.15</v>
      </c>
      <c r="D107" s="21" t="s">
        <v>6362</v>
      </c>
      <c r="E107" s="21" t="s">
        <v>734</v>
      </c>
      <c r="F107" s="21" t="s">
        <v>32715</v>
      </c>
      <c r="G107" s="21" t="s">
        <v>29407</v>
      </c>
      <c r="H107" s="21" t="s">
        <v>20012</v>
      </c>
    </row>
    <row r="108" customFormat="false" ht="15" hidden="false" customHeight="false" outlineLevel="0" collapsed="false">
      <c r="B108" s="19" t="s">
        <v>32735</v>
      </c>
      <c r="C108" s="20" t="n">
        <f aca="false">ROUND(29.9/FX,2)</f>
        <v>4.15</v>
      </c>
      <c r="D108" s="21" t="s">
        <v>6362</v>
      </c>
      <c r="E108" s="21" t="s">
        <v>734</v>
      </c>
      <c r="F108" s="21" t="s">
        <v>32715</v>
      </c>
      <c r="G108" s="21" t="s">
        <v>21225</v>
      </c>
      <c r="H108" s="21" t="s">
        <v>32612</v>
      </c>
    </row>
    <row r="109" customFormat="false" ht="15" hidden="false" customHeight="false" outlineLevel="0" collapsed="false">
      <c r="B109" s="19" t="s">
        <v>32736</v>
      </c>
      <c r="C109" s="20" t="n">
        <f aca="false">ROUND(29.9/FX,2)</f>
        <v>4.15</v>
      </c>
      <c r="D109" s="21" t="s">
        <v>6362</v>
      </c>
      <c r="E109" s="21" t="s">
        <v>734</v>
      </c>
      <c r="F109" s="21" t="s">
        <v>32715</v>
      </c>
      <c r="G109" s="21" t="s">
        <v>21225</v>
      </c>
      <c r="H109" s="21" t="s">
        <v>20009</v>
      </c>
    </row>
    <row r="110" customFormat="false" ht="15" hidden="false" customHeight="false" outlineLevel="0" collapsed="false">
      <c r="B110" s="19" t="s">
        <v>32737</v>
      </c>
      <c r="C110" s="20" t="n">
        <f aca="false">ROUND(29.9/FX,2)</f>
        <v>4.15</v>
      </c>
      <c r="D110" s="21" t="s">
        <v>6362</v>
      </c>
      <c r="E110" s="21" t="s">
        <v>734</v>
      </c>
      <c r="F110" s="21" t="s">
        <v>32715</v>
      </c>
      <c r="G110" s="21" t="s">
        <v>21225</v>
      </c>
      <c r="H110" s="21" t="s">
        <v>20012</v>
      </c>
    </row>
    <row r="111" customFormat="false" ht="15" hidden="false" customHeight="false" outlineLevel="0" collapsed="false">
      <c r="B111" s="19" t="s">
        <v>32738</v>
      </c>
      <c r="C111" s="20" t="n">
        <f aca="false">ROUND(29.9/FX,2)</f>
        <v>4.15</v>
      </c>
      <c r="D111" s="21" t="s">
        <v>6362</v>
      </c>
      <c r="E111" s="21" t="s">
        <v>734</v>
      </c>
      <c r="F111" s="21" t="s">
        <v>32715</v>
      </c>
      <c r="G111" s="21" t="s">
        <v>21225</v>
      </c>
      <c r="H111" s="21" t="s">
        <v>32725</v>
      </c>
    </row>
    <row r="112" customFormat="false" ht="15" hidden="false" customHeight="false" outlineLevel="0" collapsed="false">
      <c r="B112" s="19" t="s">
        <v>32739</v>
      </c>
      <c r="C112" s="20" t="n">
        <f aca="false">ROUND(29.9/FX,2)</f>
        <v>4.15</v>
      </c>
      <c r="D112" s="21" t="s">
        <v>6362</v>
      </c>
      <c r="E112" s="21" t="s">
        <v>734</v>
      </c>
      <c r="F112" s="21" t="s">
        <v>32715</v>
      </c>
      <c r="G112" s="21" t="s">
        <v>32727</v>
      </c>
      <c r="H112" s="21" t="s">
        <v>32725</v>
      </c>
    </row>
    <row r="113" customFormat="false" ht="15" hidden="false" customHeight="false" outlineLevel="0" collapsed="false">
      <c r="B113" s="19" t="s">
        <v>32740</v>
      </c>
      <c r="C113" s="20" t="n">
        <f aca="false">ROUND(29.9/FX,2)</f>
        <v>4.15</v>
      </c>
      <c r="D113" s="21" t="s">
        <v>6362</v>
      </c>
      <c r="E113" s="21" t="s">
        <v>734</v>
      </c>
      <c r="F113" s="21" t="s">
        <v>32715</v>
      </c>
      <c r="G113" s="21" t="s">
        <v>29288</v>
      </c>
      <c r="H113" s="21" t="s">
        <v>32612</v>
      </c>
    </row>
    <row r="114" customFormat="false" ht="15" hidden="false" customHeight="false" outlineLevel="0" collapsed="false">
      <c r="B114" s="19" t="s">
        <v>32741</v>
      </c>
      <c r="C114" s="20" t="n">
        <f aca="false">ROUND(29.9/FX,2)</f>
        <v>4.15</v>
      </c>
      <c r="D114" s="21" t="s">
        <v>6362</v>
      </c>
      <c r="E114" s="21" t="s">
        <v>734</v>
      </c>
      <c r="F114" s="21" t="s">
        <v>32715</v>
      </c>
      <c r="G114" s="21" t="s">
        <v>29288</v>
      </c>
      <c r="H114" s="21" t="s">
        <v>20012</v>
      </c>
    </row>
    <row r="115" customFormat="false" ht="15" hidden="false" customHeight="false" outlineLevel="0" collapsed="false">
      <c r="B115" s="19" t="s">
        <v>32742</v>
      </c>
      <c r="C115" s="20" t="n">
        <f aca="false">ROUND(52/FX,2)</f>
        <v>7.22</v>
      </c>
      <c r="D115" s="21" t="s">
        <v>6362</v>
      </c>
      <c r="E115" s="21" t="s">
        <v>734</v>
      </c>
      <c r="F115" s="21" t="s">
        <v>32743</v>
      </c>
      <c r="G115" s="21" t="s">
        <v>21225</v>
      </c>
      <c r="H115" s="21" t="s">
        <v>20009</v>
      </c>
    </row>
    <row r="116" customFormat="false" ht="15" hidden="false" customHeight="false" outlineLevel="0" collapsed="false">
      <c r="B116" s="19" t="s">
        <v>32744</v>
      </c>
      <c r="C116" s="20" t="n">
        <f aca="false">ROUND(39/FX,2)</f>
        <v>5.42</v>
      </c>
      <c r="D116" s="21" t="s">
        <v>724</v>
      </c>
      <c r="E116" s="21" t="s">
        <v>734</v>
      </c>
      <c r="F116" s="21" t="s">
        <v>32745</v>
      </c>
      <c r="G116" s="21" t="s">
        <v>29407</v>
      </c>
      <c r="H116" s="21" t="s">
        <v>20014</v>
      </c>
    </row>
    <row r="117" customFormat="false" ht="15" hidden="false" customHeight="false" outlineLevel="0" collapsed="false">
      <c r="B117" s="19" t="s">
        <v>32746</v>
      </c>
      <c r="C117" s="20" t="n">
        <f aca="false">ROUND(39/FX,2)</f>
        <v>5.42</v>
      </c>
      <c r="D117" s="21" t="s">
        <v>724</v>
      </c>
      <c r="E117" s="21" t="s">
        <v>734</v>
      </c>
      <c r="F117" s="21" t="s">
        <v>32745</v>
      </c>
      <c r="G117" s="21" t="s">
        <v>21225</v>
      </c>
      <c r="H117" s="21" t="s">
        <v>32725</v>
      </c>
    </row>
    <row r="118" customFormat="false" ht="15" hidden="false" customHeight="false" outlineLevel="0" collapsed="false">
      <c r="B118" s="19" t="s">
        <v>32747</v>
      </c>
      <c r="C118" s="20" t="n">
        <f aca="false">ROUND(39/FX,2)</f>
        <v>5.42</v>
      </c>
      <c r="D118" s="21" t="s">
        <v>724</v>
      </c>
      <c r="E118" s="21" t="s">
        <v>734</v>
      </c>
      <c r="F118" s="21" t="s">
        <v>32745</v>
      </c>
      <c r="G118" s="21" t="s">
        <v>21225</v>
      </c>
      <c r="H118" s="21" t="s">
        <v>20016</v>
      </c>
    </row>
    <row r="119" customFormat="false" ht="15" hidden="false" customHeight="false" outlineLevel="0" collapsed="false">
      <c r="B119" s="19" t="s">
        <v>32748</v>
      </c>
      <c r="C119" s="20" t="n">
        <f aca="false">ROUND(39/FX,2)</f>
        <v>5.42</v>
      </c>
      <c r="D119" s="21" t="s">
        <v>724</v>
      </c>
      <c r="E119" s="21" t="s">
        <v>734</v>
      </c>
      <c r="F119" s="21" t="s">
        <v>32745</v>
      </c>
      <c r="G119" s="21" t="s">
        <v>21225</v>
      </c>
      <c r="H119" s="21" t="s">
        <v>22166</v>
      </c>
    </row>
    <row r="120" customFormat="false" ht="15" hidden="false" customHeight="false" outlineLevel="0" collapsed="false">
      <c r="B120" s="19" t="s">
        <v>32749</v>
      </c>
      <c r="C120" s="20" t="n">
        <f aca="false">ROUND(39/FX,2)</f>
        <v>5.42</v>
      </c>
      <c r="D120" s="21" t="s">
        <v>6362</v>
      </c>
      <c r="E120" s="21" t="s">
        <v>734</v>
      </c>
      <c r="F120" s="21" t="s">
        <v>32745</v>
      </c>
      <c r="G120" s="21" t="s">
        <v>29407</v>
      </c>
      <c r="H120" s="21" t="s">
        <v>20014</v>
      </c>
    </row>
    <row r="121" customFormat="false" ht="15" hidden="false" customHeight="false" outlineLevel="0" collapsed="false">
      <c r="B121" s="19" t="s">
        <v>32750</v>
      </c>
      <c r="C121" s="20" t="n">
        <f aca="false">ROUND(39/FX,2)</f>
        <v>5.42</v>
      </c>
      <c r="D121" s="21" t="s">
        <v>6362</v>
      </c>
      <c r="E121" s="21" t="s">
        <v>734</v>
      </c>
      <c r="F121" s="21" t="s">
        <v>32745</v>
      </c>
      <c r="G121" s="21" t="s">
        <v>21225</v>
      </c>
      <c r="H121" s="21" t="s">
        <v>32725</v>
      </c>
    </row>
    <row r="122" customFormat="false" ht="15" hidden="false" customHeight="false" outlineLevel="0" collapsed="false">
      <c r="B122" s="19" t="s">
        <v>32751</v>
      </c>
      <c r="C122" s="20" t="n">
        <f aca="false">ROUND(39/FX,2)</f>
        <v>5.42</v>
      </c>
      <c r="D122" s="21" t="s">
        <v>6362</v>
      </c>
      <c r="E122" s="21" t="s">
        <v>734</v>
      </c>
      <c r="F122" s="21" t="s">
        <v>32745</v>
      </c>
      <c r="G122" s="21" t="s">
        <v>21225</v>
      </c>
      <c r="H122" s="21" t="s">
        <v>20016</v>
      </c>
    </row>
    <row r="123" customFormat="false" ht="15" hidden="false" customHeight="false" outlineLevel="0" collapsed="false">
      <c r="B123" s="19" t="s">
        <v>32752</v>
      </c>
      <c r="C123" s="20" t="n">
        <f aca="false">ROUND(39/FX,2)</f>
        <v>5.42</v>
      </c>
      <c r="D123" s="21" t="s">
        <v>6362</v>
      </c>
      <c r="E123" s="21" t="s">
        <v>734</v>
      </c>
      <c r="F123" s="21" t="s">
        <v>32745</v>
      </c>
      <c r="G123" s="21" t="s">
        <v>21225</v>
      </c>
      <c r="H123" s="21" t="s">
        <v>22166</v>
      </c>
    </row>
    <row r="124" customFormat="false" ht="15" hidden="false" customHeight="false" outlineLevel="0" collapsed="false">
      <c r="B124" s="19" t="s">
        <v>32753</v>
      </c>
      <c r="C124" s="20" t="n">
        <f aca="false">ROUND(40.3/FX,2)</f>
        <v>5.6</v>
      </c>
      <c r="D124" s="21" t="s">
        <v>724</v>
      </c>
      <c r="E124" s="21" t="s">
        <v>734</v>
      </c>
      <c r="F124" s="21" t="s">
        <v>32754</v>
      </c>
      <c r="G124" s="21" t="s">
        <v>21225</v>
      </c>
      <c r="H124" s="21" t="s">
        <v>22166</v>
      </c>
    </row>
    <row r="125" customFormat="false" ht="15" hidden="false" customHeight="false" outlineLevel="0" collapsed="false">
      <c r="B125" s="19" t="s">
        <v>32755</v>
      </c>
      <c r="C125" s="20" t="n">
        <f aca="false">ROUND(41.6/FX,2)</f>
        <v>5.78</v>
      </c>
      <c r="D125" s="21" t="s">
        <v>6362</v>
      </c>
      <c r="E125" s="21" t="s">
        <v>734</v>
      </c>
      <c r="F125" s="21" t="s">
        <v>32754</v>
      </c>
      <c r="G125" s="21" t="s">
        <v>21225</v>
      </c>
      <c r="H125" s="21" t="s">
        <v>22166</v>
      </c>
    </row>
    <row r="126" customFormat="false" ht="15" hidden="false" customHeight="false" outlineLevel="0" collapsed="false">
      <c r="B126" s="19" t="s">
        <v>32756</v>
      </c>
      <c r="C126" s="20" t="n">
        <f aca="false">ROUND(46.8/FX,2)</f>
        <v>6.5</v>
      </c>
      <c r="D126" s="21" t="s">
        <v>724</v>
      </c>
      <c r="E126" s="21" t="s">
        <v>734</v>
      </c>
      <c r="F126" s="21" t="s">
        <v>32757</v>
      </c>
      <c r="G126" s="21" t="s">
        <v>32611</v>
      </c>
      <c r="H126" s="21" t="s">
        <v>20012</v>
      </c>
    </row>
    <row r="127" customFormat="false" ht="15" hidden="false" customHeight="false" outlineLevel="0" collapsed="false">
      <c r="B127" s="19" t="s">
        <v>32758</v>
      </c>
      <c r="C127" s="20" t="n">
        <f aca="false">ROUND(46.8/FX,2)</f>
        <v>6.5</v>
      </c>
      <c r="D127" s="21" t="s">
        <v>724</v>
      </c>
      <c r="E127" s="21" t="s">
        <v>734</v>
      </c>
      <c r="F127" s="21" t="s">
        <v>32757</v>
      </c>
      <c r="G127" s="21" t="s">
        <v>32611</v>
      </c>
      <c r="H127" s="21" t="s">
        <v>32689</v>
      </c>
    </row>
    <row r="128" customFormat="false" ht="15" hidden="false" customHeight="false" outlineLevel="0" collapsed="false">
      <c r="B128" s="19" t="s">
        <v>32759</v>
      </c>
      <c r="C128" s="20" t="n">
        <f aca="false">ROUND(46.8/FX,2)</f>
        <v>6.5</v>
      </c>
      <c r="D128" s="21" t="s">
        <v>724</v>
      </c>
      <c r="E128" s="21" t="s">
        <v>734</v>
      </c>
      <c r="F128" s="21" t="s">
        <v>32757</v>
      </c>
      <c r="G128" s="21" t="s">
        <v>29407</v>
      </c>
      <c r="H128" s="21" t="s">
        <v>20012</v>
      </c>
    </row>
    <row r="129" customFormat="false" ht="15" hidden="false" customHeight="false" outlineLevel="0" collapsed="false">
      <c r="B129" s="19" t="s">
        <v>32760</v>
      </c>
      <c r="C129" s="20" t="n">
        <f aca="false">ROUND(46.8/FX,2)</f>
        <v>6.5</v>
      </c>
      <c r="D129" s="21" t="s">
        <v>724</v>
      </c>
      <c r="E129" s="21" t="s">
        <v>734</v>
      </c>
      <c r="F129" s="21" t="s">
        <v>32757</v>
      </c>
      <c r="G129" s="21" t="s">
        <v>29407</v>
      </c>
      <c r="H129" s="21" t="s">
        <v>20014</v>
      </c>
    </row>
    <row r="130" customFormat="false" ht="15" hidden="false" customHeight="false" outlineLevel="0" collapsed="false">
      <c r="B130" s="19" t="s">
        <v>32761</v>
      </c>
      <c r="C130" s="20" t="n">
        <f aca="false">ROUND(46.8/FX,2)</f>
        <v>6.5</v>
      </c>
      <c r="D130" s="21" t="s">
        <v>724</v>
      </c>
      <c r="E130" s="21" t="s">
        <v>734</v>
      </c>
      <c r="F130" s="21" t="s">
        <v>32757</v>
      </c>
      <c r="G130" s="21" t="s">
        <v>21225</v>
      </c>
      <c r="H130" s="21" t="s">
        <v>20012</v>
      </c>
    </row>
    <row r="131" customFormat="false" ht="15" hidden="false" customHeight="false" outlineLevel="0" collapsed="false">
      <c r="B131" s="19" t="s">
        <v>32762</v>
      </c>
      <c r="C131" s="20" t="n">
        <f aca="false">ROUND(46.8/FX,2)</f>
        <v>6.5</v>
      </c>
      <c r="D131" s="21" t="s">
        <v>724</v>
      </c>
      <c r="E131" s="21" t="s">
        <v>734</v>
      </c>
      <c r="F131" s="21" t="s">
        <v>32757</v>
      </c>
      <c r="G131" s="21" t="s">
        <v>21225</v>
      </c>
      <c r="H131" s="21" t="s">
        <v>20014</v>
      </c>
    </row>
    <row r="132" customFormat="false" ht="15" hidden="false" customHeight="false" outlineLevel="0" collapsed="false">
      <c r="B132" s="19" t="s">
        <v>32763</v>
      </c>
      <c r="C132" s="20" t="n">
        <f aca="false">ROUND(46.8/FX,2)</f>
        <v>6.5</v>
      </c>
      <c r="D132" s="21" t="s">
        <v>724</v>
      </c>
      <c r="E132" s="21" t="s">
        <v>734</v>
      </c>
      <c r="F132" s="21" t="s">
        <v>32757</v>
      </c>
      <c r="G132" s="21" t="s">
        <v>21225</v>
      </c>
      <c r="H132" s="21" t="s">
        <v>32689</v>
      </c>
    </row>
    <row r="133" customFormat="false" ht="15" hidden="false" customHeight="false" outlineLevel="0" collapsed="false">
      <c r="B133" s="19" t="s">
        <v>32764</v>
      </c>
      <c r="C133" s="20" t="n">
        <f aca="false">ROUND(46.8/FX,2)</f>
        <v>6.5</v>
      </c>
      <c r="D133" s="21" t="s">
        <v>724</v>
      </c>
      <c r="E133" s="21" t="s">
        <v>734</v>
      </c>
      <c r="F133" s="21" t="s">
        <v>32757</v>
      </c>
      <c r="G133" s="21" t="s">
        <v>21225</v>
      </c>
      <c r="H133" s="21" t="s">
        <v>32765</v>
      </c>
    </row>
    <row r="134" customFormat="false" ht="15" hidden="false" customHeight="false" outlineLevel="0" collapsed="false">
      <c r="B134" s="19" t="s">
        <v>32766</v>
      </c>
      <c r="C134" s="20" t="n">
        <f aca="false">ROUND(46.8/FX,2)</f>
        <v>6.5</v>
      </c>
      <c r="D134" s="21" t="s">
        <v>724</v>
      </c>
      <c r="E134" s="21" t="s">
        <v>734</v>
      </c>
      <c r="F134" s="21" t="s">
        <v>32757</v>
      </c>
      <c r="G134" s="21" t="s">
        <v>29288</v>
      </c>
      <c r="H134" s="21" t="s">
        <v>20012</v>
      </c>
    </row>
    <row r="135" customFormat="false" ht="15" hidden="false" customHeight="false" outlineLevel="0" collapsed="false">
      <c r="B135" s="19" t="s">
        <v>32767</v>
      </c>
      <c r="C135" s="20" t="n">
        <f aca="false">ROUND(46.8/FX,2)</f>
        <v>6.5</v>
      </c>
      <c r="D135" s="21" t="s">
        <v>724</v>
      </c>
      <c r="E135" s="21" t="s">
        <v>734</v>
      </c>
      <c r="F135" s="21" t="s">
        <v>32757</v>
      </c>
      <c r="G135" s="21" t="s">
        <v>29288</v>
      </c>
      <c r="H135" s="21" t="s">
        <v>20014</v>
      </c>
    </row>
    <row r="136" customFormat="false" ht="15" hidden="false" customHeight="false" outlineLevel="0" collapsed="false">
      <c r="B136" s="19" t="s">
        <v>32768</v>
      </c>
      <c r="C136" s="20" t="n">
        <f aca="false">ROUND(46.8/FX,2)</f>
        <v>6.5</v>
      </c>
      <c r="D136" s="21" t="s">
        <v>724</v>
      </c>
      <c r="E136" s="21" t="s">
        <v>734</v>
      </c>
      <c r="F136" s="21" t="s">
        <v>32757</v>
      </c>
      <c r="G136" s="21" t="s">
        <v>29288</v>
      </c>
      <c r="H136" s="21" t="s">
        <v>32625</v>
      </c>
    </row>
    <row r="137" customFormat="false" ht="15" hidden="false" customHeight="false" outlineLevel="0" collapsed="false">
      <c r="B137" s="19" t="s">
        <v>32769</v>
      </c>
      <c r="C137" s="20" t="n">
        <f aca="false">ROUND(46.8/FX,2)</f>
        <v>6.5</v>
      </c>
      <c r="D137" s="21" t="s">
        <v>6362</v>
      </c>
      <c r="E137" s="21" t="s">
        <v>734</v>
      </c>
      <c r="F137" s="21" t="s">
        <v>32757</v>
      </c>
      <c r="G137" s="21" t="s">
        <v>32611</v>
      </c>
      <c r="H137" s="21" t="s">
        <v>20012</v>
      </c>
    </row>
    <row r="138" customFormat="false" ht="15" hidden="false" customHeight="false" outlineLevel="0" collapsed="false">
      <c r="B138" s="19" t="s">
        <v>32770</v>
      </c>
      <c r="C138" s="20" t="n">
        <f aca="false">ROUND(46.8/FX,2)</f>
        <v>6.5</v>
      </c>
      <c r="D138" s="21" t="s">
        <v>6362</v>
      </c>
      <c r="E138" s="21" t="s">
        <v>734</v>
      </c>
      <c r="F138" s="21" t="s">
        <v>32757</v>
      </c>
      <c r="G138" s="21" t="s">
        <v>32611</v>
      </c>
      <c r="H138" s="21" t="s">
        <v>32689</v>
      </c>
    </row>
    <row r="139" customFormat="false" ht="15" hidden="false" customHeight="false" outlineLevel="0" collapsed="false">
      <c r="B139" s="19" t="s">
        <v>32771</v>
      </c>
      <c r="C139" s="20" t="n">
        <f aca="false">ROUND(46.8/FX,2)</f>
        <v>6.5</v>
      </c>
      <c r="D139" s="21" t="s">
        <v>6362</v>
      </c>
      <c r="E139" s="21" t="s">
        <v>734</v>
      </c>
      <c r="F139" s="21" t="s">
        <v>32757</v>
      </c>
      <c r="G139" s="21" t="s">
        <v>29407</v>
      </c>
      <c r="H139" s="21" t="s">
        <v>20012</v>
      </c>
    </row>
    <row r="140" customFormat="false" ht="15" hidden="false" customHeight="false" outlineLevel="0" collapsed="false">
      <c r="B140" s="19" t="s">
        <v>32772</v>
      </c>
      <c r="C140" s="20" t="n">
        <f aca="false">ROUND(46.8/FX,2)</f>
        <v>6.5</v>
      </c>
      <c r="D140" s="21" t="s">
        <v>6362</v>
      </c>
      <c r="E140" s="21" t="s">
        <v>734</v>
      </c>
      <c r="F140" s="21" t="s">
        <v>32757</v>
      </c>
      <c r="G140" s="21" t="s">
        <v>29407</v>
      </c>
      <c r="H140" s="21" t="s">
        <v>20014</v>
      </c>
    </row>
    <row r="141" customFormat="false" ht="15" hidden="false" customHeight="false" outlineLevel="0" collapsed="false">
      <c r="B141" s="19" t="s">
        <v>32773</v>
      </c>
      <c r="C141" s="20" t="n">
        <f aca="false">ROUND(46.8/FX,2)</f>
        <v>6.5</v>
      </c>
      <c r="D141" s="21" t="s">
        <v>6362</v>
      </c>
      <c r="E141" s="21" t="s">
        <v>734</v>
      </c>
      <c r="F141" s="21" t="s">
        <v>32757</v>
      </c>
      <c r="G141" s="21" t="s">
        <v>21225</v>
      </c>
      <c r="H141" s="21" t="s">
        <v>20012</v>
      </c>
    </row>
    <row r="142" customFormat="false" ht="15" hidden="false" customHeight="false" outlineLevel="0" collapsed="false">
      <c r="B142" s="19" t="s">
        <v>32774</v>
      </c>
      <c r="C142" s="20" t="n">
        <f aca="false">ROUND(66.3/FX,2)</f>
        <v>9.21</v>
      </c>
      <c r="D142" s="21" t="s">
        <v>6362</v>
      </c>
      <c r="E142" s="21" t="s">
        <v>32775</v>
      </c>
      <c r="F142" s="21" t="s">
        <v>32757</v>
      </c>
      <c r="G142" s="21" t="s">
        <v>21225</v>
      </c>
      <c r="H142" s="21" t="s">
        <v>20012</v>
      </c>
    </row>
    <row r="143" customFormat="false" ht="15" hidden="false" customHeight="false" outlineLevel="0" collapsed="false">
      <c r="B143" s="19" t="s">
        <v>32776</v>
      </c>
      <c r="C143" s="20" t="n">
        <f aca="false">ROUND(46.8/FX,2)</f>
        <v>6.5</v>
      </c>
      <c r="D143" s="21" t="s">
        <v>6362</v>
      </c>
      <c r="E143" s="21" t="s">
        <v>734</v>
      </c>
      <c r="F143" s="21" t="s">
        <v>32757</v>
      </c>
      <c r="G143" s="21" t="s">
        <v>21225</v>
      </c>
      <c r="H143" s="21" t="s">
        <v>20014</v>
      </c>
    </row>
    <row r="144" customFormat="false" ht="15" hidden="false" customHeight="false" outlineLevel="0" collapsed="false">
      <c r="B144" s="19" t="s">
        <v>32777</v>
      </c>
      <c r="C144" s="20" t="n">
        <f aca="false">ROUND(46.8/FX,2)</f>
        <v>6.5</v>
      </c>
      <c r="D144" s="21" t="s">
        <v>6362</v>
      </c>
      <c r="E144" s="21" t="s">
        <v>734</v>
      </c>
      <c r="F144" s="21" t="s">
        <v>32757</v>
      </c>
      <c r="G144" s="21" t="s">
        <v>21225</v>
      </c>
      <c r="H144" s="21" t="s">
        <v>32689</v>
      </c>
    </row>
    <row r="145" customFormat="false" ht="15" hidden="false" customHeight="false" outlineLevel="0" collapsed="false">
      <c r="B145" s="19" t="s">
        <v>32778</v>
      </c>
      <c r="C145" s="20" t="n">
        <f aca="false">ROUND(46.8/FX,2)</f>
        <v>6.5</v>
      </c>
      <c r="D145" s="21" t="s">
        <v>6362</v>
      </c>
      <c r="E145" s="21" t="s">
        <v>734</v>
      </c>
      <c r="F145" s="21" t="s">
        <v>32757</v>
      </c>
      <c r="G145" s="21" t="s">
        <v>21225</v>
      </c>
      <c r="H145" s="21" t="s">
        <v>32765</v>
      </c>
    </row>
    <row r="146" customFormat="false" ht="15" hidden="false" customHeight="false" outlineLevel="0" collapsed="false">
      <c r="B146" s="19" t="s">
        <v>32779</v>
      </c>
      <c r="C146" s="20" t="n">
        <f aca="false">ROUND(46.8/FX,2)</f>
        <v>6.5</v>
      </c>
      <c r="D146" s="21" t="s">
        <v>6362</v>
      </c>
      <c r="E146" s="21" t="s">
        <v>734</v>
      </c>
      <c r="F146" s="21" t="s">
        <v>32757</v>
      </c>
      <c r="G146" s="21" t="s">
        <v>29288</v>
      </c>
      <c r="H146" s="21" t="s">
        <v>20012</v>
      </c>
    </row>
    <row r="147" customFormat="false" ht="15" hidden="false" customHeight="false" outlineLevel="0" collapsed="false">
      <c r="B147" s="19" t="s">
        <v>32780</v>
      </c>
      <c r="C147" s="20" t="n">
        <f aca="false">ROUND(46.8/FX,2)</f>
        <v>6.5</v>
      </c>
      <c r="D147" s="21" t="s">
        <v>6362</v>
      </c>
      <c r="E147" s="21" t="s">
        <v>734</v>
      </c>
      <c r="F147" s="21" t="s">
        <v>32757</v>
      </c>
      <c r="G147" s="21" t="s">
        <v>29288</v>
      </c>
      <c r="H147" s="21" t="s">
        <v>20014</v>
      </c>
    </row>
    <row r="148" customFormat="false" ht="15" hidden="false" customHeight="false" outlineLevel="0" collapsed="false">
      <c r="B148" s="19" t="s">
        <v>32781</v>
      </c>
      <c r="C148" s="20" t="n">
        <f aca="false">ROUND(46.8/FX,2)</f>
        <v>6.5</v>
      </c>
      <c r="D148" s="21" t="s">
        <v>6362</v>
      </c>
      <c r="E148" s="21" t="s">
        <v>734</v>
      </c>
      <c r="F148" s="21" t="s">
        <v>32757</v>
      </c>
      <c r="G148" s="21" t="s">
        <v>29288</v>
      </c>
      <c r="H148" s="21" t="s">
        <v>32625</v>
      </c>
    </row>
    <row r="149" customFormat="false" ht="15" hidden="false" customHeight="false" outlineLevel="0" collapsed="false">
      <c r="B149" s="19" t="s">
        <v>32782</v>
      </c>
      <c r="C149" s="20" t="n">
        <f aca="false">ROUND(57/FX,2)</f>
        <v>7.92</v>
      </c>
      <c r="D149" s="21" t="s">
        <v>6362</v>
      </c>
      <c r="E149" s="21" t="s">
        <v>734</v>
      </c>
      <c r="F149" s="21" t="s">
        <v>32783</v>
      </c>
      <c r="G149" s="21" t="s">
        <v>29288</v>
      </c>
      <c r="H149" s="21" t="s">
        <v>20012</v>
      </c>
    </row>
    <row r="150" customFormat="false" ht="15" hidden="false" customHeight="false" outlineLevel="0" collapsed="false">
      <c r="B150" s="19" t="s">
        <v>32784</v>
      </c>
      <c r="C150" s="20" t="n">
        <f aca="false">ROUND(62.4/FX,2)</f>
        <v>8.67</v>
      </c>
      <c r="D150" s="21" t="s">
        <v>6362</v>
      </c>
      <c r="E150" s="21" t="s">
        <v>734</v>
      </c>
      <c r="F150" s="21" t="s">
        <v>32785</v>
      </c>
      <c r="G150" s="21" t="s">
        <v>21225</v>
      </c>
      <c r="H150" s="21" t="s">
        <v>20014</v>
      </c>
    </row>
    <row r="151" customFormat="false" ht="15" hidden="false" customHeight="false" outlineLevel="0" collapsed="false">
      <c r="B151" s="19" t="s">
        <v>32786</v>
      </c>
      <c r="C151" s="20" t="n">
        <f aca="false">ROUND(36.4/FX,2)</f>
        <v>5.06</v>
      </c>
      <c r="D151" s="21" t="s">
        <v>724</v>
      </c>
      <c r="E151" s="21" t="s">
        <v>734</v>
      </c>
      <c r="F151" s="21" t="s">
        <v>32787</v>
      </c>
      <c r="G151" s="21" t="s">
        <v>21225</v>
      </c>
      <c r="H151" s="21" t="s">
        <v>32725</v>
      </c>
    </row>
    <row r="152" customFormat="false" ht="15" hidden="false" customHeight="false" outlineLevel="0" collapsed="false">
      <c r="B152" s="19" t="s">
        <v>32788</v>
      </c>
      <c r="C152" s="20" t="n">
        <f aca="false">ROUND(36.4/FX,2)</f>
        <v>5.06</v>
      </c>
      <c r="D152" s="21" t="s">
        <v>6362</v>
      </c>
      <c r="E152" s="21" t="s">
        <v>734</v>
      </c>
      <c r="F152" s="21" t="s">
        <v>32787</v>
      </c>
      <c r="G152" s="21" t="s">
        <v>21225</v>
      </c>
      <c r="H152" s="21" t="s">
        <v>32725</v>
      </c>
    </row>
    <row r="153" customFormat="false" ht="15" hidden="false" customHeight="false" outlineLevel="0" collapsed="false">
      <c r="B153" s="19" t="s">
        <v>32789</v>
      </c>
      <c r="C153" s="20" t="n">
        <f aca="false">ROUND(65/FX,2)</f>
        <v>9.03</v>
      </c>
      <c r="D153" s="21" t="s">
        <v>6362</v>
      </c>
      <c r="E153" s="21" t="s">
        <v>734</v>
      </c>
      <c r="F153" s="21" t="s">
        <v>32790</v>
      </c>
      <c r="G153" s="21" t="s">
        <v>21225</v>
      </c>
      <c r="H153" s="21" t="s">
        <v>20014</v>
      </c>
    </row>
    <row r="154" customFormat="false" ht="15" hidden="false" customHeight="false" outlineLevel="0" collapsed="false">
      <c r="B154" s="19" t="s">
        <v>32791</v>
      </c>
      <c r="C154" s="20" t="n">
        <f aca="false">ROUND(44.2/FX,2)</f>
        <v>6.14</v>
      </c>
      <c r="D154" s="21" t="s">
        <v>724</v>
      </c>
      <c r="E154" s="21" t="s">
        <v>734</v>
      </c>
      <c r="F154" s="21" t="s">
        <v>32792</v>
      </c>
      <c r="G154" s="21" t="s">
        <v>21225</v>
      </c>
      <c r="H154" s="21" t="s">
        <v>32793</v>
      </c>
    </row>
    <row r="155" customFormat="false" ht="15" hidden="false" customHeight="false" outlineLevel="0" collapsed="false">
      <c r="B155" s="19" t="s">
        <v>32794</v>
      </c>
      <c r="C155" s="20" t="n">
        <f aca="false">ROUND(65/FX,2)</f>
        <v>9.03</v>
      </c>
      <c r="D155" s="21" t="s">
        <v>6362</v>
      </c>
      <c r="E155" s="21" t="s">
        <v>734</v>
      </c>
      <c r="F155" s="21" t="s">
        <v>32792</v>
      </c>
      <c r="G155" s="21" t="s">
        <v>29407</v>
      </c>
      <c r="H155" s="21" t="s">
        <v>20014</v>
      </c>
    </row>
    <row r="156" customFormat="false" ht="15" hidden="false" customHeight="false" outlineLevel="0" collapsed="false">
      <c r="B156" s="19" t="s">
        <v>32795</v>
      </c>
      <c r="C156" s="20" t="n">
        <f aca="false">ROUND(65/FX,2)</f>
        <v>9.03</v>
      </c>
      <c r="D156" s="21" t="s">
        <v>6362</v>
      </c>
      <c r="E156" s="21" t="s">
        <v>734</v>
      </c>
      <c r="F156" s="21" t="s">
        <v>32792</v>
      </c>
      <c r="G156" s="21" t="s">
        <v>21225</v>
      </c>
      <c r="H156" s="21" t="s">
        <v>32793</v>
      </c>
    </row>
    <row r="157" customFormat="false" ht="15" hidden="false" customHeight="false" outlineLevel="0" collapsed="false">
      <c r="B157" s="19" t="s">
        <v>32796</v>
      </c>
      <c r="C157" s="20" t="n">
        <f aca="false">ROUND(65/FX,2)</f>
        <v>9.03</v>
      </c>
      <c r="D157" s="21" t="s">
        <v>724</v>
      </c>
      <c r="E157" s="21" t="s">
        <v>734</v>
      </c>
      <c r="F157" s="21" t="s">
        <v>32797</v>
      </c>
      <c r="G157" s="21" t="s">
        <v>21225</v>
      </c>
      <c r="H157" s="21" t="s">
        <v>22166</v>
      </c>
    </row>
    <row r="158" customFormat="false" ht="15" hidden="false" customHeight="false" outlineLevel="0" collapsed="false">
      <c r="B158" s="19" t="s">
        <v>32798</v>
      </c>
      <c r="C158" s="20" t="n">
        <f aca="false">ROUND(90/FX,2)</f>
        <v>12.5</v>
      </c>
      <c r="D158" s="21" t="s">
        <v>6362</v>
      </c>
      <c r="E158" s="21" t="s">
        <v>734</v>
      </c>
      <c r="F158" s="21" t="s">
        <v>32797</v>
      </c>
      <c r="G158" s="21" t="s">
        <v>21225</v>
      </c>
      <c r="H158" s="21" t="s">
        <v>22166</v>
      </c>
    </row>
    <row r="159" customFormat="false" ht="15" hidden="false" customHeight="false" outlineLevel="0" collapsed="false">
      <c r="B159" s="19" t="s">
        <v>32799</v>
      </c>
      <c r="C159" s="20" t="n">
        <f aca="false">ROUND(42.9/FX,2)</f>
        <v>5.96</v>
      </c>
      <c r="D159" s="21" t="s">
        <v>724</v>
      </c>
      <c r="E159" s="21" t="s">
        <v>734</v>
      </c>
      <c r="F159" s="21" t="s">
        <v>24804</v>
      </c>
      <c r="G159" s="21" t="s">
        <v>21225</v>
      </c>
      <c r="H159" s="21" t="s">
        <v>22166</v>
      </c>
    </row>
    <row r="160" customFormat="false" ht="15" hidden="false" customHeight="false" outlineLevel="0" collapsed="false">
      <c r="B160" s="19" t="s">
        <v>32800</v>
      </c>
      <c r="C160" s="20" t="n">
        <f aca="false">ROUND(62.4/FX,2)</f>
        <v>8.67</v>
      </c>
      <c r="D160" s="21" t="s">
        <v>6362</v>
      </c>
      <c r="E160" s="21" t="s">
        <v>734</v>
      </c>
      <c r="F160" s="21" t="s">
        <v>24804</v>
      </c>
      <c r="G160" s="21" t="s">
        <v>21225</v>
      </c>
      <c r="H160" s="21" t="s">
        <v>22166</v>
      </c>
    </row>
    <row r="161" customFormat="false" ht="15" hidden="false" customHeight="false" outlineLevel="0" collapsed="false">
      <c r="B161" s="19" t="s">
        <v>32801</v>
      </c>
      <c r="C161" s="20" t="n">
        <f aca="false">ROUND(78/FX,2)</f>
        <v>10.83</v>
      </c>
      <c r="D161" s="21" t="s">
        <v>6362</v>
      </c>
      <c r="E161" s="21" t="s">
        <v>734</v>
      </c>
      <c r="F161" s="21" t="s">
        <v>32802</v>
      </c>
      <c r="G161" s="21" t="s">
        <v>29288</v>
      </c>
      <c r="H161" s="21" t="s">
        <v>20012</v>
      </c>
    </row>
    <row r="162" customFormat="false" ht="15" hidden="false" customHeight="false" outlineLevel="0" collapsed="false">
      <c r="B162" s="19" t="s">
        <v>32803</v>
      </c>
      <c r="C162" s="20" t="n">
        <f aca="false">ROUND(46.8/FX,2)</f>
        <v>6.5</v>
      </c>
      <c r="D162" s="21" t="s">
        <v>724</v>
      </c>
      <c r="E162" s="21" t="s">
        <v>734</v>
      </c>
      <c r="F162" s="21" t="s">
        <v>32804</v>
      </c>
      <c r="G162" s="21" t="s">
        <v>32611</v>
      </c>
      <c r="H162" s="21" t="s">
        <v>20016</v>
      </c>
    </row>
    <row r="163" customFormat="false" ht="15" hidden="false" customHeight="false" outlineLevel="0" collapsed="false">
      <c r="B163" s="19" t="s">
        <v>32805</v>
      </c>
      <c r="C163" s="20" t="n">
        <f aca="false">ROUND(46.8/FX,2)</f>
        <v>6.5</v>
      </c>
      <c r="D163" s="21" t="s">
        <v>724</v>
      </c>
      <c r="E163" s="21" t="s">
        <v>32806</v>
      </c>
      <c r="F163" s="21" t="s">
        <v>32804</v>
      </c>
      <c r="G163" s="21" t="s">
        <v>32611</v>
      </c>
      <c r="H163" s="21" t="s">
        <v>20016</v>
      </c>
    </row>
    <row r="164" customFormat="false" ht="15" hidden="false" customHeight="false" outlineLevel="0" collapsed="false">
      <c r="B164" s="19" t="s">
        <v>32807</v>
      </c>
      <c r="C164" s="20" t="n">
        <f aca="false">ROUND(46.8/FX,2)</f>
        <v>6.5</v>
      </c>
      <c r="D164" s="21" t="s">
        <v>724</v>
      </c>
      <c r="E164" s="21" t="s">
        <v>734</v>
      </c>
      <c r="F164" s="21" t="s">
        <v>32804</v>
      </c>
      <c r="G164" s="21" t="s">
        <v>32718</v>
      </c>
      <c r="H164" s="21" t="s">
        <v>20012</v>
      </c>
    </row>
    <row r="165" customFormat="false" ht="15" hidden="false" customHeight="false" outlineLevel="0" collapsed="false">
      <c r="B165" s="19" t="s">
        <v>32808</v>
      </c>
      <c r="C165" s="20" t="n">
        <f aca="false">ROUND(46.8/FX,2)</f>
        <v>6.5</v>
      </c>
      <c r="D165" s="21" t="s">
        <v>724</v>
      </c>
      <c r="E165" s="21" t="s">
        <v>734</v>
      </c>
      <c r="F165" s="21" t="s">
        <v>32804</v>
      </c>
      <c r="G165" s="21" t="s">
        <v>32718</v>
      </c>
      <c r="H165" s="21" t="s">
        <v>32725</v>
      </c>
    </row>
    <row r="166" customFormat="false" ht="15" hidden="false" customHeight="false" outlineLevel="0" collapsed="false">
      <c r="B166" s="19" t="s">
        <v>32809</v>
      </c>
      <c r="C166" s="20" t="n">
        <f aca="false">ROUND(46.8/FX,2)</f>
        <v>6.5</v>
      </c>
      <c r="D166" s="21" t="s">
        <v>724</v>
      </c>
      <c r="E166" s="21" t="s">
        <v>32806</v>
      </c>
      <c r="F166" s="21" t="s">
        <v>32804</v>
      </c>
      <c r="G166" s="21" t="s">
        <v>32718</v>
      </c>
      <c r="H166" s="21" t="s">
        <v>32725</v>
      </c>
    </row>
    <row r="167" customFormat="false" ht="15" hidden="false" customHeight="false" outlineLevel="0" collapsed="false">
      <c r="B167" s="19" t="s">
        <v>32810</v>
      </c>
      <c r="C167" s="20" t="n">
        <f aca="false">ROUND(46.8/FX,2)</f>
        <v>6.5</v>
      </c>
      <c r="D167" s="21" t="s">
        <v>724</v>
      </c>
      <c r="E167" s="21" t="s">
        <v>734</v>
      </c>
      <c r="F167" s="21" t="s">
        <v>32804</v>
      </c>
      <c r="G167" s="21" t="s">
        <v>32718</v>
      </c>
      <c r="H167" s="21" t="s">
        <v>22166</v>
      </c>
    </row>
    <row r="168" customFormat="false" ht="15" hidden="false" customHeight="false" outlineLevel="0" collapsed="false">
      <c r="B168" s="19" t="s">
        <v>32811</v>
      </c>
      <c r="C168" s="20" t="n">
        <f aca="false">ROUND(46.8/FX,2)</f>
        <v>6.5</v>
      </c>
      <c r="D168" s="21" t="s">
        <v>724</v>
      </c>
      <c r="E168" s="21" t="s">
        <v>32806</v>
      </c>
      <c r="F168" s="21" t="s">
        <v>32804</v>
      </c>
      <c r="G168" s="21" t="s">
        <v>32718</v>
      </c>
      <c r="H168" s="21" t="s">
        <v>22166</v>
      </c>
    </row>
    <row r="169" customFormat="false" ht="15" hidden="false" customHeight="false" outlineLevel="0" collapsed="false">
      <c r="B169" s="19" t="s">
        <v>32812</v>
      </c>
      <c r="C169" s="20" t="n">
        <f aca="false">ROUND(46.8/FX,2)</f>
        <v>6.5</v>
      </c>
      <c r="D169" s="21" t="s">
        <v>724</v>
      </c>
      <c r="E169" s="21" t="s">
        <v>734</v>
      </c>
      <c r="F169" s="21" t="s">
        <v>32804</v>
      </c>
      <c r="G169" s="21" t="s">
        <v>29407</v>
      </c>
      <c r="H169" s="21" t="s">
        <v>20012</v>
      </c>
    </row>
    <row r="170" customFormat="false" ht="15" hidden="false" customHeight="false" outlineLevel="0" collapsed="false">
      <c r="B170" s="19" t="s">
        <v>32813</v>
      </c>
      <c r="C170" s="20" t="n">
        <f aca="false">ROUND(46.8/FX,2)</f>
        <v>6.5</v>
      </c>
      <c r="D170" s="21" t="s">
        <v>724</v>
      </c>
      <c r="E170" s="21" t="s">
        <v>734</v>
      </c>
      <c r="F170" s="21" t="s">
        <v>32804</v>
      </c>
      <c r="G170" s="21" t="s">
        <v>29407</v>
      </c>
      <c r="H170" s="21" t="s">
        <v>20014</v>
      </c>
    </row>
    <row r="171" customFormat="false" ht="15" hidden="false" customHeight="false" outlineLevel="0" collapsed="false">
      <c r="B171" s="19" t="s">
        <v>32814</v>
      </c>
      <c r="C171" s="20" t="n">
        <f aca="false">ROUND(46.8/FX,2)</f>
        <v>6.5</v>
      </c>
      <c r="D171" s="21" t="s">
        <v>724</v>
      </c>
      <c r="E171" s="21" t="s">
        <v>32806</v>
      </c>
      <c r="F171" s="21" t="s">
        <v>32804</v>
      </c>
      <c r="G171" s="21" t="s">
        <v>29407</v>
      </c>
      <c r="H171" s="21" t="s">
        <v>20014</v>
      </c>
    </row>
    <row r="172" customFormat="false" ht="15" hidden="false" customHeight="false" outlineLevel="0" collapsed="false">
      <c r="B172" s="19" t="s">
        <v>32815</v>
      </c>
      <c r="C172" s="20" t="n">
        <f aca="false">ROUND(46.8/FX,2)</f>
        <v>6.5</v>
      </c>
      <c r="D172" s="21" t="s">
        <v>724</v>
      </c>
      <c r="E172" s="21" t="s">
        <v>734</v>
      </c>
      <c r="F172" s="21" t="s">
        <v>32804</v>
      </c>
      <c r="G172" s="21" t="s">
        <v>21225</v>
      </c>
      <c r="H172" s="21" t="s">
        <v>20012</v>
      </c>
    </row>
    <row r="173" customFormat="false" ht="15" hidden="false" customHeight="false" outlineLevel="0" collapsed="false">
      <c r="B173" s="19" t="s">
        <v>32816</v>
      </c>
      <c r="C173" s="20" t="n">
        <f aca="false">ROUND(46.8/FX,2)</f>
        <v>6.5</v>
      </c>
      <c r="D173" s="21" t="s">
        <v>724</v>
      </c>
      <c r="E173" s="21" t="s">
        <v>32806</v>
      </c>
      <c r="F173" s="21" t="s">
        <v>32804</v>
      </c>
      <c r="G173" s="21" t="s">
        <v>21225</v>
      </c>
      <c r="H173" s="21" t="s">
        <v>20012</v>
      </c>
    </row>
    <row r="174" customFormat="false" ht="15" hidden="false" customHeight="false" outlineLevel="0" collapsed="false">
      <c r="B174" s="19" t="s">
        <v>32817</v>
      </c>
      <c r="C174" s="20" t="n">
        <f aca="false">ROUND(46.8/FX,2)</f>
        <v>6.5</v>
      </c>
      <c r="D174" s="21" t="s">
        <v>724</v>
      </c>
      <c r="E174" s="21" t="s">
        <v>734</v>
      </c>
      <c r="F174" s="21" t="s">
        <v>32804</v>
      </c>
      <c r="G174" s="21" t="s">
        <v>21225</v>
      </c>
      <c r="H174" s="21" t="s">
        <v>20014</v>
      </c>
    </row>
    <row r="175" customFormat="false" ht="15" hidden="false" customHeight="false" outlineLevel="0" collapsed="false">
      <c r="B175" s="19" t="s">
        <v>32818</v>
      </c>
      <c r="C175" s="20" t="n">
        <f aca="false">ROUND(46.8/FX,2)</f>
        <v>6.5</v>
      </c>
      <c r="D175" s="21" t="s">
        <v>724</v>
      </c>
      <c r="E175" s="21" t="s">
        <v>32806</v>
      </c>
      <c r="F175" s="21" t="s">
        <v>32804</v>
      </c>
      <c r="G175" s="21" t="s">
        <v>21225</v>
      </c>
      <c r="H175" s="21" t="s">
        <v>20014</v>
      </c>
    </row>
    <row r="176" customFormat="false" ht="15" hidden="false" customHeight="false" outlineLevel="0" collapsed="false">
      <c r="B176" s="19" t="s">
        <v>32819</v>
      </c>
      <c r="C176" s="20" t="n">
        <f aca="false">ROUND(46.8/FX,2)</f>
        <v>6.5</v>
      </c>
      <c r="D176" s="21" t="s">
        <v>724</v>
      </c>
      <c r="E176" s="21" t="s">
        <v>734</v>
      </c>
      <c r="F176" s="21" t="s">
        <v>32804</v>
      </c>
      <c r="G176" s="21" t="s">
        <v>21225</v>
      </c>
      <c r="H176" s="21" t="s">
        <v>22166</v>
      </c>
    </row>
    <row r="177" customFormat="false" ht="15" hidden="false" customHeight="false" outlineLevel="0" collapsed="false">
      <c r="B177" s="19" t="s">
        <v>32820</v>
      </c>
      <c r="C177" s="20" t="n">
        <f aca="false">ROUND(46.8/FX,2)</f>
        <v>6.5</v>
      </c>
      <c r="D177" s="21" t="s">
        <v>724</v>
      </c>
      <c r="E177" s="21" t="s">
        <v>32806</v>
      </c>
      <c r="F177" s="21" t="s">
        <v>32804</v>
      </c>
      <c r="G177" s="21" t="s">
        <v>21225</v>
      </c>
      <c r="H177" s="21" t="s">
        <v>22166</v>
      </c>
    </row>
    <row r="178" customFormat="false" ht="15" hidden="false" customHeight="false" outlineLevel="0" collapsed="false">
      <c r="B178" s="19" t="s">
        <v>32821</v>
      </c>
      <c r="C178" s="20" t="n">
        <f aca="false">ROUND(46.8/FX,2)</f>
        <v>6.5</v>
      </c>
      <c r="D178" s="21" t="s">
        <v>724</v>
      </c>
      <c r="E178" s="21" t="s">
        <v>734</v>
      </c>
      <c r="F178" s="21" t="s">
        <v>32804</v>
      </c>
      <c r="G178" s="21" t="s">
        <v>21225</v>
      </c>
      <c r="H178" s="21" t="s">
        <v>32689</v>
      </c>
    </row>
    <row r="179" customFormat="false" ht="15" hidden="false" customHeight="false" outlineLevel="0" collapsed="false">
      <c r="B179" s="19" t="s">
        <v>32822</v>
      </c>
      <c r="C179" s="20" t="n">
        <f aca="false">ROUND(46.8/FX,2)</f>
        <v>6.5</v>
      </c>
      <c r="D179" s="21" t="s">
        <v>724</v>
      </c>
      <c r="E179" s="21" t="s">
        <v>32806</v>
      </c>
      <c r="F179" s="21" t="s">
        <v>32804</v>
      </c>
      <c r="G179" s="21" t="s">
        <v>21225</v>
      </c>
      <c r="H179" s="21" t="s">
        <v>32689</v>
      </c>
    </row>
    <row r="180" customFormat="false" ht="15" hidden="false" customHeight="false" outlineLevel="0" collapsed="false">
      <c r="B180" s="19" t="s">
        <v>32823</v>
      </c>
      <c r="C180" s="20" t="n">
        <f aca="false">ROUND(46.8/FX,2)</f>
        <v>6.5</v>
      </c>
      <c r="D180" s="21" t="s">
        <v>724</v>
      </c>
      <c r="E180" s="21" t="s">
        <v>734</v>
      </c>
      <c r="F180" s="21" t="s">
        <v>32804</v>
      </c>
      <c r="G180" s="21" t="s">
        <v>29288</v>
      </c>
      <c r="H180" s="21" t="s">
        <v>32612</v>
      </c>
    </row>
    <row r="181" customFormat="false" ht="15" hidden="false" customHeight="false" outlineLevel="0" collapsed="false">
      <c r="B181" s="19" t="s">
        <v>32824</v>
      </c>
      <c r="C181" s="20" t="n">
        <f aca="false">ROUND(46.8/FX,2)</f>
        <v>6.5</v>
      </c>
      <c r="D181" s="21" t="s">
        <v>724</v>
      </c>
      <c r="E181" s="21" t="s">
        <v>32806</v>
      </c>
      <c r="F181" s="21" t="s">
        <v>32804</v>
      </c>
      <c r="G181" s="21" t="s">
        <v>29288</v>
      </c>
      <c r="H181" s="21" t="s">
        <v>32612</v>
      </c>
    </row>
    <row r="182" customFormat="false" ht="15" hidden="false" customHeight="false" outlineLevel="0" collapsed="false">
      <c r="B182" s="19" t="s">
        <v>32825</v>
      </c>
      <c r="C182" s="20" t="n">
        <f aca="false">ROUND(46.8/FX,2)</f>
        <v>6.5</v>
      </c>
      <c r="D182" s="21" t="s">
        <v>724</v>
      </c>
      <c r="E182" s="21" t="s">
        <v>734</v>
      </c>
      <c r="F182" s="21" t="s">
        <v>32804</v>
      </c>
      <c r="G182" s="21" t="s">
        <v>29288</v>
      </c>
      <c r="H182" s="21" t="s">
        <v>20014</v>
      </c>
    </row>
    <row r="183" customFormat="false" ht="15" hidden="false" customHeight="false" outlineLevel="0" collapsed="false">
      <c r="B183" s="19" t="s">
        <v>32826</v>
      </c>
      <c r="C183" s="20" t="n">
        <f aca="false">ROUND(46.8/FX,2)</f>
        <v>6.5</v>
      </c>
      <c r="D183" s="21" t="s">
        <v>724</v>
      </c>
      <c r="E183" s="21" t="s">
        <v>32806</v>
      </c>
      <c r="F183" s="21" t="s">
        <v>32804</v>
      </c>
      <c r="G183" s="21" t="s">
        <v>29288</v>
      </c>
      <c r="H183" s="21" t="s">
        <v>20014</v>
      </c>
    </row>
    <row r="184" customFormat="false" ht="15" hidden="false" customHeight="false" outlineLevel="0" collapsed="false">
      <c r="B184" s="19" t="s">
        <v>32827</v>
      </c>
      <c r="C184" s="20" t="n">
        <f aca="false">ROUND(46.8/FX,2)</f>
        <v>6.5</v>
      </c>
      <c r="D184" s="21" t="s">
        <v>6362</v>
      </c>
      <c r="E184" s="21" t="s">
        <v>734</v>
      </c>
      <c r="F184" s="21" t="s">
        <v>32804</v>
      </c>
      <c r="G184" s="21" t="s">
        <v>32611</v>
      </c>
      <c r="H184" s="21" t="s">
        <v>20016</v>
      </c>
    </row>
    <row r="185" customFormat="false" ht="15" hidden="false" customHeight="false" outlineLevel="0" collapsed="false">
      <c r="B185" s="19" t="s">
        <v>32828</v>
      </c>
      <c r="C185" s="20" t="n">
        <f aca="false">ROUND(46.8/FX,2)</f>
        <v>6.5</v>
      </c>
      <c r="D185" s="21" t="s">
        <v>6362</v>
      </c>
      <c r="E185" s="21" t="s">
        <v>32806</v>
      </c>
      <c r="F185" s="21" t="s">
        <v>32804</v>
      </c>
      <c r="G185" s="21" t="s">
        <v>32611</v>
      </c>
      <c r="H185" s="21" t="s">
        <v>20016</v>
      </c>
    </row>
    <row r="186" customFormat="false" ht="15" hidden="false" customHeight="false" outlineLevel="0" collapsed="false">
      <c r="B186" s="19" t="s">
        <v>32829</v>
      </c>
      <c r="C186" s="20" t="n">
        <f aca="false">ROUND(46.8/FX,2)</f>
        <v>6.5</v>
      </c>
      <c r="D186" s="21" t="s">
        <v>6362</v>
      </c>
      <c r="E186" s="21" t="s">
        <v>734</v>
      </c>
      <c r="F186" s="21" t="s">
        <v>32804</v>
      </c>
      <c r="G186" s="21" t="s">
        <v>32718</v>
      </c>
      <c r="H186" s="21" t="s">
        <v>20012</v>
      </c>
    </row>
    <row r="187" customFormat="false" ht="15" hidden="false" customHeight="false" outlineLevel="0" collapsed="false">
      <c r="B187" s="19" t="s">
        <v>32830</v>
      </c>
      <c r="C187" s="20" t="n">
        <f aca="false">ROUND(46.8/FX,2)</f>
        <v>6.5</v>
      </c>
      <c r="D187" s="21" t="s">
        <v>6362</v>
      </c>
      <c r="E187" s="21" t="s">
        <v>734</v>
      </c>
      <c r="F187" s="21" t="s">
        <v>32804</v>
      </c>
      <c r="G187" s="21" t="s">
        <v>32718</v>
      </c>
      <c r="H187" s="21" t="s">
        <v>32725</v>
      </c>
    </row>
    <row r="188" customFormat="false" ht="15" hidden="false" customHeight="false" outlineLevel="0" collapsed="false">
      <c r="B188" s="19" t="s">
        <v>32831</v>
      </c>
      <c r="C188" s="20" t="n">
        <f aca="false">ROUND(46.8/FX,2)</f>
        <v>6.5</v>
      </c>
      <c r="D188" s="21" t="s">
        <v>6362</v>
      </c>
      <c r="E188" s="21" t="s">
        <v>32806</v>
      </c>
      <c r="F188" s="21" t="s">
        <v>32804</v>
      </c>
      <c r="G188" s="21" t="s">
        <v>32718</v>
      </c>
      <c r="H188" s="21" t="s">
        <v>32725</v>
      </c>
    </row>
    <row r="189" customFormat="false" ht="15" hidden="false" customHeight="false" outlineLevel="0" collapsed="false">
      <c r="B189" s="19" t="s">
        <v>32832</v>
      </c>
      <c r="C189" s="20" t="n">
        <f aca="false">ROUND(46.8/FX,2)</f>
        <v>6.5</v>
      </c>
      <c r="D189" s="21" t="s">
        <v>6362</v>
      </c>
      <c r="E189" s="21" t="s">
        <v>734</v>
      </c>
      <c r="F189" s="21" t="s">
        <v>32804</v>
      </c>
      <c r="G189" s="21" t="s">
        <v>32718</v>
      </c>
      <c r="H189" s="21" t="s">
        <v>22166</v>
      </c>
    </row>
    <row r="190" customFormat="false" ht="15" hidden="false" customHeight="false" outlineLevel="0" collapsed="false">
      <c r="B190" s="19" t="s">
        <v>32833</v>
      </c>
      <c r="C190" s="20" t="n">
        <f aca="false">ROUND(46.8/FX,2)</f>
        <v>6.5</v>
      </c>
      <c r="D190" s="21" t="s">
        <v>6362</v>
      </c>
      <c r="E190" s="21" t="s">
        <v>32806</v>
      </c>
      <c r="F190" s="21" t="s">
        <v>32804</v>
      </c>
      <c r="G190" s="21" t="s">
        <v>32718</v>
      </c>
      <c r="H190" s="21" t="s">
        <v>22166</v>
      </c>
    </row>
    <row r="191" customFormat="false" ht="15" hidden="false" customHeight="false" outlineLevel="0" collapsed="false">
      <c r="B191" s="19" t="s">
        <v>32834</v>
      </c>
      <c r="C191" s="20" t="n">
        <f aca="false">ROUND(46.8/FX,2)</f>
        <v>6.5</v>
      </c>
      <c r="D191" s="21" t="s">
        <v>6362</v>
      </c>
      <c r="E191" s="21" t="s">
        <v>734</v>
      </c>
      <c r="F191" s="21" t="s">
        <v>32804</v>
      </c>
      <c r="G191" s="21" t="s">
        <v>29407</v>
      </c>
      <c r="H191" s="21" t="s">
        <v>20012</v>
      </c>
    </row>
    <row r="192" customFormat="false" ht="15" hidden="false" customHeight="false" outlineLevel="0" collapsed="false">
      <c r="B192" s="19" t="s">
        <v>32835</v>
      </c>
      <c r="C192" s="20" t="n">
        <f aca="false">ROUND(46.8/FX,2)</f>
        <v>6.5</v>
      </c>
      <c r="D192" s="21" t="s">
        <v>6362</v>
      </c>
      <c r="E192" s="21" t="s">
        <v>734</v>
      </c>
      <c r="F192" s="21" t="s">
        <v>32804</v>
      </c>
      <c r="G192" s="21" t="s">
        <v>29407</v>
      </c>
      <c r="H192" s="21" t="s">
        <v>20014</v>
      </c>
    </row>
    <row r="193" customFormat="false" ht="15" hidden="false" customHeight="false" outlineLevel="0" collapsed="false">
      <c r="B193" s="19" t="s">
        <v>32836</v>
      </c>
      <c r="C193" s="20" t="n">
        <f aca="false">ROUND(46.8/FX,2)</f>
        <v>6.5</v>
      </c>
      <c r="D193" s="21" t="s">
        <v>6362</v>
      </c>
      <c r="E193" s="21" t="s">
        <v>32806</v>
      </c>
      <c r="F193" s="21" t="s">
        <v>32804</v>
      </c>
      <c r="G193" s="21" t="s">
        <v>29407</v>
      </c>
      <c r="H193" s="21" t="s">
        <v>20014</v>
      </c>
    </row>
    <row r="194" customFormat="false" ht="15" hidden="false" customHeight="false" outlineLevel="0" collapsed="false">
      <c r="B194" s="19" t="s">
        <v>32837</v>
      </c>
      <c r="C194" s="20" t="n">
        <f aca="false">ROUND(46.8/FX,2)</f>
        <v>6.5</v>
      </c>
      <c r="D194" s="21" t="s">
        <v>6362</v>
      </c>
      <c r="E194" s="21" t="s">
        <v>734</v>
      </c>
      <c r="F194" s="21" t="s">
        <v>32804</v>
      </c>
      <c r="G194" s="21" t="s">
        <v>21225</v>
      </c>
      <c r="H194" s="21" t="s">
        <v>20012</v>
      </c>
    </row>
    <row r="195" customFormat="false" ht="15" hidden="false" customHeight="false" outlineLevel="0" collapsed="false">
      <c r="B195" s="19" t="s">
        <v>32838</v>
      </c>
      <c r="C195" s="20" t="n">
        <f aca="false">ROUND(46.8/FX,2)</f>
        <v>6.5</v>
      </c>
      <c r="D195" s="21" t="s">
        <v>6362</v>
      </c>
      <c r="E195" s="21" t="s">
        <v>32806</v>
      </c>
      <c r="F195" s="21" t="s">
        <v>32804</v>
      </c>
      <c r="G195" s="21" t="s">
        <v>21225</v>
      </c>
      <c r="H195" s="21" t="s">
        <v>20012</v>
      </c>
    </row>
    <row r="196" customFormat="false" ht="15" hidden="false" customHeight="false" outlineLevel="0" collapsed="false">
      <c r="B196" s="19" t="s">
        <v>32839</v>
      </c>
      <c r="C196" s="20" t="n">
        <f aca="false">ROUND(46.8/FX,2)</f>
        <v>6.5</v>
      </c>
      <c r="D196" s="21" t="s">
        <v>6362</v>
      </c>
      <c r="E196" s="21" t="s">
        <v>734</v>
      </c>
      <c r="F196" s="21" t="s">
        <v>32804</v>
      </c>
      <c r="G196" s="21" t="s">
        <v>21225</v>
      </c>
      <c r="H196" s="21" t="s">
        <v>20014</v>
      </c>
    </row>
    <row r="197" customFormat="false" ht="15" hidden="false" customHeight="false" outlineLevel="0" collapsed="false">
      <c r="B197" s="19" t="s">
        <v>32840</v>
      </c>
      <c r="C197" s="20" t="n">
        <f aca="false">ROUND(46.8/FX,2)</f>
        <v>6.5</v>
      </c>
      <c r="D197" s="21" t="s">
        <v>6362</v>
      </c>
      <c r="E197" s="21" t="s">
        <v>32806</v>
      </c>
      <c r="F197" s="21" t="s">
        <v>32804</v>
      </c>
      <c r="G197" s="21" t="s">
        <v>21225</v>
      </c>
      <c r="H197" s="21" t="s">
        <v>20014</v>
      </c>
    </row>
    <row r="198" customFormat="false" ht="15" hidden="false" customHeight="false" outlineLevel="0" collapsed="false">
      <c r="B198" s="19" t="s">
        <v>32841</v>
      </c>
      <c r="C198" s="20" t="n">
        <f aca="false">ROUND(46.8/FX,2)</f>
        <v>6.5</v>
      </c>
      <c r="D198" s="21" t="s">
        <v>6362</v>
      </c>
      <c r="E198" s="21" t="s">
        <v>734</v>
      </c>
      <c r="F198" s="21" t="s">
        <v>32804</v>
      </c>
      <c r="G198" s="21" t="s">
        <v>21225</v>
      </c>
      <c r="H198" s="21" t="s">
        <v>22166</v>
      </c>
    </row>
    <row r="199" customFormat="false" ht="15" hidden="false" customHeight="false" outlineLevel="0" collapsed="false">
      <c r="B199" s="19" t="s">
        <v>32842</v>
      </c>
      <c r="C199" s="20" t="n">
        <f aca="false">ROUND(46.8/FX,2)</f>
        <v>6.5</v>
      </c>
      <c r="D199" s="21" t="s">
        <v>6362</v>
      </c>
      <c r="E199" s="21" t="s">
        <v>32806</v>
      </c>
      <c r="F199" s="21" t="s">
        <v>32804</v>
      </c>
      <c r="G199" s="21" t="s">
        <v>21225</v>
      </c>
      <c r="H199" s="21" t="s">
        <v>22166</v>
      </c>
    </row>
    <row r="200" customFormat="false" ht="15" hidden="false" customHeight="false" outlineLevel="0" collapsed="false">
      <c r="B200" s="19" t="s">
        <v>32843</v>
      </c>
      <c r="C200" s="20" t="n">
        <f aca="false">ROUND(46.8/FX,2)</f>
        <v>6.5</v>
      </c>
      <c r="D200" s="21" t="s">
        <v>6362</v>
      </c>
      <c r="E200" s="21" t="s">
        <v>734</v>
      </c>
      <c r="F200" s="21" t="s">
        <v>32804</v>
      </c>
      <c r="G200" s="21" t="s">
        <v>21225</v>
      </c>
      <c r="H200" s="21" t="s">
        <v>32689</v>
      </c>
    </row>
    <row r="201" customFormat="false" ht="15" hidden="false" customHeight="false" outlineLevel="0" collapsed="false">
      <c r="B201" s="19" t="s">
        <v>32844</v>
      </c>
      <c r="C201" s="20" t="n">
        <f aca="false">ROUND(46.8/FX,2)</f>
        <v>6.5</v>
      </c>
      <c r="D201" s="21" t="s">
        <v>6362</v>
      </c>
      <c r="E201" s="21" t="s">
        <v>32806</v>
      </c>
      <c r="F201" s="21" t="s">
        <v>32804</v>
      </c>
      <c r="G201" s="21" t="s">
        <v>21225</v>
      </c>
      <c r="H201" s="21" t="s">
        <v>32689</v>
      </c>
    </row>
    <row r="202" customFormat="false" ht="15" hidden="false" customHeight="false" outlineLevel="0" collapsed="false">
      <c r="B202" s="19" t="s">
        <v>32845</v>
      </c>
      <c r="C202" s="20" t="n">
        <f aca="false">ROUND(46.8/FX,2)</f>
        <v>6.5</v>
      </c>
      <c r="D202" s="21" t="s">
        <v>6362</v>
      </c>
      <c r="E202" s="21" t="s">
        <v>734</v>
      </c>
      <c r="F202" s="21" t="s">
        <v>32804</v>
      </c>
      <c r="G202" s="21" t="s">
        <v>29288</v>
      </c>
      <c r="H202" s="21" t="s">
        <v>32612</v>
      </c>
    </row>
    <row r="203" customFormat="false" ht="15" hidden="false" customHeight="false" outlineLevel="0" collapsed="false">
      <c r="B203" s="19" t="s">
        <v>32846</v>
      </c>
      <c r="C203" s="20" t="n">
        <f aca="false">ROUND(46.8/FX,2)</f>
        <v>6.5</v>
      </c>
      <c r="D203" s="21" t="s">
        <v>6362</v>
      </c>
      <c r="E203" s="21" t="s">
        <v>32806</v>
      </c>
      <c r="F203" s="21" t="s">
        <v>32804</v>
      </c>
      <c r="G203" s="21" t="s">
        <v>29288</v>
      </c>
      <c r="H203" s="21" t="s">
        <v>32612</v>
      </c>
    </row>
    <row r="204" customFormat="false" ht="15" hidden="false" customHeight="false" outlineLevel="0" collapsed="false">
      <c r="B204" s="19" t="s">
        <v>32847</v>
      </c>
      <c r="C204" s="20" t="n">
        <f aca="false">ROUND(46.8/FX,2)</f>
        <v>6.5</v>
      </c>
      <c r="D204" s="21" t="s">
        <v>6362</v>
      </c>
      <c r="E204" s="21" t="s">
        <v>734</v>
      </c>
      <c r="F204" s="21" t="s">
        <v>32804</v>
      </c>
      <c r="G204" s="21" t="s">
        <v>29288</v>
      </c>
      <c r="H204" s="21" t="s">
        <v>20014</v>
      </c>
    </row>
    <row r="205" customFormat="false" ht="15" hidden="false" customHeight="false" outlineLevel="0" collapsed="false">
      <c r="B205" s="19" t="s">
        <v>32848</v>
      </c>
      <c r="C205" s="20" t="n">
        <f aca="false">ROUND(46.8/FX,2)</f>
        <v>6.5</v>
      </c>
      <c r="D205" s="21" t="s">
        <v>6362</v>
      </c>
      <c r="E205" s="21" t="s">
        <v>32806</v>
      </c>
      <c r="F205" s="21" t="s">
        <v>32804</v>
      </c>
      <c r="G205" s="21" t="s">
        <v>29288</v>
      </c>
      <c r="H205" s="21" t="s">
        <v>20014</v>
      </c>
    </row>
    <row r="206" customFormat="false" ht="15" hidden="false" customHeight="false" outlineLevel="0" collapsed="false">
      <c r="B206" s="19" t="s">
        <v>32849</v>
      </c>
      <c r="C206" s="20" t="n">
        <f aca="false">ROUND(136.5/FX,2)</f>
        <v>18.96</v>
      </c>
      <c r="D206" s="21" t="s">
        <v>724</v>
      </c>
      <c r="E206" s="21" t="s">
        <v>734</v>
      </c>
      <c r="F206" s="21" t="s">
        <v>32850</v>
      </c>
      <c r="G206" s="21" t="s">
        <v>29407</v>
      </c>
      <c r="H206" s="21" t="s">
        <v>20014</v>
      </c>
    </row>
    <row r="207" customFormat="false" ht="15" hidden="false" customHeight="false" outlineLevel="0" collapsed="false">
      <c r="B207" s="19" t="s">
        <v>32851</v>
      </c>
      <c r="C207" s="20" t="n">
        <f aca="false">ROUND(136.5/FX,2)</f>
        <v>18.96</v>
      </c>
      <c r="D207" s="21" t="s">
        <v>724</v>
      </c>
      <c r="E207" s="21" t="s">
        <v>734</v>
      </c>
      <c r="F207" s="21" t="s">
        <v>32850</v>
      </c>
      <c r="G207" s="21" t="s">
        <v>21225</v>
      </c>
      <c r="H207" s="21" t="s">
        <v>32689</v>
      </c>
    </row>
    <row r="208" customFormat="false" ht="15" hidden="false" customHeight="false" outlineLevel="0" collapsed="false">
      <c r="B208" s="19" t="s">
        <v>32852</v>
      </c>
      <c r="C208" s="20" t="n">
        <f aca="false">ROUND(102.7/FX,2)</f>
        <v>14.26</v>
      </c>
      <c r="D208" s="21" t="s">
        <v>6362</v>
      </c>
      <c r="E208" s="21" t="s">
        <v>734</v>
      </c>
      <c r="F208" s="21" t="s">
        <v>32850</v>
      </c>
      <c r="G208" s="21" t="s">
        <v>21225</v>
      </c>
      <c r="H208" s="21" t="s">
        <v>32689</v>
      </c>
    </row>
    <row r="209" customFormat="false" ht="15" hidden="false" customHeight="false" outlineLevel="0" collapsed="false">
      <c r="B209" s="19" t="s">
        <v>32853</v>
      </c>
      <c r="C209" s="20" t="n">
        <f aca="false">ROUND(59.8/FX,2)</f>
        <v>8.31</v>
      </c>
      <c r="D209" s="21" t="s">
        <v>724</v>
      </c>
      <c r="E209" s="21" t="s">
        <v>734</v>
      </c>
      <c r="F209" s="21" t="s">
        <v>32854</v>
      </c>
      <c r="G209" s="21" t="s">
        <v>32718</v>
      </c>
      <c r="H209" s="21" t="s">
        <v>20012</v>
      </c>
    </row>
    <row r="210" customFormat="false" ht="15" hidden="false" customHeight="false" outlineLevel="0" collapsed="false">
      <c r="B210" s="19" t="s">
        <v>32855</v>
      </c>
      <c r="C210" s="20" t="n">
        <f aca="false">ROUND(59.8/FX,2)</f>
        <v>8.31</v>
      </c>
      <c r="D210" s="21" t="s">
        <v>724</v>
      </c>
      <c r="E210" s="21" t="s">
        <v>734</v>
      </c>
      <c r="F210" s="21" t="s">
        <v>32854</v>
      </c>
      <c r="G210" s="21" t="s">
        <v>32718</v>
      </c>
      <c r="H210" s="21" t="s">
        <v>32689</v>
      </c>
    </row>
    <row r="211" customFormat="false" ht="15" hidden="false" customHeight="false" outlineLevel="0" collapsed="false">
      <c r="B211" s="19" t="s">
        <v>32856</v>
      </c>
      <c r="C211" s="20" t="n">
        <f aca="false">ROUND(59.8/FX,2)</f>
        <v>8.31</v>
      </c>
      <c r="D211" s="21" t="s">
        <v>724</v>
      </c>
      <c r="E211" s="21" t="s">
        <v>734</v>
      </c>
      <c r="F211" s="21" t="s">
        <v>32854</v>
      </c>
      <c r="G211" s="21" t="s">
        <v>21225</v>
      </c>
      <c r="H211" s="21" t="s">
        <v>20014</v>
      </c>
    </row>
    <row r="212" customFormat="false" ht="15" hidden="false" customHeight="false" outlineLevel="0" collapsed="false">
      <c r="B212" s="19" t="s">
        <v>32857</v>
      </c>
      <c r="C212" s="20" t="n">
        <f aca="false">ROUND(59.8/FX,2)</f>
        <v>8.31</v>
      </c>
      <c r="D212" s="21" t="s">
        <v>724</v>
      </c>
      <c r="E212" s="21" t="s">
        <v>734</v>
      </c>
      <c r="F212" s="21" t="s">
        <v>32854</v>
      </c>
      <c r="G212" s="21" t="s">
        <v>21225</v>
      </c>
      <c r="H212" s="21" t="s">
        <v>32858</v>
      </c>
    </row>
    <row r="213" customFormat="false" ht="15" hidden="false" customHeight="false" outlineLevel="0" collapsed="false">
      <c r="B213" s="19" t="s">
        <v>32859</v>
      </c>
      <c r="C213" s="20" t="n">
        <f aca="false">ROUND(59.8/FX,2)</f>
        <v>8.31</v>
      </c>
      <c r="D213" s="21" t="s">
        <v>724</v>
      </c>
      <c r="E213" s="21" t="s">
        <v>734</v>
      </c>
      <c r="F213" s="21" t="s">
        <v>32854</v>
      </c>
      <c r="G213" s="21" t="s">
        <v>21225</v>
      </c>
      <c r="H213" s="21" t="s">
        <v>32765</v>
      </c>
    </row>
    <row r="214" customFormat="false" ht="15" hidden="false" customHeight="false" outlineLevel="0" collapsed="false">
      <c r="B214" s="19" t="s">
        <v>32860</v>
      </c>
      <c r="C214" s="20" t="n">
        <f aca="false">ROUND(59.8/FX,2)</f>
        <v>8.31</v>
      </c>
      <c r="D214" s="21" t="s">
        <v>724</v>
      </c>
      <c r="E214" s="21" t="s">
        <v>734</v>
      </c>
      <c r="F214" s="21" t="s">
        <v>32854</v>
      </c>
      <c r="G214" s="21" t="s">
        <v>32727</v>
      </c>
      <c r="H214" s="21" t="s">
        <v>32725</v>
      </c>
    </row>
    <row r="215" customFormat="false" ht="15" hidden="false" customHeight="false" outlineLevel="0" collapsed="false">
      <c r="B215" s="19" t="s">
        <v>32861</v>
      </c>
      <c r="C215" s="20" t="n">
        <f aca="false">ROUND(59.8/FX,2)</f>
        <v>8.31</v>
      </c>
      <c r="D215" s="21" t="s">
        <v>724</v>
      </c>
      <c r="E215" s="21" t="s">
        <v>734</v>
      </c>
      <c r="F215" s="21" t="s">
        <v>32854</v>
      </c>
      <c r="G215" s="21" t="s">
        <v>32727</v>
      </c>
      <c r="H215" s="21" t="s">
        <v>20014</v>
      </c>
    </row>
    <row r="216" customFormat="false" ht="15" hidden="false" customHeight="false" outlineLevel="0" collapsed="false">
      <c r="B216" s="19" t="s">
        <v>32862</v>
      </c>
      <c r="C216" s="20" t="n">
        <f aca="false">ROUND(59.8/FX,2)</f>
        <v>8.31</v>
      </c>
      <c r="D216" s="21" t="s">
        <v>724</v>
      </c>
      <c r="E216" s="21" t="s">
        <v>734</v>
      </c>
      <c r="F216" s="21" t="s">
        <v>32854</v>
      </c>
      <c r="G216" s="21" t="s">
        <v>32727</v>
      </c>
      <c r="H216" s="21" t="s">
        <v>22166</v>
      </c>
    </row>
    <row r="217" customFormat="false" ht="15" hidden="false" customHeight="false" outlineLevel="0" collapsed="false">
      <c r="B217" s="19" t="s">
        <v>32863</v>
      </c>
      <c r="C217" s="20" t="n">
        <f aca="false">ROUND(59.8/FX,2)</f>
        <v>8.31</v>
      </c>
      <c r="D217" s="21" t="s">
        <v>6362</v>
      </c>
      <c r="E217" s="21" t="s">
        <v>734</v>
      </c>
      <c r="F217" s="21" t="s">
        <v>32854</v>
      </c>
      <c r="G217" s="21" t="s">
        <v>32718</v>
      </c>
      <c r="H217" s="21" t="s">
        <v>20012</v>
      </c>
    </row>
    <row r="218" customFormat="false" ht="15" hidden="false" customHeight="false" outlineLevel="0" collapsed="false">
      <c r="B218" s="19" t="s">
        <v>32864</v>
      </c>
      <c r="C218" s="20" t="n">
        <f aca="false">ROUND(59.8/FX,2)</f>
        <v>8.31</v>
      </c>
      <c r="D218" s="21" t="s">
        <v>6362</v>
      </c>
      <c r="E218" s="21" t="s">
        <v>734</v>
      </c>
      <c r="F218" s="21" t="s">
        <v>32854</v>
      </c>
      <c r="G218" s="21" t="s">
        <v>32718</v>
      </c>
      <c r="H218" s="21" t="s">
        <v>32689</v>
      </c>
    </row>
    <row r="219" customFormat="false" ht="15" hidden="false" customHeight="false" outlineLevel="0" collapsed="false">
      <c r="B219" s="19" t="s">
        <v>32865</v>
      </c>
      <c r="C219" s="20" t="n">
        <f aca="false">ROUND(59.8/FX,2)</f>
        <v>8.31</v>
      </c>
      <c r="D219" s="21" t="s">
        <v>6362</v>
      </c>
      <c r="E219" s="21" t="s">
        <v>734</v>
      </c>
      <c r="F219" s="21" t="s">
        <v>32854</v>
      </c>
      <c r="G219" s="21" t="s">
        <v>21225</v>
      </c>
      <c r="H219" s="21" t="s">
        <v>20014</v>
      </c>
    </row>
    <row r="220" customFormat="false" ht="15" hidden="false" customHeight="false" outlineLevel="0" collapsed="false">
      <c r="B220" s="19" t="s">
        <v>32866</v>
      </c>
      <c r="C220" s="20" t="n">
        <f aca="false">ROUND(59.8/FX,2)</f>
        <v>8.31</v>
      </c>
      <c r="D220" s="21" t="s">
        <v>6362</v>
      </c>
      <c r="E220" s="21" t="s">
        <v>734</v>
      </c>
      <c r="F220" s="21" t="s">
        <v>32854</v>
      </c>
      <c r="G220" s="21" t="s">
        <v>21225</v>
      </c>
      <c r="H220" s="21" t="s">
        <v>32858</v>
      </c>
    </row>
    <row r="221" customFormat="false" ht="15" hidden="false" customHeight="false" outlineLevel="0" collapsed="false">
      <c r="B221" s="19" t="s">
        <v>32867</v>
      </c>
      <c r="C221" s="20" t="n">
        <f aca="false">ROUND(59.8/FX,2)</f>
        <v>8.31</v>
      </c>
      <c r="D221" s="21" t="s">
        <v>6362</v>
      </c>
      <c r="E221" s="21" t="s">
        <v>734</v>
      </c>
      <c r="F221" s="21" t="s">
        <v>32854</v>
      </c>
      <c r="G221" s="21" t="s">
        <v>21225</v>
      </c>
      <c r="H221" s="21" t="s">
        <v>32765</v>
      </c>
    </row>
    <row r="222" customFormat="false" ht="15" hidden="false" customHeight="false" outlineLevel="0" collapsed="false">
      <c r="B222" s="19" t="s">
        <v>32868</v>
      </c>
      <c r="C222" s="20" t="n">
        <f aca="false">ROUND(59.8/FX,2)</f>
        <v>8.31</v>
      </c>
      <c r="D222" s="21" t="s">
        <v>6362</v>
      </c>
      <c r="E222" s="21" t="s">
        <v>734</v>
      </c>
      <c r="F222" s="21" t="s">
        <v>32854</v>
      </c>
      <c r="G222" s="21" t="s">
        <v>32727</v>
      </c>
      <c r="H222" s="21" t="s">
        <v>32725</v>
      </c>
    </row>
    <row r="223" customFormat="false" ht="15" hidden="false" customHeight="false" outlineLevel="0" collapsed="false">
      <c r="B223" s="19" t="s">
        <v>32869</v>
      </c>
      <c r="C223" s="20" t="n">
        <f aca="false">ROUND(59.8/FX,2)</f>
        <v>8.31</v>
      </c>
      <c r="D223" s="21" t="s">
        <v>6362</v>
      </c>
      <c r="E223" s="21" t="s">
        <v>734</v>
      </c>
      <c r="F223" s="21" t="s">
        <v>32854</v>
      </c>
      <c r="G223" s="21" t="s">
        <v>32727</v>
      </c>
      <c r="H223" s="21" t="s">
        <v>20014</v>
      </c>
    </row>
    <row r="224" customFormat="false" ht="15" hidden="false" customHeight="false" outlineLevel="0" collapsed="false">
      <c r="B224" s="19" t="s">
        <v>32870</v>
      </c>
      <c r="C224" s="20" t="n">
        <f aca="false">ROUND(59.8/FX,2)</f>
        <v>8.31</v>
      </c>
      <c r="D224" s="21" t="s">
        <v>6362</v>
      </c>
      <c r="E224" s="21" t="s">
        <v>734</v>
      </c>
      <c r="F224" s="21" t="s">
        <v>32854</v>
      </c>
      <c r="G224" s="21" t="s">
        <v>32727</v>
      </c>
      <c r="H224" s="21" t="s">
        <v>22166</v>
      </c>
    </row>
    <row r="225" customFormat="false" ht="15" hidden="false" customHeight="false" outlineLevel="0" collapsed="false">
      <c r="B225" s="19" t="s">
        <v>32871</v>
      </c>
      <c r="C225" s="20" t="n">
        <f aca="false">ROUND(68.9/FX,2)</f>
        <v>9.57</v>
      </c>
      <c r="D225" s="21" t="s">
        <v>724</v>
      </c>
      <c r="E225" s="21" t="s">
        <v>734</v>
      </c>
      <c r="F225" s="21" t="s">
        <v>32872</v>
      </c>
      <c r="G225" s="21" t="s">
        <v>32611</v>
      </c>
      <c r="H225" s="21" t="s">
        <v>20014</v>
      </c>
    </row>
    <row r="226" customFormat="false" ht="15" hidden="false" customHeight="false" outlineLevel="0" collapsed="false">
      <c r="B226" s="19" t="s">
        <v>32873</v>
      </c>
      <c r="C226" s="20" t="n">
        <f aca="false">ROUND(68.9/FX,2)</f>
        <v>9.57</v>
      </c>
      <c r="D226" s="21" t="s">
        <v>724</v>
      </c>
      <c r="E226" s="21" t="s">
        <v>734</v>
      </c>
      <c r="F226" s="21" t="s">
        <v>32872</v>
      </c>
      <c r="G226" s="21" t="s">
        <v>32611</v>
      </c>
      <c r="H226" s="21" t="s">
        <v>32689</v>
      </c>
    </row>
    <row r="227" customFormat="false" ht="15" hidden="false" customHeight="false" outlineLevel="0" collapsed="false">
      <c r="B227" s="19" t="s">
        <v>32874</v>
      </c>
      <c r="C227" s="20" t="n">
        <f aca="false">ROUND(68.9/FX,2)</f>
        <v>9.57</v>
      </c>
      <c r="D227" s="21" t="s">
        <v>724</v>
      </c>
      <c r="E227" s="21" t="s">
        <v>734</v>
      </c>
      <c r="F227" s="21" t="s">
        <v>32872</v>
      </c>
      <c r="G227" s="21" t="s">
        <v>32718</v>
      </c>
      <c r="H227" s="21" t="s">
        <v>22166</v>
      </c>
    </row>
    <row r="228" customFormat="false" ht="15" hidden="false" customHeight="false" outlineLevel="0" collapsed="false">
      <c r="B228" s="19" t="s">
        <v>32875</v>
      </c>
      <c r="C228" s="20" t="n">
        <f aca="false">ROUND(68.9/FX,2)</f>
        <v>9.57</v>
      </c>
      <c r="D228" s="21" t="s">
        <v>724</v>
      </c>
      <c r="E228" s="21" t="s">
        <v>734</v>
      </c>
      <c r="F228" s="21" t="s">
        <v>32872</v>
      </c>
      <c r="G228" s="21" t="s">
        <v>29407</v>
      </c>
      <c r="H228" s="21" t="s">
        <v>20014</v>
      </c>
    </row>
    <row r="229" customFormat="false" ht="15" hidden="false" customHeight="false" outlineLevel="0" collapsed="false">
      <c r="B229" s="19" t="s">
        <v>32876</v>
      </c>
      <c r="C229" s="20" t="n">
        <f aca="false">ROUND(68.9/FX,2)</f>
        <v>9.57</v>
      </c>
      <c r="D229" s="21" t="s">
        <v>724</v>
      </c>
      <c r="E229" s="21" t="s">
        <v>734</v>
      </c>
      <c r="F229" s="21" t="s">
        <v>32872</v>
      </c>
      <c r="G229" s="21" t="s">
        <v>29407</v>
      </c>
      <c r="H229" s="21" t="s">
        <v>22166</v>
      </c>
    </row>
    <row r="230" customFormat="false" ht="15" hidden="false" customHeight="false" outlineLevel="0" collapsed="false">
      <c r="B230" s="19" t="s">
        <v>32877</v>
      </c>
      <c r="C230" s="20" t="n">
        <f aca="false">ROUND(68.9/FX,2)</f>
        <v>9.57</v>
      </c>
      <c r="D230" s="21" t="s">
        <v>724</v>
      </c>
      <c r="E230" s="21" t="s">
        <v>734</v>
      </c>
      <c r="F230" s="21" t="s">
        <v>32872</v>
      </c>
      <c r="G230" s="21" t="s">
        <v>21225</v>
      </c>
      <c r="H230" s="21" t="s">
        <v>20014</v>
      </c>
    </row>
    <row r="231" customFormat="false" ht="15" hidden="false" customHeight="false" outlineLevel="0" collapsed="false">
      <c r="B231" s="19" t="s">
        <v>32878</v>
      </c>
      <c r="C231" s="20" t="n">
        <f aca="false">ROUND(68.9/FX,2)</f>
        <v>9.57</v>
      </c>
      <c r="D231" s="21" t="s">
        <v>724</v>
      </c>
      <c r="E231" s="21" t="s">
        <v>734</v>
      </c>
      <c r="F231" s="21" t="s">
        <v>32872</v>
      </c>
      <c r="G231" s="21" t="s">
        <v>21225</v>
      </c>
      <c r="H231" s="21" t="s">
        <v>32625</v>
      </c>
    </row>
    <row r="232" customFormat="false" ht="15" hidden="false" customHeight="false" outlineLevel="0" collapsed="false">
      <c r="B232" s="19" t="s">
        <v>32879</v>
      </c>
      <c r="C232" s="20" t="n">
        <f aca="false">ROUND(68.9/FX,2)</f>
        <v>9.57</v>
      </c>
      <c r="D232" s="21" t="s">
        <v>724</v>
      </c>
      <c r="E232" s="21" t="s">
        <v>734</v>
      </c>
      <c r="F232" s="21" t="s">
        <v>32872</v>
      </c>
      <c r="G232" s="21" t="s">
        <v>21225</v>
      </c>
      <c r="H232" s="21" t="s">
        <v>22166</v>
      </c>
    </row>
    <row r="233" customFormat="false" ht="15" hidden="false" customHeight="false" outlineLevel="0" collapsed="false">
      <c r="B233" s="19" t="s">
        <v>32880</v>
      </c>
      <c r="C233" s="20" t="n">
        <f aca="false">ROUND(68.9/FX,2)</f>
        <v>9.57</v>
      </c>
      <c r="D233" s="21" t="s">
        <v>724</v>
      </c>
      <c r="E233" s="21" t="s">
        <v>734</v>
      </c>
      <c r="F233" s="21" t="s">
        <v>32872</v>
      </c>
      <c r="G233" s="21" t="s">
        <v>21225</v>
      </c>
      <c r="H233" s="21" t="s">
        <v>32689</v>
      </c>
    </row>
    <row r="234" customFormat="false" ht="15" hidden="false" customHeight="false" outlineLevel="0" collapsed="false">
      <c r="B234" s="19" t="s">
        <v>32881</v>
      </c>
      <c r="C234" s="20" t="n">
        <f aca="false">ROUND(68.9/FX,2)</f>
        <v>9.57</v>
      </c>
      <c r="D234" s="21" t="s">
        <v>724</v>
      </c>
      <c r="E234" s="21" t="s">
        <v>734</v>
      </c>
      <c r="F234" s="21" t="s">
        <v>32872</v>
      </c>
      <c r="G234" s="21" t="s">
        <v>32727</v>
      </c>
      <c r="H234" s="21" t="s">
        <v>32725</v>
      </c>
    </row>
    <row r="235" customFormat="false" ht="15" hidden="false" customHeight="false" outlineLevel="0" collapsed="false">
      <c r="B235" s="19" t="s">
        <v>32882</v>
      </c>
      <c r="C235" s="20" t="n">
        <f aca="false">ROUND(68.9/FX,2)</f>
        <v>9.57</v>
      </c>
      <c r="D235" s="21" t="s">
        <v>724</v>
      </c>
      <c r="E235" s="21" t="s">
        <v>734</v>
      </c>
      <c r="F235" s="21" t="s">
        <v>32872</v>
      </c>
      <c r="G235" s="21" t="s">
        <v>32727</v>
      </c>
      <c r="H235" s="21" t="s">
        <v>22166</v>
      </c>
    </row>
    <row r="236" customFormat="false" ht="15" hidden="false" customHeight="false" outlineLevel="0" collapsed="false">
      <c r="B236" s="19" t="s">
        <v>32883</v>
      </c>
      <c r="C236" s="20" t="n">
        <f aca="false">ROUND(68.9/FX,2)</f>
        <v>9.57</v>
      </c>
      <c r="D236" s="21" t="s">
        <v>724</v>
      </c>
      <c r="E236" s="21" t="s">
        <v>734</v>
      </c>
      <c r="F236" s="21" t="s">
        <v>32872</v>
      </c>
      <c r="G236" s="21" t="s">
        <v>29288</v>
      </c>
      <c r="H236" s="21" t="s">
        <v>20012</v>
      </c>
    </row>
    <row r="237" customFormat="false" ht="15" hidden="false" customHeight="false" outlineLevel="0" collapsed="false">
      <c r="B237" s="19" t="s">
        <v>32884</v>
      </c>
      <c r="C237" s="20" t="n">
        <f aca="false">ROUND(68.9/FX,2)</f>
        <v>9.57</v>
      </c>
      <c r="D237" s="21" t="s">
        <v>724</v>
      </c>
      <c r="E237" s="21" t="s">
        <v>734</v>
      </c>
      <c r="F237" s="21" t="s">
        <v>32872</v>
      </c>
      <c r="G237" s="21" t="s">
        <v>29288</v>
      </c>
      <c r="H237" s="21" t="s">
        <v>32625</v>
      </c>
    </row>
    <row r="238" customFormat="false" ht="15" hidden="false" customHeight="false" outlineLevel="0" collapsed="false">
      <c r="B238" s="19" t="s">
        <v>32885</v>
      </c>
      <c r="C238" s="20" t="n">
        <f aca="false">ROUND(68.9/FX,2)</f>
        <v>9.57</v>
      </c>
      <c r="D238" s="21" t="s">
        <v>724</v>
      </c>
      <c r="E238" s="21" t="s">
        <v>734</v>
      </c>
      <c r="F238" s="21" t="s">
        <v>32872</v>
      </c>
      <c r="G238" s="21" t="s">
        <v>29288</v>
      </c>
      <c r="H238" s="21" t="s">
        <v>22166</v>
      </c>
    </row>
    <row r="239" customFormat="false" ht="15" hidden="false" customHeight="false" outlineLevel="0" collapsed="false">
      <c r="B239" s="19" t="s">
        <v>32886</v>
      </c>
      <c r="C239" s="20" t="n">
        <f aca="false">ROUND(68.9/FX,2)</f>
        <v>9.57</v>
      </c>
      <c r="D239" s="21" t="s">
        <v>6362</v>
      </c>
      <c r="E239" s="21" t="s">
        <v>734</v>
      </c>
      <c r="F239" s="21" t="s">
        <v>32872</v>
      </c>
      <c r="G239" s="21" t="s">
        <v>32611</v>
      </c>
      <c r="H239" s="21" t="s">
        <v>20014</v>
      </c>
    </row>
    <row r="240" customFormat="false" ht="15" hidden="false" customHeight="false" outlineLevel="0" collapsed="false">
      <c r="B240" s="19" t="s">
        <v>32887</v>
      </c>
      <c r="C240" s="20" t="n">
        <f aca="false">ROUND(68.9/FX,2)</f>
        <v>9.57</v>
      </c>
      <c r="D240" s="21" t="s">
        <v>6362</v>
      </c>
      <c r="E240" s="21" t="s">
        <v>734</v>
      </c>
      <c r="F240" s="21" t="s">
        <v>32872</v>
      </c>
      <c r="G240" s="21" t="s">
        <v>32611</v>
      </c>
      <c r="H240" s="21" t="s">
        <v>32689</v>
      </c>
    </row>
    <row r="241" customFormat="false" ht="15" hidden="false" customHeight="false" outlineLevel="0" collapsed="false">
      <c r="B241" s="19" t="s">
        <v>32888</v>
      </c>
      <c r="C241" s="20" t="n">
        <f aca="false">ROUND(68.9/FX,2)</f>
        <v>9.57</v>
      </c>
      <c r="D241" s="21" t="s">
        <v>6362</v>
      </c>
      <c r="E241" s="21" t="s">
        <v>734</v>
      </c>
      <c r="F241" s="21" t="s">
        <v>32872</v>
      </c>
      <c r="G241" s="21" t="s">
        <v>32718</v>
      </c>
      <c r="H241" s="21" t="s">
        <v>22166</v>
      </c>
    </row>
    <row r="242" customFormat="false" ht="15" hidden="false" customHeight="false" outlineLevel="0" collapsed="false">
      <c r="B242" s="19" t="s">
        <v>32889</v>
      </c>
      <c r="C242" s="20" t="n">
        <f aca="false">ROUND(68.9/FX,2)</f>
        <v>9.57</v>
      </c>
      <c r="D242" s="21" t="s">
        <v>6362</v>
      </c>
      <c r="E242" s="21" t="s">
        <v>734</v>
      </c>
      <c r="F242" s="21" t="s">
        <v>32872</v>
      </c>
      <c r="G242" s="21" t="s">
        <v>29407</v>
      </c>
      <c r="H242" s="21" t="s">
        <v>20014</v>
      </c>
    </row>
    <row r="243" customFormat="false" ht="15" hidden="false" customHeight="false" outlineLevel="0" collapsed="false">
      <c r="B243" s="19" t="s">
        <v>32890</v>
      </c>
      <c r="C243" s="20" t="n">
        <f aca="false">ROUND(68.9/FX,2)</f>
        <v>9.57</v>
      </c>
      <c r="D243" s="21" t="s">
        <v>6362</v>
      </c>
      <c r="E243" s="21" t="s">
        <v>734</v>
      </c>
      <c r="F243" s="21" t="s">
        <v>32872</v>
      </c>
      <c r="G243" s="21" t="s">
        <v>29407</v>
      </c>
      <c r="H243" s="21" t="s">
        <v>22166</v>
      </c>
    </row>
    <row r="244" customFormat="false" ht="15" hidden="false" customHeight="false" outlineLevel="0" collapsed="false">
      <c r="B244" s="19" t="s">
        <v>32891</v>
      </c>
      <c r="C244" s="20" t="n">
        <f aca="false">ROUND(68.9/FX,2)</f>
        <v>9.57</v>
      </c>
      <c r="D244" s="21" t="s">
        <v>6362</v>
      </c>
      <c r="E244" s="21" t="s">
        <v>734</v>
      </c>
      <c r="F244" s="21" t="s">
        <v>32872</v>
      </c>
      <c r="G244" s="21" t="s">
        <v>21225</v>
      </c>
      <c r="H244" s="21" t="s">
        <v>20014</v>
      </c>
    </row>
    <row r="245" customFormat="false" ht="15" hidden="false" customHeight="false" outlineLevel="0" collapsed="false">
      <c r="B245" s="19" t="s">
        <v>32892</v>
      </c>
      <c r="C245" s="20" t="n">
        <f aca="false">ROUND(68.9/FX,2)</f>
        <v>9.57</v>
      </c>
      <c r="D245" s="21" t="s">
        <v>6362</v>
      </c>
      <c r="E245" s="21" t="s">
        <v>734</v>
      </c>
      <c r="F245" s="21" t="s">
        <v>32872</v>
      </c>
      <c r="G245" s="21" t="s">
        <v>21225</v>
      </c>
      <c r="H245" s="21" t="s">
        <v>32625</v>
      </c>
    </row>
    <row r="246" customFormat="false" ht="15" hidden="false" customHeight="false" outlineLevel="0" collapsed="false">
      <c r="B246" s="19" t="s">
        <v>32893</v>
      </c>
      <c r="C246" s="20" t="n">
        <f aca="false">ROUND(68.9/FX,2)</f>
        <v>9.57</v>
      </c>
      <c r="D246" s="21" t="s">
        <v>6362</v>
      </c>
      <c r="E246" s="21" t="s">
        <v>734</v>
      </c>
      <c r="F246" s="21" t="s">
        <v>32872</v>
      </c>
      <c r="G246" s="21" t="s">
        <v>21225</v>
      </c>
      <c r="H246" s="21" t="s">
        <v>22166</v>
      </c>
    </row>
    <row r="247" customFormat="false" ht="15" hidden="false" customHeight="false" outlineLevel="0" collapsed="false">
      <c r="B247" s="19" t="s">
        <v>32894</v>
      </c>
      <c r="C247" s="20" t="n">
        <f aca="false">ROUND(68.9/FX,2)</f>
        <v>9.57</v>
      </c>
      <c r="D247" s="21" t="s">
        <v>6362</v>
      </c>
      <c r="E247" s="21" t="s">
        <v>734</v>
      </c>
      <c r="F247" s="21" t="s">
        <v>32872</v>
      </c>
      <c r="G247" s="21" t="s">
        <v>21225</v>
      </c>
      <c r="H247" s="21" t="s">
        <v>32689</v>
      </c>
    </row>
    <row r="248" customFormat="false" ht="15" hidden="false" customHeight="false" outlineLevel="0" collapsed="false">
      <c r="B248" s="19" t="s">
        <v>32895</v>
      </c>
      <c r="C248" s="20" t="n">
        <f aca="false">ROUND(68.9/FX,2)</f>
        <v>9.57</v>
      </c>
      <c r="D248" s="21" t="s">
        <v>6362</v>
      </c>
      <c r="E248" s="21" t="s">
        <v>734</v>
      </c>
      <c r="F248" s="21" t="s">
        <v>32872</v>
      </c>
      <c r="G248" s="21" t="s">
        <v>32727</v>
      </c>
      <c r="H248" s="21" t="s">
        <v>32725</v>
      </c>
    </row>
    <row r="249" customFormat="false" ht="15" hidden="false" customHeight="false" outlineLevel="0" collapsed="false">
      <c r="B249" s="19" t="s">
        <v>32896</v>
      </c>
      <c r="C249" s="20" t="n">
        <f aca="false">ROUND(68.9/FX,2)</f>
        <v>9.57</v>
      </c>
      <c r="D249" s="21" t="s">
        <v>6362</v>
      </c>
      <c r="E249" s="21" t="s">
        <v>734</v>
      </c>
      <c r="F249" s="21" t="s">
        <v>32872</v>
      </c>
      <c r="G249" s="21" t="s">
        <v>32727</v>
      </c>
      <c r="H249" s="21" t="s">
        <v>22166</v>
      </c>
    </row>
    <row r="250" customFormat="false" ht="15" hidden="false" customHeight="false" outlineLevel="0" collapsed="false">
      <c r="B250" s="19" t="s">
        <v>32897</v>
      </c>
      <c r="C250" s="20" t="n">
        <f aca="false">ROUND(68.9/FX,2)</f>
        <v>9.57</v>
      </c>
      <c r="D250" s="21" t="s">
        <v>6362</v>
      </c>
      <c r="E250" s="21" t="s">
        <v>734</v>
      </c>
      <c r="F250" s="21" t="s">
        <v>32872</v>
      </c>
      <c r="G250" s="21" t="s">
        <v>29288</v>
      </c>
      <c r="H250" s="21" t="s">
        <v>20012</v>
      </c>
    </row>
    <row r="251" customFormat="false" ht="15" hidden="false" customHeight="false" outlineLevel="0" collapsed="false">
      <c r="B251" s="19" t="s">
        <v>32898</v>
      </c>
      <c r="C251" s="20" t="n">
        <f aca="false">ROUND(68.9/FX,2)</f>
        <v>9.57</v>
      </c>
      <c r="D251" s="21" t="s">
        <v>6362</v>
      </c>
      <c r="E251" s="21" t="s">
        <v>734</v>
      </c>
      <c r="F251" s="21" t="s">
        <v>32872</v>
      </c>
      <c r="G251" s="21" t="s">
        <v>29288</v>
      </c>
      <c r="H251" s="21" t="s">
        <v>32625</v>
      </c>
    </row>
    <row r="252" customFormat="false" ht="15" hidden="false" customHeight="false" outlineLevel="0" collapsed="false">
      <c r="B252" s="19" t="s">
        <v>32899</v>
      </c>
      <c r="C252" s="20" t="n">
        <f aca="false">ROUND(68.9/FX,2)</f>
        <v>9.57</v>
      </c>
      <c r="D252" s="21" t="s">
        <v>6362</v>
      </c>
      <c r="E252" s="21" t="s">
        <v>734</v>
      </c>
      <c r="F252" s="21" t="s">
        <v>32872</v>
      </c>
      <c r="G252" s="21" t="s">
        <v>29288</v>
      </c>
      <c r="H252" s="21" t="s">
        <v>22166</v>
      </c>
    </row>
    <row r="253" customFormat="false" ht="15" hidden="false" customHeight="false" outlineLevel="0" collapsed="false">
      <c r="B253" s="19" t="s">
        <v>32900</v>
      </c>
      <c r="C253" s="20" t="n">
        <f aca="false">ROUND(110.5/FX,2)</f>
        <v>15.35</v>
      </c>
      <c r="D253" s="21" t="s">
        <v>724</v>
      </c>
      <c r="E253" s="21" t="s">
        <v>734</v>
      </c>
      <c r="F253" s="21" t="s">
        <v>32901</v>
      </c>
      <c r="G253" s="21" t="s">
        <v>21225</v>
      </c>
      <c r="H253" s="21" t="s">
        <v>22166</v>
      </c>
    </row>
    <row r="254" customFormat="false" ht="15" hidden="false" customHeight="false" outlineLevel="0" collapsed="false">
      <c r="B254" s="19" t="s">
        <v>32902</v>
      </c>
      <c r="C254" s="20" t="n">
        <f aca="false">ROUND(110.5/FX,2)</f>
        <v>15.35</v>
      </c>
      <c r="D254" s="21" t="s">
        <v>6362</v>
      </c>
      <c r="E254" s="21" t="s">
        <v>734</v>
      </c>
      <c r="F254" s="21" t="s">
        <v>32901</v>
      </c>
      <c r="G254" s="21" t="s">
        <v>21225</v>
      </c>
      <c r="H254" s="21" t="s">
        <v>22166</v>
      </c>
    </row>
    <row r="255" customFormat="false" ht="15" hidden="false" customHeight="false" outlineLevel="0" collapsed="false">
      <c r="B255" s="19" t="s">
        <v>32903</v>
      </c>
      <c r="C255" s="20" t="n">
        <f aca="false">ROUND(104/FX,2)</f>
        <v>14.44</v>
      </c>
      <c r="D255" s="21" t="s">
        <v>724</v>
      </c>
      <c r="E255" s="21" t="s">
        <v>734</v>
      </c>
      <c r="F255" s="21" t="s">
        <v>32904</v>
      </c>
      <c r="G255" s="21" t="s">
        <v>32611</v>
      </c>
      <c r="H255" s="21" t="s">
        <v>32905</v>
      </c>
    </row>
    <row r="256" customFormat="false" ht="15" hidden="false" customHeight="false" outlineLevel="0" collapsed="false">
      <c r="B256" s="19" t="s">
        <v>32906</v>
      </c>
      <c r="C256" s="20" t="n">
        <f aca="false">ROUND(104/FX,2)</f>
        <v>14.44</v>
      </c>
      <c r="D256" s="21" t="s">
        <v>724</v>
      </c>
      <c r="E256" s="21" t="s">
        <v>734</v>
      </c>
      <c r="F256" s="21" t="s">
        <v>32904</v>
      </c>
      <c r="G256" s="21" t="s">
        <v>21225</v>
      </c>
      <c r="H256" s="21" t="s">
        <v>32905</v>
      </c>
    </row>
    <row r="257" customFormat="false" ht="15" hidden="false" customHeight="false" outlineLevel="0" collapsed="false">
      <c r="B257" s="19" t="s">
        <v>32907</v>
      </c>
      <c r="C257" s="20" t="n">
        <f aca="false">ROUND(104/FX,2)</f>
        <v>14.44</v>
      </c>
      <c r="D257" s="21" t="s">
        <v>6362</v>
      </c>
      <c r="E257" s="21" t="s">
        <v>734</v>
      </c>
      <c r="F257" s="21" t="s">
        <v>32904</v>
      </c>
      <c r="G257" s="21" t="s">
        <v>32611</v>
      </c>
      <c r="H257" s="21" t="s">
        <v>32905</v>
      </c>
    </row>
    <row r="258" customFormat="false" ht="15" hidden="false" customHeight="false" outlineLevel="0" collapsed="false">
      <c r="B258" s="19" t="s">
        <v>32908</v>
      </c>
      <c r="C258" s="20" t="n">
        <f aca="false">ROUND(127.4/FX,2)</f>
        <v>17.69</v>
      </c>
      <c r="D258" s="21" t="s">
        <v>6362</v>
      </c>
      <c r="E258" s="21" t="s">
        <v>734</v>
      </c>
      <c r="F258" s="21" t="s">
        <v>32904</v>
      </c>
      <c r="G258" s="21" t="s">
        <v>21225</v>
      </c>
      <c r="H258" s="21" t="s">
        <v>32905</v>
      </c>
    </row>
    <row r="259" customFormat="false" ht="15" hidden="false" customHeight="false" outlineLevel="0" collapsed="false">
      <c r="B259" s="19" t="s">
        <v>32909</v>
      </c>
      <c r="C259" s="20" t="n">
        <f aca="false">ROUND(136.5/FX,2)</f>
        <v>18.96</v>
      </c>
      <c r="D259" s="21" t="s">
        <v>724</v>
      </c>
      <c r="E259" s="21" t="s">
        <v>734</v>
      </c>
      <c r="F259" s="21" t="s">
        <v>32910</v>
      </c>
      <c r="G259" s="21" t="s">
        <v>29407</v>
      </c>
      <c r="H259" s="21" t="s">
        <v>20014</v>
      </c>
    </row>
    <row r="260" customFormat="false" ht="15" hidden="false" customHeight="false" outlineLevel="0" collapsed="false">
      <c r="B260" s="19" t="s">
        <v>32911</v>
      </c>
      <c r="C260" s="20" t="n">
        <f aca="false">ROUND(136.5/FX,2)</f>
        <v>18.96</v>
      </c>
      <c r="D260" s="21" t="s">
        <v>724</v>
      </c>
      <c r="E260" s="21" t="s">
        <v>734</v>
      </c>
      <c r="F260" s="21" t="s">
        <v>32910</v>
      </c>
      <c r="G260" s="21" t="s">
        <v>21225</v>
      </c>
      <c r="H260" s="21" t="s">
        <v>32689</v>
      </c>
    </row>
    <row r="261" customFormat="false" ht="15" hidden="false" customHeight="false" outlineLevel="0" collapsed="false">
      <c r="B261" s="19" t="s">
        <v>32912</v>
      </c>
      <c r="C261" s="20" t="n">
        <f aca="false">ROUND(102.7/FX,2)</f>
        <v>14.26</v>
      </c>
      <c r="D261" s="21" t="s">
        <v>6362</v>
      </c>
      <c r="E261" s="21" t="s">
        <v>734</v>
      </c>
      <c r="F261" s="21" t="s">
        <v>32910</v>
      </c>
      <c r="G261" s="21" t="s">
        <v>21225</v>
      </c>
      <c r="H261" s="21" t="s">
        <v>32689</v>
      </c>
    </row>
    <row r="262" customFormat="false" ht="15" hidden="false" customHeight="false" outlineLevel="0" collapsed="false">
      <c r="B262" s="19" t="s">
        <v>32913</v>
      </c>
      <c r="C262" s="20" t="n">
        <f aca="false">ROUND(187.2/FX,2)</f>
        <v>26</v>
      </c>
      <c r="D262" s="21" t="s">
        <v>724</v>
      </c>
      <c r="E262" s="21" t="s">
        <v>734</v>
      </c>
      <c r="F262" s="21" t="s">
        <v>32914</v>
      </c>
      <c r="G262" s="21" t="s">
        <v>32611</v>
      </c>
      <c r="H262" s="21" t="s">
        <v>32915</v>
      </c>
    </row>
    <row r="263" customFormat="false" ht="15" hidden="false" customHeight="false" outlineLevel="0" collapsed="false">
      <c r="B263" s="19" t="s">
        <v>32916</v>
      </c>
      <c r="C263" s="20" t="n">
        <f aca="false">ROUND(187.2/FX,2)</f>
        <v>26</v>
      </c>
      <c r="D263" s="21" t="s">
        <v>724</v>
      </c>
      <c r="E263" s="21" t="s">
        <v>734</v>
      </c>
      <c r="F263" s="21" t="s">
        <v>32914</v>
      </c>
      <c r="G263" s="21" t="s">
        <v>21225</v>
      </c>
      <c r="H263" s="21" t="s">
        <v>32905</v>
      </c>
    </row>
    <row r="264" customFormat="false" ht="15" hidden="false" customHeight="false" outlineLevel="0" collapsed="false">
      <c r="B264" s="19" t="s">
        <v>32917</v>
      </c>
      <c r="C264" s="20" t="n">
        <f aca="false">ROUND(187.2/FX,2)</f>
        <v>26</v>
      </c>
      <c r="D264" s="21" t="s">
        <v>724</v>
      </c>
      <c r="E264" s="21" t="s">
        <v>734</v>
      </c>
      <c r="F264" s="21" t="s">
        <v>32914</v>
      </c>
      <c r="G264" s="21" t="s">
        <v>21225</v>
      </c>
      <c r="H264" s="21" t="s">
        <v>32918</v>
      </c>
    </row>
    <row r="265" customFormat="false" ht="15" hidden="false" customHeight="false" outlineLevel="0" collapsed="false">
      <c r="B265" s="19" t="s">
        <v>32919</v>
      </c>
      <c r="C265" s="20" t="n">
        <f aca="false">ROUND(187.2/FX,2)</f>
        <v>26</v>
      </c>
      <c r="D265" s="21" t="s">
        <v>724</v>
      </c>
      <c r="E265" s="21" t="s">
        <v>734</v>
      </c>
      <c r="F265" s="21" t="s">
        <v>32914</v>
      </c>
      <c r="G265" s="21" t="s">
        <v>21225</v>
      </c>
      <c r="H265" s="21" t="s">
        <v>32915</v>
      </c>
    </row>
    <row r="266" customFormat="false" ht="15" hidden="false" customHeight="false" outlineLevel="0" collapsed="false">
      <c r="B266" s="19" t="s">
        <v>32920</v>
      </c>
      <c r="C266" s="20" t="n">
        <f aca="false">ROUND(187.2/FX,2)</f>
        <v>26</v>
      </c>
      <c r="D266" s="21" t="s">
        <v>724</v>
      </c>
      <c r="E266" s="21" t="s">
        <v>734</v>
      </c>
      <c r="F266" s="21" t="s">
        <v>32914</v>
      </c>
      <c r="G266" s="21" t="s">
        <v>21225</v>
      </c>
      <c r="H266" s="21" t="s">
        <v>32921</v>
      </c>
    </row>
    <row r="267" customFormat="false" ht="15" hidden="false" customHeight="false" outlineLevel="0" collapsed="false">
      <c r="B267" s="19" t="s">
        <v>32922</v>
      </c>
      <c r="C267" s="20" t="n">
        <f aca="false">ROUND(187.2/FX,2)</f>
        <v>26</v>
      </c>
      <c r="D267" s="21" t="s">
        <v>724</v>
      </c>
      <c r="E267" s="21" t="s">
        <v>734</v>
      </c>
      <c r="F267" s="21" t="s">
        <v>32914</v>
      </c>
      <c r="G267" s="21" t="s">
        <v>21225</v>
      </c>
      <c r="H267" s="21" t="s">
        <v>32923</v>
      </c>
    </row>
    <row r="268" customFormat="false" ht="15" hidden="false" customHeight="false" outlineLevel="0" collapsed="false">
      <c r="B268" s="19" t="s">
        <v>32924</v>
      </c>
      <c r="C268" s="20" t="n">
        <f aca="false">ROUND(187.2/FX,2)</f>
        <v>26</v>
      </c>
      <c r="D268" s="21" t="s">
        <v>724</v>
      </c>
      <c r="E268" s="21" t="s">
        <v>734</v>
      </c>
      <c r="F268" s="21" t="s">
        <v>32914</v>
      </c>
      <c r="G268" s="21" t="s">
        <v>21225</v>
      </c>
      <c r="H268" s="21" t="s">
        <v>32689</v>
      </c>
    </row>
    <row r="269" customFormat="false" ht="15" hidden="false" customHeight="false" outlineLevel="0" collapsed="false">
      <c r="B269" s="19" t="s">
        <v>32925</v>
      </c>
      <c r="C269" s="20" t="n">
        <f aca="false">ROUND(187.2/FX,2)</f>
        <v>26</v>
      </c>
      <c r="D269" s="21" t="s">
        <v>724</v>
      </c>
      <c r="E269" s="21" t="s">
        <v>734</v>
      </c>
      <c r="F269" s="21" t="s">
        <v>32914</v>
      </c>
      <c r="G269" s="21" t="s">
        <v>32727</v>
      </c>
      <c r="H269" s="21" t="s">
        <v>32905</v>
      </c>
    </row>
    <row r="270" customFormat="false" ht="15" hidden="false" customHeight="false" outlineLevel="0" collapsed="false">
      <c r="B270" s="19" t="s">
        <v>32926</v>
      </c>
      <c r="C270" s="20" t="n">
        <f aca="false">ROUND(187.2/FX,2)</f>
        <v>26</v>
      </c>
      <c r="D270" s="21" t="s">
        <v>724</v>
      </c>
      <c r="E270" s="21" t="s">
        <v>734</v>
      </c>
      <c r="F270" s="21" t="s">
        <v>32914</v>
      </c>
      <c r="G270" s="21" t="s">
        <v>32727</v>
      </c>
      <c r="H270" s="21" t="s">
        <v>32923</v>
      </c>
    </row>
    <row r="271" customFormat="false" ht="15" hidden="false" customHeight="false" outlineLevel="0" collapsed="false">
      <c r="B271" s="19" t="s">
        <v>32927</v>
      </c>
      <c r="C271" s="20" t="n">
        <f aca="false">ROUND(187.2/FX,2)</f>
        <v>26</v>
      </c>
      <c r="D271" s="21" t="s">
        <v>6362</v>
      </c>
      <c r="E271" s="21" t="s">
        <v>734</v>
      </c>
      <c r="F271" s="21" t="s">
        <v>32914</v>
      </c>
      <c r="G271" s="21" t="s">
        <v>32611</v>
      </c>
      <c r="H271" s="21" t="s">
        <v>32915</v>
      </c>
    </row>
    <row r="272" customFormat="false" ht="15" hidden="false" customHeight="false" outlineLevel="0" collapsed="false">
      <c r="B272" s="19" t="s">
        <v>32928</v>
      </c>
      <c r="C272" s="20" t="n">
        <f aca="false">ROUND(187.2/FX,2)</f>
        <v>26</v>
      </c>
      <c r="D272" s="21" t="s">
        <v>6362</v>
      </c>
      <c r="E272" s="21" t="s">
        <v>734</v>
      </c>
      <c r="F272" s="21" t="s">
        <v>32914</v>
      </c>
      <c r="G272" s="21" t="s">
        <v>21225</v>
      </c>
      <c r="H272" s="21" t="s">
        <v>32905</v>
      </c>
    </row>
    <row r="273" customFormat="false" ht="15" hidden="false" customHeight="false" outlineLevel="0" collapsed="false">
      <c r="B273" s="19" t="s">
        <v>32929</v>
      </c>
      <c r="C273" s="20" t="n">
        <f aca="false">ROUND(187.2/FX,2)</f>
        <v>26</v>
      </c>
      <c r="D273" s="21" t="s">
        <v>6362</v>
      </c>
      <c r="E273" s="21" t="s">
        <v>734</v>
      </c>
      <c r="F273" s="21" t="s">
        <v>32914</v>
      </c>
      <c r="G273" s="21" t="s">
        <v>21225</v>
      </c>
      <c r="H273" s="21" t="s">
        <v>32918</v>
      </c>
    </row>
    <row r="274" customFormat="false" ht="15" hidden="false" customHeight="false" outlineLevel="0" collapsed="false">
      <c r="B274" s="19" t="s">
        <v>32930</v>
      </c>
      <c r="C274" s="20" t="n">
        <f aca="false">ROUND(187.2/FX,2)</f>
        <v>26</v>
      </c>
      <c r="D274" s="21" t="s">
        <v>6362</v>
      </c>
      <c r="E274" s="21" t="s">
        <v>734</v>
      </c>
      <c r="F274" s="21" t="s">
        <v>32914</v>
      </c>
      <c r="G274" s="21" t="s">
        <v>21225</v>
      </c>
      <c r="H274" s="21" t="s">
        <v>32915</v>
      </c>
    </row>
    <row r="275" customFormat="false" ht="15" hidden="false" customHeight="false" outlineLevel="0" collapsed="false">
      <c r="B275" s="19" t="s">
        <v>32931</v>
      </c>
      <c r="C275" s="20" t="n">
        <f aca="false">ROUND(187.2/FX,2)</f>
        <v>26</v>
      </c>
      <c r="D275" s="21" t="s">
        <v>6362</v>
      </c>
      <c r="E275" s="21" t="s">
        <v>734</v>
      </c>
      <c r="F275" s="21" t="s">
        <v>32914</v>
      </c>
      <c r="G275" s="21" t="s">
        <v>21225</v>
      </c>
      <c r="H275" s="21" t="s">
        <v>32921</v>
      </c>
    </row>
    <row r="276" customFormat="false" ht="15" hidden="false" customHeight="false" outlineLevel="0" collapsed="false">
      <c r="B276" s="19" t="s">
        <v>32932</v>
      </c>
      <c r="C276" s="20" t="n">
        <f aca="false">ROUND(187.2/FX,2)</f>
        <v>26</v>
      </c>
      <c r="D276" s="21" t="s">
        <v>6362</v>
      </c>
      <c r="E276" s="21" t="s">
        <v>734</v>
      </c>
      <c r="F276" s="21" t="s">
        <v>32914</v>
      </c>
      <c r="G276" s="21" t="s">
        <v>21225</v>
      </c>
      <c r="H276" s="21" t="s">
        <v>32923</v>
      </c>
    </row>
    <row r="277" customFormat="false" ht="15" hidden="false" customHeight="false" outlineLevel="0" collapsed="false">
      <c r="B277" s="19" t="s">
        <v>32933</v>
      </c>
      <c r="C277" s="20" t="n">
        <f aca="false">ROUND(187.2/FX,2)</f>
        <v>26</v>
      </c>
      <c r="D277" s="21" t="s">
        <v>6362</v>
      </c>
      <c r="E277" s="21" t="s">
        <v>734</v>
      </c>
      <c r="F277" s="21" t="s">
        <v>32914</v>
      </c>
      <c r="G277" s="21" t="s">
        <v>21225</v>
      </c>
      <c r="H277" s="21" t="s">
        <v>32689</v>
      </c>
    </row>
    <row r="278" customFormat="false" ht="15" hidden="false" customHeight="false" outlineLevel="0" collapsed="false">
      <c r="B278" s="19" t="s">
        <v>32934</v>
      </c>
      <c r="C278" s="20" t="n">
        <f aca="false">ROUND(187.2/FX,2)</f>
        <v>26</v>
      </c>
      <c r="D278" s="21" t="s">
        <v>6362</v>
      </c>
      <c r="E278" s="21" t="s">
        <v>734</v>
      </c>
      <c r="F278" s="21" t="s">
        <v>32914</v>
      </c>
      <c r="G278" s="21" t="s">
        <v>32727</v>
      </c>
      <c r="H278" s="21" t="s">
        <v>32905</v>
      </c>
    </row>
    <row r="279" customFormat="false" ht="15" hidden="false" customHeight="false" outlineLevel="0" collapsed="false">
      <c r="B279" s="19" t="s">
        <v>32935</v>
      </c>
      <c r="C279" s="20" t="n">
        <f aca="false">ROUND(187.2/FX,2)</f>
        <v>26</v>
      </c>
      <c r="D279" s="21" t="s">
        <v>6362</v>
      </c>
      <c r="E279" s="21" t="s">
        <v>734</v>
      </c>
      <c r="F279" s="21" t="s">
        <v>32914</v>
      </c>
      <c r="G279" s="21" t="s">
        <v>32727</v>
      </c>
      <c r="H279" s="21" t="s">
        <v>32923</v>
      </c>
    </row>
    <row r="280" customFormat="false" ht="15" hidden="false" customHeight="false" outlineLevel="0" collapsed="false">
      <c r="B280" s="19" t="s">
        <v>32936</v>
      </c>
      <c r="C280" s="20" t="n">
        <f aca="false">ROUND(315.9/FX,2)</f>
        <v>43.88</v>
      </c>
      <c r="D280" s="21" t="s">
        <v>724</v>
      </c>
      <c r="E280" s="21" t="s">
        <v>734</v>
      </c>
      <c r="F280" s="21" t="s">
        <v>32937</v>
      </c>
      <c r="G280" s="21" t="s">
        <v>21225</v>
      </c>
      <c r="H280" s="21" t="s">
        <v>32921</v>
      </c>
    </row>
    <row r="281" customFormat="false" ht="15" hidden="false" customHeight="false" outlineLevel="0" collapsed="false">
      <c r="B281" s="19" t="s">
        <v>32938</v>
      </c>
      <c r="C281" s="20" t="n">
        <f aca="false">ROUND(426.4/FX,2)</f>
        <v>59.22</v>
      </c>
      <c r="D281" s="21" t="s">
        <v>6362</v>
      </c>
      <c r="E281" s="21" t="s">
        <v>734</v>
      </c>
      <c r="F281" s="21" t="s">
        <v>32937</v>
      </c>
      <c r="G281" s="21" t="s">
        <v>21225</v>
      </c>
      <c r="H281" s="21" t="s">
        <v>32921</v>
      </c>
    </row>
    <row r="284" customFormat="false" ht="61.5" hidden="false" customHeight="true" outlineLevel="0" collapsed="false">
      <c r="A284" s="9"/>
      <c r="B284" s="10" t="s">
        <v>32939</v>
      </c>
      <c r="C284" s="10"/>
      <c r="D284" s="10"/>
      <c r="E284" s="10"/>
      <c r="F284" s="10"/>
      <c r="G284" s="10"/>
      <c r="H284" s="10"/>
    </row>
    <row r="285" customFormat="false" ht="15" hidden="false" customHeight="false" outlineLevel="0" collapsed="false">
      <c r="A285" s="12" t="s">
        <v>700</v>
      </c>
      <c r="B285" s="13" t="s">
        <v>701</v>
      </c>
      <c r="C285" s="13" t="s">
        <v>702</v>
      </c>
      <c r="D285" s="13" t="s">
        <v>722</v>
      </c>
      <c r="E285" s="13" t="s">
        <v>723</v>
      </c>
      <c r="F285" s="13" t="s">
        <v>32610</v>
      </c>
      <c r="G285" s="13" t="s">
        <v>21219</v>
      </c>
      <c r="H285" s="13" t="s">
        <v>20008</v>
      </c>
    </row>
    <row r="286" customFormat="false" ht="30" hidden="false" customHeight="true" outlineLevel="0" collapsed="false">
      <c r="A286" s="14" t="s">
        <v>706</v>
      </c>
      <c r="B286" s="15" t="str">
        <f aca="false">IF(COUNTIFS($D$289:$D$381,IF(D286="","*",D286),$E$289:$E$381,IF(E286="","*",E286),$F$289:$F$381,IF(F286="","*",F286),$G$289:$G$381,IF(G286="","*",G286),$H$289:$H$381,IF(H286="","*",H286))=1,INDEX($B:$B,SUMPRODUCT(((D286="")+($D$289:$D$381=D286)&gt;0)*((E286="")+($E$289:$E$381=E286)&gt;0)*((F286="")+($F$289:$F$381=F286)&gt;0)*((G286="")+($G$289:$G$381=G286)&gt;0)*((H286="")+($H$289:$H$381=H286)&gt;0)*ROW($B$289:$B$381))),IF(COUNTIFS($D$289:$D$381,IF(D286="","*",D286),$E$289:$E$381,IF(E286="","*",E286),$F$289:$F$381,IF(F286="","*",F286),$G$289:$G$381,IF(G286="","*",G286),$H$289:$H$381,IF(H286="","*",H286))=0,"Not available",COUNTIFS($D$289:$D$381,IF(D286="","*",D286),$E$289:$E$381,IF(E286="","*",E286),$F$289:$F$381,IF(F286="","*",F286),$G$289:$G$381,IF(G286="","*",G286),$H$289:$H$381,IF(H286="","*",H286))&amp;" match, keep choosing"))</f>
        <v>HPA-100x100-BK-110V-100W</v>
      </c>
      <c r="C286" s="16" t="n">
        <f aca="false">IF(COUNTIFS($D$289:$D$381,IF(D286="","*",D286),$E$289:$E$381,IF(E286="","*",E286),$F$289:$F$381,IF(F286="","*",F286),$G$289:$G$381,IF(G286="","*",G286),$H$289:$H$381,IF(H286="","*",H286))=1,INDEX($C:$C,SUMPRODUCT(((D286="")+($D$289:$D$381=D286)&gt;0)*((E286="")+($E$289:$E$381=E286)&gt;0)*((F286="")+($F$289:$F$381=F286)&gt;0)*((G286="")+($G$289:$G$381=G286)&gt;0)*((H286="")+($H$289:$H$381=H286)&gt;0)*ROW($B$289:$B$381))),"")</f>
        <v>1.49</v>
      </c>
      <c r="D286" s="17" t="s">
        <v>724</v>
      </c>
      <c r="E286" s="17" t="s">
        <v>734</v>
      </c>
      <c r="F286" s="17" t="s">
        <v>32940</v>
      </c>
      <c r="G286" s="17" t="s">
        <v>32611</v>
      </c>
      <c r="H286" s="17" t="s">
        <v>32612</v>
      </c>
    </row>
    <row r="288" customFormat="false" ht="15" hidden="false" customHeight="false" outlineLevel="0" collapsed="false">
      <c r="B288" s="18" t="s">
        <v>701</v>
      </c>
      <c r="C288" s="18" t="s">
        <v>702</v>
      </c>
      <c r="D288" s="18" t="s">
        <v>722</v>
      </c>
      <c r="E288" s="18" t="s">
        <v>723</v>
      </c>
      <c r="F288" s="18" t="s">
        <v>32610</v>
      </c>
      <c r="G288" s="18" t="s">
        <v>21219</v>
      </c>
      <c r="H288" s="18" t="s">
        <v>20008</v>
      </c>
    </row>
    <row r="289" customFormat="false" ht="15" hidden="false" customHeight="false" outlineLevel="0" collapsed="false">
      <c r="B289" s="19" t="s">
        <v>32941</v>
      </c>
      <c r="C289" s="20" t="n">
        <f aca="false">ROUND(10.73/FX,2)</f>
        <v>1.49</v>
      </c>
      <c r="D289" s="21" t="s">
        <v>724</v>
      </c>
      <c r="E289" s="21" t="s">
        <v>734</v>
      </c>
      <c r="F289" s="21" t="s">
        <v>32940</v>
      </c>
      <c r="G289" s="21" t="s">
        <v>32611</v>
      </c>
      <c r="H289" s="21" t="s">
        <v>32612</v>
      </c>
    </row>
    <row r="290" customFormat="false" ht="15" hidden="false" customHeight="false" outlineLevel="0" collapsed="false">
      <c r="B290" s="19" t="s">
        <v>32942</v>
      </c>
      <c r="C290" s="20" t="n">
        <f aca="false">ROUND(10.73/FX,2)</f>
        <v>1.49</v>
      </c>
      <c r="D290" s="21" t="s">
        <v>724</v>
      </c>
      <c r="E290" s="21" t="s">
        <v>734</v>
      </c>
      <c r="F290" s="21" t="s">
        <v>32940</v>
      </c>
      <c r="G290" s="21" t="s">
        <v>29407</v>
      </c>
      <c r="H290" s="21" t="s">
        <v>29413</v>
      </c>
    </row>
    <row r="291" customFormat="false" ht="15" hidden="false" customHeight="false" outlineLevel="0" collapsed="false">
      <c r="B291" s="19" t="s">
        <v>32943</v>
      </c>
      <c r="C291" s="20" t="n">
        <f aca="false">ROUND(10.73/FX,2)</f>
        <v>1.49</v>
      </c>
      <c r="D291" s="21" t="s">
        <v>724</v>
      </c>
      <c r="E291" s="21" t="s">
        <v>734</v>
      </c>
      <c r="F291" s="21" t="s">
        <v>32940</v>
      </c>
      <c r="G291" s="21" t="s">
        <v>21225</v>
      </c>
      <c r="H291" s="21" t="s">
        <v>32612</v>
      </c>
    </row>
    <row r="292" customFormat="false" ht="15" hidden="false" customHeight="false" outlineLevel="0" collapsed="false">
      <c r="B292" s="19" t="s">
        <v>32944</v>
      </c>
      <c r="C292" s="20" t="n">
        <f aca="false">ROUND(10.73/FX,2)</f>
        <v>1.49</v>
      </c>
      <c r="D292" s="21" t="s">
        <v>724</v>
      </c>
      <c r="E292" s="21" t="s">
        <v>734</v>
      </c>
      <c r="F292" s="21" t="s">
        <v>32940</v>
      </c>
      <c r="G292" s="21" t="s">
        <v>21225</v>
      </c>
      <c r="H292" s="21" t="s">
        <v>29413</v>
      </c>
    </row>
    <row r="293" customFormat="false" ht="15" hidden="false" customHeight="false" outlineLevel="0" collapsed="false">
      <c r="B293" s="19" t="s">
        <v>32945</v>
      </c>
      <c r="C293" s="20" t="n">
        <f aca="false">ROUND(10.73/FX,2)</f>
        <v>1.49</v>
      </c>
      <c r="D293" s="21" t="s">
        <v>724</v>
      </c>
      <c r="E293" s="21" t="s">
        <v>734</v>
      </c>
      <c r="F293" s="21" t="s">
        <v>32940</v>
      </c>
      <c r="G293" s="21" t="s">
        <v>29288</v>
      </c>
      <c r="H293" s="21" t="s">
        <v>29413</v>
      </c>
    </row>
    <row r="294" customFormat="false" ht="15" hidden="false" customHeight="false" outlineLevel="0" collapsed="false">
      <c r="B294" s="19" t="s">
        <v>32946</v>
      </c>
      <c r="C294" s="20" t="n">
        <f aca="false">ROUND(10.73/FX,2)</f>
        <v>1.49</v>
      </c>
      <c r="D294" s="21" t="s">
        <v>6362</v>
      </c>
      <c r="E294" s="21" t="s">
        <v>734</v>
      </c>
      <c r="F294" s="21" t="s">
        <v>32940</v>
      </c>
      <c r="G294" s="21" t="s">
        <v>32611</v>
      </c>
      <c r="H294" s="21" t="s">
        <v>32612</v>
      </c>
    </row>
    <row r="295" customFormat="false" ht="15" hidden="false" customHeight="false" outlineLevel="0" collapsed="false">
      <c r="B295" s="19" t="s">
        <v>32947</v>
      </c>
      <c r="C295" s="20" t="n">
        <f aca="false">ROUND(10.73/FX,2)</f>
        <v>1.49</v>
      </c>
      <c r="D295" s="21" t="s">
        <v>6362</v>
      </c>
      <c r="E295" s="21" t="s">
        <v>734</v>
      </c>
      <c r="F295" s="21" t="s">
        <v>32940</v>
      </c>
      <c r="G295" s="21" t="s">
        <v>29407</v>
      </c>
      <c r="H295" s="21" t="s">
        <v>29413</v>
      </c>
    </row>
    <row r="296" customFormat="false" ht="15" hidden="false" customHeight="false" outlineLevel="0" collapsed="false">
      <c r="B296" s="19" t="s">
        <v>32948</v>
      </c>
      <c r="C296" s="20" t="n">
        <f aca="false">ROUND(10.73/FX,2)</f>
        <v>1.49</v>
      </c>
      <c r="D296" s="21" t="s">
        <v>6362</v>
      </c>
      <c r="E296" s="21" t="s">
        <v>734</v>
      </c>
      <c r="F296" s="21" t="s">
        <v>32940</v>
      </c>
      <c r="G296" s="21" t="s">
        <v>21225</v>
      </c>
      <c r="H296" s="21" t="s">
        <v>32612</v>
      </c>
    </row>
    <row r="297" customFormat="false" ht="15" hidden="false" customHeight="false" outlineLevel="0" collapsed="false">
      <c r="B297" s="19" t="s">
        <v>32949</v>
      </c>
      <c r="C297" s="20" t="n">
        <f aca="false">ROUND(10.73/FX,2)</f>
        <v>1.49</v>
      </c>
      <c r="D297" s="21" t="s">
        <v>6362</v>
      </c>
      <c r="E297" s="21" t="s">
        <v>734</v>
      </c>
      <c r="F297" s="21" t="s">
        <v>32940</v>
      </c>
      <c r="G297" s="21" t="s">
        <v>21225</v>
      </c>
      <c r="H297" s="21" t="s">
        <v>29413</v>
      </c>
    </row>
    <row r="298" customFormat="false" ht="15" hidden="false" customHeight="false" outlineLevel="0" collapsed="false">
      <c r="B298" s="19" t="s">
        <v>32950</v>
      </c>
      <c r="C298" s="20" t="n">
        <f aca="false">ROUND(10.73/FX,2)</f>
        <v>1.49</v>
      </c>
      <c r="D298" s="21" t="s">
        <v>6362</v>
      </c>
      <c r="E298" s="21" t="s">
        <v>734</v>
      </c>
      <c r="F298" s="21" t="s">
        <v>32940</v>
      </c>
      <c r="G298" s="21" t="s">
        <v>29288</v>
      </c>
      <c r="H298" s="21" t="s">
        <v>29413</v>
      </c>
    </row>
    <row r="299" customFormat="false" ht="15" hidden="false" customHeight="false" outlineLevel="0" collapsed="false">
      <c r="B299" s="19" t="s">
        <v>32951</v>
      </c>
      <c r="C299" s="20" t="n">
        <f aca="false">ROUND(12.74/FX,2)</f>
        <v>1.77</v>
      </c>
      <c r="D299" s="21" t="s">
        <v>724</v>
      </c>
      <c r="E299" s="21" t="s">
        <v>31922</v>
      </c>
      <c r="F299" s="21" t="s">
        <v>32952</v>
      </c>
      <c r="G299" s="21" t="s">
        <v>29407</v>
      </c>
      <c r="H299" s="21" t="s">
        <v>29413</v>
      </c>
    </row>
    <row r="300" customFormat="false" ht="15" hidden="false" customHeight="false" outlineLevel="0" collapsed="false">
      <c r="B300" s="19" t="s">
        <v>32953</v>
      </c>
      <c r="C300" s="20" t="n">
        <f aca="false">ROUND(12.74/FX,2)</f>
        <v>1.77</v>
      </c>
      <c r="D300" s="21" t="s">
        <v>724</v>
      </c>
      <c r="E300" s="21" t="s">
        <v>31922</v>
      </c>
      <c r="F300" s="21" t="s">
        <v>32952</v>
      </c>
      <c r="G300" s="21" t="s">
        <v>21225</v>
      </c>
      <c r="H300" s="21" t="s">
        <v>32612</v>
      </c>
    </row>
    <row r="301" customFormat="false" ht="15" hidden="false" customHeight="false" outlineLevel="0" collapsed="false">
      <c r="B301" s="19" t="s">
        <v>32954</v>
      </c>
      <c r="C301" s="20" t="n">
        <f aca="false">ROUND(12.74/FX,2)</f>
        <v>1.77</v>
      </c>
      <c r="D301" s="21" t="s">
        <v>724</v>
      </c>
      <c r="E301" s="21" t="s">
        <v>31922</v>
      </c>
      <c r="F301" s="21" t="s">
        <v>32952</v>
      </c>
      <c r="G301" s="21" t="s">
        <v>21225</v>
      </c>
      <c r="H301" s="21" t="s">
        <v>20009</v>
      </c>
    </row>
    <row r="302" customFormat="false" ht="15" hidden="false" customHeight="false" outlineLevel="0" collapsed="false">
      <c r="B302" s="19" t="s">
        <v>32955</v>
      </c>
      <c r="C302" s="20" t="n">
        <f aca="false">ROUND(16.9/FX,2)</f>
        <v>2.35</v>
      </c>
      <c r="D302" s="21" t="s">
        <v>724</v>
      </c>
      <c r="E302" s="21" t="s">
        <v>32956</v>
      </c>
      <c r="F302" s="21" t="s">
        <v>32952</v>
      </c>
      <c r="G302" s="21" t="s">
        <v>21225</v>
      </c>
      <c r="H302" s="21" t="s">
        <v>20012</v>
      </c>
    </row>
    <row r="303" customFormat="false" ht="15" hidden="false" customHeight="false" outlineLevel="0" collapsed="false">
      <c r="B303" s="19" t="s">
        <v>32957</v>
      </c>
      <c r="C303" s="20" t="n">
        <f aca="false">ROUND(12.74/FX,2)</f>
        <v>1.77</v>
      </c>
      <c r="D303" s="21" t="s">
        <v>724</v>
      </c>
      <c r="E303" s="21" t="s">
        <v>31922</v>
      </c>
      <c r="F303" s="21" t="s">
        <v>32952</v>
      </c>
      <c r="G303" s="21" t="s">
        <v>21225</v>
      </c>
      <c r="H303" s="21" t="s">
        <v>29413</v>
      </c>
    </row>
    <row r="304" customFormat="false" ht="15" hidden="false" customHeight="false" outlineLevel="0" collapsed="false">
      <c r="B304" s="19" t="s">
        <v>32958</v>
      </c>
      <c r="C304" s="20" t="n">
        <f aca="false">ROUND(12.74/FX,2)</f>
        <v>1.77</v>
      </c>
      <c r="D304" s="21" t="s">
        <v>724</v>
      </c>
      <c r="E304" s="21" t="s">
        <v>31922</v>
      </c>
      <c r="F304" s="21" t="s">
        <v>32952</v>
      </c>
      <c r="G304" s="21" t="s">
        <v>29288</v>
      </c>
      <c r="H304" s="21" t="s">
        <v>32612</v>
      </c>
    </row>
    <row r="305" customFormat="false" ht="15" hidden="false" customHeight="false" outlineLevel="0" collapsed="false">
      <c r="B305" s="19" t="s">
        <v>32959</v>
      </c>
      <c r="C305" s="20" t="n">
        <f aca="false">ROUND(12.74/FX,2)</f>
        <v>1.77</v>
      </c>
      <c r="D305" s="21" t="s">
        <v>724</v>
      </c>
      <c r="E305" s="21" t="s">
        <v>31922</v>
      </c>
      <c r="F305" s="21" t="s">
        <v>32952</v>
      </c>
      <c r="G305" s="21" t="s">
        <v>29288</v>
      </c>
      <c r="H305" s="21" t="s">
        <v>29413</v>
      </c>
    </row>
    <row r="306" customFormat="false" ht="15" hidden="false" customHeight="false" outlineLevel="0" collapsed="false">
      <c r="B306" s="19" t="s">
        <v>32960</v>
      </c>
      <c r="C306" s="20" t="n">
        <f aca="false">ROUND(12.74/FX,2)</f>
        <v>1.77</v>
      </c>
      <c r="D306" s="21" t="s">
        <v>6362</v>
      </c>
      <c r="E306" s="21" t="s">
        <v>31922</v>
      </c>
      <c r="F306" s="21" t="s">
        <v>32952</v>
      </c>
      <c r="G306" s="21" t="s">
        <v>29407</v>
      </c>
      <c r="H306" s="21" t="s">
        <v>29413</v>
      </c>
    </row>
    <row r="307" customFormat="false" ht="15" hidden="false" customHeight="false" outlineLevel="0" collapsed="false">
      <c r="B307" s="19" t="s">
        <v>32961</v>
      </c>
      <c r="C307" s="20" t="n">
        <f aca="false">ROUND(12.74/FX,2)</f>
        <v>1.77</v>
      </c>
      <c r="D307" s="21" t="s">
        <v>6362</v>
      </c>
      <c r="E307" s="21" t="s">
        <v>31922</v>
      </c>
      <c r="F307" s="21" t="s">
        <v>32952</v>
      </c>
      <c r="G307" s="21" t="s">
        <v>21225</v>
      </c>
      <c r="H307" s="21" t="s">
        <v>32612</v>
      </c>
    </row>
    <row r="308" customFormat="false" ht="15" hidden="false" customHeight="false" outlineLevel="0" collapsed="false">
      <c r="B308" s="19" t="s">
        <v>32962</v>
      </c>
      <c r="C308" s="20" t="n">
        <f aca="false">ROUND(12.74/FX,2)</f>
        <v>1.77</v>
      </c>
      <c r="D308" s="21" t="s">
        <v>6362</v>
      </c>
      <c r="E308" s="21" t="s">
        <v>31922</v>
      </c>
      <c r="F308" s="21" t="s">
        <v>32952</v>
      </c>
      <c r="G308" s="21" t="s">
        <v>21225</v>
      </c>
      <c r="H308" s="21" t="s">
        <v>20009</v>
      </c>
    </row>
    <row r="309" customFormat="false" ht="15" hidden="false" customHeight="false" outlineLevel="0" collapsed="false">
      <c r="B309" s="19" t="s">
        <v>32963</v>
      </c>
      <c r="C309" s="20" t="n">
        <f aca="false">ROUND(12.74/FX,2)</f>
        <v>1.77</v>
      </c>
      <c r="D309" s="21" t="s">
        <v>6362</v>
      </c>
      <c r="E309" s="21" t="s">
        <v>31922</v>
      </c>
      <c r="F309" s="21" t="s">
        <v>32952</v>
      </c>
      <c r="G309" s="21" t="s">
        <v>21225</v>
      </c>
      <c r="H309" s="21" t="s">
        <v>20012</v>
      </c>
    </row>
    <row r="310" customFormat="false" ht="15" hidden="false" customHeight="false" outlineLevel="0" collapsed="false">
      <c r="B310" s="19" t="s">
        <v>32964</v>
      </c>
      <c r="C310" s="20" t="n">
        <f aca="false">ROUND(16.9/FX,2)</f>
        <v>2.35</v>
      </c>
      <c r="D310" s="21" t="s">
        <v>6362</v>
      </c>
      <c r="E310" s="21" t="s">
        <v>32956</v>
      </c>
      <c r="F310" s="21" t="s">
        <v>32952</v>
      </c>
      <c r="G310" s="21" t="s">
        <v>21225</v>
      </c>
      <c r="H310" s="21" t="s">
        <v>20012</v>
      </c>
    </row>
    <row r="311" customFormat="false" ht="15" hidden="false" customHeight="false" outlineLevel="0" collapsed="false">
      <c r="B311" s="19" t="s">
        <v>32965</v>
      </c>
      <c r="C311" s="20" t="n">
        <f aca="false">ROUND(12.74/FX,2)</f>
        <v>1.77</v>
      </c>
      <c r="D311" s="21" t="s">
        <v>6362</v>
      </c>
      <c r="E311" s="21" t="s">
        <v>31922</v>
      </c>
      <c r="F311" s="21" t="s">
        <v>32952</v>
      </c>
      <c r="G311" s="21" t="s">
        <v>21225</v>
      </c>
      <c r="H311" s="21" t="s">
        <v>29413</v>
      </c>
    </row>
    <row r="312" customFormat="false" ht="15" hidden="false" customHeight="false" outlineLevel="0" collapsed="false">
      <c r="B312" s="19" t="s">
        <v>32966</v>
      </c>
      <c r="C312" s="20" t="n">
        <f aca="false">ROUND(12.74/FX,2)</f>
        <v>1.77</v>
      </c>
      <c r="D312" s="21" t="s">
        <v>6362</v>
      </c>
      <c r="E312" s="21" t="s">
        <v>31922</v>
      </c>
      <c r="F312" s="21" t="s">
        <v>32952</v>
      </c>
      <c r="G312" s="21" t="s">
        <v>29288</v>
      </c>
      <c r="H312" s="21" t="s">
        <v>32612</v>
      </c>
    </row>
    <row r="313" customFormat="false" ht="15" hidden="false" customHeight="false" outlineLevel="0" collapsed="false">
      <c r="B313" s="19" t="s">
        <v>32967</v>
      </c>
      <c r="C313" s="20" t="n">
        <f aca="false">ROUND(12.74/FX,2)</f>
        <v>1.77</v>
      </c>
      <c r="D313" s="21" t="s">
        <v>6362</v>
      </c>
      <c r="E313" s="21" t="s">
        <v>31922</v>
      </c>
      <c r="F313" s="21" t="s">
        <v>32952</v>
      </c>
      <c r="G313" s="21" t="s">
        <v>29288</v>
      </c>
      <c r="H313" s="21" t="s">
        <v>29413</v>
      </c>
    </row>
    <row r="314" customFormat="false" ht="15" hidden="false" customHeight="false" outlineLevel="0" collapsed="false">
      <c r="B314" s="19" t="s">
        <v>32968</v>
      </c>
      <c r="C314" s="20" t="n">
        <f aca="false">ROUND(28.6/FX,2)</f>
        <v>3.97</v>
      </c>
      <c r="D314" s="21" t="s">
        <v>6362</v>
      </c>
      <c r="E314" s="21" t="s">
        <v>24330</v>
      </c>
      <c r="F314" s="21" t="s">
        <v>32969</v>
      </c>
      <c r="G314" s="21" t="s">
        <v>29407</v>
      </c>
      <c r="H314" s="21" t="s">
        <v>32612</v>
      </c>
    </row>
    <row r="315" customFormat="false" ht="15" hidden="false" customHeight="false" outlineLevel="0" collapsed="false">
      <c r="B315" s="19" t="s">
        <v>32970</v>
      </c>
      <c r="C315" s="20" t="n">
        <f aca="false">ROUND(26/FX,2)</f>
        <v>3.61</v>
      </c>
      <c r="D315" s="21" t="s">
        <v>724</v>
      </c>
      <c r="E315" s="21" t="s">
        <v>734</v>
      </c>
      <c r="F315" s="21" t="s">
        <v>32971</v>
      </c>
      <c r="G315" s="21" t="s">
        <v>29407</v>
      </c>
      <c r="H315" s="21" t="s">
        <v>32612</v>
      </c>
    </row>
    <row r="316" customFormat="false" ht="15" hidden="false" customHeight="false" outlineLevel="0" collapsed="false">
      <c r="B316" s="19" t="s">
        <v>32972</v>
      </c>
      <c r="C316" s="20" t="n">
        <f aca="false">ROUND(16.9/FX,2)</f>
        <v>2.35</v>
      </c>
      <c r="D316" s="21" t="s">
        <v>724</v>
      </c>
      <c r="E316" s="21" t="s">
        <v>734</v>
      </c>
      <c r="F316" s="21" t="s">
        <v>32971</v>
      </c>
      <c r="G316" s="21" t="s">
        <v>29407</v>
      </c>
      <c r="H316" s="21" t="s">
        <v>20012</v>
      </c>
    </row>
    <row r="317" customFormat="false" ht="15" hidden="false" customHeight="false" outlineLevel="0" collapsed="false">
      <c r="B317" s="19" t="s">
        <v>32973</v>
      </c>
      <c r="C317" s="20" t="n">
        <f aca="false">ROUND(26/FX,2)</f>
        <v>3.61</v>
      </c>
      <c r="D317" s="21" t="s">
        <v>724</v>
      </c>
      <c r="E317" s="21" t="s">
        <v>734</v>
      </c>
      <c r="F317" s="21" t="s">
        <v>32971</v>
      </c>
      <c r="G317" s="21" t="s">
        <v>21225</v>
      </c>
      <c r="H317" s="21" t="s">
        <v>32612</v>
      </c>
    </row>
    <row r="318" customFormat="false" ht="15" hidden="false" customHeight="false" outlineLevel="0" collapsed="false">
      <c r="B318" s="19" t="s">
        <v>32974</v>
      </c>
      <c r="C318" s="20" t="n">
        <f aca="false">ROUND(26/FX,2)</f>
        <v>3.61</v>
      </c>
      <c r="D318" s="21" t="s">
        <v>6362</v>
      </c>
      <c r="E318" s="21" t="s">
        <v>734</v>
      </c>
      <c r="F318" s="21" t="s">
        <v>32971</v>
      </c>
      <c r="G318" s="21" t="s">
        <v>29407</v>
      </c>
      <c r="H318" s="21" t="s">
        <v>32612</v>
      </c>
    </row>
    <row r="319" customFormat="false" ht="15" hidden="false" customHeight="false" outlineLevel="0" collapsed="false">
      <c r="B319" s="19" t="s">
        <v>32975</v>
      </c>
      <c r="C319" s="20" t="n">
        <f aca="false">ROUND(16.9/FX,2)</f>
        <v>2.35</v>
      </c>
      <c r="D319" s="21" t="s">
        <v>6362</v>
      </c>
      <c r="E319" s="21" t="s">
        <v>734</v>
      </c>
      <c r="F319" s="21" t="s">
        <v>32971</v>
      </c>
      <c r="G319" s="21" t="s">
        <v>29407</v>
      </c>
      <c r="H319" s="21" t="s">
        <v>20012</v>
      </c>
    </row>
    <row r="320" customFormat="false" ht="15" hidden="false" customHeight="false" outlineLevel="0" collapsed="false">
      <c r="B320" s="19" t="s">
        <v>32976</v>
      </c>
      <c r="C320" s="20" t="n">
        <f aca="false">ROUND(26/FX,2)</f>
        <v>3.61</v>
      </c>
      <c r="D320" s="21" t="s">
        <v>6362</v>
      </c>
      <c r="E320" s="21" t="s">
        <v>734</v>
      </c>
      <c r="F320" s="21" t="s">
        <v>32971</v>
      </c>
      <c r="G320" s="21" t="s">
        <v>21225</v>
      </c>
      <c r="H320" s="21" t="s">
        <v>32612</v>
      </c>
    </row>
    <row r="321" customFormat="false" ht="15" hidden="false" customHeight="false" outlineLevel="0" collapsed="false">
      <c r="B321" s="19" t="s">
        <v>32977</v>
      </c>
      <c r="C321" s="20" t="n">
        <f aca="false">ROUND(22.5/FX,2)</f>
        <v>3.13</v>
      </c>
      <c r="D321" s="21" t="s">
        <v>724</v>
      </c>
      <c r="E321" s="21" t="s">
        <v>734</v>
      </c>
      <c r="F321" s="21" t="s">
        <v>32978</v>
      </c>
      <c r="G321" s="21" t="s">
        <v>21225</v>
      </c>
      <c r="H321" s="21" t="s">
        <v>32612</v>
      </c>
    </row>
    <row r="322" customFormat="false" ht="15" hidden="false" customHeight="false" outlineLevel="0" collapsed="false">
      <c r="B322" s="19" t="s">
        <v>32979</v>
      </c>
      <c r="C322" s="20" t="n">
        <f aca="false">ROUND(22.5/FX,2)</f>
        <v>3.13</v>
      </c>
      <c r="D322" s="21" t="s">
        <v>6362</v>
      </c>
      <c r="E322" s="21" t="s">
        <v>734</v>
      </c>
      <c r="F322" s="21" t="s">
        <v>32978</v>
      </c>
      <c r="G322" s="21" t="s">
        <v>21225</v>
      </c>
      <c r="H322" s="21" t="s">
        <v>32612</v>
      </c>
    </row>
    <row r="323" customFormat="false" ht="15" hidden="false" customHeight="false" outlineLevel="0" collapsed="false">
      <c r="B323" s="19" t="s">
        <v>32980</v>
      </c>
      <c r="C323" s="20" t="n">
        <f aca="false">ROUND(37.7/FX,2)</f>
        <v>5.24</v>
      </c>
      <c r="D323" s="21" t="s">
        <v>724</v>
      </c>
      <c r="E323" s="21" t="s">
        <v>734</v>
      </c>
      <c r="F323" s="21" t="s">
        <v>32981</v>
      </c>
      <c r="G323" s="21" t="s">
        <v>21225</v>
      </c>
      <c r="H323" s="21" t="s">
        <v>20016</v>
      </c>
    </row>
    <row r="324" customFormat="false" ht="15" hidden="false" customHeight="false" outlineLevel="0" collapsed="false">
      <c r="B324" s="19" t="s">
        <v>32982</v>
      </c>
      <c r="C324" s="20" t="n">
        <f aca="false">ROUND(65/FX,2)</f>
        <v>9.03</v>
      </c>
      <c r="D324" s="21" t="s">
        <v>6362</v>
      </c>
      <c r="E324" s="21" t="s">
        <v>734</v>
      </c>
      <c r="F324" s="21" t="s">
        <v>32981</v>
      </c>
      <c r="G324" s="21" t="s">
        <v>21225</v>
      </c>
      <c r="H324" s="21" t="s">
        <v>20016</v>
      </c>
    </row>
    <row r="325" customFormat="false" ht="15" hidden="false" customHeight="false" outlineLevel="0" collapsed="false">
      <c r="B325" s="19" t="s">
        <v>32983</v>
      </c>
      <c r="C325" s="20" t="n">
        <f aca="false">ROUND(34.2/FX,2)</f>
        <v>4.75</v>
      </c>
      <c r="D325" s="21" t="s">
        <v>724</v>
      </c>
      <c r="E325" s="21" t="s">
        <v>734</v>
      </c>
      <c r="F325" s="21" t="s">
        <v>32984</v>
      </c>
      <c r="G325" s="21" t="s">
        <v>29407</v>
      </c>
      <c r="H325" s="21" t="s">
        <v>20012</v>
      </c>
    </row>
    <row r="326" customFormat="false" ht="15" hidden="false" customHeight="false" outlineLevel="0" collapsed="false">
      <c r="B326" s="19" t="s">
        <v>32985</v>
      </c>
      <c r="C326" s="20" t="n">
        <f aca="false">ROUND(34.2/FX,2)</f>
        <v>4.75</v>
      </c>
      <c r="D326" s="21" t="s">
        <v>724</v>
      </c>
      <c r="E326" s="21" t="s">
        <v>734</v>
      </c>
      <c r="F326" s="21" t="s">
        <v>32984</v>
      </c>
      <c r="G326" s="21" t="s">
        <v>21225</v>
      </c>
      <c r="H326" s="21" t="s">
        <v>20012</v>
      </c>
    </row>
    <row r="327" customFormat="false" ht="15" hidden="false" customHeight="false" outlineLevel="0" collapsed="false">
      <c r="B327" s="19" t="s">
        <v>32986</v>
      </c>
      <c r="C327" s="20" t="n">
        <f aca="false">ROUND(34.2/FX,2)</f>
        <v>4.75</v>
      </c>
      <c r="D327" s="21" t="s">
        <v>6362</v>
      </c>
      <c r="E327" s="21" t="s">
        <v>734</v>
      </c>
      <c r="F327" s="21" t="s">
        <v>32984</v>
      </c>
      <c r="G327" s="21" t="s">
        <v>29407</v>
      </c>
      <c r="H327" s="21" t="s">
        <v>20012</v>
      </c>
    </row>
    <row r="328" customFormat="false" ht="15" hidden="false" customHeight="false" outlineLevel="0" collapsed="false">
      <c r="B328" s="19" t="s">
        <v>32987</v>
      </c>
      <c r="C328" s="20" t="n">
        <f aca="false">ROUND(34.2/FX,2)</f>
        <v>4.75</v>
      </c>
      <c r="D328" s="21" t="s">
        <v>6362</v>
      </c>
      <c r="E328" s="21" t="s">
        <v>734</v>
      </c>
      <c r="F328" s="21" t="s">
        <v>32984</v>
      </c>
      <c r="G328" s="21" t="s">
        <v>21225</v>
      </c>
      <c r="H328" s="21" t="s">
        <v>20012</v>
      </c>
    </row>
    <row r="329" customFormat="false" ht="15" hidden="false" customHeight="false" outlineLevel="0" collapsed="false">
      <c r="B329" s="19" t="s">
        <v>32988</v>
      </c>
      <c r="C329" s="20" t="n">
        <f aca="false">ROUND(67.6/FX,2)</f>
        <v>9.39</v>
      </c>
      <c r="D329" s="21" t="s">
        <v>6362</v>
      </c>
      <c r="E329" s="21" t="s">
        <v>734</v>
      </c>
      <c r="F329" s="21" t="s">
        <v>32989</v>
      </c>
      <c r="G329" s="21" t="s">
        <v>21225</v>
      </c>
      <c r="H329" s="21" t="s">
        <v>20014</v>
      </c>
    </row>
    <row r="330" customFormat="false" ht="15" hidden="false" customHeight="false" outlineLevel="0" collapsed="false">
      <c r="B330" s="19" t="s">
        <v>32990</v>
      </c>
      <c r="C330" s="20" t="n">
        <f aca="false">ROUND(57.2/FX,2)</f>
        <v>7.94</v>
      </c>
      <c r="D330" s="21" t="s">
        <v>724</v>
      </c>
      <c r="E330" s="21" t="s">
        <v>734</v>
      </c>
      <c r="F330" s="21" t="s">
        <v>32991</v>
      </c>
      <c r="G330" s="21" t="s">
        <v>29407</v>
      </c>
      <c r="H330" s="21" t="s">
        <v>32725</v>
      </c>
    </row>
    <row r="331" customFormat="false" ht="15" hidden="false" customHeight="false" outlineLevel="0" collapsed="false">
      <c r="B331" s="19" t="s">
        <v>32992</v>
      </c>
      <c r="C331" s="20" t="n">
        <f aca="false">ROUND(57.2/FX,2)</f>
        <v>7.94</v>
      </c>
      <c r="D331" s="21" t="s">
        <v>724</v>
      </c>
      <c r="E331" s="21" t="s">
        <v>734</v>
      </c>
      <c r="F331" s="21" t="s">
        <v>32991</v>
      </c>
      <c r="G331" s="21" t="s">
        <v>21225</v>
      </c>
      <c r="H331" s="21" t="s">
        <v>20014</v>
      </c>
    </row>
    <row r="332" customFormat="false" ht="15" hidden="false" customHeight="false" outlineLevel="0" collapsed="false">
      <c r="B332" s="19" t="s">
        <v>32993</v>
      </c>
      <c r="C332" s="20" t="n">
        <f aca="false">ROUND(57.2/FX,2)</f>
        <v>7.94</v>
      </c>
      <c r="D332" s="21" t="s">
        <v>724</v>
      </c>
      <c r="E332" s="21" t="s">
        <v>734</v>
      </c>
      <c r="F332" s="21" t="s">
        <v>32991</v>
      </c>
      <c r="G332" s="21" t="s">
        <v>21225</v>
      </c>
      <c r="H332" s="21" t="s">
        <v>32689</v>
      </c>
    </row>
    <row r="333" customFormat="false" ht="15" hidden="false" customHeight="false" outlineLevel="0" collapsed="false">
      <c r="B333" s="19" t="s">
        <v>32994</v>
      </c>
      <c r="C333" s="20" t="n">
        <f aca="false">ROUND(57.2/FX,2)</f>
        <v>7.94</v>
      </c>
      <c r="D333" s="21" t="s">
        <v>724</v>
      </c>
      <c r="E333" s="21" t="s">
        <v>734</v>
      </c>
      <c r="F333" s="21" t="s">
        <v>32991</v>
      </c>
      <c r="G333" s="21" t="s">
        <v>32624</v>
      </c>
      <c r="H333" s="21" t="s">
        <v>32689</v>
      </c>
    </row>
    <row r="334" customFormat="false" ht="15" hidden="false" customHeight="false" outlineLevel="0" collapsed="false">
      <c r="B334" s="19" t="s">
        <v>32995</v>
      </c>
      <c r="C334" s="20" t="n">
        <f aca="false">ROUND(57.2/FX,2)</f>
        <v>7.94</v>
      </c>
      <c r="D334" s="21" t="s">
        <v>6362</v>
      </c>
      <c r="E334" s="21" t="s">
        <v>734</v>
      </c>
      <c r="F334" s="21" t="s">
        <v>32991</v>
      </c>
      <c r="G334" s="21" t="s">
        <v>29407</v>
      </c>
      <c r="H334" s="21" t="s">
        <v>32725</v>
      </c>
    </row>
    <row r="335" customFormat="false" ht="15" hidden="false" customHeight="false" outlineLevel="0" collapsed="false">
      <c r="B335" s="19" t="s">
        <v>32996</v>
      </c>
      <c r="C335" s="20" t="n">
        <f aca="false">ROUND(57.2/FX,2)</f>
        <v>7.94</v>
      </c>
      <c r="D335" s="21" t="s">
        <v>6362</v>
      </c>
      <c r="E335" s="21" t="s">
        <v>734</v>
      </c>
      <c r="F335" s="21" t="s">
        <v>32991</v>
      </c>
      <c r="G335" s="21" t="s">
        <v>21225</v>
      </c>
      <c r="H335" s="21" t="s">
        <v>20014</v>
      </c>
    </row>
    <row r="336" customFormat="false" ht="15" hidden="false" customHeight="false" outlineLevel="0" collapsed="false">
      <c r="B336" s="19" t="s">
        <v>32997</v>
      </c>
      <c r="C336" s="20" t="n">
        <f aca="false">ROUND(57.2/FX,2)</f>
        <v>7.94</v>
      </c>
      <c r="D336" s="21" t="s">
        <v>6362</v>
      </c>
      <c r="E336" s="21" t="s">
        <v>734</v>
      </c>
      <c r="F336" s="21" t="s">
        <v>32991</v>
      </c>
      <c r="G336" s="21" t="s">
        <v>21225</v>
      </c>
      <c r="H336" s="21" t="s">
        <v>32689</v>
      </c>
    </row>
    <row r="337" customFormat="false" ht="15" hidden="false" customHeight="false" outlineLevel="0" collapsed="false">
      <c r="B337" s="19" t="s">
        <v>32998</v>
      </c>
      <c r="C337" s="20" t="n">
        <f aca="false">ROUND(57.2/FX,2)</f>
        <v>7.94</v>
      </c>
      <c r="D337" s="21" t="s">
        <v>6362</v>
      </c>
      <c r="E337" s="21" t="s">
        <v>734</v>
      </c>
      <c r="F337" s="21" t="s">
        <v>32991</v>
      </c>
      <c r="G337" s="21" t="s">
        <v>32624</v>
      </c>
      <c r="H337" s="21" t="s">
        <v>32689</v>
      </c>
    </row>
    <row r="338" customFormat="false" ht="15" hidden="false" customHeight="false" outlineLevel="0" collapsed="false">
      <c r="B338" s="19" t="s">
        <v>32999</v>
      </c>
      <c r="C338" s="20" t="n">
        <f aca="false">ROUND(93.6/FX,2)</f>
        <v>13</v>
      </c>
      <c r="D338" s="21" t="s">
        <v>724</v>
      </c>
      <c r="E338" s="21" t="s">
        <v>734</v>
      </c>
      <c r="F338" s="21" t="s">
        <v>33000</v>
      </c>
      <c r="G338" s="21" t="s">
        <v>32611</v>
      </c>
      <c r="H338" s="21" t="s">
        <v>32689</v>
      </c>
    </row>
    <row r="339" customFormat="false" ht="15" hidden="false" customHeight="false" outlineLevel="0" collapsed="false">
      <c r="B339" s="19" t="s">
        <v>33001</v>
      </c>
      <c r="C339" s="20" t="n">
        <f aca="false">ROUND(88.4/FX,2)</f>
        <v>12.28</v>
      </c>
      <c r="D339" s="21" t="s">
        <v>724</v>
      </c>
      <c r="E339" s="21" t="s">
        <v>734</v>
      </c>
      <c r="F339" s="21" t="s">
        <v>33000</v>
      </c>
      <c r="G339" s="21" t="s">
        <v>21225</v>
      </c>
      <c r="H339" s="21" t="s">
        <v>32905</v>
      </c>
    </row>
    <row r="340" customFormat="false" ht="15" hidden="false" customHeight="false" outlineLevel="0" collapsed="false">
      <c r="B340" s="19" t="s">
        <v>33002</v>
      </c>
      <c r="C340" s="20" t="n">
        <f aca="false">ROUND(88.4/FX,2)</f>
        <v>12.28</v>
      </c>
      <c r="D340" s="21" t="s">
        <v>724</v>
      </c>
      <c r="E340" s="21" t="s">
        <v>734</v>
      </c>
      <c r="F340" s="21" t="s">
        <v>33000</v>
      </c>
      <c r="G340" s="21" t="s">
        <v>21225</v>
      </c>
      <c r="H340" s="21" t="s">
        <v>32689</v>
      </c>
    </row>
    <row r="341" customFormat="false" ht="15" hidden="false" customHeight="false" outlineLevel="0" collapsed="false">
      <c r="B341" s="19" t="s">
        <v>33003</v>
      </c>
      <c r="C341" s="20" t="n">
        <f aca="false">ROUND(88.4/FX,2)</f>
        <v>12.28</v>
      </c>
      <c r="D341" s="21" t="s">
        <v>724</v>
      </c>
      <c r="E341" s="21" t="s">
        <v>734</v>
      </c>
      <c r="F341" s="21" t="s">
        <v>33000</v>
      </c>
      <c r="G341" s="21" t="s">
        <v>21225</v>
      </c>
      <c r="H341" s="21" t="s">
        <v>32765</v>
      </c>
    </row>
    <row r="342" customFormat="false" ht="15" hidden="false" customHeight="false" outlineLevel="0" collapsed="false">
      <c r="B342" s="19" t="s">
        <v>33004</v>
      </c>
      <c r="C342" s="20" t="n">
        <f aca="false">ROUND(88.4/FX,2)</f>
        <v>12.28</v>
      </c>
      <c r="D342" s="21" t="s">
        <v>724</v>
      </c>
      <c r="E342" s="21" t="s">
        <v>734</v>
      </c>
      <c r="F342" s="21" t="s">
        <v>33000</v>
      </c>
      <c r="G342" s="21" t="s">
        <v>29288</v>
      </c>
      <c r="H342" s="21" t="s">
        <v>20016</v>
      </c>
    </row>
    <row r="343" customFormat="false" ht="15" hidden="false" customHeight="false" outlineLevel="0" collapsed="false">
      <c r="B343" s="19" t="s">
        <v>33005</v>
      </c>
      <c r="C343" s="20" t="n">
        <f aca="false">ROUND(123.5/FX,2)</f>
        <v>17.15</v>
      </c>
      <c r="D343" s="21" t="s">
        <v>6362</v>
      </c>
      <c r="E343" s="21" t="s">
        <v>734</v>
      </c>
      <c r="F343" s="21" t="s">
        <v>33000</v>
      </c>
      <c r="G343" s="21" t="s">
        <v>32611</v>
      </c>
      <c r="H343" s="21" t="s">
        <v>32689</v>
      </c>
    </row>
    <row r="344" customFormat="false" ht="15" hidden="false" customHeight="false" outlineLevel="0" collapsed="false">
      <c r="B344" s="19" t="s">
        <v>33006</v>
      </c>
      <c r="C344" s="20" t="n">
        <f aca="false">ROUND(123.5/FX,2)</f>
        <v>17.15</v>
      </c>
      <c r="D344" s="21" t="s">
        <v>6362</v>
      </c>
      <c r="E344" s="21" t="s">
        <v>734</v>
      </c>
      <c r="F344" s="21" t="s">
        <v>33000</v>
      </c>
      <c r="G344" s="21" t="s">
        <v>21225</v>
      </c>
      <c r="H344" s="21" t="s">
        <v>32905</v>
      </c>
    </row>
    <row r="345" customFormat="false" ht="15" hidden="false" customHeight="false" outlineLevel="0" collapsed="false">
      <c r="B345" s="19" t="s">
        <v>33007</v>
      </c>
      <c r="C345" s="20" t="n">
        <f aca="false">ROUND(123.5/FX,2)</f>
        <v>17.15</v>
      </c>
      <c r="D345" s="21" t="s">
        <v>6362</v>
      </c>
      <c r="E345" s="21" t="s">
        <v>734</v>
      </c>
      <c r="F345" s="21" t="s">
        <v>33000</v>
      </c>
      <c r="G345" s="21" t="s">
        <v>21225</v>
      </c>
      <c r="H345" s="21" t="s">
        <v>32689</v>
      </c>
    </row>
    <row r="346" customFormat="false" ht="15" hidden="false" customHeight="false" outlineLevel="0" collapsed="false">
      <c r="B346" s="19" t="s">
        <v>33008</v>
      </c>
      <c r="C346" s="20" t="n">
        <f aca="false">ROUND(88.4/FX,2)</f>
        <v>12.28</v>
      </c>
      <c r="D346" s="21" t="s">
        <v>6362</v>
      </c>
      <c r="E346" s="21" t="s">
        <v>734</v>
      </c>
      <c r="F346" s="21" t="s">
        <v>33000</v>
      </c>
      <c r="G346" s="21" t="s">
        <v>21225</v>
      </c>
      <c r="H346" s="21" t="s">
        <v>32765</v>
      </c>
    </row>
    <row r="347" customFormat="false" ht="15" hidden="false" customHeight="false" outlineLevel="0" collapsed="false">
      <c r="B347" s="19" t="s">
        <v>33009</v>
      </c>
      <c r="C347" s="20" t="n">
        <f aca="false">ROUND(123.5/FX,2)</f>
        <v>17.15</v>
      </c>
      <c r="D347" s="21" t="s">
        <v>6362</v>
      </c>
      <c r="E347" s="21" t="s">
        <v>734</v>
      </c>
      <c r="F347" s="21" t="s">
        <v>33000</v>
      </c>
      <c r="G347" s="21" t="s">
        <v>29288</v>
      </c>
      <c r="H347" s="21" t="s">
        <v>20016</v>
      </c>
    </row>
    <row r="348" customFormat="false" ht="15" hidden="false" customHeight="false" outlineLevel="0" collapsed="false">
      <c r="B348" s="19" t="s">
        <v>33010</v>
      </c>
      <c r="C348" s="20" t="n">
        <f aca="false">ROUND(123.5/FX,2)</f>
        <v>17.15</v>
      </c>
      <c r="D348" s="21" t="s">
        <v>6362</v>
      </c>
      <c r="E348" s="21" t="s">
        <v>734</v>
      </c>
      <c r="F348" s="21" t="s">
        <v>33000</v>
      </c>
      <c r="G348" s="21" t="s">
        <v>29288</v>
      </c>
      <c r="H348" s="21" t="s">
        <v>32689</v>
      </c>
    </row>
    <row r="349" customFormat="false" ht="15" hidden="false" customHeight="false" outlineLevel="0" collapsed="false">
      <c r="B349" s="19" t="s">
        <v>33011</v>
      </c>
      <c r="C349" s="20" t="n">
        <f aca="false">ROUND(123.5/FX,2)</f>
        <v>17.15</v>
      </c>
      <c r="D349" s="21" t="s">
        <v>6362</v>
      </c>
      <c r="E349" s="21" t="s">
        <v>734</v>
      </c>
      <c r="F349" s="21" t="s">
        <v>33000</v>
      </c>
      <c r="G349" s="21" t="s">
        <v>29288</v>
      </c>
      <c r="H349" s="21" t="s">
        <v>32858</v>
      </c>
    </row>
    <row r="350" customFormat="false" ht="15" hidden="false" customHeight="false" outlineLevel="0" collapsed="false">
      <c r="B350" s="19" t="s">
        <v>33012</v>
      </c>
      <c r="C350" s="20" t="n">
        <f aca="false">ROUND(104/FX,2)</f>
        <v>14.44</v>
      </c>
      <c r="D350" s="21" t="s">
        <v>6362</v>
      </c>
      <c r="E350" s="21" t="s">
        <v>734</v>
      </c>
      <c r="F350" s="21" t="s">
        <v>33013</v>
      </c>
      <c r="G350" s="21" t="s">
        <v>21225</v>
      </c>
      <c r="H350" s="21" t="s">
        <v>32689</v>
      </c>
    </row>
    <row r="351" customFormat="false" ht="15" hidden="false" customHeight="false" outlineLevel="0" collapsed="false">
      <c r="B351" s="19" t="s">
        <v>33014</v>
      </c>
      <c r="C351" s="20" t="n">
        <f aca="false">ROUND(110.5/FX,2)</f>
        <v>15.35</v>
      </c>
      <c r="D351" s="21" t="s">
        <v>724</v>
      </c>
      <c r="E351" s="21" t="s">
        <v>734</v>
      </c>
      <c r="F351" s="21" t="s">
        <v>32901</v>
      </c>
      <c r="G351" s="21" t="s">
        <v>21225</v>
      </c>
      <c r="H351" s="21" t="s">
        <v>22166</v>
      </c>
    </row>
    <row r="352" customFormat="false" ht="15" hidden="false" customHeight="false" outlineLevel="0" collapsed="false">
      <c r="B352" s="19" t="s">
        <v>33015</v>
      </c>
      <c r="C352" s="20" t="n">
        <f aca="false">ROUND(110.5/FX,2)</f>
        <v>15.35</v>
      </c>
      <c r="D352" s="21" t="s">
        <v>6362</v>
      </c>
      <c r="E352" s="21" t="s">
        <v>734</v>
      </c>
      <c r="F352" s="21" t="s">
        <v>32901</v>
      </c>
      <c r="G352" s="21" t="s">
        <v>21225</v>
      </c>
      <c r="H352" s="21" t="s">
        <v>22166</v>
      </c>
    </row>
    <row r="353" customFormat="false" ht="15" hidden="false" customHeight="false" outlineLevel="0" collapsed="false">
      <c r="B353" s="19" t="s">
        <v>33016</v>
      </c>
      <c r="C353" s="20" t="n">
        <f aca="false">ROUND(91.65/FX,2)</f>
        <v>12.73</v>
      </c>
      <c r="D353" s="21" t="s">
        <v>724</v>
      </c>
      <c r="E353" s="21" t="s">
        <v>734</v>
      </c>
      <c r="F353" s="21" t="s">
        <v>33017</v>
      </c>
      <c r="G353" s="21" t="s">
        <v>21225</v>
      </c>
      <c r="H353" s="21" t="s">
        <v>33018</v>
      </c>
    </row>
    <row r="354" customFormat="false" ht="15" hidden="false" customHeight="false" outlineLevel="0" collapsed="false">
      <c r="B354" s="19" t="s">
        <v>33019</v>
      </c>
      <c r="C354" s="20" t="n">
        <f aca="false">ROUND(123.5/FX,2)</f>
        <v>17.15</v>
      </c>
      <c r="D354" s="21" t="s">
        <v>6362</v>
      </c>
      <c r="E354" s="21" t="s">
        <v>734</v>
      </c>
      <c r="F354" s="21" t="s">
        <v>33017</v>
      </c>
      <c r="G354" s="21" t="s">
        <v>21225</v>
      </c>
      <c r="H354" s="21" t="s">
        <v>22166</v>
      </c>
    </row>
    <row r="355" customFormat="false" ht="15" hidden="false" customHeight="false" outlineLevel="0" collapsed="false">
      <c r="B355" s="19" t="s">
        <v>33020</v>
      </c>
      <c r="C355" s="20" t="n">
        <f aca="false">ROUND(92.3/FX,2)</f>
        <v>12.82</v>
      </c>
      <c r="D355" s="21" t="s">
        <v>6362</v>
      </c>
      <c r="E355" s="21" t="s">
        <v>734</v>
      </c>
      <c r="F355" s="21" t="s">
        <v>33017</v>
      </c>
      <c r="G355" s="21" t="s">
        <v>21225</v>
      </c>
      <c r="H355" s="21" t="s">
        <v>33018</v>
      </c>
    </row>
    <row r="356" customFormat="false" ht="15" hidden="false" customHeight="false" outlineLevel="0" collapsed="false">
      <c r="B356" s="19" t="s">
        <v>33021</v>
      </c>
      <c r="C356" s="20" t="n">
        <f aca="false">ROUND(108/FX,2)</f>
        <v>15</v>
      </c>
      <c r="D356" s="21" t="s">
        <v>724</v>
      </c>
      <c r="E356" s="21" t="s">
        <v>734</v>
      </c>
      <c r="F356" s="21" t="s">
        <v>33022</v>
      </c>
      <c r="G356" s="21" t="s">
        <v>21225</v>
      </c>
      <c r="H356" s="21" t="s">
        <v>33023</v>
      </c>
    </row>
    <row r="357" customFormat="false" ht="15" hidden="false" customHeight="false" outlineLevel="0" collapsed="false">
      <c r="B357" s="19" t="s">
        <v>33024</v>
      </c>
      <c r="C357" s="20" t="n">
        <f aca="false">ROUND(148.2/FX,2)</f>
        <v>20.58</v>
      </c>
      <c r="D357" s="21" t="s">
        <v>6362</v>
      </c>
      <c r="E357" s="21" t="s">
        <v>734</v>
      </c>
      <c r="F357" s="21" t="s">
        <v>33022</v>
      </c>
      <c r="G357" s="21" t="s">
        <v>21225</v>
      </c>
      <c r="H357" s="21" t="s">
        <v>33023</v>
      </c>
    </row>
    <row r="358" customFormat="false" ht="15" hidden="false" customHeight="false" outlineLevel="0" collapsed="false">
      <c r="B358" s="19" t="s">
        <v>33025</v>
      </c>
      <c r="C358" s="20" t="n">
        <f aca="false">ROUND(148.2/FX,2)</f>
        <v>20.58</v>
      </c>
      <c r="D358" s="21" t="s">
        <v>6362</v>
      </c>
      <c r="E358" s="21" t="s">
        <v>734</v>
      </c>
      <c r="F358" s="21" t="s">
        <v>33022</v>
      </c>
      <c r="G358" s="21" t="s">
        <v>21225</v>
      </c>
      <c r="H358" s="21" t="s">
        <v>33018</v>
      </c>
    </row>
    <row r="359" customFormat="false" ht="15" hidden="false" customHeight="false" outlineLevel="0" collapsed="false">
      <c r="B359" s="19" t="s">
        <v>33026</v>
      </c>
      <c r="C359" s="20" t="n">
        <f aca="false">ROUND(122.2/FX,2)</f>
        <v>16.97</v>
      </c>
      <c r="D359" s="21" t="s">
        <v>724</v>
      </c>
      <c r="E359" s="21" t="s">
        <v>734</v>
      </c>
      <c r="F359" s="21" t="s">
        <v>33027</v>
      </c>
      <c r="G359" s="21" t="s">
        <v>32611</v>
      </c>
      <c r="H359" s="21" t="s">
        <v>32858</v>
      </c>
    </row>
    <row r="360" customFormat="false" ht="15" hidden="false" customHeight="false" outlineLevel="0" collapsed="false">
      <c r="B360" s="19" t="s">
        <v>33028</v>
      </c>
      <c r="C360" s="20" t="n">
        <f aca="false">ROUND(122.2/FX,2)</f>
        <v>16.97</v>
      </c>
      <c r="D360" s="21" t="s">
        <v>724</v>
      </c>
      <c r="E360" s="21" t="s">
        <v>734</v>
      </c>
      <c r="F360" s="21" t="s">
        <v>33027</v>
      </c>
      <c r="G360" s="21" t="s">
        <v>32718</v>
      </c>
      <c r="H360" s="21" t="s">
        <v>32689</v>
      </c>
    </row>
    <row r="361" customFormat="false" ht="15" hidden="false" customHeight="false" outlineLevel="0" collapsed="false">
      <c r="B361" s="19" t="s">
        <v>33029</v>
      </c>
      <c r="C361" s="20" t="n">
        <f aca="false">ROUND(122.2/FX,2)</f>
        <v>16.97</v>
      </c>
      <c r="D361" s="21" t="s">
        <v>724</v>
      </c>
      <c r="E361" s="21" t="s">
        <v>734</v>
      </c>
      <c r="F361" s="21" t="s">
        <v>33027</v>
      </c>
      <c r="G361" s="21" t="s">
        <v>29407</v>
      </c>
      <c r="H361" s="21" t="s">
        <v>20014</v>
      </c>
    </row>
    <row r="362" customFormat="false" ht="15" hidden="false" customHeight="false" outlineLevel="0" collapsed="false">
      <c r="B362" s="19" t="s">
        <v>33030</v>
      </c>
      <c r="C362" s="20" t="n">
        <f aca="false">ROUND(122.2/FX,2)</f>
        <v>16.97</v>
      </c>
      <c r="D362" s="21" t="s">
        <v>724</v>
      </c>
      <c r="E362" s="21" t="s">
        <v>734</v>
      </c>
      <c r="F362" s="21" t="s">
        <v>33027</v>
      </c>
      <c r="G362" s="21" t="s">
        <v>21225</v>
      </c>
      <c r="H362" s="21" t="s">
        <v>32905</v>
      </c>
    </row>
    <row r="363" customFormat="false" ht="15" hidden="false" customHeight="false" outlineLevel="0" collapsed="false">
      <c r="B363" s="19" t="s">
        <v>33031</v>
      </c>
      <c r="C363" s="20" t="n">
        <f aca="false">ROUND(122.2/FX,2)</f>
        <v>16.97</v>
      </c>
      <c r="D363" s="21" t="s">
        <v>724</v>
      </c>
      <c r="E363" s="21" t="s">
        <v>734</v>
      </c>
      <c r="F363" s="21" t="s">
        <v>33027</v>
      </c>
      <c r="G363" s="21" t="s">
        <v>21225</v>
      </c>
      <c r="H363" s="21" t="s">
        <v>32921</v>
      </c>
    </row>
    <row r="364" customFormat="false" ht="15" hidden="false" customHeight="false" outlineLevel="0" collapsed="false">
      <c r="B364" s="19" t="s">
        <v>33032</v>
      </c>
      <c r="C364" s="20" t="n">
        <f aca="false">ROUND(122.2/FX,2)</f>
        <v>16.97</v>
      </c>
      <c r="D364" s="21" t="s">
        <v>724</v>
      </c>
      <c r="E364" s="21" t="s">
        <v>734</v>
      </c>
      <c r="F364" s="21" t="s">
        <v>33027</v>
      </c>
      <c r="G364" s="21" t="s">
        <v>21225</v>
      </c>
      <c r="H364" s="21" t="s">
        <v>32689</v>
      </c>
    </row>
    <row r="365" customFormat="false" ht="15" hidden="false" customHeight="false" outlineLevel="0" collapsed="false">
      <c r="B365" s="19" t="s">
        <v>33033</v>
      </c>
      <c r="C365" s="20" t="n">
        <f aca="false">ROUND(122.2/FX,2)</f>
        <v>16.97</v>
      </c>
      <c r="D365" s="21" t="s">
        <v>724</v>
      </c>
      <c r="E365" s="21" t="s">
        <v>734</v>
      </c>
      <c r="F365" s="21" t="s">
        <v>33027</v>
      </c>
      <c r="G365" s="21" t="s">
        <v>21225</v>
      </c>
      <c r="H365" s="21" t="s">
        <v>32765</v>
      </c>
    </row>
    <row r="366" customFormat="false" ht="15" hidden="false" customHeight="false" outlineLevel="0" collapsed="false">
      <c r="B366" s="19" t="s">
        <v>33034</v>
      </c>
      <c r="C366" s="20" t="n">
        <f aca="false">ROUND(122.2/FX,2)</f>
        <v>16.97</v>
      </c>
      <c r="D366" s="21" t="s">
        <v>724</v>
      </c>
      <c r="E366" s="21" t="s">
        <v>734</v>
      </c>
      <c r="F366" s="21" t="s">
        <v>33027</v>
      </c>
      <c r="G366" s="21" t="s">
        <v>32624</v>
      </c>
      <c r="H366" s="21" t="s">
        <v>32689</v>
      </c>
    </row>
    <row r="367" customFormat="false" ht="15" hidden="false" customHeight="false" outlineLevel="0" collapsed="false">
      <c r="B367" s="19" t="s">
        <v>33035</v>
      </c>
      <c r="C367" s="20" t="n">
        <f aca="false">ROUND(122.2/FX,2)</f>
        <v>16.97</v>
      </c>
      <c r="D367" s="21" t="s">
        <v>724</v>
      </c>
      <c r="E367" s="21" t="s">
        <v>734</v>
      </c>
      <c r="F367" s="21" t="s">
        <v>33027</v>
      </c>
      <c r="G367" s="21" t="s">
        <v>32727</v>
      </c>
      <c r="H367" s="21" t="s">
        <v>32915</v>
      </c>
    </row>
    <row r="368" customFormat="false" ht="15" hidden="false" customHeight="false" outlineLevel="0" collapsed="false">
      <c r="B368" s="19" t="s">
        <v>33036</v>
      </c>
      <c r="C368" s="20" t="n">
        <f aca="false">ROUND(122.2/FX,2)</f>
        <v>16.97</v>
      </c>
      <c r="D368" s="21" t="s">
        <v>6362</v>
      </c>
      <c r="E368" s="21" t="s">
        <v>734</v>
      </c>
      <c r="F368" s="21" t="s">
        <v>33027</v>
      </c>
      <c r="G368" s="21" t="s">
        <v>32611</v>
      </c>
      <c r="H368" s="21" t="s">
        <v>22166</v>
      </c>
    </row>
    <row r="369" customFormat="false" ht="15" hidden="false" customHeight="false" outlineLevel="0" collapsed="false">
      <c r="B369" s="19" t="s">
        <v>33037</v>
      </c>
      <c r="C369" s="20" t="n">
        <f aca="false">ROUND(122.2/FX,2)</f>
        <v>16.97</v>
      </c>
      <c r="D369" s="21" t="s">
        <v>6362</v>
      </c>
      <c r="E369" s="21" t="s">
        <v>734</v>
      </c>
      <c r="F369" s="21" t="s">
        <v>33027</v>
      </c>
      <c r="G369" s="21" t="s">
        <v>32611</v>
      </c>
      <c r="H369" s="21" t="s">
        <v>32858</v>
      </c>
    </row>
    <row r="370" customFormat="false" ht="15" hidden="false" customHeight="false" outlineLevel="0" collapsed="false">
      <c r="B370" s="19" t="s">
        <v>33038</v>
      </c>
      <c r="C370" s="20" t="n">
        <f aca="false">ROUND(122.2/FX,2)</f>
        <v>16.97</v>
      </c>
      <c r="D370" s="21" t="s">
        <v>6362</v>
      </c>
      <c r="E370" s="21" t="s">
        <v>734</v>
      </c>
      <c r="F370" s="21" t="s">
        <v>33027</v>
      </c>
      <c r="G370" s="21" t="s">
        <v>29407</v>
      </c>
      <c r="H370" s="21" t="s">
        <v>20014</v>
      </c>
    </row>
    <row r="371" customFormat="false" ht="15" hidden="false" customHeight="false" outlineLevel="0" collapsed="false">
      <c r="B371" s="19" t="s">
        <v>33039</v>
      </c>
      <c r="C371" s="20" t="n">
        <f aca="false">ROUND(122.2/FX,2)</f>
        <v>16.97</v>
      </c>
      <c r="D371" s="21" t="s">
        <v>6362</v>
      </c>
      <c r="E371" s="21" t="s">
        <v>734</v>
      </c>
      <c r="F371" s="21" t="s">
        <v>33027</v>
      </c>
      <c r="G371" s="21" t="s">
        <v>21225</v>
      </c>
      <c r="H371" s="21" t="s">
        <v>32905</v>
      </c>
    </row>
    <row r="372" customFormat="false" ht="15" hidden="false" customHeight="false" outlineLevel="0" collapsed="false">
      <c r="B372" s="19" t="s">
        <v>33040</v>
      </c>
      <c r="C372" s="20" t="n">
        <f aca="false">ROUND(122.2/FX,2)</f>
        <v>16.97</v>
      </c>
      <c r="D372" s="21" t="s">
        <v>6362</v>
      </c>
      <c r="E372" s="21" t="s">
        <v>734</v>
      </c>
      <c r="F372" s="21" t="s">
        <v>33027</v>
      </c>
      <c r="G372" s="21" t="s">
        <v>21225</v>
      </c>
      <c r="H372" s="21" t="s">
        <v>32921</v>
      </c>
    </row>
    <row r="373" customFormat="false" ht="15" hidden="false" customHeight="false" outlineLevel="0" collapsed="false">
      <c r="B373" s="19" t="s">
        <v>33041</v>
      </c>
      <c r="C373" s="20" t="n">
        <f aca="false">ROUND(122.2/FX,2)</f>
        <v>16.97</v>
      </c>
      <c r="D373" s="21" t="s">
        <v>6362</v>
      </c>
      <c r="E373" s="21" t="s">
        <v>734</v>
      </c>
      <c r="F373" s="21" t="s">
        <v>33027</v>
      </c>
      <c r="G373" s="21" t="s">
        <v>21225</v>
      </c>
      <c r="H373" s="21" t="s">
        <v>32689</v>
      </c>
    </row>
    <row r="374" customFormat="false" ht="15" hidden="false" customHeight="false" outlineLevel="0" collapsed="false">
      <c r="B374" s="19" t="s">
        <v>33042</v>
      </c>
      <c r="C374" s="20" t="n">
        <f aca="false">ROUND(122.2/FX,2)</f>
        <v>16.97</v>
      </c>
      <c r="D374" s="21" t="s">
        <v>6362</v>
      </c>
      <c r="E374" s="21" t="s">
        <v>734</v>
      </c>
      <c r="F374" s="21" t="s">
        <v>33027</v>
      </c>
      <c r="G374" s="21" t="s">
        <v>21225</v>
      </c>
      <c r="H374" s="21" t="s">
        <v>32765</v>
      </c>
    </row>
    <row r="375" customFormat="false" ht="15" hidden="false" customHeight="false" outlineLevel="0" collapsed="false">
      <c r="B375" s="19" t="s">
        <v>33043</v>
      </c>
      <c r="C375" s="20" t="n">
        <f aca="false">ROUND(122.2/FX,2)</f>
        <v>16.97</v>
      </c>
      <c r="D375" s="21" t="s">
        <v>6362</v>
      </c>
      <c r="E375" s="21" t="s">
        <v>734</v>
      </c>
      <c r="F375" s="21" t="s">
        <v>33027</v>
      </c>
      <c r="G375" s="21" t="s">
        <v>32624</v>
      </c>
      <c r="H375" s="21" t="s">
        <v>32689</v>
      </c>
    </row>
    <row r="376" customFormat="false" ht="15" hidden="false" customHeight="false" outlineLevel="0" collapsed="false">
      <c r="B376" s="19" t="s">
        <v>33044</v>
      </c>
      <c r="C376" s="20" t="n">
        <f aca="false">ROUND(122.2/FX,2)</f>
        <v>16.97</v>
      </c>
      <c r="D376" s="21" t="s">
        <v>6362</v>
      </c>
      <c r="E376" s="21" t="s">
        <v>734</v>
      </c>
      <c r="F376" s="21" t="s">
        <v>33027</v>
      </c>
      <c r="G376" s="21" t="s">
        <v>32727</v>
      </c>
      <c r="H376" s="21" t="s">
        <v>32915</v>
      </c>
    </row>
    <row r="377" customFormat="false" ht="15" hidden="false" customHeight="false" outlineLevel="0" collapsed="false">
      <c r="B377" s="19" t="s">
        <v>33045</v>
      </c>
      <c r="C377" s="20" t="n">
        <f aca="false">ROUND(170.3/FX,2)</f>
        <v>23.65</v>
      </c>
      <c r="D377" s="21" t="s">
        <v>6362</v>
      </c>
      <c r="E377" s="21" t="s">
        <v>734</v>
      </c>
      <c r="F377" s="21" t="s">
        <v>33046</v>
      </c>
      <c r="G377" s="21" t="s">
        <v>33047</v>
      </c>
      <c r="H377" s="21" t="s">
        <v>32905</v>
      </c>
    </row>
    <row r="378" customFormat="false" ht="15" hidden="false" customHeight="false" outlineLevel="0" collapsed="false">
      <c r="B378" s="19" t="s">
        <v>33048</v>
      </c>
      <c r="C378" s="20" t="n">
        <f aca="false">ROUND(150.8/FX,2)</f>
        <v>20.94</v>
      </c>
      <c r="D378" s="21" t="s">
        <v>724</v>
      </c>
      <c r="E378" s="21" t="s">
        <v>734</v>
      </c>
      <c r="F378" s="21" t="s">
        <v>33049</v>
      </c>
      <c r="G378" s="21" t="s">
        <v>32611</v>
      </c>
      <c r="H378" s="21" t="s">
        <v>33018</v>
      </c>
    </row>
    <row r="379" customFormat="false" ht="15" hidden="false" customHeight="false" outlineLevel="0" collapsed="false">
      <c r="B379" s="19" t="s">
        <v>33050</v>
      </c>
      <c r="C379" s="20" t="n">
        <f aca="false">ROUND(150.8/FX,2)</f>
        <v>20.94</v>
      </c>
      <c r="D379" s="21" t="s">
        <v>724</v>
      </c>
      <c r="E379" s="21" t="s">
        <v>734</v>
      </c>
      <c r="F379" s="21" t="s">
        <v>33049</v>
      </c>
      <c r="G379" s="21" t="s">
        <v>21225</v>
      </c>
      <c r="H379" s="21" t="s">
        <v>33018</v>
      </c>
    </row>
    <row r="380" customFormat="false" ht="15" hidden="false" customHeight="false" outlineLevel="0" collapsed="false">
      <c r="B380" s="19" t="s">
        <v>33051</v>
      </c>
      <c r="C380" s="20" t="n">
        <f aca="false">ROUND(150.8/FX,2)</f>
        <v>20.94</v>
      </c>
      <c r="D380" s="21" t="s">
        <v>6362</v>
      </c>
      <c r="E380" s="21" t="s">
        <v>734</v>
      </c>
      <c r="F380" s="21" t="s">
        <v>33049</v>
      </c>
      <c r="G380" s="21" t="s">
        <v>21225</v>
      </c>
      <c r="H380" s="21" t="s">
        <v>33018</v>
      </c>
    </row>
    <row r="381" customFormat="false" ht="15" hidden="false" customHeight="false" outlineLevel="0" collapsed="false">
      <c r="B381" s="19" t="s">
        <v>33052</v>
      </c>
      <c r="C381" s="20" t="n">
        <f aca="false">ROUND(26/FX,2)</f>
        <v>3.61</v>
      </c>
      <c r="D381" s="21" t="s">
        <v>6362</v>
      </c>
      <c r="E381" s="21" t="s">
        <v>734</v>
      </c>
      <c r="F381" s="21" t="s">
        <v>33053</v>
      </c>
      <c r="G381" s="21" t="s">
        <v>21225</v>
      </c>
      <c r="H381" s="21" t="s">
        <v>32612</v>
      </c>
    </row>
  </sheetData>
  <mergeCells count="4">
    <mergeCell ref="B1:G1"/>
    <mergeCell ref="B68:D68"/>
    <mergeCell ref="B78:H78"/>
    <mergeCell ref="B284:H284"/>
  </mergeCells>
  <dataValidations count="15">
    <dataValidation allowBlank="true" error="Please choose from the list" errorStyle="stop" errorTitle="▶ Quick quote" operator="between" showDropDown="false" showErrorMessage="false" showInputMessage="false" sqref="D3" type="list">
      <formula1>_lists!$ASF$1:$ASF$2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3" type="list">
      <formula1>_lists!$ASG$1:$ASG$16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3" type="list">
      <formula1>_lists!$ASH$1:$ASH$5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3" type="list">
      <formula1>_lists!$ASI$1:$ASI$12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0" type="list">
      <formula1>_lists!$ASJ$1:$ASJ$3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80" type="list">
      <formula1>_lists!$ASK$1:$ASK$2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80" type="list">
      <formula1>_lists!$ASL$1:$ASL$3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80" type="list">
      <formula1>_lists!$ASM$1:$ASM$26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80" type="list">
      <formula1>_lists!$ASN$1:$ASN$6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80" type="list">
      <formula1>_lists!$ASO$1:$ASO$19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286" type="list">
      <formula1>_lists!$ASP$1:$ASP$2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286" type="list">
      <formula1>_lists!$ASQ$1:$ASQ$4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286" type="list">
      <formula1>_lists!$ASR$1:$ASR$18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G286" type="list">
      <formula1>_lists!$ASS$1:$ASS$8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H286" type="list">
      <formula1>_lists!$AST$1:$AST$16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686</v>
      </c>
      <c r="C1" s="10"/>
      <c r="D1" s="10"/>
    </row>
    <row r="2" customFormat="false" ht="15" hidden="false" customHeight="false" outlineLevel="0" collapsed="false">
      <c r="A2" s="12" t="s">
        <v>700</v>
      </c>
      <c r="B2" s="13" t="s">
        <v>701</v>
      </c>
      <c r="C2" s="13" t="s">
        <v>702</v>
      </c>
      <c r="D2" s="13" t="s">
        <v>6159</v>
      </c>
    </row>
    <row r="3" customFormat="false" ht="30" hidden="false" customHeight="true" outlineLevel="0" collapsed="false">
      <c r="A3" s="14" t="s">
        <v>706</v>
      </c>
      <c r="B3" s="15" t="str">
        <f aca="false">IF(COUNTIFS($D$6:$D$9,IF(D3="","*",D3))=1,INDEX($B:$B,SUMPRODUCT(((D3="")+($D$6:$D$9=D3)&gt;0)*ROW($B$6:$B$9))),IF(COUNTIFS($D$6:$D$9,IF(D3="","*",D3))=0,"Not available",COUNTIFS($D$6:$D$9,IF(D3="","*",D3))&amp;" match, keep choosing"))</f>
        <v>12.9-912-02</v>
      </c>
      <c r="C3" s="16" t="n">
        <f aca="false">IF(COUNTIFS($D$6:$D$9,IF(D3="","*",D3))=1,INDEX($C:$C,SUMPRODUCT(((D3="")+($D$6:$D$9=D3)&gt;0)*ROW($B$6:$B$9))),"")</f>
        <v>1.81</v>
      </c>
      <c r="D3" s="17" t="s">
        <v>33054</v>
      </c>
    </row>
    <row r="5" customFormat="false" ht="15" hidden="false" customHeight="false" outlineLevel="0" collapsed="false">
      <c r="B5" s="18" t="s">
        <v>701</v>
      </c>
      <c r="C5" s="18" t="s">
        <v>702</v>
      </c>
      <c r="D5" s="18" t="s">
        <v>6159</v>
      </c>
    </row>
    <row r="6" customFormat="false" ht="15" hidden="false" customHeight="false" outlineLevel="0" collapsed="false">
      <c r="B6" s="19" t="s">
        <v>33054</v>
      </c>
      <c r="C6" s="20" t="n">
        <f aca="false">ROUND(13/FX,2)</f>
        <v>1.81</v>
      </c>
      <c r="D6" s="21" t="s">
        <v>33054</v>
      </c>
    </row>
    <row r="7" customFormat="false" ht="15" hidden="false" customHeight="false" outlineLevel="0" collapsed="false">
      <c r="B7" s="19" t="s">
        <v>33055</v>
      </c>
      <c r="C7" s="20" t="n">
        <f aca="false">ROUND(7/FX,2)</f>
        <v>0.97</v>
      </c>
      <c r="D7" s="21" t="s">
        <v>33055</v>
      </c>
    </row>
    <row r="8" customFormat="false" ht="15" hidden="false" customHeight="false" outlineLevel="0" collapsed="false">
      <c r="B8" s="19" t="s">
        <v>33056</v>
      </c>
      <c r="C8" s="20" t="n">
        <f aca="false">ROUND(7/FX,2)</f>
        <v>0.97</v>
      </c>
      <c r="D8" s="21" t="s">
        <v>33056</v>
      </c>
    </row>
    <row r="9" customFormat="false" ht="15" hidden="false" customHeight="false" outlineLevel="0" collapsed="false">
      <c r="B9" s="19" t="s">
        <v>33057</v>
      </c>
      <c r="C9" s="20" t="n">
        <f aca="false">ROUND(8.5/FX,2)</f>
        <v>1.18</v>
      </c>
      <c r="D9" s="21" t="s">
        <v>33057</v>
      </c>
    </row>
    <row r="12" customFormat="false" ht="61.5" hidden="false" customHeight="true" outlineLevel="0" collapsed="false">
      <c r="A12" s="9"/>
      <c r="B12" s="10" t="s">
        <v>687</v>
      </c>
      <c r="C12" s="10"/>
      <c r="D12" s="10"/>
    </row>
    <row r="13" customFormat="false" ht="15" hidden="false" customHeight="false" outlineLevel="0" collapsed="false">
      <c r="A13" s="12" t="s">
        <v>700</v>
      </c>
      <c r="B13" s="13" t="s">
        <v>701</v>
      </c>
      <c r="C13" s="13" t="s">
        <v>702</v>
      </c>
      <c r="D13" s="13" t="s">
        <v>6159</v>
      </c>
    </row>
    <row r="14" customFormat="false" ht="30" hidden="false" customHeight="true" outlineLevel="0" collapsed="false">
      <c r="A14" s="14" t="s">
        <v>706</v>
      </c>
      <c r="B14" s="15" t="str">
        <f aca="false">IF(COUNTIFS($D$17:$D$23,IF(D14="","*",D14))=1,INDEX($B:$B,SUMPRODUCT(((D14="")+($D$17:$D$23=D14)&gt;0)*ROW($B$17:$B$23))),IF(COUNTIFS($D$17:$D$23,IF(D14="","*",D14))=0,"Not available",COUNTIFS($D$17:$D$23,IF(D14="","*",D14))&amp;" match, keep choosing"))</f>
        <v>304-ISO7380-01</v>
      </c>
      <c r="C14" s="16" t="n">
        <f aca="false">IF(COUNTIFS($D$17:$D$23,IF(D14="","*",D14))=1,INDEX($C:$C,SUMPRODUCT(((D14="")+($D$17:$D$23=D14)&gt;0)*ROW($B$17:$B$23))),"")</f>
        <v>2.92</v>
      </c>
      <c r="D14" s="17" t="s">
        <v>33058</v>
      </c>
    </row>
    <row r="16" customFormat="false" ht="15" hidden="false" customHeight="false" outlineLevel="0" collapsed="false">
      <c r="B16" s="18" t="s">
        <v>701</v>
      </c>
      <c r="C16" s="18" t="s">
        <v>702</v>
      </c>
      <c r="D16" s="18" t="s">
        <v>6159</v>
      </c>
    </row>
    <row r="17" customFormat="false" ht="15" hidden="false" customHeight="false" outlineLevel="0" collapsed="false">
      <c r="B17" s="19" t="s">
        <v>33058</v>
      </c>
      <c r="C17" s="20" t="n">
        <f aca="false">ROUND(21/FX,2)</f>
        <v>2.92</v>
      </c>
      <c r="D17" s="21" t="s">
        <v>33058</v>
      </c>
    </row>
    <row r="18" customFormat="false" ht="15" hidden="false" customHeight="false" outlineLevel="0" collapsed="false">
      <c r="B18" s="19" t="s">
        <v>33059</v>
      </c>
      <c r="C18" s="20" t="n">
        <f aca="false">ROUND(21/FX,2)</f>
        <v>2.92</v>
      </c>
      <c r="D18" s="21" t="s">
        <v>33059</v>
      </c>
    </row>
    <row r="19" customFormat="false" ht="15" hidden="false" customHeight="false" outlineLevel="0" collapsed="false">
      <c r="B19" s="19" t="s">
        <v>33060</v>
      </c>
      <c r="C19" s="20" t="n">
        <f aca="false">ROUND(20.24/FX,2)</f>
        <v>2.81</v>
      </c>
      <c r="D19" s="21" t="s">
        <v>33060</v>
      </c>
    </row>
    <row r="20" customFormat="false" ht="15" hidden="false" customHeight="false" outlineLevel="0" collapsed="false">
      <c r="B20" s="19" t="s">
        <v>33061</v>
      </c>
      <c r="C20" s="20" t="n">
        <f aca="false">ROUND(8/FX,2)</f>
        <v>1.11</v>
      </c>
      <c r="D20" s="21" t="s">
        <v>33061</v>
      </c>
    </row>
    <row r="21" customFormat="false" ht="15" hidden="false" customHeight="false" outlineLevel="0" collapsed="false">
      <c r="B21" s="19" t="s">
        <v>33062</v>
      </c>
      <c r="C21" s="20" t="n">
        <f aca="false">ROUND(18/FX,2)</f>
        <v>2.5</v>
      </c>
      <c r="D21" s="21" t="s">
        <v>33062</v>
      </c>
    </row>
    <row r="22" customFormat="false" ht="15" hidden="false" customHeight="false" outlineLevel="0" collapsed="false">
      <c r="B22" s="19" t="s">
        <v>33063</v>
      </c>
      <c r="C22" s="20" t="n">
        <f aca="false">ROUND(10/FX,2)</f>
        <v>1.39</v>
      </c>
      <c r="D22" s="21" t="s">
        <v>33063</v>
      </c>
    </row>
    <row r="23" customFormat="false" ht="15" hidden="false" customHeight="false" outlineLevel="0" collapsed="false">
      <c r="B23" s="19" t="s">
        <v>33064</v>
      </c>
      <c r="C23" s="20" t="n">
        <f aca="false">ROUND(11/FX,2)</f>
        <v>1.53</v>
      </c>
      <c r="D23" s="21" t="s">
        <v>33064</v>
      </c>
    </row>
    <row r="26" customFormat="false" ht="61.5" hidden="false" customHeight="true" outlineLevel="0" collapsed="false">
      <c r="A26" s="9"/>
      <c r="B26" s="10" t="s">
        <v>688</v>
      </c>
      <c r="C26" s="10"/>
      <c r="D26" s="10"/>
    </row>
    <row r="27" customFormat="false" ht="15" hidden="false" customHeight="false" outlineLevel="0" collapsed="false">
      <c r="B27" s="18" t="s">
        <v>701</v>
      </c>
      <c r="C27" s="18" t="s">
        <v>702</v>
      </c>
      <c r="D27" s="18" t="s">
        <v>5610</v>
      </c>
    </row>
    <row r="28" customFormat="false" ht="15" hidden="false" customHeight="false" outlineLevel="0" collapsed="false">
      <c r="B28" s="19" t="s">
        <v>33065</v>
      </c>
      <c r="C28" s="20" t="n">
        <f aca="false">ROUND(23/FX,2)</f>
        <v>3.19</v>
      </c>
      <c r="D28" s="22" t="s">
        <v>5612</v>
      </c>
    </row>
  </sheetData>
  <mergeCells count="3">
    <mergeCell ref="B1:D1"/>
    <mergeCell ref="B12:D12"/>
    <mergeCell ref="B26:D26"/>
  </mergeCells>
  <dataValidations count="2">
    <dataValidation allowBlank="true" error="Please choose from the list" errorStyle="stop" errorTitle="▶ Quick quote" operator="between" showDropDown="false" showErrorMessage="false" showInputMessage="false" sqref="D3" type="list">
      <formula1>_lists!$ASU$1:$ASU$4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4" type="list">
      <formula1>_lists!$ASV$1:$ASV$7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690</v>
      </c>
      <c r="C1" s="10"/>
      <c r="D1" s="10"/>
    </row>
    <row r="2" customFormat="false" ht="15" hidden="false" customHeight="false" outlineLevel="0" collapsed="false">
      <c r="A2" s="12" t="s">
        <v>700</v>
      </c>
      <c r="B2" s="13" t="s">
        <v>701</v>
      </c>
      <c r="C2" s="13" t="s">
        <v>702</v>
      </c>
      <c r="D2" s="13" t="s">
        <v>6329</v>
      </c>
    </row>
    <row r="3" customFormat="false" ht="30" hidden="false" customHeight="true" outlineLevel="0" collapsed="false">
      <c r="A3" s="14" t="s">
        <v>706</v>
      </c>
      <c r="B3" s="15" t="str">
        <f aca="false">IF(COUNTIFS($D$6:$D$7,IF(D3="","*",D3))=1,INDEX($B:$B,SUMPRODUCT(((D3="")+($D$6:$D$7=D3)&gt;0)*ROW($B$6:$B$7))),IF(COUNTIFS($D$6:$D$7,IF(D3="","*",D3))=0,"Not available",COUNTIFS($D$6:$D$7,IF(D3="","*",D3))&amp;" match, keep choosing"))</f>
        <v>WRAP-W50</v>
      </c>
      <c r="C3" s="16" t="n">
        <f aca="false">IF(COUNTIFS($D$6:$D$7,IF(D3="","*",D3))=1,INDEX($C:$C,SUMPRODUCT(((D3="")+($D$6:$D$7=D3)&gt;0)*ROW($B$6:$B$7))),"")</f>
        <v>0.33</v>
      </c>
      <c r="D3" s="17" t="s">
        <v>2911</v>
      </c>
    </row>
    <row r="5" customFormat="false" ht="15" hidden="false" customHeight="false" outlineLevel="0" collapsed="false">
      <c r="B5" s="18" t="s">
        <v>701</v>
      </c>
      <c r="C5" s="18" t="s">
        <v>702</v>
      </c>
      <c r="D5" s="18" t="s">
        <v>6329</v>
      </c>
    </row>
    <row r="6" customFormat="false" ht="15" hidden="false" customHeight="false" outlineLevel="0" collapsed="false">
      <c r="B6" s="19" t="s">
        <v>33066</v>
      </c>
      <c r="C6" s="20" t="n">
        <f aca="false">ROUND(2.34/FX,2)</f>
        <v>0.33</v>
      </c>
      <c r="D6" s="21" t="s">
        <v>2911</v>
      </c>
    </row>
    <row r="7" customFormat="false" ht="15" hidden="false" customHeight="false" outlineLevel="0" collapsed="false">
      <c r="B7" s="19" t="s">
        <v>33067</v>
      </c>
      <c r="C7" s="20" t="n">
        <f aca="false">ROUND(2.86/FX,2)</f>
        <v>0.4</v>
      </c>
      <c r="D7" s="21" t="s">
        <v>2961</v>
      </c>
    </row>
    <row r="10" customFormat="false" ht="61.5" hidden="false" customHeight="true" outlineLevel="0" collapsed="false">
      <c r="A10" s="9"/>
      <c r="B10" s="10" t="s">
        <v>691</v>
      </c>
      <c r="C10" s="10"/>
      <c r="D10" s="10"/>
      <c r="E10" s="10"/>
      <c r="F10" s="10"/>
    </row>
    <row r="11" customFormat="false" ht="15" hidden="false" customHeight="false" outlineLevel="0" collapsed="false">
      <c r="A11" s="12" t="s">
        <v>700</v>
      </c>
      <c r="B11" s="13" t="s">
        <v>701</v>
      </c>
      <c r="C11" s="13" t="s">
        <v>702</v>
      </c>
      <c r="D11" s="13" t="s">
        <v>705</v>
      </c>
      <c r="E11" s="13" t="s">
        <v>11716</v>
      </c>
      <c r="F11" s="13" t="s">
        <v>7711</v>
      </c>
    </row>
    <row r="12" customFormat="false" ht="30" hidden="false" customHeight="true" outlineLevel="0" collapsed="false">
      <c r="A12" s="14" t="s">
        <v>706</v>
      </c>
      <c r="B12" s="15" t="str">
        <f aca="false">IF(COUNTIFS($D$15:$D$65,IF(D12="","*",D12),$E$15:$E$65,IF(E12="","*",E12),$F$15:$F$65,IF(F12="","*",F12))=1,INDEX($B:$B,SUMPRODUCT(((D12="")+($D$15:$D$65=D12)&gt;0)*((E12="")+($E$15:$E$65=E12)&gt;0)*((F12="")+($F$15:$F$65=F12)&gt;0)*ROW($B$15:$B$65))),IF(COUNTIFS($D$15:$D$65,IF(D12="","*",D12),$E$15:$E$65,IF(E12="","*",E12),$F$15:$F$65,IF(F12="","*",F12))=0,"Not available",COUNTIFS($D$15:$D$65,IF(D12="","*",D12),$E$15:$E$65,IF(E12="","*",E12),$F$15:$F$65,IF(F12="","*",F12))&amp;" match, keep choosing"))</f>
        <v>TUBE-10x100</v>
      </c>
      <c r="C12" s="16" t="n">
        <f aca="false">IF(COUNTIFS($D$15:$D$65,IF(D12="","*",D12),$E$15:$E$65,IF(E12="","*",E12),$F$15:$F$65,IF(F12="","*",F12))=1,INDEX($C:$C,SUMPRODUCT(((D12="")+($D$15:$D$65=D12)&gt;0)*((E12="")+($E$15:$E$65=E12)&gt;0)*((F12="")+($F$15:$F$65=F12)&gt;0)*ROW($B$15:$B$65))),"")</f>
        <v>0.11</v>
      </c>
      <c r="D12" s="17" t="s">
        <v>13732</v>
      </c>
      <c r="E12" s="17" t="s">
        <v>2600</v>
      </c>
      <c r="F12" s="17" t="s">
        <v>707</v>
      </c>
    </row>
    <row r="14" customFormat="false" ht="15" hidden="false" customHeight="false" outlineLevel="0" collapsed="false">
      <c r="B14" s="18" t="s">
        <v>701</v>
      </c>
      <c r="C14" s="18" t="s">
        <v>702</v>
      </c>
      <c r="D14" s="18" t="s">
        <v>705</v>
      </c>
      <c r="E14" s="18" t="s">
        <v>11716</v>
      </c>
      <c r="F14" s="18" t="s">
        <v>7711</v>
      </c>
    </row>
    <row r="15" customFormat="false" ht="15" hidden="false" customHeight="false" outlineLevel="0" collapsed="false">
      <c r="B15" s="19" t="s">
        <v>33068</v>
      </c>
      <c r="C15" s="20" t="n">
        <f aca="false">ROUND(0.81/FX,2)</f>
        <v>0.11</v>
      </c>
      <c r="D15" s="21" t="s">
        <v>13732</v>
      </c>
      <c r="E15" s="21" t="s">
        <v>2600</v>
      </c>
      <c r="F15" s="21" t="s">
        <v>707</v>
      </c>
    </row>
    <row r="16" customFormat="false" ht="15" hidden="false" customHeight="false" outlineLevel="0" collapsed="false">
      <c r="B16" s="19" t="s">
        <v>33069</v>
      </c>
      <c r="C16" s="20" t="n">
        <f aca="false">ROUND(0.72/FX,2)</f>
        <v>0.1</v>
      </c>
      <c r="D16" s="21" t="s">
        <v>13732</v>
      </c>
      <c r="E16" s="21" t="s">
        <v>2651</v>
      </c>
      <c r="F16" s="21" t="s">
        <v>707</v>
      </c>
    </row>
    <row r="17" customFormat="false" ht="15" hidden="false" customHeight="false" outlineLevel="0" collapsed="false">
      <c r="B17" s="19" t="s">
        <v>33070</v>
      </c>
      <c r="C17" s="20" t="n">
        <f aca="false">ROUND(1.17/FX,2)</f>
        <v>0.16</v>
      </c>
      <c r="D17" s="21" t="s">
        <v>13732</v>
      </c>
      <c r="E17" s="21" t="s">
        <v>12736</v>
      </c>
      <c r="F17" s="21" t="s">
        <v>707</v>
      </c>
    </row>
    <row r="18" customFormat="false" ht="15" hidden="false" customHeight="false" outlineLevel="0" collapsed="false">
      <c r="B18" s="19" t="s">
        <v>33071</v>
      </c>
      <c r="C18" s="20" t="n">
        <f aca="false">ROUND(0.5/FX,2)</f>
        <v>0.07</v>
      </c>
      <c r="D18" s="21" t="s">
        <v>13732</v>
      </c>
      <c r="E18" s="21" t="s">
        <v>3061</v>
      </c>
      <c r="F18" s="21" t="s">
        <v>707</v>
      </c>
    </row>
    <row r="19" customFormat="false" ht="15" hidden="false" customHeight="false" outlineLevel="0" collapsed="false">
      <c r="B19" s="19" t="s">
        <v>33072</v>
      </c>
      <c r="C19" s="20" t="n">
        <f aca="false">ROUND(0.81/FX,2)</f>
        <v>0.11</v>
      </c>
      <c r="D19" s="21" t="s">
        <v>13732</v>
      </c>
      <c r="E19" s="21" t="s">
        <v>2600</v>
      </c>
      <c r="F19" s="21" t="s">
        <v>761</v>
      </c>
    </row>
    <row r="20" customFormat="false" ht="15" hidden="false" customHeight="false" outlineLevel="0" collapsed="false">
      <c r="B20" s="19" t="s">
        <v>33073</v>
      </c>
      <c r="C20" s="20" t="n">
        <f aca="false">ROUND(0.72/FX,2)</f>
        <v>0.1</v>
      </c>
      <c r="D20" s="21" t="s">
        <v>13732</v>
      </c>
      <c r="E20" s="21" t="s">
        <v>2651</v>
      </c>
      <c r="F20" s="21" t="s">
        <v>761</v>
      </c>
    </row>
    <row r="21" customFormat="false" ht="15" hidden="false" customHeight="false" outlineLevel="0" collapsed="false">
      <c r="B21" s="19" t="s">
        <v>33074</v>
      </c>
      <c r="C21" s="20" t="n">
        <f aca="false">ROUND(1.17/FX,2)</f>
        <v>0.16</v>
      </c>
      <c r="D21" s="21" t="s">
        <v>13732</v>
      </c>
      <c r="E21" s="21" t="s">
        <v>12736</v>
      </c>
      <c r="F21" s="21" t="s">
        <v>761</v>
      </c>
    </row>
    <row r="22" customFormat="false" ht="15" hidden="false" customHeight="false" outlineLevel="0" collapsed="false">
      <c r="B22" s="19" t="s">
        <v>33075</v>
      </c>
      <c r="C22" s="20" t="n">
        <f aca="false">ROUND(0.5/FX,2)</f>
        <v>0.07</v>
      </c>
      <c r="D22" s="21" t="s">
        <v>13732</v>
      </c>
      <c r="E22" s="21" t="s">
        <v>3061</v>
      </c>
      <c r="F22" s="21" t="s">
        <v>761</v>
      </c>
    </row>
    <row r="23" customFormat="false" ht="15" hidden="false" customHeight="false" outlineLevel="0" collapsed="false">
      <c r="B23" s="19" t="s">
        <v>33076</v>
      </c>
      <c r="C23" s="20" t="n">
        <f aca="false">ROUND(1.42/FX,2)</f>
        <v>0.2</v>
      </c>
      <c r="D23" s="21" t="s">
        <v>13732</v>
      </c>
      <c r="E23" s="21" t="s">
        <v>12096</v>
      </c>
      <c r="F23" s="21" t="s">
        <v>4721</v>
      </c>
    </row>
    <row r="24" customFormat="false" ht="15" hidden="false" customHeight="false" outlineLevel="0" collapsed="false">
      <c r="B24" s="19" t="s">
        <v>33077</v>
      </c>
      <c r="C24" s="20" t="n">
        <f aca="false">ROUND(2.47/FX,2)</f>
        <v>0.34</v>
      </c>
      <c r="D24" s="21" t="s">
        <v>13732</v>
      </c>
      <c r="E24" s="21" t="s">
        <v>12223</v>
      </c>
      <c r="F24" s="21" t="s">
        <v>4721</v>
      </c>
    </row>
    <row r="25" customFormat="false" ht="15" hidden="false" customHeight="false" outlineLevel="0" collapsed="false">
      <c r="B25" s="19" t="s">
        <v>33078</v>
      </c>
      <c r="C25" s="20" t="n">
        <f aca="false">ROUND(2.47/FX,2)</f>
        <v>0.34</v>
      </c>
      <c r="D25" s="21" t="s">
        <v>13732</v>
      </c>
      <c r="E25" s="21" t="s">
        <v>12736</v>
      </c>
      <c r="F25" s="21" t="s">
        <v>4721</v>
      </c>
    </row>
    <row r="26" customFormat="false" ht="15" hidden="false" customHeight="false" outlineLevel="0" collapsed="false">
      <c r="B26" s="19" t="s">
        <v>33079</v>
      </c>
      <c r="C26" s="20" t="n">
        <f aca="false">ROUND(2.7/FX,2)</f>
        <v>0.38</v>
      </c>
      <c r="D26" s="21" t="s">
        <v>13732</v>
      </c>
      <c r="E26" s="21" t="s">
        <v>3881</v>
      </c>
      <c r="F26" s="21" t="s">
        <v>4721</v>
      </c>
    </row>
    <row r="27" customFormat="false" ht="15" hidden="false" customHeight="false" outlineLevel="0" collapsed="false">
      <c r="B27" s="19" t="s">
        <v>33080</v>
      </c>
      <c r="C27" s="20" t="n">
        <f aca="false">ROUND(3.9/FX,2)</f>
        <v>0.54</v>
      </c>
      <c r="D27" s="21" t="s">
        <v>13732</v>
      </c>
      <c r="E27" s="21" t="s">
        <v>4776</v>
      </c>
      <c r="F27" s="21" t="s">
        <v>4721</v>
      </c>
    </row>
    <row r="28" customFormat="false" ht="15" hidden="false" customHeight="false" outlineLevel="0" collapsed="false">
      <c r="B28" s="19" t="s">
        <v>33081</v>
      </c>
      <c r="C28" s="20" t="n">
        <f aca="false">ROUND(1.3/FX,2)</f>
        <v>0.18</v>
      </c>
      <c r="D28" s="21" t="s">
        <v>13732</v>
      </c>
      <c r="E28" s="21" t="s">
        <v>11870</v>
      </c>
      <c r="F28" s="21" t="s">
        <v>4721</v>
      </c>
    </row>
    <row r="29" customFormat="false" ht="15" hidden="false" customHeight="false" outlineLevel="0" collapsed="false">
      <c r="B29" s="19" t="s">
        <v>33082</v>
      </c>
      <c r="C29" s="20" t="n">
        <f aca="false">ROUND(1.42/FX,2)</f>
        <v>0.2</v>
      </c>
      <c r="D29" s="21" t="s">
        <v>13732</v>
      </c>
      <c r="E29" s="21" t="s">
        <v>12096</v>
      </c>
      <c r="F29" s="21" t="s">
        <v>3833</v>
      </c>
    </row>
    <row r="30" customFormat="false" ht="15" hidden="false" customHeight="false" outlineLevel="0" collapsed="false">
      <c r="B30" s="19" t="s">
        <v>33083</v>
      </c>
      <c r="C30" s="20" t="n">
        <f aca="false">ROUND(2.47/FX,2)</f>
        <v>0.34</v>
      </c>
      <c r="D30" s="21" t="s">
        <v>13732</v>
      </c>
      <c r="E30" s="21" t="s">
        <v>12223</v>
      </c>
      <c r="F30" s="21" t="s">
        <v>3833</v>
      </c>
    </row>
    <row r="31" customFormat="false" ht="15" hidden="false" customHeight="false" outlineLevel="0" collapsed="false">
      <c r="B31" s="19" t="s">
        <v>33084</v>
      </c>
      <c r="C31" s="20" t="n">
        <f aca="false">ROUND(2.47/FX,2)</f>
        <v>0.34</v>
      </c>
      <c r="D31" s="21" t="s">
        <v>13732</v>
      </c>
      <c r="E31" s="21" t="s">
        <v>12736</v>
      </c>
      <c r="F31" s="21" t="s">
        <v>3833</v>
      </c>
    </row>
    <row r="32" customFormat="false" ht="15" hidden="false" customHeight="false" outlineLevel="0" collapsed="false">
      <c r="B32" s="19" t="s">
        <v>33085</v>
      </c>
      <c r="C32" s="20" t="n">
        <f aca="false">ROUND(2.7/FX,2)</f>
        <v>0.38</v>
      </c>
      <c r="D32" s="21" t="s">
        <v>13732</v>
      </c>
      <c r="E32" s="21" t="s">
        <v>3881</v>
      </c>
      <c r="F32" s="21" t="s">
        <v>3833</v>
      </c>
    </row>
    <row r="33" customFormat="false" ht="15" hidden="false" customHeight="false" outlineLevel="0" collapsed="false">
      <c r="B33" s="19" t="s">
        <v>33086</v>
      </c>
      <c r="C33" s="20" t="n">
        <f aca="false">ROUND(3.9/FX,2)</f>
        <v>0.54</v>
      </c>
      <c r="D33" s="21" t="s">
        <v>13732</v>
      </c>
      <c r="E33" s="21" t="s">
        <v>4776</v>
      </c>
      <c r="F33" s="21" t="s">
        <v>3833</v>
      </c>
    </row>
    <row r="34" customFormat="false" ht="15" hidden="false" customHeight="false" outlineLevel="0" collapsed="false">
      <c r="B34" s="19" t="s">
        <v>33087</v>
      </c>
      <c r="C34" s="20" t="n">
        <f aca="false">ROUND(1.3/FX,2)</f>
        <v>0.18</v>
      </c>
      <c r="D34" s="21" t="s">
        <v>13732</v>
      </c>
      <c r="E34" s="21" t="s">
        <v>11870</v>
      </c>
      <c r="F34" s="21" t="s">
        <v>3833</v>
      </c>
    </row>
    <row r="35" customFormat="false" ht="15" hidden="false" customHeight="false" outlineLevel="0" collapsed="false">
      <c r="B35" s="19" t="s">
        <v>33088</v>
      </c>
      <c r="C35" s="20" t="n">
        <f aca="false">ROUND(1.42/FX,2)</f>
        <v>0.2</v>
      </c>
      <c r="D35" s="21" t="s">
        <v>13732</v>
      </c>
      <c r="E35" s="21" t="s">
        <v>12096</v>
      </c>
      <c r="F35" s="21" t="s">
        <v>4000</v>
      </c>
    </row>
    <row r="36" customFormat="false" ht="15" hidden="false" customHeight="false" outlineLevel="0" collapsed="false">
      <c r="B36" s="19" t="s">
        <v>33089</v>
      </c>
      <c r="C36" s="20" t="n">
        <f aca="false">ROUND(2.47/FX,2)</f>
        <v>0.34</v>
      </c>
      <c r="D36" s="21" t="s">
        <v>13732</v>
      </c>
      <c r="E36" s="21" t="s">
        <v>12223</v>
      </c>
      <c r="F36" s="21" t="s">
        <v>4000</v>
      </c>
    </row>
    <row r="37" customFormat="false" ht="15" hidden="false" customHeight="false" outlineLevel="0" collapsed="false">
      <c r="B37" s="19" t="s">
        <v>33090</v>
      </c>
      <c r="C37" s="20" t="n">
        <f aca="false">ROUND(2.47/FX,2)</f>
        <v>0.34</v>
      </c>
      <c r="D37" s="21" t="s">
        <v>13732</v>
      </c>
      <c r="E37" s="21" t="s">
        <v>12736</v>
      </c>
      <c r="F37" s="21" t="s">
        <v>4000</v>
      </c>
    </row>
    <row r="38" customFormat="false" ht="15" hidden="false" customHeight="false" outlineLevel="0" collapsed="false">
      <c r="B38" s="19" t="s">
        <v>33091</v>
      </c>
      <c r="C38" s="20" t="n">
        <f aca="false">ROUND(2.7/FX,2)</f>
        <v>0.38</v>
      </c>
      <c r="D38" s="21" t="s">
        <v>13732</v>
      </c>
      <c r="E38" s="21" t="s">
        <v>3881</v>
      </c>
      <c r="F38" s="21" t="s">
        <v>4000</v>
      </c>
    </row>
    <row r="39" customFormat="false" ht="15" hidden="false" customHeight="false" outlineLevel="0" collapsed="false">
      <c r="B39" s="19" t="s">
        <v>33092</v>
      </c>
      <c r="C39" s="20" t="n">
        <f aca="false">ROUND(3.9/FX,2)</f>
        <v>0.54</v>
      </c>
      <c r="D39" s="21" t="s">
        <v>13732</v>
      </c>
      <c r="E39" s="21" t="s">
        <v>4776</v>
      </c>
      <c r="F39" s="21" t="s">
        <v>4000</v>
      </c>
    </row>
    <row r="40" customFormat="false" ht="15" hidden="false" customHeight="false" outlineLevel="0" collapsed="false">
      <c r="B40" s="19" t="s">
        <v>33093</v>
      </c>
      <c r="C40" s="20" t="n">
        <f aca="false">ROUND(1.3/FX,2)</f>
        <v>0.18</v>
      </c>
      <c r="D40" s="21" t="s">
        <v>13732</v>
      </c>
      <c r="E40" s="21" t="s">
        <v>11870</v>
      </c>
      <c r="F40" s="21" t="s">
        <v>4000</v>
      </c>
    </row>
    <row r="41" customFormat="false" ht="15" hidden="false" customHeight="false" outlineLevel="0" collapsed="false">
      <c r="B41" s="19" t="s">
        <v>33094</v>
      </c>
      <c r="C41" s="20" t="n">
        <f aca="false">ROUND(1.42/FX,2)</f>
        <v>0.2</v>
      </c>
      <c r="D41" s="21" t="s">
        <v>13732</v>
      </c>
      <c r="E41" s="21" t="s">
        <v>12096</v>
      </c>
      <c r="F41" s="21" t="s">
        <v>3247</v>
      </c>
    </row>
    <row r="42" customFormat="false" ht="15" hidden="false" customHeight="false" outlineLevel="0" collapsed="false">
      <c r="B42" s="19" t="s">
        <v>33095</v>
      </c>
      <c r="C42" s="20" t="n">
        <f aca="false">ROUND(2.47/FX,2)</f>
        <v>0.34</v>
      </c>
      <c r="D42" s="21" t="s">
        <v>13732</v>
      </c>
      <c r="E42" s="21" t="s">
        <v>12223</v>
      </c>
      <c r="F42" s="21" t="s">
        <v>3247</v>
      </c>
    </row>
    <row r="43" customFormat="false" ht="15" hidden="false" customHeight="false" outlineLevel="0" collapsed="false">
      <c r="B43" s="19" t="s">
        <v>33096</v>
      </c>
      <c r="C43" s="20" t="n">
        <f aca="false">ROUND(2.47/FX,2)</f>
        <v>0.34</v>
      </c>
      <c r="D43" s="21" t="s">
        <v>13732</v>
      </c>
      <c r="E43" s="21" t="s">
        <v>12736</v>
      </c>
      <c r="F43" s="21" t="s">
        <v>3247</v>
      </c>
    </row>
    <row r="44" customFormat="false" ht="15" hidden="false" customHeight="false" outlineLevel="0" collapsed="false">
      <c r="B44" s="19" t="s">
        <v>33097</v>
      </c>
      <c r="C44" s="20" t="n">
        <f aca="false">ROUND(2.7/FX,2)</f>
        <v>0.38</v>
      </c>
      <c r="D44" s="21" t="s">
        <v>13732</v>
      </c>
      <c r="E44" s="21" t="s">
        <v>3881</v>
      </c>
      <c r="F44" s="21" t="s">
        <v>3247</v>
      </c>
    </row>
    <row r="45" customFormat="false" ht="15" hidden="false" customHeight="false" outlineLevel="0" collapsed="false">
      <c r="B45" s="19" t="s">
        <v>33098</v>
      </c>
      <c r="C45" s="20" t="n">
        <f aca="false">ROUND(0.69/FX,2)</f>
        <v>0.1</v>
      </c>
      <c r="D45" s="21" t="s">
        <v>13732</v>
      </c>
      <c r="E45" s="21" t="s">
        <v>4776</v>
      </c>
      <c r="F45" s="21" t="s">
        <v>3247</v>
      </c>
    </row>
    <row r="46" customFormat="false" ht="15" hidden="false" customHeight="false" outlineLevel="0" collapsed="false">
      <c r="B46" s="19" t="s">
        <v>33099</v>
      </c>
      <c r="C46" s="20" t="n">
        <f aca="false">ROUND(1.3/FX,2)</f>
        <v>0.18</v>
      </c>
      <c r="D46" s="21" t="s">
        <v>13732</v>
      </c>
      <c r="E46" s="21" t="s">
        <v>11870</v>
      </c>
      <c r="F46" s="21" t="s">
        <v>3247</v>
      </c>
    </row>
    <row r="47" customFormat="false" ht="15" hidden="false" customHeight="false" outlineLevel="0" collapsed="false">
      <c r="B47" s="19" t="s">
        <v>33100</v>
      </c>
      <c r="C47" s="20" t="n">
        <f aca="false">ROUND(0.55/FX,2)</f>
        <v>0.08</v>
      </c>
      <c r="D47" s="21" t="s">
        <v>13732</v>
      </c>
      <c r="E47" s="21" t="s">
        <v>12096</v>
      </c>
      <c r="F47" s="21" t="s">
        <v>839</v>
      </c>
    </row>
    <row r="48" customFormat="false" ht="15" hidden="false" customHeight="false" outlineLevel="0" collapsed="false">
      <c r="B48" s="19" t="s">
        <v>33101</v>
      </c>
      <c r="C48" s="20" t="n">
        <f aca="false">ROUND(0.16/FX,2)</f>
        <v>0.02</v>
      </c>
      <c r="D48" s="21" t="s">
        <v>13732</v>
      </c>
      <c r="E48" s="21" t="s">
        <v>13817</v>
      </c>
      <c r="F48" s="21" t="s">
        <v>839</v>
      </c>
    </row>
    <row r="49" customFormat="false" ht="15" hidden="false" customHeight="false" outlineLevel="0" collapsed="false">
      <c r="B49" s="19" t="s">
        <v>33102</v>
      </c>
      <c r="C49" s="20" t="n">
        <f aca="false">ROUND(0.16/FX,2)</f>
        <v>0.02</v>
      </c>
      <c r="D49" s="21" t="s">
        <v>13732</v>
      </c>
      <c r="E49" s="21" t="s">
        <v>3011</v>
      </c>
      <c r="F49" s="21" t="s">
        <v>839</v>
      </c>
    </row>
    <row r="50" customFormat="false" ht="15" hidden="false" customHeight="false" outlineLevel="0" collapsed="false">
      <c r="B50" s="19" t="s">
        <v>33103</v>
      </c>
      <c r="C50" s="20" t="n">
        <f aca="false">ROUND(0.36/FX,2)</f>
        <v>0.05</v>
      </c>
      <c r="D50" s="21" t="s">
        <v>13732</v>
      </c>
      <c r="E50" s="21" t="s">
        <v>11870</v>
      </c>
      <c r="F50" s="21" t="s">
        <v>839</v>
      </c>
    </row>
    <row r="51" customFormat="false" ht="15" hidden="false" customHeight="false" outlineLevel="0" collapsed="false">
      <c r="B51" s="19" t="s">
        <v>33104</v>
      </c>
      <c r="C51" s="20" t="n">
        <f aca="false">ROUND(0.55/FX,2)</f>
        <v>0.08</v>
      </c>
      <c r="D51" s="21" t="s">
        <v>13732</v>
      </c>
      <c r="E51" s="21" t="s">
        <v>12096</v>
      </c>
      <c r="F51" s="21" t="s">
        <v>841</v>
      </c>
    </row>
    <row r="52" customFormat="false" ht="15" hidden="false" customHeight="false" outlineLevel="0" collapsed="false">
      <c r="B52" s="19" t="s">
        <v>33105</v>
      </c>
      <c r="C52" s="20" t="n">
        <f aca="false">ROUND(0.16/FX,2)</f>
        <v>0.02</v>
      </c>
      <c r="D52" s="21" t="s">
        <v>13732</v>
      </c>
      <c r="E52" s="21" t="s">
        <v>3011</v>
      </c>
      <c r="F52" s="21" t="s">
        <v>841</v>
      </c>
    </row>
    <row r="53" customFormat="false" ht="15" hidden="false" customHeight="false" outlineLevel="0" collapsed="false">
      <c r="B53" s="19" t="s">
        <v>33106</v>
      </c>
      <c r="C53" s="20" t="n">
        <f aca="false">ROUND(0.36/FX,2)</f>
        <v>0.05</v>
      </c>
      <c r="D53" s="21" t="s">
        <v>13732</v>
      </c>
      <c r="E53" s="21" t="s">
        <v>11870</v>
      </c>
      <c r="F53" s="21" t="s">
        <v>841</v>
      </c>
    </row>
    <row r="54" customFormat="false" ht="15" hidden="false" customHeight="false" outlineLevel="0" collapsed="false">
      <c r="B54" s="19" t="s">
        <v>33107</v>
      </c>
      <c r="C54" s="20" t="n">
        <f aca="false">ROUND(0.55/FX,2)</f>
        <v>0.08</v>
      </c>
      <c r="D54" s="21" t="s">
        <v>13732</v>
      </c>
      <c r="E54" s="21" t="s">
        <v>12096</v>
      </c>
      <c r="F54" s="21" t="s">
        <v>789</v>
      </c>
    </row>
    <row r="55" customFormat="false" ht="15" hidden="false" customHeight="false" outlineLevel="0" collapsed="false">
      <c r="B55" s="19" t="s">
        <v>33108</v>
      </c>
      <c r="C55" s="20" t="n">
        <f aca="false">ROUND(0.22/FX,2)</f>
        <v>0.03</v>
      </c>
      <c r="D55" s="21" t="s">
        <v>13732</v>
      </c>
      <c r="E55" s="21" t="s">
        <v>3011</v>
      </c>
      <c r="F55" s="21" t="s">
        <v>789</v>
      </c>
    </row>
    <row r="56" customFormat="false" ht="15" hidden="false" customHeight="false" outlineLevel="0" collapsed="false">
      <c r="B56" s="19" t="s">
        <v>33109</v>
      </c>
      <c r="C56" s="20" t="n">
        <f aca="false">ROUND(0.36/FX,2)</f>
        <v>0.05</v>
      </c>
      <c r="D56" s="21" t="s">
        <v>13732</v>
      </c>
      <c r="E56" s="21" t="s">
        <v>11870</v>
      </c>
      <c r="F56" s="21" t="s">
        <v>789</v>
      </c>
    </row>
    <row r="57" customFormat="false" ht="15" hidden="false" customHeight="false" outlineLevel="0" collapsed="false">
      <c r="B57" s="19" t="s">
        <v>33110</v>
      </c>
      <c r="C57" s="20" t="n">
        <f aca="false">ROUND(0.55/FX,2)</f>
        <v>0.08</v>
      </c>
      <c r="D57" s="21" t="s">
        <v>13732</v>
      </c>
      <c r="E57" s="21" t="s">
        <v>12096</v>
      </c>
      <c r="F57" s="21" t="s">
        <v>716</v>
      </c>
    </row>
    <row r="58" customFormat="false" ht="15" hidden="false" customHeight="false" outlineLevel="0" collapsed="false">
      <c r="B58" s="19" t="s">
        <v>33111</v>
      </c>
      <c r="C58" s="20" t="n">
        <f aca="false">ROUND(1.82/FX,2)</f>
        <v>0.25</v>
      </c>
      <c r="D58" s="21" t="s">
        <v>13739</v>
      </c>
      <c r="E58" s="21" t="s">
        <v>12736</v>
      </c>
      <c r="F58" s="21" t="s">
        <v>716</v>
      </c>
    </row>
    <row r="59" customFormat="false" ht="15" hidden="false" customHeight="false" outlineLevel="0" collapsed="false">
      <c r="B59" s="19" t="s">
        <v>33112</v>
      </c>
      <c r="C59" s="20" t="n">
        <f aca="false">ROUND(0.22/FX,2)</f>
        <v>0.03</v>
      </c>
      <c r="D59" s="21" t="s">
        <v>13732</v>
      </c>
      <c r="E59" s="21" t="s">
        <v>3011</v>
      </c>
      <c r="F59" s="21" t="s">
        <v>716</v>
      </c>
    </row>
    <row r="60" customFormat="false" ht="15" hidden="false" customHeight="false" outlineLevel="0" collapsed="false">
      <c r="B60" s="19" t="s">
        <v>33113</v>
      </c>
      <c r="C60" s="20" t="n">
        <f aca="false">ROUND(0.65/FX,2)</f>
        <v>0.09</v>
      </c>
      <c r="D60" s="21" t="s">
        <v>13732</v>
      </c>
      <c r="E60" s="21" t="s">
        <v>2600</v>
      </c>
      <c r="F60" s="21" t="s">
        <v>847</v>
      </c>
    </row>
    <row r="61" customFormat="false" ht="15" hidden="false" customHeight="false" outlineLevel="0" collapsed="false">
      <c r="B61" s="19" t="s">
        <v>33114</v>
      </c>
      <c r="C61" s="20" t="n">
        <f aca="false">ROUND(0.55/FX,2)</f>
        <v>0.08</v>
      </c>
      <c r="D61" s="21" t="s">
        <v>13732</v>
      </c>
      <c r="E61" s="21" t="s">
        <v>12096</v>
      </c>
      <c r="F61" s="21" t="s">
        <v>847</v>
      </c>
    </row>
    <row r="62" customFormat="false" ht="15" hidden="false" customHeight="false" outlineLevel="0" collapsed="false">
      <c r="B62" s="19" t="s">
        <v>33115</v>
      </c>
      <c r="C62" s="20" t="n">
        <f aca="false">ROUND(1.17/FX,2)</f>
        <v>0.16</v>
      </c>
      <c r="D62" s="21" t="s">
        <v>13732</v>
      </c>
      <c r="E62" s="21" t="s">
        <v>12736</v>
      </c>
      <c r="F62" s="21" t="s">
        <v>847</v>
      </c>
    </row>
    <row r="63" customFormat="false" ht="15" hidden="false" customHeight="false" outlineLevel="0" collapsed="false">
      <c r="B63" s="19" t="s">
        <v>33116</v>
      </c>
      <c r="C63" s="20" t="n">
        <f aca="false">ROUND(0.22/FX,2)</f>
        <v>0.03</v>
      </c>
      <c r="D63" s="21" t="s">
        <v>13732</v>
      </c>
      <c r="E63" s="21" t="s">
        <v>3011</v>
      </c>
      <c r="F63" s="21" t="s">
        <v>847</v>
      </c>
    </row>
    <row r="64" customFormat="false" ht="15" hidden="false" customHeight="false" outlineLevel="0" collapsed="false">
      <c r="B64" s="19" t="s">
        <v>33117</v>
      </c>
      <c r="C64" s="20" t="n">
        <f aca="false">ROUND(0.55/FX,2)</f>
        <v>0.08</v>
      </c>
      <c r="D64" s="21" t="s">
        <v>13732</v>
      </c>
      <c r="E64" s="21" t="s">
        <v>3061</v>
      </c>
      <c r="F64" s="21" t="s">
        <v>847</v>
      </c>
    </row>
    <row r="65" customFormat="false" ht="15" hidden="false" customHeight="false" outlineLevel="0" collapsed="false">
      <c r="B65" s="19" t="s">
        <v>33118</v>
      </c>
      <c r="C65" s="20" t="n">
        <f aca="false">ROUND(0.36/FX,2)</f>
        <v>0.05</v>
      </c>
      <c r="D65" s="21" t="s">
        <v>13732</v>
      </c>
      <c r="E65" s="21" t="s">
        <v>11870</v>
      </c>
      <c r="F65" s="21" t="s">
        <v>847</v>
      </c>
    </row>
    <row r="68" customFormat="false" ht="61.5" hidden="false" customHeight="true" outlineLevel="0" collapsed="false">
      <c r="A68" s="9"/>
      <c r="B68" s="10" t="s">
        <v>692</v>
      </c>
      <c r="C68" s="10"/>
      <c r="D68" s="10"/>
      <c r="E68" s="10"/>
    </row>
    <row r="69" customFormat="false" ht="15" hidden="false" customHeight="false" outlineLevel="0" collapsed="false">
      <c r="A69" s="12" t="s">
        <v>700</v>
      </c>
      <c r="B69" s="13" t="s">
        <v>701</v>
      </c>
      <c r="C69" s="13" t="s">
        <v>702</v>
      </c>
      <c r="D69" s="13" t="s">
        <v>723</v>
      </c>
      <c r="E69" s="13" t="s">
        <v>33119</v>
      </c>
    </row>
    <row r="70" customFormat="false" ht="30" hidden="false" customHeight="true" outlineLevel="0" collapsed="false">
      <c r="A70" s="14" t="s">
        <v>706</v>
      </c>
      <c r="B70" s="15" t="str">
        <f aca="false">IF(COUNTIFS($D$73:$D$81,IF(D70="","*",D70),$E$73:$E$81,IF(E70="","*",E70))=1,INDEX($B:$B,SUMPRODUCT(((D70="")+($D$73:$D$81=D70)&gt;0)*((E70="")+($E$73:$E$81=E70)&gt;0)*ROW($B$73:$B$81))),IF(COUNTIFS($D$73:$D$81,IF(D70="","*",D70),$E$73:$E$81,IF(E70="","*",E70))=0,"Not available",COUNTIFS($D$73:$D$81,IF(D70="","*",D70),$E$73:$E$81,IF(E70="","*",E70))&amp;" match, keep choosing"))</f>
        <v>BOX10-BL-BB</v>
      </c>
      <c r="C70" s="16" t="n">
        <f aca="false">IF(COUNTIFS($D$73:$D$81,IF(D70="","*",D70),$E$73:$E$81,IF(E70="","*",E70))=1,INDEX($C:$C,SUMPRODUCT(((D70="")+($D$73:$D$81=D70)&gt;0)*((E70="")+($E$73:$E$81=E70)&gt;0)*ROW($B$73:$B$81))),"")</f>
        <v>0.1</v>
      </c>
      <c r="D70" s="17" t="s">
        <v>33120</v>
      </c>
      <c r="E70" s="17" t="s">
        <v>33121</v>
      </c>
    </row>
    <row r="72" customFormat="false" ht="15" hidden="false" customHeight="false" outlineLevel="0" collapsed="false">
      <c r="B72" s="18" t="s">
        <v>701</v>
      </c>
      <c r="C72" s="18" t="s">
        <v>702</v>
      </c>
      <c r="D72" s="18" t="s">
        <v>723</v>
      </c>
      <c r="E72" s="18" t="s">
        <v>33119</v>
      </c>
    </row>
    <row r="73" customFormat="false" ht="15" hidden="false" customHeight="false" outlineLevel="0" collapsed="false">
      <c r="B73" s="19" t="s">
        <v>33122</v>
      </c>
      <c r="C73" s="20" t="n">
        <f aca="false">ROUND(0.69/FX,2)</f>
        <v>0.1</v>
      </c>
      <c r="D73" s="21" t="s">
        <v>33120</v>
      </c>
      <c r="E73" s="21" t="s">
        <v>33121</v>
      </c>
    </row>
    <row r="74" customFormat="false" ht="28.35" hidden="false" customHeight="false" outlineLevel="0" collapsed="false">
      <c r="B74" s="19" t="s">
        <v>33123</v>
      </c>
      <c r="C74" s="20" t="n">
        <f aca="false">ROUND(0.69/FX,2)</f>
        <v>0.1</v>
      </c>
      <c r="D74" s="21" t="s">
        <v>33124</v>
      </c>
      <c r="E74" s="21" t="s">
        <v>33121</v>
      </c>
    </row>
    <row r="75" customFormat="false" ht="15" hidden="false" customHeight="false" outlineLevel="0" collapsed="false">
      <c r="B75" s="19" t="s">
        <v>33125</v>
      </c>
      <c r="C75" s="20" t="n">
        <f aca="false">ROUND(0.69/FX,2)</f>
        <v>0.1</v>
      </c>
      <c r="D75" s="21" t="s">
        <v>33126</v>
      </c>
      <c r="E75" s="21" t="s">
        <v>33121</v>
      </c>
    </row>
    <row r="76" customFormat="false" ht="28.35" hidden="false" customHeight="false" outlineLevel="0" collapsed="false">
      <c r="B76" s="19" t="s">
        <v>33127</v>
      </c>
      <c r="C76" s="20" t="n">
        <f aca="false">ROUND(0.69/FX,2)</f>
        <v>0.1</v>
      </c>
      <c r="D76" s="21" t="s">
        <v>33128</v>
      </c>
      <c r="E76" s="21" t="s">
        <v>33121</v>
      </c>
    </row>
    <row r="77" customFormat="false" ht="15" hidden="false" customHeight="false" outlineLevel="0" collapsed="false">
      <c r="B77" s="19" t="s">
        <v>33129</v>
      </c>
      <c r="C77" s="20" t="n">
        <f aca="false">ROUND(0.69/FX,2)</f>
        <v>0.1</v>
      </c>
      <c r="D77" s="21" t="s">
        <v>33130</v>
      </c>
      <c r="E77" s="21" t="s">
        <v>33121</v>
      </c>
    </row>
    <row r="78" customFormat="false" ht="15" hidden="false" customHeight="false" outlineLevel="0" collapsed="false">
      <c r="B78" s="19" t="s">
        <v>33131</v>
      </c>
      <c r="C78" s="20" t="n">
        <f aca="false">ROUND(0.69/FX,2)</f>
        <v>0.1</v>
      </c>
      <c r="D78" s="21" t="s">
        <v>33132</v>
      </c>
      <c r="E78" s="21" t="s">
        <v>33121</v>
      </c>
    </row>
    <row r="79" customFormat="false" ht="15" hidden="false" customHeight="false" outlineLevel="0" collapsed="false">
      <c r="B79" s="19" t="s">
        <v>33133</v>
      </c>
      <c r="C79" s="20" t="n">
        <f aca="false">ROUND(1.32/FX,2)</f>
        <v>0.18</v>
      </c>
      <c r="D79" s="21" t="s">
        <v>33130</v>
      </c>
      <c r="E79" s="21" t="s">
        <v>33134</v>
      </c>
    </row>
    <row r="80" customFormat="false" ht="15" hidden="false" customHeight="false" outlineLevel="0" collapsed="false">
      <c r="B80" s="19" t="s">
        <v>33135</v>
      </c>
      <c r="C80" s="20" t="n">
        <f aca="false">ROUND(2.91/FX,2)</f>
        <v>0.4</v>
      </c>
      <c r="D80" s="21" t="s">
        <v>33136</v>
      </c>
      <c r="E80" s="21" t="s">
        <v>33137</v>
      </c>
    </row>
    <row r="81" customFormat="false" ht="28.35" hidden="false" customHeight="false" outlineLevel="0" collapsed="false">
      <c r="B81" s="19" t="s">
        <v>33138</v>
      </c>
      <c r="C81" s="20" t="n">
        <f aca="false">ROUND(2.77/FX,2)</f>
        <v>0.38</v>
      </c>
      <c r="D81" s="21" t="s">
        <v>33139</v>
      </c>
      <c r="E81" s="21" t="s">
        <v>33140</v>
      </c>
    </row>
    <row r="84" customFormat="false" ht="61.5" hidden="false" customHeight="true" outlineLevel="0" collapsed="false">
      <c r="A84" s="9"/>
      <c r="B84" s="10" t="s">
        <v>693</v>
      </c>
      <c r="C84" s="10"/>
      <c r="D84" s="10"/>
    </row>
    <row r="85" customFormat="false" ht="15" hidden="false" customHeight="false" outlineLevel="0" collapsed="false">
      <c r="B85" s="18" t="s">
        <v>701</v>
      </c>
      <c r="C85" s="18" t="s">
        <v>702</v>
      </c>
      <c r="D85" s="18" t="s">
        <v>5610</v>
      </c>
    </row>
    <row r="86" customFormat="false" ht="15" hidden="false" customHeight="false" outlineLevel="0" collapsed="false">
      <c r="B86" s="19" t="s">
        <v>33141</v>
      </c>
      <c r="C86" s="20" t="n">
        <f aca="false">ROUND(3.94/FX,2)</f>
        <v>0.55</v>
      </c>
      <c r="D86" s="22" t="s">
        <v>5612</v>
      </c>
    </row>
  </sheetData>
  <mergeCells count="4">
    <mergeCell ref="B1:D1"/>
    <mergeCell ref="B10:F10"/>
    <mergeCell ref="B68:E68"/>
    <mergeCell ref="B84:D84"/>
  </mergeCells>
  <dataValidations count="6">
    <dataValidation allowBlank="true" error="Please choose from the list" errorStyle="stop" errorTitle="▶ Quick quote" operator="between" showDropDown="false" showErrorMessage="false" showInputMessage="false" sqref="D3" type="list">
      <formula1>_lists!$ASW$1:$ASW$2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12" type="list">
      <formula1>_lists!$ASX$1:$ASX$2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12" type="list">
      <formula1>_lists!$ASY$1:$ASY$11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F12" type="list">
      <formula1>_lists!$ASZ$1:$ASZ$11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D70" type="list">
      <formula1>_lists!$ATA$1:$ATA$8</formula1>
      <formula2>0</formula2>
    </dataValidation>
    <dataValidation allowBlank="true" error="Please choose from the list" errorStyle="stop" errorTitle="▶ Quick quote" operator="between" showDropDown="false" showErrorMessage="false" showInputMessage="false" sqref="E70" type="list">
      <formula1>_lists!$ATB$1:$ATB$4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7"/>
  </cols>
  <sheetData>
    <row r="1" customFormat="false" ht="61.5" hidden="false" customHeight="true" outlineLevel="0" collapsed="false">
      <c r="A1" s="9"/>
      <c r="B1" s="10" t="s">
        <v>695</v>
      </c>
      <c r="C1" s="10"/>
      <c r="D1" s="10"/>
    </row>
    <row r="2" customFormat="false" ht="15" hidden="false" customHeight="true" outlineLevel="0" collapsed="false">
      <c r="B2" s="11" t="s">
        <v>33142</v>
      </c>
      <c r="C2" s="11"/>
      <c r="D2" s="11"/>
    </row>
    <row r="3" customFormat="false" ht="15" hidden="false" customHeight="false" outlineLevel="0" collapsed="false">
      <c r="B3" s="18" t="s">
        <v>701</v>
      </c>
      <c r="C3" s="18" t="s">
        <v>702</v>
      </c>
      <c r="D3" s="18" t="s">
        <v>5610</v>
      </c>
    </row>
    <row r="4" customFormat="false" ht="15" hidden="false" customHeight="false" outlineLevel="0" collapsed="false">
      <c r="B4" s="19" t="s">
        <v>33143</v>
      </c>
      <c r="C4" s="20" t="n">
        <f aca="false">ROUND(0.1/FX,2)</f>
        <v>0.01</v>
      </c>
      <c r="D4" s="22" t="s">
        <v>5612</v>
      </c>
    </row>
    <row r="7" customFormat="false" ht="61.5" hidden="false" customHeight="true" outlineLevel="0" collapsed="false">
      <c r="A7" s="9"/>
      <c r="B7" s="10" t="s">
        <v>33144</v>
      </c>
      <c r="C7" s="10"/>
      <c r="D7" s="10"/>
    </row>
    <row r="8" customFormat="false" ht="15" hidden="false" customHeight="false" outlineLevel="0" collapsed="false">
      <c r="B8" s="18" t="s">
        <v>701</v>
      </c>
      <c r="C8" s="18" t="s">
        <v>702</v>
      </c>
      <c r="D8" s="18" t="s">
        <v>5610</v>
      </c>
    </row>
    <row r="9" customFormat="false" ht="15" hidden="false" customHeight="false" outlineLevel="0" collapsed="false">
      <c r="B9" s="19" t="s">
        <v>33145</v>
      </c>
      <c r="C9" s="20" t="n">
        <f aca="false">ROUND(0/FX,2)</f>
        <v>0</v>
      </c>
      <c r="D9" s="22" t="s">
        <v>5612</v>
      </c>
    </row>
  </sheetData>
  <mergeCells count="3">
    <mergeCell ref="B1:D1"/>
    <mergeCell ref="B2:D2"/>
    <mergeCell ref="B7:D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TB2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sheetData>
    <row r="1" customFormat="false" ht="15" hidden="false" customHeight="false" outlineLevel="0" collapsed="false">
      <c r="A1" s="0" t="s">
        <v>716</v>
      </c>
      <c r="B1" s="0" t="s">
        <v>712</v>
      </c>
      <c r="C1" s="0" t="s">
        <v>709</v>
      </c>
      <c r="D1" s="0" t="s">
        <v>789</v>
      </c>
      <c r="E1" s="0" t="s">
        <v>724</v>
      </c>
      <c r="F1" s="0" t="s">
        <v>712</v>
      </c>
      <c r="G1" s="0" t="s">
        <v>709</v>
      </c>
      <c r="H1" s="0" t="s">
        <v>734</v>
      </c>
      <c r="I1" s="0" t="s">
        <v>832</v>
      </c>
      <c r="J1" s="0" t="s">
        <v>837</v>
      </c>
      <c r="K1" s="0" t="s">
        <v>724</v>
      </c>
      <c r="L1" s="0" t="s">
        <v>1696</v>
      </c>
      <c r="M1" s="0" t="s">
        <v>1972</v>
      </c>
      <c r="N1" s="0" t="s">
        <v>841</v>
      </c>
      <c r="O1" s="0" t="s">
        <v>724</v>
      </c>
      <c r="P1" s="0" t="s">
        <v>1696</v>
      </c>
      <c r="Q1" s="0" t="s">
        <v>2911</v>
      </c>
      <c r="R1" s="0" t="s">
        <v>837</v>
      </c>
      <c r="S1" s="0" t="s">
        <v>724</v>
      </c>
      <c r="T1" s="0" t="s">
        <v>1696</v>
      </c>
      <c r="U1" s="0" t="s">
        <v>1224</v>
      </c>
      <c r="V1" s="0" t="s">
        <v>716</v>
      </c>
      <c r="W1" s="0" t="s">
        <v>3193</v>
      </c>
      <c r="X1" s="0" t="s">
        <v>716</v>
      </c>
      <c r="Y1" s="0" t="s">
        <v>709</v>
      </c>
      <c r="Z1" s="0" t="s">
        <v>3236</v>
      </c>
      <c r="AA1" s="0" t="s">
        <v>716</v>
      </c>
      <c r="AB1" s="0" t="s">
        <v>3244</v>
      </c>
      <c r="AC1" s="0" t="s">
        <v>3247</v>
      </c>
      <c r="AD1" s="0" t="s">
        <v>724</v>
      </c>
      <c r="AE1" s="0" t="s">
        <v>725</v>
      </c>
      <c r="AF1" s="0" t="s">
        <v>709</v>
      </c>
      <c r="AG1" s="0" t="s">
        <v>734</v>
      </c>
      <c r="AH1" s="0" t="s">
        <v>2227</v>
      </c>
      <c r="AI1" s="0" t="s">
        <v>3247</v>
      </c>
      <c r="AJ1" s="0" t="s">
        <v>3266</v>
      </c>
      <c r="AK1" s="0" t="s">
        <v>789</v>
      </c>
      <c r="AL1" s="0" t="s">
        <v>724</v>
      </c>
      <c r="AM1" s="0" t="s">
        <v>712</v>
      </c>
      <c r="AN1" s="0" t="s">
        <v>709</v>
      </c>
      <c r="AO1" s="0" t="s">
        <v>734</v>
      </c>
      <c r="AP1" s="0" t="s">
        <v>1997</v>
      </c>
      <c r="AQ1" s="0" t="s">
        <v>841</v>
      </c>
      <c r="AR1" s="0" t="s">
        <v>3814</v>
      </c>
      <c r="AS1" s="0" t="s">
        <v>2961</v>
      </c>
      <c r="AT1" s="0" t="s">
        <v>716</v>
      </c>
      <c r="AU1" s="0" t="s">
        <v>3814</v>
      </c>
      <c r="AV1" s="0" t="s">
        <v>2385</v>
      </c>
      <c r="AW1" s="0" t="s">
        <v>716</v>
      </c>
      <c r="AX1" s="0" t="s">
        <v>3814</v>
      </c>
      <c r="AY1" s="0" t="s">
        <v>707</v>
      </c>
      <c r="AZ1" s="0" t="s">
        <v>724</v>
      </c>
      <c r="BA1" s="0" t="s">
        <v>712</v>
      </c>
      <c r="BB1" s="0" t="s">
        <v>709</v>
      </c>
      <c r="BC1" s="0" t="s">
        <v>734</v>
      </c>
      <c r="BD1" s="0" t="s">
        <v>2851</v>
      </c>
      <c r="BE1" s="0" t="s">
        <v>716</v>
      </c>
      <c r="BF1" s="0" t="s">
        <v>5084</v>
      </c>
      <c r="BG1" s="0" t="s">
        <v>2002</v>
      </c>
      <c r="BH1" s="0" t="s">
        <v>716</v>
      </c>
      <c r="BI1" s="0" t="s">
        <v>5084</v>
      </c>
      <c r="BJ1" s="0" t="s">
        <v>2351</v>
      </c>
      <c r="BK1" s="0" t="s">
        <v>714</v>
      </c>
      <c r="BL1" s="0" t="s">
        <v>3244</v>
      </c>
      <c r="BM1" s="0" t="s">
        <v>716</v>
      </c>
      <c r="BN1" s="0" t="s">
        <v>725</v>
      </c>
      <c r="BO1" s="0" t="s">
        <v>5636</v>
      </c>
      <c r="BP1" s="0" t="s">
        <v>716</v>
      </c>
      <c r="BQ1" s="0" t="s">
        <v>724</v>
      </c>
      <c r="BR1" s="0" t="s">
        <v>725</v>
      </c>
      <c r="BS1" s="0" t="s">
        <v>709</v>
      </c>
      <c r="BT1" s="0" t="s">
        <v>841</v>
      </c>
      <c r="BU1" s="0" t="s">
        <v>709</v>
      </c>
      <c r="BV1" s="0" t="s">
        <v>839</v>
      </c>
      <c r="BW1" s="0" t="s">
        <v>5955</v>
      </c>
      <c r="BX1" s="0" t="s">
        <v>2611</v>
      </c>
      <c r="BY1" s="0" t="s">
        <v>716</v>
      </c>
      <c r="BZ1" s="0" t="s">
        <v>725</v>
      </c>
      <c r="CA1" s="0" t="s">
        <v>6166</v>
      </c>
      <c r="CB1" s="0" t="s">
        <v>789</v>
      </c>
      <c r="CC1" s="0" t="s">
        <v>724</v>
      </c>
      <c r="CD1" s="0" t="s">
        <v>725</v>
      </c>
      <c r="CE1" s="0" t="s">
        <v>6166</v>
      </c>
      <c r="CF1" s="0" t="s">
        <v>709</v>
      </c>
      <c r="CG1" s="0" t="s">
        <v>2901</v>
      </c>
      <c r="CH1" s="0" t="s">
        <v>841</v>
      </c>
      <c r="CI1" s="0" t="s">
        <v>725</v>
      </c>
      <c r="CJ1" s="0" t="s">
        <v>6235</v>
      </c>
      <c r="CK1" s="0" t="s">
        <v>841</v>
      </c>
      <c r="CL1" s="0" t="s">
        <v>724</v>
      </c>
      <c r="CM1" s="0" t="s">
        <v>725</v>
      </c>
      <c r="CN1" s="0" t="s">
        <v>6261</v>
      </c>
      <c r="CO1" s="0" t="s">
        <v>709</v>
      </c>
      <c r="CP1" s="0" t="s">
        <v>724</v>
      </c>
      <c r="CQ1" s="0" t="s">
        <v>6334</v>
      </c>
      <c r="CR1" s="0" t="s">
        <v>6337</v>
      </c>
      <c r="CS1" s="0" t="s">
        <v>839</v>
      </c>
      <c r="CT1" s="0" t="s">
        <v>6341</v>
      </c>
      <c r="CU1" s="0" t="s">
        <v>6348</v>
      </c>
      <c r="CV1" s="0" t="s">
        <v>6369</v>
      </c>
      <c r="CW1" s="0" t="s">
        <v>709</v>
      </c>
      <c r="CX1" s="0" t="s">
        <v>6363</v>
      </c>
      <c r="CY1" s="0" t="s">
        <v>6359</v>
      </c>
      <c r="CZ1" s="0" t="s">
        <v>3881</v>
      </c>
      <c r="DA1" s="0" t="s">
        <v>6369</v>
      </c>
      <c r="DB1" s="0" t="s">
        <v>6363</v>
      </c>
      <c r="DC1" s="0" t="s">
        <v>841</v>
      </c>
      <c r="DD1" s="0" t="s">
        <v>6437</v>
      </c>
      <c r="DE1" s="0" t="s">
        <v>6535</v>
      </c>
      <c r="DF1" s="0" t="s">
        <v>6525</v>
      </c>
      <c r="DG1" s="0" t="s">
        <v>6540</v>
      </c>
      <c r="DH1" s="0" t="s">
        <v>724</v>
      </c>
      <c r="DI1" s="0" t="s">
        <v>6550</v>
      </c>
      <c r="DJ1" s="0" t="s">
        <v>6544</v>
      </c>
      <c r="DK1" s="0" t="s">
        <v>724</v>
      </c>
      <c r="DL1" s="0" t="s">
        <v>6567</v>
      </c>
      <c r="DM1" s="0" t="s">
        <v>6568</v>
      </c>
      <c r="DN1" s="0" t="s">
        <v>6571</v>
      </c>
      <c r="DO1" s="0" t="s">
        <v>6645</v>
      </c>
      <c r="DP1" s="0" t="s">
        <v>6675</v>
      </c>
      <c r="DQ1" s="0" t="s">
        <v>6688</v>
      </c>
      <c r="DR1" s="0" t="s">
        <v>841</v>
      </c>
      <c r="DS1" s="0" t="s">
        <v>6798</v>
      </c>
      <c r="DT1" s="0" t="s">
        <v>6862</v>
      </c>
      <c r="DU1" s="0" t="s">
        <v>6699</v>
      </c>
      <c r="DV1" s="0" t="s">
        <v>761</v>
      </c>
      <c r="DW1" s="0" t="s">
        <v>839</v>
      </c>
      <c r="DX1" s="0" t="s">
        <v>716</v>
      </c>
      <c r="DY1" s="0" t="s">
        <v>6712</v>
      </c>
      <c r="DZ1" s="0" t="s">
        <v>6699</v>
      </c>
      <c r="EA1" s="0" t="s">
        <v>3247</v>
      </c>
      <c r="EB1" s="0" t="s">
        <v>841</v>
      </c>
      <c r="EC1" s="0" t="s">
        <v>716</v>
      </c>
      <c r="ED1" s="0" t="s">
        <v>734</v>
      </c>
      <c r="EE1" s="0" t="s">
        <v>6712</v>
      </c>
      <c r="EF1" s="0" t="s">
        <v>6699</v>
      </c>
      <c r="EG1" s="0" t="s">
        <v>761</v>
      </c>
      <c r="EH1" s="0" t="s">
        <v>841</v>
      </c>
      <c r="EI1" s="0" t="s">
        <v>716</v>
      </c>
      <c r="EJ1" s="0" t="s">
        <v>734</v>
      </c>
      <c r="EK1" s="0" t="s">
        <v>6862</v>
      </c>
      <c r="EL1" s="0" t="s">
        <v>6699</v>
      </c>
      <c r="EM1" s="0" t="s">
        <v>707</v>
      </c>
      <c r="EN1" s="0" t="s">
        <v>789</v>
      </c>
      <c r="EO1" s="0" t="s">
        <v>716</v>
      </c>
      <c r="EP1" s="0" t="s">
        <v>6697</v>
      </c>
      <c r="EQ1" s="0" t="s">
        <v>6712</v>
      </c>
      <c r="ER1" s="0" t="s">
        <v>6699</v>
      </c>
      <c r="ES1" s="0" t="s">
        <v>4721</v>
      </c>
      <c r="ET1" s="0" t="s">
        <v>841</v>
      </c>
      <c r="EU1" s="0" t="s">
        <v>707</v>
      </c>
      <c r="EV1" s="0" t="s">
        <v>7673</v>
      </c>
      <c r="EW1" s="0" t="s">
        <v>6712</v>
      </c>
      <c r="EX1" s="0" t="s">
        <v>6758</v>
      </c>
      <c r="EY1" s="0" t="s">
        <v>714</v>
      </c>
      <c r="EZ1" s="0" t="s">
        <v>841</v>
      </c>
      <c r="FA1" s="0" t="s">
        <v>716</v>
      </c>
      <c r="FB1" s="0" t="s">
        <v>6712</v>
      </c>
      <c r="FC1" s="0" t="s">
        <v>7067</v>
      </c>
      <c r="FD1" s="0" t="s">
        <v>714</v>
      </c>
      <c r="FE1" s="0" t="s">
        <v>789</v>
      </c>
      <c r="FF1" s="0" t="s">
        <v>716</v>
      </c>
      <c r="FG1" s="0" t="s">
        <v>6699</v>
      </c>
      <c r="FH1" s="0" t="s">
        <v>707</v>
      </c>
      <c r="FI1" s="0" t="s">
        <v>789</v>
      </c>
      <c r="FJ1" s="0" t="s">
        <v>7727</v>
      </c>
      <c r="FK1" s="0" t="s">
        <v>789</v>
      </c>
      <c r="FL1" s="0" t="s">
        <v>7732</v>
      </c>
      <c r="FM1" s="0" t="s">
        <v>7761</v>
      </c>
      <c r="FN1" s="0" t="s">
        <v>7752</v>
      </c>
      <c r="FO1" s="0" t="s">
        <v>716</v>
      </c>
      <c r="FP1" s="0" t="s">
        <v>7770</v>
      </c>
      <c r="FQ1" s="0" t="s">
        <v>7766</v>
      </c>
      <c r="FR1" s="0" t="s">
        <v>6244</v>
      </c>
      <c r="FS1" s="0" t="s">
        <v>7767</v>
      </c>
      <c r="FT1" s="0" t="s">
        <v>714</v>
      </c>
      <c r="FU1" s="0" t="s">
        <v>7815</v>
      </c>
      <c r="FV1" s="0" t="s">
        <v>724</v>
      </c>
      <c r="FW1" s="0" t="s">
        <v>8027</v>
      </c>
      <c r="FX1" s="0" t="s">
        <v>7823</v>
      </c>
      <c r="FY1" s="0" t="s">
        <v>7824</v>
      </c>
      <c r="FZ1" s="0" t="s">
        <v>724</v>
      </c>
      <c r="GA1" s="0" t="s">
        <v>8669</v>
      </c>
      <c r="GB1" s="0" t="s">
        <v>734</v>
      </c>
      <c r="GC1" s="0" t="s">
        <v>7902</v>
      </c>
      <c r="GD1" s="0" t="s">
        <v>8173</v>
      </c>
      <c r="GE1" s="0" t="s">
        <v>7916</v>
      </c>
      <c r="GF1" s="0" t="s">
        <v>724</v>
      </c>
      <c r="GG1" s="0" t="s">
        <v>7902</v>
      </c>
      <c r="GH1" s="0" t="s">
        <v>8173</v>
      </c>
      <c r="GI1" s="0" t="s">
        <v>7916</v>
      </c>
      <c r="GJ1" s="0" t="s">
        <v>6698</v>
      </c>
      <c r="GK1" s="0" t="s">
        <v>734</v>
      </c>
      <c r="GL1" s="0" t="s">
        <v>9823</v>
      </c>
      <c r="GM1" s="0" t="s">
        <v>8173</v>
      </c>
      <c r="GN1" s="0" t="s">
        <v>7916</v>
      </c>
      <c r="GO1" s="0" t="s">
        <v>724</v>
      </c>
      <c r="GP1" s="0" t="s">
        <v>10088</v>
      </c>
      <c r="GQ1" s="0" t="s">
        <v>724</v>
      </c>
      <c r="GR1" s="0" t="s">
        <v>10100</v>
      </c>
      <c r="GS1" s="0" t="s">
        <v>10101</v>
      </c>
      <c r="GT1" s="0" t="s">
        <v>7916</v>
      </c>
      <c r="GU1" s="0" t="s">
        <v>724</v>
      </c>
      <c r="GV1" s="0" t="s">
        <v>10100</v>
      </c>
      <c r="GW1" s="0" t="s">
        <v>10175</v>
      </c>
      <c r="GX1" s="0" t="s">
        <v>7824</v>
      </c>
      <c r="GY1" s="0" t="s">
        <v>724</v>
      </c>
      <c r="GZ1" s="0" t="s">
        <v>10204</v>
      </c>
      <c r="HA1" s="0" t="s">
        <v>10287</v>
      </c>
      <c r="HB1" s="0" t="s">
        <v>10206</v>
      </c>
      <c r="HC1" s="0" t="s">
        <v>7824</v>
      </c>
      <c r="HD1" s="0" t="s">
        <v>7941</v>
      </c>
      <c r="HE1" s="0" t="s">
        <v>10834</v>
      </c>
      <c r="HF1" s="0" t="s">
        <v>7833</v>
      </c>
      <c r="HG1" s="0" t="s">
        <v>724</v>
      </c>
      <c r="HH1" s="0" t="s">
        <v>7823</v>
      </c>
      <c r="HI1" s="0" t="s">
        <v>7824</v>
      </c>
      <c r="HJ1" s="0" t="s">
        <v>724</v>
      </c>
      <c r="HK1" s="0" t="s">
        <v>11263</v>
      </c>
      <c r="HL1" s="0" t="s">
        <v>10288</v>
      </c>
      <c r="HM1" s="0" t="s">
        <v>7824</v>
      </c>
      <c r="HN1" s="0" t="s">
        <v>11380</v>
      </c>
      <c r="HO1" s="0" t="s">
        <v>837</v>
      </c>
      <c r="HP1" s="0" t="s">
        <v>724</v>
      </c>
      <c r="HQ1" s="0" t="s">
        <v>11496</v>
      </c>
      <c r="HR1" s="0" t="s">
        <v>7874</v>
      </c>
      <c r="HS1" s="0" t="s">
        <v>7829</v>
      </c>
      <c r="HT1" s="0" t="s">
        <v>11591</v>
      </c>
      <c r="HU1" s="0" t="s">
        <v>837</v>
      </c>
      <c r="HV1" s="0" t="s">
        <v>10287</v>
      </c>
      <c r="HW1" s="0" t="s">
        <v>11659</v>
      </c>
      <c r="HX1" s="0" t="s">
        <v>7824</v>
      </c>
      <c r="HY1" s="0" t="s">
        <v>11927</v>
      </c>
      <c r="HZ1" s="0" t="s">
        <v>784</v>
      </c>
      <c r="IA1" s="0" t="s">
        <v>11928</v>
      </c>
      <c r="IB1" s="0" t="s">
        <v>11810</v>
      </c>
      <c r="IC1" s="0" t="s">
        <v>11927</v>
      </c>
      <c r="ID1" s="0" t="s">
        <v>2941</v>
      </c>
      <c r="IE1" s="0" t="s">
        <v>12644</v>
      </c>
      <c r="IF1" s="0" t="s">
        <v>11810</v>
      </c>
      <c r="IG1" s="0" t="s">
        <v>12528</v>
      </c>
      <c r="IH1" s="0" t="s">
        <v>11927</v>
      </c>
      <c r="II1" s="0" t="s">
        <v>7941</v>
      </c>
      <c r="IJ1" s="0" t="s">
        <v>12927</v>
      </c>
      <c r="IK1" s="0" t="s">
        <v>6336</v>
      </c>
      <c r="IL1" s="0" t="s">
        <v>11810</v>
      </c>
      <c r="IM1" s="0" t="s">
        <v>12850</v>
      </c>
      <c r="IN1" s="0" t="s">
        <v>11956</v>
      </c>
      <c r="IO1" s="0" t="s">
        <v>7941</v>
      </c>
      <c r="IP1" s="0" t="s">
        <v>12979</v>
      </c>
      <c r="IQ1" s="0" t="s">
        <v>11957</v>
      </c>
      <c r="IR1" s="0" t="s">
        <v>11810</v>
      </c>
      <c r="IS1" s="0" t="s">
        <v>12850</v>
      </c>
      <c r="IT1" s="0" t="s">
        <v>6336</v>
      </c>
      <c r="IU1" s="0" t="s">
        <v>13156</v>
      </c>
      <c r="IV1" s="0" t="s">
        <v>13164</v>
      </c>
      <c r="IW1" s="0" t="s">
        <v>13161</v>
      </c>
      <c r="IX1" s="0" t="s">
        <v>13188</v>
      </c>
      <c r="IY1" s="0" t="s">
        <v>13248</v>
      </c>
      <c r="IZ1" s="0" t="s">
        <v>6336</v>
      </c>
      <c r="JA1" s="0" t="s">
        <v>13268</v>
      </c>
      <c r="JB1" s="0" t="s">
        <v>13312</v>
      </c>
      <c r="JC1" s="0" t="s">
        <v>734</v>
      </c>
      <c r="JD1" s="0" t="s">
        <v>2600</v>
      </c>
      <c r="JE1" s="0" t="s">
        <v>13313</v>
      </c>
      <c r="JF1" s="0" t="s">
        <v>13715</v>
      </c>
      <c r="JG1" s="0" t="s">
        <v>13707</v>
      </c>
      <c r="JH1" s="0" t="s">
        <v>13718</v>
      </c>
      <c r="JI1" s="0" t="s">
        <v>13732</v>
      </c>
      <c r="JJ1" s="0" t="s">
        <v>13733</v>
      </c>
      <c r="JK1" s="0" t="s">
        <v>13734</v>
      </c>
      <c r="JL1" s="0" t="s">
        <v>13732</v>
      </c>
      <c r="JM1" s="0" t="s">
        <v>841</v>
      </c>
      <c r="JN1" s="0" t="s">
        <v>841</v>
      </c>
      <c r="JO1" s="0" t="s">
        <v>6550</v>
      </c>
      <c r="JP1" s="0" t="s">
        <v>724</v>
      </c>
      <c r="JQ1" s="0" t="s">
        <v>14307</v>
      </c>
      <c r="JR1" s="0" t="s">
        <v>789</v>
      </c>
      <c r="JS1" s="0" t="s">
        <v>11968</v>
      </c>
      <c r="JT1" s="0" t="s">
        <v>2851</v>
      </c>
      <c r="JU1" s="0" t="s">
        <v>839</v>
      </c>
      <c r="JV1" s="0" t="s">
        <v>789</v>
      </c>
      <c r="JW1" s="0" t="s">
        <v>2851</v>
      </c>
      <c r="JX1" s="0" t="s">
        <v>13732</v>
      </c>
      <c r="JY1" s="0" t="s">
        <v>839</v>
      </c>
      <c r="JZ1" s="0" t="s">
        <v>839</v>
      </c>
      <c r="KA1" s="0" t="s">
        <v>14529</v>
      </c>
      <c r="KB1" s="0" t="s">
        <v>7985</v>
      </c>
      <c r="KC1" s="0" t="s">
        <v>724</v>
      </c>
      <c r="KD1" s="0" t="s">
        <v>14558</v>
      </c>
      <c r="KE1" s="0" t="s">
        <v>7827</v>
      </c>
      <c r="KF1" s="0" t="s">
        <v>14669</v>
      </c>
      <c r="KG1" s="0" t="s">
        <v>839</v>
      </c>
      <c r="KH1" s="0" t="s">
        <v>8669</v>
      </c>
      <c r="KI1" s="0" t="s">
        <v>14714</v>
      </c>
      <c r="KJ1" s="0" t="s">
        <v>14739</v>
      </c>
      <c r="KK1" s="0" t="s">
        <v>847</v>
      </c>
      <c r="KL1" s="0" t="s">
        <v>11407</v>
      </c>
      <c r="KM1" s="0" t="s">
        <v>938</v>
      </c>
      <c r="KN1" s="0" t="s">
        <v>839</v>
      </c>
      <c r="KO1" s="0" t="s">
        <v>789</v>
      </c>
      <c r="KP1" s="0" t="s">
        <v>14825</v>
      </c>
      <c r="KQ1" s="0" t="s">
        <v>14835</v>
      </c>
      <c r="KR1" s="0" t="s">
        <v>14973</v>
      </c>
      <c r="KS1" s="0" t="s">
        <v>15251</v>
      </c>
      <c r="KT1" s="0" t="s">
        <v>13732</v>
      </c>
      <c r="KU1" s="0" t="s">
        <v>15287</v>
      </c>
      <c r="KV1" s="0" t="s">
        <v>14826</v>
      </c>
      <c r="KW1" s="0" t="s">
        <v>15375</v>
      </c>
      <c r="KX1" s="0" t="s">
        <v>724</v>
      </c>
      <c r="KY1" s="0" t="s">
        <v>15460</v>
      </c>
      <c r="KZ1" s="0" t="s">
        <v>15383</v>
      </c>
      <c r="LA1" s="0" t="s">
        <v>15424</v>
      </c>
      <c r="LB1" s="0" t="s">
        <v>15482</v>
      </c>
      <c r="LC1" s="0" t="s">
        <v>15483</v>
      </c>
      <c r="LD1" s="0" t="s">
        <v>15531</v>
      </c>
      <c r="LE1" s="0" t="s">
        <v>15497</v>
      </c>
      <c r="LF1" s="0" t="s">
        <v>15525</v>
      </c>
      <c r="LG1" s="0" t="s">
        <v>724</v>
      </c>
      <c r="LH1" s="0" t="s">
        <v>15540</v>
      </c>
      <c r="LI1" s="0" t="s">
        <v>15538</v>
      </c>
      <c r="LJ1" s="0" t="s">
        <v>15573</v>
      </c>
      <c r="LK1" s="0" t="s">
        <v>15660</v>
      </c>
      <c r="LL1" s="0" t="s">
        <v>15690</v>
      </c>
      <c r="LM1" s="0" t="s">
        <v>15698</v>
      </c>
      <c r="LN1" s="0" t="s">
        <v>15699</v>
      </c>
      <c r="LO1" s="0" t="s">
        <v>15717</v>
      </c>
      <c r="LP1" s="0" t="s">
        <v>15707</v>
      </c>
      <c r="LQ1" s="0" t="s">
        <v>15733</v>
      </c>
      <c r="LR1" s="0" t="s">
        <v>15802</v>
      </c>
      <c r="LS1" s="0" t="s">
        <v>15806</v>
      </c>
      <c r="LT1" s="0" t="s">
        <v>15814</v>
      </c>
      <c r="LU1" s="0" t="s">
        <v>15810</v>
      </c>
      <c r="LV1" s="0" t="s">
        <v>15811</v>
      </c>
      <c r="LW1" s="0" t="s">
        <v>724</v>
      </c>
      <c r="LX1" s="0" t="s">
        <v>8669</v>
      </c>
      <c r="LY1" s="0" t="s">
        <v>15826</v>
      </c>
      <c r="LZ1" s="0" t="s">
        <v>13732</v>
      </c>
      <c r="MA1" s="0" t="s">
        <v>16042</v>
      </c>
      <c r="MB1" s="0" t="s">
        <v>8669</v>
      </c>
      <c r="MC1" s="0" t="s">
        <v>16102</v>
      </c>
      <c r="MD1" s="0" t="s">
        <v>13312</v>
      </c>
      <c r="ME1" s="0" t="s">
        <v>16166</v>
      </c>
      <c r="MF1" s="0" t="s">
        <v>2851</v>
      </c>
      <c r="MG1" s="0" t="s">
        <v>8669</v>
      </c>
      <c r="MH1" s="0" t="s">
        <v>16482</v>
      </c>
      <c r="MI1" s="0" t="s">
        <v>16194</v>
      </c>
      <c r="MJ1" s="0" t="s">
        <v>16427</v>
      </c>
      <c r="MK1" s="0" t="s">
        <v>724</v>
      </c>
      <c r="ML1" s="0" t="s">
        <v>16508</v>
      </c>
      <c r="MM1" s="0" t="s">
        <v>716</v>
      </c>
      <c r="MN1" s="0" t="s">
        <v>724</v>
      </c>
      <c r="MO1" s="0" t="s">
        <v>16545</v>
      </c>
      <c r="MP1" s="0" t="s">
        <v>16719</v>
      </c>
      <c r="MQ1" s="0" t="s">
        <v>16900</v>
      </c>
      <c r="MR1" s="0" t="s">
        <v>724</v>
      </c>
      <c r="MS1" s="0" t="s">
        <v>6550</v>
      </c>
      <c r="MT1" s="0" t="s">
        <v>16906</v>
      </c>
      <c r="MU1" s="0" t="s">
        <v>734</v>
      </c>
      <c r="MV1" s="0" t="s">
        <v>16950</v>
      </c>
      <c r="MW1" s="0" t="s">
        <v>724</v>
      </c>
      <c r="MX1" s="0" t="s">
        <v>17039</v>
      </c>
      <c r="MY1" s="0" t="s">
        <v>2851</v>
      </c>
      <c r="MZ1" s="0" t="s">
        <v>17040</v>
      </c>
      <c r="NA1" s="0" t="s">
        <v>17246</v>
      </c>
      <c r="NB1" s="0" t="s">
        <v>17113</v>
      </c>
      <c r="NC1" s="0" t="s">
        <v>17126</v>
      </c>
      <c r="ND1" s="0" t="s">
        <v>17247</v>
      </c>
      <c r="NE1" s="0" t="s">
        <v>724</v>
      </c>
      <c r="NF1" s="0" t="s">
        <v>17465</v>
      </c>
      <c r="NG1" s="0" t="s">
        <v>2911</v>
      </c>
      <c r="NH1" s="0" t="s">
        <v>13732</v>
      </c>
      <c r="NI1" s="0" t="s">
        <v>13161</v>
      </c>
      <c r="NJ1" s="0" t="s">
        <v>17690</v>
      </c>
      <c r="NK1" s="0" t="s">
        <v>17684</v>
      </c>
      <c r="NL1" s="0" t="s">
        <v>724</v>
      </c>
      <c r="NM1" s="0" t="s">
        <v>17836</v>
      </c>
      <c r="NN1" s="0" t="s">
        <v>17683</v>
      </c>
      <c r="NO1" s="0" t="s">
        <v>17806</v>
      </c>
      <c r="NP1" s="0" t="s">
        <v>724</v>
      </c>
      <c r="NQ1" s="0" t="s">
        <v>17856</v>
      </c>
      <c r="NR1" s="0" t="s">
        <v>17938</v>
      </c>
      <c r="NS1" s="0" t="s">
        <v>17904</v>
      </c>
      <c r="NT1" s="0" t="s">
        <v>17905</v>
      </c>
      <c r="NU1" s="0" t="s">
        <v>17949</v>
      </c>
      <c r="NV1" s="0" t="s">
        <v>17949</v>
      </c>
      <c r="NW1" s="0" t="s">
        <v>17109</v>
      </c>
      <c r="NX1" s="0" t="s">
        <v>17110</v>
      </c>
      <c r="NY1" s="0" t="s">
        <v>18028</v>
      </c>
      <c r="NZ1" s="0" t="s">
        <v>18141</v>
      </c>
      <c r="OA1" s="0" t="s">
        <v>18142</v>
      </c>
      <c r="OB1" s="0" t="s">
        <v>18146</v>
      </c>
      <c r="OC1" s="0" t="s">
        <v>724</v>
      </c>
      <c r="OD1" s="0" t="s">
        <v>18151</v>
      </c>
      <c r="OE1" s="0" t="s">
        <v>17293</v>
      </c>
      <c r="OF1" s="0" t="s">
        <v>6336</v>
      </c>
      <c r="OG1" s="0" t="s">
        <v>18208</v>
      </c>
      <c r="OH1" s="0" t="s">
        <v>18340</v>
      </c>
      <c r="OI1" s="0" t="s">
        <v>18362</v>
      </c>
      <c r="OJ1" s="0" t="s">
        <v>17293</v>
      </c>
      <c r="OK1" s="0" t="s">
        <v>18057</v>
      </c>
      <c r="OL1" s="0" t="s">
        <v>724</v>
      </c>
      <c r="OM1" s="0" t="s">
        <v>6550</v>
      </c>
      <c r="ON1" s="0" t="s">
        <v>18525</v>
      </c>
      <c r="OO1" s="0" t="s">
        <v>18540</v>
      </c>
      <c r="OP1" s="0" t="s">
        <v>13732</v>
      </c>
      <c r="OQ1" s="0" t="s">
        <v>18687</v>
      </c>
      <c r="OR1" s="0" t="s">
        <v>18733</v>
      </c>
      <c r="OS1" s="0" t="s">
        <v>17137</v>
      </c>
      <c r="OT1" s="0" t="s">
        <v>18754</v>
      </c>
      <c r="OU1" s="0" t="s">
        <v>18350</v>
      </c>
      <c r="OV1" s="0" t="s">
        <v>724</v>
      </c>
      <c r="OW1" s="0" t="s">
        <v>13732</v>
      </c>
      <c r="OX1" s="0" t="s">
        <v>17683</v>
      </c>
      <c r="OY1" s="0" t="s">
        <v>18776</v>
      </c>
      <c r="OZ1" s="0" t="s">
        <v>18865</v>
      </c>
      <c r="PA1" s="0" t="s">
        <v>18998</v>
      </c>
      <c r="PB1" s="0" t="s">
        <v>16482</v>
      </c>
      <c r="PC1" s="0" t="s">
        <v>7406</v>
      </c>
      <c r="PD1" s="0" t="s">
        <v>19135</v>
      </c>
      <c r="PE1" s="0" t="s">
        <v>17305</v>
      </c>
      <c r="PF1" s="0" t="s">
        <v>17113</v>
      </c>
      <c r="PG1" s="0" t="s">
        <v>17110</v>
      </c>
      <c r="PH1" s="0" t="s">
        <v>17303</v>
      </c>
      <c r="PI1" s="0" t="s">
        <v>6418</v>
      </c>
      <c r="PJ1" s="0" t="s">
        <v>19307</v>
      </c>
      <c r="PK1" s="0" t="s">
        <v>10204</v>
      </c>
      <c r="PL1" s="0" t="s">
        <v>13732</v>
      </c>
      <c r="PM1" s="0" t="s">
        <v>19341</v>
      </c>
      <c r="PN1" s="0" t="s">
        <v>19364</v>
      </c>
      <c r="PO1" s="0" t="s">
        <v>11407</v>
      </c>
      <c r="PP1" s="0" t="s">
        <v>19434</v>
      </c>
      <c r="PQ1" s="0" t="s">
        <v>19442</v>
      </c>
      <c r="PR1" s="0" t="s">
        <v>19443</v>
      </c>
      <c r="PS1" s="0" t="s">
        <v>19467</v>
      </c>
      <c r="PT1" s="0" t="s">
        <v>3247</v>
      </c>
      <c r="PU1" s="0" t="s">
        <v>19478</v>
      </c>
      <c r="PV1" s="0" t="s">
        <v>19487</v>
      </c>
      <c r="PW1" s="0" t="s">
        <v>4000</v>
      </c>
      <c r="PX1" s="0" t="s">
        <v>2941</v>
      </c>
      <c r="PY1" s="0" t="s">
        <v>6740</v>
      </c>
      <c r="PZ1" s="0" t="s">
        <v>19494</v>
      </c>
      <c r="QA1" s="0" t="s">
        <v>19503</v>
      </c>
      <c r="QB1" s="0" t="s">
        <v>19552</v>
      </c>
      <c r="QC1" s="0" t="s">
        <v>19557</v>
      </c>
      <c r="QD1" s="0" t="s">
        <v>13732</v>
      </c>
      <c r="QE1" s="0" t="s">
        <v>19564</v>
      </c>
      <c r="QF1" s="0" t="s">
        <v>19613</v>
      </c>
      <c r="QG1" s="0" t="s">
        <v>19609</v>
      </c>
      <c r="QH1" s="0" t="s">
        <v>10269</v>
      </c>
      <c r="QI1" s="0" t="s">
        <v>724</v>
      </c>
      <c r="QJ1" s="0" t="s">
        <v>19635</v>
      </c>
      <c r="QK1" s="0" t="s">
        <v>19640</v>
      </c>
      <c r="QL1" s="0" t="s">
        <v>19645</v>
      </c>
      <c r="QM1" s="0" t="s">
        <v>19655</v>
      </c>
      <c r="QN1" s="0" t="s">
        <v>724</v>
      </c>
      <c r="QO1" s="0" t="s">
        <v>13732</v>
      </c>
      <c r="QP1" s="0" t="s">
        <v>19321</v>
      </c>
      <c r="QQ1" s="0" t="s">
        <v>19668</v>
      </c>
      <c r="QR1" s="0" t="s">
        <v>19694</v>
      </c>
      <c r="QS1" s="0" t="s">
        <v>724</v>
      </c>
      <c r="QT1" s="0" t="s">
        <v>19713</v>
      </c>
      <c r="QU1" s="0" t="s">
        <v>19723</v>
      </c>
      <c r="QV1" s="0" t="s">
        <v>19724</v>
      </c>
      <c r="QW1" s="0" t="s">
        <v>19779</v>
      </c>
      <c r="QX1" s="0" t="s">
        <v>724</v>
      </c>
      <c r="QY1" s="0" t="s">
        <v>2851</v>
      </c>
      <c r="QZ1" s="0" t="s">
        <v>847</v>
      </c>
      <c r="RA1" s="0" t="s">
        <v>19819</v>
      </c>
      <c r="RB1" s="0" t="s">
        <v>19826</v>
      </c>
      <c r="RC1" s="0" t="s">
        <v>724</v>
      </c>
      <c r="RD1" s="0" t="s">
        <v>1323</v>
      </c>
      <c r="RE1" s="0" t="s">
        <v>724</v>
      </c>
      <c r="RF1" s="0" t="s">
        <v>2851</v>
      </c>
      <c r="RG1" s="0" t="s">
        <v>19845</v>
      </c>
      <c r="RH1" s="0" t="s">
        <v>19896</v>
      </c>
      <c r="RI1" s="0" t="s">
        <v>1323</v>
      </c>
      <c r="RJ1" s="0" t="s">
        <v>2911</v>
      </c>
      <c r="RK1" s="0" t="s">
        <v>19845</v>
      </c>
      <c r="RL1" s="0" t="s">
        <v>1048</v>
      </c>
      <c r="RM1" s="0" t="s">
        <v>724</v>
      </c>
      <c r="RN1" s="0" t="s">
        <v>1323</v>
      </c>
      <c r="RO1" s="0" t="s">
        <v>724</v>
      </c>
      <c r="RP1" s="0" t="s">
        <v>1520</v>
      </c>
      <c r="RQ1" s="0" t="s">
        <v>19552</v>
      </c>
      <c r="RR1" s="0" t="s">
        <v>724</v>
      </c>
      <c r="RS1" s="0" t="s">
        <v>1323</v>
      </c>
      <c r="RT1" s="0" t="s">
        <v>19965</v>
      </c>
      <c r="RU1" s="0" t="s">
        <v>19979</v>
      </c>
      <c r="RV1" s="0" t="s">
        <v>19977</v>
      </c>
      <c r="RW1" s="0" t="s">
        <v>14783</v>
      </c>
      <c r="RX1" s="0" t="s">
        <v>19986</v>
      </c>
      <c r="RY1" s="0" t="s">
        <v>11483</v>
      </c>
      <c r="RZ1" s="0" t="s">
        <v>20009</v>
      </c>
      <c r="SA1" s="0" t="s">
        <v>724</v>
      </c>
      <c r="SB1" s="0" t="s">
        <v>20033</v>
      </c>
      <c r="SC1" s="0" t="s">
        <v>20019</v>
      </c>
      <c r="SD1" s="0" t="s">
        <v>724</v>
      </c>
      <c r="SE1" s="0" t="s">
        <v>20078</v>
      </c>
      <c r="SF1" s="0" t="s">
        <v>16202</v>
      </c>
      <c r="SG1" s="0" t="s">
        <v>20115</v>
      </c>
      <c r="SH1" s="0" t="s">
        <v>20342</v>
      </c>
      <c r="SI1" s="0" t="s">
        <v>19845</v>
      </c>
      <c r="SJ1" s="0" t="s">
        <v>20136</v>
      </c>
      <c r="SK1" s="0" t="s">
        <v>20354</v>
      </c>
      <c r="SL1" s="0" t="s">
        <v>20390</v>
      </c>
      <c r="SM1" s="0" t="s">
        <v>20365</v>
      </c>
      <c r="SN1" s="0" t="s">
        <v>20366</v>
      </c>
      <c r="SO1" s="0" t="s">
        <v>15458</v>
      </c>
      <c r="SP1" s="0" t="s">
        <v>6336</v>
      </c>
      <c r="SQ1" s="0" t="s">
        <v>20447</v>
      </c>
      <c r="SR1" s="0" t="s">
        <v>20452</v>
      </c>
      <c r="SS1" s="0" t="s">
        <v>20461</v>
      </c>
      <c r="ST1" s="0" t="s">
        <v>11810</v>
      </c>
      <c r="SU1" s="0" t="s">
        <v>13732</v>
      </c>
      <c r="SV1" s="0" t="s">
        <v>20512</v>
      </c>
      <c r="SW1" s="0" t="s">
        <v>20522</v>
      </c>
      <c r="SX1" s="0" t="s">
        <v>19991</v>
      </c>
      <c r="SY1" s="0" t="s">
        <v>20532</v>
      </c>
      <c r="SZ1" s="0" t="s">
        <v>724</v>
      </c>
      <c r="TA1" s="0" t="s">
        <v>20561</v>
      </c>
      <c r="TB1" s="0" t="s">
        <v>20552</v>
      </c>
      <c r="TC1" s="0" t="s">
        <v>724</v>
      </c>
      <c r="TD1" s="0" t="s">
        <v>11488</v>
      </c>
      <c r="TE1" s="0" t="s">
        <v>20570</v>
      </c>
      <c r="TF1" s="0" t="s">
        <v>20571</v>
      </c>
      <c r="TG1" s="0" t="s">
        <v>20579</v>
      </c>
      <c r="TH1" s="0" t="s">
        <v>20586</v>
      </c>
      <c r="TI1" s="0" t="s">
        <v>724</v>
      </c>
      <c r="TJ1" s="0" t="s">
        <v>20354</v>
      </c>
      <c r="TK1" s="0" t="s">
        <v>20699</v>
      </c>
      <c r="TL1" s="0" t="s">
        <v>14979</v>
      </c>
      <c r="TM1" s="0" t="s">
        <v>20750</v>
      </c>
      <c r="TN1" s="0" t="s">
        <v>6709</v>
      </c>
      <c r="TO1" s="0" t="s">
        <v>20751</v>
      </c>
      <c r="TP1" s="0" t="s">
        <v>20752</v>
      </c>
      <c r="TQ1" s="0" t="s">
        <v>724</v>
      </c>
      <c r="TR1" s="0" t="s">
        <v>19991</v>
      </c>
      <c r="TS1" s="0" t="s">
        <v>19991</v>
      </c>
      <c r="TT1" s="0" t="s">
        <v>20879</v>
      </c>
      <c r="TU1" s="0" t="s">
        <v>20893</v>
      </c>
      <c r="TV1" s="0" t="s">
        <v>20902</v>
      </c>
      <c r="TW1" s="0" t="s">
        <v>724</v>
      </c>
      <c r="TX1" s="0" t="s">
        <v>13732</v>
      </c>
      <c r="TY1" s="0" t="s">
        <v>20920</v>
      </c>
      <c r="TZ1" s="0" t="s">
        <v>20950</v>
      </c>
      <c r="UA1" s="0" t="s">
        <v>20939</v>
      </c>
      <c r="UB1" s="0" t="s">
        <v>20957</v>
      </c>
      <c r="UC1" s="0" t="s">
        <v>13732</v>
      </c>
      <c r="UD1" s="0" t="s">
        <v>21023</v>
      </c>
      <c r="UE1" s="0" t="s">
        <v>3247</v>
      </c>
      <c r="UF1" s="0" t="s">
        <v>21038</v>
      </c>
      <c r="UG1" s="0" t="s">
        <v>2971</v>
      </c>
      <c r="UH1" s="0" t="s">
        <v>21049</v>
      </c>
      <c r="UI1" s="0" t="s">
        <v>21068</v>
      </c>
      <c r="UJ1" s="0" t="s">
        <v>21069</v>
      </c>
      <c r="UK1" s="0" t="s">
        <v>21070</v>
      </c>
      <c r="UL1" s="0" t="s">
        <v>724</v>
      </c>
      <c r="UM1" s="0" t="s">
        <v>21078</v>
      </c>
      <c r="UN1" s="0" t="s">
        <v>21092</v>
      </c>
      <c r="UO1" s="0" t="s">
        <v>21097</v>
      </c>
      <c r="UP1" s="0" t="s">
        <v>21108</v>
      </c>
      <c r="UQ1" s="0" t="s">
        <v>724</v>
      </c>
      <c r="UR1" s="0" t="s">
        <v>21113</v>
      </c>
      <c r="US1" s="0" t="s">
        <v>7941</v>
      </c>
      <c r="UT1" s="0" t="s">
        <v>724</v>
      </c>
      <c r="UU1" s="0" t="s">
        <v>21126</v>
      </c>
      <c r="UV1" s="0" t="s">
        <v>21147</v>
      </c>
      <c r="UW1" s="0" t="s">
        <v>21148</v>
      </c>
      <c r="UX1" s="0" t="s">
        <v>18362</v>
      </c>
      <c r="UY1" s="0" t="s">
        <v>751</v>
      </c>
      <c r="UZ1" s="0" t="s">
        <v>15458</v>
      </c>
      <c r="VA1" s="0" t="s">
        <v>7884</v>
      </c>
      <c r="VB1" s="0" t="s">
        <v>21210</v>
      </c>
      <c r="VC1" s="0" t="s">
        <v>7884</v>
      </c>
      <c r="VD1" s="0" t="s">
        <v>21220</v>
      </c>
      <c r="VE1" s="0" t="s">
        <v>21225</v>
      </c>
      <c r="VF1" s="0" t="s">
        <v>21221</v>
      </c>
      <c r="VG1" s="0" t="s">
        <v>724</v>
      </c>
      <c r="VH1" s="0" t="s">
        <v>7829</v>
      </c>
      <c r="VI1" s="0" t="s">
        <v>21393</v>
      </c>
      <c r="VJ1" s="0" t="s">
        <v>21292</v>
      </c>
      <c r="VK1" s="0" t="s">
        <v>724</v>
      </c>
      <c r="VL1" s="0" t="s">
        <v>21567</v>
      </c>
      <c r="VM1" s="0" t="s">
        <v>21582</v>
      </c>
      <c r="VN1" s="0" t="s">
        <v>21586</v>
      </c>
      <c r="VO1" s="0" t="s">
        <v>21594</v>
      </c>
      <c r="VP1" s="0" t="s">
        <v>724</v>
      </c>
      <c r="VQ1" s="0" t="s">
        <v>724</v>
      </c>
      <c r="VR1" s="0" t="s">
        <v>21624</v>
      </c>
      <c r="VS1" s="0" t="s">
        <v>724</v>
      </c>
      <c r="VT1" s="0" t="s">
        <v>21644</v>
      </c>
      <c r="VU1" s="0" t="s">
        <v>21663</v>
      </c>
      <c r="VV1" s="0" t="s">
        <v>21676</v>
      </c>
      <c r="VW1" s="0" t="s">
        <v>21677</v>
      </c>
      <c r="VX1" s="0" t="s">
        <v>6383</v>
      </c>
      <c r="VY1" s="0" t="s">
        <v>21691</v>
      </c>
      <c r="VZ1" s="0" t="s">
        <v>6336</v>
      </c>
      <c r="WA1" s="0" t="s">
        <v>724</v>
      </c>
      <c r="WB1" s="0" t="s">
        <v>13732</v>
      </c>
      <c r="WC1" s="0" t="s">
        <v>21711</v>
      </c>
      <c r="WD1" s="0" t="s">
        <v>21708</v>
      </c>
      <c r="WE1" s="0" t="s">
        <v>21728</v>
      </c>
      <c r="WF1" s="0" t="s">
        <v>21752</v>
      </c>
      <c r="WG1" s="0" t="s">
        <v>21744</v>
      </c>
      <c r="WH1" s="0" t="s">
        <v>21731</v>
      </c>
      <c r="WI1" s="0" t="s">
        <v>21787</v>
      </c>
      <c r="WJ1" s="0" t="s">
        <v>21796</v>
      </c>
      <c r="WK1" s="0" t="s">
        <v>21857</v>
      </c>
      <c r="WL1" s="0" t="s">
        <v>21863</v>
      </c>
      <c r="WM1" s="0" t="s">
        <v>17056</v>
      </c>
      <c r="WN1" s="0" t="s">
        <v>21872</v>
      </c>
      <c r="WO1" s="0" t="s">
        <v>21889</v>
      </c>
      <c r="WP1" s="0" t="s">
        <v>6336</v>
      </c>
      <c r="WQ1" s="0" t="s">
        <v>21897</v>
      </c>
      <c r="WR1" s="0" t="s">
        <v>724</v>
      </c>
      <c r="WS1" s="0" t="s">
        <v>7941</v>
      </c>
      <c r="WT1" s="0" t="s">
        <v>789</v>
      </c>
      <c r="WU1" s="0" t="s">
        <v>7941</v>
      </c>
      <c r="WV1" s="0" t="s">
        <v>3317</v>
      </c>
      <c r="WW1" s="0" t="s">
        <v>21926</v>
      </c>
      <c r="WX1" s="0" t="s">
        <v>21927</v>
      </c>
      <c r="WY1" s="0" t="s">
        <v>6336</v>
      </c>
      <c r="WZ1" s="0" t="s">
        <v>22037</v>
      </c>
      <c r="XA1" s="0" t="s">
        <v>21947</v>
      </c>
      <c r="XB1" s="0" t="s">
        <v>724</v>
      </c>
      <c r="XC1" s="0" t="s">
        <v>22063</v>
      </c>
      <c r="XD1" s="0" t="s">
        <v>22168</v>
      </c>
      <c r="XE1" s="0" t="s">
        <v>20016</v>
      </c>
      <c r="XF1" s="0" t="s">
        <v>22174</v>
      </c>
      <c r="XG1" s="0" t="s">
        <v>14652</v>
      </c>
      <c r="XH1" s="0" t="s">
        <v>22183</v>
      </c>
      <c r="XI1" s="0" t="s">
        <v>22247</v>
      </c>
      <c r="XJ1" s="0" t="s">
        <v>6336</v>
      </c>
      <c r="XK1" s="0" t="s">
        <v>22266</v>
      </c>
      <c r="XL1" s="0" t="s">
        <v>22298</v>
      </c>
      <c r="XM1" s="0" t="s">
        <v>22370</v>
      </c>
      <c r="XN1" s="0" t="s">
        <v>22427</v>
      </c>
      <c r="XO1" s="0" t="s">
        <v>724</v>
      </c>
      <c r="XP1" s="0" t="s">
        <v>22449</v>
      </c>
      <c r="XQ1" s="0" t="s">
        <v>8669</v>
      </c>
      <c r="XR1" s="0" t="s">
        <v>22473</v>
      </c>
      <c r="XS1" s="0" t="s">
        <v>22474</v>
      </c>
      <c r="XT1" s="0" t="s">
        <v>22475</v>
      </c>
      <c r="XU1" s="0" t="s">
        <v>22736</v>
      </c>
      <c r="XV1" s="0" t="s">
        <v>22746</v>
      </c>
      <c r="XW1" s="0" t="s">
        <v>724</v>
      </c>
      <c r="XX1" s="0" t="s">
        <v>6550</v>
      </c>
      <c r="XY1" s="0" t="s">
        <v>22750</v>
      </c>
      <c r="XZ1" s="0" t="s">
        <v>22839</v>
      </c>
      <c r="YA1" s="0" t="s">
        <v>22840</v>
      </c>
      <c r="YB1" s="0" t="s">
        <v>11415</v>
      </c>
      <c r="YC1" s="0" t="s">
        <v>11415</v>
      </c>
      <c r="YD1" s="0" t="s">
        <v>724</v>
      </c>
      <c r="YE1" s="0" t="s">
        <v>13732</v>
      </c>
      <c r="YF1" s="0" t="s">
        <v>22880</v>
      </c>
      <c r="YG1" s="0" t="s">
        <v>22862</v>
      </c>
      <c r="YH1" s="0" t="s">
        <v>724</v>
      </c>
      <c r="YI1" s="0" t="s">
        <v>22966</v>
      </c>
      <c r="YJ1" s="0" t="s">
        <v>22976</v>
      </c>
      <c r="YK1" s="0" t="s">
        <v>724</v>
      </c>
      <c r="YL1" s="0" t="s">
        <v>7941</v>
      </c>
      <c r="YM1" s="0" t="s">
        <v>724</v>
      </c>
      <c r="YN1" s="0" t="s">
        <v>7941</v>
      </c>
      <c r="YO1" s="0" t="s">
        <v>6336</v>
      </c>
      <c r="YP1" s="0" t="s">
        <v>724</v>
      </c>
      <c r="YQ1" s="0" t="s">
        <v>8669</v>
      </c>
      <c r="YR1" s="0" t="s">
        <v>23016</v>
      </c>
      <c r="YS1" s="0" t="s">
        <v>23034</v>
      </c>
      <c r="YT1" s="0" t="s">
        <v>11409</v>
      </c>
      <c r="YU1" s="0" t="s">
        <v>18362</v>
      </c>
      <c r="YV1" s="0" t="s">
        <v>724</v>
      </c>
      <c r="YW1" s="0" t="s">
        <v>23047</v>
      </c>
      <c r="YX1" s="0" t="s">
        <v>6336</v>
      </c>
      <c r="YY1" s="0" t="s">
        <v>724</v>
      </c>
      <c r="YZ1" s="0" t="s">
        <v>23064</v>
      </c>
      <c r="ZA1" s="0" t="s">
        <v>22839</v>
      </c>
      <c r="ZB1" s="0" t="s">
        <v>724</v>
      </c>
      <c r="ZC1" s="0" t="s">
        <v>23076</v>
      </c>
      <c r="ZD1" s="0" t="s">
        <v>8669</v>
      </c>
      <c r="ZE1" s="0" t="s">
        <v>23220</v>
      </c>
      <c r="ZF1" s="0" t="s">
        <v>9166</v>
      </c>
      <c r="ZG1" s="0" t="s">
        <v>23248</v>
      </c>
      <c r="ZH1" s="0" t="s">
        <v>23243</v>
      </c>
      <c r="ZI1" s="0" t="s">
        <v>724</v>
      </c>
      <c r="ZJ1" s="0" t="s">
        <v>13732</v>
      </c>
      <c r="ZK1" s="0" t="s">
        <v>23034</v>
      </c>
      <c r="ZL1" s="0" t="s">
        <v>13732</v>
      </c>
      <c r="ZM1" s="0" t="s">
        <v>23303</v>
      </c>
      <c r="ZN1" s="0" t="s">
        <v>23034</v>
      </c>
      <c r="ZO1" s="0" t="s">
        <v>724</v>
      </c>
      <c r="ZP1" s="0" t="s">
        <v>13732</v>
      </c>
      <c r="ZQ1" s="0" t="s">
        <v>23310</v>
      </c>
      <c r="ZR1" s="0" t="s">
        <v>724</v>
      </c>
      <c r="ZS1" s="0" t="s">
        <v>23325</v>
      </c>
      <c r="ZT1" s="0" t="s">
        <v>724</v>
      </c>
      <c r="ZU1" s="0" t="s">
        <v>13732</v>
      </c>
      <c r="ZV1" s="0" t="s">
        <v>23381</v>
      </c>
      <c r="ZW1" s="0" t="s">
        <v>23360</v>
      </c>
      <c r="ZX1" s="0" t="s">
        <v>23411</v>
      </c>
      <c r="ZY1" s="0" t="s">
        <v>23420</v>
      </c>
      <c r="ZZ1" s="0" t="s">
        <v>724</v>
      </c>
      <c r="AAA1" s="0" t="s">
        <v>23436</v>
      </c>
      <c r="AAB1" s="0" t="s">
        <v>724</v>
      </c>
      <c r="AAC1" s="0" t="s">
        <v>22850</v>
      </c>
      <c r="AAD1" s="0" t="s">
        <v>23448</v>
      </c>
      <c r="AAE1" s="0" t="s">
        <v>23453</v>
      </c>
      <c r="AAF1" s="0" t="s">
        <v>7941</v>
      </c>
      <c r="AAG1" s="0" t="s">
        <v>724</v>
      </c>
      <c r="AAH1" s="0" t="s">
        <v>6336</v>
      </c>
      <c r="AAI1" s="0" t="s">
        <v>23494</v>
      </c>
      <c r="AAJ1" s="0" t="s">
        <v>13732</v>
      </c>
      <c r="AAK1" s="0" t="s">
        <v>23540</v>
      </c>
      <c r="AAL1" s="0" t="s">
        <v>8669</v>
      </c>
      <c r="AAM1" s="0" t="s">
        <v>23548</v>
      </c>
      <c r="AAN1" s="0" t="s">
        <v>23566</v>
      </c>
      <c r="AAO1" s="0" t="s">
        <v>13732</v>
      </c>
      <c r="AAP1" s="0" t="s">
        <v>23593</v>
      </c>
      <c r="AAQ1" s="0" t="s">
        <v>16909</v>
      </c>
      <c r="AAR1" s="0" t="s">
        <v>23681</v>
      </c>
      <c r="AAS1" s="0" t="s">
        <v>724</v>
      </c>
      <c r="AAT1" s="0" t="s">
        <v>23694</v>
      </c>
      <c r="AAU1" s="0" t="s">
        <v>724</v>
      </c>
      <c r="AAV1" s="0" t="s">
        <v>13732</v>
      </c>
      <c r="AAW1" s="0" t="s">
        <v>23761</v>
      </c>
      <c r="AAX1" s="0" t="s">
        <v>10100</v>
      </c>
      <c r="AAY1" s="0" t="s">
        <v>11727</v>
      </c>
      <c r="AAZ1" s="0" t="s">
        <v>23805</v>
      </c>
      <c r="ABA1" s="0" t="s">
        <v>11411</v>
      </c>
      <c r="ABB1" s="0" t="s">
        <v>10269</v>
      </c>
      <c r="ABC1" s="0" t="s">
        <v>18362</v>
      </c>
      <c r="ABD1" s="0" t="s">
        <v>724</v>
      </c>
      <c r="ABE1" s="0" t="s">
        <v>10100</v>
      </c>
      <c r="ABF1" s="0" t="s">
        <v>23811</v>
      </c>
      <c r="ABG1" s="0" t="s">
        <v>724</v>
      </c>
      <c r="ABH1" s="0" t="s">
        <v>23924</v>
      </c>
      <c r="ABI1" s="0" t="s">
        <v>724</v>
      </c>
      <c r="ABJ1" s="0" t="s">
        <v>13732</v>
      </c>
      <c r="ABK1" s="0" t="s">
        <v>23951</v>
      </c>
      <c r="ABL1" s="0" t="s">
        <v>724</v>
      </c>
      <c r="ABM1" s="0" t="s">
        <v>23969</v>
      </c>
      <c r="ABN1" s="0" t="s">
        <v>724</v>
      </c>
      <c r="ABO1" s="0" t="s">
        <v>6550</v>
      </c>
      <c r="ABP1" s="0" t="s">
        <v>24014</v>
      </c>
      <c r="ABQ1" s="0" t="s">
        <v>724</v>
      </c>
      <c r="ABR1" s="0" t="s">
        <v>24037</v>
      </c>
      <c r="ABS1" s="0" t="s">
        <v>724</v>
      </c>
      <c r="ABT1" s="0" t="s">
        <v>24041</v>
      </c>
      <c r="ABU1" s="0" t="s">
        <v>724</v>
      </c>
      <c r="ABV1" s="0" t="s">
        <v>23034</v>
      </c>
      <c r="ABW1" s="0" t="s">
        <v>24076</v>
      </c>
      <c r="ABX1" s="0" t="s">
        <v>24077</v>
      </c>
      <c r="ABY1" s="0" t="s">
        <v>24085</v>
      </c>
      <c r="ABZ1" s="0" t="s">
        <v>24086</v>
      </c>
      <c r="ACA1" s="0" t="s">
        <v>23038</v>
      </c>
      <c r="ACB1" s="0" t="s">
        <v>24114</v>
      </c>
      <c r="ACC1" s="0" t="s">
        <v>23548</v>
      </c>
      <c r="ACD1" s="0" t="s">
        <v>8669</v>
      </c>
      <c r="ACE1" s="0" t="s">
        <v>24157</v>
      </c>
      <c r="ACF1" s="0" t="s">
        <v>13732</v>
      </c>
      <c r="ACG1" s="0" t="s">
        <v>24118</v>
      </c>
      <c r="ACH1" s="0" t="s">
        <v>24119</v>
      </c>
      <c r="ACI1" s="0" t="s">
        <v>11407</v>
      </c>
      <c r="ACJ1" s="0" t="s">
        <v>4000</v>
      </c>
      <c r="ACK1" s="0" t="s">
        <v>24325</v>
      </c>
      <c r="ACL1" s="0" t="s">
        <v>23548</v>
      </c>
      <c r="ACM1" s="0" t="s">
        <v>24326</v>
      </c>
      <c r="ACN1" s="0" t="s">
        <v>724</v>
      </c>
      <c r="ACO1" s="0" t="s">
        <v>16909</v>
      </c>
      <c r="ACP1" s="0" t="s">
        <v>724</v>
      </c>
      <c r="ACQ1" s="0" t="s">
        <v>6336</v>
      </c>
      <c r="ACR1" s="0" t="s">
        <v>3317</v>
      </c>
      <c r="ACS1" s="0" t="s">
        <v>24378</v>
      </c>
      <c r="ACT1" s="0" t="s">
        <v>24431</v>
      </c>
      <c r="ACU1" s="0" t="s">
        <v>724</v>
      </c>
      <c r="ACV1" s="0" t="s">
        <v>24436</v>
      </c>
      <c r="ACW1" s="0" t="s">
        <v>724</v>
      </c>
      <c r="ACX1" s="0" t="s">
        <v>6336</v>
      </c>
      <c r="ACY1" s="0" t="s">
        <v>24523</v>
      </c>
      <c r="ACZ1" s="0" t="s">
        <v>23034</v>
      </c>
      <c r="ADA1" s="0" t="s">
        <v>724</v>
      </c>
      <c r="ADB1" s="0" t="s">
        <v>23151</v>
      </c>
      <c r="ADC1" s="0" t="s">
        <v>724</v>
      </c>
      <c r="ADD1" s="0" t="s">
        <v>24726</v>
      </c>
      <c r="ADE1" s="0" t="s">
        <v>724</v>
      </c>
      <c r="ADF1" s="0" t="s">
        <v>24784</v>
      </c>
      <c r="ADG1" s="0" t="s">
        <v>11413</v>
      </c>
      <c r="ADH1" s="0" t="s">
        <v>839</v>
      </c>
      <c r="ADI1" s="0" t="s">
        <v>24810</v>
      </c>
      <c r="ADJ1" s="0" t="s">
        <v>724</v>
      </c>
      <c r="ADK1" s="0" t="s">
        <v>24845</v>
      </c>
      <c r="ADL1" s="0" t="s">
        <v>2600</v>
      </c>
      <c r="ADM1" s="0" t="s">
        <v>724</v>
      </c>
      <c r="ADN1" s="0" t="s">
        <v>12208</v>
      </c>
      <c r="ADO1" s="0" t="s">
        <v>2911</v>
      </c>
      <c r="ADP1" s="0" t="s">
        <v>1048</v>
      </c>
      <c r="ADQ1" s="0" t="s">
        <v>13732</v>
      </c>
      <c r="ADR1" s="0" t="s">
        <v>839</v>
      </c>
      <c r="ADS1" s="0" t="s">
        <v>25372</v>
      </c>
      <c r="ADT1" s="0" t="s">
        <v>13732</v>
      </c>
      <c r="ADU1" s="0" t="s">
        <v>734</v>
      </c>
      <c r="ADV1" s="0" t="s">
        <v>839</v>
      </c>
      <c r="ADW1" s="0" t="s">
        <v>25497</v>
      </c>
      <c r="ADX1" s="0" t="s">
        <v>25627</v>
      </c>
      <c r="ADY1" s="0" t="s">
        <v>13732</v>
      </c>
      <c r="ADZ1" s="0" t="s">
        <v>841</v>
      </c>
      <c r="AEA1" s="0" t="s">
        <v>11407</v>
      </c>
      <c r="AEB1" s="0" t="s">
        <v>724</v>
      </c>
      <c r="AEC1" s="0" t="s">
        <v>13732</v>
      </c>
      <c r="AED1" s="0" t="s">
        <v>839</v>
      </c>
      <c r="AEE1" s="0" t="s">
        <v>25372</v>
      </c>
      <c r="AEF1" s="0" t="s">
        <v>25627</v>
      </c>
      <c r="AEG1" s="0" t="s">
        <v>724</v>
      </c>
      <c r="AEH1" s="0" t="s">
        <v>13732</v>
      </c>
      <c r="AEI1" s="0" t="s">
        <v>839</v>
      </c>
      <c r="AEJ1" s="0" t="s">
        <v>25497</v>
      </c>
      <c r="AEK1" s="0" t="s">
        <v>724</v>
      </c>
      <c r="AEL1" s="0" t="s">
        <v>761</v>
      </c>
      <c r="AEM1" s="0" t="s">
        <v>11409</v>
      </c>
      <c r="AEN1" s="0" t="s">
        <v>26373</v>
      </c>
      <c r="AEO1" s="0" t="s">
        <v>26374</v>
      </c>
      <c r="AEP1" s="0" t="s">
        <v>13751</v>
      </c>
      <c r="AEQ1" s="0" t="s">
        <v>716</v>
      </c>
      <c r="AER1" s="0" t="s">
        <v>11407</v>
      </c>
      <c r="AES1" s="0" t="s">
        <v>13739</v>
      </c>
      <c r="AET1" s="0" t="s">
        <v>839</v>
      </c>
      <c r="AEU1" s="0" t="s">
        <v>11407</v>
      </c>
      <c r="AEV1" s="0" t="s">
        <v>26482</v>
      </c>
      <c r="AEW1" s="0" t="s">
        <v>13732</v>
      </c>
      <c r="AEX1" s="0" t="s">
        <v>734</v>
      </c>
      <c r="AEY1" s="0" t="s">
        <v>716</v>
      </c>
      <c r="AEZ1" s="0" t="s">
        <v>11409</v>
      </c>
      <c r="AFA1" s="0" t="s">
        <v>26548</v>
      </c>
      <c r="AFB1" s="0" t="s">
        <v>724</v>
      </c>
      <c r="AFC1" s="0" t="s">
        <v>13732</v>
      </c>
      <c r="AFD1" s="0" t="s">
        <v>11409</v>
      </c>
      <c r="AFE1" s="0" t="s">
        <v>8168</v>
      </c>
      <c r="AFF1" s="0" t="s">
        <v>26389</v>
      </c>
      <c r="AFG1" s="0" t="s">
        <v>2911</v>
      </c>
      <c r="AFH1" s="0" t="s">
        <v>761</v>
      </c>
      <c r="AFI1" s="0" t="s">
        <v>13732</v>
      </c>
      <c r="AFJ1" s="0" t="s">
        <v>734</v>
      </c>
      <c r="AFK1" s="0" t="s">
        <v>789</v>
      </c>
      <c r="AFL1" s="0" t="s">
        <v>11407</v>
      </c>
      <c r="AFM1" s="0" t="s">
        <v>25627</v>
      </c>
      <c r="AFN1" s="0" t="s">
        <v>724</v>
      </c>
      <c r="AFO1" s="0" t="s">
        <v>26832</v>
      </c>
      <c r="AFP1" s="0" t="s">
        <v>13739</v>
      </c>
      <c r="AFQ1" s="0" t="s">
        <v>716</v>
      </c>
      <c r="AFR1" s="0" t="s">
        <v>11407</v>
      </c>
      <c r="AFS1" s="0" t="s">
        <v>724</v>
      </c>
      <c r="AFT1" s="0" t="s">
        <v>26938</v>
      </c>
      <c r="AFU1" s="0" t="s">
        <v>26861</v>
      </c>
      <c r="AFV1" s="0" t="s">
        <v>6359</v>
      </c>
      <c r="AFW1" s="0" t="s">
        <v>26884</v>
      </c>
      <c r="AFX1" s="0" t="s">
        <v>10100</v>
      </c>
      <c r="AFY1" s="0" t="s">
        <v>27350</v>
      </c>
      <c r="AFZ1" s="0" t="s">
        <v>13743</v>
      </c>
      <c r="AGA1" s="0" t="s">
        <v>837</v>
      </c>
      <c r="AGB1" s="0" t="s">
        <v>25497</v>
      </c>
      <c r="AGC1" s="0" t="s">
        <v>27386</v>
      </c>
      <c r="AGD1" s="0" t="s">
        <v>724</v>
      </c>
      <c r="AGE1" s="0" t="s">
        <v>707</v>
      </c>
      <c r="AGF1" s="0" t="s">
        <v>26884</v>
      </c>
      <c r="AGG1" s="0" t="s">
        <v>13739</v>
      </c>
      <c r="AGH1" s="0" t="s">
        <v>734</v>
      </c>
      <c r="AGI1" s="0" t="s">
        <v>839</v>
      </c>
      <c r="AGJ1" s="0" t="s">
        <v>25497</v>
      </c>
      <c r="AGK1" s="0" t="s">
        <v>27785</v>
      </c>
      <c r="AGL1" s="0" t="s">
        <v>13743</v>
      </c>
      <c r="AGM1" s="0" t="s">
        <v>25627</v>
      </c>
      <c r="AGN1" s="0" t="s">
        <v>27809</v>
      </c>
      <c r="AGO1" s="0" t="s">
        <v>13739</v>
      </c>
      <c r="AGP1" s="0" t="s">
        <v>27818</v>
      </c>
      <c r="AGQ1" s="0" t="s">
        <v>13743</v>
      </c>
      <c r="AGR1" s="0" t="s">
        <v>27839</v>
      </c>
      <c r="AGS1" s="0" t="s">
        <v>27834</v>
      </c>
      <c r="AGT1" s="0" t="s">
        <v>13997</v>
      </c>
      <c r="AGU1" s="0" t="s">
        <v>11407</v>
      </c>
      <c r="AGV1" s="0" t="s">
        <v>27885</v>
      </c>
      <c r="AGW1" s="0" t="s">
        <v>13732</v>
      </c>
      <c r="AGX1" s="0" t="s">
        <v>19313</v>
      </c>
      <c r="AGY1" s="0" t="s">
        <v>8669</v>
      </c>
      <c r="AGZ1" s="0" t="s">
        <v>13732</v>
      </c>
      <c r="AHA1" s="0" t="s">
        <v>847</v>
      </c>
      <c r="AHB1" s="0" t="s">
        <v>11409</v>
      </c>
      <c r="AHC1" s="0" t="s">
        <v>27914</v>
      </c>
      <c r="AHD1" s="0" t="s">
        <v>13732</v>
      </c>
      <c r="AHE1" s="0" t="s">
        <v>28117</v>
      </c>
      <c r="AHF1" s="0" t="s">
        <v>11810</v>
      </c>
      <c r="AHG1" s="0" t="s">
        <v>13743</v>
      </c>
      <c r="AHH1" s="0" t="s">
        <v>25372</v>
      </c>
      <c r="AHI1" s="0" t="s">
        <v>724</v>
      </c>
      <c r="AHJ1" s="0" t="s">
        <v>13732</v>
      </c>
      <c r="AHK1" s="0" t="s">
        <v>28141</v>
      </c>
      <c r="AHL1" s="0" t="s">
        <v>16204</v>
      </c>
      <c r="AHM1" s="0" t="s">
        <v>28187</v>
      </c>
      <c r="AHN1" s="0" t="s">
        <v>13732</v>
      </c>
      <c r="AHO1" s="0" t="s">
        <v>11407</v>
      </c>
      <c r="AHP1" s="0" t="s">
        <v>8669</v>
      </c>
      <c r="AHQ1" s="0" t="s">
        <v>13732</v>
      </c>
      <c r="AHR1" s="0" t="s">
        <v>28233</v>
      </c>
      <c r="AHS1" s="0" t="s">
        <v>14973</v>
      </c>
      <c r="AHT1" s="0" t="s">
        <v>13732</v>
      </c>
      <c r="AHU1" s="0" t="s">
        <v>27839</v>
      </c>
      <c r="AHV1" s="0" t="s">
        <v>14973</v>
      </c>
      <c r="AHW1" s="0" t="s">
        <v>8669</v>
      </c>
      <c r="AHX1" s="0" t="s">
        <v>14007</v>
      </c>
      <c r="AHY1" s="0" t="s">
        <v>28323</v>
      </c>
      <c r="AHZ1" s="0" t="s">
        <v>28324</v>
      </c>
      <c r="AIA1" s="0" t="s">
        <v>8669</v>
      </c>
      <c r="AIB1" s="0" t="s">
        <v>13732</v>
      </c>
      <c r="AIC1" s="0" t="s">
        <v>28344</v>
      </c>
      <c r="AID1" s="0" t="s">
        <v>28397</v>
      </c>
      <c r="AIE1" s="0" t="s">
        <v>11413</v>
      </c>
      <c r="AIF1" s="0" t="s">
        <v>21725</v>
      </c>
      <c r="AIG1" s="0" t="s">
        <v>28408</v>
      </c>
      <c r="AIH1" s="0" t="s">
        <v>13732</v>
      </c>
      <c r="AII1" s="0" t="s">
        <v>25497</v>
      </c>
      <c r="AIJ1" s="0" t="s">
        <v>839</v>
      </c>
      <c r="AIK1" s="0" t="s">
        <v>28422</v>
      </c>
      <c r="AIL1" s="0" t="s">
        <v>837</v>
      </c>
      <c r="AIM1" s="0" t="s">
        <v>28455</v>
      </c>
      <c r="AIN1" s="0" t="s">
        <v>28461</v>
      </c>
      <c r="AIO1" s="0" t="s">
        <v>21092</v>
      </c>
      <c r="AIP1" s="0" t="s">
        <v>28476</v>
      </c>
      <c r="AIQ1" s="0" t="s">
        <v>21092</v>
      </c>
      <c r="AIR1" s="0" t="s">
        <v>724</v>
      </c>
      <c r="AIS1" s="0" t="s">
        <v>28521</v>
      </c>
      <c r="AIT1" s="0" t="s">
        <v>724</v>
      </c>
      <c r="AIU1" s="0" t="s">
        <v>7941</v>
      </c>
      <c r="AIV1" s="0" t="s">
        <v>724</v>
      </c>
      <c r="AIW1" s="0" t="s">
        <v>28637</v>
      </c>
      <c r="AIX1" s="0" t="s">
        <v>28664</v>
      </c>
      <c r="AIY1" s="0" t="s">
        <v>12898</v>
      </c>
      <c r="AIZ1" s="0" t="s">
        <v>12850</v>
      </c>
      <c r="AJA1" s="0" t="s">
        <v>28665</v>
      </c>
      <c r="AJB1" s="0" t="s">
        <v>724</v>
      </c>
      <c r="AJC1" s="0" t="s">
        <v>28695</v>
      </c>
      <c r="AJD1" s="0" t="s">
        <v>12898</v>
      </c>
      <c r="AJE1" s="0" t="s">
        <v>16909</v>
      </c>
      <c r="AJF1" s="0" t="s">
        <v>839</v>
      </c>
      <c r="AJG1" s="0" t="s">
        <v>28780</v>
      </c>
      <c r="AJH1" s="0" t="s">
        <v>2921</v>
      </c>
      <c r="AJI1" s="0" t="s">
        <v>724</v>
      </c>
      <c r="AJJ1" s="0" t="s">
        <v>28800</v>
      </c>
      <c r="AJK1" s="0" t="s">
        <v>724</v>
      </c>
      <c r="AJL1" s="0" t="s">
        <v>28802</v>
      </c>
      <c r="AJM1" s="0" t="s">
        <v>28812</v>
      </c>
      <c r="AJN1" s="0" t="s">
        <v>19429</v>
      </c>
      <c r="AJO1" s="0" t="s">
        <v>11407</v>
      </c>
      <c r="AJP1" s="0" t="s">
        <v>724</v>
      </c>
      <c r="AJQ1" s="0" t="s">
        <v>724</v>
      </c>
      <c r="AJR1" s="0" t="s">
        <v>13732</v>
      </c>
      <c r="AJS1" s="0" t="s">
        <v>28867</v>
      </c>
      <c r="AJT1" s="0" t="s">
        <v>724</v>
      </c>
      <c r="AJU1" s="0" t="s">
        <v>724</v>
      </c>
      <c r="AJV1" s="0" t="s">
        <v>8168</v>
      </c>
      <c r="AJW1" s="0" t="s">
        <v>28981</v>
      </c>
      <c r="AJX1" s="0" t="s">
        <v>10100</v>
      </c>
      <c r="AJY1" s="0" t="s">
        <v>29006</v>
      </c>
      <c r="AJZ1" s="0" t="s">
        <v>29022</v>
      </c>
      <c r="AKA1" s="0" t="s">
        <v>29023</v>
      </c>
      <c r="AKB1" s="0" t="s">
        <v>724</v>
      </c>
      <c r="AKC1" s="0" t="s">
        <v>7941</v>
      </c>
      <c r="AKD1" s="0" t="s">
        <v>19738</v>
      </c>
      <c r="AKE1" s="0" t="s">
        <v>29050</v>
      </c>
      <c r="AKF1" s="0" t="s">
        <v>29046</v>
      </c>
      <c r="AKG1" s="0" t="s">
        <v>29053</v>
      </c>
      <c r="AKH1" s="0" t="s">
        <v>724</v>
      </c>
      <c r="AKI1" s="0" t="s">
        <v>29070</v>
      </c>
      <c r="AKJ1" s="0" t="s">
        <v>839</v>
      </c>
      <c r="AKK1" s="0" t="s">
        <v>839</v>
      </c>
      <c r="AKL1" s="0" t="s">
        <v>13739</v>
      </c>
      <c r="AKM1" s="0" t="s">
        <v>29107</v>
      </c>
      <c r="AKN1" s="0" t="s">
        <v>10204</v>
      </c>
      <c r="AKO1" s="0" t="s">
        <v>13732</v>
      </c>
      <c r="AKP1" s="0" t="s">
        <v>128</v>
      </c>
      <c r="AKQ1" s="0" t="s">
        <v>29119</v>
      </c>
      <c r="AKR1" s="0" t="s">
        <v>128</v>
      </c>
      <c r="AKS1" s="0" t="s">
        <v>13732</v>
      </c>
      <c r="AKT1" s="0" t="s">
        <v>12822</v>
      </c>
      <c r="AKU1" s="0" t="s">
        <v>29130</v>
      </c>
      <c r="AKV1" s="0" t="s">
        <v>21113</v>
      </c>
      <c r="AKW1" s="0" t="s">
        <v>20752</v>
      </c>
      <c r="AKX1" s="0" t="s">
        <v>6336</v>
      </c>
      <c r="AKY1" s="0" t="s">
        <v>29284</v>
      </c>
      <c r="AKZ1" s="0" t="s">
        <v>29288</v>
      </c>
      <c r="ALA1" s="0" t="s">
        <v>29289</v>
      </c>
      <c r="ALB1" s="0" t="s">
        <v>29296</v>
      </c>
      <c r="ALC1" s="0" t="s">
        <v>29306</v>
      </c>
      <c r="ALD1" s="0" t="s">
        <v>724</v>
      </c>
      <c r="ALE1" s="0" t="s">
        <v>13732</v>
      </c>
      <c r="ALF1" s="0" t="s">
        <v>19724</v>
      </c>
      <c r="ALG1" s="0" t="s">
        <v>7941</v>
      </c>
      <c r="ALH1" s="0" t="s">
        <v>8851</v>
      </c>
      <c r="ALI1" s="0" t="s">
        <v>29334</v>
      </c>
      <c r="ALJ1" s="0" t="s">
        <v>29335</v>
      </c>
      <c r="ALK1" s="0" t="s">
        <v>16370</v>
      </c>
      <c r="ALL1" s="0" t="s">
        <v>724</v>
      </c>
      <c r="ALM1" s="0" t="s">
        <v>6550</v>
      </c>
      <c r="ALN1" s="0" t="s">
        <v>29339</v>
      </c>
      <c r="ALO1" s="0" t="s">
        <v>18154</v>
      </c>
      <c r="ALP1" s="0" t="s">
        <v>29350</v>
      </c>
      <c r="ALQ1" s="0" t="s">
        <v>29359</v>
      </c>
      <c r="ALR1" s="0" t="s">
        <v>724</v>
      </c>
      <c r="ALS1" s="0" t="s">
        <v>29369</v>
      </c>
      <c r="ALT1" s="0" t="s">
        <v>29430</v>
      </c>
      <c r="ALU1" s="0" t="s">
        <v>8923</v>
      </c>
      <c r="ALV1" s="0" t="s">
        <v>29407</v>
      </c>
      <c r="ALW1" s="0" t="s">
        <v>29408</v>
      </c>
      <c r="ALX1" s="0" t="s">
        <v>29422</v>
      </c>
      <c r="ALY1" s="0" t="s">
        <v>13732</v>
      </c>
      <c r="ALZ1" s="0" t="s">
        <v>29495</v>
      </c>
      <c r="AMA1" s="0" t="s">
        <v>29156</v>
      </c>
      <c r="AMB1" s="0" t="s">
        <v>29472</v>
      </c>
      <c r="AMC1" s="0" t="s">
        <v>21113</v>
      </c>
      <c r="AMD1" s="0" t="s">
        <v>6336</v>
      </c>
      <c r="AME1" s="0" t="s">
        <v>29516</v>
      </c>
      <c r="AMF1" s="0" t="s">
        <v>29513</v>
      </c>
      <c r="AMG1" s="0" t="s">
        <v>29529</v>
      </c>
      <c r="AMH1" s="0" t="s">
        <v>29407</v>
      </c>
      <c r="AMI1" s="0" t="s">
        <v>21226</v>
      </c>
      <c r="AMJ1" s="0" t="s">
        <v>724</v>
      </c>
      <c r="AMK1" s="0" t="s">
        <v>13732</v>
      </c>
      <c r="AML1" s="0" t="s">
        <v>29549</v>
      </c>
      <c r="AMM1" s="0" t="s">
        <v>27813</v>
      </c>
      <c r="AMN1" s="0" t="s">
        <v>29553</v>
      </c>
      <c r="AMO1" s="0" t="s">
        <v>29565</v>
      </c>
      <c r="AMP1" s="0" t="s">
        <v>7884</v>
      </c>
      <c r="AMQ1" s="0" t="s">
        <v>29567</v>
      </c>
      <c r="AMR1" s="0" t="s">
        <v>3247</v>
      </c>
      <c r="AMS1" s="0" t="s">
        <v>839</v>
      </c>
      <c r="AMT1" s="0" t="s">
        <v>716</v>
      </c>
      <c r="AMU1" s="0" t="s">
        <v>3247</v>
      </c>
      <c r="AMV1" s="0" t="s">
        <v>845</v>
      </c>
      <c r="AMW1" s="0" t="s">
        <v>5091</v>
      </c>
      <c r="AMX1" s="0" t="s">
        <v>3247</v>
      </c>
      <c r="AMY1" s="0" t="s">
        <v>839</v>
      </c>
      <c r="AMZ1" s="0" t="s">
        <v>716</v>
      </c>
      <c r="ANA1" s="0" t="s">
        <v>3247</v>
      </c>
      <c r="ANB1" s="0" t="s">
        <v>839</v>
      </c>
      <c r="ANC1" s="0" t="s">
        <v>716</v>
      </c>
      <c r="AND1" s="0" t="s">
        <v>714</v>
      </c>
      <c r="ANE1" s="0" t="s">
        <v>839</v>
      </c>
      <c r="ANF1" s="0" t="s">
        <v>716</v>
      </c>
      <c r="ANG1" s="0" t="s">
        <v>714</v>
      </c>
      <c r="ANH1" s="0" t="s">
        <v>839</v>
      </c>
      <c r="ANI1" s="0" t="s">
        <v>716</v>
      </c>
      <c r="ANJ1" s="0" t="s">
        <v>724</v>
      </c>
      <c r="ANK1" s="0" t="s">
        <v>8669</v>
      </c>
      <c r="ANL1" s="0" t="s">
        <v>13743</v>
      </c>
      <c r="ANM1" s="0" t="s">
        <v>31443</v>
      </c>
      <c r="ANN1" s="0" t="s">
        <v>7941</v>
      </c>
      <c r="ANO1" s="0" t="s">
        <v>29407</v>
      </c>
      <c r="ANP1" s="0" t="s">
        <v>31469</v>
      </c>
      <c r="ANQ1" s="0" t="s">
        <v>31474</v>
      </c>
      <c r="ANR1" s="0" t="s">
        <v>724</v>
      </c>
      <c r="ANS1" s="0" t="s">
        <v>31485</v>
      </c>
      <c r="ANT1" s="0" t="s">
        <v>29407</v>
      </c>
      <c r="ANU1" s="0" t="s">
        <v>29289</v>
      </c>
      <c r="ANV1" s="0" t="s">
        <v>31485</v>
      </c>
      <c r="ANW1" s="0" t="s">
        <v>29407</v>
      </c>
      <c r="ANX1" s="0" t="s">
        <v>29289</v>
      </c>
      <c r="ANY1" s="0" t="s">
        <v>29407</v>
      </c>
      <c r="ANZ1" s="0" t="s">
        <v>31485</v>
      </c>
      <c r="AOA1" s="0" t="s">
        <v>7884</v>
      </c>
      <c r="AOB1" s="0" t="s">
        <v>19723</v>
      </c>
      <c r="AOC1" s="0" t="s">
        <v>29407</v>
      </c>
      <c r="AOD1" s="0" t="s">
        <v>31530</v>
      </c>
      <c r="AOE1" s="0" t="s">
        <v>31551</v>
      </c>
      <c r="AOF1" s="0" t="s">
        <v>31560</v>
      </c>
      <c r="AOG1" s="0" t="s">
        <v>31555</v>
      </c>
      <c r="AOH1" s="0" t="s">
        <v>31556</v>
      </c>
      <c r="AOI1" s="0" t="s">
        <v>789</v>
      </c>
      <c r="AOJ1" s="0" t="s">
        <v>29407</v>
      </c>
      <c r="AOK1" s="0" t="s">
        <v>19552</v>
      </c>
      <c r="AOL1" s="0" t="s">
        <v>20366</v>
      </c>
      <c r="AOM1" s="0" t="s">
        <v>31576</v>
      </c>
      <c r="AON1" s="0" t="s">
        <v>31613</v>
      </c>
      <c r="AOO1" s="0" t="s">
        <v>20366</v>
      </c>
      <c r="AOP1" s="0" t="s">
        <v>31551</v>
      </c>
      <c r="AOQ1" s="0" t="s">
        <v>724</v>
      </c>
      <c r="AOR1" s="0" t="s">
        <v>31641</v>
      </c>
      <c r="AOS1" s="0" t="s">
        <v>724</v>
      </c>
      <c r="AOT1" s="0" t="s">
        <v>724</v>
      </c>
      <c r="AOU1" s="0" t="s">
        <v>6550</v>
      </c>
      <c r="AOV1" s="0" t="s">
        <v>13732</v>
      </c>
      <c r="AOW1" s="0" t="s">
        <v>31664</v>
      </c>
      <c r="AOX1" s="0" t="s">
        <v>7884</v>
      </c>
      <c r="AOY1" s="0" t="s">
        <v>31683</v>
      </c>
      <c r="AOZ1" s="0" t="s">
        <v>31726</v>
      </c>
      <c r="APA1" s="0" t="s">
        <v>29407</v>
      </c>
      <c r="APB1" s="0" t="s">
        <v>31792</v>
      </c>
      <c r="APC1" s="0" t="s">
        <v>724</v>
      </c>
      <c r="APD1" s="0" t="s">
        <v>31810</v>
      </c>
      <c r="APE1" s="0" t="s">
        <v>31812</v>
      </c>
      <c r="APF1" s="0" t="s">
        <v>31817</v>
      </c>
      <c r="APG1" s="0" t="s">
        <v>31814</v>
      </c>
      <c r="APH1" s="0" t="s">
        <v>724</v>
      </c>
      <c r="API1" s="0" t="s">
        <v>31820</v>
      </c>
      <c r="APJ1" s="0" t="s">
        <v>31825</v>
      </c>
      <c r="APK1" s="0" t="s">
        <v>21113</v>
      </c>
      <c r="APL1" s="0" t="s">
        <v>128</v>
      </c>
      <c r="APM1" s="0" t="s">
        <v>724</v>
      </c>
      <c r="APN1" s="0" t="s">
        <v>29344</v>
      </c>
      <c r="APO1" s="0" t="s">
        <v>724</v>
      </c>
      <c r="APP1" s="0" t="s">
        <v>28329</v>
      </c>
      <c r="APQ1" s="0" t="s">
        <v>724</v>
      </c>
      <c r="APR1" s="0" t="s">
        <v>31856</v>
      </c>
      <c r="APS1" s="0" t="s">
        <v>29344</v>
      </c>
      <c r="APT1" s="0" t="s">
        <v>31890</v>
      </c>
      <c r="APU1" s="0" t="s">
        <v>13732</v>
      </c>
      <c r="APV1" s="0" t="s">
        <v>31987</v>
      </c>
      <c r="APW1" s="0" t="s">
        <v>31884</v>
      </c>
      <c r="APX1" s="0" t="s">
        <v>31955</v>
      </c>
      <c r="APY1" s="0" t="s">
        <v>724</v>
      </c>
      <c r="APZ1" s="0" t="s">
        <v>32035</v>
      </c>
      <c r="AQA1" s="0" t="s">
        <v>32024</v>
      </c>
      <c r="AQB1" s="0" t="s">
        <v>724</v>
      </c>
      <c r="AQC1" s="0" t="s">
        <v>32038</v>
      </c>
      <c r="AQD1" s="0" t="s">
        <v>734</v>
      </c>
      <c r="AQE1" s="0" t="s">
        <v>32039</v>
      </c>
      <c r="AQF1" s="0" t="s">
        <v>32059</v>
      </c>
      <c r="AQG1" s="0" t="s">
        <v>724</v>
      </c>
      <c r="AQH1" s="0" t="s">
        <v>32093</v>
      </c>
      <c r="AQI1" s="0" t="s">
        <v>14829</v>
      </c>
      <c r="AQJ1" s="0" t="s">
        <v>7884</v>
      </c>
      <c r="AQK1" s="0" t="s">
        <v>32124</v>
      </c>
      <c r="AQL1" s="0" t="s">
        <v>724</v>
      </c>
      <c r="AQM1" s="0" t="s">
        <v>13732</v>
      </c>
      <c r="AQN1" s="0" t="s">
        <v>32182</v>
      </c>
      <c r="AQO1" s="0" t="s">
        <v>20019</v>
      </c>
      <c r="AQP1" s="0" t="s">
        <v>32190</v>
      </c>
      <c r="AQQ1" s="0" t="s">
        <v>32197</v>
      </c>
      <c r="AQR1" s="0" t="s">
        <v>724</v>
      </c>
      <c r="AQS1" s="0" t="s">
        <v>32215</v>
      </c>
      <c r="AQT1" s="0" t="s">
        <v>32224</v>
      </c>
      <c r="AQU1" s="0" t="s">
        <v>32228</v>
      </c>
      <c r="AQV1" s="0" t="s">
        <v>837</v>
      </c>
      <c r="AQW1" s="0" t="s">
        <v>724</v>
      </c>
      <c r="AQX1" s="0" t="s">
        <v>32347</v>
      </c>
      <c r="AQY1" s="0" t="s">
        <v>6568</v>
      </c>
      <c r="AQZ1" s="0" t="s">
        <v>724</v>
      </c>
      <c r="ARA1" s="0" t="s">
        <v>26861</v>
      </c>
      <c r="ARB1" s="0" t="s">
        <v>32370</v>
      </c>
      <c r="ARC1" s="0" t="s">
        <v>724</v>
      </c>
      <c r="ARD1" s="0" t="s">
        <v>32373</v>
      </c>
      <c r="ARE1" s="0" t="s">
        <v>12898</v>
      </c>
      <c r="ARF1" s="0" t="s">
        <v>839</v>
      </c>
      <c r="ARG1" s="0" t="s">
        <v>32385</v>
      </c>
      <c r="ARH1" s="0" t="s">
        <v>29478</v>
      </c>
      <c r="ARI1" s="0" t="s">
        <v>724</v>
      </c>
      <c r="ARJ1" s="0" t="s">
        <v>32397</v>
      </c>
      <c r="ARK1" s="0" t="s">
        <v>724</v>
      </c>
      <c r="ARL1" s="0" t="s">
        <v>734</v>
      </c>
      <c r="ARM1" s="0" t="s">
        <v>724</v>
      </c>
      <c r="ARN1" s="0" t="s">
        <v>32419</v>
      </c>
      <c r="ARO1" s="0" t="s">
        <v>724</v>
      </c>
      <c r="ARP1" s="0" t="s">
        <v>6550</v>
      </c>
      <c r="ARQ1" s="0" t="s">
        <v>32431</v>
      </c>
      <c r="ARR1" s="0" t="s">
        <v>32437</v>
      </c>
      <c r="ARS1" s="0" t="s">
        <v>724</v>
      </c>
      <c r="ART1" s="0" t="s">
        <v>32453</v>
      </c>
      <c r="ARU1" s="0" t="s">
        <v>32439</v>
      </c>
      <c r="ARV1" s="0" t="s">
        <v>6862</v>
      </c>
      <c r="ARW1" s="0" t="s">
        <v>13732</v>
      </c>
      <c r="ARX1" s="0" t="s">
        <v>32476</v>
      </c>
      <c r="ARY1" s="0" t="s">
        <v>12898</v>
      </c>
      <c r="ARZ1" s="0" t="s">
        <v>26861</v>
      </c>
      <c r="ASA1" s="0" t="s">
        <v>22976</v>
      </c>
      <c r="ASB1" s="0" t="s">
        <v>18383</v>
      </c>
      <c r="ASC1" s="0" t="s">
        <v>724</v>
      </c>
      <c r="ASD1" s="0" t="s">
        <v>32598</v>
      </c>
      <c r="ASE1" s="0" t="s">
        <v>724</v>
      </c>
      <c r="ASF1" s="0" t="s">
        <v>724</v>
      </c>
      <c r="ASG1" s="0" t="s">
        <v>22587</v>
      </c>
      <c r="ASH1" s="0" t="s">
        <v>29407</v>
      </c>
      <c r="ASI1" s="0" t="s">
        <v>29413</v>
      </c>
      <c r="ASJ1" s="0" t="s">
        <v>32695</v>
      </c>
      <c r="ASK1" s="0" t="s">
        <v>724</v>
      </c>
      <c r="ASL1" s="0" t="s">
        <v>734</v>
      </c>
      <c r="ASM1" s="0" t="s">
        <v>32702</v>
      </c>
      <c r="ASN1" s="0" t="s">
        <v>29407</v>
      </c>
      <c r="ASO1" s="0" t="s">
        <v>29408</v>
      </c>
      <c r="ASP1" s="0" t="s">
        <v>724</v>
      </c>
      <c r="ASQ1" s="0" t="s">
        <v>734</v>
      </c>
      <c r="ASR1" s="0" t="s">
        <v>33053</v>
      </c>
      <c r="ASS1" s="0" t="s">
        <v>29407</v>
      </c>
      <c r="AST1" s="0" t="s">
        <v>29413</v>
      </c>
      <c r="ASU1" s="0" t="s">
        <v>33054</v>
      </c>
      <c r="ASV1" s="0" t="s">
        <v>33058</v>
      </c>
      <c r="ASW1" s="0" t="s">
        <v>2911</v>
      </c>
      <c r="ASX1" s="0" t="s">
        <v>13732</v>
      </c>
      <c r="ASY1" s="0" t="s">
        <v>13817</v>
      </c>
      <c r="ASZ1" s="0" t="s">
        <v>839</v>
      </c>
      <c r="ATA1" s="0" t="s">
        <v>33136</v>
      </c>
      <c r="ATB1" s="0" t="s">
        <v>33121</v>
      </c>
    </row>
    <row r="2" customFormat="false" ht="15" hidden="false" customHeight="false" outlineLevel="0" collapsed="false">
      <c r="A2" s="0" t="s">
        <v>719</v>
      </c>
      <c r="B2" s="0" t="s">
        <v>708</v>
      </c>
      <c r="D2" s="0" t="s">
        <v>716</v>
      </c>
      <c r="E2" s="0" t="s">
        <v>751</v>
      </c>
      <c r="F2" s="0" t="s">
        <v>744</v>
      </c>
      <c r="G2" s="0" t="s">
        <v>756</v>
      </c>
      <c r="H2" s="0" t="s">
        <v>736</v>
      </c>
      <c r="I2" s="0" t="s">
        <v>850</v>
      </c>
      <c r="J2" s="0" t="s">
        <v>839</v>
      </c>
      <c r="K2" s="0" t="s">
        <v>1695</v>
      </c>
      <c r="L2" s="0" t="s">
        <v>833</v>
      </c>
      <c r="M2" s="0" t="s">
        <v>1977</v>
      </c>
      <c r="N2" s="0" t="s">
        <v>716</v>
      </c>
      <c r="O2" s="0" t="s">
        <v>1695</v>
      </c>
      <c r="P2" s="0" t="s">
        <v>833</v>
      </c>
      <c r="Q2" s="0" t="s">
        <v>2921</v>
      </c>
      <c r="R2" s="0" t="s">
        <v>839</v>
      </c>
      <c r="S2" s="0" t="s">
        <v>1695</v>
      </c>
      <c r="T2" s="0" t="s">
        <v>833</v>
      </c>
      <c r="U2" s="0" t="s">
        <v>1268</v>
      </c>
      <c r="V2" s="0" t="s">
        <v>719</v>
      </c>
      <c r="W2" s="0" t="s">
        <v>3201</v>
      </c>
      <c r="X2" s="0" t="s">
        <v>719</v>
      </c>
      <c r="Y2" s="0" t="s">
        <v>739</v>
      </c>
      <c r="Z2" s="0" t="s">
        <v>3240</v>
      </c>
      <c r="AA2" s="0" t="s">
        <v>719</v>
      </c>
      <c r="AB2" s="0" t="s">
        <v>708</v>
      </c>
      <c r="AC2" s="0" t="s">
        <v>784</v>
      </c>
      <c r="AD2" s="0" t="s">
        <v>751</v>
      </c>
      <c r="AE2" s="0" t="s">
        <v>708</v>
      </c>
      <c r="AG2" s="0" t="s">
        <v>752</v>
      </c>
      <c r="AH2" s="0" t="s">
        <v>2440</v>
      </c>
      <c r="AI2" s="0" t="s">
        <v>2911</v>
      </c>
      <c r="AJ2" s="0" t="s">
        <v>708</v>
      </c>
      <c r="AK2" s="0" t="s">
        <v>716</v>
      </c>
      <c r="AL2" s="0" t="s">
        <v>751</v>
      </c>
      <c r="AM2" s="0" t="s">
        <v>733</v>
      </c>
      <c r="AN2" s="0" t="s">
        <v>731</v>
      </c>
      <c r="AO2" s="0" t="s">
        <v>726</v>
      </c>
      <c r="AP2" s="0" t="s">
        <v>3350</v>
      </c>
      <c r="AQ2" s="0" t="s">
        <v>789</v>
      </c>
      <c r="AR2" s="0" t="s">
        <v>3817</v>
      </c>
      <c r="AS2" s="0" t="s">
        <v>4555</v>
      </c>
      <c r="AT2" s="0" t="s">
        <v>847</v>
      </c>
      <c r="AU2" s="0" t="s">
        <v>725</v>
      </c>
      <c r="AV2" s="0" t="s">
        <v>4701</v>
      </c>
      <c r="AW2" s="0" t="s">
        <v>707</v>
      </c>
      <c r="AX2" s="0" t="s">
        <v>3244</v>
      </c>
      <c r="AY2" s="0" t="s">
        <v>761</v>
      </c>
      <c r="AZ2" s="0" t="s">
        <v>751</v>
      </c>
      <c r="BA2" s="0" t="s">
        <v>733</v>
      </c>
      <c r="BB2" s="0" t="s">
        <v>756</v>
      </c>
      <c r="BC2" s="0" t="s">
        <v>726</v>
      </c>
      <c r="BD2" s="0" t="s">
        <v>1048</v>
      </c>
      <c r="BE2" s="0" t="s">
        <v>719</v>
      </c>
      <c r="BF2" s="0" t="s">
        <v>708</v>
      </c>
      <c r="BG2" s="0" t="s">
        <v>3366</v>
      </c>
      <c r="BH2" s="0" t="s">
        <v>719</v>
      </c>
      <c r="BI2" s="0" t="s">
        <v>708</v>
      </c>
      <c r="BJ2" s="0" t="s">
        <v>2400</v>
      </c>
      <c r="BK2" s="0" t="s">
        <v>5492</v>
      </c>
      <c r="BL2" s="0" t="s">
        <v>5604</v>
      </c>
      <c r="BM2" s="0" t="s">
        <v>845</v>
      </c>
      <c r="BN2" s="0" t="s">
        <v>708</v>
      </c>
      <c r="BO2" s="0" t="s">
        <v>5638</v>
      </c>
      <c r="BP2" s="0" t="s">
        <v>719</v>
      </c>
      <c r="BQ2" s="0" t="s">
        <v>751</v>
      </c>
      <c r="BR2" s="0" t="s">
        <v>708</v>
      </c>
      <c r="BS2" s="0" t="s">
        <v>799</v>
      </c>
      <c r="BT2" s="0" t="s">
        <v>789</v>
      </c>
      <c r="BV2" s="0" t="s">
        <v>841</v>
      </c>
      <c r="BW2" s="0" t="s">
        <v>5971</v>
      </c>
      <c r="BX2" s="0" t="s">
        <v>2861</v>
      </c>
      <c r="BY2" s="0" t="s">
        <v>707</v>
      </c>
      <c r="BZ2" s="0" t="s">
        <v>708</v>
      </c>
      <c r="CA2" s="0" t="s">
        <v>6160</v>
      </c>
      <c r="CB2" s="0" t="s">
        <v>716</v>
      </c>
      <c r="CC2" s="0" t="s">
        <v>751</v>
      </c>
      <c r="CD2" s="0" t="s">
        <v>708</v>
      </c>
      <c r="CE2" s="0" t="s">
        <v>6163</v>
      </c>
      <c r="CG2" s="0" t="s">
        <v>883</v>
      </c>
      <c r="CH2" s="0" t="s">
        <v>716</v>
      </c>
      <c r="CI2" s="0" t="s">
        <v>708</v>
      </c>
      <c r="CJ2" s="0" t="s">
        <v>6261</v>
      </c>
      <c r="CK2" s="0" t="s">
        <v>716</v>
      </c>
      <c r="CL2" s="0" t="s">
        <v>751</v>
      </c>
      <c r="CM2" s="0" t="s">
        <v>708</v>
      </c>
      <c r="CN2" s="0" t="s">
        <v>6239</v>
      </c>
      <c r="CP2" s="0" t="s">
        <v>6336</v>
      </c>
      <c r="CQ2" s="0" t="s">
        <v>6339</v>
      </c>
      <c r="CR2" s="0" t="s">
        <v>6331</v>
      </c>
      <c r="CS2" s="0" t="s">
        <v>716</v>
      </c>
      <c r="CT2" s="0" t="s">
        <v>6344</v>
      </c>
      <c r="CU2" s="0" t="s">
        <v>6351</v>
      </c>
      <c r="CV2" s="0" t="s">
        <v>6356</v>
      </c>
      <c r="CW2" s="0" t="s">
        <v>6357</v>
      </c>
      <c r="CX2" s="0" t="s">
        <v>6358</v>
      </c>
      <c r="CY2" s="0" t="s">
        <v>837</v>
      </c>
      <c r="CZ2" s="0" t="s">
        <v>6497</v>
      </c>
      <c r="DA2" s="0" t="s">
        <v>6356</v>
      </c>
      <c r="DB2" s="0" t="s">
        <v>6358</v>
      </c>
      <c r="DC2" s="0" t="s">
        <v>789</v>
      </c>
      <c r="DD2" s="0" t="s">
        <v>6456</v>
      </c>
      <c r="DE2" s="0" t="s">
        <v>6530</v>
      </c>
      <c r="DF2" s="0" t="s">
        <v>6531</v>
      </c>
      <c r="DG2" s="0" t="s">
        <v>6542</v>
      </c>
      <c r="DH2" s="0" t="s">
        <v>6549</v>
      </c>
      <c r="DI2" s="0" t="s">
        <v>6336</v>
      </c>
      <c r="DJ2" s="0" t="s">
        <v>6547</v>
      </c>
      <c r="DK2" s="0" t="s">
        <v>6549</v>
      </c>
      <c r="DL2" s="0" t="s">
        <v>6560</v>
      </c>
      <c r="DM2" s="0" t="s">
        <v>6561</v>
      </c>
      <c r="DN2" s="0" t="s">
        <v>6594</v>
      </c>
      <c r="DO2" s="0" t="s">
        <v>6568</v>
      </c>
      <c r="DP2" s="0" t="s">
        <v>6680</v>
      </c>
      <c r="DQ2" s="0" t="s">
        <v>6691</v>
      </c>
      <c r="DR2" s="0" t="s">
        <v>789</v>
      </c>
      <c r="DS2" s="0" t="s">
        <v>6697</v>
      </c>
      <c r="DT2" s="0" t="s">
        <v>6712</v>
      </c>
      <c r="DU2" s="0" t="s">
        <v>6758</v>
      </c>
      <c r="DV2" s="0" t="s">
        <v>4721</v>
      </c>
      <c r="DW2" s="0" t="s">
        <v>6709</v>
      </c>
      <c r="DX2" s="0" t="s">
        <v>719</v>
      </c>
      <c r="DY2" s="0" t="s">
        <v>6698</v>
      </c>
      <c r="DZ2" s="0" t="s">
        <v>6758</v>
      </c>
      <c r="EA2" s="0" t="s">
        <v>6723</v>
      </c>
      <c r="EB2" s="0" t="s">
        <v>789</v>
      </c>
      <c r="EC2" s="0" t="s">
        <v>847</v>
      </c>
      <c r="ED2" s="0" t="s">
        <v>7262</v>
      </c>
      <c r="EE2" s="0" t="s">
        <v>6698</v>
      </c>
      <c r="EF2" s="0" t="s">
        <v>6758</v>
      </c>
      <c r="EG2" s="0" t="s">
        <v>4761</v>
      </c>
      <c r="EH2" s="0" t="s">
        <v>789</v>
      </c>
      <c r="EI2" s="0" t="s">
        <v>707</v>
      </c>
      <c r="EJ2" s="0" t="s">
        <v>736</v>
      </c>
      <c r="EK2" s="0" t="s">
        <v>6712</v>
      </c>
      <c r="EL2" s="0" t="s">
        <v>6758</v>
      </c>
      <c r="EM2" s="0" t="s">
        <v>761</v>
      </c>
      <c r="EN2" s="0" t="s">
        <v>716</v>
      </c>
      <c r="EO2" s="0" t="s">
        <v>847</v>
      </c>
      <c r="EP2" s="0" t="s">
        <v>734</v>
      </c>
      <c r="EQ2" s="0" t="s">
        <v>7074</v>
      </c>
      <c r="ER2" s="0" t="s">
        <v>6758</v>
      </c>
      <c r="ES2" s="0" t="s">
        <v>3833</v>
      </c>
      <c r="ET2" s="0" t="s">
        <v>789</v>
      </c>
      <c r="EU2" s="0" t="s">
        <v>714</v>
      </c>
      <c r="EV2" s="0" t="s">
        <v>6160</v>
      </c>
      <c r="EW2" s="0" t="s">
        <v>6698</v>
      </c>
      <c r="EX2" s="0" t="s">
        <v>7030</v>
      </c>
      <c r="EY2" s="0" t="s">
        <v>4000</v>
      </c>
      <c r="EZ2" s="0" t="s">
        <v>6740</v>
      </c>
      <c r="FA2" s="0" t="s">
        <v>707</v>
      </c>
      <c r="FB2" s="0" t="s">
        <v>6698</v>
      </c>
      <c r="FD2" s="0" t="s">
        <v>3833</v>
      </c>
      <c r="FE2" s="0" t="s">
        <v>716</v>
      </c>
      <c r="FF2" s="0" t="s">
        <v>707</v>
      </c>
      <c r="FG2" s="0" t="s">
        <v>6758</v>
      </c>
      <c r="FH2" s="0" t="s">
        <v>5091</v>
      </c>
      <c r="FI2" s="0" t="s">
        <v>716</v>
      </c>
      <c r="FJ2" s="0" t="s">
        <v>7712</v>
      </c>
      <c r="FK2" s="0" t="s">
        <v>716</v>
      </c>
      <c r="FL2" s="0" t="s">
        <v>7736</v>
      </c>
      <c r="FM2" s="0" t="s">
        <v>7743</v>
      </c>
      <c r="FN2" s="0" t="s">
        <v>6336</v>
      </c>
      <c r="FO2" s="0" t="s">
        <v>6740</v>
      </c>
      <c r="FP2" s="0" t="s">
        <v>7773</v>
      </c>
      <c r="FQ2" s="0" t="s">
        <v>7771</v>
      </c>
      <c r="FR2" s="0" t="s">
        <v>3328</v>
      </c>
      <c r="FS2" s="0" t="s">
        <v>7806</v>
      </c>
      <c r="FT2" s="0" t="s">
        <v>3833</v>
      </c>
      <c r="FU2" s="0" t="s">
        <v>7812</v>
      </c>
      <c r="FV2" s="0" t="s">
        <v>7884</v>
      </c>
      <c r="FW2" s="0" t="s">
        <v>7941</v>
      </c>
      <c r="FX2" s="0" t="s">
        <v>7835</v>
      </c>
      <c r="FY2" s="0" t="s">
        <v>7904</v>
      </c>
      <c r="FZ2" s="0" t="s">
        <v>6698</v>
      </c>
      <c r="GA2" s="0" t="s">
        <v>8168</v>
      </c>
      <c r="GB2" s="0" t="s">
        <v>8710</v>
      </c>
      <c r="GC2" s="0" t="s">
        <v>7979</v>
      </c>
      <c r="GD2" s="0" t="s">
        <v>8415</v>
      </c>
      <c r="GE2" s="0" t="s">
        <v>8220</v>
      </c>
      <c r="GF2" s="0" t="s">
        <v>6549</v>
      </c>
      <c r="GG2" s="0" t="s">
        <v>7979</v>
      </c>
      <c r="GH2" s="0" t="s">
        <v>8176</v>
      </c>
      <c r="GI2" s="0" t="s">
        <v>7918</v>
      </c>
      <c r="GJ2" s="0" t="s">
        <v>6549</v>
      </c>
      <c r="GK2" s="0" t="s">
        <v>8710</v>
      </c>
      <c r="GL2" s="0" t="s">
        <v>7902</v>
      </c>
      <c r="GM2" s="0" t="s">
        <v>8415</v>
      </c>
      <c r="GN2" s="0" t="s">
        <v>8220</v>
      </c>
      <c r="GO2" s="0" t="s">
        <v>7884</v>
      </c>
      <c r="GP2" s="0" t="s">
        <v>10095</v>
      </c>
      <c r="GQ2" s="0" t="s">
        <v>6336</v>
      </c>
      <c r="GR2" s="0" t="s">
        <v>6336</v>
      </c>
      <c r="GS2" s="0" t="s">
        <v>10104</v>
      </c>
      <c r="GT2" s="0" t="s">
        <v>7918</v>
      </c>
      <c r="GU2" s="0" t="s">
        <v>6336</v>
      </c>
      <c r="GV2" s="0" t="s">
        <v>6336</v>
      </c>
      <c r="GW2" s="0" t="s">
        <v>10155</v>
      </c>
      <c r="GX2" s="0" t="s">
        <v>10164</v>
      </c>
      <c r="GY2" s="0" t="s">
        <v>7884</v>
      </c>
      <c r="GZ2" s="0" t="s">
        <v>8168</v>
      </c>
      <c r="HA2" s="0" t="s">
        <v>10577</v>
      </c>
      <c r="HB2" s="0" t="s">
        <v>10270</v>
      </c>
      <c r="HC2" s="0" t="s">
        <v>10164</v>
      </c>
      <c r="HD2" s="0" t="s">
        <v>7939</v>
      </c>
      <c r="HE2" s="0" t="s">
        <v>10837</v>
      </c>
      <c r="HG2" s="0" t="s">
        <v>6706</v>
      </c>
      <c r="HH2" s="0" t="s">
        <v>10864</v>
      </c>
      <c r="HI2" s="0" t="s">
        <v>7904</v>
      </c>
      <c r="HJ2" s="0" t="s">
        <v>7884</v>
      </c>
      <c r="HK2" s="0" t="s">
        <v>11174</v>
      </c>
      <c r="HL2" s="0" t="s">
        <v>11035</v>
      </c>
      <c r="HM2" s="0" t="s">
        <v>7904</v>
      </c>
      <c r="HN2" s="0" t="s">
        <v>11382</v>
      </c>
      <c r="HO2" s="0" t="s">
        <v>839</v>
      </c>
      <c r="HP2" s="0" t="s">
        <v>7884</v>
      </c>
      <c r="HQ2" s="0" t="s">
        <v>11498</v>
      </c>
      <c r="HR2" s="0" t="s">
        <v>11553</v>
      </c>
      <c r="HS2" s="0" t="s">
        <v>7831</v>
      </c>
      <c r="HT2" s="0" t="s">
        <v>11619</v>
      </c>
      <c r="HU2" s="0" t="s">
        <v>839</v>
      </c>
      <c r="HV2" s="0" t="s">
        <v>10590</v>
      </c>
      <c r="HW2" s="0" t="s">
        <v>9823</v>
      </c>
      <c r="HX2" s="0" t="s">
        <v>10164</v>
      </c>
      <c r="HY2" s="0" t="s">
        <v>11956</v>
      </c>
      <c r="HZ2" s="0" t="s">
        <v>2911</v>
      </c>
      <c r="IA2" s="0" t="s">
        <v>11957</v>
      </c>
      <c r="IB2" s="0" t="s">
        <v>11720</v>
      </c>
      <c r="IC2" s="0" t="s">
        <v>6239</v>
      </c>
      <c r="ID2" s="0" t="s">
        <v>3061</v>
      </c>
      <c r="IE2" s="0" t="s">
        <v>11957</v>
      </c>
      <c r="IF2" s="0" t="s">
        <v>11720</v>
      </c>
      <c r="IG2" s="0" t="s">
        <v>12525</v>
      </c>
      <c r="IH2" s="0" t="s">
        <v>11956</v>
      </c>
      <c r="II2" s="0" t="s">
        <v>7939</v>
      </c>
      <c r="IJ2" s="0" t="s">
        <v>12843</v>
      </c>
      <c r="IK2" s="0" t="s">
        <v>12869</v>
      </c>
      <c r="IL2" s="0" t="s">
        <v>11720</v>
      </c>
      <c r="IM2" s="0" t="s">
        <v>12844</v>
      </c>
      <c r="IN2" s="0" t="s">
        <v>6239</v>
      </c>
      <c r="IO2" s="0" t="s">
        <v>7939</v>
      </c>
      <c r="IP2" s="0" t="s">
        <v>12927</v>
      </c>
      <c r="IQ2" s="0" t="s">
        <v>11947</v>
      </c>
      <c r="IR2" s="0" t="s">
        <v>11720</v>
      </c>
      <c r="IS2" s="0" t="s">
        <v>12844</v>
      </c>
      <c r="IT2" s="0" t="s">
        <v>12980</v>
      </c>
      <c r="IU2" s="0" t="s">
        <v>13158</v>
      </c>
      <c r="IV2" s="0" t="s">
        <v>13168</v>
      </c>
      <c r="IW2" s="0" t="s">
        <v>13188</v>
      </c>
      <c r="IX2" s="0" t="s">
        <v>13210</v>
      </c>
      <c r="IY2" s="0" t="s">
        <v>13251</v>
      </c>
      <c r="IZ2" s="0" t="s">
        <v>6362</v>
      </c>
      <c r="JA2" s="0" t="s">
        <v>13271</v>
      </c>
      <c r="JB2" s="0" t="s">
        <v>13367</v>
      </c>
      <c r="JC2" s="0" t="s">
        <v>13410</v>
      </c>
      <c r="JD2" s="0" t="s">
        <v>2851</v>
      </c>
      <c r="JE2" s="0" t="s">
        <v>6336</v>
      </c>
      <c r="JF2" s="0" t="s">
        <v>13720</v>
      </c>
      <c r="JG2" s="0" t="s">
        <v>13710</v>
      </c>
      <c r="JH2" s="0" t="s">
        <v>13722</v>
      </c>
      <c r="JI2" s="0" t="s">
        <v>13739</v>
      </c>
      <c r="JJ2" s="0" t="s">
        <v>13740</v>
      </c>
      <c r="JK2" s="0" t="s">
        <v>13737</v>
      </c>
      <c r="JL2" s="0" t="s">
        <v>13739</v>
      </c>
      <c r="JM2" s="0" t="s">
        <v>716</v>
      </c>
      <c r="JN2" s="0" t="s">
        <v>789</v>
      </c>
      <c r="JO2" s="0" t="s">
        <v>14260</v>
      </c>
      <c r="JP2" s="0" t="s">
        <v>6336</v>
      </c>
      <c r="JQ2" s="0" t="s">
        <v>14309</v>
      </c>
      <c r="JR2" s="0" t="s">
        <v>716</v>
      </c>
      <c r="JS2" s="0" t="s">
        <v>2851</v>
      </c>
      <c r="JT2" s="0" t="s">
        <v>1048</v>
      </c>
      <c r="JU2" s="0" t="s">
        <v>841</v>
      </c>
      <c r="JV2" s="0" t="s">
        <v>716</v>
      </c>
      <c r="JW2" s="0" t="s">
        <v>5153</v>
      </c>
      <c r="JX2" s="0" t="s">
        <v>13739</v>
      </c>
      <c r="JY2" s="0" t="s">
        <v>789</v>
      </c>
      <c r="JZ2" s="0" t="s">
        <v>841</v>
      </c>
      <c r="KA2" s="0" t="s">
        <v>734</v>
      </c>
      <c r="KB2" s="0" t="s">
        <v>8145</v>
      </c>
      <c r="KC2" s="0" t="s">
        <v>6549</v>
      </c>
      <c r="KD2" s="0" t="s">
        <v>14529</v>
      </c>
      <c r="KE2" s="0" t="s">
        <v>7829</v>
      </c>
      <c r="KF2" s="0" t="s">
        <v>13025</v>
      </c>
      <c r="KG2" s="0" t="s">
        <v>841</v>
      </c>
      <c r="KH2" s="0" t="s">
        <v>14713</v>
      </c>
      <c r="KI2" s="0" t="s">
        <v>14720</v>
      </c>
      <c r="KJ2" s="0" t="s">
        <v>14715</v>
      </c>
      <c r="KK2" s="0" t="s">
        <v>707</v>
      </c>
      <c r="KL2" s="0" t="s">
        <v>11409</v>
      </c>
      <c r="KM2" s="0" t="s">
        <v>1048</v>
      </c>
      <c r="KN2" s="0" t="s">
        <v>841</v>
      </c>
      <c r="KO2" s="0" t="s">
        <v>716</v>
      </c>
      <c r="KP2" s="0" t="s">
        <v>14828</v>
      </c>
      <c r="KQ2" s="0" t="s">
        <v>14779</v>
      </c>
      <c r="KR2" s="0" t="s">
        <v>14979</v>
      </c>
      <c r="KS2" s="0" t="s">
        <v>15254</v>
      </c>
      <c r="KT2" s="0" t="s">
        <v>14013</v>
      </c>
      <c r="KU2" s="0" t="s">
        <v>15258</v>
      </c>
      <c r="KV2" s="0" t="s">
        <v>14829</v>
      </c>
      <c r="KW2" s="0" t="s">
        <v>15378</v>
      </c>
      <c r="KX2" s="0" t="s">
        <v>6369</v>
      </c>
      <c r="KY2" s="0" t="s">
        <v>15407</v>
      </c>
      <c r="KZ2" s="0" t="s">
        <v>15457</v>
      </c>
      <c r="LA2" s="0" t="s">
        <v>15384</v>
      </c>
      <c r="LB2" s="0" t="s">
        <v>15486</v>
      </c>
      <c r="LC2" s="0" t="s">
        <v>15487</v>
      </c>
      <c r="LD2" s="0" t="s">
        <v>6513</v>
      </c>
      <c r="LE2" s="0" t="s">
        <v>15516</v>
      </c>
      <c r="LF2" s="0" t="s">
        <v>15528</v>
      </c>
      <c r="LG2" s="0" t="s">
        <v>6336</v>
      </c>
      <c r="LH2" s="0" t="s">
        <v>15562</v>
      </c>
      <c r="LI2" s="0" t="s">
        <v>15535</v>
      </c>
      <c r="LJ2" s="0" t="s">
        <v>15575</v>
      </c>
      <c r="LK2" s="0" t="s">
        <v>15692</v>
      </c>
      <c r="LL2" s="0" t="s">
        <v>15500</v>
      </c>
      <c r="LM2" s="0" t="s">
        <v>15701</v>
      </c>
      <c r="LN2" s="0" t="s">
        <v>15695</v>
      </c>
      <c r="LO2" s="0" t="s">
        <v>15720</v>
      </c>
      <c r="LP2" s="0" t="s">
        <v>15710</v>
      </c>
      <c r="LQ2" s="0" t="s">
        <v>15736</v>
      </c>
      <c r="LR2" s="0" t="s">
        <v>15798</v>
      </c>
      <c r="LS2" s="0" t="s">
        <v>15799</v>
      </c>
      <c r="LT2" s="0" t="s">
        <v>10100</v>
      </c>
      <c r="LU2" s="0" t="s">
        <v>15816</v>
      </c>
      <c r="LV2" s="0" t="s">
        <v>15817</v>
      </c>
      <c r="LW2" s="0" t="s">
        <v>7884</v>
      </c>
      <c r="LX2" s="0" t="s">
        <v>16068</v>
      </c>
      <c r="LY2" s="0" t="s">
        <v>15850</v>
      </c>
      <c r="LZ2" s="0" t="s">
        <v>13739</v>
      </c>
      <c r="MA2" s="0" t="s">
        <v>16045</v>
      </c>
      <c r="MB2" s="0" t="s">
        <v>10100</v>
      </c>
      <c r="MC2" s="0" t="s">
        <v>16110</v>
      </c>
      <c r="MD2" s="0" t="s">
        <v>13409</v>
      </c>
      <c r="ME2" s="0" t="s">
        <v>16138</v>
      </c>
      <c r="MF2" s="0" t="s">
        <v>938</v>
      </c>
      <c r="MG2" s="0" t="s">
        <v>10100</v>
      </c>
      <c r="MH2" s="0" t="s">
        <v>16452</v>
      </c>
      <c r="MI2" s="0" t="s">
        <v>16407</v>
      </c>
      <c r="MJ2" s="0" t="s">
        <v>16429</v>
      </c>
      <c r="MK2" s="0" t="s">
        <v>6549</v>
      </c>
      <c r="ML2" s="0" t="s">
        <v>16514</v>
      </c>
      <c r="MM2" s="0" t="s">
        <v>847</v>
      </c>
      <c r="MN2" s="0" t="s">
        <v>6549</v>
      </c>
      <c r="MO2" s="0" t="s">
        <v>16547</v>
      </c>
      <c r="MP2" s="0" t="s">
        <v>16722</v>
      </c>
      <c r="MQ2" s="0" t="s">
        <v>16903</v>
      </c>
      <c r="MR2" s="0" t="s">
        <v>6549</v>
      </c>
      <c r="MS2" s="0" t="s">
        <v>16905</v>
      </c>
      <c r="MT2" s="0" t="s">
        <v>16909</v>
      </c>
      <c r="MU2" s="0" t="s">
        <v>16963</v>
      </c>
      <c r="MV2" s="0" t="s">
        <v>5097</v>
      </c>
      <c r="MW2" s="0" t="s">
        <v>17050</v>
      </c>
      <c r="MX2" s="0" t="s">
        <v>17043</v>
      </c>
      <c r="MY2" s="0" t="s">
        <v>1048</v>
      </c>
      <c r="MZ2" s="0" t="s">
        <v>17044</v>
      </c>
      <c r="NA2" s="0" t="s">
        <v>17261</v>
      </c>
      <c r="NB2" s="0" t="s">
        <v>17172</v>
      </c>
      <c r="NC2" s="0" t="s">
        <v>17110</v>
      </c>
      <c r="ND2" s="0" t="s">
        <v>17265</v>
      </c>
      <c r="NE2" s="0" t="s">
        <v>17050</v>
      </c>
      <c r="NF2" s="0" t="s">
        <v>17477</v>
      </c>
      <c r="NG2" s="0" t="s">
        <v>3011</v>
      </c>
      <c r="NH2" s="0" t="s">
        <v>13739</v>
      </c>
      <c r="NI2" s="0" t="s">
        <v>17662</v>
      </c>
      <c r="NJ2" s="0" t="s">
        <v>17692</v>
      </c>
      <c r="NK2" s="0" t="s">
        <v>17686</v>
      </c>
      <c r="NL2" s="0" t="s">
        <v>6549</v>
      </c>
      <c r="NM2" s="0" t="s">
        <v>17838</v>
      </c>
      <c r="NN2" s="0" t="s">
        <v>17703</v>
      </c>
      <c r="NO2" s="0" t="s">
        <v>17808</v>
      </c>
      <c r="NP2" s="0" t="s">
        <v>6549</v>
      </c>
      <c r="NQ2" s="0" t="s">
        <v>17859</v>
      </c>
      <c r="NR2" s="0" t="s">
        <v>17942</v>
      </c>
      <c r="NS2" s="0" t="s">
        <v>17883</v>
      </c>
      <c r="NT2" s="0" t="s">
        <v>17907</v>
      </c>
      <c r="NU2" s="0" t="s">
        <v>17951</v>
      </c>
      <c r="NV2" s="0" t="s">
        <v>17951</v>
      </c>
      <c r="NW2" s="0" t="s">
        <v>17119</v>
      </c>
      <c r="NX2" s="0" t="s">
        <v>15516</v>
      </c>
      <c r="NY2" s="0" t="s">
        <v>17120</v>
      </c>
      <c r="NZ2" s="0" t="s">
        <v>18144</v>
      </c>
      <c r="OA2" s="0" t="s">
        <v>17303</v>
      </c>
      <c r="OB2" s="0" t="s">
        <v>18149</v>
      </c>
      <c r="OC2" s="0" t="s">
        <v>18154</v>
      </c>
      <c r="OD2" s="0" t="s">
        <v>17288</v>
      </c>
      <c r="OE2" s="0" t="s">
        <v>17289</v>
      </c>
      <c r="OF2" s="0" t="s">
        <v>6549</v>
      </c>
      <c r="OG2" s="0" t="s">
        <v>18200</v>
      </c>
      <c r="OH2" s="0" t="s">
        <v>18343</v>
      </c>
      <c r="OI2" s="0" t="s">
        <v>18383</v>
      </c>
      <c r="OJ2" s="0" t="s">
        <v>18429</v>
      </c>
      <c r="OK2" s="0" t="s">
        <v>13025</v>
      </c>
      <c r="OL2" s="0" t="s">
        <v>6549</v>
      </c>
      <c r="OM2" s="0" t="s">
        <v>14260</v>
      </c>
      <c r="ON2" s="0" t="s">
        <v>18528</v>
      </c>
      <c r="OO2" s="0" t="s">
        <v>18543</v>
      </c>
      <c r="OP2" s="0" t="s">
        <v>13743</v>
      </c>
      <c r="OQ2" s="0" t="s">
        <v>18690</v>
      </c>
      <c r="OR2" s="0" t="s">
        <v>18723</v>
      </c>
      <c r="OS2" s="0" t="s">
        <v>18753</v>
      </c>
      <c r="OT2" s="0" t="s">
        <v>18764</v>
      </c>
      <c r="OU2" s="0" t="s">
        <v>18357</v>
      </c>
      <c r="OV2" s="0" t="s">
        <v>6549</v>
      </c>
      <c r="OW2" s="0" t="s">
        <v>13751</v>
      </c>
      <c r="OX2" s="0" t="s">
        <v>17688</v>
      </c>
      <c r="OY2" s="0" t="s">
        <v>18779</v>
      </c>
      <c r="OZ2" s="0" t="s">
        <v>18875</v>
      </c>
      <c r="PA2" s="0" t="s">
        <v>8669</v>
      </c>
      <c r="PB2" s="0" t="s">
        <v>19163</v>
      </c>
      <c r="PC2" s="0" t="s">
        <v>18999</v>
      </c>
      <c r="PD2" s="0" t="s">
        <v>19137</v>
      </c>
      <c r="PE2" s="0" t="s">
        <v>17314</v>
      </c>
      <c r="PF2" s="0" t="s">
        <v>734</v>
      </c>
      <c r="PG2" s="0" t="s">
        <v>13025</v>
      </c>
      <c r="PH2" s="0" t="s">
        <v>17306</v>
      </c>
      <c r="PI2" s="0" t="s">
        <v>19305</v>
      </c>
      <c r="PJ2" s="0" t="s">
        <v>19310</v>
      </c>
      <c r="PK2" s="0" t="s">
        <v>19313</v>
      </c>
      <c r="PL2" s="0" t="s">
        <v>13739</v>
      </c>
      <c r="PM2" s="0" t="s">
        <v>19377</v>
      </c>
      <c r="PN2" s="0" t="s">
        <v>19406</v>
      </c>
      <c r="PO2" s="0" t="s">
        <v>11409</v>
      </c>
      <c r="PP2" s="0" t="s">
        <v>19437</v>
      </c>
      <c r="PQ2" s="0" t="s">
        <v>19454</v>
      </c>
      <c r="PR2" s="0" t="s">
        <v>19447</v>
      </c>
      <c r="PS2" s="0" t="s">
        <v>19444</v>
      </c>
      <c r="PT2" s="0" t="s">
        <v>6723</v>
      </c>
      <c r="PU2" s="0" t="s">
        <v>19481</v>
      </c>
      <c r="PV2" s="0" t="s">
        <v>19490</v>
      </c>
      <c r="PW2" s="0" t="s">
        <v>13852</v>
      </c>
      <c r="PX2" s="0" t="s">
        <v>3041</v>
      </c>
      <c r="PY2" s="0" t="s">
        <v>847</v>
      </c>
      <c r="PZ2" s="0" t="s">
        <v>19497</v>
      </c>
      <c r="QA2" s="0" t="s">
        <v>19506</v>
      </c>
      <c r="QB2" s="0" t="s">
        <v>19555</v>
      </c>
      <c r="QC2" s="0" t="s">
        <v>19560</v>
      </c>
      <c r="QD2" s="0" t="s">
        <v>13743</v>
      </c>
      <c r="QE2" s="0" t="s">
        <v>19567</v>
      </c>
      <c r="QF2" s="0" t="s">
        <v>19623</v>
      </c>
      <c r="QG2" s="0" t="s">
        <v>19617</v>
      </c>
      <c r="QH2" s="0" t="s">
        <v>19610</v>
      </c>
      <c r="QI2" s="0" t="s">
        <v>751</v>
      </c>
      <c r="QJ2" s="0" t="s">
        <v>19638</v>
      </c>
      <c r="QK2" s="0" t="s">
        <v>19643</v>
      </c>
      <c r="QL2" s="0" t="s">
        <v>19648</v>
      </c>
      <c r="QM2" s="0" t="s">
        <v>19652</v>
      </c>
      <c r="QN2" s="0" t="s">
        <v>751</v>
      </c>
      <c r="QO2" s="0" t="s">
        <v>14013</v>
      </c>
      <c r="QP2" s="0" t="s">
        <v>19659</v>
      </c>
      <c r="QQ2" s="0" t="s">
        <v>19670</v>
      </c>
      <c r="QR2" s="0" t="s">
        <v>19697</v>
      </c>
      <c r="QS2" s="0" t="s">
        <v>751</v>
      </c>
      <c r="QT2" s="0" t="s">
        <v>19716</v>
      </c>
      <c r="QU2" s="0" t="s">
        <v>19743</v>
      </c>
      <c r="QV2" s="0" t="s">
        <v>19727</v>
      </c>
      <c r="QW2" s="0" t="s">
        <v>19781</v>
      </c>
      <c r="QX2" s="0" t="s">
        <v>6549</v>
      </c>
      <c r="QY2" s="0" t="s">
        <v>1048</v>
      </c>
      <c r="RA2" s="0" t="s">
        <v>19822</v>
      </c>
      <c r="RB2" s="0" t="s">
        <v>19823</v>
      </c>
      <c r="RC2" s="0" t="s">
        <v>6549</v>
      </c>
      <c r="RD2" s="0" t="s">
        <v>1520</v>
      </c>
      <c r="RE2" s="0" t="s">
        <v>6549</v>
      </c>
      <c r="RF2" s="0" t="s">
        <v>1048</v>
      </c>
      <c r="RG2" s="0" t="s">
        <v>837</v>
      </c>
      <c r="RH2" s="0" t="s">
        <v>19899</v>
      </c>
      <c r="RI2" s="0" t="s">
        <v>1520</v>
      </c>
      <c r="RJ2" s="0" t="s">
        <v>2600</v>
      </c>
      <c r="RK2" s="0" t="s">
        <v>837</v>
      </c>
      <c r="RL2" s="0" t="s">
        <v>1520</v>
      </c>
      <c r="RM2" s="0" t="s">
        <v>6549</v>
      </c>
      <c r="RN2" s="0" t="s">
        <v>1378</v>
      </c>
      <c r="RP2" s="0" t="s">
        <v>1733</v>
      </c>
      <c r="RQ2" s="0" t="s">
        <v>19743</v>
      </c>
      <c r="RR2" s="0" t="s">
        <v>6549</v>
      </c>
      <c r="RS2" s="0" t="s">
        <v>1520</v>
      </c>
      <c r="RT2" s="0" t="s">
        <v>19962</v>
      </c>
      <c r="RU2" s="0" t="s">
        <v>19972</v>
      </c>
      <c r="RV2" s="0" t="s">
        <v>19980</v>
      </c>
      <c r="RW2" s="0" t="s">
        <v>6336</v>
      </c>
      <c r="RX2" s="0" t="s">
        <v>11481</v>
      </c>
      <c r="RY2" s="0" t="s">
        <v>19991</v>
      </c>
      <c r="RZ2" s="0" t="s">
        <v>20012</v>
      </c>
      <c r="SA2" s="0" t="s">
        <v>6549</v>
      </c>
      <c r="SB2" s="0" t="s">
        <v>20035</v>
      </c>
      <c r="SC2" s="0" t="s">
        <v>20027</v>
      </c>
      <c r="SD2" s="0" t="s">
        <v>6549</v>
      </c>
      <c r="SE2" s="0" t="s">
        <v>20075</v>
      </c>
      <c r="SF2" s="0" t="s">
        <v>20079</v>
      </c>
      <c r="SG2" s="0" t="s">
        <v>20118</v>
      </c>
      <c r="SH2" s="0" t="s">
        <v>20135</v>
      </c>
      <c r="SI2" s="0" t="s">
        <v>20307</v>
      </c>
      <c r="SJ2" s="0" t="s">
        <v>20164</v>
      </c>
      <c r="SK2" s="0" t="s">
        <v>20357</v>
      </c>
      <c r="SL2" s="0" t="s">
        <v>20393</v>
      </c>
      <c r="SM2" s="0" t="s">
        <v>20397</v>
      </c>
      <c r="SN2" s="0" t="s">
        <v>20391</v>
      </c>
      <c r="SO2" s="0" t="s">
        <v>20372</v>
      </c>
      <c r="SP2" s="0" t="s">
        <v>20367</v>
      </c>
      <c r="SQ2" s="0" t="s">
        <v>20451</v>
      </c>
      <c r="SR2" s="0" t="s">
        <v>20448</v>
      </c>
      <c r="SS2" s="0" t="s">
        <v>20458</v>
      </c>
      <c r="ST2" s="0" t="s">
        <v>11720</v>
      </c>
      <c r="SU2" s="0" t="s">
        <v>13739</v>
      </c>
      <c r="SV2" s="0" t="s">
        <v>20517</v>
      </c>
      <c r="SW2" s="0" t="s">
        <v>11481</v>
      </c>
      <c r="SX2" s="0" t="s">
        <v>11432</v>
      </c>
      <c r="SY2" s="0" t="s">
        <v>20543</v>
      </c>
      <c r="SZ2" s="0" t="s">
        <v>18157</v>
      </c>
      <c r="TA2" s="0" t="s">
        <v>20558</v>
      </c>
      <c r="TB2" s="0" t="s">
        <v>20559</v>
      </c>
      <c r="TC2" s="0" t="s">
        <v>6549</v>
      </c>
      <c r="TD2" s="0" t="s">
        <v>11490</v>
      </c>
      <c r="TE2" s="0" t="s">
        <v>20574</v>
      </c>
      <c r="TF2" s="0" t="s">
        <v>20575</v>
      </c>
      <c r="TG2" s="0" t="s">
        <v>20582</v>
      </c>
      <c r="TH2" s="0" t="s">
        <v>20590</v>
      </c>
      <c r="TI2" s="0" t="s">
        <v>6336</v>
      </c>
      <c r="TJ2" s="0" t="s">
        <v>20612</v>
      </c>
      <c r="TK2" s="0" t="s">
        <v>20665</v>
      </c>
      <c r="TL2" s="0" t="s">
        <v>14826</v>
      </c>
      <c r="TM2" s="0" t="s">
        <v>20811</v>
      </c>
      <c r="TN2" s="0" t="s">
        <v>841</v>
      </c>
      <c r="TO2" s="0" t="s">
        <v>20759</v>
      </c>
      <c r="TP2" s="0" t="s">
        <v>20755</v>
      </c>
      <c r="TQ2" s="0" t="s">
        <v>6362</v>
      </c>
      <c r="TR2" s="0" t="s">
        <v>19994</v>
      </c>
      <c r="TS2" s="0" t="s">
        <v>19994</v>
      </c>
      <c r="TT2" s="0" t="s">
        <v>20882</v>
      </c>
      <c r="TU2" s="0" t="s">
        <v>20890</v>
      </c>
      <c r="TV2" s="0" t="s">
        <v>20904</v>
      </c>
      <c r="TW2" s="0" t="s">
        <v>7884</v>
      </c>
      <c r="TX2" s="0" t="s">
        <v>13739</v>
      </c>
      <c r="TY2" s="0" t="s">
        <v>20925</v>
      </c>
      <c r="TZ2" s="0" t="s">
        <v>20946</v>
      </c>
      <c r="UA2" s="0" t="s">
        <v>6336</v>
      </c>
      <c r="UB2" s="0" t="s">
        <v>20959</v>
      </c>
      <c r="UC2" s="0" t="s">
        <v>14013</v>
      </c>
      <c r="UD2" s="0" t="s">
        <v>21001</v>
      </c>
      <c r="UE2" s="0" t="s">
        <v>5097</v>
      </c>
      <c r="UF2" s="0" t="s">
        <v>21027</v>
      </c>
      <c r="UG2" s="0" t="s">
        <v>13817</v>
      </c>
      <c r="UH2" s="0" t="s">
        <v>21052</v>
      </c>
      <c r="UI2" s="0" t="s">
        <v>21073</v>
      </c>
      <c r="UJ2" s="0" t="s">
        <v>21076</v>
      </c>
      <c r="UK2" s="0" t="s">
        <v>21074</v>
      </c>
      <c r="UL2" s="0" t="s">
        <v>6336</v>
      </c>
      <c r="UM2" s="0" t="s">
        <v>21085</v>
      </c>
      <c r="UN2" s="0" t="s">
        <v>21095</v>
      </c>
      <c r="UO2" s="0" t="s">
        <v>21100</v>
      </c>
      <c r="UP2" s="0" t="s">
        <v>21111</v>
      </c>
      <c r="UQ2" s="0" t="s">
        <v>6369</v>
      </c>
      <c r="UR2" s="0" t="s">
        <v>21116</v>
      </c>
      <c r="US2" s="0" t="s">
        <v>7939</v>
      </c>
      <c r="UT2" s="0" t="s">
        <v>6362</v>
      </c>
      <c r="UU2" s="0" t="s">
        <v>21143</v>
      </c>
      <c r="UV2" s="0" t="s">
        <v>21151</v>
      </c>
      <c r="UW2" s="0" t="s">
        <v>21155</v>
      </c>
      <c r="UX2" s="0" t="s">
        <v>21191</v>
      </c>
      <c r="UY2" s="0" t="s">
        <v>18157</v>
      </c>
      <c r="UZ2" s="0" t="s">
        <v>21195</v>
      </c>
      <c r="VA2" s="0" t="s">
        <v>6336</v>
      </c>
      <c r="VB2" s="0" t="s">
        <v>21208</v>
      </c>
      <c r="VC2" s="0" t="s">
        <v>6336</v>
      </c>
      <c r="VD2" s="0" t="s">
        <v>21224</v>
      </c>
      <c r="VE2" s="0" t="s">
        <v>6336</v>
      </c>
      <c r="VF2" s="0" t="s">
        <v>21226</v>
      </c>
      <c r="VG2" s="0" t="s">
        <v>21230</v>
      </c>
      <c r="VH2" s="0" t="s">
        <v>21281</v>
      </c>
      <c r="VI2" s="0" t="s">
        <v>21307</v>
      </c>
      <c r="VJ2" s="0" t="s">
        <v>19729</v>
      </c>
      <c r="VK2" s="0" t="s">
        <v>751</v>
      </c>
      <c r="VL2" s="0" t="s">
        <v>21570</v>
      </c>
      <c r="VM2" s="0" t="s">
        <v>21579</v>
      </c>
      <c r="VN2" s="0" t="s">
        <v>21589</v>
      </c>
      <c r="VO2" s="0" t="s">
        <v>21591</v>
      </c>
      <c r="VP2" s="0" t="s">
        <v>6549</v>
      </c>
      <c r="VQ2" s="0" t="s">
        <v>751</v>
      </c>
      <c r="VR2" s="0" t="s">
        <v>21626</v>
      </c>
      <c r="VS2" s="0" t="s">
        <v>7884</v>
      </c>
      <c r="VT2" s="0" t="s">
        <v>21662</v>
      </c>
      <c r="VU2" s="0" t="s">
        <v>6633</v>
      </c>
      <c r="VV2" s="0" t="s">
        <v>21684</v>
      </c>
      <c r="VW2" s="0" t="s">
        <v>21681</v>
      </c>
      <c r="VX2" s="0" t="s">
        <v>841</v>
      </c>
      <c r="VY2" s="0" t="s">
        <v>21697</v>
      </c>
      <c r="VZ2" s="0" t="s">
        <v>21692</v>
      </c>
      <c r="WA2" s="0" t="s">
        <v>751</v>
      </c>
      <c r="WB2" s="0" t="s">
        <v>14007</v>
      </c>
      <c r="WC2" s="0" t="s">
        <v>21704</v>
      </c>
      <c r="WD2" s="0" t="s">
        <v>21700</v>
      </c>
      <c r="WE2" s="0" t="s">
        <v>21747</v>
      </c>
      <c r="WF2" s="0" t="s">
        <v>21729</v>
      </c>
      <c r="WG2" s="0" t="s">
        <v>21730</v>
      </c>
      <c r="WH2" s="0" t="s">
        <v>21734</v>
      </c>
      <c r="WI2" s="0" t="s">
        <v>21790</v>
      </c>
      <c r="WJ2" s="0" t="s">
        <v>21799</v>
      </c>
      <c r="WK2" s="0" t="s">
        <v>21860</v>
      </c>
      <c r="WL2" s="0" t="s">
        <v>21866</v>
      </c>
      <c r="WM2" s="0" t="s">
        <v>17068</v>
      </c>
      <c r="WN2" s="0" t="s">
        <v>21876</v>
      </c>
      <c r="WO2" s="0" t="s">
        <v>21891</v>
      </c>
      <c r="WP2" s="0" t="s">
        <v>17591</v>
      </c>
      <c r="WQ2" s="0" t="s">
        <v>21900</v>
      </c>
      <c r="WR2" s="0" t="s">
        <v>7884</v>
      </c>
      <c r="WS2" s="0" t="s">
        <v>7939</v>
      </c>
      <c r="WT2" s="0" t="s">
        <v>716</v>
      </c>
      <c r="WU2" s="0" t="s">
        <v>7939</v>
      </c>
      <c r="WV2" s="0" t="s">
        <v>784</v>
      </c>
      <c r="WW2" s="0" t="s">
        <v>21942</v>
      </c>
      <c r="WX2" s="0" t="s">
        <v>21936</v>
      </c>
      <c r="WY2" s="0" t="s">
        <v>751</v>
      </c>
      <c r="WZ2" s="0" t="s">
        <v>22039</v>
      </c>
      <c r="XA2" s="0" t="s">
        <v>21950</v>
      </c>
      <c r="XB2" s="0" t="s">
        <v>7884</v>
      </c>
      <c r="XC2" s="0" t="s">
        <v>22065</v>
      </c>
      <c r="XD2" s="0" t="s">
        <v>22162</v>
      </c>
      <c r="XE2" s="0" t="s">
        <v>22166</v>
      </c>
      <c r="XF2" s="0" t="s">
        <v>22177</v>
      </c>
      <c r="XG2" s="0" t="s">
        <v>6336</v>
      </c>
      <c r="XH2" s="0" t="s">
        <v>22187</v>
      </c>
      <c r="XI2" s="0" t="s">
        <v>22250</v>
      </c>
      <c r="XJ2" s="0" t="s">
        <v>6549</v>
      </c>
      <c r="XK2" s="0" t="s">
        <v>22268</v>
      </c>
      <c r="XL2" s="0" t="s">
        <v>22301</v>
      </c>
      <c r="XM2" s="0" t="s">
        <v>22372</v>
      </c>
      <c r="XN2" s="0" t="s">
        <v>22436</v>
      </c>
      <c r="XO2" s="0" t="s">
        <v>6549</v>
      </c>
      <c r="XP2" s="0" t="s">
        <v>22451</v>
      </c>
      <c r="XQ2" s="0" t="s">
        <v>19357</v>
      </c>
      <c r="XR2" s="0" t="s">
        <v>22586</v>
      </c>
      <c r="XS2" s="0" t="s">
        <v>22478</v>
      </c>
      <c r="XT2" s="0" t="s">
        <v>22577</v>
      </c>
      <c r="XU2" s="0" t="s">
        <v>22741</v>
      </c>
      <c r="XV2" s="0" t="s">
        <v>22748</v>
      </c>
      <c r="XW2" s="0" t="s">
        <v>6336</v>
      </c>
      <c r="XX2" s="0" t="s">
        <v>10100</v>
      </c>
      <c r="XY2" s="0" t="s">
        <v>22755</v>
      </c>
      <c r="XZ2" s="0" t="s">
        <v>16919</v>
      </c>
      <c r="YA2" s="0" t="s">
        <v>22853</v>
      </c>
      <c r="YB2" s="0" t="s">
        <v>22841</v>
      </c>
      <c r="YC2" s="0" t="s">
        <v>22841</v>
      </c>
      <c r="YD2" s="0" t="s">
        <v>751</v>
      </c>
      <c r="YE2" s="0" t="s">
        <v>13739</v>
      </c>
      <c r="YF2" s="0" t="s">
        <v>22861</v>
      </c>
      <c r="YG2" s="0" t="s">
        <v>22865</v>
      </c>
      <c r="YH2" s="0" t="s">
        <v>6336</v>
      </c>
      <c r="YI2" s="0" t="s">
        <v>22962</v>
      </c>
      <c r="YJ2" s="0" t="s">
        <v>22979</v>
      </c>
      <c r="YK2" s="0" t="s">
        <v>6336</v>
      </c>
      <c r="YL2" s="0" t="s">
        <v>22987</v>
      </c>
      <c r="YM2" s="0" t="s">
        <v>6549</v>
      </c>
      <c r="YN2" s="0" t="s">
        <v>22993</v>
      </c>
      <c r="YO2" s="0" t="s">
        <v>22997</v>
      </c>
      <c r="YP2" s="0" t="s">
        <v>6336</v>
      </c>
      <c r="YQ2" s="0" t="s">
        <v>6336</v>
      </c>
      <c r="YR2" s="0" t="s">
        <v>23006</v>
      </c>
      <c r="YS2" s="0" t="s">
        <v>23038</v>
      </c>
      <c r="YT2" s="0" t="s">
        <v>11413</v>
      </c>
      <c r="YU2" s="0" t="s">
        <v>18383</v>
      </c>
      <c r="YV2" s="0" t="s">
        <v>6549</v>
      </c>
      <c r="YW2" s="0" t="s">
        <v>23049</v>
      </c>
      <c r="YX2" s="0" t="s">
        <v>6568</v>
      </c>
      <c r="YY2" s="0" t="s">
        <v>6549</v>
      </c>
      <c r="YZ2" s="0" t="s">
        <v>23068</v>
      </c>
      <c r="ZA2" s="0" t="s">
        <v>16919</v>
      </c>
      <c r="ZB2" s="0" t="s">
        <v>6549</v>
      </c>
      <c r="ZC2" s="0" t="s">
        <v>23079</v>
      </c>
      <c r="ZD2" s="0" t="s">
        <v>10100</v>
      </c>
      <c r="ZE2" s="0" t="s">
        <v>23222</v>
      </c>
      <c r="ZF2" s="0" t="s">
        <v>23202</v>
      </c>
      <c r="ZG2" s="0" t="s">
        <v>23251</v>
      </c>
      <c r="ZH2" s="0" t="s">
        <v>21440</v>
      </c>
      <c r="ZI2" s="0" t="s">
        <v>6549</v>
      </c>
      <c r="ZJ2" s="0" t="s">
        <v>13739</v>
      </c>
      <c r="ZK2" s="0" t="s">
        <v>23257</v>
      </c>
      <c r="ZL2" s="0" t="s">
        <v>13743</v>
      </c>
      <c r="ZM2" s="0" t="s">
        <v>23306</v>
      </c>
      <c r="ZN2" s="0" t="s">
        <v>23038</v>
      </c>
      <c r="ZO2" s="0" t="s">
        <v>6549</v>
      </c>
      <c r="ZP2" s="0" t="s">
        <v>13997</v>
      </c>
      <c r="ZQ2" s="0" t="s">
        <v>23313</v>
      </c>
      <c r="ZR2" s="0" t="s">
        <v>6336</v>
      </c>
      <c r="ZS2" s="0" t="s">
        <v>23320</v>
      </c>
      <c r="ZT2" s="0" t="s">
        <v>6336</v>
      </c>
      <c r="ZU2" s="0" t="s">
        <v>13739</v>
      </c>
      <c r="ZV2" s="0" t="s">
        <v>23363</v>
      </c>
      <c r="ZW2" s="0" t="s">
        <v>6336</v>
      </c>
      <c r="ZX2" s="0" t="s">
        <v>23414</v>
      </c>
      <c r="ZY2" s="0" t="s">
        <v>23423</v>
      </c>
      <c r="ZZ2" s="0" t="s">
        <v>6549</v>
      </c>
      <c r="AAA2" s="0" t="s">
        <v>23429</v>
      </c>
      <c r="AAB2" s="0" t="s">
        <v>6549</v>
      </c>
      <c r="AAC2" s="0" t="s">
        <v>23441</v>
      </c>
      <c r="AAD2" s="0" t="s">
        <v>23452</v>
      </c>
      <c r="AAE2" s="0" t="s">
        <v>23449</v>
      </c>
      <c r="AAF2" s="0" t="s">
        <v>7939</v>
      </c>
      <c r="AAG2" s="0" t="s">
        <v>6336</v>
      </c>
      <c r="AAH2" s="0" t="s">
        <v>14713</v>
      </c>
      <c r="AAI2" s="0" t="s">
        <v>23492</v>
      </c>
      <c r="AAJ2" s="0" t="s">
        <v>13974</v>
      </c>
      <c r="AAK2" s="0" t="s">
        <v>23542</v>
      </c>
      <c r="AAL2" s="0" t="s">
        <v>7550</v>
      </c>
      <c r="AAM2" s="0" t="s">
        <v>23552</v>
      </c>
      <c r="AAN2" s="0" t="s">
        <v>23549</v>
      </c>
      <c r="AAO2" s="0" t="s">
        <v>13739</v>
      </c>
      <c r="AAP2" s="0" t="s">
        <v>23639</v>
      </c>
      <c r="AAQ2" s="0" t="s">
        <v>22839</v>
      </c>
      <c r="AAR2" s="0" t="s">
        <v>23686</v>
      </c>
      <c r="AAS2" s="0" t="s">
        <v>6549</v>
      </c>
      <c r="AAT2" s="0" t="s">
        <v>23697</v>
      </c>
      <c r="AAU2" s="0" t="s">
        <v>751</v>
      </c>
      <c r="AAV2" s="0" t="s">
        <v>13739</v>
      </c>
      <c r="AAW2" s="0" t="s">
        <v>23764</v>
      </c>
      <c r="AAX2" s="0" t="s">
        <v>6336</v>
      </c>
      <c r="AAY2" s="0" t="s">
        <v>16909</v>
      </c>
      <c r="AAZ2" s="0" t="s">
        <v>23802</v>
      </c>
      <c r="ABA2" s="0" t="s">
        <v>11413</v>
      </c>
      <c r="ABB2" s="0" t="s">
        <v>19610</v>
      </c>
      <c r="ABC2" s="0" t="s">
        <v>18383</v>
      </c>
      <c r="ABD2" s="0" t="s">
        <v>6336</v>
      </c>
      <c r="ABE2" s="0" t="s">
        <v>6336</v>
      </c>
      <c r="ABF2" s="0" t="s">
        <v>23814</v>
      </c>
      <c r="ABG2" s="0" t="s">
        <v>6336</v>
      </c>
      <c r="ABH2" s="0" t="s">
        <v>23927</v>
      </c>
      <c r="ABI2" s="0" t="s">
        <v>6362</v>
      </c>
      <c r="ABJ2" s="0" t="s">
        <v>13739</v>
      </c>
      <c r="ABK2" s="0" t="s">
        <v>23954</v>
      </c>
      <c r="ABL2" s="0" t="s">
        <v>6336</v>
      </c>
      <c r="ABM2" s="0" t="s">
        <v>23966</v>
      </c>
      <c r="ABN2" s="0" t="s">
        <v>6336</v>
      </c>
      <c r="ABO2" s="0" t="s">
        <v>6336</v>
      </c>
      <c r="ABP2" s="0" t="s">
        <v>24016</v>
      </c>
      <c r="ABQ2" s="0" t="s">
        <v>6549</v>
      </c>
      <c r="ABR2" s="0" t="s">
        <v>24034</v>
      </c>
      <c r="ABS2" s="0" t="s">
        <v>6549</v>
      </c>
      <c r="ABT2" s="0" t="s">
        <v>24044</v>
      </c>
      <c r="ABU2" s="0" t="s">
        <v>6549</v>
      </c>
      <c r="ABV2" s="0" t="s">
        <v>23038</v>
      </c>
      <c r="ABW2" s="0" t="s">
        <v>24080</v>
      </c>
      <c r="ABX2" s="0" t="s">
        <v>24081</v>
      </c>
      <c r="ABY2" s="0" t="s">
        <v>24093</v>
      </c>
      <c r="ABZ2" s="0" t="s">
        <v>24089</v>
      </c>
      <c r="ACA2" s="0" t="s">
        <v>23041</v>
      </c>
      <c r="ACB2" s="0" t="s">
        <v>24108</v>
      </c>
      <c r="ACC2" s="0" t="s">
        <v>24111</v>
      </c>
      <c r="ACD2" s="0" t="s">
        <v>24225</v>
      </c>
      <c r="ACE2" s="0" t="s">
        <v>24226</v>
      </c>
      <c r="ACF2" s="0" t="s">
        <v>13739</v>
      </c>
      <c r="ACG2" s="0" t="s">
        <v>24252</v>
      </c>
      <c r="ACH2" s="0" t="s">
        <v>24162</v>
      </c>
      <c r="ACI2" s="0" t="s">
        <v>11409</v>
      </c>
      <c r="ACJ2" s="0" t="s">
        <v>3247</v>
      </c>
      <c r="ACK2" s="0" t="s">
        <v>24329</v>
      </c>
      <c r="ACL2" s="0" t="s">
        <v>23552</v>
      </c>
      <c r="ACM2" s="0" t="s">
        <v>24330</v>
      </c>
      <c r="ACN2" s="0" t="s">
        <v>6336</v>
      </c>
      <c r="ACO2" s="0" t="s">
        <v>22839</v>
      </c>
      <c r="ACP2" s="0" t="s">
        <v>6336</v>
      </c>
      <c r="ACQ2" s="0" t="s">
        <v>14713</v>
      </c>
      <c r="ACR2" s="0" t="s">
        <v>24398</v>
      </c>
      <c r="ACS2" s="0" t="s">
        <v>24383</v>
      </c>
      <c r="ACT2" s="0" t="s">
        <v>24434</v>
      </c>
      <c r="ACU2" s="0" t="s">
        <v>6336</v>
      </c>
      <c r="ACV2" s="0" t="s">
        <v>24447</v>
      </c>
      <c r="ACW2" s="0" t="s">
        <v>6336</v>
      </c>
      <c r="ACX2" s="0" t="s">
        <v>14713</v>
      </c>
      <c r="ACY2" s="0" t="s">
        <v>24526</v>
      </c>
      <c r="ACZ2" s="0" t="s">
        <v>24633</v>
      </c>
      <c r="ADA2" s="0" t="s">
        <v>6362</v>
      </c>
      <c r="ADB2" s="0" t="s">
        <v>23154</v>
      </c>
      <c r="ADC2" s="0" t="s">
        <v>6549</v>
      </c>
      <c r="ADD2" s="0" t="s">
        <v>24729</v>
      </c>
      <c r="ADE2" s="0" t="s">
        <v>6362</v>
      </c>
      <c r="ADF2" s="0" t="s">
        <v>24769</v>
      </c>
      <c r="ADG2" s="0" t="s">
        <v>11415</v>
      </c>
      <c r="ADH2" s="0" t="s">
        <v>841</v>
      </c>
      <c r="ADI2" s="0" t="s">
        <v>24799</v>
      </c>
      <c r="ADJ2" s="0" t="s">
        <v>6549</v>
      </c>
      <c r="ADK2" s="0" t="s">
        <v>24852</v>
      </c>
      <c r="ADL2" s="0" t="s">
        <v>2851</v>
      </c>
      <c r="ADM2" s="0" t="s">
        <v>6549</v>
      </c>
      <c r="ADN2" s="0" t="s">
        <v>24905</v>
      </c>
      <c r="ADO2" s="0" t="s">
        <v>25311</v>
      </c>
      <c r="ADP2" s="0" t="s">
        <v>1635</v>
      </c>
      <c r="ADQ2" s="0" t="s">
        <v>13739</v>
      </c>
      <c r="ADR2" s="0" t="s">
        <v>841</v>
      </c>
      <c r="ADS2" s="0" t="s">
        <v>25497</v>
      </c>
      <c r="ADT2" s="0" t="s">
        <v>13739</v>
      </c>
      <c r="ADU2" s="0" t="s">
        <v>25737</v>
      </c>
      <c r="ADV2" s="0" t="s">
        <v>841</v>
      </c>
      <c r="ADW2" s="0" t="s">
        <v>25460</v>
      </c>
      <c r="ADX2" s="0" t="s">
        <v>25619</v>
      </c>
      <c r="ADY2" s="0" t="s">
        <v>13739</v>
      </c>
      <c r="ADZ2" s="0" t="s">
        <v>789</v>
      </c>
      <c r="AEA2" s="0" t="s">
        <v>11409</v>
      </c>
      <c r="AEB2" s="0" t="s">
        <v>8668</v>
      </c>
      <c r="AEC2" s="0" t="s">
        <v>13739</v>
      </c>
      <c r="AED2" s="0" t="s">
        <v>6396</v>
      </c>
      <c r="AEE2" s="0" t="s">
        <v>25460</v>
      </c>
      <c r="AEF2" s="0" t="s">
        <v>25619</v>
      </c>
      <c r="AEG2" s="0" t="s">
        <v>8668</v>
      </c>
      <c r="AEH2" s="0" t="s">
        <v>13739</v>
      </c>
      <c r="AEI2" s="0" t="s">
        <v>841</v>
      </c>
      <c r="AEJ2" s="0" t="s">
        <v>25460</v>
      </c>
      <c r="AEK2" s="0" t="s">
        <v>15549</v>
      </c>
      <c r="AEL2" s="0" t="s">
        <v>3833</v>
      </c>
      <c r="AEM2" s="0" t="s">
        <v>11411</v>
      </c>
      <c r="AEN2" s="0" t="s">
        <v>26393</v>
      </c>
      <c r="AEO2" s="0" t="s">
        <v>26389</v>
      </c>
      <c r="AEP2" s="0" t="s">
        <v>14013</v>
      </c>
      <c r="AEQ2" s="0" t="s">
        <v>847</v>
      </c>
      <c r="AER2" s="0" t="s">
        <v>11409</v>
      </c>
      <c r="AES2" s="0" t="s">
        <v>13751</v>
      </c>
      <c r="AET2" s="0" t="s">
        <v>841</v>
      </c>
      <c r="AEU2" s="0" t="s">
        <v>11409</v>
      </c>
      <c r="AEV2" s="0" t="s">
        <v>26478</v>
      </c>
      <c r="AEW2" s="0" t="s">
        <v>13739</v>
      </c>
      <c r="AEX2" s="0" t="s">
        <v>26547</v>
      </c>
      <c r="AEY2" s="0" t="s">
        <v>847</v>
      </c>
      <c r="AEZ2" s="0" t="s">
        <v>11411</v>
      </c>
      <c r="AFA2" s="0" t="s">
        <v>26534</v>
      </c>
      <c r="AFB2" s="0" t="s">
        <v>7884</v>
      </c>
      <c r="AFC2" s="0" t="s">
        <v>13739</v>
      </c>
      <c r="AFD2" s="0" t="s">
        <v>11411</v>
      </c>
      <c r="AFE2" s="0" t="s">
        <v>14713</v>
      </c>
      <c r="AFF2" s="0" t="s">
        <v>26560</v>
      </c>
      <c r="AFG2" s="0" t="s">
        <v>16917</v>
      </c>
      <c r="AFH2" s="0" t="s">
        <v>3833</v>
      </c>
      <c r="AFI2" s="0" t="s">
        <v>13739</v>
      </c>
      <c r="AFJ2" s="0" t="s">
        <v>26623</v>
      </c>
      <c r="AFK2" s="0" t="s">
        <v>716</v>
      </c>
      <c r="AFL2" s="0" t="s">
        <v>11409</v>
      </c>
      <c r="AFM2" s="0" t="s">
        <v>25619</v>
      </c>
      <c r="AFN2" s="0" t="s">
        <v>8668</v>
      </c>
      <c r="AFO2" s="0" t="s">
        <v>8669</v>
      </c>
      <c r="AFP2" s="0" t="s">
        <v>14013</v>
      </c>
      <c r="AFQ2" s="0" t="s">
        <v>847</v>
      </c>
      <c r="AFR2" s="0" t="s">
        <v>11409</v>
      </c>
      <c r="AFS2" s="0" t="s">
        <v>18154</v>
      </c>
      <c r="AFT2" s="0" t="s">
        <v>734</v>
      </c>
      <c r="AFU2" s="0" t="s">
        <v>26980</v>
      </c>
      <c r="AFV2" s="0" t="s">
        <v>789</v>
      </c>
      <c r="AFW2" s="0" t="s">
        <v>11407</v>
      </c>
      <c r="AFX2" s="0" t="s">
        <v>26929</v>
      </c>
      <c r="AFY2" s="0" t="s">
        <v>8669</v>
      </c>
      <c r="AFZ2" s="0" t="s">
        <v>14007</v>
      </c>
      <c r="AGA2" s="0" t="s">
        <v>6383</v>
      </c>
      <c r="AGB2" s="0" t="s">
        <v>25460</v>
      </c>
      <c r="AGC2" s="0" t="s">
        <v>27355</v>
      </c>
      <c r="AGD2" s="0" t="s">
        <v>7884</v>
      </c>
      <c r="AGE2" s="0" t="s">
        <v>761</v>
      </c>
      <c r="AGF2" s="0" t="s">
        <v>11411</v>
      </c>
      <c r="AGG2" s="0" t="s">
        <v>13751</v>
      </c>
      <c r="AGH2" s="0" t="s">
        <v>27715</v>
      </c>
      <c r="AGI2" s="0" t="s">
        <v>841</v>
      </c>
      <c r="AGJ2" s="0" t="s">
        <v>25460</v>
      </c>
      <c r="AGK2" s="0" t="s">
        <v>27663</v>
      </c>
      <c r="AGL2" s="0" t="s">
        <v>13997</v>
      </c>
      <c r="AGM2" s="0" t="s">
        <v>734</v>
      </c>
      <c r="AGN2" s="0" t="s">
        <v>27804</v>
      </c>
      <c r="AGO2" s="0" t="s">
        <v>13743</v>
      </c>
      <c r="AGP2" s="0" t="s">
        <v>23577</v>
      </c>
      <c r="AGQ2" s="0" t="s">
        <v>14007</v>
      </c>
      <c r="AGR2" s="0" t="s">
        <v>8668</v>
      </c>
      <c r="AGS2" s="0" t="s">
        <v>27827</v>
      </c>
      <c r="AGT2" s="0" t="s">
        <v>21725</v>
      </c>
      <c r="AGU2" s="0" t="s">
        <v>11409</v>
      </c>
      <c r="AGV2" s="0" t="s">
        <v>20879</v>
      </c>
      <c r="AGW2" s="0" t="s">
        <v>13739</v>
      </c>
      <c r="AGX2" s="0" t="s">
        <v>27903</v>
      </c>
      <c r="AGY2" s="0" t="s">
        <v>23661</v>
      </c>
      <c r="AGZ2" s="0" t="s">
        <v>13739</v>
      </c>
      <c r="AHA2" s="0" t="s">
        <v>707</v>
      </c>
      <c r="AHB2" s="0" t="s">
        <v>11411</v>
      </c>
      <c r="AHC2" s="0" t="s">
        <v>27949</v>
      </c>
      <c r="AHD2" s="0" t="s">
        <v>13739</v>
      </c>
      <c r="AHE2" s="0" t="s">
        <v>28114</v>
      </c>
      <c r="AHF2" s="0" t="s">
        <v>11720</v>
      </c>
      <c r="AHG2" s="0" t="s">
        <v>13997</v>
      </c>
      <c r="AHH2" s="0" t="s">
        <v>25497</v>
      </c>
      <c r="AHI2" s="0" t="s">
        <v>6336</v>
      </c>
      <c r="AHJ2" s="0" t="s">
        <v>13751</v>
      </c>
      <c r="AHK2" s="0" t="s">
        <v>11720</v>
      </c>
      <c r="AHL2" s="0" t="s">
        <v>14776</v>
      </c>
      <c r="AHM2" s="0" t="s">
        <v>28189</v>
      </c>
      <c r="AHN2" s="0" t="s">
        <v>13739</v>
      </c>
      <c r="AHO2" s="0" t="s">
        <v>11409</v>
      </c>
      <c r="AHP2" s="0" t="s">
        <v>10100</v>
      </c>
      <c r="AHQ2" s="0" t="s">
        <v>13739</v>
      </c>
      <c r="AHR2" s="0" t="s">
        <v>28242</v>
      </c>
      <c r="AHS2" s="0" t="s">
        <v>14979</v>
      </c>
      <c r="AHT2" s="0" t="s">
        <v>13743</v>
      </c>
      <c r="AHU2" s="0" t="s">
        <v>19357</v>
      </c>
      <c r="AHV2" s="0" t="s">
        <v>14979</v>
      </c>
      <c r="AHW2" s="0" t="s">
        <v>10100</v>
      </c>
      <c r="AHX2" s="0" t="s">
        <v>13997</v>
      </c>
      <c r="AHY2" s="0" t="s">
        <v>28328</v>
      </c>
      <c r="AHZ2" s="0" t="s">
        <v>28329</v>
      </c>
      <c r="AIA2" s="0" t="s">
        <v>10100</v>
      </c>
      <c r="AIB2" s="0" t="s">
        <v>13739</v>
      </c>
      <c r="AIC2" s="0" t="s">
        <v>25460</v>
      </c>
      <c r="AID2" s="0" t="s">
        <v>28399</v>
      </c>
      <c r="AIE2" s="0" t="s">
        <v>11415</v>
      </c>
      <c r="AIF2" s="0" t="s">
        <v>23567</v>
      </c>
      <c r="AIG2" s="0" t="s">
        <v>28410</v>
      </c>
      <c r="AIH2" s="0" t="s">
        <v>13994</v>
      </c>
      <c r="AII2" s="0" t="s">
        <v>11407</v>
      </c>
      <c r="AIJ2" s="0" t="s">
        <v>716</v>
      </c>
      <c r="AIK2" s="0" t="s">
        <v>28428</v>
      </c>
      <c r="AIL2" s="0" t="s">
        <v>839</v>
      </c>
      <c r="AIM2" s="0" t="s">
        <v>28452</v>
      </c>
      <c r="AIN2" s="0" t="s">
        <v>28464</v>
      </c>
      <c r="AIO2" s="0" t="s">
        <v>28470</v>
      </c>
      <c r="AIP2" s="0" t="s">
        <v>28486</v>
      </c>
      <c r="AIQ2" s="0" t="s">
        <v>28510</v>
      </c>
      <c r="AIR2" s="0" t="s">
        <v>6549</v>
      </c>
      <c r="AIS2" s="0" t="s">
        <v>28524</v>
      </c>
      <c r="AIT2" s="0" t="s">
        <v>6336</v>
      </c>
      <c r="AIU2" s="0" t="s">
        <v>7939</v>
      </c>
      <c r="AIV2" s="0" t="s">
        <v>7884</v>
      </c>
      <c r="AIW2" s="0" t="s">
        <v>28633</v>
      </c>
      <c r="AIX2" s="0" t="s">
        <v>28668</v>
      </c>
      <c r="AIY2" s="0" t="s">
        <v>12901</v>
      </c>
      <c r="AIZ2" s="0" t="s">
        <v>12844</v>
      </c>
      <c r="AJA2" s="0" t="s">
        <v>28671</v>
      </c>
      <c r="AJB2" s="0" t="s">
        <v>6336</v>
      </c>
      <c r="AJC2" s="0" t="s">
        <v>28697</v>
      </c>
      <c r="AJD2" s="0" t="s">
        <v>6336</v>
      </c>
      <c r="AJE2" s="0" t="s">
        <v>28689</v>
      </c>
      <c r="AJF2" s="0" t="s">
        <v>789</v>
      </c>
      <c r="AJG2" s="0" t="s">
        <v>28795</v>
      </c>
      <c r="AJH2" s="0" t="s">
        <v>13817</v>
      </c>
      <c r="AJI2" s="0" t="s">
        <v>751</v>
      </c>
      <c r="AJJ2" s="0" t="s">
        <v>28797</v>
      </c>
      <c r="AJK2" s="0" t="s">
        <v>751</v>
      </c>
      <c r="AJL2" s="0" t="s">
        <v>28805</v>
      </c>
      <c r="AJM2" s="0" t="s">
        <v>28815</v>
      </c>
      <c r="AJN2" s="0" t="s">
        <v>19357</v>
      </c>
      <c r="AJO2" s="0" t="s">
        <v>11409</v>
      </c>
      <c r="AJP2" s="0" t="s">
        <v>6549</v>
      </c>
      <c r="AJQ2" s="0" t="s">
        <v>7884</v>
      </c>
      <c r="AJR2" s="0" t="s">
        <v>13743</v>
      </c>
      <c r="AJS2" s="0" t="s">
        <v>28870</v>
      </c>
      <c r="AJT2" s="0" t="s">
        <v>751</v>
      </c>
      <c r="AJU2" s="0" t="s">
        <v>6336</v>
      </c>
      <c r="AJV2" s="0" t="s">
        <v>28987</v>
      </c>
      <c r="AJW2" s="0" t="s">
        <v>28985</v>
      </c>
      <c r="AJX2" s="0" t="s">
        <v>6336</v>
      </c>
      <c r="AJY2" s="0" t="s">
        <v>28994</v>
      </c>
      <c r="AJZ2" s="0" t="s">
        <v>29026</v>
      </c>
      <c r="AKA2" s="0" t="s">
        <v>29027</v>
      </c>
      <c r="AKB2" s="0" t="s">
        <v>6549</v>
      </c>
      <c r="AKC2" s="0" t="s">
        <v>7939</v>
      </c>
      <c r="AKD2" s="0" t="s">
        <v>29042</v>
      </c>
      <c r="AKE2" s="0" t="s">
        <v>29055</v>
      </c>
      <c r="AKF2" s="0" t="s">
        <v>29051</v>
      </c>
      <c r="AKG2" s="0" t="s">
        <v>29047</v>
      </c>
      <c r="AKH2" s="0" t="s">
        <v>6549</v>
      </c>
      <c r="AKI2" s="0" t="s">
        <v>29073</v>
      </c>
      <c r="AKJ2" s="0" t="s">
        <v>841</v>
      </c>
      <c r="AKK2" s="0" t="s">
        <v>841</v>
      </c>
      <c r="AKL2" s="0" t="s">
        <v>13743</v>
      </c>
      <c r="AKM2" s="0" t="s">
        <v>28329</v>
      </c>
      <c r="AKN2" s="0" t="s">
        <v>8669</v>
      </c>
      <c r="AKO2" s="0" t="s">
        <v>14013</v>
      </c>
      <c r="AKP2" s="0" t="s">
        <v>734</v>
      </c>
      <c r="AKQ2" s="0" t="s">
        <v>27854</v>
      </c>
      <c r="AKR2" s="0" t="s">
        <v>29129</v>
      </c>
      <c r="AKS2" s="0" t="s">
        <v>13751</v>
      </c>
      <c r="AKT2" s="0" t="s">
        <v>29147</v>
      </c>
      <c r="AKU2" s="0" t="s">
        <v>29135</v>
      </c>
      <c r="AKV2" s="0" t="s">
        <v>21116</v>
      </c>
      <c r="AKW2" s="0" t="s">
        <v>20755</v>
      </c>
      <c r="AKX2" s="0" t="s">
        <v>6362</v>
      </c>
      <c r="AKY2" s="0" t="s">
        <v>29287</v>
      </c>
      <c r="AKZ2" s="0" t="s">
        <v>6336</v>
      </c>
      <c r="ALA2" s="0" t="s">
        <v>6336</v>
      </c>
      <c r="ALB2" s="0" t="s">
        <v>29299</v>
      </c>
      <c r="ALC2" s="0" t="s">
        <v>29303</v>
      </c>
      <c r="ALD2" s="0" t="s">
        <v>6336</v>
      </c>
      <c r="ALE2" s="0" t="s">
        <v>13743</v>
      </c>
      <c r="ALF2" s="0" t="s">
        <v>29315</v>
      </c>
      <c r="ALG2" s="0" t="s">
        <v>7939</v>
      </c>
      <c r="ALH2" s="0" t="s">
        <v>6336</v>
      </c>
      <c r="ALI2" s="0" t="s">
        <v>29337</v>
      </c>
      <c r="ALJ2" s="0" t="s">
        <v>26929</v>
      </c>
      <c r="ALK2" s="0" t="s">
        <v>6336</v>
      </c>
      <c r="ALL2" s="0" t="s">
        <v>6549</v>
      </c>
      <c r="ALM2" s="0" t="s">
        <v>6336</v>
      </c>
      <c r="ALN2" s="0" t="s">
        <v>29342</v>
      </c>
      <c r="ALO2" s="0" t="s">
        <v>6336</v>
      </c>
      <c r="ALP2" s="0" t="s">
        <v>29355</v>
      </c>
      <c r="ALQ2" s="0" t="s">
        <v>29362</v>
      </c>
      <c r="ALR2" s="0" t="s">
        <v>7884</v>
      </c>
      <c r="ALS2" s="0" t="s">
        <v>29156</v>
      </c>
      <c r="ALT2" s="0" t="s">
        <v>29406</v>
      </c>
      <c r="ALU2" s="0" t="s">
        <v>11587</v>
      </c>
      <c r="ALV2" s="0" t="s">
        <v>29288</v>
      </c>
      <c r="ALW2" s="0" t="s">
        <v>29289</v>
      </c>
      <c r="ALX2" s="0" t="s">
        <v>19727</v>
      </c>
      <c r="ALY2" s="0" t="s">
        <v>13743</v>
      </c>
      <c r="ALZ2" s="0" t="s">
        <v>29498</v>
      </c>
      <c r="AMA2" s="0" t="s">
        <v>29471</v>
      </c>
      <c r="AMB2" s="0" t="s">
        <v>29474</v>
      </c>
      <c r="AMC2" s="0" t="s">
        <v>20884</v>
      </c>
      <c r="AMD2" s="0" t="s">
        <v>29460</v>
      </c>
      <c r="AME2" s="0" t="s">
        <v>29512</v>
      </c>
      <c r="AMF2" s="0" t="s">
        <v>29518</v>
      </c>
      <c r="AMG2" s="0" t="s">
        <v>29525</v>
      </c>
      <c r="AMH2" s="0" t="s">
        <v>29288</v>
      </c>
      <c r="AMI2" s="0" t="s">
        <v>6336</v>
      </c>
      <c r="AMJ2" s="0" t="s">
        <v>7884</v>
      </c>
      <c r="AMK2" s="0" t="s">
        <v>14013</v>
      </c>
      <c r="AML2" s="0" t="s">
        <v>29539</v>
      </c>
      <c r="AMM2" s="0" t="s">
        <v>6336</v>
      </c>
      <c r="AMN2" s="0" t="s">
        <v>29556</v>
      </c>
      <c r="AMO2" s="0" t="s">
        <v>29562</v>
      </c>
      <c r="AMP2" s="0" t="s">
        <v>6336</v>
      </c>
      <c r="AMQ2" s="0" t="s">
        <v>29570</v>
      </c>
      <c r="AMR2" s="0" t="s">
        <v>3317</v>
      </c>
      <c r="AMS2" s="0" t="s">
        <v>841</v>
      </c>
      <c r="AMT2" s="0" t="s">
        <v>847</v>
      </c>
      <c r="AMU2" s="0" t="s">
        <v>3317</v>
      </c>
      <c r="AMV2" s="0" t="s">
        <v>20199</v>
      </c>
      <c r="AMW2" s="0" t="s">
        <v>20224</v>
      </c>
      <c r="AMX2" s="0" t="s">
        <v>3317</v>
      </c>
      <c r="AMY2" s="0" t="s">
        <v>841</v>
      </c>
      <c r="AMZ2" s="0" t="s">
        <v>847</v>
      </c>
      <c r="ANA2" s="0" t="s">
        <v>3317</v>
      </c>
      <c r="ANB2" s="0" t="s">
        <v>841</v>
      </c>
      <c r="ANC2" s="0" t="s">
        <v>847</v>
      </c>
      <c r="AND2" s="0" t="s">
        <v>3247</v>
      </c>
      <c r="ANE2" s="0" t="s">
        <v>841</v>
      </c>
      <c r="ANF2" s="0" t="s">
        <v>847</v>
      </c>
      <c r="ANG2" s="0" t="s">
        <v>3247</v>
      </c>
      <c r="ANH2" s="0" t="s">
        <v>841</v>
      </c>
      <c r="ANI2" s="0" t="s">
        <v>847</v>
      </c>
      <c r="ANJ2" s="0" t="s">
        <v>6336</v>
      </c>
      <c r="ANK2" s="0" t="s">
        <v>10100</v>
      </c>
      <c r="ANL2" s="0" t="s">
        <v>13997</v>
      </c>
      <c r="ANM2" s="0" t="s">
        <v>31448</v>
      </c>
      <c r="ANN2" s="0" t="s">
        <v>7939</v>
      </c>
      <c r="ANO2" s="0" t="s">
        <v>29288</v>
      </c>
      <c r="ANP2" s="0" t="s">
        <v>31472</v>
      </c>
      <c r="ANQ2" s="0" t="s">
        <v>31477</v>
      </c>
      <c r="ANR2" s="0" t="s">
        <v>6549</v>
      </c>
      <c r="ANS2" s="0" t="s">
        <v>21095</v>
      </c>
      <c r="ANT2" s="0" t="s">
        <v>29288</v>
      </c>
      <c r="ANU2" s="0" t="s">
        <v>6336</v>
      </c>
      <c r="ANV2" s="0" t="s">
        <v>21095</v>
      </c>
      <c r="ANW2" s="0" t="s">
        <v>29288</v>
      </c>
      <c r="ANX2" s="0" t="s">
        <v>6336</v>
      </c>
      <c r="ANY2" s="0" t="s">
        <v>29288</v>
      </c>
      <c r="ANZ2" s="0" t="s">
        <v>31496</v>
      </c>
      <c r="AOA2" s="0" t="s">
        <v>6362</v>
      </c>
      <c r="AOB2" s="0" t="s">
        <v>19743</v>
      </c>
      <c r="AOC2" s="0" t="s">
        <v>29288</v>
      </c>
      <c r="AOD2" s="0" t="s">
        <v>31532</v>
      </c>
      <c r="AOE2" s="0" t="s">
        <v>31553</v>
      </c>
      <c r="AOF2" s="0" t="s">
        <v>29156</v>
      </c>
      <c r="AOG2" s="0" t="s">
        <v>31561</v>
      </c>
      <c r="AOH2" s="0" t="s">
        <v>31565</v>
      </c>
      <c r="AOI2" s="0" t="s">
        <v>6740</v>
      </c>
      <c r="AOJ2" s="0" t="s">
        <v>29288</v>
      </c>
      <c r="AOK2" s="0" t="s">
        <v>19555</v>
      </c>
      <c r="AOL2" s="0" t="s">
        <v>20391</v>
      </c>
      <c r="AOM2" s="0" t="s">
        <v>31580</v>
      </c>
      <c r="AON2" s="0" t="s">
        <v>31616</v>
      </c>
      <c r="AOO2" s="0" t="s">
        <v>31623</v>
      </c>
      <c r="AOP2" s="0" t="s">
        <v>31546</v>
      </c>
      <c r="AOQ2" s="0" t="s">
        <v>6336</v>
      </c>
      <c r="AOR2" s="0" t="s">
        <v>31639</v>
      </c>
      <c r="AOS2" s="0" t="s">
        <v>751</v>
      </c>
      <c r="AOT2" s="0" t="s">
        <v>6336</v>
      </c>
      <c r="AOU2" s="0" t="s">
        <v>6336</v>
      </c>
      <c r="AOV2" s="0" t="s">
        <v>13743</v>
      </c>
      <c r="AOW2" s="0" t="s">
        <v>31652</v>
      </c>
      <c r="AOX2" s="0" t="s">
        <v>6362</v>
      </c>
      <c r="AOY2" s="0" t="s">
        <v>29144</v>
      </c>
      <c r="AOZ2" s="0" t="s">
        <v>31728</v>
      </c>
      <c r="APA2" s="0" t="s">
        <v>29288</v>
      </c>
      <c r="APB2" s="0" t="s">
        <v>31795</v>
      </c>
      <c r="APC2" s="0" t="s">
        <v>6336</v>
      </c>
      <c r="APD2" s="0" t="s">
        <v>31805</v>
      </c>
      <c r="APE2" s="0" t="s">
        <v>15458</v>
      </c>
      <c r="APF2" s="0" t="s">
        <v>31813</v>
      </c>
      <c r="APG2" s="0" t="s">
        <v>31818</v>
      </c>
      <c r="APH2" s="0" t="s">
        <v>6549</v>
      </c>
      <c r="API2" s="0" t="s">
        <v>31824</v>
      </c>
      <c r="APJ2" s="0" t="s">
        <v>31821</v>
      </c>
      <c r="APK2" s="0" t="s">
        <v>20884</v>
      </c>
      <c r="APL2" s="0" t="s">
        <v>26929</v>
      </c>
      <c r="APM2" s="0" t="s">
        <v>7884</v>
      </c>
      <c r="APN2" s="0" t="s">
        <v>29346</v>
      </c>
      <c r="APO2" s="0" t="s">
        <v>31847</v>
      </c>
      <c r="APP2" s="0" t="s">
        <v>23566</v>
      </c>
      <c r="APQ2" s="0" t="s">
        <v>6336</v>
      </c>
      <c r="APR2" s="0" t="s">
        <v>31853</v>
      </c>
      <c r="APS2" s="0" t="s">
        <v>29346</v>
      </c>
      <c r="APT2" s="0" t="s">
        <v>31899</v>
      </c>
      <c r="APU2" s="0" t="s">
        <v>13739</v>
      </c>
      <c r="APV2" s="0" t="s">
        <v>31888</v>
      </c>
      <c r="APW2" s="0" t="s">
        <v>29407</v>
      </c>
      <c r="APX2" s="0" t="s">
        <v>31891</v>
      </c>
      <c r="APY2" s="0" t="s">
        <v>7884</v>
      </c>
      <c r="APZ2" s="0" t="s">
        <v>32032</v>
      </c>
      <c r="AQA2" s="0" t="s">
        <v>6336</v>
      </c>
      <c r="AQB2" s="0" t="s">
        <v>6336</v>
      </c>
      <c r="AQC2" s="0" t="s">
        <v>32053</v>
      </c>
      <c r="AQD2" s="0" t="s">
        <v>19610</v>
      </c>
      <c r="AQE2" s="0" t="s">
        <v>32054</v>
      </c>
      <c r="AQF2" s="0" t="s">
        <v>32061</v>
      </c>
      <c r="AQG2" s="0" t="s">
        <v>7884</v>
      </c>
      <c r="AQH2" s="0" t="s">
        <v>32095</v>
      </c>
      <c r="AQI2" s="0" t="s">
        <v>16204</v>
      </c>
      <c r="AQJ2" s="0" t="s">
        <v>6369</v>
      </c>
      <c r="AQK2" s="0" t="s">
        <v>32120</v>
      </c>
      <c r="AQL2" s="0" t="s">
        <v>7884</v>
      </c>
      <c r="AQM2" s="0" t="s">
        <v>14013</v>
      </c>
      <c r="AQN2" s="0" t="s">
        <v>32156</v>
      </c>
      <c r="AQO2" s="0" t="s">
        <v>19980</v>
      </c>
      <c r="AQP2" s="0" t="s">
        <v>32193</v>
      </c>
      <c r="AQQ2" s="0" t="s">
        <v>32200</v>
      </c>
      <c r="AQR2" s="0" t="s">
        <v>7884</v>
      </c>
      <c r="AQS2" s="0" t="s">
        <v>32217</v>
      </c>
      <c r="AQT2" s="0" t="s">
        <v>32226</v>
      </c>
      <c r="AQU2" s="0" t="s">
        <v>32231</v>
      </c>
      <c r="AQV2" s="0" t="s">
        <v>839</v>
      </c>
      <c r="AQW2" s="0" t="s">
        <v>7884</v>
      </c>
      <c r="AQX2" s="0" t="s">
        <v>32339</v>
      </c>
      <c r="AQY2" s="0" t="s">
        <v>32362</v>
      </c>
      <c r="AQZ2" s="0" t="s">
        <v>6549</v>
      </c>
      <c r="ARA2" s="0" t="s">
        <v>26980</v>
      </c>
      <c r="ARB2" s="0" t="s">
        <v>32366</v>
      </c>
      <c r="ARC2" s="0" t="s">
        <v>6549</v>
      </c>
      <c r="ARD2" s="0" t="s">
        <v>32376</v>
      </c>
      <c r="ARE2" s="0" t="s">
        <v>28721</v>
      </c>
      <c r="ARF2" s="0" t="s">
        <v>841</v>
      </c>
      <c r="ARG2" s="0" t="s">
        <v>21092</v>
      </c>
      <c r="ARH2" s="0" t="s">
        <v>29484</v>
      </c>
      <c r="ARI2" s="0" t="s">
        <v>6549</v>
      </c>
      <c r="ARJ2" s="0" t="s">
        <v>32399</v>
      </c>
      <c r="ARK2" s="0" t="s">
        <v>6549</v>
      </c>
      <c r="ARL2" s="0" t="s">
        <v>32409</v>
      </c>
      <c r="ARM2" s="0" t="s">
        <v>751</v>
      </c>
      <c r="ARN2" s="0" t="s">
        <v>32415</v>
      </c>
      <c r="ARO2" s="0" t="s">
        <v>6336</v>
      </c>
      <c r="ARP2" s="0" t="s">
        <v>6336</v>
      </c>
      <c r="ARQ2" s="0" t="s">
        <v>32429</v>
      </c>
      <c r="ARR2" s="0" t="s">
        <v>32434</v>
      </c>
      <c r="ARS2" s="0" t="s">
        <v>7884</v>
      </c>
      <c r="ART2" s="0" t="s">
        <v>32455</v>
      </c>
      <c r="ARU2" s="0" t="s">
        <v>32443</v>
      </c>
      <c r="ARV2" s="0" t="s">
        <v>32484</v>
      </c>
      <c r="ARW2" s="0" t="s">
        <v>13997</v>
      </c>
      <c r="ARX2" s="0" t="s">
        <v>32525</v>
      </c>
      <c r="ARY2" s="0" t="s">
        <v>6336</v>
      </c>
      <c r="ARZ2" s="0" t="s">
        <v>26980</v>
      </c>
      <c r="ASA2" s="0" t="s">
        <v>16909</v>
      </c>
      <c r="ASB2" s="0" t="s">
        <v>32472</v>
      </c>
      <c r="ASC2" s="0" t="s">
        <v>7884</v>
      </c>
      <c r="ASD2" s="0" t="s">
        <v>32600</v>
      </c>
      <c r="ASE2" s="0" t="s">
        <v>6362</v>
      </c>
      <c r="ASF2" s="0" t="s">
        <v>6362</v>
      </c>
      <c r="ASG2" s="0" t="s">
        <v>32616</v>
      </c>
      <c r="ASH2" s="0" t="s">
        <v>29288</v>
      </c>
      <c r="ASI2" s="0" t="s">
        <v>32612</v>
      </c>
      <c r="ASJ2" s="0" t="s">
        <v>32698</v>
      </c>
      <c r="ASK2" s="0" t="s">
        <v>6362</v>
      </c>
      <c r="ASL2" s="0" t="s">
        <v>32775</v>
      </c>
      <c r="ASM2" s="0" t="s">
        <v>32707</v>
      </c>
      <c r="ASN2" s="0" t="s">
        <v>29288</v>
      </c>
      <c r="ASO2" s="0" t="s">
        <v>29413</v>
      </c>
      <c r="ASP2" s="0" t="s">
        <v>6362</v>
      </c>
      <c r="ASQ2" s="0" t="s">
        <v>31922</v>
      </c>
      <c r="ASR2" s="0" t="s">
        <v>32940</v>
      </c>
      <c r="ASS2" s="0" t="s">
        <v>29288</v>
      </c>
      <c r="AST2" s="0" t="s">
        <v>32612</v>
      </c>
      <c r="ASU2" s="0" t="s">
        <v>33055</v>
      </c>
      <c r="ASV2" s="0" t="s">
        <v>33059</v>
      </c>
      <c r="ASW2" s="0" t="s">
        <v>2961</v>
      </c>
      <c r="ASX2" s="0" t="s">
        <v>13739</v>
      </c>
      <c r="ASY2" s="0" t="s">
        <v>3011</v>
      </c>
      <c r="ASZ2" s="0" t="s">
        <v>841</v>
      </c>
      <c r="ATA2" s="0" t="s">
        <v>33139</v>
      </c>
      <c r="ATB2" s="0" t="s">
        <v>33134</v>
      </c>
    </row>
    <row r="3" customFormat="false" ht="15" hidden="false" customHeight="false" outlineLevel="0" collapsed="false">
      <c r="A3" s="0" t="s">
        <v>707</v>
      </c>
      <c r="D3" s="0" t="s">
        <v>719</v>
      </c>
      <c r="F3" s="0" t="s">
        <v>733</v>
      </c>
      <c r="G3" s="0" t="s">
        <v>777</v>
      </c>
      <c r="H3" s="0" t="s">
        <v>726</v>
      </c>
      <c r="I3" s="0" t="s">
        <v>861</v>
      </c>
      <c r="J3" s="0" t="s">
        <v>841</v>
      </c>
      <c r="M3" s="0" t="s">
        <v>1982</v>
      </c>
      <c r="N3" s="0" t="s">
        <v>2246</v>
      </c>
      <c r="Q3" s="0" t="s">
        <v>2931</v>
      </c>
      <c r="R3" s="0" t="s">
        <v>841</v>
      </c>
      <c r="U3" s="0" t="s">
        <v>1570</v>
      </c>
      <c r="V3" s="0" t="s">
        <v>707</v>
      </c>
      <c r="W3" s="0" t="s">
        <v>3205</v>
      </c>
      <c r="X3" s="0" t="s">
        <v>707</v>
      </c>
      <c r="Z3" s="0" t="s">
        <v>3216</v>
      </c>
      <c r="AA3" s="0" t="s">
        <v>707</v>
      </c>
      <c r="AH3" s="0" t="s">
        <v>3253</v>
      </c>
      <c r="AK3" s="0" t="s">
        <v>719</v>
      </c>
      <c r="AM3" s="0" t="s">
        <v>725</v>
      </c>
      <c r="AN3" s="0" t="s">
        <v>729</v>
      </c>
      <c r="AO3" s="0" t="s">
        <v>752</v>
      </c>
      <c r="AP3" s="0" t="s">
        <v>3358</v>
      </c>
      <c r="AQ3" s="0" t="s">
        <v>716</v>
      </c>
      <c r="AR3" s="0" t="s">
        <v>3244</v>
      </c>
      <c r="AS3" s="0" t="s">
        <v>3829</v>
      </c>
      <c r="AT3" s="0" t="s">
        <v>719</v>
      </c>
      <c r="AU3" s="0" t="s">
        <v>708</v>
      </c>
      <c r="AV3" s="0" t="s">
        <v>4680</v>
      </c>
      <c r="AW3" s="0" t="s">
        <v>714</v>
      </c>
      <c r="AX3" s="0" t="s">
        <v>708</v>
      </c>
      <c r="AY3" s="0" t="s">
        <v>4721</v>
      </c>
      <c r="BA3" s="0" t="s">
        <v>725</v>
      </c>
      <c r="BB3" s="0" t="s">
        <v>731</v>
      </c>
      <c r="BC3" s="0" t="s">
        <v>752</v>
      </c>
      <c r="BD3" s="0" t="s">
        <v>4776</v>
      </c>
      <c r="BE3" s="0" t="s">
        <v>707</v>
      </c>
      <c r="BG3" s="0" t="s">
        <v>2017</v>
      </c>
      <c r="BH3" s="0" t="s">
        <v>707</v>
      </c>
      <c r="BJ3" s="0" t="s">
        <v>2440</v>
      </c>
      <c r="BK3" s="0" t="s">
        <v>4000</v>
      </c>
      <c r="BL3" s="0" t="s">
        <v>708</v>
      </c>
      <c r="BM3" s="0" t="s">
        <v>847</v>
      </c>
      <c r="BO3" s="0" t="s">
        <v>5640</v>
      </c>
      <c r="BP3" s="0" t="s">
        <v>707</v>
      </c>
      <c r="BS3" s="0" t="s">
        <v>739</v>
      </c>
      <c r="BT3" s="0" t="s">
        <v>716</v>
      </c>
      <c r="BV3" s="0" t="s">
        <v>789</v>
      </c>
      <c r="BW3" s="0" t="s">
        <v>5979</v>
      </c>
      <c r="BX3" s="0" t="s">
        <v>1103</v>
      </c>
      <c r="BY3" s="0" t="s">
        <v>714</v>
      </c>
      <c r="CA3" s="0" t="s">
        <v>6163</v>
      </c>
      <c r="CB3" s="0" t="s">
        <v>707</v>
      </c>
      <c r="CG3" s="0" t="s">
        <v>1048</v>
      </c>
      <c r="CH3" s="0" t="s">
        <v>719</v>
      </c>
      <c r="CJ3" s="0" t="s">
        <v>6239</v>
      </c>
      <c r="CK3" s="0" t="s">
        <v>707</v>
      </c>
      <c r="CQ3" s="0" t="s">
        <v>6330</v>
      </c>
      <c r="CV3" s="0" t="s">
        <v>6362</v>
      </c>
      <c r="CW3" s="0" t="s">
        <v>3293</v>
      </c>
      <c r="CY3" s="0" t="s">
        <v>6383</v>
      </c>
      <c r="CZ3" s="0" t="s">
        <v>1048</v>
      </c>
      <c r="DA3" s="0" t="s">
        <v>6362</v>
      </c>
      <c r="DC3" s="0" t="s">
        <v>716</v>
      </c>
      <c r="DE3" s="0" t="s">
        <v>6533</v>
      </c>
      <c r="DF3" s="0" t="s">
        <v>6336</v>
      </c>
      <c r="DG3" s="0" t="s">
        <v>6537</v>
      </c>
      <c r="DJ3" s="0" t="s">
        <v>6551</v>
      </c>
      <c r="DM3" s="0" t="s">
        <v>6565</v>
      </c>
      <c r="DN3" s="0" t="s">
        <v>6596</v>
      </c>
      <c r="DO3" s="0" t="s">
        <v>6671</v>
      </c>
      <c r="DP3" s="0" t="s">
        <v>6678</v>
      </c>
      <c r="DR3" s="0" t="s">
        <v>716</v>
      </c>
      <c r="DS3" s="0" t="s">
        <v>6984</v>
      </c>
      <c r="DT3" s="0" t="s">
        <v>724</v>
      </c>
      <c r="DU3" s="0" t="s">
        <v>6967</v>
      </c>
      <c r="DV3" s="0" t="s">
        <v>714</v>
      </c>
      <c r="DW3" s="0" t="s">
        <v>841</v>
      </c>
      <c r="DX3" s="0" t="s">
        <v>707</v>
      </c>
      <c r="DY3" s="0" t="s">
        <v>6733</v>
      </c>
      <c r="DZ3" s="0" t="s">
        <v>7067</v>
      </c>
      <c r="EA3" s="0" t="s">
        <v>784</v>
      </c>
      <c r="EB3" s="0" t="s">
        <v>716</v>
      </c>
      <c r="EC3" s="0" t="s">
        <v>719</v>
      </c>
      <c r="ED3" s="0" t="s">
        <v>7390</v>
      </c>
      <c r="EE3" s="0" t="s">
        <v>7295</v>
      </c>
      <c r="EF3" s="0" t="s">
        <v>7403</v>
      </c>
      <c r="EG3" s="0" t="s">
        <v>4721</v>
      </c>
      <c r="EH3" s="0" t="s">
        <v>716</v>
      </c>
      <c r="EI3" s="0" t="s">
        <v>5091</v>
      </c>
      <c r="EJ3" s="0" t="s">
        <v>7262</v>
      </c>
      <c r="EK3" s="0" t="s">
        <v>7550</v>
      </c>
      <c r="EL3" s="0" t="s">
        <v>6982</v>
      </c>
      <c r="EM3" s="0" t="s">
        <v>714</v>
      </c>
      <c r="EN3" s="0" t="s">
        <v>6740</v>
      </c>
      <c r="EO3" s="0" t="s">
        <v>707</v>
      </c>
      <c r="EQ3" s="0" t="s">
        <v>6698</v>
      </c>
      <c r="ER3" s="0" t="s">
        <v>6982</v>
      </c>
      <c r="ES3" s="0" t="s">
        <v>3247</v>
      </c>
      <c r="ET3" s="0" t="s">
        <v>716</v>
      </c>
      <c r="EU3" s="0" t="s">
        <v>7573</v>
      </c>
      <c r="EV3" s="0" t="s">
        <v>6163</v>
      </c>
      <c r="EX3" s="0" t="s">
        <v>7067</v>
      </c>
      <c r="EY3" s="0" t="s">
        <v>6940</v>
      </c>
      <c r="EZ3" s="0" t="s">
        <v>847</v>
      </c>
      <c r="FD3" s="0" t="s">
        <v>3247</v>
      </c>
      <c r="FE3" s="0" t="s">
        <v>6740</v>
      </c>
      <c r="FF3" s="0" t="s">
        <v>5492</v>
      </c>
      <c r="FG3" s="0" t="s">
        <v>7067</v>
      </c>
      <c r="FH3" s="0" t="s">
        <v>714</v>
      </c>
      <c r="FI3" s="0" t="s">
        <v>6740</v>
      </c>
      <c r="FJ3" s="0" t="s">
        <v>7715</v>
      </c>
      <c r="FK3" s="0" t="s">
        <v>847</v>
      </c>
      <c r="FL3" s="0" t="s">
        <v>7734</v>
      </c>
      <c r="FM3" s="0" t="s">
        <v>7745</v>
      </c>
      <c r="FO3" s="0" t="s">
        <v>847</v>
      </c>
      <c r="FP3" s="0" t="s">
        <v>7775</v>
      </c>
      <c r="FQ3" s="0" t="s">
        <v>7780</v>
      </c>
      <c r="FR3" s="0" t="s">
        <v>5496</v>
      </c>
      <c r="FU3" s="0" t="s">
        <v>7819</v>
      </c>
      <c r="FV3" s="0" t="s">
        <v>6706</v>
      </c>
      <c r="FW3" s="0" t="s">
        <v>7939</v>
      </c>
      <c r="FX3" s="0" t="s">
        <v>7868</v>
      </c>
      <c r="FY3" s="0" t="s">
        <v>7837</v>
      </c>
      <c r="FZ3" s="0" t="s">
        <v>8668</v>
      </c>
      <c r="GC3" s="0" t="s">
        <v>7997</v>
      </c>
      <c r="GD3" s="0" t="s">
        <v>8176</v>
      </c>
      <c r="GE3" s="0" t="s">
        <v>7918</v>
      </c>
      <c r="GG3" s="0" t="s">
        <v>7997</v>
      </c>
      <c r="GH3" s="0" t="s">
        <v>8169</v>
      </c>
      <c r="GI3" s="0" t="s">
        <v>7847</v>
      </c>
      <c r="GK3" s="0" t="s">
        <v>10076</v>
      </c>
      <c r="GL3" s="0" t="s">
        <v>7979</v>
      </c>
      <c r="GM3" s="0" t="s">
        <v>8169</v>
      </c>
      <c r="GN3" s="0" t="s">
        <v>9851</v>
      </c>
      <c r="GO3" s="0" t="s">
        <v>6336</v>
      </c>
      <c r="GP3" s="0" t="s">
        <v>10092</v>
      </c>
      <c r="GS3" s="0" t="s">
        <v>10109</v>
      </c>
      <c r="GT3" s="0" t="s">
        <v>7827</v>
      </c>
      <c r="GW3" s="0" t="s">
        <v>10158</v>
      </c>
      <c r="GX3" s="0" t="s">
        <v>7904</v>
      </c>
      <c r="GY3" s="0" t="s">
        <v>7886</v>
      </c>
      <c r="GZ3" s="0" t="s">
        <v>10335</v>
      </c>
      <c r="HA3" s="0" t="s">
        <v>10336</v>
      </c>
      <c r="HB3" s="0" t="s">
        <v>10288</v>
      </c>
      <c r="HC3" s="0" t="s">
        <v>7904</v>
      </c>
      <c r="HE3" s="0" t="s">
        <v>10839</v>
      </c>
      <c r="HG3" s="0" t="s">
        <v>6698</v>
      </c>
      <c r="HH3" s="0" t="s">
        <v>7868</v>
      </c>
      <c r="HI3" s="0" t="s">
        <v>7837</v>
      </c>
      <c r="HJ3" s="0" t="s">
        <v>6706</v>
      </c>
      <c r="HK3" s="0" t="s">
        <v>11227</v>
      </c>
      <c r="HL3" s="0" t="s">
        <v>11037</v>
      </c>
      <c r="HM3" s="0" t="s">
        <v>10230</v>
      </c>
      <c r="HN3" s="0" t="s">
        <v>11403</v>
      </c>
      <c r="HO3" s="0" t="s">
        <v>11388</v>
      </c>
      <c r="HP3" s="0" t="s">
        <v>6336</v>
      </c>
      <c r="HQ3" s="0" t="s">
        <v>11417</v>
      </c>
      <c r="HR3" s="0" t="s">
        <v>11559</v>
      </c>
      <c r="HS3" s="0" t="s">
        <v>7833</v>
      </c>
      <c r="HT3" s="0" t="s">
        <v>11605</v>
      </c>
      <c r="HU3" s="0" t="s">
        <v>11388</v>
      </c>
      <c r="HV3" s="0" t="s">
        <v>734</v>
      </c>
      <c r="HW3" s="0" t="s">
        <v>10516</v>
      </c>
      <c r="HX3" s="0" t="s">
        <v>7904</v>
      </c>
      <c r="HY3" s="0" t="s">
        <v>6239</v>
      </c>
      <c r="HZ3" s="0" t="s">
        <v>12064</v>
      </c>
      <c r="IA3" s="0" t="s">
        <v>11947</v>
      </c>
      <c r="IB3" s="0" t="s">
        <v>12510</v>
      </c>
      <c r="IC3" s="0" t="s">
        <v>12021</v>
      </c>
      <c r="ID3" s="0" t="s">
        <v>11870</v>
      </c>
      <c r="IE3" s="0" t="s">
        <v>11947</v>
      </c>
      <c r="IG3" s="0" t="s">
        <v>12560</v>
      </c>
      <c r="IH3" s="0" t="s">
        <v>6239</v>
      </c>
      <c r="II3" s="0" t="s">
        <v>12834</v>
      </c>
      <c r="IJ3" s="0" t="s">
        <v>12899</v>
      </c>
      <c r="IK3" s="0" t="s">
        <v>11928</v>
      </c>
      <c r="IM3" s="0" t="s">
        <v>12854</v>
      </c>
      <c r="IN3" s="0" t="s">
        <v>12021</v>
      </c>
      <c r="IO3" s="0" t="s">
        <v>13025</v>
      </c>
      <c r="IP3" s="0" t="s">
        <v>12843</v>
      </c>
      <c r="IQ3" s="0" t="s">
        <v>12001</v>
      </c>
      <c r="IS3" s="0" t="s">
        <v>13002</v>
      </c>
      <c r="IT3" s="0" t="s">
        <v>12983</v>
      </c>
      <c r="IU3" s="0" t="s">
        <v>13153</v>
      </c>
      <c r="IV3" s="0" t="s">
        <v>13170</v>
      </c>
      <c r="IW3" s="0" t="s">
        <v>13208</v>
      </c>
      <c r="IX3" s="0" t="s">
        <v>13230</v>
      </c>
      <c r="IY3" s="0" t="s">
        <v>13253</v>
      </c>
      <c r="IZ3" s="0" t="s">
        <v>751</v>
      </c>
      <c r="JA3" s="0" t="s">
        <v>13273</v>
      </c>
      <c r="JB3" s="0" t="s">
        <v>13409</v>
      </c>
      <c r="JD3" s="0" t="s">
        <v>938</v>
      </c>
      <c r="JE3" s="0" t="s">
        <v>13343</v>
      </c>
      <c r="JF3" s="0" t="s">
        <v>13706</v>
      </c>
      <c r="JG3" s="0" t="s">
        <v>13713</v>
      </c>
      <c r="JH3" s="0" t="s">
        <v>13724</v>
      </c>
      <c r="JK3" s="0" t="s">
        <v>13741</v>
      </c>
      <c r="JL3" s="0" t="s">
        <v>13751</v>
      </c>
      <c r="JM3" s="0" t="s">
        <v>847</v>
      </c>
      <c r="JN3" s="0" t="s">
        <v>716</v>
      </c>
      <c r="JQ3" s="0" t="s">
        <v>14311</v>
      </c>
      <c r="JR3" s="0" t="s">
        <v>847</v>
      </c>
      <c r="JS3" s="0" t="s">
        <v>1520</v>
      </c>
      <c r="JT3" s="0" t="s">
        <v>1323</v>
      </c>
      <c r="JU3" s="0" t="s">
        <v>789</v>
      </c>
      <c r="JW3" s="0" t="s">
        <v>2067</v>
      </c>
      <c r="JX3" s="0" t="s">
        <v>13751</v>
      </c>
      <c r="JZ3" s="0" t="s">
        <v>14492</v>
      </c>
      <c r="KD3" s="0" t="s">
        <v>14544</v>
      </c>
      <c r="KE3" s="0" t="s">
        <v>14657</v>
      </c>
      <c r="KF3" s="0" t="s">
        <v>14667</v>
      </c>
      <c r="KG3" s="0" t="s">
        <v>789</v>
      </c>
      <c r="KI3" s="0" t="s">
        <v>14723</v>
      </c>
      <c r="KJ3" s="0" t="s">
        <v>14741</v>
      </c>
      <c r="KK3" s="0" t="s">
        <v>761</v>
      </c>
      <c r="KP3" s="0" t="s">
        <v>14831</v>
      </c>
      <c r="KQ3" s="0" t="s">
        <v>15166</v>
      </c>
      <c r="KR3" s="0" t="s">
        <v>14826</v>
      </c>
      <c r="KS3" s="0" t="s">
        <v>15203</v>
      </c>
      <c r="KU3" s="0" t="s">
        <v>15210</v>
      </c>
      <c r="KV3" s="0" t="s">
        <v>14832</v>
      </c>
      <c r="KX3" s="0" t="s">
        <v>751</v>
      </c>
      <c r="KY3" s="0" t="s">
        <v>15405</v>
      </c>
      <c r="KZ3" s="0" t="s">
        <v>15466</v>
      </c>
      <c r="LA3" s="0" t="s">
        <v>15458</v>
      </c>
      <c r="LD3" s="0" t="s">
        <v>15527</v>
      </c>
      <c r="LE3" s="0" t="s">
        <v>15490</v>
      </c>
      <c r="LF3" s="0" t="s">
        <v>15532</v>
      </c>
      <c r="LG3" s="0" t="s">
        <v>751</v>
      </c>
      <c r="LH3" s="0" t="s">
        <v>15534</v>
      </c>
      <c r="LI3" s="0" t="s">
        <v>15541</v>
      </c>
      <c r="LJ3" s="0" t="s">
        <v>15577</v>
      </c>
      <c r="LK3" s="0" t="s">
        <v>15647</v>
      </c>
      <c r="LL3" s="0" t="s">
        <v>15504</v>
      </c>
      <c r="LM3" s="0" t="s">
        <v>15694</v>
      </c>
      <c r="LO3" s="0" t="s">
        <v>15706</v>
      </c>
      <c r="LP3" s="0" t="s">
        <v>15525</v>
      </c>
      <c r="LQ3" s="0" t="s">
        <v>15738</v>
      </c>
      <c r="LR3" s="0" t="s">
        <v>15805</v>
      </c>
      <c r="LS3" s="0" t="s">
        <v>15803</v>
      </c>
      <c r="LU3" s="0" t="s">
        <v>15820</v>
      </c>
      <c r="LV3" s="0" t="s">
        <v>15723</v>
      </c>
      <c r="LW3" s="0" t="s">
        <v>6362</v>
      </c>
      <c r="LX3" s="0" t="s">
        <v>16071</v>
      </c>
      <c r="LY3" s="0" t="s">
        <v>15855</v>
      </c>
      <c r="MA3" s="0" t="s">
        <v>16050</v>
      </c>
      <c r="MC3" s="0" t="s">
        <v>16112</v>
      </c>
      <c r="MF3" s="0" t="s">
        <v>1048</v>
      </c>
      <c r="MH3" s="0" t="s">
        <v>16443</v>
      </c>
      <c r="MJ3" s="0" t="s">
        <v>16431</v>
      </c>
      <c r="ML3" s="0" t="s">
        <v>16520</v>
      </c>
      <c r="MM3" s="0" t="s">
        <v>707</v>
      </c>
      <c r="MO3" s="0" t="s">
        <v>16549</v>
      </c>
      <c r="MP3" s="0" t="s">
        <v>16724</v>
      </c>
      <c r="MS3" s="0" t="s">
        <v>14260</v>
      </c>
      <c r="MT3" s="0" t="s">
        <v>16912</v>
      </c>
      <c r="MU3" s="0" t="s">
        <v>16965</v>
      </c>
      <c r="MV3" s="0" t="s">
        <v>16953</v>
      </c>
      <c r="MW3" s="0" t="s">
        <v>6549</v>
      </c>
      <c r="MX3" s="0" t="s">
        <v>17051</v>
      </c>
      <c r="MY3" s="0" t="s">
        <v>1323</v>
      </c>
      <c r="MZ3" s="0" t="s">
        <v>17056</v>
      </c>
      <c r="NA3" s="0" t="s">
        <v>17264</v>
      </c>
      <c r="NB3" s="0" t="s">
        <v>17115</v>
      </c>
      <c r="NC3" s="0" t="s">
        <v>15516</v>
      </c>
      <c r="ND3" s="0" t="s">
        <v>17262</v>
      </c>
      <c r="NE3" s="0" t="s">
        <v>17515</v>
      </c>
      <c r="NF3" s="0" t="s">
        <v>17488</v>
      </c>
      <c r="NG3" s="0" t="s">
        <v>2600</v>
      </c>
      <c r="NI3" s="0" t="s">
        <v>17664</v>
      </c>
      <c r="NJ3" s="0" t="s">
        <v>17683</v>
      </c>
      <c r="NK3" s="0" t="s">
        <v>15458</v>
      </c>
      <c r="NM3" s="0" t="s">
        <v>17846</v>
      </c>
      <c r="NN3" s="0" t="s">
        <v>17694</v>
      </c>
      <c r="NO3" s="0" t="s">
        <v>15458</v>
      </c>
      <c r="NQ3" s="0" t="s">
        <v>17861</v>
      </c>
      <c r="NR3" s="0" t="s">
        <v>17880</v>
      </c>
      <c r="NS3" s="0" t="s">
        <v>17893</v>
      </c>
      <c r="NT3" s="0" t="s">
        <v>15458</v>
      </c>
      <c r="NU3" s="0" t="s">
        <v>17953</v>
      </c>
      <c r="NV3" s="0" t="s">
        <v>17953</v>
      </c>
      <c r="NW3" s="0" t="s">
        <v>18000</v>
      </c>
      <c r="NX3" s="0" t="s">
        <v>18057</v>
      </c>
      <c r="NY3" s="0" t="s">
        <v>17111</v>
      </c>
      <c r="NZ3" s="0" t="s">
        <v>18113</v>
      </c>
      <c r="OA3" s="0" t="s">
        <v>18114</v>
      </c>
      <c r="OC3" s="0" t="s">
        <v>751</v>
      </c>
      <c r="OD3" s="0" t="s">
        <v>17305</v>
      </c>
      <c r="OE3" s="0" t="s">
        <v>17311</v>
      </c>
      <c r="OG3" s="0" t="s">
        <v>18202</v>
      </c>
      <c r="OH3" s="0" t="s">
        <v>18346</v>
      </c>
      <c r="OI3" s="0" t="s">
        <v>17113</v>
      </c>
      <c r="OJ3" s="0" t="s">
        <v>17289</v>
      </c>
      <c r="OK3" s="0" t="s">
        <v>14667</v>
      </c>
      <c r="ON3" s="0" t="s">
        <v>18530</v>
      </c>
      <c r="OO3" s="0" t="s">
        <v>18545</v>
      </c>
      <c r="OQ3" s="0" t="s">
        <v>18692</v>
      </c>
      <c r="OR3" s="0" t="s">
        <v>18725</v>
      </c>
      <c r="OS3" s="0" t="s">
        <v>18766</v>
      </c>
      <c r="OT3" s="0" t="s">
        <v>13025</v>
      </c>
      <c r="OU3" s="0" t="s">
        <v>18247</v>
      </c>
      <c r="OW3" s="0" t="s">
        <v>14013</v>
      </c>
      <c r="OX3" s="0" t="s">
        <v>734</v>
      </c>
      <c r="OY3" s="0" t="s">
        <v>18836</v>
      </c>
      <c r="OZ3" s="0" t="s">
        <v>18877</v>
      </c>
      <c r="PA3" s="0" t="s">
        <v>8168</v>
      </c>
      <c r="PB3" s="0" t="s">
        <v>19166</v>
      </c>
      <c r="PC3" s="0" t="s">
        <v>19096</v>
      </c>
      <c r="PD3" s="0" t="s">
        <v>18962</v>
      </c>
      <c r="PE3" s="0" t="s">
        <v>17109</v>
      </c>
      <c r="PG3" s="0" t="s">
        <v>17105</v>
      </c>
      <c r="PH3" s="0" t="s">
        <v>17120</v>
      </c>
      <c r="PK3" s="0" t="s">
        <v>19429</v>
      </c>
      <c r="PM3" s="0" t="s">
        <v>734</v>
      </c>
      <c r="PN3" s="0" t="s">
        <v>15953</v>
      </c>
      <c r="PO3" s="0" t="s">
        <v>11411</v>
      </c>
      <c r="PQ3" s="0" t="s">
        <v>19458</v>
      </c>
      <c r="PR3" s="0" t="s">
        <v>19449</v>
      </c>
      <c r="PT3" s="0" t="s">
        <v>15458</v>
      </c>
      <c r="PU3" s="0" t="s">
        <v>19483</v>
      </c>
      <c r="PW3" s="0" t="s">
        <v>13791</v>
      </c>
      <c r="PZ3" s="0" t="s">
        <v>19499</v>
      </c>
      <c r="QA3" s="0" t="s">
        <v>19508</v>
      </c>
      <c r="QE3" s="0" t="s">
        <v>19569</v>
      </c>
      <c r="QF3" s="0" t="s">
        <v>19626</v>
      </c>
      <c r="QG3" s="0" t="s">
        <v>19614</v>
      </c>
      <c r="QQ3" s="0" t="s">
        <v>19672</v>
      </c>
      <c r="QV3" s="0" t="s">
        <v>19729</v>
      </c>
      <c r="QW3" s="0" t="s">
        <v>19783</v>
      </c>
      <c r="QX3" s="0" t="s">
        <v>751</v>
      </c>
      <c r="QY3" s="0" t="s">
        <v>1323</v>
      </c>
      <c r="RD3" s="0" t="s">
        <v>2002</v>
      </c>
      <c r="RF3" s="0" t="s">
        <v>1323</v>
      </c>
      <c r="RG3" s="0" t="s">
        <v>841</v>
      </c>
      <c r="RI3" s="0" t="s">
        <v>2002</v>
      </c>
      <c r="RL3" s="0" t="s">
        <v>2002</v>
      </c>
      <c r="RN3" s="0" t="s">
        <v>1433</v>
      </c>
      <c r="RS3" s="0" t="s">
        <v>2002</v>
      </c>
      <c r="RU3" s="0" t="s">
        <v>19969</v>
      </c>
      <c r="RV3" s="0" t="s">
        <v>6336</v>
      </c>
      <c r="RX3" s="0" t="s">
        <v>11483</v>
      </c>
      <c r="RY3" s="0" t="s">
        <v>11432</v>
      </c>
      <c r="RZ3" s="0" t="s">
        <v>20014</v>
      </c>
      <c r="SB3" s="0" t="s">
        <v>20037</v>
      </c>
      <c r="SC3" s="0" t="s">
        <v>6336</v>
      </c>
      <c r="SE3" s="0" t="s">
        <v>20085</v>
      </c>
      <c r="SF3" s="0" t="s">
        <v>20082</v>
      </c>
      <c r="SG3" s="0" t="s">
        <v>20120</v>
      </c>
      <c r="SH3" s="0" t="s">
        <v>20177</v>
      </c>
      <c r="SI3" s="0" t="s">
        <v>19977</v>
      </c>
      <c r="SJ3" s="0" t="s">
        <v>20171</v>
      </c>
      <c r="SL3" s="0" t="s">
        <v>20395</v>
      </c>
      <c r="SP3" s="0" t="s">
        <v>20370</v>
      </c>
      <c r="SQ3" s="0" t="s">
        <v>20454</v>
      </c>
      <c r="SS3" s="0" t="s">
        <v>20463</v>
      </c>
      <c r="SV3" s="0" t="s">
        <v>20515</v>
      </c>
      <c r="SW3" s="0" t="s">
        <v>19991</v>
      </c>
      <c r="SX3" s="0" t="s">
        <v>20519</v>
      </c>
      <c r="SY3" s="0" t="s">
        <v>20545</v>
      </c>
      <c r="TA3" s="0" t="s">
        <v>20551</v>
      </c>
      <c r="TG3" s="0" t="s">
        <v>20584</v>
      </c>
      <c r="TH3" s="0" t="s">
        <v>20596</v>
      </c>
      <c r="TJ3" s="0" t="s">
        <v>20357</v>
      </c>
      <c r="TK3" s="0" t="s">
        <v>20670</v>
      </c>
      <c r="TN3" s="0" t="s">
        <v>716</v>
      </c>
      <c r="TO3" s="0" t="s">
        <v>20763</v>
      </c>
      <c r="TP3" s="0" t="s">
        <v>20757</v>
      </c>
      <c r="TR3" s="0" t="s">
        <v>11434</v>
      </c>
      <c r="TS3" s="0" t="s">
        <v>11434</v>
      </c>
      <c r="TT3" s="0" t="s">
        <v>20884</v>
      </c>
      <c r="TV3" s="0" t="s">
        <v>20906</v>
      </c>
      <c r="TW3" s="0" t="s">
        <v>6336</v>
      </c>
      <c r="TX3" s="0" t="s">
        <v>13751</v>
      </c>
      <c r="TY3" s="0" t="s">
        <v>20923</v>
      </c>
      <c r="TZ3" s="0" t="s">
        <v>20944</v>
      </c>
      <c r="UB3" s="0" t="s">
        <v>20954</v>
      </c>
      <c r="UD3" s="0" t="s">
        <v>21003</v>
      </c>
      <c r="UE3" s="0" t="s">
        <v>6723</v>
      </c>
      <c r="UF3" s="0" t="s">
        <v>21046</v>
      </c>
      <c r="UG3" s="0" t="s">
        <v>3061</v>
      </c>
      <c r="UH3" s="0" t="s">
        <v>21054</v>
      </c>
      <c r="UL3" s="0" t="s">
        <v>6362</v>
      </c>
      <c r="UM3" s="0" t="s">
        <v>21083</v>
      </c>
      <c r="UQ3" s="0" t="s">
        <v>751</v>
      </c>
      <c r="UU3" s="0" t="s">
        <v>21131</v>
      </c>
      <c r="UV3" s="0" t="s">
        <v>21153</v>
      </c>
      <c r="UW3" s="0" t="s">
        <v>21159</v>
      </c>
      <c r="VA3" s="0" t="s">
        <v>18157</v>
      </c>
      <c r="VB3" s="0" t="s">
        <v>21214</v>
      </c>
      <c r="VG3" s="0" t="s">
        <v>751</v>
      </c>
      <c r="VH3" s="0" t="s">
        <v>21283</v>
      </c>
      <c r="VI3" s="0" t="s">
        <v>21238</v>
      </c>
      <c r="VJ3" s="0" t="s">
        <v>709</v>
      </c>
      <c r="VL3" s="0" t="s">
        <v>21572</v>
      </c>
      <c r="VM3" s="0" t="s">
        <v>21584</v>
      </c>
      <c r="VO3" s="0" t="s">
        <v>21598</v>
      </c>
      <c r="VR3" s="0" t="s">
        <v>21628</v>
      </c>
      <c r="VT3" s="0" t="s">
        <v>21668</v>
      </c>
      <c r="VU3" s="0" t="s">
        <v>21674</v>
      </c>
      <c r="VV3" s="0" t="s">
        <v>739</v>
      </c>
      <c r="VW3" s="0" t="s">
        <v>21685</v>
      </c>
      <c r="VX3" s="0" t="s">
        <v>6336</v>
      </c>
      <c r="VY3" s="0" t="s">
        <v>21695</v>
      </c>
      <c r="WB3" s="0" t="s">
        <v>14016</v>
      </c>
      <c r="WC3" s="0" t="s">
        <v>21714</v>
      </c>
      <c r="WE3" s="0" t="s">
        <v>21773</v>
      </c>
      <c r="WF3" s="0" t="s">
        <v>21755</v>
      </c>
      <c r="WH3" s="0" t="s">
        <v>21736</v>
      </c>
      <c r="WI3" s="0" t="s">
        <v>21792</v>
      </c>
      <c r="WJ3" s="0" t="s">
        <v>21801</v>
      </c>
      <c r="WL3" s="0" t="s">
        <v>21868</v>
      </c>
      <c r="WN3" s="0" t="s">
        <v>21879</v>
      </c>
      <c r="WO3" s="0" t="s">
        <v>21893</v>
      </c>
      <c r="WR3" s="0" t="s">
        <v>6549</v>
      </c>
      <c r="WS3" s="0" t="s">
        <v>21913</v>
      </c>
      <c r="WT3" s="0" t="s">
        <v>6740</v>
      </c>
      <c r="WW3" s="0" t="s">
        <v>21940</v>
      </c>
      <c r="WX3" s="0" t="s">
        <v>21931</v>
      </c>
      <c r="WY3" s="0" t="s">
        <v>18157</v>
      </c>
      <c r="WZ3" s="0" t="s">
        <v>22028</v>
      </c>
      <c r="XA3" s="0" t="s">
        <v>6336</v>
      </c>
      <c r="XB3" s="0" t="s">
        <v>6369</v>
      </c>
      <c r="XC3" s="0" t="s">
        <v>22067</v>
      </c>
      <c r="XD3" s="0" t="s">
        <v>22170</v>
      </c>
      <c r="XE3" s="0" t="s">
        <v>6336</v>
      </c>
      <c r="XH3" s="0" t="s">
        <v>22189</v>
      </c>
      <c r="XI3" s="0" t="s">
        <v>22244</v>
      </c>
      <c r="XK3" s="0" t="s">
        <v>22290</v>
      </c>
      <c r="XL3" s="0" t="s">
        <v>22303</v>
      </c>
      <c r="XM3" s="0" t="s">
        <v>22365</v>
      </c>
      <c r="XN3" s="0" t="s">
        <v>6336</v>
      </c>
      <c r="XP3" s="0" t="s">
        <v>22453</v>
      </c>
      <c r="XQ3" s="0" t="s">
        <v>22570</v>
      </c>
      <c r="XS3" s="0" t="s">
        <v>22494</v>
      </c>
      <c r="XT3" s="0" t="s">
        <v>22579</v>
      </c>
      <c r="XU3" s="0" t="s">
        <v>22739</v>
      </c>
      <c r="XV3" s="0" t="s">
        <v>6336</v>
      </c>
      <c r="XX3" s="0" t="s">
        <v>6336</v>
      </c>
      <c r="XY3" s="0" t="s">
        <v>22757</v>
      </c>
      <c r="XZ3" s="0" t="s">
        <v>22850</v>
      </c>
      <c r="YB3" s="0" t="s">
        <v>22844</v>
      </c>
      <c r="YC3" s="0" t="s">
        <v>22844</v>
      </c>
      <c r="YE3" s="0" t="s">
        <v>13751</v>
      </c>
      <c r="YG3" s="0" t="s">
        <v>22867</v>
      </c>
      <c r="YH3" s="0" t="s">
        <v>6549</v>
      </c>
      <c r="YI3" s="0" t="s">
        <v>22974</v>
      </c>
      <c r="YL3" s="0" t="s">
        <v>22983</v>
      </c>
      <c r="YN3" s="0" t="s">
        <v>22996</v>
      </c>
      <c r="YO3" s="0" t="s">
        <v>21692</v>
      </c>
      <c r="YP3" s="0" t="s">
        <v>751</v>
      </c>
      <c r="YR3" s="0" t="s">
        <v>23018</v>
      </c>
      <c r="YS3" s="0" t="s">
        <v>23041</v>
      </c>
      <c r="YT3" s="0" t="s">
        <v>11415</v>
      </c>
      <c r="YW3" s="0" t="s">
        <v>23053</v>
      </c>
      <c r="YX3" s="0" t="s">
        <v>21692</v>
      </c>
      <c r="ZA3" s="0" t="s">
        <v>22850</v>
      </c>
      <c r="ZB3" s="0" t="s">
        <v>751</v>
      </c>
      <c r="ZC3" s="0" t="s">
        <v>23151</v>
      </c>
      <c r="ZE3" s="0" t="s">
        <v>23224</v>
      </c>
      <c r="ZF3" s="0" t="s">
        <v>6336</v>
      </c>
      <c r="ZG3" s="0" t="s">
        <v>23242</v>
      </c>
      <c r="ZH3" s="0" t="s">
        <v>23252</v>
      </c>
      <c r="ZK3" s="0" t="s">
        <v>23038</v>
      </c>
      <c r="ZP3" s="0" t="s">
        <v>21725</v>
      </c>
      <c r="ZQ3" s="0" t="s">
        <v>23315</v>
      </c>
      <c r="ZS3" s="0" t="s">
        <v>23323</v>
      </c>
      <c r="ZU3" s="0" t="s">
        <v>13997</v>
      </c>
      <c r="ZV3" s="0" t="s">
        <v>23365</v>
      </c>
      <c r="ZX3" s="0" t="s">
        <v>23416</v>
      </c>
      <c r="ZY3" s="0" t="s">
        <v>23425</v>
      </c>
      <c r="AAA3" s="0" t="s">
        <v>23432</v>
      </c>
      <c r="AAC3" s="0" t="s">
        <v>23445</v>
      </c>
      <c r="AAE3" s="0" t="s">
        <v>23455</v>
      </c>
      <c r="AAG3" s="0" t="s">
        <v>6549</v>
      </c>
      <c r="AAI3" s="0" t="s">
        <v>23484</v>
      </c>
      <c r="AAK3" s="0" t="s">
        <v>23527</v>
      </c>
      <c r="AAL3" s="0" t="s">
        <v>23565</v>
      </c>
      <c r="AAM3" s="0" t="s">
        <v>23555</v>
      </c>
      <c r="AAN3" s="0" t="s">
        <v>23570</v>
      </c>
      <c r="AAO3" s="0" t="s">
        <v>13751</v>
      </c>
      <c r="AAP3" s="0" t="s">
        <v>23641</v>
      </c>
      <c r="AAQ3" s="0" t="s">
        <v>16919</v>
      </c>
      <c r="AAR3" s="0" t="s">
        <v>23684</v>
      </c>
      <c r="AAS3" s="0" t="s">
        <v>751</v>
      </c>
      <c r="AAT3" s="0" t="s">
        <v>23699</v>
      </c>
      <c r="AAV3" s="0" t="s">
        <v>13743</v>
      </c>
      <c r="AAW3" s="0" t="s">
        <v>23766</v>
      </c>
      <c r="AAY3" s="0" t="s">
        <v>12422</v>
      </c>
      <c r="ABA3" s="0" t="s">
        <v>11415</v>
      </c>
      <c r="ABF3" s="0" t="s">
        <v>23816</v>
      </c>
      <c r="ABH3" s="0" t="s">
        <v>23929</v>
      </c>
      <c r="ABI3" s="0" t="s">
        <v>751</v>
      </c>
      <c r="ABJ3" s="0" t="s">
        <v>14013</v>
      </c>
      <c r="ABK3" s="0" t="s">
        <v>23956</v>
      </c>
      <c r="ABL3" s="0" t="s">
        <v>6549</v>
      </c>
      <c r="ABM3" s="0" t="s">
        <v>23971</v>
      </c>
      <c r="ABN3" s="0" t="s">
        <v>6549</v>
      </c>
      <c r="ABP3" s="0" t="s">
        <v>24018</v>
      </c>
      <c r="ABT3" s="0" t="s">
        <v>24046</v>
      </c>
      <c r="ABV3" s="0" t="s">
        <v>23041</v>
      </c>
      <c r="ABY3" s="0" t="s">
        <v>24099</v>
      </c>
      <c r="ABZ3" s="0" t="s">
        <v>24091</v>
      </c>
      <c r="ACA3" s="0" t="s">
        <v>23265</v>
      </c>
      <c r="ACC3" s="0" t="s">
        <v>23562</v>
      </c>
      <c r="ACD3" s="0" t="s">
        <v>23565</v>
      </c>
      <c r="ACE3" s="0" t="s">
        <v>23548</v>
      </c>
      <c r="ACF3" s="0" t="s">
        <v>13751</v>
      </c>
      <c r="ACG3" s="0" t="s">
        <v>24197</v>
      </c>
      <c r="ACH3" s="0" t="s">
        <v>24189</v>
      </c>
      <c r="ACI3" s="0" t="s">
        <v>11411</v>
      </c>
      <c r="ACJ3" s="0" t="s">
        <v>15458</v>
      </c>
      <c r="ACK3" s="0" t="s">
        <v>24332</v>
      </c>
      <c r="ACL3" s="0" t="s">
        <v>23555</v>
      </c>
      <c r="ACN3" s="0" t="s">
        <v>6549</v>
      </c>
      <c r="ACO3" s="0" t="s">
        <v>16919</v>
      </c>
      <c r="ACP3" s="0" t="s">
        <v>6549</v>
      </c>
      <c r="ACR3" s="0" t="s">
        <v>24400</v>
      </c>
      <c r="ACS3" s="0" t="s">
        <v>6336</v>
      </c>
      <c r="ACV3" s="0" t="s">
        <v>24449</v>
      </c>
      <c r="ACW3" s="0" t="s">
        <v>6549</v>
      </c>
      <c r="ACY3" s="0" t="s">
        <v>24598</v>
      </c>
      <c r="ACZ3" s="0" t="s">
        <v>23038</v>
      </c>
      <c r="ADA3" s="0" t="s">
        <v>6549</v>
      </c>
      <c r="ADB3" s="0" t="s">
        <v>23156</v>
      </c>
      <c r="ADD3" s="0" t="s">
        <v>24731</v>
      </c>
      <c r="ADF3" s="0" t="s">
        <v>24772</v>
      </c>
      <c r="ADH3" s="0" t="s">
        <v>789</v>
      </c>
      <c r="ADI3" s="0" t="s">
        <v>24804</v>
      </c>
      <c r="ADK3" s="0" t="s">
        <v>24856</v>
      </c>
      <c r="ADL3" s="0" t="s">
        <v>883</v>
      </c>
      <c r="ADN3" s="0" t="s">
        <v>16909</v>
      </c>
      <c r="ADO3" s="0" t="s">
        <v>3061</v>
      </c>
      <c r="ADQ3" s="0" t="s">
        <v>13751</v>
      </c>
      <c r="ADR3" s="0" t="s">
        <v>789</v>
      </c>
      <c r="ADS3" s="0" t="s">
        <v>25460</v>
      </c>
      <c r="ADT3" s="0" t="s">
        <v>13751</v>
      </c>
      <c r="ADU3" s="0" t="s">
        <v>25735</v>
      </c>
      <c r="ADV3" s="0" t="s">
        <v>789</v>
      </c>
      <c r="ADW3" s="0" t="s">
        <v>11407</v>
      </c>
      <c r="ADY3" s="0" t="s">
        <v>13751</v>
      </c>
      <c r="ADZ3" s="0" t="s">
        <v>716</v>
      </c>
      <c r="AEA3" s="0" t="s">
        <v>11411</v>
      </c>
      <c r="AEC3" s="0" t="s">
        <v>13751</v>
      </c>
      <c r="AED3" s="0" t="s">
        <v>841</v>
      </c>
      <c r="AEE3" s="0" t="s">
        <v>11407</v>
      </c>
      <c r="AEH3" s="0" t="s">
        <v>13751</v>
      </c>
      <c r="AEI3" s="0" t="s">
        <v>789</v>
      </c>
      <c r="AEJ3" s="0" t="s">
        <v>11407</v>
      </c>
      <c r="AEL3" s="0" t="s">
        <v>3247</v>
      </c>
      <c r="AEM3" s="0" t="s">
        <v>11413</v>
      </c>
      <c r="AEN3" s="0" t="s">
        <v>26397</v>
      </c>
      <c r="AEO3" s="0" t="s">
        <v>26394</v>
      </c>
      <c r="AEP3" s="0" t="s">
        <v>13743</v>
      </c>
      <c r="AEQ3" s="0" t="s">
        <v>707</v>
      </c>
      <c r="AER3" s="0" t="s">
        <v>11411</v>
      </c>
      <c r="AES3" s="0" t="s">
        <v>14013</v>
      </c>
      <c r="AET3" s="0" t="s">
        <v>789</v>
      </c>
      <c r="AEU3" s="0" t="s">
        <v>11411</v>
      </c>
      <c r="AEW3" s="0" t="s">
        <v>13743</v>
      </c>
      <c r="AEX3" s="0" t="s">
        <v>26554</v>
      </c>
      <c r="AEY3" s="0" t="s">
        <v>707</v>
      </c>
      <c r="AEZ3" s="0" t="s">
        <v>11413</v>
      </c>
      <c r="AFD3" s="0" t="s">
        <v>11413</v>
      </c>
      <c r="AFG3" s="0" t="s">
        <v>3061</v>
      </c>
      <c r="AFH3" s="0" t="s">
        <v>3247</v>
      </c>
      <c r="AFI3" s="0" t="s">
        <v>13751</v>
      </c>
      <c r="AFK3" s="0" t="s">
        <v>847</v>
      </c>
      <c r="AFL3" s="0" t="s">
        <v>11411</v>
      </c>
      <c r="AFP3" s="0" t="s">
        <v>13743</v>
      </c>
      <c r="AFQ3" s="0" t="s">
        <v>707</v>
      </c>
      <c r="AFR3" s="0" t="s">
        <v>11411</v>
      </c>
      <c r="AFS3" s="0" t="s">
        <v>27080</v>
      </c>
      <c r="AFV3" s="0" t="s">
        <v>6418</v>
      </c>
      <c r="AFW3" s="0" t="s">
        <v>11409</v>
      </c>
      <c r="AFY3" s="0" t="s">
        <v>24108</v>
      </c>
      <c r="AFZ3" s="0" t="s">
        <v>14016</v>
      </c>
      <c r="AGA3" s="0" t="s">
        <v>839</v>
      </c>
      <c r="AGB3" s="0" t="s">
        <v>11407</v>
      </c>
      <c r="AGC3" s="0" t="s">
        <v>27351</v>
      </c>
      <c r="AGD3" s="0" t="s">
        <v>6362</v>
      </c>
      <c r="AGE3" s="0" t="s">
        <v>714</v>
      </c>
      <c r="AGF3" s="0" t="s">
        <v>11413</v>
      </c>
      <c r="AGG3" s="0" t="s">
        <v>14013</v>
      </c>
      <c r="AGH3" s="0" t="s">
        <v>27749</v>
      </c>
      <c r="AGI3" s="0" t="s">
        <v>789</v>
      </c>
      <c r="AGJ3" s="0" t="s">
        <v>11407</v>
      </c>
      <c r="AGL3" s="0" t="s">
        <v>25462</v>
      </c>
      <c r="AGN3" s="0" t="s">
        <v>27807</v>
      </c>
      <c r="AGO3" s="0" t="s">
        <v>13997</v>
      </c>
      <c r="AGP3" s="0" t="s">
        <v>23553</v>
      </c>
      <c r="AGQ3" s="0" t="s">
        <v>13994</v>
      </c>
      <c r="AGS3" s="0" t="s">
        <v>27830</v>
      </c>
      <c r="AGT3" s="0" t="s">
        <v>23567</v>
      </c>
      <c r="AGU3" s="0" t="s">
        <v>11411</v>
      </c>
      <c r="AGV3" s="0" t="s">
        <v>20882</v>
      </c>
      <c r="AGW3" s="0" t="s">
        <v>13751</v>
      </c>
      <c r="AGX3" s="0" t="s">
        <v>22570</v>
      </c>
      <c r="AGZ3" s="0" t="s">
        <v>13751</v>
      </c>
      <c r="AHA3" s="0" t="s">
        <v>761</v>
      </c>
      <c r="AHB3" s="0" t="s">
        <v>11413</v>
      </c>
      <c r="AHC3" s="0" t="s">
        <v>27988</v>
      </c>
      <c r="AHE3" s="0" t="s">
        <v>28120</v>
      </c>
      <c r="AHG3" s="0" t="s">
        <v>13974</v>
      </c>
      <c r="AHH3" s="0" t="s">
        <v>25460</v>
      </c>
      <c r="AHJ3" s="0" t="s">
        <v>13997</v>
      </c>
      <c r="AHK3" s="0" t="s">
        <v>28155</v>
      </c>
      <c r="AHL3" s="0" t="s">
        <v>14780</v>
      </c>
      <c r="AHM3" s="0" t="s">
        <v>28191</v>
      </c>
      <c r="AHN3" s="0" t="s">
        <v>13751</v>
      </c>
      <c r="AHO3" s="0" t="s">
        <v>11411</v>
      </c>
      <c r="AHP3" s="0" t="s">
        <v>6336</v>
      </c>
      <c r="AHQ3" s="0" t="s">
        <v>14013</v>
      </c>
      <c r="AHR3" s="0" t="s">
        <v>28244</v>
      </c>
      <c r="AHS3" s="0" t="s">
        <v>16429</v>
      </c>
      <c r="AHT3" s="0" t="s">
        <v>14056</v>
      </c>
      <c r="AHV3" s="0" t="s">
        <v>14826</v>
      </c>
      <c r="AHY3" s="0" t="s">
        <v>28332</v>
      </c>
      <c r="AHZ3" s="0" t="s">
        <v>23566</v>
      </c>
      <c r="AIB3" s="0" t="s">
        <v>13751</v>
      </c>
      <c r="AIC3" s="0" t="s">
        <v>11407</v>
      </c>
      <c r="AID3" s="0" t="s">
        <v>28363</v>
      </c>
      <c r="AIE3" s="0" t="s">
        <v>22841</v>
      </c>
      <c r="AIG3" s="0" t="s">
        <v>28412</v>
      </c>
      <c r="AIH3" s="0" t="s">
        <v>14016</v>
      </c>
      <c r="AIL3" s="0" t="s">
        <v>841</v>
      </c>
      <c r="AIM3" s="0" t="s">
        <v>28457</v>
      </c>
      <c r="AIO3" s="0" t="s">
        <v>28472</v>
      </c>
      <c r="AIP3" s="0" t="s">
        <v>28488</v>
      </c>
      <c r="AIQ3" s="0" t="s">
        <v>28514</v>
      </c>
      <c r="AIS3" s="0" t="s">
        <v>28526</v>
      </c>
      <c r="AIU3" s="0" t="s">
        <v>12847</v>
      </c>
      <c r="AIV3" s="0" t="s">
        <v>6369</v>
      </c>
      <c r="AIW3" s="0" t="s">
        <v>28635</v>
      </c>
      <c r="AIZ3" s="0" t="s">
        <v>12854</v>
      </c>
      <c r="AJA3" s="0" t="s">
        <v>28673</v>
      </c>
      <c r="AJB3" s="0" t="s">
        <v>6549</v>
      </c>
      <c r="AJC3" s="0" t="s">
        <v>28699</v>
      </c>
      <c r="AJD3" s="0" t="s">
        <v>28721</v>
      </c>
      <c r="AJE3" s="0" t="s">
        <v>12422</v>
      </c>
      <c r="AJF3" s="0" t="s">
        <v>6336</v>
      </c>
      <c r="AJG3" s="0" t="s">
        <v>28727</v>
      </c>
      <c r="AJH3" s="0" t="s">
        <v>28788</v>
      </c>
      <c r="AJL3" s="0" t="s">
        <v>28807</v>
      </c>
      <c r="AJM3" s="0" t="s">
        <v>28817</v>
      </c>
      <c r="AJO3" s="0" t="s">
        <v>11411</v>
      </c>
      <c r="AJQ3" s="0" t="s">
        <v>18154</v>
      </c>
      <c r="AJS3" s="0" t="s">
        <v>28872</v>
      </c>
      <c r="AJV3" s="0" t="s">
        <v>28984</v>
      </c>
      <c r="AJY3" s="0" t="s">
        <v>28996</v>
      </c>
      <c r="AJZ3" s="0" t="s">
        <v>29029</v>
      </c>
      <c r="AKE3" s="0" t="s">
        <v>29058</v>
      </c>
      <c r="AKF3" s="0" t="s">
        <v>29062</v>
      </c>
      <c r="AKL3" s="0" t="s">
        <v>13997</v>
      </c>
      <c r="AKM3" s="0" t="s">
        <v>23566</v>
      </c>
      <c r="AKN3" s="0" t="s">
        <v>6336</v>
      </c>
      <c r="AKO3" s="0" t="s">
        <v>13743</v>
      </c>
      <c r="AKQ3" s="0" t="s">
        <v>27847</v>
      </c>
      <c r="AKR3" s="0" t="s">
        <v>29167</v>
      </c>
      <c r="AKT3" s="0" t="s">
        <v>29262</v>
      </c>
      <c r="AKU3" s="0" t="s">
        <v>29142</v>
      </c>
      <c r="AKV3" s="0" t="s">
        <v>6336</v>
      </c>
      <c r="AKW3" s="0" t="s">
        <v>29185</v>
      </c>
      <c r="AKX3" s="0" t="s">
        <v>751</v>
      </c>
      <c r="AKY3" s="0" t="s">
        <v>29291</v>
      </c>
      <c r="ALD3" s="0" t="s">
        <v>751</v>
      </c>
      <c r="ALF3" s="0" t="s">
        <v>19731</v>
      </c>
      <c r="ALG3" s="0" t="s">
        <v>12847</v>
      </c>
      <c r="ALI3" s="0" t="s">
        <v>29331</v>
      </c>
      <c r="ALN3" s="0" t="s">
        <v>29344</v>
      </c>
      <c r="ALO3" s="0" t="s">
        <v>6549</v>
      </c>
      <c r="ALP3" s="0" t="s">
        <v>29353</v>
      </c>
      <c r="ALR3" s="0" t="s">
        <v>6336</v>
      </c>
      <c r="ALS3" s="0" t="s">
        <v>29389</v>
      </c>
      <c r="ALT3" s="0" t="s">
        <v>29416</v>
      </c>
      <c r="ALU3" s="0" t="s">
        <v>29452</v>
      </c>
      <c r="ALW3" s="0" t="s">
        <v>29413</v>
      </c>
      <c r="ALX3" s="0" t="s">
        <v>709</v>
      </c>
      <c r="ALZ3" s="0" t="s">
        <v>734</v>
      </c>
      <c r="AMA3" s="0" t="s">
        <v>29144</v>
      </c>
      <c r="AMB3" s="0" t="s">
        <v>29476</v>
      </c>
      <c r="AMC3" s="0" t="s">
        <v>6336</v>
      </c>
      <c r="AMD3" s="0" t="s">
        <v>29463</v>
      </c>
      <c r="AMG3" s="0" t="s">
        <v>29531</v>
      </c>
      <c r="AMH3" s="0" t="s">
        <v>6336</v>
      </c>
      <c r="AMJ3" s="0" t="s">
        <v>6336</v>
      </c>
      <c r="AMK3" s="0" t="s">
        <v>13997</v>
      </c>
      <c r="AML3" s="0" t="s">
        <v>29533</v>
      </c>
      <c r="AMP3" s="0" t="s">
        <v>6362</v>
      </c>
      <c r="AMR3" s="0" t="s">
        <v>784</v>
      </c>
      <c r="AMS3" s="0" t="s">
        <v>789</v>
      </c>
      <c r="AMT3" s="0" t="s">
        <v>707</v>
      </c>
      <c r="AMU3" s="0" t="s">
        <v>784</v>
      </c>
      <c r="AMV3" s="0" t="s">
        <v>20216</v>
      </c>
      <c r="AMW3" s="0" t="s">
        <v>29952</v>
      </c>
      <c r="AMX3" s="0" t="s">
        <v>784</v>
      </c>
      <c r="AMY3" s="0" t="s">
        <v>789</v>
      </c>
      <c r="AMZ3" s="0" t="s">
        <v>707</v>
      </c>
      <c r="ANA3" s="0" t="s">
        <v>784</v>
      </c>
      <c r="ANB3" s="0" t="s">
        <v>789</v>
      </c>
      <c r="ANC3" s="0" t="s">
        <v>707</v>
      </c>
      <c r="AND3" s="0" t="s">
        <v>3317</v>
      </c>
      <c r="ANE3" s="0" t="s">
        <v>789</v>
      </c>
      <c r="ANF3" s="0" t="s">
        <v>707</v>
      </c>
      <c r="ANG3" s="0" t="s">
        <v>3317</v>
      </c>
      <c r="ANH3" s="0" t="s">
        <v>789</v>
      </c>
      <c r="ANI3" s="0" t="s">
        <v>707</v>
      </c>
      <c r="ANK3" s="0" t="s">
        <v>6336</v>
      </c>
      <c r="ANL3" s="0" t="s">
        <v>13981</v>
      </c>
      <c r="ANM3" s="0" t="s">
        <v>31446</v>
      </c>
      <c r="ANT3" s="0" t="s">
        <v>6336</v>
      </c>
      <c r="ANW3" s="0" t="s">
        <v>6336</v>
      </c>
      <c r="AOA3" s="0" t="s">
        <v>6549</v>
      </c>
      <c r="AOD3" s="0" t="s">
        <v>31534</v>
      </c>
      <c r="AOE3" s="0" t="s">
        <v>31546</v>
      </c>
      <c r="AOF3" s="0" t="s">
        <v>6336</v>
      </c>
      <c r="AOG3" s="0" t="s">
        <v>31564</v>
      </c>
      <c r="AOH3" s="0" t="s">
        <v>31567</v>
      </c>
      <c r="AOI3" s="0" t="s">
        <v>847</v>
      </c>
      <c r="AOM3" s="0" t="s">
        <v>31583</v>
      </c>
      <c r="AON3" s="0" t="s">
        <v>31620</v>
      </c>
      <c r="AOO3" s="0" t="s">
        <v>20391</v>
      </c>
      <c r="AOP3" s="0" t="s">
        <v>31625</v>
      </c>
      <c r="AOQ3" s="0" t="s">
        <v>6362</v>
      </c>
      <c r="AOR3" s="0" t="s">
        <v>31635</v>
      </c>
      <c r="AOT3" s="0" t="s">
        <v>6549</v>
      </c>
      <c r="AOW3" s="0" t="s">
        <v>31666</v>
      </c>
      <c r="AOX3" s="0" t="s">
        <v>6549</v>
      </c>
      <c r="AOY3" s="0" t="s">
        <v>31691</v>
      </c>
      <c r="AOZ3" s="0" t="s">
        <v>31730</v>
      </c>
      <c r="APB3" s="0" t="s">
        <v>31797</v>
      </c>
      <c r="APC3" s="0" t="s">
        <v>6549</v>
      </c>
      <c r="APD3" s="0" t="s">
        <v>31808</v>
      </c>
      <c r="APM3" s="0" t="s">
        <v>6362</v>
      </c>
      <c r="APP3" s="0" t="s">
        <v>23549</v>
      </c>
      <c r="APR3" s="0" t="s">
        <v>31858</v>
      </c>
      <c r="APT3" s="0" t="s">
        <v>31906</v>
      </c>
      <c r="APV3" s="0" t="s">
        <v>31983</v>
      </c>
      <c r="APW3" s="0" t="s">
        <v>29288</v>
      </c>
      <c r="APX3" s="0" t="s">
        <v>31895</v>
      </c>
      <c r="APY3" s="0" t="s">
        <v>6549</v>
      </c>
      <c r="APZ3" s="0" t="s">
        <v>32023</v>
      </c>
      <c r="AQB3" s="0" t="s">
        <v>751</v>
      </c>
      <c r="AQC3" s="0" t="s">
        <v>26929</v>
      </c>
      <c r="AQF3" s="0" t="s">
        <v>32064</v>
      </c>
      <c r="AQG3" s="0" t="s">
        <v>6336</v>
      </c>
      <c r="AQH3" s="0" t="s">
        <v>32097</v>
      </c>
      <c r="AQI3" s="0" t="s">
        <v>6336</v>
      </c>
      <c r="AQJ3" s="0" t="s">
        <v>751</v>
      </c>
      <c r="AQK3" s="0" t="s">
        <v>32114</v>
      </c>
      <c r="AQL3" s="0" t="s">
        <v>18154</v>
      </c>
      <c r="AQM3" s="0" t="s">
        <v>13743</v>
      </c>
      <c r="AQN3" s="0" t="s">
        <v>32177</v>
      </c>
      <c r="AQO3" s="0" t="s">
        <v>32139</v>
      </c>
      <c r="AQP3" s="0" t="s">
        <v>32195</v>
      </c>
      <c r="AQQ3" s="0" t="s">
        <v>32202</v>
      </c>
      <c r="AQR3" s="0" t="s">
        <v>6336</v>
      </c>
      <c r="AQS3" s="0" t="s">
        <v>32219</v>
      </c>
      <c r="AQT3" s="0" t="s">
        <v>32221</v>
      </c>
      <c r="AQU3" s="0" t="s">
        <v>32233</v>
      </c>
      <c r="AQV3" s="0" t="s">
        <v>841</v>
      </c>
      <c r="AQW3" s="0" t="s">
        <v>6549</v>
      </c>
      <c r="AQX3" s="0" t="s">
        <v>32336</v>
      </c>
      <c r="AQY3" s="0" t="s">
        <v>6561</v>
      </c>
      <c r="ARJ3" s="0" t="s">
        <v>32392</v>
      </c>
      <c r="ARN3" s="0" t="s">
        <v>32417</v>
      </c>
      <c r="ARO3" s="0" t="s">
        <v>6549</v>
      </c>
      <c r="ARQ3" s="0" t="s">
        <v>32426</v>
      </c>
      <c r="ARS3" s="0" t="s">
        <v>6336</v>
      </c>
      <c r="ART3" s="0" t="s">
        <v>32457</v>
      </c>
      <c r="ARU3" s="0" t="s">
        <v>32446</v>
      </c>
      <c r="ARV3" s="0" t="s">
        <v>32478</v>
      </c>
      <c r="ARX3" s="0" t="s">
        <v>32527</v>
      </c>
      <c r="ARY3" s="0" t="s">
        <v>28721</v>
      </c>
      <c r="ARZ3" s="0" t="s">
        <v>32577</v>
      </c>
      <c r="ASA3" s="0" t="s">
        <v>12422</v>
      </c>
      <c r="ASB3" s="0" t="s">
        <v>32517</v>
      </c>
      <c r="ASC3" s="0" t="s">
        <v>6336</v>
      </c>
      <c r="ASD3" s="0" t="s">
        <v>32602</v>
      </c>
      <c r="ASE3" s="0" t="s">
        <v>6549</v>
      </c>
      <c r="ASG3" s="0" t="s">
        <v>32621</v>
      </c>
      <c r="ASH3" s="0" t="s">
        <v>32611</v>
      </c>
      <c r="ASI3" s="0" t="s">
        <v>32654</v>
      </c>
      <c r="ASJ3" s="0" t="s">
        <v>32700</v>
      </c>
      <c r="ASL3" s="0" t="s">
        <v>32806</v>
      </c>
      <c r="ASM3" s="0" t="s">
        <v>32710</v>
      </c>
      <c r="ASN3" s="0" t="s">
        <v>32611</v>
      </c>
      <c r="ASO3" s="0" t="s">
        <v>32612</v>
      </c>
      <c r="ASQ3" s="0" t="s">
        <v>32956</v>
      </c>
      <c r="ASR3" s="0" t="s">
        <v>32952</v>
      </c>
      <c r="ASS3" s="0" t="s">
        <v>33047</v>
      </c>
      <c r="AST3" s="0" t="s">
        <v>20009</v>
      </c>
      <c r="ASU3" s="0" t="s">
        <v>33056</v>
      </c>
      <c r="ASV3" s="0" t="s">
        <v>33060</v>
      </c>
      <c r="ASY3" s="0" t="s">
        <v>3061</v>
      </c>
      <c r="ASZ3" s="0" t="s">
        <v>789</v>
      </c>
      <c r="ATA3" s="0" t="s">
        <v>33120</v>
      </c>
      <c r="ATB3" s="0" t="s">
        <v>33137</v>
      </c>
    </row>
    <row r="4" customFormat="false" ht="15" hidden="false" customHeight="false" outlineLevel="0" collapsed="false">
      <c r="A4" s="0" t="s">
        <v>714</v>
      </c>
      <c r="D4" s="0" t="s">
        <v>707</v>
      </c>
      <c r="F4" s="0" t="s">
        <v>725</v>
      </c>
      <c r="G4" s="0" t="s">
        <v>824</v>
      </c>
      <c r="H4" s="0" t="s">
        <v>752</v>
      </c>
      <c r="I4" s="0" t="s">
        <v>872</v>
      </c>
      <c r="J4" s="0" t="s">
        <v>789</v>
      </c>
      <c r="M4" s="0" t="s">
        <v>1987</v>
      </c>
      <c r="N4" s="0" t="s">
        <v>845</v>
      </c>
      <c r="Q4" s="0" t="s">
        <v>2941</v>
      </c>
      <c r="R4" s="0" t="s">
        <v>789</v>
      </c>
      <c r="U4" s="0" t="s">
        <v>1640</v>
      </c>
      <c r="W4" s="0" t="s">
        <v>3208</v>
      </c>
      <c r="X4" s="0" t="s">
        <v>714</v>
      </c>
      <c r="Z4" s="0" t="s">
        <v>1746</v>
      </c>
      <c r="AH4" s="0" t="s">
        <v>3257</v>
      </c>
      <c r="AK4" s="0" t="s">
        <v>707</v>
      </c>
      <c r="AM4" s="0" t="s">
        <v>708</v>
      </c>
      <c r="AN4" s="0" t="s">
        <v>741</v>
      </c>
      <c r="AP4" s="0" t="s">
        <v>3366</v>
      </c>
      <c r="AQ4" s="0" t="s">
        <v>847</v>
      </c>
      <c r="AR4" s="0" t="s">
        <v>708</v>
      </c>
      <c r="AS4" s="0" t="s">
        <v>3837</v>
      </c>
      <c r="AT4" s="0" t="s">
        <v>707</v>
      </c>
      <c r="AV4" s="0" t="s">
        <v>2445</v>
      </c>
      <c r="AW4" s="0" t="s">
        <v>4000</v>
      </c>
      <c r="AY4" s="0" t="s">
        <v>714</v>
      </c>
      <c r="BA4" s="0" t="s">
        <v>708</v>
      </c>
      <c r="BB4" s="0" t="s">
        <v>729</v>
      </c>
      <c r="BD4" s="0" t="s">
        <v>1103</v>
      </c>
      <c r="BE4" s="0" t="s">
        <v>761</v>
      </c>
      <c r="BG4" s="0" t="s">
        <v>5128</v>
      </c>
      <c r="BH4" s="0" t="s">
        <v>5091</v>
      </c>
      <c r="BJ4" s="0" t="s">
        <v>5587</v>
      </c>
      <c r="BK4" s="0" t="s">
        <v>3317</v>
      </c>
      <c r="BM4" s="0" t="s">
        <v>719</v>
      </c>
      <c r="BO4" s="0" t="s">
        <v>5614</v>
      </c>
      <c r="BP4" s="0" t="s">
        <v>761</v>
      </c>
      <c r="BT4" s="0" t="s">
        <v>847</v>
      </c>
      <c r="BV4" s="0" t="s">
        <v>716</v>
      </c>
      <c r="BW4" s="0" t="s">
        <v>6003</v>
      </c>
      <c r="BX4" s="0" t="s">
        <v>1202</v>
      </c>
      <c r="CB4" s="0" t="s">
        <v>3317</v>
      </c>
      <c r="CG4" s="0" t="s">
        <v>1279</v>
      </c>
      <c r="CH4" s="0" t="s">
        <v>707</v>
      </c>
      <c r="CJ4" s="0" t="s">
        <v>6242</v>
      </c>
      <c r="CK4" s="0" t="s">
        <v>714</v>
      </c>
      <c r="CV4" s="0" t="s">
        <v>751</v>
      </c>
      <c r="CW4" s="0" t="s">
        <v>799</v>
      </c>
      <c r="CY4" s="0" t="s">
        <v>839</v>
      </c>
      <c r="CZ4" s="0" t="s">
        <v>4793</v>
      </c>
      <c r="DC4" s="0" t="s">
        <v>845</v>
      </c>
      <c r="DE4" s="0" t="s">
        <v>6524</v>
      </c>
      <c r="DJ4" s="0" t="s">
        <v>6553</v>
      </c>
      <c r="DN4" s="0" t="s">
        <v>6574</v>
      </c>
      <c r="DO4" s="0" t="s">
        <v>6561</v>
      </c>
      <c r="DP4" s="0" t="s">
        <v>6682</v>
      </c>
      <c r="DR4" s="0" t="s">
        <v>845</v>
      </c>
      <c r="DS4" s="0" t="s">
        <v>7009</v>
      </c>
      <c r="DT4" s="0" t="s">
        <v>6706</v>
      </c>
      <c r="DU4" s="0" t="s">
        <v>6976</v>
      </c>
      <c r="DV4" s="0" t="s">
        <v>3833</v>
      </c>
      <c r="DW4" s="0" t="s">
        <v>789</v>
      </c>
      <c r="DX4" s="0" t="s">
        <v>714</v>
      </c>
      <c r="EA4" s="0" t="s">
        <v>6244</v>
      </c>
      <c r="EB4" s="0" t="s">
        <v>6740</v>
      </c>
      <c r="EC4" s="0" t="s">
        <v>707</v>
      </c>
      <c r="ED4" s="0" t="s">
        <v>7349</v>
      </c>
      <c r="EE4" s="0" t="s">
        <v>6733</v>
      </c>
      <c r="EF4" s="0" t="s">
        <v>7406</v>
      </c>
      <c r="EG4" s="0" t="s">
        <v>714</v>
      </c>
      <c r="EH4" s="0" t="s">
        <v>6740</v>
      </c>
      <c r="EI4" s="0" t="s">
        <v>4761</v>
      </c>
      <c r="EJ4" s="0" t="s">
        <v>7566</v>
      </c>
      <c r="EK4" s="0" t="s">
        <v>6698</v>
      </c>
      <c r="EL4" s="0" t="s">
        <v>7030</v>
      </c>
      <c r="EM4" s="0" t="s">
        <v>4000</v>
      </c>
      <c r="EN4" s="0" t="s">
        <v>847</v>
      </c>
      <c r="EO4" s="0" t="s">
        <v>714</v>
      </c>
      <c r="EQ4" s="0" t="s">
        <v>7295</v>
      </c>
      <c r="ER4" s="0" t="s">
        <v>7030</v>
      </c>
      <c r="ES4" s="0" t="s">
        <v>5097</v>
      </c>
      <c r="ET4" s="0" t="s">
        <v>6740</v>
      </c>
      <c r="EY4" s="0" t="s">
        <v>3247</v>
      </c>
      <c r="FH4" s="0" t="s">
        <v>3247</v>
      </c>
      <c r="FI4" s="0" t="s">
        <v>847</v>
      </c>
      <c r="FJ4" s="0" t="s">
        <v>7717</v>
      </c>
      <c r="FK4" s="0" t="s">
        <v>6336</v>
      </c>
      <c r="FL4" s="0" t="s">
        <v>7738</v>
      </c>
      <c r="FM4" s="0" t="s">
        <v>7756</v>
      </c>
      <c r="FO4" s="0" t="s">
        <v>707</v>
      </c>
      <c r="FP4" s="0" t="s">
        <v>7792</v>
      </c>
      <c r="FQ4" s="0" t="s">
        <v>7782</v>
      </c>
      <c r="FR4" s="0" t="s">
        <v>7358</v>
      </c>
      <c r="FU4" s="0" t="s">
        <v>7817</v>
      </c>
      <c r="FV4" s="0" t="s">
        <v>7886</v>
      </c>
      <c r="FW4" s="0" t="s">
        <v>734</v>
      </c>
      <c r="FX4" s="0" t="s">
        <v>7874</v>
      </c>
      <c r="FY4" s="0" t="s">
        <v>7839</v>
      </c>
      <c r="FZ4" s="0" t="s">
        <v>6549</v>
      </c>
      <c r="GC4" s="0" t="s">
        <v>8699</v>
      </c>
      <c r="GD4" s="0" t="s">
        <v>8169</v>
      </c>
      <c r="GE4" s="0" t="s">
        <v>7847</v>
      </c>
      <c r="GG4" s="0" t="s">
        <v>8699</v>
      </c>
      <c r="GI4" s="0" t="s">
        <v>7849</v>
      </c>
      <c r="GL4" s="0" t="s">
        <v>8044</v>
      </c>
      <c r="GN4" s="0" t="s">
        <v>7918</v>
      </c>
      <c r="GO4" s="0" t="s">
        <v>6362</v>
      </c>
      <c r="GP4" s="0" t="s">
        <v>10098</v>
      </c>
      <c r="GS4" s="0" t="s">
        <v>10106</v>
      </c>
      <c r="GT4" s="0" t="s">
        <v>7853</v>
      </c>
      <c r="GW4" s="0" t="s">
        <v>10172</v>
      </c>
      <c r="GX4" s="0" t="s">
        <v>7837</v>
      </c>
      <c r="GY4" s="0" t="s">
        <v>6356</v>
      </c>
      <c r="HA4" s="0" t="s">
        <v>10338</v>
      </c>
      <c r="HB4" s="0" t="s">
        <v>10293</v>
      </c>
      <c r="HC4" s="0" t="s">
        <v>10230</v>
      </c>
      <c r="HG4" s="0" t="s">
        <v>6549</v>
      </c>
      <c r="HH4" s="0" t="s">
        <v>7902</v>
      </c>
      <c r="HI4" s="0" t="s">
        <v>7839</v>
      </c>
      <c r="HJ4" s="0" t="s">
        <v>7886</v>
      </c>
      <c r="HK4" s="0" t="s">
        <v>734</v>
      </c>
      <c r="HL4" s="0" t="s">
        <v>7823</v>
      </c>
      <c r="HM4" s="0" t="s">
        <v>7837</v>
      </c>
      <c r="HN4" s="0" t="s">
        <v>11405</v>
      </c>
      <c r="HO4" s="0" t="s">
        <v>841</v>
      </c>
      <c r="HP4" s="0" t="s">
        <v>6362</v>
      </c>
      <c r="HQ4" s="0" t="s">
        <v>11501</v>
      </c>
      <c r="HR4" s="0" t="s">
        <v>11562</v>
      </c>
      <c r="HS4" s="0" t="s">
        <v>7862</v>
      </c>
      <c r="HT4" s="0" t="s">
        <v>11607</v>
      </c>
      <c r="HU4" s="0" t="s">
        <v>841</v>
      </c>
      <c r="HV4" s="0" t="s">
        <v>10269</v>
      </c>
      <c r="HW4" s="0" t="s">
        <v>10586</v>
      </c>
      <c r="HX4" s="0" t="s">
        <v>10230</v>
      </c>
      <c r="HY4" s="0" t="s">
        <v>12021</v>
      </c>
      <c r="HZ4" s="0" t="s">
        <v>2931</v>
      </c>
      <c r="IA4" s="0" t="s">
        <v>12001</v>
      </c>
      <c r="IC4" s="0" t="s">
        <v>12084</v>
      </c>
      <c r="ID4" s="0" t="s">
        <v>2600</v>
      </c>
      <c r="IE4" s="0" t="s">
        <v>12698</v>
      </c>
      <c r="IG4" s="0" t="s">
        <v>12709</v>
      </c>
      <c r="IH4" s="0" t="s">
        <v>12021</v>
      </c>
      <c r="II4" s="0" t="s">
        <v>12836</v>
      </c>
      <c r="IJ4" s="0" t="s">
        <v>12958</v>
      </c>
      <c r="IK4" s="0" t="s">
        <v>11957</v>
      </c>
      <c r="IM4" s="0" t="s">
        <v>12857</v>
      </c>
      <c r="IN4" s="0" t="s">
        <v>12084</v>
      </c>
      <c r="IO4" s="0" t="s">
        <v>734</v>
      </c>
      <c r="IP4" s="0" t="s">
        <v>12989</v>
      </c>
      <c r="IQ4" s="0" t="s">
        <v>12016</v>
      </c>
      <c r="IS4" s="0" t="s">
        <v>12854</v>
      </c>
      <c r="IV4" s="0" t="s">
        <v>13172</v>
      </c>
      <c r="IW4" s="0" t="s">
        <v>13210</v>
      </c>
      <c r="IX4" s="0" t="s">
        <v>13255</v>
      </c>
      <c r="IY4" s="0" t="s">
        <v>13257</v>
      </c>
      <c r="JA4" s="0" t="s">
        <v>13275</v>
      </c>
      <c r="JB4" s="0" t="s">
        <v>13516</v>
      </c>
      <c r="JD4" s="0" t="s">
        <v>13660</v>
      </c>
      <c r="JF4" s="0" t="s">
        <v>13726</v>
      </c>
      <c r="JG4" s="0" t="s">
        <v>13703</v>
      </c>
      <c r="JH4" s="0" t="s">
        <v>6336</v>
      </c>
      <c r="JL4" s="0" t="s">
        <v>14013</v>
      </c>
      <c r="JM4" s="0" t="s">
        <v>707</v>
      </c>
      <c r="JN4" s="0" t="s">
        <v>845</v>
      </c>
      <c r="JQ4" s="0" t="s">
        <v>14313</v>
      </c>
      <c r="JR4" s="0" t="s">
        <v>707</v>
      </c>
      <c r="JS4" s="0" t="s">
        <v>1635</v>
      </c>
      <c r="JT4" s="0" t="s">
        <v>1520</v>
      </c>
      <c r="JW4" s="0" t="s">
        <v>2142</v>
      </c>
      <c r="JX4" s="0" t="s">
        <v>14013</v>
      </c>
      <c r="JZ4" s="0" t="s">
        <v>789</v>
      </c>
      <c r="KE4" s="0" t="s">
        <v>7862</v>
      </c>
      <c r="KG4" s="0" t="s">
        <v>716</v>
      </c>
      <c r="KI4" s="0" t="s">
        <v>14726</v>
      </c>
      <c r="KJ4" s="0" t="s">
        <v>14718</v>
      </c>
      <c r="KK4" s="0" t="s">
        <v>714</v>
      </c>
      <c r="KP4" s="0" t="s">
        <v>14774</v>
      </c>
      <c r="KQ4" s="0" t="s">
        <v>14805</v>
      </c>
      <c r="KR4" s="0" t="s">
        <v>14829</v>
      </c>
      <c r="KS4" s="0" t="s">
        <v>15209</v>
      </c>
      <c r="KU4" s="0" t="s">
        <v>15206</v>
      </c>
      <c r="KV4" s="0" t="s">
        <v>14776</v>
      </c>
      <c r="KY4" s="0" t="s">
        <v>15409</v>
      </c>
      <c r="LD4" s="0" t="s">
        <v>15494</v>
      </c>
      <c r="LF4" s="0" t="s">
        <v>15491</v>
      </c>
      <c r="LH4" s="0" t="s">
        <v>15557</v>
      </c>
      <c r="LI4" s="0" t="s">
        <v>15393</v>
      </c>
      <c r="LJ4" s="0" t="s">
        <v>15579</v>
      </c>
      <c r="LK4" s="0" t="s">
        <v>15650</v>
      </c>
      <c r="LL4" s="0" t="s">
        <v>15510</v>
      </c>
      <c r="LO4" s="0" t="s">
        <v>15712</v>
      </c>
      <c r="LP4" s="0" t="s">
        <v>15715</v>
      </c>
      <c r="LQ4" s="0" t="s">
        <v>15740</v>
      </c>
      <c r="LW4" s="0" t="s">
        <v>15458</v>
      </c>
      <c r="LX4" s="0" t="s">
        <v>15814</v>
      </c>
      <c r="LY4" s="0" t="s">
        <v>15540</v>
      </c>
      <c r="MA4" s="0" t="s">
        <v>15851</v>
      </c>
      <c r="MC4" s="0" t="s">
        <v>16114</v>
      </c>
      <c r="MF4" s="0" t="s">
        <v>1103</v>
      </c>
      <c r="MH4" s="0" t="s">
        <v>16406</v>
      </c>
      <c r="MJ4" s="0" t="s">
        <v>16368</v>
      </c>
      <c r="ML4" s="0" t="s">
        <v>16526</v>
      </c>
      <c r="MM4" s="0" t="s">
        <v>761</v>
      </c>
      <c r="MO4" s="0" t="s">
        <v>16551</v>
      </c>
      <c r="MP4" s="0" t="s">
        <v>16726</v>
      </c>
      <c r="MT4" s="0" t="s">
        <v>16914</v>
      </c>
      <c r="MU4" s="0" t="s">
        <v>16972</v>
      </c>
      <c r="MV4" s="0" t="s">
        <v>6723</v>
      </c>
      <c r="MW4" s="0" t="s">
        <v>15458</v>
      </c>
      <c r="MX4" s="0" t="s">
        <v>17054</v>
      </c>
      <c r="MY4" s="0" t="s">
        <v>1520</v>
      </c>
      <c r="MZ4" s="0" t="s">
        <v>17068</v>
      </c>
      <c r="NA4" s="0" t="s">
        <v>17275</v>
      </c>
      <c r="NB4" s="0" t="s">
        <v>17117</v>
      </c>
      <c r="NC4" s="0" t="s">
        <v>17105</v>
      </c>
      <c r="ND4" s="0" t="s">
        <v>17279</v>
      </c>
      <c r="NE4" s="0" t="s">
        <v>17523</v>
      </c>
      <c r="NF4" s="0" t="s">
        <v>17501</v>
      </c>
      <c r="NG4" s="0" t="s">
        <v>2701</v>
      </c>
      <c r="NI4" s="0" t="s">
        <v>13188</v>
      </c>
      <c r="NJ4" s="0" t="s">
        <v>17703</v>
      </c>
      <c r="NM4" s="0" t="s">
        <v>17850</v>
      </c>
      <c r="NN4" s="0" t="s">
        <v>17110</v>
      </c>
      <c r="NQ4" s="0" t="s">
        <v>17863</v>
      </c>
      <c r="NR4" s="0" t="s">
        <v>17885</v>
      </c>
      <c r="NS4" s="0" t="s">
        <v>17909</v>
      </c>
      <c r="NU4" s="0" t="s">
        <v>17955</v>
      </c>
      <c r="NV4" s="0" t="s">
        <v>17955</v>
      </c>
      <c r="NW4" s="0" t="s">
        <v>17130</v>
      </c>
      <c r="NX4" s="0" t="s">
        <v>13025</v>
      </c>
      <c r="NY4" s="0" t="s">
        <v>17137</v>
      </c>
      <c r="NZ4" s="0" t="s">
        <v>18117</v>
      </c>
      <c r="OA4" s="0" t="s">
        <v>18118</v>
      </c>
      <c r="OC4" s="0" t="s">
        <v>18157</v>
      </c>
      <c r="OD4" s="0" t="s">
        <v>17310</v>
      </c>
      <c r="OE4" s="0" t="s">
        <v>17303</v>
      </c>
      <c r="OG4" s="0" t="s">
        <v>18204</v>
      </c>
      <c r="OH4" s="0" t="s">
        <v>18348</v>
      </c>
      <c r="OI4" s="0" t="s">
        <v>18364</v>
      </c>
      <c r="OJ4" s="0" t="s">
        <v>17311</v>
      </c>
      <c r="ON4" s="0" t="s">
        <v>18534</v>
      </c>
      <c r="OO4" s="0" t="s">
        <v>18547</v>
      </c>
      <c r="OQ4" s="0" t="s">
        <v>18694</v>
      </c>
      <c r="OR4" s="0" t="s">
        <v>18727</v>
      </c>
      <c r="OS4" s="0" t="s">
        <v>18768</v>
      </c>
      <c r="OU4" s="0" t="s">
        <v>18146</v>
      </c>
      <c r="OW4" s="0" t="s">
        <v>13743</v>
      </c>
      <c r="OY4" s="0" t="s">
        <v>18838</v>
      </c>
      <c r="OZ4" s="0" t="s">
        <v>18879</v>
      </c>
      <c r="PB4" s="0" t="s">
        <v>19168</v>
      </c>
      <c r="PC4" s="0" t="s">
        <v>19051</v>
      </c>
      <c r="PD4" s="0" t="s">
        <v>19143</v>
      </c>
      <c r="PE4" s="0" t="s">
        <v>17119</v>
      </c>
      <c r="PH4" s="0" t="s">
        <v>17111</v>
      </c>
      <c r="PK4" s="0" t="s">
        <v>19347</v>
      </c>
      <c r="PM4" s="0" t="s">
        <v>19321</v>
      </c>
      <c r="PN4" s="0" t="s">
        <v>19371</v>
      </c>
      <c r="PO4" s="0" t="s">
        <v>11413</v>
      </c>
      <c r="PQ4" s="0" t="s">
        <v>19460</v>
      </c>
      <c r="PR4" s="0" t="s">
        <v>7573</v>
      </c>
      <c r="QA4" s="0" t="s">
        <v>19510</v>
      </c>
      <c r="QE4" s="0" t="s">
        <v>19571</v>
      </c>
      <c r="QF4" s="0" t="s">
        <v>19630</v>
      </c>
      <c r="QQ4" s="0" t="s">
        <v>19674</v>
      </c>
      <c r="QV4" s="0" t="s">
        <v>19731</v>
      </c>
      <c r="QW4" s="0" t="s">
        <v>19785</v>
      </c>
      <c r="QY4" s="0" t="s">
        <v>1520</v>
      </c>
      <c r="RD4" s="0" t="s">
        <v>2067</v>
      </c>
      <c r="RF4" s="0" t="s">
        <v>1520</v>
      </c>
      <c r="RG4" s="0" t="s">
        <v>847</v>
      </c>
      <c r="RI4" s="0" t="s">
        <v>2142</v>
      </c>
      <c r="RL4" s="0" t="s">
        <v>2142</v>
      </c>
      <c r="RN4" s="0" t="s">
        <v>1520</v>
      </c>
      <c r="RS4" s="0" t="s">
        <v>2142</v>
      </c>
      <c r="RU4" s="0" t="s">
        <v>19976</v>
      </c>
      <c r="RX4" s="0" t="s">
        <v>19991</v>
      </c>
      <c r="RY4" s="0" t="s">
        <v>19994</v>
      </c>
      <c r="RZ4" s="0" t="s">
        <v>20016</v>
      </c>
      <c r="SB4" s="0" t="s">
        <v>20039</v>
      </c>
      <c r="SE4" s="0" t="s">
        <v>20081</v>
      </c>
      <c r="SF4" s="0" t="s">
        <v>20086</v>
      </c>
      <c r="SG4" s="0" t="s">
        <v>20122</v>
      </c>
      <c r="SH4" s="0" t="s">
        <v>20207</v>
      </c>
      <c r="SI4" s="0" t="s">
        <v>20210</v>
      </c>
      <c r="SL4" s="0" t="s">
        <v>20400</v>
      </c>
      <c r="SQ4" s="0" t="s">
        <v>20456</v>
      </c>
      <c r="SS4" s="0" t="s">
        <v>20465</v>
      </c>
      <c r="SW4" s="0" t="s">
        <v>11432</v>
      </c>
      <c r="SY4" s="0" t="s">
        <v>20547</v>
      </c>
      <c r="TA4" s="0" t="s">
        <v>20556</v>
      </c>
      <c r="TG4" s="0" t="s">
        <v>20588</v>
      </c>
      <c r="TH4" s="0" t="s">
        <v>20606</v>
      </c>
      <c r="TJ4" s="0" t="s">
        <v>20615</v>
      </c>
      <c r="TK4" s="0" t="s">
        <v>14973</v>
      </c>
      <c r="TO4" s="0" t="s">
        <v>20771</v>
      </c>
      <c r="TP4" s="0" t="s">
        <v>20767</v>
      </c>
      <c r="TR4" s="0" t="s">
        <v>20872</v>
      </c>
      <c r="TS4" s="0" t="s">
        <v>11488</v>
      </c>
      <c r="TV4" s="0" t="s">
        <v>20908</v>
      </c>
      <c r="TW4" s="0" t="s">
        <v>6362</v>
      </c>
      <c r="TY4" s="0" t="s">
        <v>20927</v>
      </c>
      <c r="TZ4" s="0" t="s">
        <v>20948</v>
      </c>
      <c r="UD4" s="0" t="s">
        <v>20999</v>
      </c>
      <c r="UE4" s="0" t="s">
        <v>7061</v>
      </c>
      <c r="UF4" s="0" t="s">
        <v>21032</v>
      </c>
      <c r="UG4" s="0" t="s">
        <v>11870</v>
      </c>
      <c r="UH4" s="0" t="s">
        <v>21056</v>
      </c>
      <c r="UM4" s="0" t="s">
        <v>21087</v>
      </c>
      <c r="UU4" s="0" t="s">
        <v>21129</v>
      </c>
      <c r="UW4" s="0" t="s">
        <v>21163</v>
      </c>
      <c r="VB4" s="0" t="s">
        <v>21212</v>
      </c>
      <c r="VH4" s="0" t="s">
        <v>21285</v>
      </c>
      <c r="VI4" s="0" t="s">
        <v>21231</v>
      </c>
      <c r="VJ4" s="0" t="s">
        <v>19735</v>
      </c>
      <c r="VO4" s="0" t="s">
        <v>21596</v>
      </c>
      <c r="VR4" s="0" t="s">
        <v>21630</v>
      </c>
      <c r="VU4" s="0" t="s">
        <v>21645</v>
      </c>
      <c r="VW4" s="0" t="s">
        <v>21687</v>
      </c>
      <c r="WB4" s="0" t="s">
        <v>13988</v>
      </c>
      <c r="WC4" s="0" t="s">
        <v>21699</v>
      </c>
      <c r="WH4" s="0" t="s">
        <v>21738</v>
      </c>
      <c r="WJ4" s="0" t="s">
        <v>21803</v>
      </c>
      <c r="WL4" s="0" t="s">
        <v>21870</v>
      </c>
      <c r="WO4" s="0" t="s">
        <v>21884</v>
      </c>
      <c r="WS4" s="0" t="s">
        <v>21915</v>
      </c>
      <c r="WT4" s="0" t="s">
        <v>847</v>
      </c>
      <c r="WW4" s="0" t="s">
        <v>21930</v>
      </c>
      <c r="WZ4" s="0" t="s">
        <v>22030</v>
      </c>
      <c r="XB4" s="0" t="s">
        <v>18154</v>
      </c>
      <c r="XC4" s="0" t="s">
        <v>22073</v>
      </c>
      <c r="XD4" s="0" t="s">
        <v>22165</v>
      </c>
      <c r="XI4" s="0" t="s">
        <v>22191</v>
      </c>
      <c r="XK4" s="0" t="s">
        <v>22270</v>
      </c>
      <c r="XL4" s="0" t="s">
        <v>22305</v>
      </c>
      <c r="XM4" s="0" t="s">
        <v>22368</v>
      </c>
      <c r="XP4" s="0" t="s">
        <v>22455</v>
      </c>
      <c r="XS4" s="0" t="s">
        <v>22507</v>
      </c>
      <c r="XT4" s="0" t="s">
        <v>22575</v>
      </c>
      <c r="XU4" s="0" t="s">
        <v>22743</v>
      </c>
      <c r="XY4" s="0" t="s">
        <v>22759</v>
      </c>
      <c r="YE4" s="0" t="s">
        <v>14013</v>
      </c>
      <c r="YG4" s="0" t="s">
        <v>22869</v>
      </c>
      <c r="YH4" s="0" t="s">
        <v>751</v>
      </c>
      <c r="YI4" s="0" t="s">
        <v>22968</v>
      </c>
      <c r="YL4" s="0" t="s">
        <v>22985</v>
      </c>
      <c r="YN4" s="0" t="s">
        <v>22999</v>
      </c>
      <c r="YR4" s="0" t="s">
        <v>23020</v>
      </c>
      <c r="YW4" s="0" t="s">
        <v>23044</v>
      </c>
      <c r="ZC4" s="0" t="s">
        <v>23081</v>
      </c>
      <c r="ZE4" s="0" t="s">
        <v>23226</v>
      </c>
      <c r="ZG4" s="0" t="s">
        <v>23246</v>
      </c>
      <c r="ZH4" s="0" t="s">
        <v>23249</v>
      </c>
      <c r="ZK4" s="0" t="s">
        <v>23260</v>
      </c>
      <c r="ZS4" s="0" t="s">
        <v>23331</v>
      </c>
      <c r="ZV4" s="0" t="s">
        <v>23385</v>
      </c>
      <c r="ZX4" s="0" t="s">
        <v>23418</v>
      </c>
      <c r="ZY4" s="0" t="s">
        <v>23427</v>
      </c>
      <c r="AAA4" s="0" t="s">
        <v>23434</v>
      </c>
      <c r="AAI4" s="0" t="s">
        <v>23496</v>
      </c>
      <c r="AAK4" s="0" t="s">
        <v>23530</v>
      </c>
      <c r="AAL4" s="0" t="s">
        <v>23661</v>
      </c>
      <c r="AAM4" s="0" t="s">
        <v>23562</v>
      </c>
      <c r="AAN4" s="0" t="s">
        <v>23572</v>
      </c>
      <c r="AAO4" s="0" t="s">
        <v>14013</v>
      </c>
      <c r="AAP4" s="0" t="s">
        <v>23643</v>
      </c>
      <c r="AAQ4" s="0" t="s">
        <v>22850</v>
      </c>
      <c r="AAR4" s="0" t="s">
        <v>23688</v>
      </c>
      <c r="AAT4" s="0" t="s">
        <v>23701</v>
      </c>
      <c r="AAV4" s="0" t="s">
        <v>14007</v>
      </c>
      <c r="AAW4" s="0" t="s">
        <v>23768</v>
      </c>
      <c r="AAY4" s="0" t="s">
        <v>22839</v>
      </c>
      <c r="ABF4" s="0" t="s">
        <v>23818</v>
      </c>
      <c r="ABH4" s="0" t="s">
        <v>23931</v>
      </c>
      <c r="ABJ4" s="0" t="s">
        <v>21722</v>
      </c>
      <c r="ABK4" s="0" t="s">
        <v>23959</v>
      </c>
      <c r="ABL4" s="0" t="s">
        <v>751</v>
      </c>
      <c r="ABM4" s="0" t="s">
        <v>23979</v>
      </c>
      <c r="ABP4" s="0" t="s">
        <v>23996</v>
      </c>
      <c r="ABT4" s="0" t="s">
        <v>24048</v>
      </c>
      <c r="ABV4" s="0" t="s">
        <v>23291</v>
      </c>
      <c r="ABY4" s="0" t="s">
        <v>24102</v>
      </c>
      <c r="ABZ4" s="0" t="s">
        <v>24095</v>
      </c>
      <c r="ACD4" s="0" t="s">
        <v>23661</v>
      </c>
      <c r="ACE4" s="0" t="s">
        <v>24316</v>
      </c>
      <c r="ACF4" s="0" t="s">
        <v>14013</v>
      </c>
      <c r="ACG4" s="0" t="s">
        <v>24139</v>
      </c>
      <c r="ACH4" s="0" t="s">
        <v>24280</v>
      </c>
      <c r="ACI4" s="0" t="s">
        <v>11413</v>
      </c>
      <c r="ACL4" s="0" t="s">
        <v>23562</v>
      </c>
      <c r="ACO4" s="0" t="s">
        <v>22850</v>
      </c>
      <c r="ACP4" s="0" t="s">
        <v>751</v>
      </c>
      <c r="ACR4" s="0" t="s">
        <v>24403</v>
      </c>
      <c r="ACV4" s="0" t="s">
        <v>24451</v>
      </c>
      <c r="ACY4" s="0" t="s">
        <v>24600</v>
      </c>
      <c r="ACZ4" s="0" t="s">
        <v>24636</v>
      </c>
      <c r="ADA4" s="0" t="s">
        <v>751</v>
      </c>
      <c r="ADB4" s="0" t="s">
        <v>23159</v>
      </c>
      <c r="ADD4" s="0" t="s">
        <v>24733</v>
      </c>
      <c r="ADF4" s="0" t="s">
        <v>24774</v>
      </c>
      <c r="ADI4" s="0" t="s">
        <v>24802</v>
      </c>
      <c r="ADK4" s="0" t="s">
        <v>24864</v>
      </c>
      <c r="ADL4" s="0" t="s">
        <v>1048</v>
      </c>
      <c r="ADN4" s="0" t="s">
        <v>25040</v>
      </c>
      <c r="ADO4" s="0" t="s">
        <v>3141</v>
      </c>
      <c r="ADQ4" s="0" t="s">
        <v>14013</v>
      </c>
      <c r="ADR4" s="0" t="s">
        <v>716</v>
      </c>
      <c r="ADS4" s="0" t="s">
        <v>11407</v>
      </c>
      <c r="ADT4" s="0" t="s">
        <v>14013</v>
      </c>
      <c r="ADV4" s="0" t="s">
        <v>716</v>
      </c>
      <c r="ADW4" s="0" t="s">
        <v>11409</v>
      </c>
      <c r="ADY4" s="0" t="s">
        <v>14013</v>
      </c>
      <c r="ADZ4" s="0" t="s">
        <v>847</v>
      </c>
      <c r="AEA4" s="0" t="s">
        <v>11413</v>
      </c>
      <c r="AEC4" s="0" t="s">
        <v>14013</v>
      </c>
      <c r="AED4" s="0" t="s">
        <v>789</v>
      </c>
      <c r="AEE4" s="0" t="s">
        <v>11409</v>
      </c>
      <c r="AEH4" s="0" t="s">
        <v>14013</v>
      </c>
      <c r="AEI4" s="0" t="s">
        <v>716</v>
      </c>
      <c r="AEJ4" s="0" t="s">
        <v>11409</v>
      </c>
      <c r="AEL4" s="0" t="s">
        <v>3317</v>
      </c>
      <c r="AEM4" s="0" t="s">
        <v>11415</v>
      </c>
      <c r="AEP4" s="0" t="s">
        <v>14007</v>
      </c>
      <c r="AEQ4" s="0" t="s">
        <v>761</v>
      </c>
      <c r="AER4" s="0" t="s">
        <v>11413</v>
      </c>
      <c r="AES4" s="0" t="s">
        <v>13743</v>
      </c>
      <c r="AET4" s="0" t="s">
        <v>716</v>
      </c>
      <c r="AEU4" s="0" t="s">
        <v>11413</v>
      </c>
      <c r="AEW4" s="0" t="s">
        <v>14007</v>
      </c>
      <c r="AEY4" s="0" t="s">
        <v>761</v>
      </c>
      <c r="AFD4" s="0" t="s">
        <v>11415</v>
      </c>
      <c r="AFG4" s="0" t="s">
        <v>12306</v>
      </c>
      <c r="AFH4" s="0" t="s">
        <v>3317</v>
      </c>
      <c r="AFI4" s="0" t="s">
        <v>14013</v>
      </c>
      <c r="AFK4" s="0" t="s">
        <v>707</v>
      </c>
      <c r="AFL4" s="0" t="s">
        <v>11413</v>
      </c>
      <c r="AFP4" s="0" t="s">
        <v>14007</v>
      </c>
      <c r="AFQ4" s="0" t="s">
        <v>761</v>
      </c>
      <c r="AFR4" s="0" t="s">
        <v>11413</v>
      </c>
      <c r="AFS4" s="0" t="s">
        <v>6362</v>
      </c>
      <c r="AFV4" s="0" t="s">
        <v>716</v>
      </c>
      <c r="AFW4" s="0" t="s">
        <v>11411</v>
      </c>
      <c r="AFZ4" s="0" t="s">
        <v>13997</v>
      </c>
      <c r="AGA4" s="0" t="s">
        <v>841</v>
      </c>
      <c r="AGB4" s="0" t="s">
        <v>11409</v>
      </c>
      <c r="AGC4" s="0" t="s">
        <v>27379</v>
      </c>
      <c r="AGD4" s="0" t="s">
        <v>6549</v>
      </c>
      <c r="AGE4" s="0" t="s">
        <v>3833</v>
      </c>
      <c r="AGF4" s="0" t="s">
        <v>11415</v>
      </c>
      <c r="AGG4" s="0" t="s">
        <v>13743</v>
      </c>
      <c r="AGH4" s="0" t="s">
        <v>27717</v>
      </c>
      <c r="AGI4" s="0" t="s">
        <v>716</v>
      </c>
      <c r="AGJ4" s="0" t="s">
        <v>11409</v>
      </c>
      <c r="AGN4" s="0" t="s">
        <v>27811</v>
      </c>
      <c r="AGP4" s="0" t="s">
        <v>23580</v>
      </c>
      <c r="AGQ4" s="0" t="s">
        <v>14056</v>
      </c>
      <c r="AGS4" s="0" t="s">
        <v>27832</v>
      </c>
      <c r="AGU4" s="0" t="s">
        <v>11413</v>
      </c>
      <c r="AGV4" s="0" t="s">
        <v>20884</v>
      </c>
      <c r="AGW4" s="0" t="s">
        <v>14013</v>
      </c>
      <c r="AGZ4" s="0" t="s">
        <v>14013</v>
      </c>
      <c r="AHA4" s="0" t="s">
        <v>3833</v>
      </c>
      <c r="AHB4" s="0" t="s">
        <v>11415</v>
      </c>
      <c r="AHC4" s="0" t="s">
        <v>28027</v>
      </c>
      <c r="AHG4" s="0" t="s">
        <v>21725</v>
      </c>
      <c r="AHH4" s="0" t="s">
        <v>11407</v>
      </c>
      <c r="AHJ4" s="0" t="s">
        <v>13974</v>
      </c>
      <c r="AHK4" s="0" t="s">
        <v>28157</v>
      </c>
      <c r="AHL4" s="0" t="s">
        <v>6336</v>
      </c>
      <c r="AHM4" s="0" t="s">
        <v>28193</v>
      </c>
      <c r="AHN4" s="0" t="s">
        <v>14013</v>
      </c>
      <c r="AHO4" s="0" t="s">
        <v>11413</v>
      </c>
      <c r="AHQ4" s="0" t="s">
        <v>13743</v>
      </c>
      <c r="AHR4" s="0" t="s">
        <v>28246</v>
      </c>
      <c r="AHS4" s="0" t="s">
        <v>14826</v>
      </c>
      <c r="AHV4" s="0" t="s">
        <v>14829</v>
      </c>
      <c r="AHY4" s="0" t="s">
        <v>28336</v>
      </c>
      <c r="AHZ4" s="0" t="s">
        <v>27818</v>
      </c>
      <c r="AIB4" s="0" t="s">
        <v>13994</v>
      </c>
      <c r="AIC4" s="0" t="s">
        <v>11409</v>
      </c>
      <c r="AID4" s="0" t="s">
        <v>28358</v>
      </c>
      <c r="AIG4" s="0" t="s">
        <v>28414</v>
      </c>
      <c r="AIH4" s="0" t="s">
        <v>13997</v>
      </c>
      <c r="AIL4" s="0" t="s">
        <v>789</v>
      </c>
      <c r="AIP4" s="0" t="s">
        <v>28490</v>
      </c>
      <c r="AIQ4" s="0" t="s">
        <v>28516</v>
      </c>
      <c r="AIU4" s="0" t="s">
        <v>28537</v>
      </c>
      <c r="AIV4" s="0" t="s">
        <v>6336</v>
      </c>
      <c r="AIW4" s="0" t="s">
        <v>28653</v>
      </c>
      <c r="AIZ4" s="0" t="s">
        <v>12857</v>
      </c>
      <c r="AJA4" s="0" t="s">
        <v>28675</v>
      </c>
      <c r="AJC4" s="0" t="s">
        <v>28773</v>
      </c>
      <c r="AJE4" s="0" t="s">
        <v>28725</v>
      </c>
      <c r="AJG4" s="0" t="s">
        <v>28519</v>
      </c>
      <c r="AJH4" s="0" t="s">
        <v>3061</v>
      </c>
      <c r="AJM4" s="0" t="s">
        <v>28819</v>
      </c>
      <c r="AJQ4" s="0" t="s">
        <v>6336</v>
      </c>
      <c r="AJS4" s="0" t="s">
        <v>28874</v>
      </c>
      <c r="AJY4" s="0" t="s">
        <v>28998</v>
      </c>
      <c r="AJZ4" s="0" t="s">
        <v>29031</v>
      </c>
      <c r="AKE4" s="0" t="s">
        <v>29045</v>
      </c>
      <c r="AKL4" s="0" t="s">
        <v>21722</v>
      </c>
      <c r="AKM4" s="0" t="s">
        <v>23549</v>
      </c>
      <c r="AKO4" s="0" t="s">
        <v>13997</v>
      </c>
      <c r="AKQ4" s="0" t="s">
        <v>29123</v>
      </c>
      <c r="AKR4" s="0" t="s">
        <v>26929</v>
      </c>
      <c r="AKT4" s="0" t="s">
        <v>29155</v>
      </c>
      <c r="AKU4" s="0" t="s">
        <v>29204</v>
      </c>
      <c r="AKW4" s="0" t="s">
        <v>20757</v>
      </c>
      <c r="AKY4" s="0" t="s">
        <v>11672</v>
      </c>
      <c r="ALF4" s="0" t="s">
        <v>709</v>
      </c>
      <c r="ALG4" s="0" t="s">
        <v>29320</v>
      </c>
      <c r="ALN4" s="0" t="s">
        <v>29346</v>
      </c>
      <c r="ALP4" s="0" t="s">
        <v>29357</v>
      </c>
      <c r="ALR4" s="0" t="s">
        <v>18157</v>
      </c>
      <c r="ALS4" s="0" t="s">
        <v>29367</v>
      </c>
      <c r="ALT4" s="0" t="s">
        <v>29440</v>
      </c>
      <c r="ALW4" s="0" t="s">
        <v>29435</v>
      </c>
      <c r="ALX4" s="0" t="s">
        <v>19733</v>
      </c>
      <c r="ALZ4" s="0" t="s">
        <v>29482</v>
      </c>
      <c r="AMA4" s="0" t="s">
        <v>29459</v>
      </c>
      <c r="AMB4" s="0" t="s">
        <v>29478</v>
      </c>
      <c r="AMC4" s="0" t="s">
        <v>29467</v>
      </c>
      <c r="AMG4" s="0" t="s">
        <v>29527</v>
      </c>
      <c r="AMJ4" s="0" t="s">
        <v>6362</v>
      </c>
      <c r="AML4" s="0" t="s">
        <v>13717</v>
      </c>
      <c r="AMR4" s="0" t="s">
        <v>3328</v>
      </c>
      <c r="AMS4" s="0" t="s">
        <v>716</v>
      </c>
      <c r="AMT4" s="0" t="s">
        <v>761</v>
      </c>
      <c r="AMU4" s="0" t="s">
        <v>3328</v>
      </c>
      <c r="AMV4" s="0" t="s">
        <v>29741</v>
      </c>
      <c r="AMW4" s="0" t="s">
        <v>29972</v>
      </c>
      <c r="AMX4" s="0" t="s">
        <v>3328</v>
      </c>
      <c r="AMY4" s="0" t="s">
        <v>716</v>
      </c>
      <c r="AMZ4" s="0" t="s">
        <v>761</v>
      </c>
      <c r="ANA4" s="0" t="s">
        <v>3328</v>
      </c>
      <c r="ANB4" s="0" t="s">
        <v>716</v>
      </c>
      <c r="ANC4" s="0" t="s">
        <v>761</v>
      </c>
      <c r="AND4" s="0" t="s">
        <v>784</v>
      </c>
      <c r="ANE4" s="0" t="s">
        <v>716</v>
      </c>
      <c r="ANF4" s="0" t="s">
        <v>761</v>
      </c>
      <c r="ANG4" s="0" t="s">
        <v>784</v>
      </c>
      <c r="ANH4" s="0" t="s">
        <v>716</v>
      </c>
      <c r="ANI4" s="0" t="s">
        <v>761</v>
      </c>
      <c r="ANL4" s="0" t="s">
        <v>23567</v>
      </c>
      <c r="ANM4" s="0" t="s">
        <v>31456</v>
      </c>
      <c r="AOD4" s="0" t="s">
        <v>31536</v>
      </c>
      <c r="AOE4" s="0" t="s">
        <v>31549</v>
      </c>
      <c r="AOH4" s="0" t="s">
        <v>7796</v>
      </c>
      <c r="AOI4" s="0" t="s">
        <v>6336</v>
      </c>
      <c r="AOM4" s="0" t="s">
        <v>31586</v>
      </c>
      <c r="AOO4" s="0" t="s">
        <v>31621</v>
      </c>
      <c r="AOR4" s="0" t="s">
        <v>31633</v>
      </c>
      <c r="AOW4" s="0" t="s">
        <v>31668</v>
      </c>
      <c r="AOY4" s="0" t="s">
        <v>31697</v>
      </c>
      <c r="AOZ4" s="0" t="s">
        <v>31732</v>
      </c>
      <c r="APB4" s="0" t="s">
        <v>31799</v>
      </c>
      <c r="APM4" s="0" t="s">
        <v>18157</v>
      </c>
      <c r="APR4" s="0" t="s">
        <v>31866</v>
      </c>
      <c r="APT4" s="0" t="s">
        <v>16916</v>
      </c>
      <c r="APV4" s="0" t="s">
        <v>734</v>
      </c>
      <c r="APX4" s="0" t="s">
        <v>6336</v>
      </c>
      <c r="APZ4" s="0" t="s">
        <v>32027</v>
      </c>
      <c r="AQF4" s="0" t="s">
        <v>32044</v>
      </c>
      <c r="AQG4" s="0" t="s">
        <v>751</v>
      </c>
      <c r="AQH4" s="0" t="s">
        <v>32069</v>
      </c>
      <c r="AQK4" s="0" t="s">
        <v>32118</v>
      </c>
      <c r="AQL4" s="0" t="s">
        <v>6336</v>
      </c>
      <c r="AQM4" s="0" t="s">
        <v>13997</v>
      </c>
      <c r="AQN4" s="0" t="s">
        <v>32143</v>
      </c>
      <c r="AQO4" s="0" t="s">
        <v>32146</v>
      </c>
      <c r="AQR4" s="0" t="s">
        <v>6362</v>
      </c>
      <c r="AQS4" s="0" t="s">
        <v>32204</v>
      </c>
      <c r="AQV4" s="0" t="s">
        <v>789</v>
      </c>
      <c r="AQX4" s="0" t="s">
        <v>32345</v>
      </c>
      <c r="ARJ4" s="0" t="s">
        <v>32395</v>
      </c>
      <c r="ARN4" s="0" t="s">
        <v>32412</v>
      </c>
      <c r="ARS4" s="0" t="s">
        <v>6362</v>
      </c>
      <c r="ART4" s="0" t="s">
        <v>11407</v>
      </c>
      <c r="ARU4" s="0" t="s">
        <v>32449</v>
      </c>
      <c r="ARV4" s="0" t="s">
        <v>32487</v>
      </c>
      <c r="ARX4" s="0" t="s">
        <v>32514</v>
      </c>
      <c r="ASA4" s="0" t="s">
        <v>32503</v>
      </c>
      <c r="ASB4" s="0" t="s">
        <v>32501</v>
      </c>
      <c r="ASC4" s="0" t="s">
        <v>6362</v>
      </c>
      <c r="ASD4" s="0" t="s">
        <v>32596</v>
      </c>
      <c r="ASG4" s="0" t="s">
        <v>32630</v>
      </c>
      <c r="ASH4" s="0" t="s">
        <v>21225</v>
      </c>
      <c r="ASI4" s="0" t="s">
        <v>32643</v>
      </c>
      <c r="ASM4" s="0" t="s">
        <v>32712</v>
      </c>
      <c r="ASN4" s="0" t="s">
        <v>32718</v>
      </c>
      <c r="ASO4" s="0" t="s">
        <v>20009</v>
      </c>
      <c r="ASQ4" s="0" t="s">
        <v>24330</v>
      </c>
      <c r="ASR4" s="0" t="s">
        <v>32969</v>
      </c>
      <c r="ASS4" s="0" t="s">
        <v>32611</v>
      </c>
      <c r="AST4" s="0" t="s">
        <v>20012</v>
      </c>
      <c r="ASU4" s="0" t="s">
        <v>33057</v>
      </c>
      <c r="ASV4" s="0" t="s">
        <v>33061</v>
      </c>
      <c r="ASY4" s="0" t="s">
        <v>11870</v>
      </c>
      <c r="ASZ4" s="0" t="s">
        <v>716</v>
      </c>
      <c r="ATA4" s="0" t="s">
        <v>33126</v>
      </c>
      <c r="ATB4" s="0" t="s">
        <v>33140</v>
      </c>
    </row>
    <row r="5" customFormat="false" ht="15" hidden="false" customHeight="false" outlineLevel="0" collapsed="false">
      <c r="D5" s="0" t="s">
        <v>761</v>
      </c>
      <c r="F5" s="0" t="s">
        <v>708</v>
      </c>
      <c r="G5" s="0" t="s">
        <v>748</v>
      </c>
      <c r="I5" s="0" t="s">
        <v>883</v>
      </c>
      <c r="J5" s="0" t="s">
        <v>716</v>
      </c>
      <c r="M5" s="0" t="s">
        <v>1992</v>
      </c>
      <c r="N5" s="0" t="s">
        <v>719</v>
      </c>
      <c r="Q5" s="0" t="s">
        <v>2951</v>
      </c>
      <c r="R5" s="0" t="s">
        <v>716</v>
      </c>
      <c r="U5" s="0" t="s">
        <v>2067</v>
      </c>
      <c r="Z5" s="0" t="s">
        <v>3224</v>
      </c>
      <c r="AH5" s="0" t="s">
        <v>1910</v>
      </c>
      <c r="AK5" s="0" t="s">
        <v>761</v>
      </c>
      <c r="AN5" s="0" t="s">
        <v>3293</v>
      </c>
      <c r="AP5" s="0" t="s">
        <v>3374</v>
      </c>
      <c r="AQ5" s="0" t="s">
        <v>719</v>
      </c>
      <c r="AS5" s="0" t="s">
        <v>2821</v>
      </c>
      <c r="AT5" s="0" t="s">
        <v>714</v>
      </c>
      <c r="AV5" s="0" t="s">
        <v>2500</v>
      </c>
      <c r="AY5" s="0" t="s">
        <v>3833</v>
      </c>
      <c r="BB5" s="0" t="s">
        <v>741</v>
      </c>
      <c r="BD5" s="0" t="s">
        <v>4793</v>
      </c>
      <c r="BE5" s="0" t="s">
        <v>4761</v>
      </c>
      <c r="BG5" s="0" t="s">
        <v>2022</v>
      </c>
      <c r="BH5" s="0" t="s">
        <v>4761</v>
      </c>
      <c r="BJ5" s="0" t="s">
        <v>5593</v>
      </c>
      <c r="BK5" s="0" t="s">
        <v>5496</v>
      </c>
      <c r="BM5" s="0" t="s">
        <v>707</v>
      </c>
      <c r="BO5" s="0" t="s">
        <v>5619</v>
      </c>
      <c r="BP5" s="0" t="s">
        <v>714</v>
      </c>
      <c r="BT5" s="0" t="s">
        <v>707</v>
      </c>
      <c r="BV5" s="0" t="s">
        <v>845</v>
      </c>
      <c r="BW5" s="0" t="s">
        <v>6011</v>
      </c>
      <c r="BX5" s="0" t="s">
        <v>1323</v>
      </c>
      <c r="CG5" s="0" t="s">
        <v>6278</v>
      </c>
      <c r="CH5" s="0" t="s">
        <v>3833</v>
      </c>
      <c r="CK5" s="0" t="s">
        <v>3833</v>
      </c>
      <c r="CW5" s="0" t="s">
        <v>739</v>
      </c>
      <c r="CY5" s="0" t="s">
        <v>6396</v>
      </c>
      <c r="CZ5" s="0" t="s">
        <v>3991</v>
      </c>
      <c r="DC5" s="0" t="s">
        <v>847</v>
      </c>
      <c r="DE5" s="0" t="s">
        <v>6528</v>
      </c>
      <c r="DJ5" s="0" t="s">
        <v>6555</v>
      </c>
      <c r="DN5" s="0" t="s">
        <v>6598</v>
      </c>
      <c r="DO5" s="0" t="s">
        <v>6592</v>
      </c>
      <c r="DP5" s="0" t="s">
        <v>6684</v>
      </c>
      <c r="DR5" s="0" t="s">
        <v>847</v>
      </c>
      <c r="DS5" s="0" t="s">
        <v>7011</v>
      </c>
      <c r="DT5" s="0" t="s">
        <v>7074</v>
      </c>
      <c r="DU5" s="0" t="s">
        <v>6982</v>
      </c>
      <c r="DV5" s="0" t="s">
        <v>5492</v>
      </c>
      <c r="DW5" s="0" t="s">
        <v>6418</v>
      </c>
      <c r="EA5" s="0" t="s">
        <v>6730</v>
      </c>
      <c r="EB5" s="0" t="s">
        <v>847</v>
      </c>
      <c r="EC5" s="0" t="s">
        <v>761</v>
      </c>
      <c r="EF5" s="0" t="s">
        <v>6982</v>
      </c>
      <c r="EG5" s="0" t="s">
        <v>3833</v>
      </c>
      <c r="EH5" s="0" t="s">
        <v>7218</v>
      </c>
      <c r="EI5" s="0" t="s">
        <v>714</v>
      </c>
      <c r="EJ5" s="0" t="s">
        <v>7390</v>
      </c>
      <c r="EK5" s="0" t="s">
        <v>6733</v>
      </c>
      <c r="EL5" s="0" t="s">
        <v>7067</v>
      </c>
      <c r="EM5" s="0" t="s">
        <v>3247</v>
      </c>
      <c r="EN5" s="0" t="s">
        <v>707</v>
      </c>
      <c r="ER5" s="0" t="s">
        <v>7067</v>
      </c>
      <c r="ES5" s="0" t="s">
        <v>3317</v>
      </c>
      <c r="ET5" s="0" t="s">
        <v>847</v>
      </c>
      <c r="EY5" s="0" t="s">
        <v>784</v>
      </c>
      <c r="FH5" s="0" t="s">
        <v>7020</v>
      </c>
      <c r="FI5" s="0" t="s">
        <v>707</v>
      </c>
      <c r="FJ5" s="0" t="s">
        <v>7719</v>
      </c>
      <c r="FL5" s="0" t="s">
        <v>7729</v>
      </c>
      <c r="FM5" s="0" t="s">
        <v>7758</v>
      </c>
      <c r="FO5" s="0" t="s">
        <v>761</v>
      </c>
      <c r="FP5" s="0" t="s">
        <v>7779</v>
      </c>
      <c r="FQ5" s="0" t="s">
        <v>7789</v>
      </c>
      <c r="FR5" s="0" t="s">
        <v>2911</v>
      </c>
      <c r="FU5" s="0" t="s">
        <v>7821</v>
      </c>
      <c r="FV5" s="0" t="s">
        <v>6698</v>
      </c>
      <c r="FW5" s="0" t="s">
        <v>8160</v>
      </c>
      <c r="FX5" s="0" t="s">
        <v>7902</v>
      </c>
      <c r="FY5" s="0" t="s">
        <v>7841</v>
      </c>
      <c r="GC5" s="0" t="s">
        <v>8044</v>
      </c>
      <c r="GE5" s="0" t="s">
        <v>7849</v>
      </c>
      <c r="GG5" s="0" t="s">
        <v>8044</v>
      </c>
      <c r="GI5" s="0" t="s">
        <v>7922</v>
      </c>
      <c r="GL5" s="0" t="s">
        <v>8055</v>
      </c>
      <c r="GN5" s="0" t="s">
        <v>7847</v>
      </c>
      <c r="GO5" s="0" t="s">
        <v>6549</v>
      </c>
      <c r="GS5" s="0" t="s">
        <v>10112</v>
      </c>
      <c r="GT5" s="0" t="s">
        <v>7869</v>
      </c>
      <c r="GW5" s="0" t="s">
        <v>10188</v>
      </c>
      <c r="GX5" s="0" t="s">
        <v>10156</v>
      </c>
      <c r="GY5" s="0" t="s">
        <v>8668</v>
      </c>
      <c r="HA5" s="0" t="s">
        <v>10560</v>
      </c>
      <c r="HB5" s="0" t="s">
        <v>10332</v>
      </c>
      <c r="HC5" s="0" t="s">
        <v>7837</v>
      </c>
      <c r="HH5" s="0" t="s">
        <v>7997</v>
      </c>
      <c r="HI5" s="0" t="s">
        <v>7841</v>
      </c>
      <c r="HJ5" s="0" t="s">
        <v>6698</v>
      </c>
      <c r="HL5" s="0" t="s">
        <v>11079</v>
      </c>
      <c r="HM5" s="0" t="s">
        <v>7839</v>
      </c>
      <c r="HN5" s="0" t="s">
        <v>11407</v>
      </c>
      <c r="HO5" s="0" t="s">
        <v>789</v>
      </c>
      <c r="HP5" s="0" t="s">
        <v>6549</v>
      </c>
      <c r="HQ5" s="0" t="s">
        <v>11503</v>
      </c>
      <c r="HR5" s="0" t="s">
        <v>11580</v>
      </c>
      <c r="HS5" s="0" t="s">
        <v>7872</v>
      </c>
      <c r="HT5" s="0" t="s">
        <v>11597</v>
      </c>
      <c r="HU5" s="0" t="s">
        <v>789</v>
      </c>
      <c r="HV5" s="0" t="s">
        <v>10272</v>
      </c>
      <c r="HW5" s="0" t="s">
        <v>7902</v>
      </c>
      <c r="HX5" s="0" t="s">
        <v>7837</v>
      </c>
      <c r="HY5" s="0" t="s">
        <v>12084</v>
      </c>
      <c r="HZ5" s="0" t="s">
        <v>7275</v>
      </c>
      <c r="IA5" s="0" t="s">
        <v>12016</v>
      </c>
      <c r="IC5" s="0" t="s">
        <v>6242</v>
      </c>
      <c r="ID5" s="0" t="s">
        <v>2701</v>
      </c>
      <c r="IE5" s="0" t="s">
        <v>11775</v>
      </c>
      <c r="IG5" s="0" t="s">
        <v>12733</v>
      </c>
      <c r="IH5" s="0" t="s">
        <v>12084</v>
      </c>
      <c r="II5" s="0" t="s">
        <v>12822</v>
      </c>
      <c r="IJ5" s="0" t="s">
        <v>12823</v>
      </c>
      <c r="IK5" s="0" t="s">
        <v>11947</v>
      </c>
      <c r="IM5" s="0" t="s">
        <v>12859</v>
      </c>
      <c r="IN5" s="0" t="s">
        <v>6242</v>
      </c>
      <c r="IO5" s="0" t="s">
        <v>13148</v>
      </c>
      <c r="IP5" s="0" t="s">
        <v>13098</v>
      </c>
      <c r="IQ5" s="0" t="s">
        <v>13069</v>
      </c>
      <c r="IS5" s="0" t="s">
        <v>12857</v>
      </c>
      <c r="IV5" s="0" t="s">
        <v>13174</v>
      </c>
      <c r="IW5" s="0" t="s">
        <v>13230</v>
      </c>
      <c r="IX5" s="0" t="s">
        <v>13243</v>
      </c>
      <c r="IY5" s="0" t="s">
        <v>13260</v>
      </c>
      <c r="JA5" s="0" t="s">
        <v>13277</v>
      </c>
      <c r="JB5" s="0" t="s">
        <v>13474</v>
      </c>
      <c r="JD5" s="0" t="s">
        <v>1048</v>
      </c>
      <c r="JF5" s="0" t="s">
        <v>13728</v>
      </c>
      <c r="JG5" s="0" t="s">
        <v>6336</v>
      </c>
      <c r="JL5" s="0" t="s">
        <v>13743</v>
      </c>
      <c r="JM5" s="0" t="s">
        <v>761</v>
      </c>
      <c r="JN5" s="0" t="s">
        <v>847</v>
      </c>
      <c r="JQ5" s="0" t="s">
        <v>14303</v>
      </c>
      <c r="JR5" s="0" t="s">
        <v>761</v>
      </c>
      <c r="JS5" s="0" t="s">
        <v>1685</v>
      </c>
      <c r="JT5" s="0" t="s">
        <v>1595</v>
      </c>
      <c r="JX5" s="0" t="s">
        <v>13743</v>
      </c>
      <c r="JZ5" s="0" t="s">
        <v>716</v>
      </c>
      <c r="KE5" s="0" t="s">
        <v>14660</v>
      </c>
      <c r="KG5" s="0" t="s">
        <v>847</v>
      </c>
      <c r="KI5" s="0" t="s">
        <v>14729</v>
      </c>
      <c r="KK5" s="0" t="s">
        <v>5492</v>
      </c>
      <c r="KP5" s="0" t="s">
        <v>14782</v>
      </c>
      <c r="KQ5" s="0" t="s">
        <v>15138</v>
      </c>
      <c r="KR5" s="0" t="s">
        <v>14832</v>
      </c>
      <c r="KS5" s="0" t="s">
        <v>15213</v>
      </c>
      <c r="KU5" s="0" t="s">
        <v>11810</v>
      </c>
      <c r="KV5" s="0" t="s">
        <v>14780</v>
      </c>
      <c r="KY5" s="0" t="s">
        <v>15411</v>
      </c>
      <c r="LD5" s="0" t="s">
        <v>15482</v>
      </c>
      <c r="LF5" s="0" t="s">
        <v>15495</v>
      </c>
      <c r="LH5" s="0" t="s">
        <v>15564</v>
      </c>
      <c r="LI5" s="0" t="s">
        <v>15421</v>
      </c>
      <c r="LJ5" s="0" t="s">
        <v>15581</v>
      </c>
      <c r="LK5" s="0" t="s">
        <v>15652</v>
      </c>
      <c r="LL5" s="0" t="s">
        <v>15513</v>
      </c>
      <c r="LO5" s="0" t="s">
        <v>15722</v>
      </c>
      <c r="LP5" s="0" t="s">
        <v>15718</v>
      </c>
      <c r="LQ5" s="0" t="s">
        <v>15742</v>
      </c>
      <c r="LY5" s="0" t="s">
        <v>15859</v>
      </c>
      <c r="MA5" s="0" t="s">
        <v>15853</v>
      </c>
      <c r="MC5" s="0" t="s">
        <v>16116</v>
      </c>
      <c r="MF5" s="0" t="s">
        <v>1323</v>
      </c>
      <c r="MH5" s="0" t="s">
        <v>734</v>
      </c>
      <c r="MJ5" s="0" t="s">
        <v>16370</v>
      </c>
      <c r="ML5" s="0" t="s">
        <v>16530</v>
      </c>
      <c r="MM5" s="0" t="s">
        <v>4761</v>
      </c>
      <c r="MO5" s="0" t="s">
        <v>16553</v>
      </c>
      <c r="MP5" s="0" t="s">
        <v>16728</v>
      </c>
      <c r="MT5" s="0" t="s">
        <v>16916</v>
      </c>
      <c r="MU5" s="0" t="s">
        <v>16982</v>
      </c>
      <c r="MV5" s="0" t="s">
        <v>16955</v>
      </c>
      <c r="MX5" s="0" t="s">
        <v>17078</v>
      </c>
      <c r="MY5" s="0" t="s">
        <v>1635</v>
      </c>
      <c r="MZ5" s="0" t="s">
        <v>17099</v>
      </c>
      <c r="NA5" s="0" t="s">
        <v>17278</v>
      </c>
      <c r="NB5" s="0" t="s">
        <v>734</v>
      </c>
      <c r="ND5" s="0" t="s">
        <v>17276</v>
      </c>
      <c r="NE5" s="0" t="s">
        <v>17591</v>
      </c>
      <c r="NF5" s="0" t="s">
        <v>17414</v>
      </c>
      <c r="NG5" s="0" t="s">
        <v>11968</v>
      </c>
      <c r="NI5" s="0" t="s">
        <v>17667</v>
      </c>
      <c r="NJ5" s="0" t="s">
        <v>17694</v>
      </c>
      <c r="NM5" s="0" t="s">
        <v>17854</v>
      </c>
      <c r="NN5" s="0" t="s">
        <v>17848</v>
      </c>
      <c r="NQ5" s="0" t="s">
        <v>17865</v>
      </c>
      <c r="NR5" s="0" t="s">
        <v>17888</v>
      </c>
      <c r="NS5" s="0" t="s">
        <v>17659</v>
      </c>
      <c r="NU5" s="0" t="s">
        <v>17957</v>
      </c>
      <c r="NV5" s="0" t="s">
        <v>17957</v>
      </c>
      <c r="NW5" s="0" t="s">
        <v>17136</v>
      </c>
      <c r="NX5" s="0" t="s">
        <v>14667</v>
      </c>
      <c r="NY5" s="0" t="s">
        <v>17131</v>
      </c>
      <c r="NZ5" s="0" t="s">
        <v>18120</v>
      </c>
      <c r="OA5" s="0" t="s">
        <v>18121</v>
      </c>
      <c r="OD5" s="0" t="s">
        <v>17109</v>
      </c>
      <c r="OE5" s="0" t="s">
        <v>17306</v>
      </c>
      <c r="OG5" s="0" t="s">
        <v>18206</v>
      </c>
      <c r="OH5" s="0" t="s">
        <v>18350</v>
      </c>
      <c r="OI5" s="0" t="s">
        <v>18385</v>
      </c>
      <c r="OJ5" s="0" t="s">
        <v>17303</v>
      </c>
      <c r="OO5" s="0" t="s">
        <v>18549</v>
      </c>
      <c r="OQ5" s="0" t="s">
        <v>18696</v>
      </c>
      <c r="OR5" s="0" t="s">
        <v>17293</v>
      </c>
      <c r="OS5" s="0" t="s">
        <v>18756</v>
      </c>
      <c r="OU5" s="0" t="s">
        <v>18440</v>
      </c>
      <c r="OW5" s="0" t="s">
        <v>13994</v>
      </c>
      <c r="OY5" s="0" t="s">
        <v>18687</v>
      </c>
      <c r="OZ5" s="0" t="s">
        <v>18867</v>
      </c>
      <c r="PB5" s="0" t="s">
        <v>19181</v>
      </c>
      <c r="PC5" s="0" t="s">
        <v>19169</v>
      </c>
      <c r="PD5" s="0" t="s">
        <v>19145</v>
      </c>
      <c r="PE5" s="0" t="s">
        <v>17130</v>
      </c>
      <c r="PH5" s="0" t="s">
        <v>17137</v>
      </c>
      <c r="PK5" s="0" t="s">
        <v>19357</v>
      </c>
      <c r="PM5" s="0" t="s">
        <v>10272</v>
      </c>
      <c r="PN5" s="0" t="s">
        <v>19409</v>
      </c>
      <c r="PO5" s="0" t="s">
        <v>11415</v>
      </c>
      <c r="PQ5" s="0" t="s">
        <v>19462</v>
      </c>
      <c r="QA5" s="0" t="s">
        <v>19512</v>
      </c>
      <c r="QE5" s="0" t="s">
        <v>19573</v>
      </c>
      <c r="QF5" s="0" t="s">
        <v>19616</v>
      </c>
      <c r="QQ5" s="0" t="s">
        <v>19676</v>
      </c>
      <c r="QV5" s="0" t="s">
        <v>19748</v>
      </c>
      <c r="QW5" s="0" t="s">
        <v>19787</v>
      </c>
      <c r="QY5" s="0" t="s">
        <v>2002</v>
      </c>
      <c r="RD5" s="0" t="s">
        <v>2142</v>
      </c>
      <c r="RF5" s="0" t="s">
        <v>1635</v>
      </c>
      <c r="RL5" s="0" t="s">
        <v>2227</v>
      </c>
      <c r="RN5" s="0" t="s">
        <v>1635</v>
      </c>
      <c r="RS5" s="0" t="s">
        <v>2227</v>
      </c>
      <c r="RU5" s="0" t="s">
        <v>19982</v>
      </c>
      <c r="RX5" s="0" t="s">
        <v>11432</v>
      </c>
      <c r="RY5" s="0" t="s">
        <v>11434</v>
      </c>
      <c r="SB5" s="0" t="s">
        <v>20045</v>
      </c>
      <c r="SE5" s="0" t="s">
        <v>20089</v>
      </c>
      <c r="SF5" s="0" t="s">
        <v>20090</v>
      </c>
      <c r="SG5" s="0" t="s">
        <v>20126</v>
      </c>
      <c r="SH5" s="0" t="s">
        <v>20283</v>
      </c>
      <c r="SI5" s="0" t="s">
        <v>20019</v>
      </c>
      <c r="SL5" s="0" t="s">
        <v>20364</v>
      </c>
      <c r="SS5" s="0" t="s">
        <v>20490</v>
      </c>
      <c r="SW5" s="0" t="s">
        <v>11434</v>
      </c>
      <c r="SY5" s="0" t="s">
        <v>20535</v>
      </c>
      <c r="TG5" s="0" t="s">
        <v>20592</v>
      </c>
      <c r="TH5" s="0" t="s">
        <v>20608</v>
      </c>
      <c r="TJ5" s="0" t="s">
        <v>20626</v>
      </c>
      <c r="TK5" s="0" t="s">
        <v>20720</v>
      </c>
      <c r="TO5" s="0" t="s">
        <v>20773</v>
      </c>
      <c r="TP5" s="0" t="s">
        <v>20769</v>
      </c>
      <c r="TR5" s="0" t="s">
        <v>11488</v>
      </c>
      <c r="TV5" s="0" t="s">
        <v>20910</v>
      </c>
      <c r="TW5" s="0" t="s">
        <v>18157</v>
      </c>
      <c r="TY5" s="0" t="s">
        <v>20929</v>
      </c>
      <c r="TZ5" s="0" t="s">
        <v>20942</v>
      </c>
      <c r="UD5" s="0" t="s">
        <v>19321</v>
      </c>
      <c r="UE5" s="0" t="s">
        <v>6768</v>
      </c>
      <c r="UF5" s="0" t="s">
        <v>21044</v>
      </c>
      <c r="UG5" s="0" t="s">
        <v>2600</v>
      </c>
      <c r="UH5" s="0" t="s">
        <v>21058</v>
      </c>
      <c r="UM5" s="0" t="s">
        <v>21081</v>
      </c>
      <c r="UU5" s="0" t="s">
        <v>21135</v>
      </c>
      <c r="UW5" s="0" t="s">
        <v>21167</v>
      </c>
      <c r="VB5" s="0" t="s">
        <v>21202</v>
      </c>
      <c r="VH5" s="0" t="s">
        <v>21291</v>
      </c>
      <c r="VI5" s="0" t="s">
        <v>21314</v>
      </c>
      <c r="VJ5" s="0" t="s">
        <v>21239</v>
      </c>
      <c r="VO5" s="0" t="s">
        <v>21602</v>
      </c>
      <c r="VR5" s="0" t="s">
        <v>21607</v>
      </c>
      <c r="VU5" s="0" t="s">
        <v>21648</v>
      </c>
      <c r="WB5" s="0" t="s">
        <v>21722</v>
      </c>
      <c r="WC5" s="0" t="s">
        <v>21707</v>
      </c>
      <c r="WH5" s="0" t="s">
        <v>21740</v>
      </c>
      <c r="WJ5" s="0" t="s">
        <v>21805</v>
      </c>
      <c r="WO5" s="0" t="s">
        <v>21887</v>
      </c>
      <c r="WT5" s="0" t="s">
        <v>4721</v>
      </c>
      <c r="WW5" s="0" t="s">
        <v>21935</v>
      </c>
      <c r="WZ5" s="0" t="s">
        <v>22026</v>
      </c>
      <c r="XB5" s="0" t="s">
        <v>6336</v>
      </c>
      <c r="XC5" s="0" t="s">
        <v>22069</v>
      </c>
      <c r="XI5" s="0" t="s">
        <v>22195</v>
      </c>
      <c r="XK5" s="0" t="s">
        <v>22272</v>
      </c>
      <c r="XL5" s="0" t="s">
        <v>22307</v>
      </c>
      <c r="XM5" s="0" t="s">
        <v>22374</v>
      </c>
      <c r="XP5" s="0" t="s">
        <v>22444</v>
      </c>
      <c r="XS5" s="0" t="s">
        <v>22536</v>
      </c>
      <c r="XT5" s="0" t="s">
        <v>22490</v>
      </c>
      <c r="XU5" s="0" t="s">
        <v>22745</v>
      </c>
      <c r="XY5" s="0" t="s">
        <v>22761</v>
      </c>
      <c r="YE5" s="0" t="s">
        <v>13743</v>
      </c>
      <c r="YG5" s="0" t="s">
        <v>22871</v>
      </c>
      <c r="YI5" s="0" t="s">
        <v>22970</v>
      </c>
      <c r="YN5" s="0" t="s">
        <v>23001</v>
      </c>
      <c r="YR5" s="0" t="s">
        <v>23009</v>
      </c>
      <c r="YW5" s="0" t="s">
        <v>23056</v>
      </c>
      <c r="ZC5" s="0" t="s">
        <v>23154</v>
      </c>
      <c r="ZE5" s="0" t="s">
        <v>23228</v>
      </c>
      <c r="ZK5" s="0" t="s">
        <v>23041</v>
      </c>
      <c r="ZS5" s="0" t="s">
        <v>23327</v>
      </c>
      <c r="ZV5" s="0" t="s">
        <v>23387</v>
      </c>
      <c r="AAI5" s="0" t="s">
        <v>23486</v>
      </c>
      <c r="AAK5" s="0" t="s">
        <v>23532</v>
      </c>
      <c r="AAM5" s="0" t="s">
        <v>23669</v>
      </c>
      <c r="AAN5" s="0" t="s">
        <v>23574</v>
      </c>
      <c r="AAO5" s="0" t="s">
        <v>13743</v>
      </c>
      <c r="AAP5" s="0" t="s">
        <v>23654</v>
      </c>
      <c r="AAR5" s="0" t="s">
        <v>23692</v>
      </c>
      <c r="AAT5" s="0" t="s">
        <v>23705</v>
      </c>
      <c r="AAV5" s="0" t="s">
        <v>13994</v>
      </c>
      <c r="AAW5" s="0" t="s">
        <v>23770</v>
      </c>
      <c r="AAY5" s="0" t="s">
        <v>16919</v>
      </c>
      <c r="ABF5" s="0" t="s">
        <v>23824</v>
      </c>
      <c r="ABH5" s="0" t="s">
        <v>23933</v>
      </c>
      <c r="ABK5" s="0" t="s">
        <v>23945</v>
      </c>
      <c r="ABM5" s="0" t="s">
        <v>23977</v>
      </c>
      <c r="ABP5" s="0" t="s">
        <v>23992</v>
      </c>
      <c r="ABT5" s="0" t="s">
        <v>24050</v>
      </c>
      <c r="ABV5" s="0" t="s">
        <v>23295</v>
      </c>
      <c r="ABZ5" s="0" t="s">
        <v>24097</v>
      </c>
      <c r="ACE5" s="0" t="s">
        <v>23552</v>
      </c>
      <c r="ACF5" s="0" t="s">
        <v>13743</v>
      </c>
      <c r="ACG5" s="0" t="s">
        <v>13313</v>
      </c>
      <c r="ACI5" s="0" t="s">
        <v>11415</v>
      </c>
      <c r="ACO5" s="0" t="s">
        <v>24344</v>
      </c>
      <c r="ACR5" s="0" t="s">
        <v>24405</v>
      </c>
      <c r="ACV5" s="0" t="s">
        <v>24453</v>
      </c>
      <c r="ACY5" s="0" t="s">
        <v>24554</v>
      </c>
      <c r="ACZ5" s="0" t="s">
        <v>23041</v>
      </c>
      <c r="ADB5" s="0" t="s">
        <v>24691</v>
      </c>
      <c r="ADD5" s="0" t="s">
        <v>24753</v>
      </c>
      <c r="ADF5" s="0" t="s">
        <v>24776</v>
      </c>
      <c r="ADI5" s="0" t="s">
        <v>24806</v>
      </c>
      <c r="ADK5" s="0" t="s">
        <v>24868</v>
      </c>
      <c r="ADL5" s="0" t="s">
        <v>1213</v>
      </c>
      <c r="ADN5" s="0" t="s">
        <v>25049</v>
      </c>
      <c r="ADO5" s="0" t="s">
        <v>2600</v>
      </c>
      <c r="ADQ5" s="0" t="s">
        <v>13743</v>
      </c>
      <c r="ADR5" s="0" t="s">
        <v>847</v>
      </c>
      <c r="ADS5" s="0" t="s">
        <v>11409</v>
      </c>
      <c r="ADT5" s="0" t="s">
        <v>13743</v>
      </c>
      <c r="ADV5" s="0" t="s">
        <v>845</v>
      </c>
      <c r="ADW5" s="0" t="s">
        <v>11411</v>
      </c>
      <c r="ADY5" s="0" t="s">
        <v>13743</v>
      </c>
      <c r="ADZ5" s="0" t="s">
        <v>707</v>
      </c>
      <c r="AEA5" s="0" t="s">
        <v>11415</v>
      </c>
      <c r="AEC5" s="0" t="s">
        <v>13743</v>
      </c>
      <c r="AED5" s="0" t="s">
        <v>716</v>
      </c>
      <c r="AEE5" s="0" t="s">
        <v>11411</v>
      </c>
      <c r="AEH5" s="0" t="s">
        <v>13743</v>
      </c>
      <c r="AEI5" s="0" t="s">
        <v>847</v>
      </c>
      <c r="AEJ5" s="0" t="s">
        <v>11411</v>
      </c>
      <c r="AEL5" s="0" t="s">
        <v>784</v>
      </c>
      <c r="AEP5" s="0" t="s">
        <v>13994</v>
      </c>
      <c r="AEQ5" s="0" t="s">
        <v>4721</v>
      </c>
      <c r="AES5" s="0" t="s">
        <v>14007</v>
      </c>
      <c r="AET5" s="0" t="s">
        <v>847</v>
      </c>
      <c r="AEU5" s="0" t="s">
        <v>11415</v>
      </c>
      <c r="AEW5" s="0" t="s">
        <v>23567</v>
      </c>
      <c r="AEY5" s="0" t="s">
        <v>3833</v>
      </c>
      <c r="AFD5" s="0" t="s">
        <v>22841</v>
      </c>
      <c r="AFG5" s="0" t="s">
        <v>2671</v>
      </c>
      <c r="AFH5" s="0" t="s">
        <v>784</v>
      </c>
      <c r="AFI5" s="0" t="s">
        <v>13743</v>
      </c>
      <c r="AFK5" s="0" t="s">
        <v>761</v>
      </c>
      <c r="AFL5" s="0" t="s">
        <v>11415</v>
      </c>
      <c r="AFP5" s="0" t="s">
        <v>14056</v>
      </c>
      <c r="AFQ5" s="0" t="s">
        <v>4721</v>
      </c>
      <c r="AFR5" s="0" t="s">
        <v>11415</v>
      </c>
      <c r="AFS5" s="0" t="s">
        <v>6549</v>
      </c>
      <c r="AFV5" s="0" t="s">
        <v>20196</v>
      </c>
      <c r="AFW5" s="0" t="s">
        <v>11413</v>
      </c>
      <c r="AFZ5" s="0" t="s">
        <v>13988</v>
      </c>
      <c r="AGA5" s="0" t="s">
        <v>789</v>
      </c>
      <c r="AGB5" s="0" t="s">
        <v>11411</v>
      </c>
      <c r="AGE5" s="0" t="s">
        <v>4000</v>
      </c>
      <c r="AGF5" s="0" t="s">
        <v>22841</v>
      </c>
      <c r="AGG5" s="0" t="s">
        <v>14007</v>
      </c>
      <c r="AGH5" s="0" t="s">
        <v>27751</v>
      </c>
      <c r="AGI5" s="0" t="s">
        <v>847</v>
      </c>
      <c r="AGJ5" s="0" t="s">
        <v>11411</v>
      </c>
      <c r="AGN5" s="0" t="s">
        <v>27813</v>
      </c>
      <c r="AGP5" s="0" t="s">
        <v>23582</v>
      </c>
      <c r="AGQ5" s="0" t="s">
        <v>14016</v>
      </c>
      <c r="AGS5" s="0" t="s">
        <v>27837</v>
      </c>
      <c r="AGU5" s="0" t="s">
        <v>11415</v>
      </c>
      <c r="AGV5" s="0" t="s">
        <v>11481</v>
      </c>
      <c r="AGW5" s="0" t="s">
        <v>13743</v>
      </c>
      <c r="AGZ5" s="0" t="s">
        <v>13743</v>
      </c>
      <c r="AHA5" s="0" t="s">
        <v>4000</v>
      </c>
      <c r="AHB5" s="0" t="s">
        <v>22841</v>
      </c>
      <c r="AHH5" s="0" t="s">
        <v>11409</v>
      </c>
      <c r="AHJ5" s="0" t="s">
        <v>23567</v>
      </c>
      <c r="AHK5" s="0" t="s">
        <v>28161</v>
      </c>
      <c r="AHM5" s="0" t="s">
        <v>28195</v>
      </c>
      <c r="AHN5" s="0" t="s">
        <v>13743</v>
      </c>
      <c r="AHO5" s="0" t="s">
        <v>11415</v>
      </c>
      <c r="AHQ5" s="0" t="s">
        <v>14007</v>
      </c>
      <c r="AHR5" s="0" t="s">
        <v>28248</v>
      </c>
      <c r="AHS5" s="0" t="s">
        <v>16368</v>
      </c>
      <c r="AHV5" s="0" t="s">
        <v>14832</v>
      </c>
      <c r="AHY5" s="0" t="s">
        <v>28339</v>
      </c>
      <c r="AHZ5" s="0" t="s">
        <v>23577</v>
      </c>
      <c r="AIB5" s="0" t="s">
        <v>13997</v>
      </c>
      <c r="AIC5" s="0" t="s">
        <v>11411</v>
      </c>
      <c r="AID5" s="0" t="s">
        <v>28361</v>
      </c>
      <c r="AIG5" s="0" t="s">
        <v>28416</v>
      </c>
      <c r="AIH5" s="0" t="s">
        <v>13978</v>
      </c>
      <c r="AIL5" s="0" t="s">
        <v>716</v>
      </c>
      <c r="AIP5" s="0" t="s">
        <v>28478</v>
      </c>
      <c r="AIQ5" s="0" t="s">
        <v>28470</v>
      </c>
      <c r="AIU5" s="0" t="s">
        <v>28539</v>
      </c>
      <c r="AIV5" s="0" t="s">
        <v>6362</v>
      </c>
      <c r="AIW5" s="0" t="s">
        <v>28651</v>
      </c>
      <c r="AIZ5" s="0" t="s">
        <v>12859</v>
      </c>
      <c r="AJA5" s="0" t="s">
        <v>28669</v>
      </c>
      <c r="AJC5" s="0" t="s">
        <v>28771</v>
      </c>
      <c r="AJE5" s="0" t="s">
        <v>25280</v>
      </c>
      <c r="AJH5" s="0" t="s">
        <v>6336</v>
      </c>
      <c r="AJM5" s="0" t="s">
        <v>28821</v>
      </c>
      <c r="AJQ5" s="0" t="s">
        <v>6362</v>
      </c>
      <c r="AJS5" s="0" t="s">
        <v>28876</v>
      </c>
      <c r="AJY5" s="0" t="s">
        <v>29000</v>
      </c>
      <c r="AKE5" s="0" t="s">
        <v>29061</v>
      </c>
      <c r="AKL5" s="0" t="s">
        <v>13978</v>
      </c>
      <c r="AKM5" s="0" t="s">
        <v>29087</v>
      </c>
      <c r="AKQ5" s="0" t="s">
        <v>29125</v>
      </c>
      <c r="AKT5" s="0" t="s">
        <v>29158</v>
      </c>
      <c r="AKU5" s="0" t="s">
        <v>29138</v>
      </c>
      <c r="AKW5" s="0" t="s">
        <v>29209</v>
      </c>
      <c r="ALF5" s="0" t="s">
        <v>29326</v>
      </c>
      <c r="ALG5" s="0" t="s">
        <v>29322</v>
      </c>
      <c r="ALS5" s="0" t="s">
        <v>29393</v>
      </c>
      <c r="ALT5" s="0" t="s">
        <v>734</v>
      </c>
      <c r="ALW5" s="0" t="s">
        <v>29425</v>
      </c>
      <c r="ALX5" s="0" t="s">
        <v>19735</v>
      </c>
      <c r="AMA5" s="0" t="s">
        <v>29504</v>
      </c>
      <c r="AMB5" s="0" t="s">
        <v>29484</v>
      </c>
      <c r="AMC5" s="0" t="s">
        <v>29465</v>
      </c>
      <c r="AMG5" s="0" t="s">
        <v>29522</v>
      </c>
      <c r="AMJ5" s="0" t="s">
        <v>18157</v>
      </c>
      <c r="AML5" s="0" t="s">
        <v>29536</v>
      </c>
      <c r="AMR5" s="0" t="s">
        <v>6246</v>
      </c>
      <c r="AMS5" s="0" t="s">
        <v>845</v>
      </c>
      <c r="AMT5" s="0" t="s">
        <v>4721</v>
      </c>
      <c r="AMU5" s="0" t="s">
        <v>6246</v>
      </c>
      <c r="AMV5" s="0" t="s">
        <v>29952</v>
      </c>
      <c r="AMW5" s="0" t="s">
        <v>29993</v>
      </c>
      <c r="AMX5" s="0" t="s">
        <v>6246</v>
      </c>
      <c r="AMY5" s="0" t="s">
        <v>845</v>
      </c>
      <c r="AMZ5" s="0" t="s">
        <v>4721</v>
      </c>
      <c r="ANA5" s="0" t="s">
        <v>6246</v>
      </c>
      <c r="ANB5" s="0" t="s">
        <v>845</v>
      </c>
      <c r="ANC5" s="0" t="s">
        <v>4721</v>
      </c>
      <c r="AND5" s="0" t="s">
        <v>3328</v>
      </c>
      <c r="ANE5" s="0" t="s">
        <v>845</v>
      </c>
      <c r="ANF5" s="0" t="s">
        <v>4721</v>
      </c>
      <c r="ANG5" s="0" t="s">
        <v>3328</v>
      </c>
      <c r="ANH5" s="0" t="s">
        <v>845</v>
      </c>
      <c r="ANI5" s="0" t="s">
        <v>4721</v>
      </c>
      <c r="ANM5" s="0" t="s">
        <v>31450</v>
      </c>
      <c r="AOD5" s="0" t="s">
        <v>31538</v>
      </c>
      <c r="AOH5" s="0" t="s">
        <v>31572</v>
      </c>
      <c r="AOR5" s="0" t="s">
        <v>20366</v>
      </c>
      <c r="AOW5" s="0" t="s">
        <v>31681</v>
      </c>
      <c r="AOY5" s="0" t="s">
        <v>31699</v>
      </c>
      <c r="AOZ5" s="0" t="s">
        <v>31734</v>
      </c>
      <c r="APB5" s="0" t="s">
        <v>31801</v>
      </c>
      <c r="APR5" s="0" t="s">
        <v>31860</v>
      </c>
      <c r="APT5" s="0" t="s">
        <v>31925</v>
      </c>
      <c r="APV5" s="0" t="s">
        <v>31913</v>
      </c>
      <c r="APX5" s="0" t="s">
        <v>31880</v>
      </c>
      <c r="AQF5" s="0" t="s">
        <v>32047</v>
      </c>
      <c r="AQH5" s="0" t="s">
        <v>32072</v>
      </c>
      <c r="AQK5" s="0" t="s">
        <v>32126</v>
      </c>
      <c r="AQL5" s="0" t="s">
        <v>751</v>
      </c>
      <c r="AQM5" s="0" t="s">
        <v>13981</v>
      </c>
      <c r="AQN5" s="0" t="s">
        <v>32168</v>
      </c>
      <c r="AQO5" s="0" t="s">
        <v>32148</v>
      </c>
      <c r="AQR5" s="0" t="s">
        <v>751</v>
      </c>
      <c r="AQS5" s="0" t="s">
        <v>32207</v>
      </c>
      <c r="AQV5" s="0" t="s">
        <v>716</v>
      </c>
      <c r="AQX5" s="0" t="s">
        <v>32351</v>
      </c>
      <c r="ARS5" s="0" t="s">
        <v>6549</v>
      </c>
      <c r="ART5" s="0" t="s">
        <v>11409</v>
      </c>
      <c r="ARU5" s="0" t="s">
        <v>32465</v>
      </c>
      <c r="ARV5" s="0" t="s">
        <v>32489</v>
      </c>
      <c r="ARX5" s="0" t="s">
        <v>32492</v>
      </c>
      <c r="ASA5" s="0" t="s">
        <v>22839</v>
      </c>
      <c r="ASB5" s="0" t="s">
        <v>32553</v>
      </c>
      <c r="ASD5" s="0" t="s">
        <v>734</v>
      </c>
      <c r="ASG5" s="0" t="s">
        <v>32636</v>
      </c>
      <c r="ASH5" s="0" t="s">
        <v>32624</v>
      </c>
      <c r="ASI5" s="0" t="s">
        <v>20009</v>
      </c>
      <c r="ASM5" s="0" t="s">
        <v>32715</v>
      </c>
      <c r="ASN5" s="0" t="s">
        <v>21225</v>
      </c>
      <c r="ASO5" s="0" t="s">
        <v>20012</v>
      </c>
      <c r="ASR5" s="0" t="s">
        <v>32971</v>
      </c>
      <c r="ASS5" s="0" t="s">
        <v>32718</v>
      </c>
      <c r="AST5" s="0" t="s">
        <v>32725</v>
      </c>
      <c r="ASV5" s="0" t="s">
        <v>33062</v>
      </c>
      <c r="ASY5" s="0" t="s">
        <v>2600</v>
      </c>
      <c r="ASZ5" s="0" t="s">
        <v>847</v>
      </c>
      <c r="ATA5" s="0" t="s">
        <v>33128</v>
      </c>
    </row>
    <row r="6" customFormat="false" ht="15" hidden="false" customHeight="false" outlineLevel="0" collapsed="false">
      <c r="D6" s="0" t="s">
        <v>714</v>
      </c>
      <c r="G6" s="0" t="s">
        <v>731</v>
      </c>
      <c r="I6" s="0" t="s">
        <v>894</v>
      </c>
      <c r="J6" s="0" t="s">
        <v>845</v>
      </c>
      <c r="M6" s="0" t="s">
        <v>1997</v>
      </c>
      <c r="N6" s="0" t="s">
        <v>707</v>
      </c>
      <c r="Q6" s="0" t="s">
        <v>2961</v>
      </c>
      <c r="R6" s="0" t="s">
        <v>719</v>
      </c>
      <c r="U6" s="0" t="s">
        <v>2212</v>
      </c>
      <c r="Z6" s="0" t="s">
        <v>3228</v>
      </c>
      <c r="AH6" s="0" t="s">
        <v>1924</v>
      </c>
      <c r="AK6" s="0" t="s">
        <v>714</v>
      </c>
      <c r="AN6" s="0" t="s">
        <v>799</v>
      </c>
      <c r="AP6" s="0" t="s">
        <v>3382</v>
      </c>
      <c r="AQ6" s="0" t="s">
        <v>707</v>
      </c>
      <c r="AS6" s="0" t="s">
        <v>3848</v>
      </c>
      <c r="AT6" s="0" t="s">
        <v>3833</v>
      </c>
      <c r="AV6" s="0" t="s">
        <v>2515</v>
      </c>
      <c r="AY6" s="0" t="s">
        <v>3247</v>
      </c>
      <c r="BB6" s="0" t="s">
        <v>3293</v>
      </c>
      <c r="BD6" s="0" t="s">
        <v>1158</v>
      </c>
      <c r="BE6" s="0" t="s">
        <v>714</v>
      </c>
      <c r="BG6" s="0" t="s">
        <v>5153</v>
      </c>
      <c r="BH6" s="0" t="s">
        <v>4721</v>
      </c>
      <c r="BJ6" s="0" t="s">
        <v>2500</v>
      </c>
      <c r="BM6" s="0" t="s">
        <v>761</v>
      </c>
      <c r="BO6" s="0" t="s">
        <v>5621</v>
      </c>
      <c r="BT6" s="0" t="s">
        <v>761</v>
      </c>
      <c r="BV6" s="0" t="s">
        <v>719</v>
      </c>
      <c r="BW6" s="0" t="s">
        <v>6019</v>
      </c>
      <c r="BX6" s="0" t="s">
        <v>4883</v>
      </c>
      <c r="CG6" s="0" t="s">
        <v>1323</v>
      </c>
      <c r="CH6" s="0" t="s">
        <v>3247</v>
      </c>
      <c r="CK6" s="0" t="s">
        <v>3247</v>
      </c>
      <c r="CW6" s="0" t="s">
        <v>6399</v>
      </c>
      <c r="CY6" s="0" t="s">
        <v>841</v>
      </c>
      <c r="CZ6" s="0" t="s">
        <v>1268</v>
      </c>
      <c r="DC6" s="0" t="s">
        <v>707</v>
      </c>
      <c r="DJ6" s="0" t="s">
        <v>6557</v>
      </c>
      <c r="DN6" s="0" t="s">
        <v>6600</v>
      </c>
      <c r="DO6" s="0" t="s">
        <v>6565</v>
      </c>
      <c r="DP6" s="0" t="s">
        <v>6686</v>
      </c>
      <c r="DR6" s="0" t="s">
        <v>719</v>
      </c>
      <c r="DS6" s="0" t="s">
        <v>6989</v>
      </c>
      <c r="DT6" s="0" t="s">
        <v>6698</v>
      </c>
      <c r="DU6" s="0" t="s">
        <v>7030</v>
      </c>
      <c r="DV6" s="0" t="s">
        <v>4000</v>
      </c>
      <c r="DW6" s="0" t="s">
        <v>716</v>
      </c>
      <c r="EA6" s="0" t="s">
        <v>2961</v>
      </c>
      <c r="EB6" s="0" t="s">
        <v>707</v>
      </c>
      <c r="EC6" s="0" t="s">
        <v>4721</v>
      </c>
      <c r="EF6" s="0" t="s">
        <v>7030</v>
      </c>
      <c r="EG6" s="0" t="s">
        <v>5492</v>
      </c>
      <c r="EH6" s="0" t="s">
        <v>845</v>
      </c>
      <c r="EI6" s="0" t="s">
        <v>3833</v>
      </c>
      <c r="EJ6" s="0" t="s">
        <v>7614</v>
      </c>
      <c r="EM6" s="0" t="s">
        <v>5097</v>
      </c>
      <c r="EN6" s="0" t="s">
        <v>761</v>
      </c>
      <c r="ES6" s="0" t="s">
        <v>6244</v>
      </c>
      <c r="ET6" s="0" t="s">
        <v>761</v>
      </c>
      <c r="EY6" s="0" t="s">
        <v>6246</v>
      </c>
      <c r="FH6" s="0" t="s">
        <v>3317</v>
      </c>
      <c r="FI6" s="0" t="s">
        <v>761</v>
      </c>
      <c r="FJ6" s="0" t="s">
        <v>7721</v>
      </c>
      <c r="FM6" s="0" t="s">
        <v>7740</v>
      </c>
      <c r="FO6" s="0" t="s">
        <v>4721</v>
      </c>
      <c r="FP6" s="0" t="s">
        <v>7784</v>
      </c>
      <c r="FQ6" s="0" t="s">
        <v>7796</v>
      </c>
      <c r="FR6" s="0" t="s">
        <v>2961</v>
      </c>
      <c r="FV6" s="0" t="s">
        <v>6362</v>
      </c>
      <c r="FX6" s="0" t="s">
        <v>7979</v>
      </c>
      <c r="FY6" s="0" t="s">
        <v>7908</v>
      </c>
      <c r="GC6" s="0" t="s">
        <v>8055</v>
      </c>
      <c r="GE6" s="0" t="s">
        <v>7922</v>
      </c>
      <c r="GG6" s="0" t="s">
        <v>8055</v>
      </c>
      <c r="GI6" s="0" t="s">
        <v>8231</v>
      </c>
      <c r="GL6" s="0" t="s">
        <v>8991</v>
      </c>
      <c r="GN6" s="0" t="s">
        <v>7849</v>
      </c>
      <c r="GS6" s="0" t="s">
        <v>10115</v>
      </c>
      <c r="GT6" s="0" t="s">
        <v>7829</v>
      </c>
      <c r="GW6" s="0" t="s">
        <v>10147</v>
      </c>
      <c r="GX6" s="0" t="s">
        <v>10159</v>
      </c>
      <c r="GY6" s="0" t="s">
        <v>10277</v>
      </c>
      <c r="HA6" s="0" t="s">
        <v>10590</v>
      </c>
      <c r="HB6" s="0" t="s">
        <v>9823</v>
      </c>
      <c r="HC6" s="0" t="s">
        <v>7839</v>
      </c>
      <c r="HH6" s="0" t="s">
        <v>8044</v>
      </c>
      <c r="HI6" s="0" t="s">
        <v>7843</v>
      </c>
      <c r="HJ6" s="0" t="s">
        <v>6549</v>
      </c>
      <c r="HL6" s="0" t="s">
        <v>11082</v>
      </c>
      <c r="HM6" s="0" t="s">
        <v>7841</v>
      </c>
      <c r="HN6" s="0" t="s">
        <v>11409</v>
      </c>
      <c r="HO6" s="0" t="s">
        <v>716</v>
      </c>
      <c r="HQ6" s="0" t="s">
        <v>11481</v>
      </c>
      <c r="HR6" s="0" t="s">
        <v>11584</v>
      </c>
      <c r="HS6" s="0" t="s">
        <v>7895</v>
      </c>
      <c r="HT6" s="0" t="s">
        <v>11594</v>
      </c>
      <c r="HU6" s="0" t="s">
        <v>716</v>
      </c>
      <c r="HV6" s="0" t="s">
        <v>10274</v>
      </c>
      <c r="HX6" s="0" t="s">
        <v>7839</v>
      </c>
      <c r="HY6" s="0" t="s">
        <v>6242</v>
      </c>
      <c r="HZ6" s="0" t="s">
        <v>2961</v>
      </c>
      <c r="IA6" s="0" t="s">
        <v>11935</v>
      </c>
      <c r="IC6" s="0" t="s">
        <v>11888</v>
      </c>
      <c r="ID6" s="0" t="s">
        <v>11968</v>
      </c>
      <c r="IE6" s="0" t="s">
        <v>11820</v>
      </c>
      <c r="IG6" s="0" t="s">
        <v>12729</v>
      </c>
      <c r="IH6" s="0" t="s">
        <v>6242</v>
      </c>
      <c r="II6" s="0" t="s">
        <v>12847</v>
      </c>
      <c r="IJ6" s="0" t="s">
        <v>12949</v>
      </c>
      <c r="IK6" s="0" t="s">
        <v>12001</v>
      </c>
      <c r="IM6" s="0" t="s">
        <v>12906</v>
      </c>
      <c r="IN6" s="0" t="s">
        <v>11888</v>
      </c>
      <c r="IP6" s="0" t="s">
        <v>12987</v>
      </c>
      <c r="IQ6" s="0" t="s">
        <v>12085</v>
      </c>
      <c r="IS6" s="0" t="s">
        <v>12859</v>
      </c>
      <c r="IV6" s="0" t="s">
        <v>13176</v>
      </c>
      <c r="IW6" s="0" t="s">
        <v>13243</v>
      </c>
      <c r="IX6" s="0" t="s">
        <v>13259</v>
      </c>
      <c r="IY6" s="0" t="s">
        <v>13263</v>
      </c>
      <c r="JA6" s="0" t="s">
        <v>13279</v>
      </c>
      <c r="JB6" s="0" t="s">
        <v>13567</v>
      </c>
      <c r="JD6" s="0" t="s">
        <v>1103</v>
      </c>
      <c r="JF6" s="0" t="s">
        <v>13709</v>
      </c>
      <c r="JL6" s="0" t="s">
        <v>14007</v>
      </c>
      <c r="JM6" s="0" t="s">
        <v>4761</v>
      </c>
      <c r="JN6" s="0" t="s">
        <v>719</v>
      </c>
      <c r="JQ6" s="0" t="s">
        <v>14305</v>
      </c>
      <c r="JR6" s="0" t="s">
        <v>714</v>
      </c>
      <c r="JS6" s="0" t="s">
        <v>2002</v>
      </c>
      <c r="JT6" s="0" t="s">
        <v>2002</v>
      </c>
      <c r="JX6" s="0" t="s">
        <v>14007</v>
      </c>
      <c r="JZ6" s="0" t="s">
        <v>845</v>
      </c>
      <c r="KE6" s="0" t="s">
        <v>7866</v>
      </c>
      <c r="KG6" s="0" t="s">
        <v>707</v>
      </c>
      <c r="KI6" s="0" t="s">
        <v>14731</v>
      </c>
      <c r="KK6" s="0" t="s">
        <v>3247</v>
      </c>
      <c r="KP6" s="0" t="s">
        <v>14789</v>
      </c>
      <c r="KQ6" s="0" t="s">
        <v>14775</v>
      </c>
      <c r="KR6" s="0" t="s">
        <v>14776</v>
      </c>
      <c r="KS6" s="0" t="s">
        <v>15216</v>
      </c>
      <c r="KU6" s="0" t="s">
        <v>11720</v>
      </c>
      <c r="KV6" s="0" t="s">
        <v>14783</v>
      </c>
      <c r="KY6" s="0" t="s">
        <v>15382</v>
      </c>
      <c r="LD6" s="0" t="s">
        <v>15506</v>
      </c>
      <c r="LF6" s="0" t="s">
        <v>15500</v>
      </c>
      <c r="LH6" s="0" t="s">
        <v>15554</v>
      </c>
      <c r="LI6" s="0" t="s">
        <v>15550</v>
      </c>
      <c r="LJ6" s="0" t="s">
        <v>15583</v>
      </c>
      <c r="LK6" s="0" t="s">
        <v>15654</v>
      </c>
      <c r="LL6" s="0" t="s">
        <v>15517</v>
      </c>
      <c r="LO6" s="0" t="s">
        <v>15730</v>
      </c>
      <c r="LP6" s="0" t="s">
        <v>15532</v>
      </c>
      <c r="LQ6" s="0" t="s">
        <v>15754</v>
      </c>
      <c r="LY6" s="0" t="s">
        <v>15862</v>
      </c>
      <c r="MA6" s="0" t="s">
        <v>16017</v>
      </c>
      <c r="MC6" s="0" t="s">
        <v>16082</v>
      </c>
      <c r="MF6" s="0" t="s">
        <v>1520</v>
      </c>
      <c r="MJ6" s="0" t="s">
        <v>14829</v>
      </c>
      <c r="ML6" s="0" t="s">
        <v>16536</v>
      </c>
      <c r="MM6" s="0" t="s">
        <v>4721</v>
      </c>
      <c r="MO6" s="0" t="s">
        <v>16555</v>
      </c>
      <c r="MP6" s="0" t="s">
        <v>16730</v>
      </c>
      <c r="MT6" s="0" t="s">
        <v>16919</v>
      </c>
      <c r="MU6" s="0" t="s">
        <v>16974</v>
      </c>
      <c r="MV6" s="0" t="s">
        <v>6768</v>
      </c>
      <c r="MX6" s="0" t="s">
        <v>17080</v>
      </c>
      <c r="MY6" s="0" t="s">
        <v>17047</v>
      </c>
      <c r="MZ6" s="0" t="s">
        <v>17052</v>
      </c>
      <c r="NA6" s="0" t="s">
        <v>17288</v>
      </c>
      <c r="NB6" s="0" t="s">
        <v>17154</v>
      </c>
      <c r="ND6" s="0" t="s">
        <v>17293</v>
      </c>
      <c r="NF6" s="0" t="s">
        <v>17419</v>
      </c>
      <c r="NG6" s="0" t="s">
        <v>2751</v>
      </c>
      <c r="NI6" s="0" t="s">
        <v>17670</v>
      </c>
      <c r="NJ6" s="0" t="s">
        <v>17110</v>
      </c>
      <c r="NM6" s="0" t="s">
        <v>17752</v>
      </c>
      <c r="NN6" s="0" t="s">
        <v>734</v>
      </c>
      <c r="NQ6" s="0" t="s">
        <v>17867</v>
      </c>
      <c r="NR6" s="0" t="s">
        <v>17891</v>
      </c>
      <c r="NS6" s="0" t="s">
        <v>17886</v>
      </c>
      <c r="NU6" s="0" t="s">
        <v>17959</v>
      </c>
      <c r="NV6" s="0" t="s">
        <v>17959</v>
      </c>
      <c r="NW6" s="0" t="s">
        <v>18004</v>
      </c>
      <c r="NX6" s="0" t="s">
        <v>17105</v>
      </c>
      <c r="NY6" s="0" t="s">
        <v>17365</v>
      </c>
      <c r="NZ6" s="0" t="s">
        <v>18123</v>
      </c>
      <c r="OA6" s="0" t="s">
        <v>18124</v>
      </c>
      <c r="OD6" s="0" t="s">
        <v>17130</v>
      </c>
      <c r="OE6" s="0" t="s">
        <v>17410</v>
      </c>
      <c r="OG6" s="0" t="s">
        <v>18210</v>
      </c>
      <c r="OH6" s="0" t="s">
        <v>18354</v>
      </c>
      <c r="OI6" s="0" t="s">
        <v>17172</v>
      </c>
      <c r="OJ6" s="0" t="s">
        <v>17306</v>
      </c>
      <c r="OO6" s="0" t="s">
        <v>18551</v>
      </c>
      <c r="OQ6" s="0" t="s">
        <v>18698</v>
      </c>
      <c r="OR6" s="0" t="s">
        <v>18730</v>
      </c>
      <c r="OS6" s="0" t="s">
        <v>18758</v>
      </c>
      <c r="OU6" s="0" t="s">
        <v>18366</v>
      </c>
      <c r="OW6" s="0" t="s">
        <v>14056</v>
      </c>
      <c r="OY6" s="0" t="s">
        <v>18841</v>
      </c>
      <c r="OZ6" s="0" t="s">
        <v>18869</v>
      </c>
      <c r="PB6" s="0" t="s">
        <v>19172</v>
      </c>
      <c r="PD6" s="0" t="s">
        <v>18969</v>
      </c>
      <c r="PE6" s="0" t="s">
        <v>17136</v>
      </c>
      <c r="PH6" s="0" t="s">
        <v>17131</v>
      </c>
      <c r="PM6" s="0" t="s">
        <v>10274</v>
      </c>
      <c r="PN6" s="0" t="s">
        <v>19318</v>
      </c>
      <c r="PO6" s="0" t="s">
        <v>6336</v>
      </c>
      <c r="PQ6" s="0" t="s">
        <v>19466</v>
      </c>
      <c r="QA6" s="0" t="s">
        <v>19514</v>
      </c>
      <c r="QE6" s="0" t="s">
        <v>19575</v>
      </c>
      <c r="QF6" s="0" t="s">
        <v>19619</v>
      </c>
      <c r="QQ6" s="0" t="s">
        <v>19678</v>
      </c>
      <c r="QV6" s="0" t="s">
        <v>709</v>
      </c>
      <c r="QW6" s="0" t="s">
        <v>19789</v>
      </c>
      <c r="QY6" s="0" t="s">
        <v>2142</v>
      </c>
      <c r="RD6" s="0" t="s">
        <v>2227</v>
      </c>
      <c r="RF6" s="0" t="s">
        <v>2002</v>
      </c>
      <c r="RL6" s="0" t="s">
        <v>2351</v>
      </c>
      <c r="RN6" s="0" t="s">
        <v>2002</v>
      </c>
      <c r="RS6" s="0" t="s">
        <v>1733</v>
      </c>
      <c r="RU6" s="0" t="s">
        <v>19974</v>
      </c>
      <c r="RX6" s="0" t="s">
        <v>19994</v>
      </c>
      <c r="RY6" s="0" t="s">
        <v>11488</v>
      </c>
      <c r="SB6" s="0" t="s">
        <v>20026</v>
      </c>
      <c r="SE6" s="0" t="s">
        <v>20092</v>
      </c>
      <c r="SF6" s="0" t="s">
        <v>14811</v>
      </c>
      <c r="SG6" s="0" t="s">
        <v>20124</v>
      </c>
      <c r="SH6" s="0" t="s">
        <v>20292</v>
      </c>
      <c r="SI6" s="0" t="s">
        <v>20179</v>
      </c>
      <c r="SL6" s="0" t="s">
        <v>20408</v>
      </c>
      <c r="SS6" s="0" t="s">
        <v>20492</v>
      </c>
      <c r="SW6" s="0" t="s">
        <v>11488</v>
      </c>
      <c r="SY6" s="0" t="s">
        <v>20537</v>
      </c>
      <c r="TG6" s="0" t="s">
        <v>20594</v>
      </c>
      <c r="TH6" s="0" t="s">
        <v>6336</v>
      </c>
      <c r="TJ6" s="0" t="s">
        <v>20617</v>
      </c>
      <c r="TK6" s="0" t="s">
        <v>20704</v>
      </c>
      <c r="TO6" s="0" t="s">
        <v>20789</v>
      </c>
      <c r="TP6" s="0" t="s">
        <v>20779</v>
      </c>
      <c r="TV6" s="0" t="s">
        <v>20912</v>
      </c>
      <c r="TY6" s="0" t="s">
        <v>20931</v>
      </c>
      <c r="TZ6" s="0" t="s">
        <v>20938</v>
      </c>
      <c r="UD6" s="0" t="s">
        <v>20997</v>
      </c>
      <c r="UE6" s="0" t="s">
        <v>784</v>
      </c>
      <c r="UF6" s="0" t="s">
        <v>21036</v>
      </c>
      <c r="UG6" s="0" t="s">
        <v>12096</v>
      </c>
      <c r="UH6" s="0" t="s">
        <v>21060</v>
      </c>
      <c r="UM6" s="0" t="s">
        <v>21090</v>
      </c>
      <c r="UU6" s="0" t="s">
        <v>21133</v>
      </c>
      <c r="UW6" s="0" t="s">
        <v>21171</v>
      </c>
      <c r="VB6" s="0" t="s">
        <v>21199</v>
      </c>
      <c r="VH6" s="0" t="s">
        <v>21296</v>
      </c>
      <c r="VI6" s="0" t="s">
        <v>21301</v>
      </c>
      <c r="VO6" s="0" t="s">
        <v>21600</v>
      </c>
      <c r="VR6" s="0" t="s">
        <v>21610</v>
      </c>
      <c r="VU6" s="0" t="s">
        <v>21650</v>
      </c>
      <c r="WB6" s="0" t="s">
        <v>13981</v>
      </c>
      <c r="WH6" s="0" t="s">
        <v>21742</v>
      </c>
      <c r="WJ6" s="0" t="s">
        <v>21807</v>
      </c>
      <c r="WW6" s="0" t="s">
        <v>21933</v>
      </c>
      <c r="WZ6" s="0" t="s">
        <v>22034</v>
      </c>
      <c r="XB6" s="0" t="s">
        <v>6362</v>
      </c>
      <c r="XC6" s="0" t="s">
        <v>22071</v>
      </c>
      <c r="XI6" s="0" t="s">
        <v>22184</v>
      </c>
      <c r="XK6" s="0" t="s">
        <v>22292</v>
      </c>
      <c r="XL6" s="0" t="s">
        <v>22309</v>
      </c>
      <c r="XM6" s="0" t="s">
        <v>22376</v>
      </c>
      <c r="XP6" s="0" t="s">
        <v>22457</v>
      </c>
      <c r="XS6" s="0" t="s">
        <v>22587</v>
      </c>
      <c r="XT6" s="0" t="s">
        <v>22247</v>
      </c>
      <c r="XY6" s="0" t="s">
        <v>22765</v>
      </c>
      <c r="YE6" s="0" t="s">
        <v>14007</v>
      </c>
      <c r="YG6" s="0" t="s">
        <v>22873</v>
      </c>
      <c r="YI6" s="0" t="s">
        <v>22972</v>
      </c>
      <c r="YN6" s="0" t="s">
        <v>12847</v>
      </c>
      <c r="YR6" s="0" t="s">
        <v>23022</v>
      </c>
      <c r="YW6" s="0" t="s">
        <v>23058</v>
      </c>
      <c r="ZC6" s="0" t="s">
        <v>23156</v>
      </c>
      <c r="ZE6" s="0" t="s">
        <v>23230</v>
      </c>
      <c r="ZK6" s="0" t="s">
        <v>23263</v>
      </c>
      <c r="ZS6" s="0" t="s">
        <v>23329</v>
      </c>
      <c r="ZV6" s="0" t="s">
        <v>23373</v>
      </c>
      <c r="AAI6" s="0" t="s">
        <v>23488</v>
      </c>
      <c r="AAK6" s="0" t="s">
        <v>23534</v>
      </c>
      <c r="AAM6" s="0" t="s">
        <v>23629</v>
      </c>
      <c r="AAN6" s="0" t="s">
        <v>22475</v>
      </c>
      <c r="AAO6" s="0" t="s">
        <v>14007</v>
      </c>
      <c r="AAP6" s="0" t="s">
        <v>734</v>
      </c>
      <c r="AAR6" s="0" t="s">
        <v>23690</v>
      </c>
      <c r="AAT6" s="0" t="s">
        <v>23707</v>
      </c>
      <c r="AAV6" s="0" t="s">
        <v>13997</v>
      </c>
      <c r="AAW6" s="0" t="s">
        <v>23772</v>
      </c>
      <c r="ABF6" s="0" t="s">
        <v>23820</v>
      </c>
      <c r="ABH6" s="0" t="s">
        <v>23939</v>
      </c>
      <c r="ABK6" s="0" t="s">
        <v>23962</v>
      </c>
      <c r="ABM6" s="0" t="s">
        <v>23983</v>
      </c>
      <c r="ABP6" s="0" t="s">
        <v>23994</v>
      </c>
      <c r="ABT6" s="0" t="s">
        <v>24052</v>
      </c>
      <c r="ACE6" s="0" t="s">
        <v>24111</v>
      </c>
      <c r="ACF6" s="0" t="s">
        <v>14007</v>
      </c>
      <c r="ACG6" s="0" t="s">
        <v>15458</v>
      </c>
      <c r="ACI6" s="0" t="s">
        <v>22841</v>
      </c>
      <c r="ACO6" s="0" t="s">
        <v>24346</v>
      </c>
      <c r="ACR6" s="0" t="s">
        <v>24407</v>
      </c>
      <c r="ACV6" s="0" t="s">
        <v>24439</v>
      </c>
      <c r="ACY6" s="0" t="s">
        <v>24603</v>
      </c>
      <c r="ACZ6" s="0" t="s">
        <v>24639</v>
      </c>
      <c r="ADB6" s="0" t="s">
        <v>24689</v>
      </c>
      <c r="ADD6" s="0" t="s">
        <v>24755</v>
      </c>
      <c r="ADF6" s="0" t="s">
        <v>24778</v>
      </c>
      <c r="ADI6" s="0" t="s">
        <v>24808</v>
      </c>
      <c r="ADK6" s="0" t="s">
        <v>24881</v>
      </c>
      <c r="ADL6" s="0" t="s">
        <v>1268</v>
      </c>
      <c r="ADN6" s="0" t="s">
        <v>12422</v>
      </c>
      <c r="ADO6" s="0" t="s">
        <v>2651</v>
      </c>
      <c r="ADQ6" s="0" t="s">
        <v>14007</v>
      </c>
      <c r="ADR6" s="0" t="s">
        <v>707</v>
      </c>
      <c r="ADS6" s="0" t="s">
        <v>11411</v>
      </c>
      <c r="ADT6" s="0" t="s">
        <v>14007</v>
      </c>
      <c r="ADV6" s="0" t="s">
        <v>847</v>
      </c>
      <c r="ADW6" s="0" t="s">
        <v>11413</v>
      </c>
      <c r="ADY6" s="0" t="s">
        <v>14007</v>
      </c>
      <c r="ADZ6" s="0" t="s">
        <v>761</v>
      </c>
      <c r="AEA6" s="0" t="s">
        <v>22841</v>
      </c>
      <c r="AEC6" s="0" t="s">
        <v>14007</v>
      </c>
      <c r="AED6" s="0" t="s">
        <v>847</v>
      </c>
      <c r="AEE6" s="0" t="s">
        <v>11413</v>
      </c>
      <c r="AEH6" s="0" t="s">
        <v>14007</v>
      </c>
      <c r="AEI6" s="0" t="s">
        <v>707</v>
      </c>
      <c r="AEJ6" s="0" t="s">
        <v>11413</v>
      </c>
      <c r="AEL6" s="0" t="s">
        <v>6244</v>
      </c>
      <c r="AEP6" s="0" t="s">
        <v>14056</v>
      </c>
      <c r="AEQ6" s="0" t="s">
        <v>714</v>
      </c>
      <c r="AES6" s="0" t="s">
        <v>13994</v>
      </c>
      <c r="AET6" s="0" t="s">
        <v>707</v>
      </c>
      <c r="AEY6" s="0" t="s">
        <v>3247</v>
      </c>
      <c r="AFD6" s="0" t="s">
        <v>22844</v>
      </c>
      <c r="AFG6" s="0" t="s">
        <v>6336</v>
      </c>
      <c r="AFH6" s="0" t="s">
        <v>6244</v>
      </c>
      <c r="AFI6" s="0" t="s">
        <v>14007</v>
      </c>
      <c r="AFK6" s="0" t="s">
        <v>4721</v>
      </c>
      <c r="AFL6" s="0" t="s">
        <v>22841</v>
      </c>
      <c r="AFP6" s="0" t="s">
        <v>13997</v>
      </c>
      <c r="AFQ6" s="0" t="s">
        <v>714</v>
      </c>
      <c r="AFV6" s="0" t="s">
        <v>847</v>
      </c>
      <c r="AFW6" s="0" t="s">
        <v>11415</v>
      </c>
      <c r="AFZ6" s="0" t="s">
        <v>21722</v>
      </c>
      <c r="AGA6" s="0" t="s">
        <v>716</v>
      </c>
      <c r="AGB6" s="0" t="s">
        <v>11413</v>
      </c>
      <c r="AGE6" s="0" t="s">
        <v>3247</v>
      </c>
      <c r="AGG6" s="0" t="s">
        <v>13994</v>
      </c>
      <c r="AGI6" s="0" t="s">
        <v>707</v>
      </c>
      <c r="AGN6" s="0" t="s">
        <v>23566</v>
      </c>
      <c r="AGP6" s="0" t="s">
        <v>23584</v>
      </c>
      <c r="AGQ6" s="0" t="s">
        <v>13997</v>
      </c>
      <c r="AGS6" s="0" t="s">
        <v>27842</v>
      </c>
      <c r="AGU6" s="0" t="s">
        <v>22841</v>
      </c>
      <c r="AGV6" s="0" t="s">
        <v>11483</v>
      </c>
      <c r="AGW6" s="0" t="s">
        <v>13994</v>
      </c>
      <c r="AHA6" s="0" t="s">
        <v>3247</v>
      </c>
      <c r="AHB6" s="0" t="s">
        <v>22844</v>
      </c>
      <c r="AHH6" s="0" t="s">
        <v>11411</v>
      </c>
      <c r="AHK6" s="0" t="s">
        <v>28163</v>
      </c>
      <c r="AHM6" s="0" t="s">
        <v>28170</v>
      </c>
      <c r="AHN6" s="0" t="s">
        <v>14007</v>
      </c>
      <c r="AHO6" s="0" t="s">
        <v>22841</v>
      </c>
      <c r="AHQ6" s="0" t="s">
        <v>13997</v>
      </c>
      <c r="AHR6" s="0" t="s">
        <v>28250</v>
      </c>
      <c r="AHS6" s="0" t="s">
        <v>16370</v>
      </c>
      <c r="AHV6" s="0" t="s">
        <v>14780</v>
      </c>
      <c r="AHZ6" s="0" t="s">
        <v>28334</v>
      </c>
      <c r="AIB6" s="0" t="s">
        <v>13978</v>
      </c>
      <c r="AIC6" s="0" t="s">
        <v>11413</v>
      </c>
      <c r="AID6" s="0" t="s">
        <v>28365</v>
      </c>
      <c r="AIG6" s="0" t="s">
        <v>28405</v>
      </c>
      <c r="AIH6" s="0" t="s">
        <v>13981</v>
      </c>
      <c r="AIL6" s="0" t="s">
        <v>845</v>
      </c>
      <c r="AIP6" s="0" t="s">
        <v>28480</v>
      </c>
      <c r="AIQ6" s="0" t="s">
        <v>28512</v>
      </c>
      <c r="AIV6" s="0" t="s">
        <v>751</v>
      </c>
      <c r="AIW6" s="0" t="s">
        <v>28643</v>
      </c>
      <c r="AIZ6" s="0" t="s">
        <v>12906</v>
      </c>
      <c r="AJA6" s="0" t="s">
        <v>28679</v>
      </c>
      <c r="AJC6" s="0" t="s">
        <v>28733</v>
      </c>
      <c r="AJE6" s="0" t="s">
        <v>28743</v>
      </c>
      <c r="AJM6" s="0" t="s">
        <v>28823</v>
      </c>
      <c r="AJQ6" s="0" t="s">
        <v>6549</v>
      </c>
      <c r="AJS6" s="0" t="s">
        <v>28878</v>
      </c>
      <c r="AJY6" s="0" t="s">
        <v>29002</v>
      </c>
      <c r="AKE6" s="0" t="s">
        <v>29064</v>
      </c>
      <c r="AKL6" s="0" t="s">
        <v>21725</v>
      </c>
      <c r="AKM6" s="0" t="s">
        <v>23572</v>
      </c>
      <c r="AKQ6" s="0" t="s">
        <v>29114</v>
      </c>
      <c r="AKT6" s="0" t="s">
        <v>734</v>
      </c>
      <c r="AKU6" s="0" t="s">
        <v>17110</v>
      </c>
      <c r="AKW6" s="0" t="s">
        <v>20767</v>
      </c>
      <c r="ALF6" s="0" t="s">
        <v>19735</v>
      </c>
      <c r="ALG6" s="0" t="s">
        <v>29308</v>
      </c>
      <c r="ALS6" s="0" t="s">
        <v>29391</v>
      </c>
      <c r="ALT6" s="0" t="s">
        <v>29421</v>
      </c>
      <c r="ALW6" s="0" t="s">
        <v>29437</v>
      </c>
      <c r="ALX6" s="0" t="s">
        <v>6357</v>
      </c>
      <c r="AMA6" s="0" t="s">
        <v>29500</v>
      </c>
      <c r="AMB6" s="0" t="s">
        <v>29487</v>
      </c>
      <c r="AML6" s="0" t="s">
        <v>6688</v>
      </c>
      <c r="AMR6" s="0" t="s">
        <v>7358</v>
      </c>
      <c r="AMS6" s="0" t="s">
        <v>847</v>
      </c>
      <c r="AMT6" s="0" t="s">
        <v>3833</v>
      </c>
      <c r="AMU6" s="0" t="s">
        <v>7358</v>
      </c>
      <c r="AMV6" s="0" t="s">
        <v>13852</v>
      </c>
      <c r="AMW6" s="0" t="s">
        <v>784</v>
      </c>
      <c r="AMX6" s="0" t="s">
        <v>7358</v>
      </c>
      <c r="AMY6" s="0" t="s">
        <v>847</v>
      </c>
      <c r="AMZ6" s="0" t="s">
        <v>3833</v>
      </c>
      <c r="ANA6" s="0" t="s">
        <v>7358</v>
      </c>
      <c r="ANB6" s="0" t="s">
        <v>847</v>
      </c>
      <c r="ANC6" s="0" t="s">
        <v>3833</v>
      </c>
      <c r="AND6" s="0" t="s">
        <v>6246</v>
      </c>
      <c r="ANE6" s="0" t="s">
        <v>847</v>
      </c>
      <c r="ANF6" s="0" t="s">
        <v>3833</v>
      </c>
      <c r="ANG6" s="0" t="s">
        <v>6246</v>
      </c>
      <c r="ANH6" s="0" t="s">
        <v>847</v>
      </c>
      <c r="ANI6" s="0" t="s">
        <v>3833</v>
      </c>
      <c r="ANM6" s="0" t="s">
        <v>31452</v>
      </c>
      <c r="AOD6" s="0" t="s">
        <v>31540</v>
      </c>
      <c r="AOH6" s="0" t="s">
        <v>6336</v>
      </c>
      <c r="AOR6" s="0" t="s">
        <v>20391</v>
      </c>
      <c r="AOW6" s="0" t="s">
        <v>31656</v>
      </c>
      <c r="AOY6" s="0" t="s">
        <v>31693</v>
      </c>
      <c r="AOZ6" s="0" t="s">
        <v>31736</v>
      </c>
      <c r="APB6" s="0" t="s">
        <v>31803</v>
      </c>
      <c r="APR6" s="0" t="s">
        <v>31868</v>
      </c>
      <c r="APT6" s="0" t="s">
        <v>31935</v>
      </c>
      <c r="APV6" s="0" t="s">
        <v>32013</v>
      </c>
      <c r="AQF6" s="0" t="s">
        <v>32050</v>
      </c>
      <c r="AQH6" s="0" t="s">
        <v>32074</v>
      </c>
      <c r="AQK6" s="0" t="s">
        <v>32106</v>
      </c>
      <c r="AQM6" s="0" t="s">
        <v>13974</v>
      </c>
      <c r="AQN6" s="0" t="s">
        <v>32170</v>
      </c>
      <c r="AQO6" s="0" t="s">
        <v>32150</v>
      </c>
      <c r="AQV6" s="0" t="s">
        <v>845</v>
      </c>
      <c r="AQX6" s="0" t="s">
        <v>32353</v>
      </c>
      <c r="ART6" s="0" t="s">
        <v>11411</v>
      </c>
      <c r="ARU6" s="0" t="s">
        <v>32468</v>
      </c>
      <c r="ARV6" s="0" t="s">
        <v>6712</v>
      </c>
      <c r="ARX6" s="0" t="s">
        <v>32494</v>
      </c>
      <c r="ASA6" s="0" t="s">
        <v>25358</v>
      </c>
      <c r="ASB6" s="0" t="s">
        <v>32499</v>
      </c>
      <c r="ASG6" s="0" t="s">
        <v>32642</v>
      </c>
      <c r="ASI6" s="0" t="s">
        <v>20012</v>
      </c>
      <c r="ASM6" s="0" t="s">
        <v>32743</v>
      </c>
      <c r="ASN6" s="0" t="s">
        <v>32727</v>
      </c>
      <c r="ASO6" s="0" t="s">
        <v>32725</v>
      </c>
      <c r="ASR6" s="0" t="s">
        <v>32978</v>
      </c>
      <c r="ASS6" s="0" t="s">
        <v>21225</v>
      </c>
      <c r="AST6" s="0" t="s">
        <v>20014</v>
      </c>
      <c r="ASV6" s="0" t="s">
        <v>33063</v>
      </c>
      <c r="ASY6" s="0" t="s">
        <v>12096</v>
      </c>
      <c r="ASZ6" s="0" t="s">
        <v>707</v>
      </c>
      <c r="ATA6" s="0" t="s">
        <v>33130</v>
      </c>
    </row>
    <row r="7" customFormat="false" ht="15" hidden="false" customHeight="false" outlineLevel="0" collapsed="false">
      <c r="D7" s="0" t="s">
        <v>784</v>
      </c>
      <c r="G7" s="0" t="s">
        <v>729</v>
      </c>
      <c r="I7" s="0" t="s">
        <v>905</v>
      </c>
      <c r="J7" s="0" t="s">
        <v>847</v>
      </c>
      <c r="M7" s="0" t="s">
        <v>2002</v>
      </c>
      <c r="N7" s="0" t="s">
        <v>761</v>
      </c>
      <c r="Q7" s="0" t="s">
        <v>2971</v>
      </c>
      <c r="R7" s="0" t="s">
        <v>707</v>
      </c>
      <c r="U7" s="0" t="s">
        <v>2309</v>
      </c>
      <c r="Z7" s="0" t="s">
        <v>3232</v>
      </c>
      <c r="AK7" s="0" t="s">
        <v>3247</v>
      </c>
      <c r="AP7" s="0" t="s">
        <v>3390</v>
      </c>
      <c r="AQ7" s="0" t="s">
        <v>714</v>
      </c>
      <c r="AS7" s="0" t="s">
        <v>2851</v>
      </c>
      <c r="AT7" s="0" t="s">
        <v>4000</v>
      </c>
      <c r="AV7" s="0" t="s">
        <v>2552</v>
      </c>
      <c r="AY7" s="0" t="s">
        <v>3317</v>
      </c>
      <c r="BB7" s="0" t="s">
        <v>739</v>
      </c>
      <c r="BD7" s="0" t="s">
        <v>3991</v>
      </c>
      <c r="BE7" s="0" t="s">
        <v>3247</v>
      </c>
      <c r="BG7" s="0" t="s">
        <v>2037</v>
      </c>
      <c r="BH7" s="0" t="s">
        <v>714</v>
      </c>
      <c r="BJ7" s="0" t="s">
        <v>1733</v>
      </c>
      <c r="BM7" s="0" t="s">
        <v>3317</v>
      </c>
      <c r="BO7" s="0" t="s">
        <v>5643</v>
      </c>
      <c r="BT7" s="0" t="s">
        <v>714</v>
      </c>
      <c r="BV7" s="0" t="s">
        <v>707</v>
      </c>
      <c r="BW7" s="0" t="s">
        <v>6027</v>
      </c>
      <c r="BX7" s="0" t="s">
        <v>4216</v>
      </c>
      <c r="CG7" s="0" t="s">
        <v>4908</v>
      </c>
      <c r="CH7" s="0" t="s">
        <v>6244</v>
      </c>
      <c r="CW7" s="0" t="s">
        <v>6391</v>
      </c>
      <c r="CY7" s="0" t="s">
        <v>6407</v>
      </c>
      <c r="CZ7" s="0" t="s">
        <v>4083</v>
      </c>
      <c r="DN7" s="0" t="s">
        <v>6576</v>
      </c>
      <c r="DO7" s="0" t="s">
        <v>6612</v>
      </c>
      <c r="DR7" s="0" t="s">
        <v>707</v>
      </c>
      <c r="DS7" s="0" t="s">
        <v>734</v>
      </c>
      <c r="DT7" s="0" t="s">
        <v>6362</v>
      </c>
      <c r="DU7" s="0" t="s">
        <v>7067</v>
      </c>
      <c r="DV7" s="0" t="s">
        <v>6940</v>
      </c>
      <c r="DW7" s="0" t="s">
        <v>6740</v>
      </c>
      <c r="EB7" s="0" t="s">
        <v>761</v>
      </c>
      <c r="EC7" s="0" t="s">
        <v>714</v>
      </c>
      <c r="EF7" s="0" t="s">
        <v>7067</v>
      </c>
      <c r="EG7" s="0" t="s">
        <v>4000</v>
      </c>
      <c r="EH7" s="0" t="s">
        <v>847</v>
      </c>
      <c r="EI7" s="0" t="s">
        <v>4000</v>
      </c>
      <c r="EM7" s="0" t="s">
        <v>6723</v>
      </c>
      <c r="EN7" s="0" t="s">
        <v>6815</v>
      </c>
      <c r="ES7" s="0" t="s">
        <v>2911</v>
      </c>
      <c r="EY7" s="0" t="s">
        <v>2961</v>
      </c>
      <c r="FH7" s="0" t="s">
        <v>784</v>
      </c>
      <c r="FJ7" s="0" t="s">
        <v>7723</v>
      </c>
      <c r="FM7" s="0" t="s">
        <v>7748</v>
      </c>
      <c r="FO7" s="0" t="s">
        <v>714</v>
      </c>
      <c r="FP7" s="0" t="s">
        <v>7786</v>
      </c>
      <c r="FQ7" s="0" t="s">
        <v>7801</v>
      </c>
      <c r="FV7" s="0" t="s">
        <v>6549</v>
      </c>
      <c r="FX7" s="0" t="s">
        <v>7983</v>
      </c>
      <c r="FY7" s="0" t="s">
        <v>7843</v>
      </c>
      <c r="GC7" s="0" t="s">
        <v>8982</v>
      </c>
      <c r="GE7" s="0" t="s">
        <v>8231</v>
      </c>
      <c r="GG7" s="0" t="s">
        <v>8982</v>
      </c>
      <c r="GI7" s="0" t="s">
        <v>7851</v>
      </c>
      <c r="GL7" s="0" t="s">
        <v>9195</v>
      </c>
      <c r="GN7" s="0" t="s">
        <v>7922</v>
      </c>
      <c r="GS7" s="0" t="s">
        <v>10117</v>
      </c>
      <c r="GT7" s="0" t="s">
        <v>7831</v>
      </c>
      <c r="GW7" s="0" t="s">
        <v>10152</v>
      </c>
      <c r="GX7" s="0" t="s">
        <v>10161</v>
      </c>
      <c r="GY7" s="0" t="s">
        <v>6362</v>
      </c>
      <c r="HA7" s="0" t="s">
        <v>10205</v>
      </c>
      <c r="HB7" s="0" t="s">
        <v>10464</v>
      </c>
      <c r="HC7" s="0" t="s">
        <v>7841</v>
      </c>
      <c r="HH7" s="0" t="s">
        <v>8055</v>
      </c>
      <c r="HI7" s="0" t="s">
        <v>7877</v>
      </c>
      <c r="HL7" s="0" t="s">
        <v>11084</v>
      </c>
      <c r="HM7" s="0" t="s">
        <v>7908</v>
      </c>
      <c r="HN7" s="0" t="s">
        <v>11411</v>
      </c>
      <c r="HO7" s="0" t="s">
        <v>6740</v>
      </c>
      <c r="HQ7" s="0" t="s">
        <v>11505</v>
      </c>
      <c r="HR7" s="0" t="s">
        <v>11589</v>
      </c>
      <c r="HS7" s="0" t="s">
        <v>11585</v>
      </c>
      <c r="HU7" s="0" t="s">
        <v>845</v>
      </c>
      <c r="HV7" s="0" t="s">
        <v>11672</v>
      </c>
      <c r="HX7" s="0" t="s">
        <v>7841</v>
      </c>
      <c r="HY7" s="0" t="s">
        <v>11888</v>
      </c>
      <c r="HZ7" s="0" t="s">
        <v>2991</v>
      </c>
      <c r="IA7" s="0" t="s">
        <v>12085</v>
      </c>
      <c r="IC7" s="0" t="s">
        <v>12635</v>
      </c>
      <c r="ID7" s="0" t="s">
        <v>2801</v>
      </c>
      <c r="IE7" s="0" t="s">
        <v>11719</v>
      </c>
      <c r="IG7" s="0" t="s">
        <v>12752</v>
      </c>
      <c r="IH7" s="0" t="s">
        <v>11888</v>
      </c>
      <c r="II7" s="0" t="s">
        <v>12898</v>
      </c>
      <c r="IJ7" s="0" t="s">
        <v>12856</v>
      </c>
      <c r="IK7" s="0" t="s">
        <v>12016</v>
      </c>
      <c r="IM7" s="0" t="s">
        <v>12908</v>
      </c>
      <c r="IN7" s="0" t="s">
        <v>12635</v>
      </c>
      <c r="IP7" s="0" t="s">
        <v>13118</v>
      </c>
      <c r="IQ7" s="0" t="s">
        <v>12089</v>
      </c>
      <c r="IS7" s="0" t="s">
        <v>12906</v>
      </c>
      <c r="IV7" s="0" t="s">
        <v>13178</v>
      </c>
      <c r="IX7" s="0" t="s">
        <v>13262</v>
      </c>
      <c r="IY7" s="0" t="s">
        <v>13266</v>
      </c>
      <c r="JA7" s="0" t="s">
        <v>13281</v>
      </c>
      <c r="JB7" s="0" t="s">
        <v>13620</v>
      </c>
      <c r="JD7" s="0" t="s">
        <v>1213</v>
      </c>
      <c r="JF7" s="0" t="s">
        <v>13712</v>
      </c>
      <c r="JL7" s="0" t="s">
        <v>13994</v>
      </c>
      <c r="JM7" s="0" t="s">
        <v>4721</v>
      </c>
      <c r="JN7" s="0" t="s">
        <v>707</v>
      </c>
      <c r="JQ7" s="0" t="s">
        <v>14319</v>
      </c>
      <c r="JS7" s="0" t="s">
        <v>2017</v>
      </c>
      <c r="JT7" s="0" t="s">
        <v>2067</v>
      </c>
      <c r="JX7" s="0" t="s">
        <v>13994</v>
      </c>
      <c r="JZ7" s="0" t="s">
        <v>847</v>
      </c>
      <c r="KE7" s="0" t="s">
        <v>6525</v>
      </c>
      <c r="KG7" s="0" t="s">
        <v>761</v>
      </c>
      <c r="KI7" s="0" t="s">
        <v>14733</v>
      </c>
      <c r="KK7" s="0" t="s">
        <v>3317</v>
      </c>
      <c r="KP7" s="0" t="s">
        <v>14794</v>
      </c>
      <c r="KQ7" s="0" t="s">
        <v>14895</v>
      </c>
      <c r="KR7" s="0" t="s">
        <v>14780</v>
      </c>
      <c r="KS7" s="0" t="s">
        <v>15219</v>
      </c>
      <c r="KU7" s="0" t="s">
        <v>15347</v>
      </c>
      <c r="KV7" s="0" t="s">
        <v>14787</v>
      </c>
      <c r="KY7" s="0" t="s">
        <v>15413</v>
      </c>
      <c r="LD7" s="0" t="s">
        <v>15515</v>
      </c>
      <c r="LF7" s="0" t="s">
        <v>15483</v>
      </c>
      <c r="LH7" s="0" t="s">
        <v>6369</v>
      </c>
      <c r="LI7" s="0" t="s">
        <v>15546</v>
      </c>
      <c r="LJ7" s="0" t="s">
        <v>15585</v>
      </c>
      <c r="LK7" s="0" t="s">
        <v>15658</v>
      </c>
      <c r="LL7" s="0" t="s">
        <v>15520</v>
      </c>
      <c r="LO7" s="0" t="s">
        <v>15709</v>
      </c>
      <c r="LP7" s="0" t="s">
        <v>15723</v>
      </c>
      <c r="LQ7" s="0" t="s">
        <v>15756</v>
      </c>
      <c r="LY7" s="0" t="s">
        <v>15562</v>
      </c>
      <c r="MA7" s="0" t="s">
        <v>15953</v>
      </c>
      <c r="MC7" s="0" t="s">
        <v>16079</v>
      </c>
      <c r="MF7" s="0" t="s">
        <v>1635</v>
      </c>
      <c r="MJ7" s="0" t="s">
        <v>16393</v>
      </c>
      <c r="ML7" s="0" t="s">
        <v>16538</v>
      </c>
      <c r="MM7" s="0" t="s">
        <v>714</v>
      </c>
      <c r="MO7" s="0" t="s">
        <v>16557</v>
      </c>
      <c r="MP7" s="0" t="s">
        <v>16732</v>
      </c>
      <c r="MT7" s="0" t="s">
        <v>16922</v>
      </c>
      <c r="MU7" s="0" t="s">
        <v>16984</v>
      </c>
      <c r="MV7" s="0" t="s">
        <v>6244</v>
      </c>
      <c r="MX7" s="0" t="s">
        <v>17046</v>
      </c>
      <c r="MY7" s="0" t="s">
        <v>2002</v>
      </c>
      <c r="NA7" s="0" t="s">
        <v>17292</v>
      </c>
      <c r="ND7" s="0" t="s">
        <v>17289</v>
      </c>
      <c r="NF7" s="0" t="s">
        <v>17428</v>
      </c>
      <c r="NG7" s="0" t="s">
        <v>2851</v>
      </c>
      <c r="NI7" s="0" t="s">
        <v>17672</v>
      </c>
      <c r="NJ7" s="0" t="s">
        <v>17668</v>
      </c>
      <c r="NM7" s="0" t="s">
        <v>17755</v>
      </c>
      <c r="NN7" s="0" t="s">
        <v>17839</v>
      </c>
      <c r="NQ7" s="0" t="s">
        <v>17869</v>
      </c>
      <c r="NR7" s="0" t="s">
        <v>17895</v>
      </c>
      <c r="NS7" s="0" t="s">
        <v>17902</v>
      </c>
      <c r="NU7" s="0" t="s">
        <v>17961</v>
      </c>
      <c r="NV7" s="0" t="s">
        <v>17961</v>
      </c>
      <c r="NW7" s="0" t="s">
        <v>17157</v>
      </c>
      <c r="NY7" s="0" t="s">
        <v>17155</v>
      </c>
      <c r="NZ7" s="0" t="s">
        <v>18126</v>
      </c>
      <c r="OA7" s="0" t="s">
        <v>18127</v>
      </c>
      <c r="OD7" s="0" t="s">
        <v>17223</v>
      </c>
      <c r="OE7" s="0" t="s">
        <v>17120</v>
      </c>
      <c r="OG7" s="0" t="s">
        <v>18218</v>
      </c>
      <c r="OH7" s="0" t="s">
        <v>18357</v>
      </c>
      <c r="OI7" s="0" t="s">
        <v>18369</v>
      </c>
      <c r="OJ7" s="0" t="s">
        <v>17120</v>
      </c>
      <c r="OO7" s="0" t="s">
        <v>18553</v>
      </c>
      <c r="OR7" s="0" t="s">
        <v>17289</v>
      </c>
      <c r="OS7" s="0" t="s">
        <v>18747</v>
      </c>
      <c r="OU7" s="0" t="s">
        <v>18374</v>
      </c>
      <c r="OW7" s="0" t="s">
        <v>13997</v>
      </c>
      <c r="OY7" s="0" t="s">
        <v>18844</v>
      </c>
      <c r="OZ7" s="0" t="s">
        <v>18871</v>
      </c>
      <c r="PB7" s="0" t="s">
        <v>16443</v>
      </c>
      <c r="PD7" s="0" t="s">
        <v>19151</v>
      </c>
      <c r="PE7" s="0" t="s">
        <v>17157</v>
      </c>
      <c r="PH7" s="0" t="s">
        <v>17155</v>
      </c>
      <c r="PN7" s="0" t="s">
        <v>19322</v>
      </c>
      <c r="PQ7" s="0" t="s">
        <v>19469</v>
      </c>
      <c r="QA7" s="0" t="s">
        <v>19516</v>
      </c>
      <c r="QE7" s="0" t="s">
        <v>19577</v>
      </c>
      <c r="QF7" s="0" t="s">
        <v>19628</v>
      </c>
      <c r="QQ7" s="0" t="s">
        <v>19680</v>
      </c>
      <c r="QV7" s="0" t="s">
        <v>19733</v>
      </c>
      <c r="QW7" s="0" t="s">
        <v>19791</v>
      </c>
      <c r="QY7" s="0" t="s">
        <v>2227</v>
      </c>
      <c r="RD7" s="0" t="s">
        <v>1733</v>
      </c>
      <c r="RF7" s="0" t="s">
        <v>2067</v>
      </c>
      <c r="RN7" s="0" t="s">
        <v>2067</v>
      </c>
      <c r="RU7" s="0" t="s">
        <v>19984</v>
      </c>
      <c r="RX7" s="0" t="s">
        <v>11434</v>
      </c>
      <c r="RY7" s="0" t="s">
        <v>19999</v>
      </c>
      <c r="SB7" s="0" t="s">
        <v>20047</v>
      </c>
      <c r="SE7" s="0" t="s">
        <v>20096</v>
      </c>
      <c r="SF7" s="0" t="s">
        <v>16266</v>
      </c>
      <c r="SG7" s="0" t="s">
        <v>20130</v>
      </c>
      <c r="SH7" s="0" t="s">
        <v>20306</v>
      </c>
      <c r="SI7" s="0" t="s">
        <v>20027</v>
      </c>
      <c r="SL7" s="0" t="s">
        <v>20375</v>
      </c>
      <c r="SS7" s="0" t="s">
        <v>20467</v>
      </c>
      <c r="SY7" s="0" t="s">
        <v>20539</v>
      </c>
      <c r="TG7" s="0" t="s">
        <v>13732</v>
      </c>
      <c r="TJ7" s="0" t="s">
        <v>20628</v>
      </c>
      <c r="TK7" s="0" t="s">
        <v>20708</v>
      </c>
      <c r="TO7" s="0" t="s">
        <v>20791</v>
      </c>
      <c r="TP7" s="0" t="s">
        <v>20781</v>
      </c>
      <c r="TV7" s="0" t="s">
        <v>20914</v>
      </c>
      <c r="TY7" s="0" t="s">
        <v>20934</v>
      </c>
      <c r="UD7" s="0" t="s">
        <v>20995</v>
      </c>
      <c r="UE7" s="0" t="s">
        <v>6244</v>
      </c>
      <c r="UG7" s="0" t="s">
        <v>2651</v>
      </c>
      <c r="UH7" s="0" t="s">
        <v>21062</v>
      </c>
      <c r="UU7" s="0" t="s">
        <v>21139</v>
      </c>
      <c r="UW7" s="0" t="s">
        <v>21175</v>
      </c>
      <c r="VB7" s="0" t="s">
        <v>21206</v>
      </c>
      <c r="VH7" s="0" t="s">
        <v>21287</v>
      </c>
      <c r="VI7" s="0" t="s">
        <v>21469</v>
      </c>
      <c r="VR7" s="0" t="s">
        <v>21612</v>
      </c>
      <c r="VU7" s="0" t="s">
        <v>21652</v>
      </c>
      <c r="WB7" s="0" t="s">
        <v>21725</v>
      </c>
      <c r="WH7" s="0" t="s">
        <v>21760</v>
      </c>
      <c r="WJ7" s="0" t="s">
        <v>21809</v>
      </c>
      <c r="WW7" s="0" t="s">
        <v>21944</v>
      </c>
      <c r="WZ7" s="0" t="s">
        <v>22032</v>
      </c>
      <c r="XB7" s="0" t="s">
        <v>6549</v>
      </c>
      <c r="XC7" s="0" t="s">
        <v>22079</v>
      </c>
      <c r="XI7" s="0" t="s">
        <v>22211</v>
      </c>
      <c r="XK7" s="0" t="s">
        <v>22274</v>
      </c>
      <c r="XL7" s="0" t="s">
        <v>22311</v>
      </c>
      <c r="XM7" s="0" t="s">
        <v>22378</v>
      </c>
      <c r="XP7" s="0" t="s">
        <v>22459</v>
      </c>
      <c r="XS7" s="0" t="s">
        <v>22625</v>
      </c>
      <c r="XT7" s="0" t="s">
        <v>22250</v>
      </c>
      <c r="XY7" s="0" t="s">
        <v>22767</v>
      </c>
      <c r="YE7" s="0" t="s">
        <v>13994</v>
      </c>
      <c r="YG7" s="0" t="s">
        <v>22875</v>
      </c>
      <c r="YR7" s="0" t="s">
        <v>23024</v>
      </c>
      <c r="YW7" s="0" t="s">
        <v>23060</v>
      </c>
      <c r="ZC7" s="0" t="s">
        <v>23083</v>
      </c>
      <c r="ZE7" s="0" t="s">
        <v>23206</v>
      </c>
      <c r="ZK7" s="0" t="s">
        <v>23265</v>
      </c>
      <c r="ZS7" s="0" t="s">
        <v>23335</v>
      </c>
      <c r="ZV7" s="0" t="s">
        <v>23389</v>
      </c>
      <c r="AAI7" s="0" t="s">
        <v>23490</v>
      </c>
      <c r="AAK7" s="0" t="s">
        <v>23536</v>
      </c>
      <c r="AAM7" s="0" t="s">
        <v>23638</v>
      </c>
      <c r="AAN7" s="0" t="s">
        <v>23577</v>
      </c>
      <c r="AAO7" s="0" t="s">
        <v>13997</v>
      </c>
      <c r="AAT7" s="0" t="s">
        <v>23260</v>
      </c>
      <c r="AAV7" s="0" t="s">
        <v>13974</v>
      </c>
      <c r="AAW7" s="0" t="s">
        <v>23774</v>
      </c>
      <c r="ABF7" s="0" t="s">
        <v>23822</v>
      </c>
      <c r="ABH7" s="0" t="s">
        <v>23935</v>
      </c>
      <c r="ABK7" s="0" t="s">
        <v>23948</v>
      </c>
      <c r="ABM7" s="0" t="s">
        <v>23981</v>
      </c>
      <c r="ABP7" s="0" t="s">
        <v>24024</v>
      </c>
      <c r="ABT7" s="0" t="s">
        <v>24054</v>
      </c>
      <c r="ACE7" s="0" t="s">
        <v>23555</v>
      </c>
      <c r="ACF7" s="0" t="s">
        <v>13994</v>
      </c>
      <c r="ACO7" s="0" t="s">
        <v>24348</v>
      </c>
      <c r="ACR7" s="0" t="s">
        <v>24409</v>
      </c>
      <c r="ACV7" s="0" t="s">
        <v>24441</v>
      </c>
      <c r="ACY7" s="0" t="s">
        <v>24528</v>
      </c>
      <c r="ACZ7" s="0" t="s">
        <v>23265</v>
      </c>
      <c r="ADB7" s="0" t="s">
        <v>24695</v>
      </c>
      <c r="ADD7" s="0" t="s">
        <v>24757</v>
      </c>
      <c r="ADF7" s="0" t="s">
        <v>24780</v>
      </c>
      <c r="ADK7" s="0" t="s">
        <v>24812</v>
      </c>
      <c r="ADL7" s="0" t="s">
        <v>1323</v>
      </c>
      <c r="ADN7" s="0" t="s">
        <v>25190</v>
      </c>
      <c r="ADO7" s="0" t="s">
        <v>2701</v>
      </c>
      <c r="ADQ7" s="0" t="s">
        <v>13994</v>
      </c>
      <c r="ADR7" s="0" t="s">
        <v>761</v>
      </c>
      <c r="ADS7" s="0" t="s">
        <v>11413</v>
      </c>
      <c r="ADT7" s="0" t="s">
        <v>13994</v>
      </c>
      <c r="ADV7" s="0" t="s">
        <v>719</v>
      </c>
      <c r="ADW7" s="0" t="s">
        <v>25864</v>
      </c>
      <c r="ADY7" s="0" t="s">
        <v>13994</v>
      </c>
      <c r="ADZ7" s="0" t="s">
        <v>4721</v>
      </c>
      <c r="AEA7" s="0" t="s">
        <v>22844</v>
      </c>
      <c r="AEC7" s="0" t="s">
        <v>13994</v>
      </c>
      <c r="AED7" s="0" t="s">
        <v>707</v>
      </c>
      <c r="AEE7" s="0" t="s">
        <v>11415</v>
      </c>
      <c r="AEH7" s="0" t="s">
        <v>13994</v>
      </c>
      <c r="AEI7" s="0" t="s">
        <v>761</v>
      </c>
      <c r="AEJ7" s="0" t="s">
        <v>11415</v>
      </c>
      <c r="AEL7" s="0" t="s">
        <v>6246</v>
      </c>
      <c r="AEP7" s="0" t="s">
        <v>14016</v>
      </c>
      <c r="AEQ7" s="0" t="s">
        <v>3833</v>
      </c>
      <c r="AES7" s="0" t="s">
        <v>14056</v>
      </c>
      <c r="AET7" s="0" t="s">
        <v>761</v>
      </c>
      <c r="AEY7" s="0" t="s">
        <v>3317</v>
      </c>
      <c r="AFD7" s="0" t="s">
        <v>25427</v>
      </c>
      <c r="AFH7" s="0" t="s">
        <v>6246</v>
      </c>
      <c r="AFI7" s="0" t="s">
        <v>13994</v>
      </c>
      <c r="AFK7" s="0" t="s">
        <v>3833</v>
      </c>
      <c r="AFL7" s="0" t="s">
        <v>22844</v>
      </c>
      <c r="AFP7" s="0" t="s">
        <v>13988</v>
      </c>
      <c r="AFQ7" s="0" t="s">
        <v>3833</v>
      </c>
      <c r="AFV7" s="0" t="s">
        <v>19305</v>
      </c>
      <c r="AFZ7" s="0" t="s">
        <v>25459</v>
      </c>
      <c r="AGA7" s="0" t="s">
        <v>845</v>
      </c>
      <c r="AGB7" s="0" t="s">
        <v>11415</v>
      </c>
      <c r="AGE7" s="0" t="s">
        <v>5097</v>
      </c>
      <c r="AGG7" s="0" t="s">
        <v>14056</v>
      </c>
      <c r="AGI7" s="0" t="s">
        <v>761</v>
      </c>
      <c r="AGP7" s="0" t="s">
        <v>23586</v>
      </c>
      <c r="AGQ7" s="0" t="s">
        <v>13978</v>
      </c>
      <c r="AGS7" s="0" t="s">
        <v>27854</v>
      </c>
      <c r="AGV7" s="0" t="s">
        <v>19991</v>
      </c>
      <c r="AGW7" s="0" t="s">
        <v>14056</v>
      </c>
      <c r="AHA7" s="0" t="s">
        <v>3317</v>
      </c>
      <c r="AHH7" s="0" t="s">
        <v>11413</v>
      </c>
      <c r="AHK7" s="0" t="s">
        <v>28138</v>
      </c>
      <c r="AHM7" s="0" t="s">
        <v>28173</v>
      </c>
      <c r="AHN7" s="0" t="s">
        <v>13994</v>
      </c>
      <c r="AHO7" s="0" t="s">
        <v>22844</v>
      </c>
      <c r="AHR7" s="0" t="s">
        <v>28252</v>
      </c>
      <c r="AHS7" s="0" t="s">
        <v>14829</v>
      </c>
      <c r="AHZ7" s="0" t="s">
        <v>28337</v>
      </c>
      <c r="AIB7" s="0" t="s">
        <v>21725</v>
      </c>
      <c r="AIC7" s="0" t="s">
        <v>11415</v>
      </c>
      <c r="AID7" s="0" t="s">
        <v>28367</v>
      </c>
      <c r="AIH7" s="0" t="s">
        <v>24287</v>
      </c>
      <c r="AIL7" s="0" t="s">
        <v>847</v>
      </c>
      <c r="AIP7" s="0" t="s">
        <v>28482</v>
      </c>
      <c r="AIQ7" s="0" t="s">
        <v>28519</v>
      </c>
      <c r="AIV7" s="0" t="s">
        <v>18157</v>
      </c>
      <c r="AIW7" s="0" t="s">
        <v>28639</v>
      </c>
      <c r="AIZ7" s="0" t="s">
        <v>12908</v>
      </c>
      <c r="AJA7" s="0" t="s">
        <v>28681</v>
      </c>
      <c r="AJC7" s="0" t="s">
        <v>28735</v>
      </c>
      <c r="AJE7" s="0" t="s">
        <v>28768</v>
      </c>
      <c r="AJM7" s="0" t="s">
        <v>28825</v>
      </c>
      <c r="AJS7" s="0" t="s">
        <v>28880</v>
      </c>
      <c r="AJY7" s="0" t="s">
        <v>29004</v>
      </c>
      <c r="AKL7" s="0" t="s">
        <v>23567</v>
      </c>
      <c r="AKM7" s="0" t="s">
        <v>13718</v>
      </c>
      <c r="AKT7" s="0" t="s">
        <v>11672</v>
      </c>
      <c r="AKU7" s="0" t="s">
        <v>29156</v>
      </c>
      <c r="AKW7" s="0" t="s">
        <v>20769</v>
      </c>
      <c r="ALF7" s="0" t="s">
        <v>6357</v>
      </c>
      <c r="ALS7" s="0" t="s">
        <v>29144</v>
      </c>
      <c r="AMA7" s="0" t="s">
        <v>29496</v>
      </c>
      <c r="AMB7" s="0" t="s">
        <v>29489</v>
      </c>
      <c r="AML7" s="0" t="s">
        <v>6691</v>
      </c>
      <c r="AMR7" s="0" t="s">
        <v>2911</v>
      </c>
      <c r="AMS7" s="0" t="s">
        <v>719</v>
      </c>
      <c r="AMT7" s="0" t="s">
        <v>4000</v>
      </c>
      <c r="AMU7" s="0" t="s">
        <v>2911</v>
      </c>
      <c r="AMV7" s="0" t="s">
        <v>7061</v>
      </c>
      <c r="AMW7" s="0" t="s">
        <v>13791</v>
      </c>
      <c r="AMX7" s="0" t="s">
        <v>2911</v>
      </c>
      <c r="AMY7" s="0" t="s">
        <v>719</v>
      </c>
      <c r="AMZ7" s="0" t="s">
        <v>4000</v>
      </c>
      <c r="ANA7" s="0" t="s">
        <v>2911</v>
      </c>
      <c r="ANB7" s="0" t="s">
        <v>719</v>
      </c>
      <c r="ANC7" s="0" t="s">
        <v>4000</v>
      </c>
      <c r="AND7" s="0" t="s">
        <v>7358</v>
      </c>
      <c r="ANE7" s="0" t="s">
        <v>719</v>
      </c>
      <c r="ANF7" s="0" t="s">
        <v>4000</v>
      </c>
      <c r="ANG7" s="0" t="s">
        <v>7358</v>
      </c>
      <c r="ANH7" s="0" t="s">
        <v>719</v>
      </c>
      <c r="ANI7" s="0" t="s">
        <v>4000</v>
      </c>
      <c r="ANM7" s="0" t="s">
        <v>31454</v>
      </c>
      <c r="AOD7" s="0" t="s">
        <v>31542</v>
      </c>
      <c r="AOW7" s="0" t="s">
        <v>31658</v>
      </c>
      <c r="AOY7" s="0" t="s">
        <v>31695</v>
      </c>
      <c r="AOZ7" s="0" t="s">
        <v>31738</v>
      </c>
      <c r="APR7" s="0" t="s">
        <v>31862</v>
      </c>
      <c r="APT7" s="0" t="s">
        <v>16922</v>
      </c>
      <c r="APV7" s="0" t="s">
        <v>32015</v>
      </c>
      <c r="AQF7" s="0" t="s">
        <v>32040</v>
      </c>
      <c r="AQH7" s="0" t="s">
        <v>32076</v>
      </c>
      <c r="AQK7" s="0" t="s">
        <v>32116</v>
      </c>
      <c r="AQM7" s="0" t="s">
        <v>21725</v>
      </c>
      <c r="AQN7" s="0" t="s">
        <v>32172</v>
      </c>
      <c r="AQO7" s="0" t="s">
        <v>32152</v>
      </c>
      <c r="AQV7" s="0" t="s">
        <v>847</v>
      </c>
      <c r="AQX7" s="0" t="s">
        <v>32341</v>
      </c>
      <c r="ART7" s="0" t="s">
        <v>11413</v>
      </c>
      <c r="ARV7" s="0" t="s">
        <v>32471</v>
      </c>
      <c r="ARX7" s="0" t="s">
        <v>734</v>
      </c>
      <c r="ASA7" s="0" t="s">
        <v>32520</v>
      </c>
      <c r="ASB7" s="0" t="s">
        <v>32581</v>
      </c>
      <c r="ASG7" s="0" t="s">
        <v>32658</v>
      </c>
      <c r="ASI7" s="0" t="s">
        <v>20014</v>
      </c>
      <c r="ASM7" s="0" t="s">
        <v>32745</v>
      </c>
      <c r="ASO7" s="0" t="s">
        <v>20014</v>
      </c>
      <c r="ASR7" s="0" t="s">
        <v>32981</v>
      </c>
      <c r="ASS7" s="0" t="s">
        <v>32624</v>
      </c>
      <c r="AST7" s="0" t="s">
        <v>20016</v>
      </c>
      <c r="ASV7" s="0" t="s">
        <v>33064</v>
      </c>
      <c r="ASY7" s="0" t="s">
        <v>2651</v>
      </c>
      <c r="ASZ7" s="0" t="s">
        <v>761</v>
      </c>
      <c r="ATA7" s="0" t="s">
        <v>33124</v>
      </c>
    </row>
    <row r="8" customFormat="false" ht="15" hidden="false" customHeight="false" outlineLevel="0" collapsed="false">
      <c r="G8" s="0" t="s">
        <v>741</v>
      </c>
      <c r="I8" s="0" t="s">
        <v>916</v>
      </c>
      <c r="J8" s="0" t="s">
        <v>719</v>
      </c>
      <c r="M8" s="0" t="s">
        <v>2007</v>
      </c>
      <c r="N8" s="0" t="s">
        <v>714</v>
      </c>
      <c r="Q8" s="0" t="s">
        <v>2981</v>
      </c>
      <c r="R8" s="0" t="s">
        <v>761</v>
      </c>
      <c r="U8" s="0" t="s">
        <v>2363</v>
      </c>
      <c r="AK8" s="0" t="s">
        <v>3317</v>
      </c>
      <c r="AP8" s="0" t="s">
        <v>3398</v>
      </c>
      <c r="AS8" s="0" t="s">
        <v>3859</v>
      </c>
      <c r="AT8" s="0" t="s">
        <v>3247</v>
      </c>
      <c r="AV8" s="0" t="s">
        <v>4564</v>
      </c>
      <c r="BD8" s="0" t="s">
        <v>1213</v>
      </c>
      <c r="BE8" s="0" t="s">
        <v>3317</v>
      </c>
      <c r="BG8" s="0" t="s">
        <v>3444</v>
      </c>
      <c r="BH8" s="0" t="s">
        <v>3247</v>
      </c>
      <c r="BJ8" s="0" t="s">
        <v>1760</v>
      </c>
      <c r="BO8" s="0" t="s">
        <v>5624</v>
      </c>
      <c r="BW8" s="0" t="s">
        <v>6035</v>
      </c>
      <c r="BX8" s="0" t="s">
        <v>1525</v>
      </c>
      <c r="CG8" s="0" t="s">
        <v>1520</v>
      </c>
      <c r="CH8" s="0" t="s">
        <v>6246</v>
      </c>
      <c r="CY8" s="0" t="s">
        <v>6410</v>
      </c>
      <c r="CZ8" s="0" t="s">
        <v>1356</v>
      </c>
      <c r="DN8" s="0" t="s">
        <v>6614</v>
      </c>
      <c r="DO8" s="0" t="s">
        <v>6624</v>
      </c>
      <c r="DR8" s="0" t="s">
        <v>5091</v>
      </c>
      <c r="DS8" s="0" t="s">
        <v>6750</v>
      </c>
      <c r="DT8" s="0" t="s">
        <v>6733</v>
      </c>
      <c r="DV8" s="0" t="s">
        <v>3247</v>
      </c>
      <c r="DW8" s="0" t="s">
        <v>845</v>
      </c>
      <c r="EB8" s="0" t="s">
        <v>4721</v>
      </c>
      <c r="EC8" s="0" t="s">
        <v>3833</v>
      </c>
      <c r="EG8" s="0" t="s">
        <v>3247</v>
      </c>
      <c r="EH8" s="0" t="s">
        <v>707</v>
      </c>
      <c r="EI8" s="0" t="s">
        <v>6940</v>
      </c>
      <c r="EM8" s="0" t="s">
        <v>3317</v>
      </c>
      <c r="EN8" s="0" t="s">
        <v>4721</v>
      </c>
      <c r="ES8" s="0" t="s">
        <v>2851</v>
      </c>
      <c r="FM8" s="0" t="s">
        <v>7751</v>
      </c>
      <c r="FP8" s="0" t="s">
        <v>7799</v>
      </c>
      <c r="FX8" s="0" t="s">
        <v>7997</v>
      </c>
      <c r="FY8" s="0" t="s">
        <v>7877</v>
      </c>
      <c r="GC8" s="0" t="s">
        <v>8984</v>
      </c>
      <c r="GE8" s="0" t="s">
        <v>8234</v>
      </c>
      <c r="GG8" s="0" t="s">
        <v>8984</v>
      </c>
      <c r="GI8" s="0" t="s">
        <v>8239</v>
      </c>
      <c r="GN8" s="0" t="s">
        <v>9857</v>
      </c>
      <c r="GS8" s="0" t="s">
        <v>10140</v>
      </c>
      <c r="GT8" s="0" t="s">
        <v>7862</v>
      </c>
      <c r="GW8" s="0" t="s">
        <v>10183</v>
      </c>
      <c r="GX8" s="0" t="s">
        <v>7916</v>
      </c>
      <c r="GY8" s="0" t="s">
        <v>6549</v>
      </c>
      <c r="HA8" s="0" t="s">
        <v>10209</v>
      </c>
      <c r="HB8" s="0" t="s">
        <v>10516</v>
      </c>
      <c r="HC8" s="0" t="s">
        <v>10156</v>
      </c>
      <c r="HH8" s="0" t="s">
        <v>11015</v>
      </c>
      <c r="HI8" s="0" t="s">
        <v>7916</v>
      </c>
      <c r="HL8" s="0" t="s">
        <v>10864</v>
      </c>
      <c r="HM8" s="0" t="s">
        <v>11044</v>
      </c>
      <c r="HN8" s="0" t="s">
        <v>11413</v>
      </c>
      <c r="HO8" s="0" t="s">
        <v>845</v>
      </c>
      <c r="HQ8" s="0" t="s">
        <v>11420</v>
      </c>
      <c r="HS8" s="0" t="s">
        <v>11587</v>
      </c>
      <c r="HU8" s="0" t="s">
        <v>847</v>
      </c>
      <c r="HX8" s="0" t="s">
        <v>10156</v>
      </c>
      <c r="HY8" s="0" t="s">
        <v>11925</v>
      </c>
      <c r="HZ8" s="0" t="s">
        <v>3021</v>
      </c>
      <c r="IA8" s="0" t="s">
        <v>12089</v>
      </c>
      <c r="IC8" s="0" t="s">
        <v>12643</v>
      </c>
      <c r="ID8" s="0" t="s">
        <v>12101</v>
      </c>
      <c r="IE8" s="0" t="s">
        <v>11746</v>
      </c>
      <c r="IH8" s="0" t="s">
        <v>12643</v>
      </c>
      <c r="II8" s="0" t="s">
        <v>12957</v>
      </c>
      <c r="IJ8" s="0" t="s">
        <v>12849</v>
      </c>
      <c r="IK8" s="0" t="s">
        <v>11935</v>
      </c>
      <c r="IM8" s="0" t="s">
        <v>6336</v>
      </c>
      <c r="IN8" s="0" t="s">
        <v>12643</v>
      </c>
      <c r="IP8" s="0" t="s">
        <v>12856</v>
      </c>
      <c r="IQ8" s="0" t="s">
        <v>11775</v>
      </c>
      <c r="IS8" s="0" t="s">
        <v>12908</v>
      </c>
      <c r="IV8" s="0" t="s">
        <v>13197</v>
      </c>
      <c r="IX8" s="0" t="s">
        <v>13265</v>
      </c>
      <c r="JA8" s="0" t="s">
        <v>13283</v>
      </c>
      <c r="JB8" s="0" t="s">
        <v>13659</v>
      </c>
      <c r="JD8" s="0" t="s">
        <v>1323</v>
      </c>
      <c r="JF8" s="0" t="s">
        <v>13730</v>
      </c>
      <c r="JL8" s="0" t="s">
        <v>14056</v>
      </c>
      <c r="JM8" s="0" t="s">
        <v>714</v>
      </c>
      <c r="JN8" s="0" t="s">
        <v>5091</v>
      </c>
      <c r="JQ8" s="0" t="s">
        <v>14321</v>
      </c>
      <c r="JS8" s="0" t="s">
        <v>2067</v>
      </c>
      <c r="JX8" s="0" t="s">
        <v>14056</v>
      </c>
      <c r="JZ8" s="0" t="s">
        <v>719</v>
      </c>
      <c r="KE8" s="0" t="s">
        <v>14536</v>
      </c>
      <c r="KG8" s="0" t="s">
        <v>714</v>
      </c>
      <c r="KI8" s="0" t="s">
        <v>14735</v>
      </c>
      <c r="KK8" s="0" t="s">
        <v>784</v>
      </c>
      <c r="KP8" s="0" t="s">
        <v>14799</v>
      </c>
      <c r="KQ8" s="0" t="s">
        <v>14864</v>
      </c>
      <c r="KR8" s="0" t="s">
        <v>14783</v>
      </c>
      <c r="KS8" s="0" t="s">
        <v>15224</v>
      </c>
      <c r="KU8" s="0" t="s">
        <v>15316</v>
      </c>
      <c r="KV8" s="0" t="s">
        <v>14790</v>
      </c>
      <c r="KY8" s="0" t="s">
        <v>15387</v>
      </c>
      <c r="LD8" s="0" t="s">
        <v>15522</v>
      </c>
      <c r="LF8" s="0" t="s">
        <v>15504</v>
      </c>
      <c r="LH8" s="0" t="s">
        <v>15543</v>
      </c>
      <c r="LI8" s="0" t="s">
        <v>15552</v>
      </c>
      <c r="LJ8" s="0" t="s">
        <v>15587</v>
      </c>
      <c r="LK8" s="0" t="s">
        <v>15663</v>
      </c>
      <c r="LL8" s="0" t="s">
        <v>15661</v>
      </c>
      <c r="LO8" s="0" t="s">
        <v>15714</v>
      </c>
      <c r="LP8" s="0" t="s">
        <v>15725</v>
      </c>
      <c r="LQ8" s="0" t="s">
        <v>15758</v>
      </c>
      <c r="LY8" s="0" t="s">
        <v>15868</v>
      </c>
      <c r="MA8" s="0" t="s">
        <v>15888</v>
      </c>
      <c r="MC8" s="0" t="s">
        <v>16086</v>
      </c>
      <c r="MF8" s="0" t="s">
        <v>13328</v>
      </c>
      <c r="MJ8" s="0" t="s">
        <v>16395</v>
      </c>
      <c r="ML8" s="0" t="s">
        <v>16493</v>
      </c>
      <c r="MM8" s="0" t="s">
        <v>3833</v>
      </c>
      <c r="MO8" s="0" t="s">
        <v>16624</v>
      </c>
      <c r="MP8" s="0" t="s">
        <v>16734</v>
      </c>
      <c r="MT8" s="0" t="s">
        <v>16924</v>
      </c>
      <c r="MV8" s="0" t="s">
        <v>6730</v>
      </c>
      <c r="MY8" s="0" t="s">
        <v>2142</v>
      </c>
      <c r="NA8" s="0" t="s">
        <v>17302</v>
      </c>
      <c r="ND8" s="0" t="s">
        <v>17354</v>
      </c>
      <c r="NF8" s="0" t="s">
        <v>17431</v>
      </c>
      <c r="NG8" s="0" t="s">
        <v>1048</v>
      </c>
      <c r="NI8" s="0" t="s">
        <v>17674</v>
      </c>
      <c r="NJ8" s="0" t="s">
        <v>17680</v>
      </c>
      <c r="NM8" s="0" t="s">
        <v>17758</v>
      </c>
      <c r="NN8" s="0" t="s">
        <v>17842</v>
      </c>
      <c r="NQ8" s="0" t="s">
        <v>17871</v>
      </c>
      <c r="NR8" s="0" t="s">
        <v>17898</v>
      </c>
      <c r="NU8" s="0" t="s">
        <v>17963</v>
      </c>
      <c r="NV8" s="0" t="s">
        <v>17963</v>
      </c>
      <c r="NW8" s="0" t="s">
        <v>17163</v>
      </c>
      <c r="NY8" s="0" t="s">
        <v>17158</v>
      </c>
      <c r="NZ8" s="0" t="s">
        <v>18129</v>
      </c>
      <c r="OA8" s="0" t="s">
        <v>18130</v>
      </c>
      <c r="OD8" s="0" t="s">
        <v>18188</v>
      </c>
      <c r="OE8" s="0" t="s">
        <v>17111</v>
      </c>
      <c r="OG8" s="0" t="s">
        <v>18220</v>
      </c>
      <c r="OH8" s="0" t="s">
        <v>18226</v>
      </c>
      <c r="OI8" s="0" t="s">
        <v>17115</v>
      </c>
      <c r="OJ8" s="0" t="s">
        <v>17111</v>
      </c>
      <c r="OO8" s="0" t="s">
        <v>18555</v>
      </c>
      <c r="OR8" s="0" t="s">
        <v>18735</v>
      </c>
      <c r="OS8" s="0" t="s">
        <v>18749</v>
      </c>
      <c r="OU8" s="0" t="s">
        <v>6336</v>
      </c>
      <c r="OW8" s="0" t="s">
        <v>13988</v>
      </c>
      <c r="OY8" s="0" t="s">
        <v>18846</v>
      </c>
      <c r="OZ8" s="0" t="s">
        <v>18873</v>
      </c>
      <c r="PB8" s="0" t="s">
        <v>734</v>
      </c>
      <c r="PD8" s="0" t="s">
        <v>19153</v>
      </c>
      <c r="PE8" s="0" t="s">
        <v>17163</v>
      </c>
      <c r="PH8" s="0" t="s">
        <v>17158</v>
      </c>
      <c r="PN8" s="0" t="s">
        <v>19415</v>
      </c>
      <c r="PQ8" s="0" t="s">
        <v>19471</v>
      </c>
      <c r="QA8" s="0" t="s">
        <v>19518</v>
      </c>
      <c r="QE8" s="0" t="s">
        <v>19579</v>
      </c>
      <c r="QF8" s="0" t="s">
        <v>19608</v>
      </c>
      <c r="QQ8" s="0" t="s">
        <v>19682</v>
      </c>
      <c r="QV8" s="0" t="s">
        <v>19735</v>
      </c>
      <c r="QW8" s="0" t="s">
        <v>19793</v>
      </c>
      <c r="QY8" s="0" t="s">
        <v>2351</v>
      </c>
      <c r="RF8" s="0" t="s">
        <v>2142</v>
      </c>
      <c r="RN8" s="0" t="s">
        <v>2142</v>
      </c>
      <c r="RY8" s="0" t="s">
        <v>11490</v>
      </c>
      <c r="SB8" s="0" t="s">
        <v>20031</v>
      </c>
      <c r="SE8" s="0" t="s">
        <v>20098</v>
      </c>
      <c r="SF8" s="0" t="s">
        <v>16271</v>
      </c>
      <c r="SG8" s="0" t="s">
        <v>20128</v>
      </c>
      <c r="SI8" s="0" t="s">
        <v>20181</v>
      </c>
      <c r="SL8" s="0" t="s">
        <v>20378</v>
      </c>
      <c r="SS8" s="0" t="s">
        <v>20469</v>
      </c>
      <c r="SY8" s="0" t="s">
        <v>20541</v>
      </c>
      <c r="TG8" s="0" t="s">
        <v>20598</v>
      </c>
      <c r="TJ8" s="0" t="s">
        <v>20619</v>
      </c>
      <c r="TK8" s="0" t="s">
        <v>14979</v>
      </c>
      <c r="TO8" s="0" t="s">
        <v>20795</v>
      </c>
      <c r="TP8" s="0" t="s">
        <v>20783</v>
      </c>
      <c r="TV8" s="0" t="s">
        <v>20916</v>
      </c>
      <c r="UD8" s="0" t="s">
        <v>19659</v>
      </c>
      <c r="UE8" s="0" t="s">
        <v>6805</v>
      </c>
      <c r="UG8" s="0" t="s">
        <v>2701</v>
      </c>
      <c r="UH8" s="0" t="s">
        <v>21064</v>
      </c>
      <c r="UU8" s="0" t="s">
        <v>21137</v>
      </c>
      <c r="UW8" s="0" t="s">
        <v>21179</v>
      </c>
      <c r="VB8" s="0" t="s">
        <v>21204</v>
      </c>
      <c r="VH8" s="0" t="s">
        <v>21289</v>
      </c>
      <c r="VI8" s="0" t="s">
        <v>21359</v>
      </c>
      <c r="VR8" s="0" t="s">
        <v>21614</v>
      </c>
      <c r="VU8" s="0" t="s">
        <v>21655</v>
      </c>
      <c r="WH8" s="0" t="s">
        <v>21762</v>
      </c>
      <c r="WJ8" s="0" t="s">
        <v>21811</v>
      </c>
      <c r="WZ8" s="0" t="s">
        <v>21964</v>
      </c>
      <c r="XB8" s="0" t="s">
        <v>751</v>
      </c>
      <c r="XC8" s="0" t="s">
        <v>22081</v>
      </c>
      <c r="XI8" s="0" t="s">
        <v>22215</v>
      </c>
      <c r="XK8" s="0" t="s">
        <v>22294</v>
      </c>
      <c r="XL8" s="0" t="s">
        <v>22313</v>
      </c>
      <c r="XM8" s="0" t="s">
        <v>22380</v>
      </c>
      <c r="XP8" s="0" t="s">
        <v>22461</v>
      </c>
      <c r="XT8" s="0" t="s">
        <v>22244</v>
      </c>
      <c r="XY8" s="0" t="s">
        <v>22769</v>
      </c>
      <c r="YE8" s="0" t="s">
        <v>14016</v>
      </c>
      <c r="YG8" s="0" t="s">
        <v>22878</v>
      </c>
      <c r="YR8" s="0" t="s">
        <v>23032</v>
      </c>
      <c r="ZC8" s="0" t="s">
        <v>23159</v>
      </c>
      <c r="ZE8" s="0" t="s">
        <v>23232</v>
      </c>
      <c r="ZK8" s="0" t="s">
        <v>23267</v>
      </c>
      <c r="ZS8" s="0" t="s">
        <v>23333</v>
      </c>
      <c r="ZV8" s="0" t="s">
        <v>23369</v>
      </c>
      <c r="AAI8" s="0" t="s">
        <v>23498</v>
      </c>
      <c r="AAK8" s="0" t="s">
        <v>23538</v>
      </c>
      <c r="AAM8" s="0" t="s">
        <v>23653</v>
      </c>
      <c r="AAN8" s="0" t="s">
        <v>23553</v>
      </c>
      <c r="AAO8" s="0" t="s">
        <v>21725</v>
      </c>
      <c r="AAT8" s="0" t="s">
        <v>23735</v>
      </c>
      <c r="AAW8" s="0" t="s">
        <v>23776</v>
      </c>
      <c r="ABF8" s="0" t="s">
        <v>23830</v>
      </c>
      <c r="ABH8" s="0" t="s">
        <v>23937</v>
      </c>
      <c r="ABM8" s="0" t="s">
        <v>23975</v>
      </c>
      <c r="ABP8" s="0" t="s">
        <v>24020</v>
      </c>
      <c r="ABT8" s="0" t="s">
        <v>24056</v>
      </c>
      <c r="ACE8" s="0" t="s">
        <v>23562</v>
      </c>
      <c r="ACF8" s="0" t="s">
        <v>13997</v>
      </c>
      <c r="ACO8" s="0" t="s">
        <v>24350</v>
      </c>
      <c r="ACR8" s="0" t="s">
        <v>24411</v>
      </c>
      <c r="ACV8" s="0" t="s">
        <v>24443</v>
      </c>
      <c r="ACY8" s="0" t="s">
        <v>24605</v>
      </c>
      <c r="ACZ8" s="0" t="s">
        <v>24642</v>
      </c>
      <c r="ADB8" s="0" t="s">
        <v>24693</v>
      </c>
      <c r="ADD8" s="0" t="s">
        <v>24735</v>
      </c>
      <c r="ADF8" s="0" t="s">
        <v>24782</v>
      </c>
      <c r="ADK8" s="0" t="s">
        <v>24821</v>
      </c>
      <c r="ADL8" s="0" t="s">
        <v>1495</v>
      </c>
      <c r="ADN8" s="0" t="s">
        <v>25280</v>
      </c>
      <c r="ADO8" s="0" t="s">
        <v>2751</v>
      </c>
      <c r="ADQ8" s="0" t="s">
        <v>14056</v>
      </c>
      <c r="ADR8" s="0" t="s">
        <v>4721</v>
      </c>
      <c r="ADS8" s="0" t="s">
        <v>11415</v>
      </c>
      <c r="ADT8" s="0" t="s">
        <v>14056</v>
      </c>
      <c r="ADV8" s="0" t="s">
        <v>707</v>
      </c>
      <c r="ADW8" s="0" t="s">
        <v>11415</v>
      </c>
      <c r="ADY8" s="0" t="s">
        <v>14056</v>
      </c>
      <c r="ADZ8" s="0" t="s">
        <v>3833</v>
      </c>
      <c r="AEC8" s="0" t="s">
        <v>14056</v>
      </c>
      <c r="AED8" s="0" t="s">
        <v>761</v>
      </c>
      <c r="AEE8" s="0" t="s">
        <v>22841</v>
      </c>
      <c r="AEH8" s="0" t="s">
        <v>14056</v>
      </c>
      <c r="AEI8" s="0" t="s">
        <v>4721</v>
      </c>
      <c r="AEJ8" s="0" t="s">
        <v>22841</v>
      </c>
      <c r="AEL8" s="0" t="s">
        <v>2911</v>
      </c>
      <c r="AEP8" s="0" t="s">
        <v>13997</v>
      </c>
      <c r="AEQ8" s="0" t="s">
        <v>4000</v>
      </c>
      <c r="AES8" s="0" t="s">
        <v>14016</v>
      </c>
      <c r="AET8" s="0" t="s">
        <v>4721</v>
      </c>
      <c r="AEY8" s="0" t="s">
        <v>784</v>
      </c>
      <c r="AFD8" s="0" t="s">
        <v>25439</v>
      </c>
      <c r="AFH8" s="0" t="s">
        <v>2911</v>
      </c>
      <c r="AFI8" s="0" t="s">
        <v>14056</v>
      </c>
      <c r="AFK8" s="0" t="s">
        <v>4000</v>
      </c>
      <c r="AFL8" s="0" t="s">
        <v>25427</v>
      </c>
      <c r="AFP8" s="0" t="s">
        <v>21722</v>
      </c>
      <c r="AFQ8" s="0" t="s">
        <v>4000</v>
      </c>
      <c r="AFV8" s="0" t="s">
        <v>707</v>
      </c>
      <c r="AFZ8" s="0" t="s">
        <v>24287</v>
      </c>
      <c r="AGA8" s="0" t="s">
        <v>847</v>
      </c>
      <c r="AGE8" s="0" t="s">
        <v>3317</v>
      </c>
      <c r="AGG8" s="0" t="s">
        <v>14016</v>
      </c>
      <c r="AGI8" s="0" t="s">
        <v>4721</v>
      </c>
      <c r="AGQ8" s="0" t="s">
        <v>25462</v>
      </c>
      <c r="AGS8" s="0" t="s">
        <v>27845</v>
      </c>
      <c r="AGV8" s="0" t="s">
        <v>11434</v>
      </c>
      <c r="AGW8" s="0" t="s">
        <v>13997</v>
      </c>
      <c r="AHA8" s="0" t="s">
        <v>784</v>
      </c>
      <c r="AHH8" s="0" t="s">
        <v>11415</v>
      </c>
      <c r="AHK8" s="0" t="s">
        <v>28166</v>
      </c>
      <c r="AHM8" s="0" t="s">
        <v>28175</v>
      </c>
      <c r="AHR8" s="0" t="s">
        <v>28236</v>
      </c>
      <c r="AHS8" s="0" t="s">
        <v>16393</v>
      </c>
      <c r="AHZ8" s="0" t="s">
        <v>28340</v>
      </c>
      <c r="AIB8" s="0" t="s">
        <v>23567</v>
      </c>
      <c r="AIC8" s="0" t="s">
        <v>22841</v>
      </c>
      <c r="AID8" s="0" t="s">
        <v>28371</v>
      </c>
      <c r="AIH8" s="0" t="s">
        <v>13974</v>
      </c>
      <c r="AIL8" s="0" t="s">
        <v>719</v>
      </c>
      <c r="AIP8" s="0" t="s">
        <v>28484</v>
      </c>
      <c r="AIW8" s="0" t="s">
        <v>28641</v>
      </c>
      <c r="AJA8" s="0" t="s">
        <v>28683</v>
      </c>
      <c r="AJC8" s="0" t="s">
        <v>28701</v>
      </c>
      <c r="AJE8" s="0" t="s">
        <v>22839</v>
      </c>
      <c r="AJM8" s="0" t="s">
        <v>28827</v>
      </c>
      <c r="AJS8" s="0" t="s">
        <v>28882</v>
      </c>
      <c r="AJY8" s="0" t="s">
        <v>28989</v>
      </c>
      <c r="AKM8" s="0" t="s">
        <v>23574</v>
      </c>
      <c r="AKU8" s="0" t="s">
        <v>29201</v>
      </c>
      <c r="AKW8" s="0" t="s">
        <v>20779</v>
      </c>
      <c r="ALF8" s="0" t="s">
        <v>26929</v>
      </c>
      <c r="ALS8" s="0" t="s">
        <v>29371</v>
      </c>
      <c r="AMB8" s="0" t="s">
        <v>29491</v>
      </c>
      <c r="AML8" s="0" t="s">
        <v>29547</v>
      </c>
      <c r="AMR8" s="0" t="s">
        <v>7275</v>
      </c>
      <c r="AMS8" s="0" t="s">
        <v>707</v>
      </c>
      <c r="AMT8" s="0" t="s">
        <v>3247</v>
      </c>
      <c r="AMU8" s="0" t="s">
        <v>7275</v>
      </c>
      <c r="AMV8" s="0" t="s">
        <v>14083</v>
      </c>
      <c r="AMW8" s="0" t="s">
        <v>14100</v>
      </c>
      <c r="AMX8" s="0" t="s">
        <v>7275</v>
      </c>
      <c r="AMY8" s="0" t="s">
        <v>707</v>
      </c>
      <c r="AMZ8" s="0" t="s">
        <v>3247</v>
      </c>
      <c r="ANA8" s="0" t="s">
        <v>7275</v>
      </c>
      <c r="ANB8" s="0" t="s">
        <v>707</v>
      </c>
      <c r="ANC8" s="0" t="s">
        <v>3247</v>
      </c>
      <c r="AND8" s="0" t="s">
        <v>2911</v>
      </c>
      <c r="ANE8" s="0" t="s">
        <v>707</v>
      </c>
      <c r="ANF8" s="0" t="s">
        <v>3247</v>
      </c>
      <c r="ANG8" s="0" t="s">
        <v>2911</v>
      </c>
      <c r="ANH8" s="0" t="s">
        <v>707</v>
      </c>
      <c r="ANI8" s="0" t="s">
        <v>3247</v>
      </c>
      <c r="ANM8" s="0" t="s">
        <v>31458</v>
      </c>
      <c r="AOD8" s="0" t="s">
        <v>31544</v>
      </c>
      <c r="AOW8" s="0" t="s">
        <v>31679</v>
      </c>
      <c r="AOY8" s="0" t="s">
        <v>31705</v>
      </c>
      <c r="AOZ8" s="0" t="s">
        <v>31740</v>
      </c>
      <c r="APR8" s="0" t="s">
        <v>31870</v>
      </c>
      <c r="APT8" s="0" t="s">
        <v>31954</v>
      </c>
      <c r="APV8" s="0" t="s">
        <v>31922</v>
      </c>
      <c r="AQF8" s="0" t="s">
        <v>32056</v>
      </c>
      <c r="AQH8" s="0" t="s">
        <v>32078</v>
      </c>
      <c r="AQK8" s="0" t="s">
        <v>32109</v>
      </c>
      <c r="AQM8" s="0" t="s">
        <v>23567</v>
      </c>
      <c r="AQN8" s="0" t="s">
        <v>32174</v>
      </c>
      <c r="AQO8" s="0" t="s">
        <v>32154</v>
      </c>
      <c r="AQV8" s="0" t="s">
        <v>719</v>
      </c>
      <c r="ART8" s="0" t="s">
        <v>11415</v>
      </c>
      <c r="ARV8" s="0" t="s">
        <v>32496</v>
      </c>
      <c r="ARX8" s="0" t="s">
        <v>32509</v>
      </c>
      <c r="ASA8" s="0" t="s">
        <v>16919</v>
      </c>
      <c r="ASG8" s="0" t="s">
        <v>32665</v>
      </c>
      <c r="ASI8" s="0" t="s">
        <v>32625</v>
      </c>
      <c r="ASM8" s="0" t="s">
        <v>32754</v>
      </c>
      <c r="ASO8" s="0" t="s">
        <v>32625</v>
      </c>
      <c r="ASR8" s="0" t="s">
        <v>32984</v>
      </c>
      <c r="ASS8" s="0" t="s">
        <v>32727</v>
      </c>
      <c r="AST8" s="0" t="s">
        <v>22166</v>
      </c>
      <c r="ASY8" s="0" t="s">
        <v>12223</v>
      </c>
      <c r="ASZ8" s="0" t="s">
        <v>4721</v>
      </c>
      <c r="ATA8" s="0" t="s">
        <v>33132</v>
      </c>
    </row>
    <row r="9" customFormat="false" ht="15" hidden="false" customHeight="false" outlineLevel="0" collapsed="false">
      <c r="G9" s="0" t="s">
        <v>799</v>
      </c>
      <c r="I9" s="0" t="s">
        <v>927</v>
      </c>
      <c r="J9" s="0" t="s">
        <v>707</v>
      </c>
      <c r="M9" s="0" t="s">
        <v>2012</v>
      </c>
      <c r="Q9" s="0" t="s">
        <v>2991</v>
      </c>
      <c r="R9" s="0" t="s">
        <v>714</v>
      </c>
      <c r="U9" s="0" t="s">
        <v>2440</v>
      </c>
      <c r="AK9" s="0" t="s">
        <v>784</v>
      </c>
      <c r="AP9" s="0" t="s">
        <v>2022</v>
      </c>
      <c r="AS9" s="0" t="s">
        <v>2881</v>
      </c>
      <c r="AT9" s="0" t="s">
        <v>3317</v>
      </c>
      <c r="AV9" s="0" t="s">
        <v>4570</v>
      </c>
      <c r="BD9" s="0" t="s">
        <v>4826</v>
      </c>
      <c r="BG9" s="0" t="s">
        <v>2052</v>
      </c>
      <c r="BH9" s="0" t="s">
        <v>5097</v>
      </c>
      <c r="BJ9" s="0" t="s">
        <v>3253</v>
      </c>
      <c r="BO9" s="0" t="s">
        <v>5626</v>
      </c>
      <c r="BW9" s="0" t="s">
        <v>6043</v>
      </c>
      <c r="BX9" s="0" t="s">
        <v>1595</v>
      </c>
      <c r="CG9" s="0" t="s">
        <v>4975</v>
      </c>
      <c r="CY9" s="0" t="s">
        <v>789</v>
      </c>
      <c r="CZ9" s="0" t="s">
        <v>1433</v>
      </c>
      <c r="DN9" s="0" t="s">
        <v>6616</v>
      </c>
      <c r="DO9" s="0" t="s">
        <v>6633</v>
      </c>
      <c r="DR9" s="0" t="s">
        <v>761</v>
      </c>
      <c r="DS9" s="0" t="s">
        <v>6788</v>
      </c>
      <c r="DV9" s="0" t="s">
        <v>5097</v>
      </c>
      <c r="DW9" s="0" t="s">
        <v>847</v>
      </c>
      <c r="EC9" s="0" t="s">
        <v>5492</v>
      </c>
      <c r="EG9" s="0" t="s">
        <v>5097</v>
      </c>
      <c r="EH9" s="0" t="s">
        <v>761</v>
      </c>
      <c r="EI9" s="0" t="s">
        <v>3247</v>
      </c>
      <c r="EM9" s="0" t="s">
        <v>784</v>
      </c>
      <c r="EN9" s="0" t="s">
        <v>714</v>
      </c>
      <c r="FP9" s="0" t="s">
        <v>7765</v>
      </c>
      <c r="FX9" s="0" t="s">
        <v>8024</v>
      </c>
      <c r="FY9" s="0" t="s">
        <v>7916</v>
      </c>
      <c r="GC9" s="0" t="s">
        <v>8991</v>
      </c>
      <c r="GE9" s="0" t="s">
        <v>7851</v>
      </c>
      <c r="GG9" s="0" t="s">
        <v>9648</v>
      </c>
      <c r="GI9" s="0" t="s">
        <v>7925</v>
      </c>
      <c r="GN9" s="0" t="s">
        <v>8231</v>
      </c>
      <c r="GS9" s="0" t="s">
        <v>10142</v>
      </c>
      <c r="GT9" s="0" t="s">
        <v>7866</v>
      </c>
      <c r="GW9" s="0" t="s">
        <v>10202</v>
      </c>
      <c r="GX9" s="0" t="s">
        <v>10178</v>
      </c>
      <c r="GY9" s="0" t="s">
        <v>10280</v>
      </c>
      <c r="HA9" s="0" t="s">
        <v>10558</v>
      </c>
      <c r="HB9" s="0" t="s">
        <v>10537</v>
      </c>
      <c r="HC9" s="0" t="s">
        <v>10159</v>
      </c>
      <c r="HI9" s="0" t="s">
        <v>7918</v>
      </c>
      <c r="HL9" s="0" t="s">
        <v>7868</v>
      </c>
      <c r="HM9" s="0" t="s">
        <v>7843</v>
      </c>
      <c r="HN9" s="0" t="s">
        <v>11415</v>
      </c>
      <c r="HO9" s="0" t="s">
        <v>847</v>
      </c>
      <c r="HQ9" s="0" t="s">
        <v>11507</v>
      </c>
      <c r="HS9" s="0" t="s">
        <v>7860</v>
      </c>
      <c r="HU9" s="0" t="s">
        <v>6336</v>
      </c>
      <c r="HX9" s="0" t="s">
        <v>10159</v>
      </c>
      <c r="HZ9" s="0" t="s">
        <v>3061</v>
      </c>
      <c r="IA9" s="0" t="s">
        <v>11775</v>
      </c>
      <c r="IC9" s="0" t="s">
        <v>12669</v>
      </c>
      <c r="ID9" s="0" t="s">
        <v>2851</v>
      </c>
      <c r="IE9" s="0" t="s">
        <v>11767</v>
      </c>
      <c r="IH9" s="0" t="s">
        <v>11925</v>
      </c>
      <c r="II9" s="0" t="s">
        <v>12916</v>
      </c>
      <c r="IK9" s="0" t="s">
        <v>12698</v>
      </c>
      <c r="IN9" s="0" t="s">
        <v>12669</v>
      </c>
      <c r="IP9" s="0" t="s">
        <v>13127</v>
      </c>
      <c r="IQ9" s="0" t="s">
        <v>11820</v>
      </c>
      <c r="IS9" s="0" t="s">
        <v>12998</v>
      </c>
      <c r="IV9" s="0" t="s">
        <v>13180</v>
      </c>
      <c r="JA9" s="0" t="s">
        <v>13285</v>
      </c>
      <c r="JB9" s="0" t="s">
        <v>13663</v>
      </c>
      <c r="JD9" s="0" t="s">
        <v>1470</v>
      </c>
      <c r="JF9" s="0" t="s">
        <v>13702</v>
      </c>
      <c r="JL9" s="0" t="s">
        <v>14016</v>
      </c>
      <c r="JM9" s="0" t="s">
        <v>3833</v>
      </c>
      <c r="JN9" s="0" t="s">
        <v>761</v>
      </c>
      <c r="JQ9" s="0" t="s">
        <v>14323</v>
      </c>
      <c r="JS9" s="0" t="s">
        <v>2082</v>
      </c>
      <c r="JX9" s="0" t="s">
        <v>14016</v>
      </c>
      <c r="JZ9" s="0" t="s">
        <v>707</v>
      </c>
      <c r="KE9" s="0" t="s">
        <v>7875</v>
      </c>
      <c r="KG9" s="0" t="s">
        <v>3833</v>
      </c>
      <c r="KI9" s="0" t="s">
        <v>14737</v>
      </c>
      <c r="KK9" s="0" t="s">
        <v>3328</v>
      </c>
      <c r="KP9" s="0" t="s">
        <v>14802</v>
      </c>
      <c r="KQ9" s="0" t="s">
        <v>15027</v>
      </c>
      <c r="KR9" s="0" t="s">
        <v>14785</v>
      </c>
      <c r="KS9" s="0" t="s">
        <v>15229</v>
      </c>
      <c r="KV9" s="0" t="s">
        <v>14792</v>
      </c>
      <c r="KY9" s="0" t="s">
        <v>15416</v>
      </c>
      <c r="LD9" s="0" t="s">
        <v>15499</v>
      </c>
      <c r="LF9" s="0" t="s">
        <v>15507</v>
      </c>
      <c r="LH9" s="0" t="s">
        <v>15549</v>
      </c>
      <c r="LI9" s="0" t="s">
        <v>15555</v>
      </c>
      <c r="LJ9" s="0" t="s">
        <v>15589</v>
      </c>
      <c r="LK9" s="0" t="s">
        <v>15666</v>
      </c>
      <c r="LL9" s="0" t="s">
        <v>15664</v>
      </c>
      <c r="LO9" s="0" t="s">
        <v>15703</v>
      </c>
      <c r="LP9" s="0" t="s">
        <v>15728</v>
      </c>
      <c r="LQ9" s="0" t="s">
        <v>15760</v>
      </c>
      <c r="LY9" s="0" t="s">
        <v>15887</v>
      </c>
      <c r="MA9" s="0" t="s">
        <v>16053</v>
      </c>
      <c r="MC9" s="0" t="s">
        <v>16088</v>
      </c>
      <c r="MF9" s="0" t="s">
        <v>2002</v>
      </c>
      <c r="MJ9" s="0" t="s">
        <v>14832</v>
      </c>
      <c r="ML9" s="0" t="s">
        <v>16496</v>
      </c>
      <c r="MM9" s="0" t="s">
        <v>3247</v>
      </c>
      <c r="MO9" s="0" t="s">
        <v>16628</v>
      </c>
      <c r="MP9" s="0" t="s">
        <v>16736</v>
      </c>
      <c r="MT9" s="0" t="s">
        <v>16926</v>
      </c>
      <c r="MV9" s="0" t="s">
        <v>16910</v>
      </c>
      <c r="MY9" s="0" t="s">
        <v>2187</v>
      </c>
      <c r="NA9" s="0" t="s">
        <v>17305</v>
      </c>
      <c r="ND9" s="0" t="s">
        <v>17311</v>
      </c>
      <c r="NG9" s="0" t="s">
        <v>1323</v>
      </c>
      <c r="NI9" s="0" t="s">
        <v>13210</v>
      </c>
      <c r="NJ9" s="0" t="s">
        <v>17688</v>
      </c>
      <c r="NM9" s="0" t="s">
        <v>17760</v>
      </c>
      <c r="NN9" s="0" t="s">
        <v>17844</v>
      </c>
      <c r="NQ9" s="0" t="s">
        <v>17873</v>
      </c>
      <c r="NR9" s="0" t="s">
        <v>17900</v>
      </c>
      <c r="NU9" s="0" t="s">
        <v>17965</v>
      </c>
      <c r="NV9" s="0" t="s">
        <v>17973</v>
      </c>
      <c r="NW9" s="0" t="s">
        <v>18008</v>
      </c>
      <c r="NY9" s="0" t="s">
        <v>17175</v>
      </c>
      <c r="NZ9" s="0" t="s">
        <v>18132</v>
      </c>
      <c r="OA9" s="0" t="s">
        <v>18133</v>
      </c>
      <c r="OD9" s="0" t="s">
        <v>18160</v>
      </c>
      <c r="OE9" s="0" t="s">
        <v>17137</v>
      </c>
      <c r="OG9" s="0" t="s">
        <v>18212</v>
      </c>
      <c r="OH9" s="0" t="s">
        <v>18229</v>
      </c>
      <c r="OI9" s="0" t="s">
        <v>17117</v>
      </c>
      <c r="OJ9" s="0" t="s">
        <v>17137</v>
      </c>
      <c r="OO9" s="0" t="s">
        <v>18557</v>
      </c>
      <c r="OR9" s="0" t="s">
        <v>18737</v>
      </c>
      <c r="OS9" s="0" t="s">
        <v>18770</v>
      </c>
      <c r="OW9" s="0" t="s">
        <v>13974</v>
      </c>
      <c r="OY9" s="0" t="s">
        <v>18848</v>
      </c>
      <c r="OZ9" s="0" t="s">
        <v>18858</v>
      </c>
      <c r="PD9" s="0" t="s">
        <v>18977</v>
      </c>
      <c r="PE9" s="0" t="s">
        <v>17179</v>
      </c>
      <c r="PH9" s="0" t="s">
        <v>17175</v>
      </c>
      <c r="PN9" s="0" t="s">
        <v>19412</v>
      </c>
      <c r="PQ9" s="0" t="s">
        <v>19474</v>
      </c>
      <c r="QA9" s="0" t="s">
        <v>19520</v>
      </c>
      <c r="QE9" s="0" t="s">
        <v>19581</v>
      </c>
      <c r="QQ9" s="0" t="s">
        <v>19684</v>
      </c>
      <c r="QV9" s="0" t="s">
        <v>6357</v>
      </c>
      <c r="QW9" s="0" t="s">
        <v>19795</v>
      </c>
      <c r="QY9" s="0" t="s">
        <v>2440</v>
      </c>
      <c r="RF9" s="0" t="s">
        <v>2187</v>
      </c>
      <c r="RN9" s="0" t="s">
        <v>2187</v>
      </c>
      <c r="RY9" s="0" t="s">
        <v>11492</v>
      </c>
      <c r="SB9" s="0" t="s">
        <v>20049</v>
      </c>
      <c r="SE9" s="0" t="s">
        <v>20103</v>
      </c>
      <c r="SF9" s="0" t="s">
        <v>16283</v>
      </c>
      <c r="SI9" s="0" t="s">
        <v>20139</v>
      </c>
      <c r="SL9" s="0" t="s">
        <v>20381</v>
      </c>
      <c r="SS9" s="0" t="s">
        <v>20471</v>
      </c>
      <c r="TG9" s="0" t="s">
        <v>20600</v>
      </c>
      <c r="TK9" s="0" t="s">
        <v>20722</v>
      </c>
      <c r="TO9" s="0" t="s">
        <v>20840</v>
      </c>
      <c r="TP9" s="0" t="s">
        <v>20785</v>
      </c>
      <c r="TV9" s="0" t="s">
        <v>20918</v>
      </c>
      <c r="UE9" s="0" t="s">
        <v>6730</v>
      </c>
      <c r="UG9" s="0" t="s">
        <v>11968</v>
      </c>
      <c r="UH9" s="0" t="s">
        <v>21066</v>
      </c>
      <c r="UU9" s="0" t="s">
        <v>21141</v>
      </c>
      <c r="UW9" s="0" t="s">
        <v>21181</v>
      </c>
      <c r="VH9" s="0" t="s">
        <v>7866</v>
      </c>
      <c r="VI9" s="0" t="s">
        <v>21520</v>
      </c>
      <c r="VR9" s="0" t="s">
        <v>21616</v>
      </c>
      <c r="VU9" s="0" t="s">
        <v>21657</v>
      </c>
      <c r="WH9" s="0" t="s">
        <v>21748</v>
      </c>
      <c r="WJ9" s="0" t="s">
        <v>21813</v>
      </c>
      <c r="WZ9" s="0" t="s">
        <v>21966</v>
      </c>
      <c r="XB9" s="0" t="s">
        <v>18157</v>
      </c>
      <c r="XC9" s="0" t="s">
        <v>22083</v>
      </c>
      <c r="XI9" s="0" t="s">
        <v>22199</v>
      </c>
      <c r="XK9" s="0" t="s">
        <v>22276</v>
      </c>
      <c r="XL9" s="0" t="s">
        <v>22315</v>
      </c>
      <c r="XM9" s="0" t="s">
        <v>22382</v>
      </c>
      <c r="XP9" s="0" t="s">
        <v>22463</v>
      </c>
      <c r="XT9" s="0" t="s">
        <v>22480</v>
      </c>
      <c r="XY9" s="0" t="s">
        <v>22771</v>
      </c>
      <c r="YE9" s="0" t="s">
        <v>13997</v>
      </c>
      <c r="YG9" s="0" t="s">
        <v>22881</v>
      </c>
      <c r="YR9" s="0" t="s">
        <v>23011</v>
      </c>
      <c r="ZC9" s="0" t="s">
        <v>23161</v>
      </c>
      <c r="ZE9" s="0" t="s">
        <v>23208</v>
      </c>
      <c r="ZK9" s="0" t="s">
        <v>23269</v>
      </c>
      <c r="ZS9" s="0" t="s">
        <v>23337</v>
      </c>
      <c r="ZV9" s="0" t="s">
        <v>23371</v>
      </c>
      <c r="AAI9" s="0" t="s">
        <v>23500</v>
      </c>
      <c r="AAK9" s="0" t="s">
        <v>23544</v>
      </c>
      <c r="AAN9" s="0" t="s">
        <v>23580</v>
      </c>
      <c r="AAO9" s="0" t="s">
        <v>23567</v>
      </c>
      <c r="AAT9" s="0" t="s">
        <v>23710</v>
      </c>
      <c r="AAW9" s="0" t="s">
        <v>23778</v>
      </c>
      <c r="ABF9" s="0" t="s">
        <v>23826</v>
      </c>
      <c r="ABM9" s="0" t="s">
        <v>23973</v>
      </c>
      <c r="ABP9" s="0" t="s">
        <v>24022</v>
      </c>
      <c r="ABT9" s="0" t="s">
        <v>24058</v>
      </c>
      <c r="ACE9" s="0" t="s">
        <v>24248</v>
      </c>
      <c r="ACF9" s="0" t="s">
        <v>13988</v>
      </c>
      <c r="ACO9" s="0" t="s">
        <v>24352</v>
      </c>
      <c r="ACR9" s="0" t="s">
        <v>22850</v>
      </c>
      <c r="ACV9" s="0" t="s">
        <v>24445</v>
      </c>
      <c r="ACY9" s="0" t="s">
        <v>24607</v>
      </c>
      <c r="ADB9" s="0" t="s">
        <v>24649</v>
      </c>
      <c r="ADD9" s="0" t="s">
        <v>24759</v>
      </c>
      <c r="ADK9" s="0" t="s">
        <v>24884</v>
      </c>
      <c r="ADL9" s="0" t="s">
        <v>1520</v>
      </c>
      <c r="ADN9" s="0" t="s">
        <v>25287</v>
      </c>
      <c r="ADO9" s="0" t="s">
        <v>12223</v>
      </c>
      <c r="ADQ9" s="0" t="s">
        <v>14016</v>
      </c>
      <c r="ADR9" s="0" t="s">
        <v>3833</v>
      </c>
      <c r="ADS9" s="0" t="s">
        <v>22841</v>
      </c>
      <c r="ADT9" s="0" t="s">
        <v>14016</v>
      </c>
      <c r="ADV9" s="0" t="s">
        <v>761</v>
      </c>
      <c r="ADW9" s="0" t="s">
        <v>22841</v>
      </c>
      <c r="ADY9" s="0" t="s">
        <v>14016</v>
      </c>
      <c r="ADZ9" s="0" t="s">
        <v>4000</v>
      </c>
      <c r="AEC9" s="0" t="s">
        <v>14016</v>
      </c>
      <c r="AED9" s="0" t="s">
        <v>4721</v>
      </c>
      <c r="AEE9" s="0" t="s">
        <v>22844</v>
      </c>
      <c r="AEH9" s="0" t="s">
        <v>14016</v>
      </c>
      <c r="AEI9" s="0" t="s">
        <v>3833</v>
      </c>
      <c r="AEJ9" s="0" t="s">
        <v>22844</v>
      </c>
      <c r="AEL9" s="0" t="s">
        <v>6336</v>
      </c>
      <c r="AEP9" s="0" t="s">
        <v>13988</v>
      </c>
      <c r="AEQ9" s="0" t="s">
        <v>3247</v>
      </c>
      <c r="AES9" s="0" t="s">
        <v>13997</v>
      </c>
      <c r="AET9" s="0" t="s">
        <v>3833</v>
      </c>
      <c r="AEY9" s="0" t="s">
        <v>3328</v>
      </c>
      <c r="AFH9" s="0" t="s">
        <v>2961</v>
      </c>
      <c r="AFI9" s="0" t="s">
        <v>14016</v>
      </c>
      <c r="AFK9" s="0" t="s">
        <v>3247</v>
      </c>
      <c r="AFL9" s="0" t="s">
        <v>25439</v>
      </c>
      <c r="AFP9" s="0" t="s">
        <v>13978</v>
      </c>
      <c r="AFQ9" s="0" t="s">
        <v>3247</v>
      </c>
      <c r="AFV9" s="0" t="s">
        <v>761</v>
      </c>
      <c r="AFZ9" s="0" t="s">
        <v>13974</v>
      </c>
      <c r="AGA9" s="0" t="s">
        <v>707</v>
      </c>
      <c r="AGE9" s="0" t="s">
        <v>784</v>
      </c>
      <c r="AGG9" s="0" t="s">
        <v>13997</v>
      </c>
      <c r="AGI9" s="0" t="s">
        <v>3833</v>
      </c>
      <c r="AGQ9" s="0" t="s">
        <v>13981</v>
      </c>
      <c r="AGS9" s="0" t="s">
        <v>27847</v>
      </c>
      <c r="AGV9" s="0" t="s">
        <v>11488</v>
      </c>
      <c r="AGW9" s="0" t="s">
        <v>25462</v>
      </c>
      <c r="AHA9" s="0" t="s">
        <v>3328</v>
      </c>
      <c r="AHH9" s="0" t="s">
        <v>22841</v>
      </c>
      <c r="AHK9" s="0" t="s">
        <v>28168</v>
      </c>
      <c r="AHM9" s="0" t="s">
        <v>28177</v>
      </c>
      <c r="AHR9" s="0" t="s">
        <v>28238</v>
      </c>
      <c r="AHS9" s="0" t="s">
        <v>16395</v>
      </c>
      <c r="AHZ9" s="0" t="s">
        <v>28342</v>
      </c>
      <c r="AIC9" s="0" t="s">
        <v>22844</v>
      </c>
      <c r="AID9" s="0" t="s">
        <v>28369</v>
      </c>
      <c r="AIH9" s="0" t="s">
        <v>25703</v>
      </c>
      <c r="AIL9" s="0" t="s">
        <v>707</v>
      </c>
      <c r="AIP9" s="0" t="s">
        <v>28492</v>
      </c>
      <c r="AIW9" s="0" t="s">
        <v>28649</v>
      </c>
      <c r="AJC9" s="0" t="s">
        <v>28703</v>
      </c>
      <c r="AJM9" s="0" t="s">
        <v>28829</v>
      </c>
      <c r="AJS9" s="0" t="s">
        <v>28884</v>
      </c>
      <c r="AJY9" s="0" t="s">
        <v>28992</v>
      </c>
      <c r="AKM9" s="0" t="s">
        <v>29092</v>
      </c>
      <c r="AKU9" s="0" t="s">
        <v>29169</v>
      </c>
      <c r="AKW9" s="0" t="s">
        <v>20783</v>
      </c>
      <c r="ALS9" s="0" t="s">
        <v>29395</v>
      </c>
      <c r="AMB9" s="0" t="s">
        <v>29493</v>
      </c>
      <c r="AMR9" s="0" t="s">
        <v>2961</v>
      </c>
      <c r="AMS9" s="0" t="s">
        <v>5091</v>
      </c>
      <c r="AMT9" s="0" t="s">
        <v>5097</v>
      </c>
      <c r="AMU9" s="0" t="s">
        <v>2961</v>
      </c>
      <c r="AMX9" s="0" t="s">
        <v>2961</v>
      </c>
      <c r="AMY9" s="0" t="s">
        <v>5091</v>
      </c>
      <c r="AMZ9" s="0" t="s">
        <v>5097</v>
      </c>
      <c r="ANA9" s="0" t="s">
        <v>2961</v>
      </c>
      <c r="ANB9" s="0" t="s">
        <v>5091</v>
      </c>
      <c r="ANC9" s="0" t="s">
        <v>5097</v>
      </c>
      <c r="AND9" s="0" t="s">
        <v>7275</v>
      </c>
      <c r="ANE9" s="0" t="s">
        <v>5091</v>
      </c>
      <c r="ANF9" s="0" t="s">
        <v>5097</v>
      </c>
      <c r="ANG9" s="0" t="s">
        <v>7275</v>
      </c>
      <c r="ANH9" s="0" t="s">
        <v>5091</v>
      </c>
      <c r="ANI9" s="0" t="s">
        <v>5097</v>
      </c>
      <c r="ANM9" s="0" t="s">
        <v>31460</v>
      </c>
      <c r="AOD9" s="0" t="s">
        <v>31513</v>
      </c>
      <c r="AOW9" s="0" t="s">
        <v>31648</v>
      </c>
      <c r="AOY9" s="0" t="s">
        <v>31701</v>
      </c>
      <c r="AOZ9" s="0" t="s">
        <v>31742</v>
      </c>
      <c r="APR9" s="0" t="s">
        <v>31864</v>
      </c>
      <c r="APT9" s="0" t="s">
        <v>31962</v>
      </c>
      <c r="AQH9" s="0" t="s">
        <v>32099</v>
      </c>
      <c r="AQK9" s="0" t="s">
        <v>32111</v>
      </c>
      <c r="AQN9" s="0" t="s">
        <v>32166</v>
      </c>
      <c r="AQO9" s="0" t="s">
        <v>6336</v>
      </c>
      <c r="AQV9" s="0" t="s">
        <v>707</v>
      </c>
      <c r="ART9" s="0" t="s">
        <v>22841</v>
      </c>
      <c r="ARV9" s="0" t="s">
        <v>724</v>
      </c>
      <c r="ARX9" s="0" t="s">
        <v>32511</v>
      </c>
      <c r="ASA9" s="0" t="s">
        <v>32530</v>
      </c>
      <c r="ASG9" s="0" t="s">
        <v>32670</v>
      </c>
      <c r="ASI9" s="0" t="s">
        <v>20016</v>
      </c>
      <c r="ASM9" s="0" t="s">
        <v>32757</v>
      </c>
      <c r="ASO9" s="0" t="s">
        <v>20016</v>
      </c>
      <c r="ASR9" s="0" t="s">
        <v>32989</v>
      </c>
      <c r="AST9" s="0" t="s">
        <v>32689</v>
      </c>
      <c r="ASY9" s="0" t="s">
        <v>12736</v>
      </c>
      <c r="ASZ9" s="0" t="s">
        <v>3833</v>
      </c>
    </row>
    <row r="10" customFormat="false" ht="15" hidden="false" customHeight="false" outlineLevel="0" collapsed="false">
      <c r="G10" s="0" t="s">
        <v>739</v>
      </c>
      <c r="I10" s="0" t="s">
        <v>938</v>
      </c>
      <c r="J10" s="0" t="s">
        <v>714</v>
      </c>
      <c r="M10" s="0" t="s">
        <v>2017</v>
      </c>
      <c r="Q10" s="0" t="s">
        <v>3001</v>
      </c>
      <c r="AK10" s="0" t="s">
        <v>3328</v>
      </c>
      <c r="AP10" s="0" t="s">
        <v>3413</v>
      </c>
      <c r="AS10" s="0" t="s">
        <v>3870</v>
      </c>
      <c r="AV10" s="0" t="s">
        <v>4575</v>
      </c>
      <c r="BD10" s="0" t="s">
        <v>1268</v>
      </c>
      <c r="BG10" s="0" t="s">
        <v>2067</v>
      </c>
      <c r="BH10" s="0" t="s">
        <v>3317</v>
      </c>
      <c r="BJ10" s="0" t="s">
        <v>1807</v>
      </c>
      <c r="BO10" s="0" t="s">
        <v>5628</v>
      </c>
      <c r="BW10" s="0" t="s">
        <v>6051</v>
      </c>
      <c r="BX10" s="0" t="s">
        <v>4502</v>
      </c>
      <c r="CG10" s="0" t="s">
        <v>1635</v>
      </c>
      <c r="CY10" s="0" t="s">
        <v>6418</v>
      </c>
      <c r="CZ10" s="0" t="s">
        <v>4883</v>
      </c>
      <c r="DN10" s="0" t="s">
        <v>6578</v>
      </c>
      <c r="DO10" s="0" t="s">
        <v>6640</v>
      </c>
      <c r="DR10" s="0" t="s">
        <v>714</v>
      </c>
      <c r="DV10" s="0" t="s">
        <v>7020</v>
      </c>
      <c r="DW10" s="0" t="s">
        <v>707</v>
      </c>
      <c r="EC10" s="0" t="s">
        <v>3247</v>
      </c>
      <c r="EG10" s="0" t="s">
        <v>6723</v>
      </c>
      <c r="EH10" s="0" t="s">
        <v>6815</v>
      </c>
      <c r="EI10" s="0" t="s">
        <v>3317</v>
      </c>
      <c r="EM10" s="0" t="s">
        <v>6730</v>
      </c>
      <c r="EN10" s="0" t="s">
        <v>4000</v>
      </c>
      <c r="FP10" s="0" t="s">
        <v>7777</v>
      </c>
      <c r="FX10" s="0" t="s">
        <v>8044</v>
      </c>
      <c r="FY10" s="0" t="s">
        <v>7918</v>
      </c>
      <c r="GC10" s="0" t="s">
        <v>8124</v>
      </c>
      <c r="GE10" s="0" t="s">
        <v>8239</v>
      </c>
      <c r="GG10" s="0" t="s">
        <v>9650</v>
      </c>
      <c r="GI10" s="0" t="s">
        <v>7914</v>
      </c>
      <c r="GN10" s="0" t="s">
        <v>8234</v>
      </c>
      <c r="GS10" s="0" t="s">
        <v>10131</v>
      </c>
      <c r="GT10" s="0" t="s">
        <v>10113</v>
      </c>
      <c r="GW10" s="0" t="s">
        <v>10150</v>
      </c>
      <c r="GX10" s="0" t="s">
        <v>7918</v>
      </c>
      <c r="HA10" s="0" t="s">
        <v>734</v>
      </c>
      <c r="HB10" s="0" t="s">
        <v>10548</v>
      </c>
      <c r="HC10" s="0" t="s">
        <v>10213</v>
      </c>
      <c r="HI10" s="0" t="s">
        <v>7847</v>
      </c>
      <c r="HL10" s="0" t="s">
        <v>11126</v>
      </c>
      <c r="HM10" s="0" t="s">
        <v>7877</v>
      </c>
      <c r="HN10" s="0" t="s">
        <v>10272</v>
      </c>
      <c r="HO10" s="0" t="s">
        <v>707</v>
      </c>
      <c r="HQ10" s="0" t="s">
        <v>11422</v>
      </c>
      <c r="HS10" s="0" t="s">
        <v>7893</v>
      </c>
      <c r="HX10" s="0" t="s">
        <v>10213</v>
      </c>
      <c r="HZ10" s="0" t="s">
        <v>11870</v>
      </c>
      <c r="IA10" s="0" t="s">
        <v>11820</v>
      </c>
      <c r="IC10" s="0" t="s">
        <v>11925</v>
      </c>
      <c r="ID10" s="0" t="s">
        <v>12736</v>
      </c>
      <c r="IE10" s="0" t="s">
        <v>11770</v>
      </c>
      <c r="II10" s="0" t="s">
        <v>12901</v>
      </c>
      <c r="IK10" s="0" t="s">
        <v>11775</v>
      </c>
      <c r="IN10" s="0" t="s">
        <v>11925</v>
      </c>
      <c r="IP10" s="0" t="s">
        <v>13057</v>
      </c>
      <c r="IQ10" s="0" t="s">
        <v>11843</v>
      </c>
      <c r="IV10" s="0" t="s">
        <v>13182</v>
      </c>
      <c r="JA10" s="0" t="s">
        <v>13287</v>
      </c>
      <c r="JB10" s="0" t="s">
        <v>13698</v>
      </c>
      <c r="JD10" s="0" t="s">
        <v>1520</v>
      </c>
      <c r="JF10" s="0" t="s">
        <v>13717</v>
      </c>
      <c r="JL10" s="0" t="s">
        <v>13997</v>
      </c>
      <c r="JM10" s="0" t="s">
        <v>4000</v>
      </c>
      <c r="JN10" s="0" t="s">
        <v>4761</v>
      </c>
      <c r="JQ10" s="0" t="s">
        <v>14325</v>
      </c>
      <c r="JS10" s="0" t="s">
        <v>2112</v>
      </c>
      <c r="JX10" s="0" t="s">
        <v>13997</v>
      </c>
      <c r="JZ10" s="0" t="s">
        <v>5091</v>
      </c>
      <c r="KE10" s="0" t="s">
        <v>8062</v>
      </c>
      <c r="KG10" s="0" t="s">
        <v>3247</v>
      </c>
      <c r="KI10" s="0" t="s">
        <v>14744</v>
      </c>
      <c r="KP10" s="0" t="s">
        <v>14810</v>
      </c>
      <c r="KQ10" s="0" t="s">
        <v>14953</v>
      </c>
      <c r="KR10" s="0" t="s">
        <v>14787</v>
      </c>
      <c r="KS10" s="0" t="s">
        <v>15238</v>
      </c>
      <c r="KV10" s="0" t="s">
        <v>14795</v>
      </c>
      <c r="KY10" s="0" t="s">
        <v>15389</v>
      </c>
      <c r="LD10" s="0" t="s">
        <v>15503</v>
      </c>
      <c r="LF10" s="0" t="s">
        <v>15510</v>
      </c>
      <c r="LI10" s="0" t="s">
        <v>15560</v>
      </c>
      <c r="LJ10" s="0" t="s">
        <v>15591</v>
      </c>
      <c r="LK10" s="0" t="s">
        <v>15672</v>
      </c>
      <c r="LL10" s="0" t="s">
        <v>15667</v>
      </c>
      <c r="LP10" s="0" t="s">
        <v>15444</v>
      </c>
      <c r="LQ10" s="0" t="s">
        <v>15764</v>
      </c>
      <c r="LY10" s="0" t="s">
        <v>15890</v>
      </c>
      <c r="MA10" s="0" t="s">
        <v>16055</v>
      </c>
      <c r="MC10" s="0" t="s">
        <v>16084</v>
      </c>
      <c r="MF10" s="0" t="s">
        <v>2022</v>
      </c>
      <c r="MJ10" s="0" t="s">
        <v>16439</v>
      </c>
      <c r="ML10" s="0" t="s">
        <v>16498</v>
      </c>
      <c r="MM10" s="0" t="s">
        <v>3317</v>
      </c>
      <c r="MO10" s="0" t="s">
        <v>16630</v>
      </c>
      <c r="MP10" s="0" t="s">
        <v>16738</v>
      </c>
      <c r="MT10" s="0" t="s">
        <v>16931</v>
      </c>
      <c r="MV10" s="0" t="s">
        <v>6246</v>
      </c>
      <c r="MY10" s="0" t="s">
        <v>2227</v>
      </c>
      <c r="NA10" s="0" t="s">
        <v>17310</v>
      </c>
      <c r="ND10" s="0" t="s">
        <v>17303</v>
      </c>
      <c r="NG10" s="0" t="s">
        <v>4883</v>
      </c>
      <c r="NI10" s="0" t="s">
        <v>17677</v>
      </c>
      <c r="NJ10" s="0" t="s">
        <v>17708</v>
      </c>
      <c r="NM10" s="0" t="s">
        <v>17763</v>
      </c>
      <c r="NN10" s="0" t="s">
        <v>17787</v>
      </c>
      <c r="NQ10" s="0" t="s">
        <v>17875</v>
      </c>
      <c r="NR10" s="0" t="s">
        <v>17911</v>
      </c>
      <c r="NU10" s="0" t="s">
        <v>17967</v>
      </c>
      <c r="NW10" s="0" t="s">
        <v>17179</v>
      </c>
      <c r="NY10" s="0" t="s">
        <v>17180</v>
      </c>
      <c r="NZ10" s="0" t="s">
        <v>18135</v>
      </c>
      <c r="OA10" s="0" t="s">
        <v>18136</v>
      </c>
      <c r="OD10" s="0" t="s">
        <v>18168</v>
      </c>
      <c r="OE10" s="0" t="s">
        <v>17131</v>
      </c>
      <c r="OG10" s="0" t="s">
        <v>18222</v>
      </c>
      <c r="OH10" s="0" t="s">
        <v>18231</v>
      </c>
      <c r="OI10" s="0" t="s">
        <v>734</v>
      </c>
      <c r="OJ10" s="0" t="s">
        <v>17131</v>
      </c>
      <c r="OO10" s="0" t="s">
        <v>18559</v>
      </c>
      <c r="OR10" s="0" t="s">
        <v>18692</v>
      </c>
      <c r="OS10" s="0" t="s">
        <v>18760</v>
      </c>
      <c r="OY10" s="0" t="s">
        <v>18850</v>
      </c>
      <c r="OZ10" s="0" t="s">
        <v>18861</v>
      </c>
      <c r="PD10" s="0" t="s">
        <v>19155</v>
      </c>
      <c r="PE10" s="0" t="s">
        <v>17185</v>
      </c>
      <c r="PH10" s="0" t="s">
        <v>17180</v>
      </c>
      <c r="PN10" s="0" t="s">
        <v>18809</v>
      </c>
      <c r="QA10" s="0" t="s">
        <v>19522</v>
      </c>
      <c r="QE10" s="0" t="s">
        <v>19583</v>
      </c>
      <c r="QQ10" s="0" t="s">
        <v>19686</v>
      </c>
      <c r="QV10" s="0" t="s">
        <v>19738</v>
      </c>
      <c r="QW10" s="0" t="s">
        <v>19797</v>
      </c>
      <c r="QY10" s="0" t="s">
        <v>2500</v>
      </c>
      <c r="RF10" s="0" t="s">
        <v>2227</v>
      </c>
      <c r="RN10" s="0" t="s">
        <v>2227</v>
      </c>
      <c r="SB10" s="0" t="s">
        <v>20051</v>
      </c>
      <c r="SE10" s="0" t="s">
        <v>20106</v>
      </c>
      <c r="SF10" s="0" t="s">
        <v>16308</v>
      </c>
      <c r="SI10" s="0" t="s">
        <v>6359</v>
      </c>
      <c r="SL10" s="0" t="s">
        <v>20384</v>
      </c>
      <c r="SS10" s="0" t="s">
        <v>20496</v>
      </c>
      <c r="TG10" s="0" t="s">
        <v>20602</v>
      </c>
      <c r="TK10" s="0" t="s">
        <v>14826</v>
      </c>
      <c r="TO10" s="0" t="s">
        <v>20799</v>
      </c>
      <c r="TP10" s="0" t="s">
        <v>20787</v>
      </c>
      <c r="TV10" s="0" t="s">
        <v>20895</v>
      </c>
      <c r="UE10" s="0" t="s">
        <v>5496</v>
      </c>
      <c r="UW10" s="0" t="s">
        <v>21185</v>
      </c>
      <c r="VH10" s="0" t="s">
        <v>21299</v>
      </c>
      <c r="VI10" s="0" t="s">
        <v>21399</v>
      </c>
      <c r="VR10" s="0" t="s">
        <v>21618</v>
      </c>
      <c r="VU10" s="0" t="s">
        <v>21660</v>
      </c>
      <c r="WH10" s="0" t="s">
        <v>21775</v>
      </c>
      <c r="WJ10" s="0" t="s">
        <v>21815</v>
      </c>
      <c r="WZ10" s="0" t="s">
        <v>21962</v>
      </c>
      <c r="XC10" s="0" t="s">
        <v>22085</v>
      </c>
      <c r="XI10" s="0" t="s">
        <v>22203</v>
      </c>
      <c r="XK10" s="0" t="s">
        <v>22278</v>
      </c>
      <c r="XL10" s="0" t="s">
        <v>22317</v>
      </c>
      <c r="XM10" s="0" t="s">
        <v>22384</v>
      </c>
      <c r="XP10" s="0" t="s">
        <v>22467</v>
      </c>
      <c r="XT10" s="0" t="s">
        <v>22191</v>
      </c>
      <c r="XY10" s="0" t="s">
        <v>22773</v>
      </c>
      <c r="YE10" s="0" t="s">
        <v>21722</v>
      </c>
      <c r="YG10" s="0" t="s">
        <v>22884</v>
      </c>
      <c r="YR10" s="0" t="s">
        <v>23026</v>
      </c>
      <c r="ZC10" s="0" t="s">
        <v>23163</v>
      </c>
      <c r="ZE10" s="0" t="s">
        <v>23210</v>
      </c>
      <c r="ZK10" s="0" t="s">
        <v>23271</v>
      </c>
      <c r="ZS10" s="0" t="s">
        <v>23343</v>
      </c>
      <c r="ZV10" s="0" t="s">
        <v>23367</v>
      </c>
      <c r="AAI10" s="0" t="s">
        <v>23457</v>
      </c>
      <c r="AAN10" s="0" t="s">
        <v>23582</v>
      </c>
      <c r="AAT10" s="0" t="s">
        <v>23716</v>
      </c>
      <c r="AAW10" s="0" t="s">
        <v>23782</v>
      </c>
      <c r="ABF10" s="0" t="s">
        <v>23828</v>
      </c>
      <c r="ABP10" s="0" t="s">
        <v>23989</v>
      </c>
      <c r="ABT10" s="0" t="s">
        <v>24060</v>
      </c>
      <c r="ACE10" s="0" t="s">
        <v>23669</v>
      </c>
      <c r="ACF10" s="0" t="s">
        <v>13981</v>
      </c>
      <c r="ACO10" s="0" t="s">
        <v>24354</v>
      </c>
      <c r="ACR10" s="0" t="s">
        <v>24386</v>
      </c>
      <c r="ACV10" s="0" t="s">
        <v>24455</v>
      </c>
      <c r="ACY10" s="0" t="s">
        <v>24609</v>
      </c>
      <c r="ADB10" s="0" t="s">
        <v>23165</v>
      </c>
      <c r="ADD10" s="0" t="s">
        <v>24761</v>
      </c>
      <c r="ADL10" s="0" t="s">
        <v>1570</v>
      </c>
      <c r="ADN10" s="0" t="s">
        <v>25308</v>
      </c>
      <c r="ADO10" s="0" t="s">
        <v>2801</v>
      </c>
      <c r="ADQ10" s="0" t="s">
        <v>13997</v>
      </c>
      <c r="ADR10" s="0" t="s">
        <v>4000</v>
      </c>
      <c r="ADS10" s="0" t="s">
        <v>22844</v>
      </c>
      <c r="ADT10" s="0" t="s">
        <v>13997</v>
      </c>
      <c r="ADV10" s="0" t="s">
        <v>4721</v>
      </c>
      <c r="ADW10" s="0" t="s">
        <v>22844</v>
      </c>
      <c r="ADY10" s="0" t="s">
        <v>13997</v>
      </c>
      <c r="ADZ10" s="0" t="s">
        <v>3247</v>
      </c>
      <c r="AEC10" s="0" t="s">
        <v>13997</v>
      </c>
      <c r="AED10" s="0" t="s">
        <v>714</v>
      </c>
      <c r="AEE10" s="0" t="s">
        <v>25427</v>
      </c>
      <c r="AEH10" s="0" t="s">
        <v>13997</v>
      </c>
      <c r="AEI10" s="0" t="s">
        <v>4000</v>
      </c>
      <c r="AEP10" s="0" t="s">
        <v>13978</v>
      </c>
      <c r="AEQ10" s="0" t="s">
        <v>3317</v>
      </c>
      <c r="AES10" s="0" t="s">
        <v>13988</v>
      </c>
      <c r="AET10" s="0" t="s">
        <v>4000</v>
      </c>
      <c r="AEY10" s="0" t="s">
        <v>6246</v>
      </c>
      <c r="AFH10" s="0" t="s">
        <v>16917</v>
      </c>
      <c r="AFI10" s="0" t="s">
        <v>13997</v>
      </c>
      <c r="AFK10" s="0" t="s">
        <v>5097</v>
      </c>
      <c r="AFL10" s="0" t="s">
        <v>26700</v>
      </c>
      <c r="AFP10" s="0" t="s">
        <v>25462</v>
      </c>
      <c r="AFQ10" s="0" t="s">
        <v>3317</v>
      </c>
      <c r="AFV10" s="0" t="s">
        <v>714</v>
      </c>
      <c r="AFZ10" s="0" t="s">
        <v>25703</v>
      </c>
      <c r="AGA10" s="0" t="s">
        <v>761</v>
      </c>
      <c r="AGE10" s="0" t="s">
        <v>3328</v>
      </c>
      <c r="AGG10" s="0" t="s">
        <v>13988</v>
      </c>
      <c r="AGI10" s="0" t="s">
        <v>4000</v>
      </c>
      <c r="AGQ10" s="0" t="s">
        <v>14034</v>
      </c>
      <c r="AGS10" s="0" t="s">
        <v>27850</v>
      </c>
      <c r="AGV10" s="0" t="s">
        <v>11490</v>
      </c>
      <c r="AGW10" s="0" t="s">
        <v>25459</v>
      </c>
      <c r="AHA10" s="0" t="s">
        <v>6246</v>
      </c>
      <c r="AHK10" s="0" t="s">
        <v>28147</v>
      </c>
      <c r="AHM10" s="0" t="s">
        <v>28179</v>
      </c>
      <c r="AHR10" s="0" t="s">
        <v>28240</v>
      </c>
      <c r="AHS10" s="0" t="s">
        <v>14832</v>
      </c>
      <c r="AIC10" s="0" t="s">
        <v>25427</v>
      </c>
      <c r="AID10" s="0" t="s">
        <v>28373</v>
      </c>
      <c r="AIL10" s="0" t="s">
        <v>5091</v>
      </c>
      <c r="AIP10" s="0" t="s">
        <v>28502</v>
      </c>
      <c r="AIW10" s="0" t="s">
        <v>28645</v>
      </c>
      <c r="AJC10" s="0" t="s">
        <v>28705</v>
      </c>
      <c r="AJM10" s="0" t="s">
        <v>28847</v>
      </c>
      <c r="AJS10" s="0" t="s">
        <v>28886</v>
      </c>
      <c r="AJY10" s="0" t="s">
        <v>29018</v>
      </c>
      <c r="AKM10" s="0" t="s">
        <v>22475</v>
      </c>
      <c r="AKU10" s="0" t="s">
        <v>29197</v>
      </c>
      <c r="AKW10" s="0" t="s">
        <v>20787</v>
      </c>
      <c r="ALS10" s="0" t="s">
        <v>29373</v>
      </c>
      <c r="AMB10" s="0" t="s">
        <v>6336</v>
      </c>
      <c r="AMR10" s="0" t="s">
        <v>13817</v>
      </c>
      <c r="AMS10" s="0" t="s">
        <v>20224</v>
      </c>
      <c r="AMT10" s="0" t="s">
        <v>3317</v>
      </c>
      <c r="AMU10" s="0" t="s">
        <v>13817</v>
      </c>
      <c r="AMX10" s="0" t="s">
        <v>13817</v>
      </c>
      <c r="AMY10" s="0" t="s">
        <v>20224</v>
      </c>
      <c r="AMZ10" s="0" t="s">
        <v>3317</v>
      </c>
      <c r="ANA10" s="0" t="s">
        <v>13817</v>
      </c>
      <c r="ANB10" s="0" t="s">
        <v>20224</v>
      </c>
      <c r="ANC10" s="0" t="s">
        <v>3317</v>
      </c>
      <c r="AND10" s="0" t="s">
        <v>2961</v>
      </c>
      <c r="ANE10" s="0" t="s">
        <v>20224</v>
      </c>
      <c r="ANF10" s="0" t="s">
        <v>3317</v>
      </c>
      <c r="ANG10" s="0" t="s">
        <v>2961</v>
      </c>
      <c r="ANH10" s="0" t="s">
        <v>20224</v>
      </c>
      <c r="ANI10" s="0" t="s">
        <v>3317</v>
      </c>
      <c r="AOD10" s="0" t="s">
        <v>31516</v>
      </c>
      <c r="AOW10" s="0" t="s">
        <v>31660</v>
      </c>
      <c r="AOY10" s="0" t="s">
        <v>31703</v>
      </c>
      <c r="AOZ10" s="0" t="s">
        <v>31744</v>
      </c>
      <c r="APR10" s="0" t="s">
        <v>31872</v>
      </c>
      <c r="APT10" s="0" t="s">
        <v>31972</v>
      </c>
      <c r="AQH10" s="0" t="s">
        <v>32089</v>
      </c>
      <c r="AQK10" s="0" t="s">
        <v>32130</v>
      </c>
      <c r="AQN10" s="0" t="s">
        <v>32141</v>
      </c>
      <c r="AQV10" s="0" t="s">
        <v>5091</v>
      </c>
      <c r="ART10" s="0" t="s">
        <v>32459</v>
      </c>
      <c r="ARV10" s="0" t="s">
        <v>19341</v>
      </c>
      <c r="ARX10" s="0" t="s">
        <v>11672</v>
      </c>
      <c r="ASA10" s="0" t="s">
        <v>32532</v>
      </c>
      <c r="ASG10" s="0" t="s">
        <v>32673</v>
      </c>
      <c r="ASI10" s="0" t="s">
        <v>22166</v>
      </c>
      <c r="ASM10" s="0" t="s">
        <v>32783</v>
      </c>
      <c r="ASO10" s="0" t="s">
        <v>32793</v>
      </c>
      <c r="ASR10" s="0" t="s">
        <v>32991</v>
      </c>
      <c r="AST10" s="0" t="s">
        <v>32858</v>
      </c>
      <c r="ASY10" s="0" t="s">
        <v>3881</v>
      </c>
      <c r="ASZ10" s="0" t="s">
        <v>4000</v>
      </c>
    </row>
    <row r="11" customFormat="false" ht="15" hidden="false" customHeight="false" outlineLevel="0" collapsed="false">
      <c r="I11" s="0" t="s">
        <v>949</v>
      </c>
      <c r="M11" s="0" t="s">
        <v>2022</v>
      </c>
      <c r="Q11" s="0" t="s">
        <v>3011</v>
      </c>
      <c r="AP11" s="0" t="s">
        <v>2027</v>
      </c>
      <c r="AS11" s="0" t="s">
        <v>832</v>
      </c>
      <c r="AV11" s="0" t="s">
        <v>3224</v>
      </c>
      <c r="BD11" s="0" t="s">
        <v>1323</v>
      </c>
      <c r="BG11" s="0" t="s">
        <v>5214</v>
      </c>
      <c r="BH11" s="0" t="s">
        <v>784</v>
      </c>
      <c r="BJ11" s="0" t="s">
        <v>5513</v>
      </c>
      <c r="BO11" s="0" t="s">
        <v>5630</v>
      </c>
      <c r="BW11" s="0" t="s">
        <v>6059</v>
      </c>
      <c r="BX11" s="0" t="s">
        <v>1972</v>
      </c>
      <c r="CG11" s="0" t="s">
        <v>2002</v>
      </c>
      <c r="CY11" s="0" t="s">
        <v>716</v>
      </c>
      <c r="CZ11" s="0" t="s">
        <v>1495</v>
      </c>
      <c r="DN11" s="0" t="s">
        <v>6603</v>
      </c>
      <c r="DO11" s="0" t="s">
        <v>6647</v>
      </c>
      <c r="DR11" s="0" t="s">
        <v>784</v>
      </c>
      <c r="DV11" s="0" t="s">
        <v>6723</v>
      </c>
      <c r="DW11" s="0" t="s">
        <v>761</v>
      </c>
      <c r="EC11" s="0" t="s">
        <v>3317</v>
      </c>
      <c r="EG11" s="0" t="s">
        <v>3317</v>
      </c>
      <c r="EH11" s="0" t="s">
        <v>4721</v>
      </c>
      <c r="EI11" s="0" t="s">
        <v>7061</v>
      </c>
      <c r="EM11" s="0" t="s">
        <v>5496</v>
      </c>
      <c r="EN11" s="0" t="s">
        <v>6940</v>
      </c>
      <c r="FP11" s="0" t="s">
        <v>7805</v>
      </c>
      <c r="FX11" s="0" t="s">
        <v>8055</v>
      </c>
      <c r="FY11" s="0" t="s">
        <v>7847</v>
      </c>
      <c r="GC11" s="0" t="s">
        <v>8131</v>
      </c>
      <c r="GE11" s="0" t="s">
        <v>7925</v>
      </c>
      <c r="GG11" s="0" t="s">
        <v>8124</v>
      </c>
      <c r="GI11" s="0" t="s">
        <v>8592</v>
      </c>
      <c r="GN11" s="0" t="s">
        <v>7851</v>
      </c>
      <c r="GS11" s="0" t="s">
        <v>10129</v>
      </c>
      <c r="GX11" s="0" t="s">
        <v>7847</v>
      </c>
      <c r="HA11" s="0" t="s">
        <v>10269</v>
      </c>
      <c r="HB11" s="0" t="s">
        <v>7868</v>
      </c>
      <c r="HC11" s="0" t="s">
        <v>10161</v>
      </c>
      <c r="HI11" s="0" t="s">
        <v>7849</v>
      </c>
      <c r="HL11" s="0" t="s">
        <v>11130</v>
      </c>
      <c r="HM11" s="0" t="s">
        <v>7916</v>
      </c>
      <c r="HN11" s="0" t="s">
        <v>10274</v>
      </c>
      <c r="HO11" s="0" t="s">
        <v>5091</v>
      </c>
      <c r="HQ11" s="0" t="s">
        <v>11483</v>
      </c>
      <c r="HS11" s="0" t="s">
        <v>10634</v>
      </c>
      <c r="HX11" s="0" t="s">
        <v>10161</v>
      </c>
      <c r="HZ11" s="0" t="s">
        <v>3121</v>
      </c>
      <c r="IA11" s="0" t="s">
        <v>11843</v>
      </c>
      <c r="IC11" s="0" t="s">
        <v>12685</v>
      </c>
      <c r="ID11" s="0" t="s">
        <v>2901</v>
      </c>
      <c r="IE11" s="0" t="s">
        <v>11812</v>
      </c>
      <c r="II11" s="0" t="s">
        <v>12971</v>
      </c>
      <c r="IK11" s="0" t="s">
        <v>11820</v>
      </c>
      <c r="IN11" s="0" t="s">
        <v>12685</v>
      </c>
      <c r="IQ11" s="0" t="s">
        <v>11845</v>
      </c>
      <c r="IV11" s="0" t="s">
        <v>13184</v>
      </c>
      <c r="JA11" s="0" t="s">
        <v>13289</v>
      </c>
      <c r="JD11" s="0" t="s">
        <v>1595</v>
      </c>
      <c r="JL11" s="0" t="s">
        <v>13988</v>
      </c>
      <c r="JM11" s="0" t="s">
        <v>3247</v>
      </c>
      <c r="JN11" s="0" t="s">
        <v>4721</v>
      </c>
      <c r="JQ11" s="0" t="s">
        <v>14315</v>
      </c>
      <c r="JS11" s="0" t="s">
        <v>2142</v>
      </c>
      <c r="JX11" s="0" t="s">
        <v>13988</v>
      </c>
      <c r="JZ11" s="0" t="s">
        <v>761</v>
      </c>
      <c r="KE11" s="0" t="s">
        <v>14546</v>
      </c>
      <c r="KG11" s="0" t="s">
        <v>3317</v>
      </c>
      <c r="KI11" s="0" t="s">
        <v>14746</v>
      </c>
      <c r="KP11" s="0" t="s">
        <v>14813</v>
      </c>
      <c r="KQ11" s="0" t="s">
        <v>14999</v>
      </c>
      <c r="KR11" s="0" t="s">
        <v>14790</v>
      </c>
      <c r="KS11" s="0" t="s">
        <v>15247</v>
      </c>
      <c r="KV11" s="0" t="s">
        <v>14797</v>
      </c>
      <c r="KY11" s="0" t="s">
        <v>15391</v>
      </c>
      <c r="LD11" s="0" t="s">
        <v>15509</v>
      </c>
      <c r="LF11" s="0" t="s">
        <v>15513</v>
      </c>
      <c r="LI11" s="0" t="s">
        <v>15558</v>
      </c>
      <c r="LJ11" s="0" t="s">
        <v>15593</v>
      </c>
      <c r="LK11" s="0" t="s">
        <v>15681</v>
      </c>
      <c r="LL11" s="0" t="s">
        <v>15670</v>
      </c>
      <c r="LP11" s="0" t="s">
        <v>15731</v>
      </c>
      <c r="LQ11" s="0" t="s">
        <v>15766</v>
      </c>
      <c r="LY11" s="0" t="s">
        <v>15892</v>
      </c>
      <c r="MA11" s="0" t="s">
        <v>16058</v>
      </c>
      <c r="MC11" s="0" t="s">
        <v>16090</v>
      </c>
      <c r="MF11" s="0" t="s">
        <v>2067</v>
      </c>
      <c r="MJ11" s="0" t="s">
        <v>16441</v>
      </c>
      <c r="ML11" s="0" t="s">
        <v>16500</v>
      </c>
      <c r="MM11" s="0" t="s">
        <v>784</v>
      </c>
      <c r="MO11" s="0" t="s">
        <v>16605</v>
      </c>
      <c r="MP11" s="0" t="s">
        <v>16740</v>
      </c>
      <c r="MT11" s="0" t="s">
        <v>16936</v>
      </c>
      <c r="MV11" s="0" t="s">
        <v>14417</v>
      </c>
      <c r="MY11" s="0" t="s">
        <v>2242</v>
      </c>
      <c r="NA11" s="0" t="s">
        <v>17314</v>
      </c>
      <c r="ND11" s="0" t="s">
        <v>17306</v>
      </c>
      <c r="NG11" s="0" t="s">
        <v>1470</v>
      </c>
      <c r="NI11" s="0" t="s">
        <v>17679</v>
      </c>
      <c r="NJ11" s="0" t="s">
        <v>734</v>
      </c>
      <c r="NM11" s="0" t="s">
        <v>17765</v>
      </c>
      <c r="NN11" s="0" t="s">
        <v>17782</v>
      </c>
      <c r="NQ11" s="0" t="s">
        <v>17877</v>
      </c>
      <c r="NR11" s="0" t="s">
        <v>17913</v>
      </c>
      <c r="NU11" s="0" t="s">
        <v>17969</v>
      </c>
      <c r="NW11" s="0" t="s">
        <v>17185</v>
      </c>
      <c r="NY11" s="0" t="s">
        <v>17195</v>
      </c>
      <c r="NZ11" s="0" t="s">
        <v>18138</v>
      </c>
      <c r="OA11" s="0" t="s">
        <v>18139</v>
      </c>
      <c r="OD11" s="0" t="s">
        <v>18171</v>
      </c>
      <c r="OE11" s="0" t="s">
        <v>17368</v>
      </c>
      <c r="OG11" s="0" t="s">
        <v>18214</v>
      </c>
      <c r="OH11" s="0" t="s">
        <v>18235</v>
      </c>
      <c r="OJ11" s="0" t="s">
        <v>17150</v>
      </c>
      <c r="OO11" s="0" t="s">
        <v>18561</v>
      </c>
      <c r="OR11" s="0" t="s">
        <v>18698</v>
      </c>
      <c r="OS11" s="0" t="s">
        <v>18772</v>
      </c>
      <c r="OY11" s="0" t="s">
        <v>18828</v>
      </c>
      <c r="OZ11" s="0" t="s">
        <v>18863</v>
      </c>
      <c r="PD11" s="0" t="s">
        <v>19157</v>
      </c>
      <c r="PE11" s="0" t="s">
        <v>17199</v>
      </c>
      <c r="PH11" s="0" t="s">
        <v>17195</v>
      </c>
      <c r="PN11" s="0" t="s">
        <v>18818</v>
      </c>
      <c r="QA11" s="0" t="s">
        <v>19524</v>
      </c>
      <c r="QE11" s="0" t="s">
        <v>19585</v>
      </c>
      <c r="QQ11" s="0" t="s">
        <v>19688</v>
      </c>
      <c r="QV11" s="0" t="s">
        <v>19741</v>
      </c>
      <c r="QW11" s="0" t="s">
        <v>19799</v>
      </c>
      <c r="QY11" s="0" t="s">
        <v>1733</v>
      </c>
      <c r="RF11" s="0" t="s">
        <v>2297</v>
      </c>
      <c r="RN11" s="0" t="s">
        <v>2297</v>
      </c>
      <c r="SB11" s="0" t="s">
        <v>20018</v>
      </c>
      <c r="SE11" s="0" t="s">
        <v>20109</v>
      </c>
      <c r="SF11" s="0" t="s">
        <v>16328</v>
      </c>
      <c r="SI11" s="0" t="s">
        <v>837</v>
      </c>
      <c r="SL11" s="0" t="s">
        <v>20387</v>
      </c>
      <c r="SS11" s="0" t="s">
        <v>20475</v>
      </c>
      <c r="TG11" s="0" t="s">
        <v>20604</v>
      </c>
      <c r="TK11" s="0" t="s">
        <v>14829</v>
      </c>
      <c r="TV11" s="0" t="s">
        <v>20898</v>
      </c>
      <c r="UE11" s="0" t="s">
        <v>6246</v>
      </c>
      <c r="VH11" s="0" t="s">
        <v>6525</v>
      </c>
      <c r="VI11" s="0" t="s">
        <v>21361</v>
      </c>
      <c r="VR11" s="0" t="s">
        <v>21620</v>
      </c>
      <c r="VU11" s="0" t="s">
        <v>21670</v>
      </c>
      <c r="WH11" s="0" t="s">
        <v>21777</v>
      </c>
      <c r="WJ11" s="0" t="s">
        <v>21817</v>
      </c>
      <c r="WZ11" s="0" t="s">
        <v>21970</v>
      </c>
      <c r="XC11" s="0" t="s">
        <v>22075</v>
      </c>
      <c r="XI11" s="0" t="s">
        <v>22207</v>
      </c>
      <c r="XK11" s="0" t="s">
        <v>22296</v>
      </c>
      <c r="XL11" s="0" t="s">
        <v>22319</v>
      </c>
      <c r="XM11" s="0" t="s">
        <v>22410</v>
      </c>
      <c r="XP11" s="0" t="s">
        <v>22469</v>
      </c>
      <c r="XT11" s="0" t="s">
        <v>22195</v>
      </c>
      <c r="XY11" s="0" t="s">
        <v>22763</v>
      </c>
      <c r="YG11" s="0" t="s">
        <v>22886</v>
      </c>
      <c r="YR11" s="0" t="s">
        <v>23028</v>
      </c>
      <c r="ZC11" s="0" t="s">
        <v>23165</v>
      </c>
      <c r="ZE11" s="0" t="s">
        <v>23212</v>
      </c>
      <c r="ZK11" s="0" t="s">
        <v>23281</v>
      </c>
      <c r="ZS11" s="0" t="s">
        <v>23339</v>
      </c>
      <c r="ZV11" s="0" t="s">
        <v>23377</v>
      </c>
      <c r="AAI11" s="0" t="s">
        <v>23460</v>
      </c>
      <c r="AAN11" s="0" t="s">
        <v>23584</v>
      </c>
      <c r="AAT11" s="0" t="s">
        <v>23718</v>
      </c>
      <c r="AAW11" s="0" t="s">
        <v>23780</v>
      </c>
      <c r="ABF11" s="0" t="s">
        <v>23836</v>
      </c>
      <c r="ABP11" s="0" t="s">
        <v>24012</v>
      </c>
      <c r="ABT11" s="0" t="s">
        <v>24062</v>
      </c>
      <c r="ACE11" s="0" t="s">
        <v>23638</v>
      </c>
      <c r="ACF11" s="0" t="s">
        <v>24287</v>
      </c>
      <c r="ACO11" s="0" t="s">
        <v>24356</v>
      </c>
      <c r="ACR11" s="0" t="s">
        <v>24388</v>
      </c>
      <c r="ACV11" s="0" t="s">
        <v>24457</v>
      </c>
      <c r="ACY11" s="0" t="s">
        <v>24611</v>
      </c>
      <c r="ADB11" s="0" t="s">
        <v>23085</v>
      </c>
      <c r="ADD11" s="0" t="s">
        <v>24763</v>
      </c>
      <c r="ADL11" s="0" t="s">
        <v>1635</v>
      </c>
      <c r="ADN11" s="0" t="s">
        <v>25313</v>
      </c>
      <c r="ADO11" s="0" t="s">
        <v>2851</v>
      </c>
      <c r="ADQ11" s="0" t="s">
        <v>13988</v>
      </c>
      <c r="ADR11" s="0" t="s">
        <v>3247</v>
      </c>
      <c r="ADS11" s="0" t="s">
        <v>25427</v>
      </c>
      <c r="ADT11" s="0" t="s">
        <v>13988</v>
      </c>
      <c r="ADV11" s="0" t="s">
        <v>714</v>
      </c>
      <c r="ADW11" s="0" t="s">
        <v>25427</v>
      </c>
      <c r="ADY11" s="0" t="s">
        <v>13988</v>
      </c>
      <c r="ADZ11" s="0" t="s">
        <v>5097</v>
      </c>
      <c r="AEC11" s="0" t="s">
        <v>13988</v>
      </c>
      <c r="AED11" s="0" t="s">
        <v>3833</v>
      </c>
      <c r="AEE11" s="0" t="s">
        <v>25439</v>
      </c>
      <c r="AEH11" s="0" t="s">
        <v>13988</v>
      </c>
      <c r="AEI11" s="0" t="s">
        <v>3247</v>
      </c>
      <c r="AEQ11" s="0" t="s">
        <v>784</v>
      </c>
      <c r="AES11" s="0" t="s">
        <v>21722</v>
      </c>
      <c r="AET11" s="0" t="s">
        <v>3247</v>
      </c>
      <c r="AEY11" s="0" t="s">
        <v>7358</v>
      </c>
      <c r="AFH11" s="0" t="s">
        <v>3011</v>
      </c>
      <c r="AFI11" s="0" t="s">
        <v>13988</v>
      </c>
      <c r="AFK11" s="0" t="s">
        <v>3317</v>
      </c>
      <c r="AFL11" s="0" t="s">
        <v>25481</v>
      </c>
      <c r="AFP11" s="0" t="s">
        <v>25459</v>
      </c>
      <c r="AFQ11" s="0" t="s">
        <v>784</v>
      </c>
      <c r="AFV11" s="0" t="s">
        <v>5492</v>
      </c>
      <c r="AFZ11" s="0" t="s">
        <v>24231</v>
      </c>
      <c r="AGA11" s="0" t="s">
        <v>4721</v>
      </c>
      <c r="AGE11" s="0" t="s">
        <v>6246</v>
      </c>
      <c r="AGG11" s="0" t="s">
        <v>21722</v>
      </c>
      <c r="AGI11" s="0" t="s">
        <v>3247</v>
      </c>
      <c r="AGQ11" s="0" t="s">
        <v>25514</v>
      </c>
      <c r="AGS11" s="0" t="s">
        <v>27852</v>
      </c>
      <c r="AGW11" s="0" t="s">
        <v>13974</v>
      </c>
      <c r="AHA11" s="0" t="s">
        <v>7358</v>
      </c>
      <c r="AHK11" s="0" t="s">
        <v>28149</v>
      </c>
      <c r="AHM11" s="0" t="s">
        <v>28181</v>
      </c>
      <c r="AHR11" s="0" t="s">
        <v>28256</v>
      </c>
      <c r="AHS11" s="0" t="s">
        <v>16204</v>
      </c>
      <c r="AIC11" s="0" t="s">
        <v>25439</v>
      </c>
      <c r="AID11" s="0" t="s">
        <v>28375</v>
      </c>
      <c r="AIL11" s="0" t="s">
        <v>761</v>
      </c>
      <c r="AIP11" s="0" t="s">
        <v>28504</v>
      </c>
      <c r="AIW11" s="0" t="s">
        <v>28647</v>
      </c>
      <c r="AJC11" s="0" t="s">
        <v>28707</v>
      </c>
      <c r="AJM11" s="0" t="s">
        <v>28849</v>
      </c>
      <c r="AJS11" s="0" t="s">
        <v>28888</v>
      </c>
      <c r="AJY11" s="0" t="s">
        <v>29020</v>
      </c>
      <c r="AKM11" s="0" t="s">
        <v>29095</v>
      </c>
      <c r="AKU11" s="0" t="s">
        <v>29144</v>
      </c>
      <c r="AKW11" s="0" t="s">
        <v>29193</v>
      </c>
      <c r="ALS11" s="0" t="s">
        <v>29397</v>
      </c>
      <c r="AMR11" s="0" t="s">
        <v>3011</v>
      </c>
      <c r="AMS11" s="0" t="s">
        <v>29741</v>
      </c>
      <c r="AMT11" s="0" t="s">
        <v>13774</v>
      </c>
      <c r="AMU11" s="0" t="s">
        <v>3011</v>
      </c>
      <c r="AMX11" s="0" t="s">
        <v>3011</v>
      </c>
      <c r="AMY11" s="0" t="s">
        <v>29741</v>
      </c>
      <c r="AMZ11" s="0" t="s">
        <v>13774</v>
      </c>
      <c r="ANA11" s="0" t="s">
        <v>3011</v>
      </c>
      <c r="ANB11" s="0" t="s">
        <v>29741</v>
      </c>
      <c r="ANC11" s="0" t="s">
        <v>13774</v>
      </c>
      <c r="AND11" s="0" t="s">
        <v>13817</v>
      </c>
      <c r="ANE11" s="0" t="s">
        <v>29741</v>
      </c>
      <c r="ANF11" s="0" t="s">
        <v>13774</v>
      </c>
      <c r="ANG11" s="0" t="s">
        <v>13817</v>
      </c>
      <c r="ANH11" s="0" t="s">
        <v>29741</v>
      </c>
      <c r="ANI11" s="0" t="s">
        <v>13774</v>
      </c>
      <c r="AOD11" s="0" t="s">
        <v>31518</v>
      </c>
      <c r="AOW11" s="0" t="s">
        <v>31662</v>
      </c>
      <c r="AOY11" s="0" t="s">
        <v>31688</v>
      </c>
      <c r="AOZ11" s="0" t="s">
        <v>31746</v>
      </c>
      <c r="APR11" s="0" t="s">
        <v>31874</v>
      </c>
      <c r="APT11" s="0" t="s">
        <v>31982</v>
      </c>
      <c r="AQH11" s="0" t="s">
        <v>32091</v>
      </c>
      <c r="AQK11" s="0" t="s">
        <v>32132</v>
      </c>
      <c r="AQN11" s="0" t="s">
        <v>32160</v>
      </c>
      <c r="AQV11" s="0" t="s">
        <v>761</v>
      </c>
      <c r="ART11" s="0" t="s">
        <v>32463</v>
      </c>
      <c r="ARV11" s="0" t="s">
        <v>6549</v>
      </c>
      <c r="ARX11" s="0" t="s">
        <v>6688</v>
      </c>
      <c r="ASA11" s="0" t="s">
        <v>32534</v>
      </c>
      <c r="ASG11" s="0" t="s">
        <v>32675</v>
      </c>
      <c r="ASI11" s="0" t="s">
        <v>32689</v>
      </c>
      <c r="ASM11" s="0" t="s">
        <v>32785</v>
      </c>
      <c r="ASO11" s="0" t="s">
        <v>22166</v>
      </c>
      <c r="ASR11" s="0" t="s">
        <v>33000</v>
      </c>
      <c r="AST11" s="0" t="s">
        <v>32765</v>
      </c>
      <c r="ASY11" s="0" t="s">
        <v>4776</v>
      </c>
      <c r="ASZ11" s="0" t="s">
        <v>3247</v>
      </c>
    </row>
    <row r="12" customFormat="false" ht="15" hidden="false" customHeight="false" outlineLevel="0" collapsed="false">
      <c r="I12" s="0" t="s">
        <v>960</v>
      </c>
      <c r="M12" s="0" t="s">
        <v>2027</v>
      </c>
      <c r="Q12" s="0" t="s">
        <v>3021</v>
      </c>
      <c r="AP12" s="0" t="s">
        <v>3428</v>
      </c>
      <c r="AS12" s="0" t="s">
        <v>3881</v>
      </c>
      <c r="AV12" s="0" t="s">
        <v>4584</v>
      </c>
      <c r="BD12" s="0" t="s">
        <v>4083</v>
      </c>
      <c r="BG12" s="0" t="s">
        <v>2082</v>
      </c>
      <c r="BH12" s="0" t="s">
        <v>3328</v>
      </c>
      <c r="BJ12" s="0" t="s">
        <v>5519</v>
      </c>
      <c r="BO12" s="0" t="s">
        <v>5633</v>
      </c>
      <c r="BW12" s="0" t="s">
        <v>6067</v>
      </c>
      <c r="BX12" s="0" t="s">
        <v>3374</v>
      </c>
      <c r="CG12" s="0" t="s">
        <v>2112</v>
      </c>
      <c r="CY12" s="0" t="s">
        <v>845</v>
      </c>
      <c r="CZ12" s="0" t="s">
        <v>1520</v>
      </c>
      <c r="DN12" s="0" t="s">
        <v>6580</v>
      </c>
      <c r="DO12" s="0" t="s">
        <v>6653</v>
      </c>
      <c r="DV12" s="0" t="s">
        <v>3317</v>
      </c>
      <c r="DW12" s="0" t="s">
        <v>6815</v>
      </c>
      <c r="EC12" s="0" t="s">
        <v>784</v>
      </c>
      <c r="EG12" s="0" t="s">
        <v>7061</v>
      </c>
      <c r="EH12" s="0" t="s">
        <v>714</v>
      </c>
      <c r="EI12" s="0" t="s">
        <v>784</v>
      </c>
      <c r="EM12" s="0" t="s">
        <v>6246</v>
      </c>
      <c r="EN12" s="0" t="s">
        <v>3247</v>
      </c>
      <c r="FX12" s="0" t="s">
        <v>8121</v>
      </c>
      <c r="FY12" s="0" t="s">
        <v>7849</v>
      </c>
      <c r="GC12" s="0" t="s">
        <v>9102</v>
      </c>
      <c r="GE12" s="0" t="s">
        <v>7914</v>
      </c>
      <c r="GG12" s="0" t="s">
        <v>8131</v>
      </c>
      <c r="GI12" s="0" t="s">
        <v>8594</v>
      </c>
      <c r="GN12" s="0" t="s">
        <v>8239</v>
      </c>
      <c r="GS12" s="0" t="s">
        <v>10127</v>
      </c>
      <c r="GX12" s="0" t="s">
        <v>10168</v>
      </c>
      <c r="HA12" s="0" t="s">
        <v>10272</v>
      </c>
      <c r="HB12" s="0" t="s">
        <v>10586</v>
      </c>
      <c r="HC12" s="0" t="s">
        <v>10218</v>
      </c>
      <c r="HI12" s="0" t="s">
        <v>7922</v>
      </c>
      <c r="HL12" s="0" t="s">
        <v>11175</v>
      </c>
      <c r="HM12" s="0" t="s">
        <v>8220</v>
      </c>
      <c r="HO12" s="0" t="s">
        <v>761</v>
      </c>
      <c r="HQ12" s="0" t="s">
        <v>11509</v>
      </c>
      <c r="HS12" s="0" t="s">
        <v>7891</v>
      </c>
      <c r="HX12" s="0" t="s">
        <v>10218</v>
      </c>
      <c r="HZ12" s="0" t="s">
        <v>12306</v>
      </c>
      <c r="IA12" s="0" t="s">
        <v>11845</v>
      </c>
      <c r="IC12" s="0" t="s">
        <v>12689</v>
      </c>
      <c r="ID12" s="0" t="s">
        <v>3881</v>
      </c>
      <c r="IE12" s="0" t="s">
        <v>12784</v>
      </c>
      <c r="II12" s="0" t="s">
        <v>12960</v>
      </c>
      <c r="IK12" s="0" t="s">
        <v>11845</v>
      </c>
      <c r="IN12" s="0" t="s">
        <v>12689</v>
      </c>
      <c r="IQ12" s="0" t="s">
        <v>11719</v>
      </c>
      <c r="IV12" s="0" t="s">
        <v>13186</v>
      </c>
      <c r="JA12" s="0" t="s">
        <v>13291</v>
      </c>
      <c r="JD12" s="0" t="s">
        <v>1635</v>
      </c>
      <c r="JL12" s="0" t="s">
        <v>13978</v>
      </c>
      <c r="JM12" s="0" t="s">
        <v>3317</v>
      </c>
      <c r="JN12" s="0" t="s">
        <v>714</v>
      </c>
      <c r="JQ12" s="0" t="s">
        <v>14317</v>
      </c>
      <c r="JS12" s="0" t="s">
        <v>3637</v>
      </c>
      <c r="JX12" s="0" t="s">
        <v>13978</v>
      </c>
      <c r="JZ12" s="0" t="s">
        <v>4761</v>
      </c>
      <c r="KE12" s="0" t="s">
        <v>14548</v>
      </c>
      <c r="KG12" s="0" t="s">
        <v>784</v>
      </c>
      <c r="KI12" s="0" t="s">
        <v>14749</v>
      </c>
      <c r="KP12" s="0" t="s">
        <v>14816</v>
      </c>
      <c r="KQ12" s="0" t="s">
        <v>14862</v>
      </c>
      <c r="KR12" s="0" t="s">
        <v>14792</v>
      </c>
      <c r="KS12" s="0" t="s">
        <v>15249</v>
      </c>
      <c r="KV12" s="0" t="s">
        <v>14800</v>
      </c>
      <c r="KY12" s="0" t="s">
        <v>15393</v>
      </c>
      <c r="LD12" s="0" t="s">
        <v>15512</v>
      </c>
      <c r="LF12" s="0" t="s">
        <v>15517</v>
      </c>
      <c r="LI12" s="0" t="s">
        <v>15449</v>
      </c>
      <c r="LJ12" s="0" t="s">
        <v>15595</v>
      </c>
      <c r="LK12" s="0" t="s">
        <v>15684</v>
      </c>
      <c r="LL12" s="0" t="s">
        <v>15673</v>
      </c>
      <c r="LP12" s="0" t="s">
        <v>15495</v>
      </c>
      <c r="LQ12" s="0" t="s">
        <v>15762</v>
      </c>
      <c r="LY12" s="0" t="s">
        <v>15894</v>
      </c>
      <c r="MA12" s="0" t="s">
        <v>15933</v>
      </c>
      <c r="MC12" s="0" t="s">
        <v>16092</v>
      </c>
      <c r="MF12" s="0" t="s">
        <v>2142</v>
      </c>
      <c r="MJ12" s="0" t="s">
        <v>16202</v>
      </c>
      <c r="ML12" s="0" t="s">
        <v>16502</v>
      </c>
      <c r="MM12" s="0" t="s">
        <v>6244</v>
      </c>
      <c r="MO12" s="0" t="s">
        <v>16607</v>
      </c>
      <c r="MP12" s="0" t="s">
        <v>16742</v>
      </c>
      <c r="MT12" s="0" t="s">
        <v>16941</v>
      </c>
      <c r="MV12" s="0" t="s">
        <v>2911</v>
      </c>
      <c r="MY12" s="0" t="s">
        <v>2351</v>
      </c>
      <c r="NA12" s="0" t="s">
        <v>17319</v>
      </c>
      <c r="ND12" s="0" t="s">
        <v>17410</v>
      </c>
      <c r="NG12" s="0" t="s">
        <v>1520</v>
      </c>
      <c r="NI12" s="0" t="s">
        <v>17682</v>
      </c>
      <c r="NJ12" s="0" t="s">
        <v>17659</v>
      </c>
      <c r="NM12" s="0" t="s">
        <v>17768</v>
      </c>
      <c r="NN12" s="0" t="s">
        <v>17761</v>
      </c>
      <c r="NR12" s="0" t="s">
        <v>17916</v>
      </c>
      <c r="NU12" s="0" t="s">
        <v>17971</v>
      </c>
      <c r="NW12" s="0" t="s">
        <v>18012</v>
      </c>
      <c r="NY12" s="0" t="s">
        <v>17200</v>
      </c>
      <c r="OD12" s="0" t="s">
        <v>18179</v>
      </c>
      <c r="OE12" s="0" t="s">
        <v>17376</v>
      </c>
      <c r="OG12" s="0" t="s">
        <v>18224</v>
      </c>
      <c r="OH12" s="0" t="s">
        <v>18239</v>
      </c>
      <c r="OJ12" s="0" t="s">
        <v>17147</v>
      </c>
      <c r="OO12" s="0" t="s">
        <v>18563</v>
      </c>
      <c r="OR12" s="0" t="s">
        <v>17311</v>
      </c>
      <c r="OS12" s="0" t="s">
        <v>18774</v>
      </c>
      <c r="OY12" s="0" t="s">
        <v>18830</v>
      </c>
      <c r="PD12" s="0" t="s">
        <v>19039</v>
      </c>
      <c r="PE12" s="0" t="s">
        <v>17205</v>
      </c>
      <c r="PH12" s="0" t="s">
        <v>17200</v>
      </c>
      <c r="PN12" s="0" t="s">
        <v>19378</v>
      </c>
      <c r="QA12" s="0" t="s">
        <v>19526</v>
      </c>
      <c r="QE12" s="0" t="s">
        <v>19587</v>
      </c>
      <c r="QQ12" s="0" t="s">
        <v>19690</v>
      </c>
      <c r="QW12" s="0" t="s">
        <v>19801</v>
      </c>
      <c r="RF12" s="0" t="s">
        <v>2351</v>
      </c>
      <c r="RN12" s="0" t="s">
        <v>2351</v>
      </c>
      <c r="SB12" s="0" t="s">
        <v>20053</v>
      </c>
      <c r="SE12" s="0" t="s">
        <v>20112</v>
      </c>
      <c r="SF12" s="0" t="s">
        <v>16358</v>
      </c>
      <c r="SI12" s="0" t="s">
        <v>6383</v>
      </c>
      <c r="SL12" s="0" t="s">
        <v>20420</v>
      </c>
      <c r="SS12" s="0" t="s">
        <v>20473</v>
      </c>
      <c r="TG12" s="0" t="s">
        <v>734</v>
      </c>
      <c r="TK12" s="0" t="s">
        <v>20736</v>
      </c>
      <c r="TV12" s="0" t="s">
        <v>20900</v>
      </c>
      <c r="UE12" s="0" t="s">
        <v>14100</v>
      </c>
      <c r="VH12" s="0" t="s">
        <v>21303</v>
      </c>
      <c r="VI12" s="0" t="s">
        <v>21389</v>
      </c>
      <c r="VR12" s="0" t="s">
        <v>21622</v>
      </c>
      <c r="VU12" s="0" t="s">
        <v>21672</v>
      </c>
      <c r="WJ12" s="0" t="s">
        <v>21819</v>
      </c>
      <c r="WZ12" s="0" t="s">
        <v>21972</v>
      </c>
      <c r="XC12" s="0" t="s">
        <v>22077</v>
      </c>
      <c r="XI12" s="0" t="s">
        <v>22228</v>
      </c>
      <c r="XK12" s="0" t="s">
        <v>22280</v>
      </c>
      <c r="XL12" s="0" t="s">
        <v>22321</v>
      </c>
      <c r="XM12" s="0" t="s">
        <v>22412</v>
      </c>
      <c r="XP12" s="0" t="s">
        <v>22465</v>
      </c>
      <c r="XT12" s="0" t="s">
        <v>22184</v>
      </c>
      <c r="XY12" s="0" t="s">
        <v>22753</v>
      </c>
      <c r="YG12" s="0" t="s">
        <v>22888</v>
      </c>
      <c r="YR12" s="0" t="s">
        <v>23030</v>
      </c>
      <c r="ZC12" s="0" t="s">
        <v>23167</v>
      </c>
      <c r="ZE12" s="0" t="s">
        <v>23214</v>
      </c>
      <c r="ZK12" s="0" t="s">
        <v>23283</v>
      </c>
      <c r="ZS12" s="0" t="s">
        <v>23341</v>
      </c>
      <c r="ZV12" s="0" t="s">
        <v>23379</v>
      </c>
      <c r="AAI12" s="0" t="s">
        <v>23478</v>
      </c>
      <c r="AAN12" s="0" t="s">
        <v>23586</v>
      </c>
      <c r="AAT12" s="0" t="s">
        <v>23720</v>
      </c>
      <c r="AAW12" s="0" t="s">
        <v>23786</v>
      </c>
      <c r="ABF12" s="0" t="s">
        <v>23832</v>
      </c>
      <c r="ABP12" s="0" t="s">
        <v>23998</v>
      </c>
      <c r="ACF12" s="0" t="s">
        <v>13974</v>
      </c>
      <c r="ACO12" s="0" t="s">
        <v>24358</v>
      </c>
      <c r="ACR12" s="0" t="s">
        <v>24416</v>
      </c>
      <c r="ACV12" s="0" t="s">
        <v>24459</v>
      </c>
      <c r="ACY12" s="0" t="s">
        <v>24556</v>
      </c>
      <c r="ADB12" s="0" t="s">
        <v>24653</v>
      </c>
      <c r="ADD12" s="0" t="s">
        <v>24737</v>
      </c>
      <c r="ADL12" s="0" t="s">
        <v>1655</v>
      </c>
      <c r="ADN12" s="0" t="s">
        <v>22839</v>
      </c>
      <c r="ADO12" s="0" t="s">
        <v>2871</v>
      </c>
      <c r="ADQ12" s="0" t="s">
        <v>21722</v>
      </c>
      <c r="ADR12" s="0" t="s">
        <v>5097</v>
      </c>
      <c r="ADS12" s="0" t="s">
        <v>25439</v>
      </c>
      <c r="ADT12" s="0" t="s">
        <v>21722</v>
      </c>
      <c r="ADV12" s="0" t="s">
        <v>3833</v>
      </c>
      <c r="ADW12" s="0" t="s">
        <v>25439</v>
      </c>
      <c r="ADY12" s="0" t="s">
        <v>21722</v>
      </c>
      <c r="ADZ12" s="0" t="s">
        <v>3317</v>
      </c>
      <c r="AEC12" s="0" t="s">
        <v>13981</v>
      </c>
      <c r="AED12" s="0" t="s">
        <v>4000</v>
      </c>
      <c r="AEH12" s="0" t="s">
        <v>21722</v>
      </c>
      <c r="AEI12" s="0" t="s">
        <v>5097</v>
      </c>
      <c r="AEQ12" s="0" t="s">
        <v>3328</v>
      </c>
      <c r="AES12" s="0" t="s">
        <v>13978</v>
      </c>
      <c r="AET12" s="0" t="s">
        <v>3317</v>
      </c>
      <c r="AEY12" s="0" t="s">
        <v>2911</v>
      </c>
      <c r="AFH12" s="0" t="s">
        <v>3061</v>
      </c>
      <c r="AFI12" s="0" t="s">
        <v>21722</v>
      </c>
      <c r="AFK12" s="0" t="s">
        <v>6768</v>
      </c>
      <c r="AFL12" s="0" t="s">
        <v>26728</v>
      </c>
      <c r="AFP12" s="0" t="s">
        <v>13981</v>
      </c>
      <c r="AFQ12" s="0" t="s">
        <v>2911</v>
      </c>
      <c r="AFV12" s="0" t="s">
        <v>4000</v>
      </c>
      <c r="AFZ12" s="0" t="s">
        <v>26256</v>
      </c>
      <c r="AGA12" s="0" t="s">
        <v>3833</v>
      </c>
      <c r="AGE12" s="0" t="s">
        <v>7358</v>
      </c>
      <c r="AGG12" s="0" t="s">
        <v>13978</v>
      </c>
      <c r="AGI12" s="0" t="s">
        <v>5097</v>
      </c>
      <c r="AGQ12" s="0" t="s">
        <v>25375</v>
      </c>
      <c r="AGS12" s="0" t="s">
        <v>27856</v>
      </c>
      <c r="AGW12" s="0" t="s">
        <v>14034</v>
      </c>
      <c r="AHA12" s="0" t="s">
        <v>2911</v>
      </c>
      <c r="AHK12" s="0" t="s">
        <v>28151</v>
      </c>
      <c r="AHM12" s="0" t="s">
        <v>28183</v>
      </c>
      <c r="AHR12" s="0" t="s">
        <v>28258</v>
      </c>
      <c r="AHS12" s="0" t="s">
        <v>14776</v>
      </c>
      <c r="AIC12" s="0" t="s">
        <v>25481</v>
      </c>
      <c r="AID12" s="0" t="s">
        <v>28377</v>
      </c>
      <c r="AIL12" s="0" t="s">
        <v>4761</v>
      </c>
      <c r="AIP12" s="0" t="s">
        <v>28506</v>
      </c>
      <c r="AIW12" s="0" t="s">
        <v>28631</v>
      </c>
      <c r="AJC12" s="0" t="s">
        <v>28710</v>
      </c>
      <c r="AJM12" s="0" t="s">
        <v>28851</v>
      </c>
      <c r="AJS12" s="0" t="s">
        <v>28890</v>
      </c>
      <c r="AJY12" s="0" t="s">
        <v>29010</v>
      </c>
      <c r="AKM12" s="0" t="s">
        <v>29097</v>
      </c>
      <c r="AKU12" s="0" t="s">
        <v>29281</v>
      </c>
      <c r="AKW12" s="0" t="s">
        <v>6336</v>
      </c>
      <c r="ALS12" s="0" t="s">
        <v>29375</v>
      </c>
      <c r="AMR12" s="0" t="s">
        <v>7396</v>
      </c>
      <c r="AMS12" s="0" t="s">
        <v>714</v>
      </c>
      <c r="AMT12" s="0" t="s">
        <v>784</v>
      </c>
      <c r="AMU12" s="0" t="s">
        <v>7396</v>
      </c>
      <c r="AMX12" s="0" t="s">
        <v>7396</v>
      </c>
      <c r="AMY12" s="0" t="s">
        <v>714</v>
      </c>
      <c r="AMZ12" s="0" t="s">
        <v>784</v>
      </c>
      <c r="ANA12" s="0" t="s">
        <v>7396</v>
      </c>
      <c r="ANB12" s="0" t="s">
        <v>714</v>
      </c>
      <c r="ANC12" s="0" t="s">
        <v>784</v>
      </c>
      <c r="AND12" s="0" t="s">
        <v>3011</v>
      </c>
      <c r="ANE12" s="0" t="s">
        <v>714</v>
      </c>
      <c r="ANF12" s="0" t="s">
        <v>784</v>
      </c>
      <c r="ANG12" s="0" t="s">
        <v>3011</v>
      </c>
      <c r="ANH12" s="0" t="s">
        <v>714</v>
      </c>
      <c r="ANI12" s="0" t="s">
        <v>784</v>
      </c>
      <c r="AOD12" s="0" t="s">
        <v>31520</v>
      </c>
      <c r="AOW12" s="0" t="s">
        <v>29144</v>
      </c>
      <c r="AOY12" s="0" t="s">
        <v>31707</v>
      </c>
      <c r="AOZ12" s="0" t="s">
        <v>31748</v>
      </c>
      <c r="APT12" s="0" t="s">
        <v>31985</v>
      </c>
      <c r="AQH12" s="0" t="s">
        <v>32080</v>
      </c>
      <c r="AQN12" s="0" t="s">
        <v>32162</v>
      </c>
      <c r="AQV12" s="0" t="s">
        <v>4761</v>
      </c>
      <c r="ART12" s="0" t="s">
        <v>32451</v>
      </c>
      <c r="ASA12" s="0" t="s">
        <v>22850</v>
      </c>
      <c r="ASG12" s="0" t="s">
        <v>32678</v>
      </c>
      <c r="ASI12" s="0" t="s">
        <v>32693</v>
      </c>
      <c r="ASM12" s="0" t="s">
        <v>32787</v>
      </c>
      <c r="ASO12" s="0" t="s">
        <v>32689</v>
      </c>
      <c r="ASR12" s="0" t="s">
        <v>33013</v>
      </c>
      <c r="AST12" s="0" t="s">
        <v>33018</v>
      </c>
    </row>
    <row r="13" customFormat="false" ht="15" hidden="false" customHeight="false" outlineLevel="0" collapsed="false">
      <c r="I13" s="0" t="s">
        <v>971</v>
      </c>
      <c r="M13" s="0" t="s">
        <v>2032</v>
      </c>
      <c r="Q13" s="0" t="s">
        <v>3031</v>
      </c>
      <c r="AP13" s="0" t="s">
        <v>3436</v>
      </c>
      <c r="AS13" s="0" t="s">
        <v>872</v>
      </c>
      <c r="AV13" s="0" t="s">
        <v>4589</v>
      </c>
      <c r="BD13" s="0" t="s">
        <v>1378</v>
      </c>
      <c r="BG13" s="0" t="s">
        <v>3520</v>
      </c>
      <c r="BJ13" s="0" t="s">
        <v>1881</v>
      </c>
      <c r="BW13" s="0" t="s">
        <v>6075</v>
      </c>
      <c r="BX13" s="0" t="s">
        <v>6192</v>
      </c>
      <c r="CG13" s="0" t="s">
        <v>2261</v>
      </c>
      <c r="CY13" s="0" t="s">
        <v>847</v>
      </c>
      <c r="CZ13" s="0" t="s">
        <v>1535</v>
      </c>
      <c r="DN13" s="0" t="s">
        <v>6582</v>
      </c>
      <c r="DO13" s="0" t="s">
        <v>6656</v>
      </c>
      <c r="DV13" s="0" t="s">
        <v>7061</v>
      </c>
      <c r="DW13" s="0" t="s">
        <v>4721</v>
      </c>
      <c r="EG13" s="0" t="s">
        <v>6768</v>
      </c>
      <c r="EH13" s="0" t="s">
        <v>3833</v>
      </c>
      <c r="EI13" s="0" t="s">
        <v>3328</v>
      </c>
      <c r="EM13" s="0" t="s">
        <v>2961</v>
      </c>
      <c r="FX13" s="0" t="s">
        <v>8124</v>
      </c>
      <c r="FY13" s="0" t="s">
        <v>7922</v>
      </c>
      <c r="GC13" s="0" t="s">
        <v>8162</v>
      </c>
      <c r="GE13" s="0" t="s">
        <v>8215</v>
      </c>
      <c r="GG13" s="0" t="s">
        <v>9739</v>
      </c>
      <c r="GI13" s="0" t="s">
        <v>8596</v>
      </c>
      <c r="GN13" s="0" t="s">
        <v>7914</v>
      </c>
      <c r="GX13" s="0" t="s">
        <v>10170</v>
      </c>
      <c r="HA13" s="0" t="s">
        <v>10483</v>
      </c>
      <c r="HB13" s="0" t="s">
        <v>7902</v>
      </c>
      <c r="HC13" s="0" t="s">
        <v>10221</v>
      </c>
      <c r="HI13" s="0" t="s">
        <v>7851</v>
      </c>
      <c r="HL13" s="0" t="s">
        <v>7902</v>
      </c>
      <c r="HM13" s="0" t="s">
        <v>7918</v>
      </c>
      <c r="HO13" s="0" t="s">
        <v>4721</v>
      </c>
      <c r="HQ13" s="0" t="s">
        <v>11424</v>
      </c>
      <c r="HS13" s="0" t="s">
        <v>7992</v>
      </c>
      <c r="HX13" s="0" t="s">
        <v>10221</v>
      </c>
      <c r="HZ13" s="0" t="s">
        <v>12308</v>
      </c>
      <c r="IA13" s="0" t="s">
        <v>11719</v>
      </c>
      <c r="IC13" s="0" t="s">
        <v>12696</v>
      </c>
      <c r="ID13" s="0" t="s">
        <v>883</v>
      </c>
      <c r="IE13" s="0" t="s">
        <v>11874</v>
      </c>
      <c r="II13" s="0" t="s">
        <v>12969</v>
      </c>
      <c r="IK13" s="0" t="s">
        <v>11719</v>
      </c>
      <c r="IN13" s="0" t="s">
        <v>12696</v>
      </c>
      <c r="IQ13" s="0" t="s">
        <v>11746</v>
      </c>
      <c r="IV13" s="0" t="s">
        <v>13202</v>
      </c>
      <c r="JA13" s="0" t="s">
        <v>13293</v>
      </c>
      <c r="JD13" s="0" t="s">
        <v>1655</v>
      </c>
      <c r="JL13" s="0" t="s">
        <v>13981</v>
      </c>
      <c r="JM13" s="0" t="s">
        <v>2911</v>
      </c>
      <c r="JN13" s="0" t="s">
        <v>3833</v>
      </c>
      <c r="JQ13" s="0" t="s">
        <v>14289</v>
      </c>
      <c r="JS13" s="0" t="s">
        <v>2182</v>
      </c>
      <c r="JX13" s="0" t="s">
        <v>13981</v>
      </c>
      <c r="JZ13" s="0" t="s">
        <v>4721</v>
      </c>
      <c r="KE13" s="0" t="s">
        <v>14540</v>
      </c>
      <c r="KG13" s="0" t="s">
        <v>3328</v>
      </c>
      <c r="KI13" s="0" t="s">
        <v>14751</v>
      </c>
      <c r="KP13" s="0" t="s">
        <v>14819</v>
      </c>
      <c r="KQ13" s="0" t="s">
        <v>15125</v>
      </c>
      <c r="KR13" s="0" t="s">
        <v>14795</v>
      </c>
      <c r="KS13" s="0" t="s">
        <v>15280</v>
      </c>
      <c r="KV13" s="0" t="s">
        <v>14803</v>
      </c>
      <c r="KY13" s="0" t="s">
        <v>15468</v>
      </c>
      <c r="LD13" s="0" t="s">
        <v>15519</v>
      </c>
      <c r="LF13" s="0" t="s">
        <v>15520</v>
      </c>
      <c r="LI13" s="0" t="s">
        <v>15566</v>
      </c>
      <c r="LJ13" s="0" t="s">
        <v>15597</v>
      </c>
      <c r="LK13" s="0" t="s">
        <v>15656</v>
      </c>
      <c r="LL13" s="0" t="s">
        <v>15676</v>
      </c>
      <c r="LQ13" s="0" t="s">
        <v>15768</v>
      </c>
      <c r="LY13" s="0" t="s">
        <v>15534</v>
      </c>
      <c r="MA13" s="0" t="s">
        <v>16003</v>
      </c>
      <c r="MC13" s="0" t="s">
        <v>16096</v>
      </c>
      <c r="MF13" s="0" t="s">
        <v>2187</v>
      </c>
      <c r="MJ13" s="0" t="s">
        <v>16204</v>
      </c>
      <c r="ML13" s="0" t="s">
        <v>16504</v>
      </c>
      <c r="MM13" s="0" t="s">
        <v>3328</v>
      </c>
      <c r="MO13" s="0" t="s">
        <v>16609</v>
      </c>
      <c r="MP13" s="0" t="s">
        <v>16744</v>
      </c>
      <c r="MT13" s="0" t="s">
        <v>16945</v>
      </c>
      <c r="MV13" s="0" t="s">
        <v>2951</v>
      </c>
      <c r="MY13" s="0" t="s">
        <v>2400</v>
      </c>
      <c r="NA13" s="0" t="s">
        <v>17321</v>
      </c>
      <c r="ND13" s="0" t="s">
        <v>17357</v>
      </c>
      <c r="NG13" s="0" t="s">
        <v>1635</v>
      </c>
      <c r="NI13" s="0" t="s">
        <v>13230</v>
      </c>
      <c r="NM13" s="0" t="s">
        <v>17770</v>
      </c>
      <c r="NR13" s="0" t="s">
        <v>17918</v>
      </c>
      <c r="NU13" s="0" t="s">
        <v>17973</v>
      </c>
      <c r="NW13" s="0" t="s">
        <v>17199</v>
      </c>
      <c r="NY13" s="0" t="s">
        <v>17215</v>
      </c>
      <c r="OD13" s="0" t="s">
        <v>18194</v>
      </c>
      <c r="OE13" s="0" t="s">
        <v>17155</v>
      </c>
      <c r="OG13" s="0" t="s">
        <v>18216</v>
      </c>
      <c r="OH13" s="0" t="s">
        <v>18241</v>
      </c>
      <c r="OJ13" s="0" t="s">
        <v>17155</v>
      </c>
      <c r="OO13" s="0" t="s">
        <v>18565</v>
      </c>
      <c r="OR13" s="0" t="s">
        <v>17303</v>
      </c>
      <c r="OS13" s="0" t="s">
        <v>18762</v>
      </c>
      <c r="OY13" s="0" t="s">
        <v>18832</v>
      </c>
      <c r="PD13" s="0" t="s">
        <v>18981</v>
      </c>
      <c r="PE13" s="0" t="s">
        <v>17217</v>
      </c>
      <c r="PH13" s="0" t="s">
        <v>17215</v>
      </c>
      <c r="PN13" s="0" t="s">
        <v>19329</v>
      </c>
      <c r="QA13" s="0" t="s">
        <v>19528</v>
      </c>
      <c r="QE13" s="0" t="s">
        <v>19589</v>
      </c>
      <c r="QQ13" s="0" t="s">
        <v>19665</v>
      </c>
      <c r="QW13" s="0" t="s">
        <v>19803</v>
      </c>
      <c r="RF13" s="0" t="s">
        <v>2400</v>
      </c>
      <c r="RN13" s="0" t="s">
        <v>2400</v>
      </c>
      <c r="SB13" s="0" t="s">
        <v>20055</v>
      </c>
      <c r="SI13" s="0" t="s">
        <v>839</v>
      </c>
      <c r="SL13" s="0" t="s">
        <v>20422</v>
      </c>
      <c r="SS13" s="0" t="s">
        <v>20499</v>
      </c>
      <c r="TG13" s="0" t="s">
        <v>20610</v>
      </c>
      <c r="TK13" s="0" t="s">
        <v>16395</v>
      </c>
      <c r="UE13" s="0" t="s">
        <v>14216</v>
      </c>
      <c r="VH13" s="0" t="s">
        <v>7875</v>
      </c>
      <c r="VI13" s="0" t="s">
        <v>21529</v>
      </c>
      <c r="WJ13" s="0" t="s">
        <v>21821</v>
      </c>
      <c r="WZ13" s="0" t="s">
        <v>21968</v>
      </c>
      <c r="XC13" s="0" t="s">
        <v>22150</v>
      </c>
      <c r="XI13" s="0" t="s">
        <v>22231</v>
      </c>
      <c r="XK13" s="0" t="s">
        <v>22282</v>
      </c>
      <c r="XL13" s="0" t="s">
        <v>22323</v>
      </c>
      <c r="XM13" s="0" t="s">
        <v>22402</v>
      </c>
      <c r="XP13" s="0" t="s">
        <v>22447</v>
      </c>
      <c r="XT13" s="0" t="s">
        <v>22486</v>
      </c>
      <c r="XY13" s="0" t="s">
        <v>22781</v>
      </c>
      <c r="YG13" s="0" t="s">
        <v>22890</v>
      </c>
      <c r="YR13" s="0" t="s">
        <v>23013</v>
      </c>
      <c r="ZC13" s="0" t="s">
        <v>23085</v>
      </c>
      <c r="ZE13" s="0" t="s">
        <v>23198</v>
      </c>
      <c r="ZK13" s="0" t="s">
        <v>23273</v>
      </c>
      <c r="ZS13" s="0" t="s">
        <v>23349</v>
      </c>
      <c r="ZV13" s="0" t="s">
        <v>23375</v>
      </c>
      <c r="AAI13" s="0" t="s">
        <v>23476</v>
      </c>
      <c r="AAN13" s="0" t="s">
        <v>22577</v>
      </c>
      <c r="AAT13" s="0" t="s">
        <v>23722</v>
      </c>
      <c r="AAW13" s="0" t="s">
        <v>23784</v>
      </c>
      <c r="ABF13" s="0" t="s">
        <v>23834</v>
      </c>
      <c r="ABP13" s="0" t="s">
        <v>24000</v>
      </c>
      <c r="ACF13" s="0" t="s">
        <v>24231</v>
      </c>
      <c r="ACO13" s="0" t="s">
        <v>24360</v>
      </c>
      <c r="ACR13" s="0" t="s">
        <v>19357</v>
      </c>
      <c r="ACV13" s="0" t="s">
        <v>24461</v>
      </c>
      <c r="ACY13" s="0" t="s">
        <v>24558</v>
      </c>
      <c r="ADB13" s="0" t="s">
        <v>24655</v>
      </c>
      <c r="ADD13" s="0" t="s">
        <v>24747</v>
      </c>
      <c r="ADL13" s="0" t="s">
        <v>1670</v>
      </c>
      <c r="ADN13" s="0" t="s">
        <v>25358</v>
      </c>
      <c r="ADO13" s="0" t="s">
        <v>12736</v>
      </c>
      <c r="ADQ13" s="0" t="s">
        <v>13978</v>
      </c>
      <c r="ADR13" s="0" t="s">
        <v>3317</v>
      </c>
      <c r="ADS13" s="0" t="s">
        <v>25481</v>
      </c>
      <c r="ADT13" s="0" t="s">
        <v>13978</v>
      </c>
      <c r="ADV13" s="0" t="s">
        <v>4000</v>
      </c>
      <c r="ADY13" s="0" t="s">
        <v>13978</v>
      </c>
      <c r="ADZ13" s="0" t="s">
        <v>784</v>
      </c>
      <c r="AEC13" s="0" t="s">
        <v>24287</v>
      </c>
      <c r="AED13" s="0" t="s">
        <v>3247</v>
      </c>
      <c r="AEH13" s="0" t="s">
        <v>13978</v>
      </c>
      <c r="AEI13" s="0" t="s">
        <v>3317</v>
      </c>
      <c r="AEQ13" s="0" t="s">
        <v>6246</v>
      </c>
      <c r="AES13" s="0" t="s">
        <v>25462</v>
      </c>
      <c r="AET13" s="0" t="s">
        <v>784</v>
      </c>
      <c r="AEY13" s="0" t="s">
        <v>2961</v>
      </c>
      <c r="AFH13" s="0" t="s">
        <v>6336</v>
      </c>
      <c r="AFI13" s="0" t="s">
        <v>13978</v>
      </c>
      <c r="AFK13" s="0" t="s">
        <v>784</v>
      </c>
      <c r="AFL13" s="0" t="s">
        <v>26743</v>
      </c>
      <c r="AFP13" s="0" t="s">
        <v>13974</v>
      </c>
      <c r="AFQ13" s="0" t="s">
        <v>2961</v>
      </c>
      <c r="AFV13" s="0" t="s">
        <v>6940</v>
      </c>
      <c r="AFZ13" s="0" t="s">
        <v>25531</v>
      </c>
      <c r="AGA13" s="0" t="s">
        <v>3247</v>
      </c>
      <c r="AGE13" s="0" t="s">
        <v>2911</v>
      </c>
      <c r="AGG13" s="0" t="s">
        <v>25462</v>
      </c>
      <c r="AGI13" s="0" t="s">
        <v>3317</v>
      </c>
      <c r="AGQ13" s="0" t="s">
        <v>25371</v>
      </c>
      <c r="AGS13" s="0" t="s">
        <v>27858</v>
      </c>
      <c r="AGW13" s="0" t="s">
        <v>21725</v>
      </c>
      <c r="AHA13" s="0" t="s">
        <v>7275</v>
      </c>
      <c r="AHK13" s="0" t="s">
        <v>28153</v>
      </c>
      <c r="AHM13" s="0" t="s">
        <v>28185</v>
      </c>
      <c r="AHR13" s="0" t="s">
        <v>28260</v>
      </c>
      <c r="AHS13" s="0" t="s">
        <v>14780</v>
      </c>
      <c r="AID13" s="0" t="s">
        <v>28379</v>
      </c>
      <c r="AIL13" s="0" t="s">
        <v>4721</v>
      </c>
      <c r="AIP13" s="0" t="s">
        <v>28494</v>
      </c>
      <c r="AIW13" s="0" t="s">
        <v>28626</v>
      </c>
      <c r="AJC13" s="0" t="s">
        <v>28692</v>
      </c>
      <c r="AJM13" s="0" t="s">
        <v>28853</v>
      </c>
      <c r="AJS13" s="0" t="s">
        <v>28912</v>
      </c>
      <c r="AJY13" s="0" t="s">
        <v>29012</v>
      </c>
      <c r="AKM13" s="0" t="s">
        <v>29099</v>
      </c>
      <c r="AKU13" s="0" t="s">
        <v>29245</v>
      </c>
      <c r="ALS13" s="0" t="s">
        <v>29377</v>
      </c>
      <c r="AMR13" s="0" t="s">
        <v>3061</v>
      </c>
      <c r="AMS13" s="0" t="s">
        <v>29787</v>
      </c>
      <c r="AMT13" s="0" t="s">
        <v>3328</v>
      </c>
      <c r="AMU13" s="0" t="s">
        <v>3061</v>
      </c>
      <c r="AMX13" s="0" t="s">
        <v>3061</v>
      </c>
      <c r="AMY13" s="0" t="s">
        <v>29787</v>
      </c>
      <c r="AMZ13" s="0" t="s">
        <v>3328</v>
      </c>
      <c r="ANA13" s="0" t="s">
        <v>3061</v>
      </c>
      <c r="ANB13" s="0" t="s">
        <v>29787</v>
      </c>
      <c r="ANC13" s="0" t="s">
        <v>3328</v>
      </c>
      <c r="AND13" s="0" t="s">
        <v>7396</v>
      </c>
      <c r="ANE13" s="0" t="s">
        <v>29787</v>
      </c>
      <c r="ANF13" s="0" t="s">
        <v>3328</v>
      </c>
      <c r="ANG13" s="0" t="s">
        <v>7396</v>
      </c>
      <c r="ANH13" s="0" t="s">
        <v>29787</v>
      </c>
      <c r="ANI13" s="0" t="s">
        <v>3328</v>
      </c>
      <c r="AOD13" s="0" t="s">
        <v>31522</v>
      </c>
      <c r="AOW13" s="0" t="s">
        <v>31654</v>
      </c>
      <c r="AOZ13" s="0" t="s">
        <v>31750</v>
      </c>
      <c r="APT13" s="0" t="s">
        <v>32000</v>
      </c>
      <c r="AQH13" s="0" t="s">
        <v>32103</v>
      </c>
      <c r="AQN13" s="0" t="s">
        <v>32179</v>
      </c>
      <c r="AQV13" s="0" t="s">
        <v>4721</v>
      </c>
      <c r="ASA13" s="0" t="s">
        <v>32538</v>
      </c>
      <c r="ASG13" s="0" t="s">
        <v>32680</v>
      </c>
      <c r="ASM13" s="0" t="s">
        <v>32790</v>
      </c>
      <c r="ASO13" s="0" t="s">
        <v>32858</v>
      </c>
      <c r="ASR13" s="0" t="s">
        <v>32901</v>
      </c>
      <c r="AST13" s="0" t="s">
        <v>32905</v>
      </c>
    </row>
    <row r="14" customFormat="false" ht="15" hidden="false" customHeight="false" outlineLevel="0" collapsed="false">
      <c r="I14" s="0" t="s">
        <v>982</v>
      </c>
      <c r="M14" s="0" t="s">
        <v>2037</v>
      </c>
      <c r="Q14" s="0" t="s">
        <v>3041</v>
      </c>
      <c r="AP14" s="0" t="s">
        <v>3444</v>
      </c>
      <c r="AS14" s="0" t="s">
        <v>3892</v>
      </c>
      <c r="AV14" s="0" t="s">
        <v>4594</v>
      </c>
      <c r="BD14" s="0" t="s">
        <v>4130</v>
      </c>
      <c r="BG14" s="0" t="s">
        <v>2097</v>
      </c>
      <c r="BJ14" s="0" t="s">
        <v>5525</v>
      </c>
      <c r="BW14" s="0" t="s">
        <v>6083</v>
      </c>
      <c r="BX14" s="0" t="s">
        <v>2082</v>
      </c>
      <c r="CG14" s="0" t="s">
        <v>2351</v>
      </c>
      <c r="CY14" s="0" t="s">
        <v>719</v>
      </c>
      <c r="CZ14" s="0" t="s">
        <v>1545</v>
      </c>
      <c r="DN14" s="0" t="s">
        <v>6584</v>
      </c>
      <c r="DV14" s="0" t="s">
        <v>6768</v>
      </c>
      <c r="DW14" s="0" t="s">
        <v>714</v>
      </c>
      <c r="EG14" s="0" t="s">
        <v>784</v>
      </c>
      <c r="EH14" s="0" t="s">
        <v>6940</v>
      </c>
      <c r="EI14" s="0" t="s">
        <v>7573</v>
      </c>
      <c r="EM14" s="0" t="s">
        <v>3061</v>
      </c>
      <c r="FX14" s="0" t="s">
        <v>8131</v>
      </c>
      <c r="FY14" s="0" t="s">
        <v>7851</v>
      </c>
      <c r="GC14" s="0" t="s">
        <v>9181</v>
      </c>
      <c r="GE14" s="0" t="s">
        <v>8592</v>
      </c>
      <c r="GG14" s="0" t="s">
        <v>8162</v>
      </c>
      <c r="GI14" s="0" t="s">
        <v>8847</v>
      </c>
      <c r="GN14" s="0" t="s">
        <v>8215</v>
      </c>
      <c r="GX14" s="0" t="s">
        <v>10173</v>
      </c>
      <c r="HA14" s="0" t="s">
        <v>10274</v>
      </c>
      <c r="HB14" s="0" t="s">
        <v>7997</v>
      </c>
      <c r="HC14" s="0" t="s">
        <v>7916</v>
      </c>
      <c r="HI14" s="0" t="s">
        <v>7925</v>
      </c>
      <c r="HL14" s="0" t="s">
        <v>11259</v>
      </c>
      <c r="HM14" s="0" t="s">
        <v>11085</v>
      </c>
      <c r="HO14" s="0" t="s">
        <v>6336</v>
      </c>
      <c r="HQ14" s="0" t="s">
        <v>11426</v>
      </c>
      <c r="HS14" s="0" t="s">
        <v>7866</v>
      </c>
      <c r="HX14" s="0" t="s">
        <v>7916</v>
      </c>
      <c r="HZ14" s="0" t="s">
        <v>2600</v>
      </c>
      <c r="IA14" s="0" t="s">
        <v>11746</v>
      </c>
      <c r="IC14" s="0" t="s">
        <v>12700</v>
      </c>
      <c r="ID14" s="0" t="s">
        <v>938</v>
      </c>
      <c r="IE14" s="0" t="s">
        <v>11922</v>
      </c>
      <c r="II14" s="0" t="s">
        <v>12919</v>
      </c>
      <c r="IK14" s="0" t="s">
        <v>11746</v>
      </c>
      <c r="IN14" s="0" t="s">
        <v>12700</v>
      </c>
      <c r="IQ14" s="0" t="s">
        <v>11767</v>
      </c>
      <c r="IV14" s="0" t="s">
        <v>13225</v>
      </c>
      <c r="JA14" s="0" t="s">
        <v>13295</v>
      </c>
      <c r="JD14" s="0" t="s">
        <v>13328</v>
      </c>
      <c r="JL14" s="0" t="s">
        <v>13974</v>
      </c>
      <c r="JN14" s="0" t="s">
        <v>5492</v>
      </c>
      <c r="JQ14" s="0" t="s">
        <v>14291</v>
      </c>
      <c r="JS14" s="0" t="s">
        <v>11740</v>
      </c>
      <c r="JX14" s="0" t="s">
        <v>13974</v>
      </c>
      <c r="JZ14" s="0" t="s">
        <v>714</v>
      </c>
      <c r="KE14" s="0" t="s">
        <v>7985</v>
      </c>
      <c r="KG14" s="0" t="s">
        <v>6246</v>
      </c>
      <c r="KI14" s="0" t="s">
        <v>14753</v>
      </c>
      <c r="KP14" s="0" t="s">
        <v>14855</v>
      </c>
      <c r="KQ14" s="0" t="s">
        <v>15123</v>
      </c>
      <c r="KR14" s="0" t="s">
        <v>14797</v>
      </c>
      <c r="KS14" s="0" t="s">
        <v>15282</v>
      </c>
      <c r="KV14" s="0" t="s">
        <v>14811</v>
      </c>
      <c r="KY14" s="0" t="s">
        <v>15421</v>
      </c>
      <c r="LD14" s="0" t="s">
        <v>15489</v>
      </c>
      <c r="LF14" s="0" t="s">
        <v>15523</v>
      </c>
      <c r="LI14" s="0" t="s">
        <v>15568</v>
      </c>
      <c r="LJ14" s="0" t="s">
        <v>15599</v>
      </c>
      <c r="LK14" s="0" t="s">
        <v>15669</v>
      </c>
      <c r="LL14" s="0" t="s">
        <v>15679</v>
      </c>
      <c r="LQ14" s="0" t="s">
        <v>15770</v>
      </c>
      <c r="LY14" s="0" t="s">
        <v>15897</v>
      </c>
      <c r="MA14" s="0" t="s">
        <v>15956</v>
      </c>
      <c r="MC14" s="0" t="s">
        <v>16094</v>
      </c>
      <c r="MF14" s="0" t="s">
        <v>2227</v>
      </c>
      <c r="MJ14" s="0" t="s">
        <v>14776</v>
      </c>
      <c r="ML14" s="0" t="s">
        <v>16510</v>
      </c>
      <c r="MM14" s="0" t="s">
        <v>6246</v>
      </c>
      <c r="MO14" s="0" t="s">
        <v>16540</v>
      </c>
      <c r="MP14" s="0" t="s">
        <v>16746</v>
      </c>
      <c r="MT14" s="0" t="s">
        <v>16947</v>
      </c>
      <c r="MV14" s="0" t="s">
        <v>16917</v>
      </c>
      <c r="MY14" s="0" t="s">
        <v>1733</v>
      </c>
      <c r="NA14" s="0" t="s">
        <v>17109</v>
      </c>
      <c r="ND14" s="0" t="s">
        <v>17120</v>
      </c>
      <c r="NG14" s="0" t="s">
        <v>1655</v>
      </c>
      <c r="NI14" s="0" t="s">
        <v>17697</v>
      </c>
      <c r="NM14" s="0" t="s">
        <v>17772</v>
      </c>
      <c r="NR14" s="0" t="s">
        <v>17921</v>
      </c>
      <c r="NU14" s="0" t="s">
        <v>17975</v>
      </c>
      <c r="NW14" s="0" t="s">
        <v>17205</v>
      </c>
      <c r="NY14" s="0" t="s">
        <v>17218</v>
      </c>
      <c r="OD14" s="0" t="s">
        <v>18155</v>
      </c>
      <c r="OE14" s="0" t="s">
        <v>17175</v>
      </c>
      <c r="OG14" s="0" t="s">
        <v>18197</v>
      </c>
      <c r="OH14" s="0" t="s">
        <v>18243</v>
      </c>
      <c r="OJ14" s="0" t="s">
        <v>18260</v>
      </c>
      <c r="OO14" s="0" t="s">
        <v>18569</v>
      </c>
      <c r="OR14" s="0" t="s">
        <v>17306</v>
      </c>
      <c r="OS14" s="0" t="s">
        <v>18751</v>
      </c>
      <c r="OY14" s="0" t="s">
        <v>18834</v>
      </c>
      <c r="PD14" s="0" t="s">
        <v>19202</v>
      </c>
      <c r="PE14" s="0" t="s">
        <v>17223</v>
      </c>
      <c r="PH14" s="0" t="s">
        <v>17218</v>
      </c>
      <c r="PN14" s="0" t="s">
        <v>19418</v>
      </c>
      <c r="QA14" s="0" t="s">
        <v>19530</v>
      </c>
      <c r="QE14" s="0" t="s">
        <v>19591</v>
      </c>
      <c r="QW14" s="0" t="s">
        <v>19805</v>
      </c>
      <c r="RF14" s="0" t="s">
        <v>2440</v>
      </c>
      <c r="RN14" s="0" t="s">
        <v>1733</v>
      </c>
      <c r="SB14" s="0" t="s">
        <v>20041</v>
      </c>
      <c r="SI14" s="0" t="s">
        <v>20332</v>
      </c>
      <c r="SL14" s="0" t="s">
        <v>20425</v>
      </c>
      <c r="SS14" s="0" t="s">
        <v>20477</v>
      </c>
      <c r="TK14" s="0" t="s">
        <v>14832</v>
      </c>
      <c r="UE14" s="0" t="s">
        <v>7358</v>
      </c>
      <c r="VH14" s="0" t="s">
        <v>21241</v>
      </c>
      <c r="VI14" s="0" t="s">
        <v>21493</v>
      </c>
      <c r="WJ14" s="0" t="s">
        <v>21823</v>
      </c>
      <c r="WZ14" s="0" t="s">
        <v>21954</v>
      </c>
      <c r="XC14" s="0" t="s">
        <v>22152</v>
      </c>
      <c r="XI14" s="0" t="s">
        <v>22219</v>
      </c>
      <c r="XK14" s="0" t="s">
        <v>22253</v>
      </c>
      <c r="XL14" s="0" t="s">
        <v>22325</v>
      </c>
      <c r="XM14" s="0" t="s">
        <v>22404</v>
      </c>
      <c r="XT14" s="0" t="s">
        <v>22211</v>
      </c>
      <c r="XY14" s="0" t="s">
        <v>22783</v>
      </c>
      <c r="YG14" s="0" t="s">
        <v>22892</v>
      </c>
      <c r="ZC14" s="0" t="s">
        <v>23170</v>
      </c>
      <c r="ZE14" s="0" t="s">
        <v>23201</v>
      </c>
      <c r="ZK14" s="0" t="s">
        <v>23275</v>
      </c>
      <c r="ZS14" s="0" t="s">
        <v>23345</v>
      </c>
      <c r="ZV14" s="0" t="s">
        <v>23383</v>
      </c>
      <c r="AAI14" s="0" t="s">
        <v>23462</v>
      </c>
      <c r="AAN14" s="0" t="s">
        <v>23556</v>
      </c>
      <c r="AAT14" s="0" t="s">
        <v>23265</v>
      </c>
      <c r="AAW14" s="0" t="s">
        <v>23788</v>
      </c>
      <c r="ABF14" s="0" t="s">
        <v>23838</v>
      </c>
      <c r="ABP14" s="0" t="s">
        <v>24002</v>
      </c>
      <c r="ACF14" s="0" t="s">
        <v>21725</v>
      </c>
      <c r="ACO14" s="0" t="s">
        <v>24362</v>
      </c>
      <c r="ACR14" s="0" t="s">
        <v>24390</v>
      </c>
      <c r="ACV14" s="0" t="s">
        <v>24463</v>
      </c>
      <c r="ACY14" s="0" t="s">
        <v>24530</v>
      </c>
      <c r="ADB14" s="0" t="s">
        <v>24708</v>
      </c>
      <c r="ADD14" s="0" t="s">
        <v>24739</v>
      </c>
      <c r="ADL14" s="0" t="s">
        <v>1685</v>
      </c>
      <c r="ADN14" s="0" t="s">
        <v>16919</v>
      </c>
      <c r="ADO14" s="0" t="s">
        <v>2901</v>
      </c>
      <c r="ADQ14" s="0" t="s">
        <v>25462</v>
      </c>
      <c r="ADR14" s="0" t="s">
        <v>784</v>
      </c>
      <c r="ADT14" s="0" t="s">
        <v>25462</v>
      </c>
      <c r="ADV14" s="0" t="s">
        <v>3247</v>
      </c>
      <c r="ADY14" s="0" t="s">
        <v>25462</v>
      </c>
      <c r="ADZ14" s="0" t="s">
        <v>3328</v>
      </c>
      <c r="AEC14" s="0" t="s">
        <v>26064</v>
      </c>
      <c r="AED14" s="0" t="s">
        <v>5097</v>
      </c>
      <c r="AEH14" s="0" t="s">
        <v>25462</v>
      </c>
      <c r="AEI14" s="0" t="s">
        <v>784</v>
      </c>
      <c r="AEQ14" s="0" t="s">
        <v>7358</v>
      </c>
      <c r="AES14" s="0" t="s">
        <v>25459</v>
      </c>
      <c r="AET14" s="0" t="s">
        <v>3328</v>
      </c>
      <c r="AFI14" s="0" t="s">
        <v>25462</v>
      </c>
      <c r="AFK14" s="0" t="s">
        <v>3328</v>
      </c>
      <c r="AFP14" s="0" t="s">
        <v>24231</v>
      </c>
      <c r="AFV14" s="0" t="s">
        <v>3247</v>
      </c>
      <c r="AFZ14" s="0" t="s">
        <v>14034</v>
      </c>
      <c r="AGA14" s="0" t="s">
        <v>784</v>
      </c>
      <c r="AGE14" s="0" t="s">
        <v>7275</v>
      </c>
      <c r="AGG14" s="0" t="s">
        <v>25459</v>
      </c>
      <c r="AGI14" s="0" t="s">
        <v>6768</v>
      </c>
      <c r="AGQ14" s="0" t="s">
        <v>27359</v>
      </c>
      <c r="AGS14" s="0" t="s">
        <v>27860</v>
      </c>
      <c r="AGW14" s="0" t="s">
        <v>23567</v>
      </c>
      <c r="AHA14" s="0" t="s">
        <v>2961</v>
      </c>
      <c r="AHK14" s="0" t="s">
        <v>28159</v>
      </c>
      <c r="AHM14" s="0" t="s">
        <v>28217</v>
      </c>
      <c r="AHR14" s="0" t="s">
        <v>28262</v>
      </c>
      <c r="AHS14" s="0" t="s">
        <v>16216</v>
      </c>
      <c r="AID14" s="0" t="s">
        <v>28381</v>
      </c>
      <c r="AIL14" s="0" t="s">
        <v>714</v>
      </c>
      <c r="AIP14" s="0" t="s">
        <v>28496</v>
      </c>
      <c r="AIW14" s="0" t="s">
        <v>28622</v>
      </c>
      <c r="AJC14" s="0" t="s">
        <v>28737</v>
      </c>
      <c r="AJM14" s="0" t="s">
        <v>28831</v>
      </c>
      <c r="AJS14" s="0" t="s">
        <v>28914</v>
      </c>
      <c r="AJY14" s="0" t="s">
        <v>29014</v>
      </c>
      <c r="AKM14" s="0" t="s">
        <v>29101</v>
      </c>
      <c r="ALS14" s="0" t="s">
        <v>29379</v>
      </c>
      <c r="AMR14" s="0" t="s">
        <v>11870</v>
      </c>
      <c r="AMS14" s="0" t="s">
        <v>3247</v>
      </c>
      <c r="AMT14" s="0" t="s">
        <v>6246</v>
      </c>
      <c r="AMU14" s="0" t="s">
        <v>3111</v>
      </c>
      <c r="AMX14" s="0" t="s">
        <v>11870</v>
      </c>
      <c r="AMY14" s="0" t="s">
        <v>3247</v>
      </c>
      <c r="AMZ14" s="0" t="s">
        <v>6246</v>
      </c>
      <c r="ANA14" s="0" t="s">
        <v>11870</v>
      </c>
      <c r="ANB14" s="0" t="s">
        <v>3247</v>
      </c>
      <c r="ANC14" s="0" t="s">
        <v>6246</v>
      </c>
      <c r="AND14" s="0" t="s">
        <v>3061</v>
      </c>
      <c r="ANE14" s="0" t="s">
        <v>3247</v>
      </c>
      <c r="ANF14" s="0" t="s">
        <v>6246</v>
      </c>
      <c r="ANG14" s="0" t="s">
        <v>3061</v>
      </c>
      <c r="ANH14" s="0" t="s">
        <v>3247</v>
      </c>
      <c r="ANI14" s="0" t="s">
        <v>6246</v>
      </c>
      <c r="AOD14" s="0" t="s">
        <v>31524</v>
      </c>
      <c r="AOW14" s="0" t="s">
        <v>31670</v>
      </c>
      <c r="AOZ14" s="0" t="s">
        <v>31752</v>
      </c>
      <c r="APT14" s="0" t="s">
        <v>32004</v>
      </c>
      <c r="AQH14" s="0" t="s">
        <v>32082</v>
      </c>
      <c r="AQN14" s="0" t="s">
        <v>32164</v>
      </c>
      <c r="AQV14" s="0" t="s">
        <v>714</v>
      </c>
      <c r="ASA14" s="0" t="s">
        <v>32540</v>
      </c>
      <c r="ASG14" s="0" t="s">
        <v>32684</v>
      </c>
      <c r="ASM14" s="0" t="s">
        <v>32792</v>
      </c>
      <c r="ASO14" s="0" t="s">
        <v>32765</v>
      </c>
      <c r="ASR14" s="0" t="s">
        <v>33017</v>
      </c>
      <c r="AST14" s="0" t="s">
        <v>33023</v>
      </c>
    </row>
    <row r="15" customFormat="false" ht="15" hidden="false" customHeight="false" outlineLevel="0" collapsed="false">
      <c r="I15" s="0" t="s">
        <v>993</v>
      </c>
      <c r="M15" s="0" t="s">
        <v>2042</v>
      </c>
      <c r="Q15" s="0" t="s">
        <v>3051</v>
      </c>
      <c r="AP15" s="0" t="s">
        <v>2047</v>
      </c>
      <c r="AS15" s="0" t="s">
        <v>905</v>
      </c>
      <c r="AV15" s="0" t="s">
        <v>4599</v>
      </c>
      <c r="BD15" s="0" t="s">
        <v>1433</v>
      </c>
      <c r="BG15" s="0" t="s">
        <v>5263</v>
      </c>
      <c r="BJ15" s="0" t="s">
        <v>5531</v>
      </c>
      <c r="BW15" s="0" t="s">
        <v>6091</v>
      </c>
      <c r="BX15" s="0" t="s">
        <v>2157</v>
      </c>
      <c r="CG15" s="0" t="s">
        <v>2400</v>
      </c>
      <c r="CY15" s="0" t="s">
        <v>707</v>
      </c>
      <c r="CZ15" s="0" t="s">
        <v>1595</v>
      </c>
      <c r="DN15" s="0" t="s">
        <v>6586</v>
      </c>
      <c r="DV15" s="0" t="s">
        <v>784</v>
      </c>
      <c r="DW15" s="0" t="s">
        <v>3833</v>
      </c>
      <c r="EG15" s="0" t="s">
        <v>6244</v>
      </c>
      <c r="EH15" s="0" t="s">
        <v>3247</v>
      </c>
      <c r="EM15" s="0" t="s">
        <v>3111</v>
      </c>
      <c r="FX15" s="0" t="s">
        <v>8151</v>
      </c>
      <c r="FY15" s="0" t="s">
        <v>7925</v>
      </c>
      <c r="GC15" s="0" t="s">
        <v>9185</v>
      </c>
      <c r="GE15" s="0" t="s">
        <v>8594</v>
      </c>
      <c r="GG15" s="0" t="s">
        <v>9797</v>
      </c>
      <c r="GI15" s="0" t="s">
        <v>8849</v>
      </c>
      <c r="GN15" s="0" t="s">
        <v>8188</v>
      </c>
      <c r="GX15" s="0" t="s">
        <v>7827</v>
      </c>
      <c r="HB15" s="0" t="s">
        <v>10750</v>
      </c>
      <c r="HC15" s="0" t="s">
        <v>8220</v>
      </c>
      <c r="HI15" s="0" t="s">
        <v>7914</v>
      </c>
      <c r="HL15" s="0" t="s">
        <v>11261</v>
      </c>
      <c r="HM15" s="0" t="s">
        <v>7847</v>
      </c>
      <c r="HQ15" s="0" t="s">
        <v>11513</v>
      </c>
      <c r="HS15" s="0" t="s">
        <v>7899</v>
      </c>
      <c r="HX15" s="0" t="s">
        <v>8220</v>
      </c>
      <c r="HZ15" s="0" t="s">
        <v>12096</v>
      </c>
      <c r="IA15" s="0" t="s">
        <v>11767</v>
      </c>
      <c r="IC15" s="0" t="s">
        <v>12703</v>
      </c>
      <c r="ID15" s="0" t="s">
        <v>993</v>
      </c>
      <c r="IE15" s="0" t="s">
        <v>12670</v>
      </c>
      <c r="II15" s="0" t="s">
        <v>12952</v>
      </c>
      <c r="IK15" s="0" t="s">
        <v>11767</v>
      </c>
      <c r="IN15" s="0" t="s">
        <v>12703</v>
      </c>
      <c r="IQ15" s="0" t="s">
        <v>11770</v>
      </c>
      <c r="IV15" s="0" t="s">
        <v>13204</v>
      </c>
      <c r="JA15" s="0" t="s">
        <v>13297</v>
      </c>
      <c r="JD15" s="0" t="s">
        <v>1670</v>
      </c>
      <c r="JL15" s="0" t="s">
        <v>14034</v>
      </c>
      <c r="JN15" s="0" t="s">
        <v>4000</v>
      </c>
      <c r="JQ15" s="0" t="s">
        <v>14293</v>
      </c>
      <c r="JS15" s="0" t="s">
        <v>1733</v>
      </c>
      <c r="JX15" s="0" t="s">
        <v>14034</v>
      </c>
      <c r="JZ15" s="0" t="s">
        <v>3833</v>
      </c>
      <c r="KE15" s="0" t="s">
        <v>8829</v>
      </c>
      <c r="KG15" s="0" t="s">
        <v>2911</v>
      </c>
      <c r="KI15" s="0" t="s">
        <v>14755</v>
      </c>
      <c r="KP15" s="0" t="s">
        <v>14857</v>
      </c>
      <c r="KQ15" s="0" t="s">
        <v>15121</v>
      </c>
      <c r="KR15" s="0" t="s">
        <v>14800</v>
      </c>
      <c r="KS15" s="0" t="s">
        <v>15284</v>
      </c>
      <c r="KY15" s="0" t="s">
        <v>15423</v>
      </c>
      <c r="LJ15" s="0" t="s">
        <v>15601</v>
      </c>
      <c r="LK15" s="0" t="s">
        <v>15675</v>
      </c>
      <c r="LL15" s="0" t="s">
        <v>15682</v>
      </c>
      <c r="LQ15" s="0" t="s">
        <v>15772</v>
      </c>
      <c r="LY15" s="0" t="s">
        <v>15557</v>
      </c>
      <c r="MA15" s="0" t="s">
        <v>13734</v>
      </c>
      <c r="MC15" s="0" t="s">
        <v>16100</v>
      </c>
      <c r="MF15" s="0" t="s">
        <v>2297</v>
      </c>
      <c r="MJ15" s="0" t="s">
        <v>14780</v>
      </c>
      <c r="ML15" s="0" t="s">
        <v>16516</v>
      </c>
      <c r="MM15" s="0" t="s">
        <v>2911</v>
      </c>
      <c r="MO15" s="0" t="s">
        <v>16612</v>
      </c>
      <c r="MP15" s="0" t="s">
        <v>16748</v>
      </c>
      <c r="MT15" s="0" t="s">
        <v>16929</v>
      </c>
      <c r="MV15" s="0" t="s">
        <v>16998</v>
      </c>
      <c r="MY15" s="0" t="s">
        <v>3253</v>
      </c>
      <c r="NA15" s="0" t="s">
        <v>17119</v>
      </c>
      <c r="ND15" s="0" t="s">
        <v>17111</v>
      </c>
      <c r="NG15" s="0" t="s">
        <v>2002</v>
      </c>
      <c r="NI15" s="0" t="s">
        <v>17699</v>
      </c>
      <c r="NM15" s="0" t="s">
        <v>17774</v>
      </c>
      <c r="NR15" s="0" t="s">
        <v>17923</v>
      </c>
      <c r="NU15" s="0" t="s">
        <v>17977</v>
      </c>
      <c r="NW15" s="0" t="s">
        <v>18016</v>
      </c>
      <c r="NY15" s="0" t="s">
        <v>17239</v>
      </c>
      <c r="OD15" s="0" t="s">
        <v>18164</v>
      </c>
      <c r="OE15" s="0" t="s">
        <v>17381</v>
      </c>
      <c r="OH15" s="0" t="s">
        <v>18247</v>
      </c>
      <c r="OJ15" s="0" t="s">
        <v>17158</v>
      </c>
      <c r="OO15" s="0" t="s">
        <v>18567</v>
      </c>
      <c r="OR15" s="0" t="s">
        <v>18700</v>
      </c>
      <c r="OY15" s="0" t="s">
        <v>18795</v>
      </c>
      <c r="PD15" s="0" t="s">
        <v>19161</v>
      </c>
      <c r="PE15" s="0" t="s">
        <v>17233</v>
      </c>
      <c r="PH15" s="0" t="s">
        <v>17239</v>
      </c>
      <c r="PN15" s="0" t="s">
        <v>19421</v>
      </c>
      <c r="QA15" s="0" t="s">
        <v>19532</v>
      </c>
      <c r="QE15" s="0" t="s">
        <v>19593</v>
      </c>
      <c r="QW15" s="0" t="s">
        <v>19763</v>
      </c>
      <c r="RF15" s="0" t="s">
        <v>2470</v>
      </c>
      <c r="SB15" s="0" t="s">
        <v>20043</v>
      </c>
      <c r="SI15" s="0" t="s">
        <v>19980</v>
      </c>
      <c r="SL15" s="0" t="s">
        <v>20430</v>
      </c>
      <c r="SS15" s="0" t="s">
        <v>20481</v>
      </c>
      <c r="TK15" s="0" t="s">
        <v>16204</v>
      </c>
      <c r="UE15" s="0" t="s">
        <v>13804</v>
      </c>
      <c r="VH15" s="0" t="s">
        <v>21243</v>
      </c>
      <c r="VI15" s="0" t="s">
        <v>21514</v>
      </c>
      <c r="WJ15" s="0" t="s">
        <v>21825</v>
      </c>
      <c r="WZ15" s="0" t="s">
        <v>21956</v>
      </c>
      <c r="XC15" s="0" t="s">
        <v>22130</v>
      </c>
      <c r="XI15" s="0" t="s">
        <v>22222</v>
      </c>
      <c r="XK15" s="0" t="s">
        <v>22256</v>
      </c>
      <c r="XL15" s="0" t="s">
        <v>22327</v>
      </c>
      <c r="XM15" s="0" t="s">
        <v>22406</v>
      </c>
      <c r="XT15" s="0" t="s">
        <v>22215</v>
      </c>
      <c r="XY15" s="0" t="s">
        <v>22785</v>
      </c>
      <c r="YG15" s="0" t="s">
        <v>22894</v>
      </c>
      <c r="ZC15" s="0" t="s">
        <v>23087</v>
      </c>
      <c r="ZE15" s="0" t="s">
        <v>23204</v>
      </c>
      <c r="ZK15" s="0" t="s">
        <v>23277</v>
      </c>
      <c r="ZS15" s="0" t="s">
        <v>23347</v>
      </c>
      <c r="ZV15" s="0" t="s">
        <v>23391</v>
      </c>
      <c r="AAI15" s="0" t="s">
        <v>23464</v>
      </c>
      <c r="AAN15" s="0" t="s">
        <v>23558</v>
      </c>
      <c r="AAT15" s="0" t="s">
        <v>23725</v>
      </c>
      <c r="AAW15" s="0" t="s">
        <v>23790</v>
      </c>
      <c r="ABF15" s="0" t="s">
        <v>23840</v>
      </c>
      <c r="ABP15" s="0" t="s">
        <v>24004</v>
      </c>
      <c r="ACO15" s="0" t="s">
        <v>24364</v>
      </c>
      <c r="ACR15" s="0" t="s">
        <v>24392</v>
      </c>
      <c r="ACV15" s="0" t="s">
        <v>24467</v>
      </c>
      <c r="ACY15" s="0" t="s">
        <v>24616</v>
      </c>
      <c r="ADB15" s="0" t="s">
        <v>24706</v>
      </c>
      <c r="ADD15" s="0" t="s">
        <v>24741</v>
      </c>
      <c r="ADL15" s="0" t="s">
        <v>2002</v>
      </c>
      <c r="ADN15" s="0" t="s">
        <v>25366</v>
      </c>
      <c r="ADO15" s="0" t="s">
        <v>883</v>
      </c>
      <c r="ADQ15" s="0" t="s">
        <v>25459</v>
      </c>
      <c r="ADR15" s="0" t="s">
        <v>3328</v>
      </c>
      <c r="ADT15" s="0" t="s">
        <v>25459</v>
      </c>
      <c r="ADV15" s="0" t="s">
        <v>5097</v>
      </c>
      <c r="ADY15" s="0" t="s">
        <v>25459</v>
      </c>
      <c r="ADZ15" s="0" t="s">
        <v>6246</v>
      </c>
      <c r="AEC15" s="0" t="s">
        <v>13974</v>
      </c>
      <c r="AED15" s="0" t="s">
        <v>3317</v>
      </c>
      <c r="AEH15" s="0" t="s">
        <v>25459</v>
      </c>
      <c r="AEI15" s="0" t="s">
        <v>3328</v>
      </c>
      <c r="AEQ15" s="0" t="s">
        <v>2911</v>
      </c>
      <c r="AES15" s="0" t="s">
        <v>13981</v>
      </c>
      <c r="AET15" s="0" t="s">
        <v>6246</v>
      </c>
      <c r="AFI15" s="0" t="s">
        <v>25459</v>
      </c>
      <c r="AFK15" s="0" t="s">
        <v>6246</v>
      </c>
      <c r="AFP15" s="0" t="s">
        <v>21725</v>
      </c>
      <c r="AFV15" s="0" t="s">
        <v>6723</v>
      </c>
      <c r="AFZ15" s="0" t="s">
        <v>25516</v>
      </c>
      <c r="AGE15" s="0" t="s">
        <v>2961</v>
      </c>
      <c r="AGG15" s="0" t="s">
        <v>13981</v>
      </c>
      <c r="AGI15" s="0" t="s">
        <v>784</v>
      </c>
      <c r="AGQ15" s="0" t="s">
        <v>27689</v>
      </c>
      <c r="AGS15" s="0" t="s">
        <v>27862</v>
      </c>
      <c r="AHA15" s="0" t="s">
        <v>3011</v>
      </c>
      <c r="AHK15" s="0" t="s">
        <v>28143</v>
      </c>
      <c r="AHM15" s="0" t="s">
        <v>28219</v>
      </c>
      <c r="AHR15" s="0" t="s">
        <v>28254</v>
      </c>
      <c r="AHS15" s="0" t="s">
        <v>14783</v>
      </c>
      <c r="AID15" s="0" t="s">
        <v>28383</v>
      </c>
      <c r="AIL15" s="0" t="s">
        <v>3833</v>
      </c>
      <c r="AIP15" s="0" t="s">
        <v>28498</v>
      </c>
      <c r="AIW15" s="0" t="s">
        <v>28624</v>
      </c>
      <c r="AJC15" s="0" t="s">
        <v>28739</v>
      </c>
      <c r="AJM15" s="0" t="s">
        <v>28833</v>
      </c>
      <c r="AJS15" s="0" t="s">
        <v>28916</v>
      </c>
      <c r="AJY15" s="0" t="s">
        <v>29016</v>
      </c>
      <c r="AKM15" s="0" t="s">
        <v>29103</v>
      </c>
      <c r="AMR15" s="0" t="s">
        <v>3111</v>
      </c>
      <c r="AMS15" s="0" t="s">
        <v>3317</v>
      </c>
      <c r="AMT15" s="0" t="s">
        <v>2911</v>
      </c>
      <c r="AMU15" s="0" t="s">
        <v>2600</v>
      </c>
      <c r="AMX15" s="0" t="s">
        <v>3111</v>
      </c>
      <c r="AMY15" s="0" t="s">
        <v>3317</v>
      </c>
      <c r="AMZ15" s="0" t="s">
        <v>2911</v>
      </c>
      <c r="ANA15" s="0" t="s">
        <v>3111</v>
      </c>
      <c r="ANB15" s="0" t="s">
        <v>3317</v>
      </c>
      <c r="ANC15" s="0" t="s">
        <v>2911</v>
      </c>
      <c r="AND15" s="0" t="s">
        <v>11870</v>
      </c>
      <c r="ANE15" s="0" t="s">
        <v>3317</v>
      </c>
      <c r="ANF15" s="0" t="s">
        <v>7358</v>
      </c>
      <c r="ANG15" s="0" t="s">
        <v>11870</v>
      </c>
      <c r="ANH15" s="0" t="s">
        <v>3317</v>
      </c>
      <c r="ANI15" s="0" t="s">
        <v>7358</v>
      </c>
      <c r="AOD15" s="0" t="s">
        <v>31526</v>
      </c>
      <c r="AOW15" s="0" t="s">
        <v>29344</v>
      </c>
      <c r="AOZ15" s="0" t="s">
        <v>31754</v>
      </c>
      <c r="APT15" s="0" t="s">
        <v>32008</v>
      </c>
      <c r="AQN15" s="0" t="s">
        <v>32158</v>
      </c>
      <c r="AQV15" s="0" t="s">
        <v>3833</v>
      </c>
      <c r="ASA15" s="0" t="s">
        <v>23448</v>
      </c>
      <c r="ASG15" s="0" t="s">
        <v>32688</v>
      </c>
      <c r="ASM15" s="0" t="s">
        <v>32797</v>
      </c>
      <c r="ASO15" s="0" t="s">
        <v>32905</v>
      </c>
      <c r="ASR15" s="0" t="s">
        <v>33022</v>
      </c>
      <c r="AST15" s="0" t="s">
        <v>32915</v>
      </c>
    </row>
    <row r="16" customFormat="false" ht="15" hidden="false" customHeight="false" outlineLevel="0" collapsed="false">
      <c r="I16" s="0" t="s">
        <v>1004</v>
      </c>
      <c r="M16" s="0" t="s">
        <v>2047</v>
      </c>
      <c r="Q16" s="0" t="s">
        <v>3061</v>
      </c>
      <c r="AP16" s="0" t="s">
        <v>3459</v>
      </c>
      <c r="AS16" s="0" t="s">
        <v>3903</v>
      </c>
      <c r="AV16" s="0" t="s">
        <v>4604</v>
      </c>
      <c r="BD16" s="0" t="s">
        <v>4883</v>
      </c>
      <c r="BG16" s="0" t="s">
        <v>2112</v>
      </c>
      <c r="BJ16" s="0" t="s">
        <v>1924</v>
      </c>
      <c r="BW16" s="0" t="s">
        <v>6099</v>
      </c>
      <c r="BX16" s="0" t="s">
        <v>2261</v>
      </c>
      <c r="CG16" s="0" t="s">
        <v>6291</v>
      </c>
      <c r="CY16" s="0" t="s">
        <v>5091</v>
      </c>
      <c r="CZ16" s="0" t="s">
        <v>1655</v>
      </c>
      <c r="DN16" s="0" t="s">
        <v>6606</v>
      </c>
      <c r="DV16" s="0" t="s">
        <v>6244</v>
      </c>
      <c r="DW16" s="0" t="s">
        <v>5492</v>
      </c>
      <c r="EG16" s="0" t="s">
        <v>6730</v>
      </c>
      <c r="EH16" s="0" t="s">
        <v>5097</v>
      </c>
      <c r="EM16" s="0" t="s">
        <v>2600</v>
      </c>
      <c r="FX16" s="0" t="s">
        <v>8162</v>
      </c>
      <c r="FY16" s="0" t="s">
        <v>7914</v>
      </c>
      <c r="GC16" s="0" t="s">
        <v>9195</v>
      </c>
      <c r="GE16" s="0" t="s">
        <v>8596</v>
      </c>
      <c r="GG16" s="0" t="s">
        <v>9800</v>
      </c>
      <c r="GI16" s="0" t="s">
        <v>8851</v>
      </c>
      <c r="GN16" s="0" t="s">
        <v>9826</v>
      </c>
      <c r="GX16" s="0" t="s">
        <v>7853</v>
      </c>
      <c r="HB16" s="0" t="s">
        <v>8055</v>
      </c>
      <c r="HC16" s="0" t="s">
        <v>7918</v>
      </c>
      <c r="HI16" s="0" t="s">
        <v>8188</v>
      </c>
      <c r="HL16" s="0" t="s">
        <v>11264</v>
      </c>
      <c r="HM16" s="0" t="s">
        <v>7849</v>
      </c>
      <c r="HQ16" s="0" t="s">
        <v>11428</v>
      </c>
      <c r="HS16" s="0" t="s">
        <v>8017</v>
      </c>
      <c r="HX16" s="0" t="s">
        <v>7918</v>
      </c>
      <c r="HZ16" s="0" t="s">
        <v>11964</v>
      </c>
      <c r="IA16" s="0" t="s">
        <v>11770</v>
      </c>
      <c r="IC16" s="0" t="s">
        <v>12705</v>
      </c>
      <c r="ID16" s="0" t="s">
        <v>1048</v>
      </c>
      <c r="IE16" s="0" t="s">
        <v>12663</v>
      </c>
      <c r="II16" s="0" t="s">
        <v>6549</v>
      </c>
      <c r="IK16" s="0" t="s">
        <v>11770</v>
      </c>
      <c r="IN16" s="0" t="s">
        <v>12705</v>
      </c>
      <c r="IQ16" s="0" t="s">
        <v>11812</v>
      </c>
      <c r="IV16" s="0" t="s">
        <v>13206</v>
      </c>
      <c r="JA16" s="0" t="s">
        <v>13299</v>
      </c>
      <c r="JD16" s="0" t="s">
        <v>1972</v>
      </c>
      <c r="JN16" s="0" t="s">
        <v>6940</v>
      </c>
      <c r="JQ16" s="0" t="s">
        <v>14295</v>
      </c>
      <c r="JX16" s="0" t="s">
        <v>14419</v>
      </c>
      <c r="JZ16" s="0" t="s">
        <v>5492</v>
      </c>
      <c r="KE16" s="0" t="s">
        <v>8085</v>
      </c>
      <c r="KI16" s="0" t="s">
        <v>14757</v>
      </c>
      <c r="KP16" s="0" t="s">
        <v>14859</v>
      </c>
      <c r="KR16" s="0" t="s">
        <v>14945</v>
      </c>
      <c r="KS16" s="0" t="s">
        <v>15260</v>
      </c>
      <c r="KY16" s="0" t="s">
        <v>15427</v>
      </c>
      <c r="LJ16" s="0" t="s">
        <v>15603</v>
      </c>
      <c r="LK16" s="0" t="s">
        <v>15678</v>
      </c>
      <c r="LL16" s="0" t="s">
        <v>15685</v>
      </c>
      <c r="LQ16" s="0" t="s">
        <v>15774</v>
      </c>
      <c r="LY16" s="0" t="s">
        <v>15900</v>
      </c>
      <c r="MA16" s="0" t="s">
        <v>15460</v>
      </c>
      <c r="MC16" s="0" t="s">
        <v>16098</v>
      </c>
      <c r="MF16" s="0" t="s">
        <v>2351</v>
      </c>
      <c r="MJ16" s="0" t="s">
        <v>16411</v>
      </c>
      <c r="ML16" s="0" t="s">
        <v>16522</v>
      </c>
      <c r="MO16" s="0" t="s">
        <v>16614</v>
      </c>
      <c r="MP16" s="0" t="s">
        <v>16750</v>
      </c>
      <c r="MT16" s="0" t="s">
        <v>16934</v>
      </c>
      <c r="MV16" s="0" t="s">
        <v>7396</v>
      </c>
      <c r="MY16" s="0" t="s">
        <v>1881</v>
      </c>
      <c r="NA16" s="0" t="s">
        <v>17125</v>
      </c>
      <c r="ND16" s="0" t="s">
        <v>17137</v>
      </c>
      <c r="NG16" s="0" t="s">
        <v>2067</v>
      </c>
      <c r="NI16" s="0" t="s">
        <v>17701</v>
      </c>
      <c r="NM16" s="0" t="s">
        <v>17776</v>
      </c>
      <c r="NR16" s="0" t="s">
        <v>17926</v>
      </c>
      <c r="NU16" s="0" t="s">
        <v>17979</v>
      </c>
      <c r="NW16" s="0" t="s">
        <v>17217</v>
      </c>
      <c r="NY16" s="0" t="s">
        <v>17255</v>
      </c>
      <c r="OD16" s="0" t="s">
        <v>18166</v>
      </c>
      <c r="OE16" s="0" t="s">
        <v>17386</v>
      </c>
      <c r="OH16" s="0" t="s">
        <v>18251</v>
      </c>
      <c r="OJ16" s="0" t="s">
        <v>17175</v>
      </c>
      <c r="OO16" s="0" t="s">
        <v>18571</v>
      </c>
      <c r="OR16" s="0" t="s">
        <v>18703</v>
      </c>
      <c r="OY16" s="0" t="s">
        <v>18798</v>
      </c>
      <c r="PD16" s="0" t="s">
        <v>19164</v>
      </c>
      <c r="PE16" s="0" t="s">
        <v>17238</v>
      </c>
      <c r="PH16" s="0" t="s">
        <v>17234</v>
      </c>
      <c r="PN16" s="0" t="s">
        <v>19333</v>
      </c>
      <c r="QA16" s="0" t="s">
        <v>19534</v>
      </c>
      <c r="QE16" s="0" t="s">
        <v>19595</v>
      </c>
      <c r="QW16" s="0" t="s">
        <v>19765</v>
      </c>
      <c r="RF16" s="0" t="s">
        <v>2500</v>
      </c>
      <c r="SB16" s="0" t="s">
        <v>20057</v>
      </c>
      <c r="SI16" s="0" t="s">
        <v>20147</v>
      </c>
      <c r="SL16" s="0" t="s">
        <v>20433</v>
      </c>
      <c r="SS16" s="0" t="s">
        <v>20479</v>
      </c>
      <c r="TK16" s="0" t="s">
        <v>14776</v>
      </c>
      <c r="UE16" s="0" t="s">
        <v>6742</v>
      </c>
      <c r="VH16" s="0" t="s">
        <v>21318</v>
      </c>
      <c r="VI16" s="0" t="s">
        <v>21506</v>
      </c>
      <c r="WJ16" s="0" t="s">
        <v>21827</v>
      </c>
      <c r="WZ16" s="0" t="s">
        <v>21952</v>
      </c>
      <c r="XC16" s="0" t="s">
        <v>22132</v>
      </c>
      <c r="XI16" s="0" t="s">
        <v>22225</v>
      </c>
      <c r="XK16" s="0" t="s">
        <v>22284</v>
      </c>
      <c r="XL16" s="0" t="s">
        <v>22329</v>
      </c>
      <c r="XM16" s="0" t="s">
        <v>22408</v>
      </c>
      <c r="XT16" s="0" t="s">
        <v>22199</v>
      </c>
      <c r="XY16" s="0" t="s">
        <v>22787</v>
      </c>
      <c r="YG16" s="0" t="s">
        <v>22896</v>
      </c>
      <c r="ZC16" s="0" t="s">
        <v>23089</v>
      </c>
      <c r="ZE16" s="0" t="s">
        <v>23236</v>
      </c>
      <c r="ZK16" s="0" t="s">
        <v>23279</v>
      </c>
      <c r="ZS16" s="0" t="s">
        <v>23355</v>
      </c>
      <c r="ZV16" s="0" t="s">
        <v>23393</v>
      </c>
      <c r="AAI16" s="0" t="s">
        <v>23466</v>
      </c>
      <c r="AAN16" s="0" t="s">
        <v>23560</v>
      </c>
      <c r="AAT16" s="0" t="s">
        <v>23727</v>
      </c>
      <c r="AAW16" s="0" t="s">
        <v>23792</v>
      </c>
      <c r="ABF16" s="0" t="s">
        <v>23842</v>
      </c>
      <c r="ABP16" s="0" t="s">
        <v>24006</v>
      </c>
      <c r="ACR16" s="0" t="s">
        <v>24394</v>
      </c>
      <c r="ACV16" s="0" t="s">
        <v>24477</v>
      </c>
      <c r="ACY16" s="0" t="s">
        <v>24562</v>
      </c>
      <c r="ADB16" s="0" t="s">
        <v>23170</v>
      </c>
      <c r="ADD16" s="0" t="s">
        <v>24743</v>
      </c>
      <c r="ADL16" s="0" t="s">
        <v>2022</v>
      </c>
      <c r="ADN16" s="0" t="s">
        <v>24908</v>
      </c>
      <c r="ADO16" s="0" t="s">
        <v>6497</v>
      </c>
      <c r="ADQ16" s="0" t="s">
        <v>13981</v>
      </c>
      <c r="ADR16" s="0" t="s">
        <v>6246</v>
      </c>
      <c r="ADT16" s="0" t="s">
        <v>13981</v>
      </c>
      <c r="ADV16" s="0" t="s">
        <v>3317</v>
      </c>
      <c r="ADY16" s="0" t="s">
        <v>13981</v>
      </c>
      <c r="ADZ16" s="0" t="s">
        <v>7358</v>
      </c>
      <c r="AEC16" s="0" t="s">
        <v>24231</v>
      </c>
      <c r="AED16" s="0" t="s">
        <v>6768</v>
      </c>
      <c r="AEH16" s="0" t="s">
        <v>13981</v>
      </c>
      <c r="AEI16" s="0" t="s">
        <v>6246</v>
      </c>
      <c r="AES16" s="0" t="s">
        <v>13974</v>
      </c>
      <c r="AET16" s="0" t="s">
        <v>2911</v>
      </c>
      <c r="AFI16" s="0" t="s">
        <v>13981</v>
      </c>
      <c r="AFK16" s="0" t="s">
        <v>7358</v>
      </c>
      <c r="AFP16" s="0" t="s">
        <v>23567</v>
      </c>
      <c r="AFV16" s="0" t="s">
        <v>3317</v>
      </c>
      <c r="AFZ16" s="0" t="s">
        <v>25753</v>
      </c>
      <c r="AGE16" s="0" t="s">
        <v>3011</v>
      </c>
      <c r="AGG16" s="0" t="s">
        <v>25471</v>
      </c>
      <c r="AGI16" s="0" t="s">
        <v>6244</v>
      </c>
      <c r="AGQ16" s="0" t="s">
        <v>27841</v>
      </c>
      <c r="AGS16" s="0" t="s">
        <v>27864</v>
      </c>
      <c r="AHA16" s="0" t="s">
        <v>3061</v>
      </c>
      <c r="AHM16" s="0" t="s">
        <v>28221</v>
      </c>
      <c r="AHR16" s="0" t="s">
        <v>28301</v>
      </c>
      <c r="AHS16" s="0" t="s">
        <v>14785</v>
      </c>
      <c r="AID16" s="0" t="s">
        <v>28387</v>
      </c>
      <c r="AIL16" s="0" t="s">
        <v>5492</v>
      </c>
      <c r="AIP16" s="0" t="s">
        <v>28500</v>
      </c>
      <c r="AIW16" s="0" t="s">
        <v>28593</v>
      </c>
      <c r="AJC16" s="0" t="s">
        <v>28741</v>
      </c>
      <c r="AJM16" s="0" t="s">
        <v>28835</v>
      </c>
      <c r="AJS16" s="0" t="s">
        <v>28918</v>
      </c>
      <c r="AJY16" s="0" t="s">
        <v>29008</v>
      </c>
      <c r="AKM16" s="0" t="s">
        <v>29105</v>
      </c>
      <c r="AMR16" s="0" t="s">
        <v>12306</v>
      </c>
      <c r="AMS16" s="0" t="s">
        <v>784</v>
      </c>
      <c r="AMT16" s="0" t="s">
        <v>2961</v>
      </c>
      <c r="AMU16" s="0" t="s">
        <v>2651</v>
      </c>
      <c r="AMX16" s="0" t="s">
        <v>12306</v>
      </c>
      <c r="AMY16" s="0" t="s">
        <v>784</v>
      </c>
      <c r="AMZ16" s="0" t="s">
        <v>2961</v>
      </c>
      <c r="ANA16" s="0" t="s">
        <v>12306</v>
      </c>
      <c r="ANB16" s="0" t="s">
        <v>784</v>
      </c>
      <c r="ANC16" s="0" t="s">
        <v>2961</v>
      </c>
      <c r="AND16" s="0" t="s">
        <v>3111</v>
      </c>
      <c r="ANE16" s="0" t="s">
        <v>784</v>
      </c>
      <c r="ANF16" s="0" t="s">
        <v>2911</v>
      </c>
      <c r="ANG16" s="0" t="s">
        <v>3111</v>
      </c>
      <c r="ANH16" s="0" t="s">
        <v>784</v>
      </c>
      <c r="ANI16" s="0" t="s">
        <v>2911</v>
      </c>
      <c r="AOD16" s="0" t="s">
        <v>31528</v>
      </c>
      <c r="AOW16" s="0" t="s">
        <v>29346</v>
      </c>
      <c r="AOZ16" s="0" t="s">
        <v>31756</v>
      </c>
      <c r="APT16" s="0" t="s">
        <v>32012</v>
      </c>
      <c r="AQN16" s="0" t="s">
        <v>32138</v>
      </c>
      <c r="AQV16" s="0" t="s">
        <v>5492</v>
      </c>
      <c r="ASA16" s="0" t="s">
        <v>23452</v>
      </c>
      <c r="ASG16" s="0" t="s">
        <v>32692</v>
      </c>
      <c r="ASM16" s="0" t="s">
        <v>24804</v>
      </c>
      <c r="ASO16" s="0" t="s">
        <v>32918</v>
      </c>
      <c r="ASR16" s="0" t="s">
        <v>33027</v>
      </c>
      <c r="AST16" s="0" t="s">
        <v>32921</v>
      </c>
    </row>
    <row r="17" customFormat="false" ht="15" hidden="false" customHeight="false" outlineLevel="0" collapsed="false">
      <c r="I17" s="0" t="s">
        <v>1015</v>
      </c>
      <c r="M17" s="0" t="s">
        <v>2052</v>
      </c>
      <c r="Q17" s="0" t="s">
        <v>3071</v>
      </c>
      <c r="AP17" s="0" t="s">
        <v>2057</v>
      </c>
      <c r="AS17" s="0" t="s">
        <v>938</v>
      </c>
      <c r="AV17" s="0" t="s">
        <v>4609</v>
      </c>
      <c r="BD17" s="0" t="s">
        <v>1470</v>
      </c>
      <c r="BG17" s="0" t="s">
        <v>5288</v>
      </c>
      <c r="BJ17" s="0" t="s">
        <v>5542</v>
      </c>
      <c r="BW17" s="0" t="s">
        <v>6107</v>
      </c>
      <c r="BX17" s="0" t="s">
        <v>2440</v>
      </c>
      <c r="CG17" s="0" t="s">
        <v>2460</v>
      </c>
      <c r="CY17" s="0" t="s">
        <v>761</v>
      </c>
      <c r="CZ17" s="0" t="s">
        <v>1670</v>
      </c>
      <c r="DN17" s="0" t="s">
        <v>6588</v>
      </c>
      <c r="DV17" s="0" t="s">
        <v>6805</v>
      </c>
      <c r="DW17" s="0" t="s">
        <v>4000</v>
      </c>
      <c r="EG17" s="0" t="s">
        <v>6246</v>
      </c>
      <c r="EH17" s="0" t="s">
        <v>3317</v>
      </c>
      <c r="FX17" s="0" t="s">
        <v>8165</v>
      </c>
      <c r="FY17" s="0" t="s">
        <v>7912</v>
      </c>
      <c r="GE17" s="0" t="s">
        <v>8847</v>
      </c>
      <c r="GG17" s="0" t="s">
        <v>9802</v>
      </c>
      <c r="GI17" s="0" t="s">
        <v>8853</v>
      </c>
      <c r="GN17" s="0" t="s">
        <v>7912</v>
      </c>
      <c r="GX17" s="0" t="s">
        <v>7869</v>
      </c>
      <c r="HB17" s="0" t="s">
        <v>8984</v>
      </c>
      <c r="HC17" s="0" t="s">
        <v>7847</v>
      </c>
      <c r="HI17" s="0" t="s">
        <v>7912</v>
      </c>
      <c r="HL17" s="0" t="s">
        <v>11266</v>
      </c>
      <c r="HM17" s="0" t="s">
        <v>7922</v>
      </c>
      <c r="HQ17" s="0" t="s">
        <v>11430</v>
      </c>
      <c r="HS17" s="0" t="s">
        <v>10682</v>
      </c>
      <c r="HX17" s="0" t="s">
        <v>7847</v>
      </c>
      <c r="HZ17" s="0" t="s">
        <v>2651</v>
      </c>
      <c r="IA17" s="0" t="s">
        <v>11812</v>
      </c>
      <c r="IC17" s="0" t="s">
        <v>12707</v>
      </c>
      <c r="ID17" s="0" t="s">
        <v>1103</v>
      </c>
      <c r="IE17" s="0" t="s">
        <v>12633</v>
      </c>
      <c r="II17" s="0" t="s">
        <v>12839</v>
      </c>
      <c r="IK17" s="0" t="s">
        <v>11874</v>
      </c>
      <c r="IN17" s="0" t="s">
        <v>12707</v>
      </c>
      <c r="IQ17" s="0" t="s">
        <v>12784</v>
      </c>
      <c r="IV17" s="0" t="s">
        <v>13228</v>
      </c>
      <c r="JA17" s="0" t="s">
        <v>13309</v>
      </c>
      <c r="JD17" s="0" t="s">
        <v>2002</v>
      </c>
      <c r="JN17" s="0" t="s">
        <v>3247</v>
      </c>
      <c r="JQ17" s="0" t="s">
        <v>14297</v>
      </c>
      <c r="JZ17" s="0" t="s">
        <v>4000</v>
      </c>
      <c r="KE17" s="0" t="s">
        <v>14554</v>
      </c>
      <c r="KI17" s="0" t="s">
        <v>14759</v>
      </c>
      <c r="KP17" s="0" t="s">
        <v>14834</v>
      </c>
      <c r="KR17" s="0" t="s">
        <v>14803</v>
      </c>
      <c r="KS17" s="0" t="s">
        <v>15257</v>
      </c>
      <c r="KY17" s="0" t="s">
        <v>15429</v>
      </c>
      <c r="LJ17" s="0" t="s">
        <v>15605</v>
      </c>
      <c r="LK17" s="0" t="s">
        <v>15689</v>
      </c>
      <c r="LL17" s="0" t="s">
        <v>15687</v>
      </c>
      <c r="LQ17" s="0" t="s">
        <v>15776</v>
      </c>
      <c r="LY17" s="0" t="s">
        <v>15903</v>
      </c>
      <c r="MA17" s="0" t="s">
        <v>16020</v>
      </c>
      <c r="MC17" s="0" t="s">
        <v>16108</v>
      </c>
      <c r="MF17" s="0" t="s">
        <v>2400</v>
      </c>
      <c r="MJ17" s="0" t="s">
        <v>16216</v>
      </c>
      <c r="ML17" s="0" t="s">
        <v>16524</v>
      </c>
      <c r="MO17" s="0" t="s">
        <v>16616</v>
      </c>
      <c r="MP17" s="0" t="s">
        <v>16752</v>
      </c>
      <c r="MT17" s="0" t="s">
        <v>16939</v>
      </c>
      <c r="MV17" s="0" t="s">
        <v>3111</v>
      </c>
      <c r="MY17" s="0" t="s">
        <v>5525</v>
      </c>
      <c r="NA17" s="0" t="s">
        <v>17128</v>
      </c>
      <c r="ND17" s="0" t="s">
        <v>17131</v>
      </c>
      <c r="NG17" s="0" t="s">
        <v>2142</v>
      </c>
      <c r="NI17" s="0" t="s">
        <v>13243</v>
      </c>
      <c r="NM17" s="0" t="s">
        <v>17779</v>
      </c>
      <c r="NR17" s="0" t="s">
        <v>17928</v>
      </c>
      <c r="NU17" s="0" t="s">
        <v>17981</v>
      </c>
      <c r="NW17" s="0" t="s">
        <v>17223</v>
      </c>
      <c r="NY17" s="0" t="s">
        <v>17250</v>
      </c>
      <c r="OD17" s="0" t="s">
        <v>18174</v>
      </c>
      <c r="OE17" s="0" t="s">
        <v>17215</v>
      </c>
      <c r="OH17" s="0" t="s">
        <v>18253</v>
      </c>
      <c r="OJ17" s="0" t="s">
        <v>17180</v>
      </c>
      <c r="OO17" s="0" t="s">
        <v>18575</v>
      </c>
      <c r="OR17" s="0" t="s">
        <v>18705</v>
      </c>
      <c r="OY17" s="0" t="s">
        <v>15806</v>
      </c>
      <c r="PD17" s="0" t="s">
        <v>19047</v>
      </c>
      <c r="PE17" s="0" t="s">
        <v>17249</v>
      </c>
      <c r="PH17" s="0" t="s">
        <v>17255</v>
      </c>
      <c r="PN17" s="0" t="s">
        <v>19337</v>
      </c>
      <c r="QA17" s="0" t="s">
        <v>19536</v>
      </c>
      <c r="QE17" s="0" t="s">
        <v>19598</v>
      </c>
      <c r="QW17" s="0" t="s">
        <v>19758</v>
      </c>
      <c r="RF17" s="0" t="s">
        <v>2540</v>
      </c>
      <c r="SB17" s="0" t="s">
        <v>20059</v>
      </c>
      <c r="SI17" s="0" t="s">
        <v>20149</v>
      </c>
      <c r="SL17" s="0" t="s">
        <v>20436</v>
      </c>
      <c r="SS17" s="0" t="s">
        <v>20483</v>
      </c>
      <c r="TK17" s="0" t="s">
        <v>14780</v>
      </c>
      <c r="UE17" s="0" t="s">
        <v>2911</v>
      </c>
      <c r="VH17" s="0" t="s">
        <v>21309</v>
      </c>
      <c r="WJ17" s="0" t="s">
        <v>21829</v>
      </c>
      <c r="WZ17" s="0" t="s">
        <v>21958</v>
      </c>
      <c r="XC17" s="0" t="s">
        <v>22134</v>
      </c>
      <c r="XI17" s="0" t="s">
        <v>22240</v>
      </c>
      <c r="XK17" s="0" t="s">
        <v>22258</v>
      </c>
      <c r="XL17" s="0" t="s">
        <v>22331</v>
      </c>
      <c r="XM17" s="0" t="s">
        <v>22414</v>
      </c>
      <c r="XT17" s="0" t="s">
        <v>22207</v>
      </c>
      <c r="XY17" s="0" t="s">
        <v>22795</v>
      </c>
      <c r="YG17" s="0" t="s">
        <v>22898</v>
      </c>
      <c r="ZC17" s="0" t="s">
        <v>23173</v>
      </c>
      <c r="ZE17" s="0" t="s">
        <v>23216</v>
      </c>
      <c r="ZK17" s="0" t="s">
        <v>23285</v>
      </c>
      <c r="ZS17" s="0" t="s">
        <v>23351</v>
      </c>
      <c r="ZV17" s="0" t="s">
        <v>23403</v>
      </c>
      <c r="AAI17" s="0" t="s">
        <v>23468</v>
      </c>
      <c r="AAN17" s="0" t="s">
        <v>22490</v>
      </c>
      <c r="AAT17" s="0" t="s">
        <v>23271</v>
      </c>
      <c r="AAW17" s="0" t="s">
        <v>23794</v>
      </c>
      <c r="ABF17" s="0" t="s">
        <v>23846</v>
      </c>
      <c r="ABP17" s="0" t="s">
        <v>24008</v>
      </c>
      <c r="ACR17" s="0" t="s">
        <v>24396</v>
      </c>
      <c r="ACV17" s="0" t="s">
        <v>24479</v>
      </c>
      <c r="ACY17" s="0" t="s">
        <v>24619</v>
      </c>
      <c r="ADB17" s="0" t="s">
        <v>23089</v>
      </c>
      <c r="ADD17" s="0" t="s">
        <v>24745</v>
      </c>
      <c r="ADL17" s="0" t="s">
        <v>2037</v>
      </c>
      <c r="ADN17" s="0" t="s">
        <v>25332</v>
      </c>
      <c r="ADO17" s="0" t="s">
        <v>938</v>
      </c>
      <c r="ADQ17" s="0" t="s">
        <v>25471</v>
      </c>
      <c r="ADR17" s="0" t="s">
        <v>7358</v>
      </c>
      <c r="ADT17" s="0" t="s">
        <v>25471</v>
      </c>
      <c r="ADV17" s="0" t="s">
        <v>6768</v>
      </c>
      <c r="ADY17" s="0" t="s">
        <v>25471</v>
      </c>
      <c r="ADZ17" s="0" t="s">
        <v>2911</v>
      </c>
      <c r="AEC17" s="0" t="s">
        <v>25536</v>
      </c>
      <c r="AED17" s="0" t="s">
        <v>784</v>
      </c>
      <c r="AEH17" s="0" t="s">
        <v>25471</v>
      </c>
      <c r="AEI17" s="0" t="s">
        <v>7358</v>
      </c>
      <c r="AES17" s="0" t="s">
        <v>25703</v>
      </c>
      <c r="AET17" s="0" t="s">
        <v>2961</v>
      </c>
      <c r="AFI17" s="0" t="s">
        <v>25471</v>
      </c>
      <c r="AFK17" s="0" t="s">
        <v>2911</v>
      </c>
      <c r="AFV17" s="0" t="s">
        <v>784</v>
      </c>
      <c r="AFZ17" s="0" t="s">
        <v>27389</v>
      </c>
      <c r="AGE17" s="0" t="s">
        <v>3061</v>
      </c>
      <c r="AGG17" s="0" t="s">
        <v>24287</v>
      </c>
      <c r="AGI17" s="0" t="s">
        <v>3328</v>
      </c>
      <c r="AGQ17" s="0" t="s">
        <v>27836</v>
      </c>
      <c r="AGS17" s="0" t="s">
        <v>27866</v>
      </c>
      <c r="AHM17" s="0" t="s">
        <v>28223</v>
      </c>
      <c r="AHR17" s="0" t="s">
        <v>28266</v>
      </c>
      <c r="AHS17" s="0" t="s">
        <v>14795</v>
      </c>
      <c r="AID17" s="0" t="s">
        <v>28389</v>
      </c>
      <c r="AIL17" s="0" t="s">
        <v>4000</v>
      </c>
      <c r="AIP17" s="0" t="s">
        <v>21092</v>
      </c>
      <c r="AIW17" s="0" t="s">
        <v>28589</v>
      </c>
      <c r="AJC17" s="0" t="s">
        <v>21092</v>
      </c>
      <c r="AJM17" s="0" t="s">
        <v>28837</v>
      </c>
      <c r="AJS17" s="0" t="s">
        <v>28932</v>
      </c>
      <c r="AKM17" s="0" t="s">
        <v>29109</v>
      </c>
      <c r="AMR17" s="0" t="s">
        <v>2600</v>
      </c>
      <c r="AMS17" s="0" t="s">
        <v>6246</v>
      </c>
      <c r="AMT17" s="0" t="s">
        <v>3011</v>
      </c>
      <c r="AMU17" s="0" t="s">
        <v>2701</v>
      </c>
      <c r="AMX17" s="0" t="s">
        <v>2600</v>
      </c>
      <c r="AMY17" s="0" t="s">
        <v>6246</v>
      </c>
      <c r="AMZ17" s="0" t="s">
        <v>3011</v>
      </c>
      <c r="ANA17" s="0" t="s">
        <v>2600</v>
      </c>
      <c r="ANB17" s="0" t="s">
        <v>6246</v>
      </c>
      <c r="ANC17" s="0" t="s">
        <v>3011</v>
      </c>
      <c r="AND17" s="0" t="s">
        <v>12306</v>
      </c>
      <c r="ANE17" s="0" t="s">
        <v>6246</v>
      </c>
      <c r="ANF17" s="0" t="s">
        <v>2961</v>
      </c>
      <c r="ANG17" s="0" t="s">
        <v>12306</v>
      </c>
      <c r="ANH17" s="0" t="s">
        <v>6246</v>
      </c>
      <c r="ANI17" s="0" t="s">
        <v>2961</v>
      </c>
      <c r="AOW17" s="0" t="s">
        <v>31677</v>
      </c>
      <c r="AOZ17" s="0" t="s">
        <v>31758</v>
      </c>
      <c r="APT17" s="0" t="s">
        <v>31879</v>
      </c>
      <c r="AQN17" s="0" t="s">
        <v>11672</v>
      </c>
      <c r="AQV17" s="0" t="s">
        <v>4000</v>
      </c>
      <c r="ASA17" s="0" t="s">
        <v>32591</v>
      </c>
      <c r="ASM17" s="0" t="s">
        <v>32802</v>
      </c>
      <c r="ASO17" s="0" t="s">
        <v>32915</v>
      </c>
      <c r="ASR17" s="0" t="s">
        <v>33046</v>
      </c>
    </row>
    <row r="18" customFormat="false" ht="15" hidden="false" customHeight="false" outlineLevel="0" collapsed="false">
      <c r="I18" s="0" t="s">
        <v>1026</v>
      </c>
      <c r="M18" s="0" t="s">
        <v>2057</v>
      </c>
      <c r="Q18" s="0" t="s">
        <v>3081</v>
      </c>
      <c r="AP18" s="0" t="s">
        <v>3474</v>
      </c>
      <c r="AS18" s="0" t="s">
        <v>3914</v>
      </c>
      <c r="AV18" s="0" t="s">
        <v>4614</v>
      </c>
      <c r="BD18" s="0" t="s">
        <v>1495</v>
      </c>
      <c r="BG18" s="0" t="s">
        <v>2127</v>
      </c>
      <c r="BJ18" s="0" t="s">
        <v>5548</v>
      </c>
      <c r="BW18" s="0" t="s">
        <v>6115</v>
      </c>
      <c r="BX18" s="0" t="s">
        <v>6205</v>
      </c>
      <c r="CG18" s="0" t="s">
        <v>2500</v>
      </c>
      <c r="CY18" s="0" t="s">
        <v>714</v>
      </c>
      <c r="CZ18" s="0" t="s">
        <v>4482</v>
      </c>
      <c r="DN18" s="0" t="s">
        <v>6609</v>
      </c>
      <c r="DV18" s="0" t="s">
        <v>6730</v>
      </c>
      <c r="DW18" s="0" t="s">
        <v>6940</v>
      </c>
      <c r="EG18" s="0" t="s">
        <v>7358</v>
      </c>
      <c r="EH18" s="0" t="s">
        <v>6768</v>
      </c>
      <c r="FY18" s="0" t="s">
        <v>7845</v>
      </c>
      <c r="GE18" s="0" t="s">
        <v>8849</v>
      </c>
      <c r="GG18" s="0" t="s">
        <v>9185</v>
      </c>
      <c r="GI18" s="0" t="s">
        <v>7827</v>
      </c>
      <c r="GN18" s="0" t="s">
        <v>8193</v>
      </c>
      <c r="GX18" s="0" t="s">
        <v>7933</v>
      </c>
      <c r="HC18" s="0" t="s">
        <v>7849</v>
      </c>
      <c r="HI18" s="0" t="s">
        <v>8193</v>
      </c>
      <c r="HL18" s="0" t="s">
        <v>7997</v>
      </c>
      <c r="HM18" s="0" t="s">
        <v>7851</v>
      </c>
      <c r="HQ18" s="0" t="s">
        <v>11432</v>
      </c>
      <c r="HS18" s="0" t="s">
        <v>10677</v>
      </c>
      <c r="HX18" s="0" t="s">
        <v>7849</v>
      </c>
      <c r="HZ18" s="0" t="s">
        <v>2701</v>
      </c>
      <c r="IA18" s="0" t="s">
        <v>11874</v>
      </c>
      <c r="ID18" s="0" t="s">
        <v>1158</v>
      </c>
      <c r="IE18" s="0" t="s">
        <v>12686</v>
      </c>
      <c r="II18" s="0" t="s">
        <v>12829</v>
      </c>
      <c r="IQ18" s="0" t="s">
        <v>11874</v>
      </c>
      <c r="IV18" s="0" t="s">
        <v>13160</v>
      </c>
      <c r="JA18" s="0" t="s">
        <v>13301</v>
      </c>
      <c r="JD18" s="0" t="s">
        <v>2022</v>
      </c>
      <c r="JN18" s="0" t="s">
        <v>13852</v>
      </c>
      <c r="JQ18" s="0" t="s">
        <v>14299</v>
      </c>
      <c r="JZ18" s="0" t="s">
        <v>6940</v>
      </c>
      <c r="KE18" s="0" t="s">
        <v>14556</v>
      </c>
      <c r="KI18" s="0" t="s">
        <v>14761</v>
      </c>
      <c r="KP18" s="0" t="s">
        <v>14837</v>
      </c>
      <c r="KR18" s="0" t="s">
        <v>14806</v>
      </c>
      <c r="KS18" s="0" t="s">
        <v>15264</v>
      </c>
      <c r="KY18" s="0" t="s">
        <v>15431</v>
      </c>
      <c r="LJ18" s="0" t="s">
        <v>15607</v>
      </c>
      <c r="LQ18" s="0" t="s">
        <v>15778</v>
      </c>
      <c r="LY18" s="0" t="s">
        <v>15564</v>
      </c>
      <c r="MA18" s="0" t="s">
        <v>15806</v>
      </c>
      <c r="MC18" s="0" t="s">
        <v>16104</v>
      </c>
      <c r="MF18" s="0" t="s">
        <v>2440</v>
      </c>
      <c r="MJ18" s="0" t="s">
        <v>14783</v>
      </c>
      <c r="ML18" s="0" t="s">
        <v>16528</v>
      </c>
      <c r="MO18" s="0" t="s">
        <v>16618</v>
      </c>
      <c r="MP18" s="0" t="s">
        <v>16754</v>
      </c>
      <c r="MT18" s="0" t="s">
        <v>16943</v>
      </c>
      <c r="MV18" s="0" t="s">
        <v>16920</v>
      </c>
      <c r="MY18" s="0" t="s">
        <v>1924</v>
      </c>
      <c r="NA18" s="0" t="s">
        <v>17130</v>
      </c>
      <c r="ND18" s="0" t="s">
        <v>17368</v>
      </c>
      <c r="NG18" s="0" t="s">
        <v>3675</v>
      </c>
      <c r="NI18" s="0" t="s">
        <v>17711</v>
      </c>
      <c r="NM18" s="0" t="s">
        <v>17781</v>
      </c>
      <c r="NR18" s="0" t="s">
        <v>17931</v>
      </c>
      <c r="NU18" s="0" t="s">
        <v>17983</v>
      </c>
      <c r="NW18" s="0" t="s">
        <v>18020</v>
      </c>
      <c r="OD18" s="0" t="s">
        <v>18176</v>
      </c>
      <c r="OH18" s="0" t="s">
        <v>18255</v>
      </c>
      <c r="OJ18" s="0" t="s">
        <v>17386</v>
      </c>
      <c r="OO18" s="0" t="s">
        <v>18573</v>
      </c>
      <c r="OR18" s="0" t="s">
        <v>17120</v>
      </c>
      <c r="OY18" s="0" t="s">
        <v>18809</v>
      </c>
      <c r="PD18" s="0" t="s">
        <v>18987</v>
      </c>
      <c r="PE18" s="0" t="s">
        <v>17254</v>
      </c>
      <c r="PH18" s="0" t="s">
        <v>17250</v>
      </c>
      <c r="PN18" s="0" t="s">
        <v>19342</v>
      </c>
      <c r="QA18" s="0" t="s">
        <v>19538</v>
      </c>
      <c r="QE18" s="0" t="s">
        <v>19600</v>
      </c>
      <c r="QW18" s="0" t="s">
        <v>19761</v>
      </c>
      <c r="RF18" s="0" t="s">
        <v>1733</v>
      </c>
      <c r="SB18" s="0" t="s">
        <v>20061</v>
      </c>
      <c r="SI18" s="0" t="s">
        <v>6709</v>
      </c>
      <c r="SL18" s="0" t="s">
        <v>20438</v>
      </c>
      <c r="SS18" s="0" t="s">
        <v>20485</v>
      </c>
      <c r="TK18" s="0" t="s">
        <v>16216</v>
      </c>
      <c r="UE18" s="0" t="s">
        <v>2921</v>
      </c>
      <c r="VH18" s="0" t="s">
        <v>21321</v>
      </c>
      <c r="WJ18" s="0" t="s">
        <v>21831</v>
      </c>
      <c r="WZ18" s="0" t="s">
        <v>21960</v>
      </c>
      <c r="XC18" s="0" t="s">
        <v>22136</v>
      </c>
      <c r="XI18" s="0" t="s">
        <v>22242</v>
      </c>
      <c r="XK18" s="0" t="s">
        <v>22286</v>
      </c>
      <c r="XL18" s="0" t="s">
        <v>22333</v>
      </c>
      <c r="XM18" s="0" t="s">
        <v>22416</v>
      </c>
      <c r="XT18" s="0" t="s">
        <v>22594</v>
      </c>
      <c r="XY18" s="0" t="s">
        <v>22789</v>
      </c>
      <c r="YG18" s="0" t="s">
        <v>22900</v>
      </c>
      <c r="ZC18" s="0" t="s">
        <v>23175</v>
      </c>
      <c r="ZE18" s="0" t="s">
        <v>23218</v>
      </c>
      <c r="ZK18" s="0" t="s">
        <v>23287</v>
      </c>
      <c r="ZS18" s="0" t="s">
        <v>23353</v>
      </c>
      <c r="ZV18" s="0" t="s">
        <v>23399</v>
      </c>
      <c r="AAI18" s="0" t="s">
        <v>23470</v>
      </c>
      <c r="AAN18" s="0" t="s">
        <v>23599</v>
      </c>
      <c r="AAT18" s="0" t="s">
        <v>23740</v>
      </c>
      <c r="AAW18" s="0" t="s">
        <v>23796</v>
      </c>
      <c r="ABF18" s="0" t="s">
        <v>23844</v>
      </c>
      <c r="ABP18" s="0" t="s">
        <v>24010</v>
      </c>
      <c r="ACR18" s="0" t="s">
        <v>24382</v>
      </c>
      <c r="ACV18" s="0" t="s">
        <v>24481</v>
      </c>
      <c r="ACY18" s="0" t="s">
        <v>24560</v>
      </c>
      <c r="ADB18" s="0" t="s">
        <v>24663</v>
      </c>
      <c r="ADL18" s="0" t="s">
        <v>2067</v>
      </c>
      <c r="ADO18" s="0" t="s">
        <v>3925</v>
      </c>
      <c r="ADQ18" s="0" t="s">
        <v>24287</v>
      </c>
      <c r="ADR18" s="0" t="s">
        <v>2911</v>
      </c>
      <c r="ADT18" s="0" t="s">
        <v>24287</v>
      </c>
      <c r="ADV18" s="0" t="s">
        <v>784</v>
      </c>
      <c r="ADZ18" s="0" t="s">
        <v>7275</v>
      </c>
      <c r="AEC18" s="0" t="s">
        <v>21725</v>
      </c>
      <c r="AED18" s="0" t="s">
        <v>3328</v>
      </c>
      <c r="AEH18" s="0" t="s">
        <v>13974</v>
      </c>
      <c r="AEI18" s="0" t="s">
        <v>2911</v>
      </c>
      <c r="AES18" s="0" t="s">
        <v>25531</v>
      </c>
      <c r="AFI18" s="0" t="s">
        <v>24287</v>
      </c>
      <c r="AFK18" s="0" t="s">
        <v>7275</v>
      </c>
      <c r="AFV18" s="0" t="s">
        <v>3328</v>
      </c>
      <c r="AFZ18" s="0" t="s">
        <v>14419</v>
      </c>
      <c r="AGE18" s="0" t="s">
        <v>3111</v>
      </c>
      <c r="AGG18" s="0" t="s">
        <v>26064</v>
      </c>
      <c r="AGI18" s="0" t="s">
        <v>6246</v>
      </c>
      <c r="AGS18" s="0" t="s">
        <v>27868</v>
      </c>
      <c r="AHM18" s="0" t="s">
        <v>28197</v>
      </c>
      <c r="AHR18" s="0" t="s">
        <v>28268</v>
      </c>
      <c r="AHS18" s="0" t="s">
        <v>6336</v>
      </c>
      <c r="AID18" s="0" t="s">
        <v>28391</v>
      </c>
      <c r="AIL18" s="0" t="s">
        <v>3247</v>
      </c>
      <c r="AIW18" s="0" t="s">
        <v>28591</v>
      </c>
      <c r="AJC18" s="0" t="s">
        <v>28720</v>
      </c>
      <c r="AJM18" s="0" t="s">
        <v>28839</v>
      </c>
      <c r="AJS18" s="0" t="s">
        <v>28934</v>
      </c>
      <c r="AKM18" s="0" t="s">
        <v>29111</v>
      </c>
      <c r="AMR18" s="0" t="s">
        <v>2651</v>
      </c>
      <c r="AMU18" s="0" t="s">
        <v>11968</v>
      </c>
      <c r="AMX18" s="0" t="s">
        <v>2651</v>
      </c>
      <c r="ANA18" s="0" t="s">
        <v>2651</v>
      </c>
      <c r="AND18" s="0" t="s">
        <v>2600</v>
      </c>
      <c r="ANF18" s="0" t="s">
        <v>3011</v>
      </c>
      <c r="ANG18" s="0" t="s">
        <v>2600</v>
      </c>
      <c r="ANI18" s="0" t="s">
        <v>3011</v>
      </c>
      <c r="AOW18" s="0" t="s">
        <v>31672</v>
      </c>
      <c r="AOZ18" s="0" t="s">
        <v>31760</v>
      </c>
      <c r="APT18" s="0" t="s">
        <v>31886</v>
      </c>
      <c r="AQV18" s="0" t="s">
        <v>6940</v>
      </c>
      <c r="ASM18" s="0" t="s">
        <v>32804</v>
      </c>
      <c r="ASO18" s="0" t="s">
        <v>32921</v>
      </c>
      <c r="ASR18" s="0" t="s">
        <v>33049</v>
      </c>
    </row>
    <row r="19" customFormat="false" ht="15" hidden="false" customHeight="false" outlineLevel="0" collapsed="false">
      <c r="I19" s="0" t="s">
        <v>1037</v>
      </c>
      <c r="M19" s="0" t="s">
        <v>2062</v>
      </c>
      <c r="Q19" s="0" t="s">
        <v>3091</v>
      </c>
      <c r="AP19" s="0" t="s">
        <v>2067</v>
      </c>
      <c r="AS19" s="0" t="s">
        <v>971</v>
      </c>
      <c r="AV19" s="0" t="s">
        <v>4619</v>
      </c>
      <c r="BD19" s="0" t="s">
        <v>4908</v>
      </c>
      <c r="BG19" s="0" t="s">
        <v>3597</v>
      </c>
      <c r="BJ19" s="0" t="s">
        <v>5606</v>
      </c>
      <c r="BW19" s="0" t="s">
        <v>6123</v>
      </c>
      <c r="BX19" s="0" t="s">
        <v>6165</v>
      </c>
      <c r="CG19" s="0" t="s">
        <v>2520</v>
      </c>
      <c r="CY19" s="0" t="s">
        <v>4000</v>
      </c>
      <c r="CZ19" s="0" t="s">
        <v>1685</v>
      </c>
      <c r="DN19" s="0" t="s">
        <v>6590</v>
      </c>
      <c r="DV19" s="0" t="s">
        <v>6246</v>
      </c>
      <c r="DW19" s="0" t="s">
        <v>3247</v>
      </c>
      <c r="EG19" s="0" t="s">
        <v>6742</v>
      </c>
      <c r="FY19" s="0" t="s">
        <v>7910</v>
      </c>
      <c r="GE19" s="0" t="s">
        <v>8851</v>
      </c>
      <c r="GG19" s="0" t="s">
        <v>9807</v>
      </c>
      <c r="GI19" s="0" t="s">
        <v>7853</v>
      </c>
      <c r="GN19" s="0" t="s">
        <v>8196</v>
      </c>
      <c r="GX19" s="0" t="s">
        <v>7829</v>
      </c>
      <c r="HC19" s="0" t="s">
        <v>7851</v>
      </c>
      <c r="HI19" s="0" t="s">
        <v>8196</v>
      </c>
      <c r="HL19" s="0" t="s">
        <v>11314</v>
      </c>
      <c r="HM19" s="0" t="s">
        <v>7925</v>
      </c>
      <c r="HQ19" s="0" t="s">
        <v>11518</v>
      </c>
      <c r="HS19" s="0" t="s">
        <v>7875</v>
      </c>
      <c r="HX19" s="0" t="s">
        <v>8188</v>
      </c>
      <c r="HZ19" s="0" t="s">
        <v>12137</v>
      </c>
      <c r="IA19" s="0" t="s">
        <v>11922</v>
      </c>
      <c r="ID19" s="0" t="s">
        <v>1169</v>
      </c>
      <c r="IE19" s="0" t="s">
        <v>12690</v>
      </c>
      <c r="II19" s="0" t="s">
        <v>12831</v>
      </c>
      <c r="IQ19" s="0" t="s">
        <v>11922</v>
      </c>
      <c r="IV19" s="0" t="s">
        <v>13212</v>
      </c>
      <c r="JA19" s="0" t="s">
        <v>13303</v>
      </c>
      <c r="JD19" s="0" t="s">
        <v>12271</v>
      </c>
      <c r="JN19" s="0" t="s">
        <v>5097</v>
      </c>
      <c r="JQ19" s="0" t="s">
        <v>14301</v>
      </c>
      <c r="JZ19" s="0" t="s">
        <v>3247</v>
      </c>
      <c r="KE19" s="0" t="s">
        <v>8045</v>
      </c>
      <c r="KI19" s="0" t="s">
        <v>14764</v>
      </c>
      <c r="KP19" s="0" t="s">
        <v>14839</v>
      </c>
      <c r="KR19" s="0" t="s">
        <v>14808</v>
      </c>
      <c r="KS19" s="0" t="s">
        <v>15262</v>
      </c>
      <c r="KY19" s="0" t="s">
        <v>15465</v>
      </c>
      <c r="LJ19" s="0" t="s">
        <v>15609</v>
      </c>
      <c r="LQ19" s="0" t="s">
        <v>15780</v>
      </c>
      <c r="LY19" s="0" t="s">
        <v>15906</v>
      </c>
      <c r="MA19" s="0" t="s">
        <v>15936</v>
      </c>
      <c r="MC19" s="0" t="s">
        <v>16106</v>
      </c>
      <c r="MF19" s="0" t="s">
        <v>2470</v>
      </c>
      <c r="MJ19" s="0" t="s">
        <v>14785</v>
      </c>
      <c r="ML19" s="0" t="s">
        <v>16532</v>
      </c>
      <c r="MO19" s="0" t="s">
        <v>16620</v>
      </c>
      <c r="MP19" s="0" t="s">
        <v>16756</v>
      </c>
      <c r="MT19" s="0" t="s">
        <v>16952</v>
      </c>
      <c r="MV19" s="0" t="s">
        <v>2661</v>
      </c>
      <c r="MY19" s="0" t="s">
        <v>17091</v>
      </c>
      <c r="NA19" s="0" t="s">
        <v>17136</v>
      </c>
      <c r="ND19" s="0" t="s">
        <v>17365</v>
      </c>
      <c r="NG19" s="0" t="s">
        <v>2187</v>
      </c>
      <c r="NI19" s="0" t="s">
        <v>17713</v>
      </c>
      <c r="NM19" s="0" t="s">
        <v>17785</v>
      </c>
      <c r="NR19" s="0" t="s">
        <v>17933</v>
      </c>
      <c r="NU19" s="0" t="s">
        <v>17946</v>
      </c>
      <c r="NW19" s="0" t="s">
        <v>17238</v>
      </c>
      <c r="OD19" s="0" t="s">
        <v>18183</v>
      </c>
      <c r="OH19" s="0" t="s">
        <v>18257</v>
      </c>
      <c r="OJ19" s="0" t="s">
        <v>17195</v>
      </c>
      <c r="OO19" s="0" t="s">
        <v>18577</v>
      </c>
      <c r="OR19" s="0" t="s">
        <v>17111</v>
      </c>
      <c r="OY19" s="0" t="s">
        <v>18811</v>
      </c>
      <c r="PD19" s="0" t="s">
        <v>19205</v>
      </c>
      <c r="PE19" s="0" t="s">
        <v>17267</v>
      </c>
      <c r="PH19" s="0" t="s">
        <v>17272</v>
      </c>
      <c r="PN19" s="0" t="s">
        <v>19426</v>
      </c>
      <c r="QA19" s="0" t="s">
        <v>19540</v>
      </c>
      <c r="QE19" s="0" t="s">
        <v>19602</v>
      </c>
      <c r="QW19" s="0" t="s">
        <v>19775</v>
      </c>
      <c r="SB19" s="0" t="s">
        <v>20063</v>
      </c>
      <c r="SI19" s="0" t="s">
        <v>20348</v>
      </c>
      <c r="SL19" s="0" t="s">
        <v>20440</v>
      </c>
      <c r="SS19" s="0" t="s">
        <v>20506</v>
      </c>
      <c r="TK19" s="0" t="s">
        <v>14783</v>
      </c>
      <c r="UE19" s="0" t="s">
        <v>2931</v>
      </c>
      <c r="VH19" s="0" t="s">
        <v>8804</v>
      </c>
      <c r="WJ19" s="0" t="s">
        <v>21833</v>
      </c>
      <c r="WZ19" s="0" t="s">
        <v>21988</v>
      </c>
      <c r="XC19" s="0" t="s">
        <v>22126</v>
      </c>
      <c r="XI19" s="0" t="s">
        <v>22234</v>
      </c>
      <c r="XK19" s="0" t="s">
        <v>22260</v>
      </c>
      <c r="XL19" s="0" t="s">
        <v>22335</v>
      </c>
      <c r="XM19" s="0" t="s">
        <v>22418</v>
      </c>
      <c r="XT19" s="0" t="s">
        <v>22601</v>
      </c>
      <c r="XY19" s="0" t="s">
        <v>22791</v>
      </c>
      <c r="YG19" s="0" t="s">
        <v>22902</v>
      </c>
      <c r="ZC19" s="0" t="s">
        <v>23177</v>
      </c>
      <c r="ZK19" s="0" t="s">
        <v>23289</v>
      </c>
      <c r="ZV19" s="0" t="s">
        <v>23407</v>
      </c>
      <c r="AAI19" s="0" t="s">
        <v>23472</v>
      </c>
      <c r="AAN19" s="0" t="s">
        <v>23601</v>
      </c>
      <c r="AAT19" s="0" t="s">
        <v>23703</v>
      </c>
      <c r="ABF19" s="0" t="s">
        <v>23848</v>
      </c>
      <c r="ACR19" s="0" t="s">
        <v>24427</v>
      </c>
      <c r="ACV19" s="0" t="s">
        <v>24483</v>
      </c>
      <c r="ACY19" s="0" t="s">
        <v>24566</v>
      </c>
      <c r="ADB19" s="0" t="s">
        <v>24665</v>
      </c>
      <c r="ADL19" s="0" t="s">
        <v>2142</v>
      </c>
      <c r="ADO19" s="0" t="s">
        <v>993</v>
      </c>
      <c r="ADQ19" s="0" t="s">
        <v>13974</v>
      </c>
      <c r="ADR19" s="0" t="s">
        <v>7275</v>
      </c>
      <c r="ADT19" s="0" t="s">
        <v>13974</v>
      </c>
      <c r="ADV19" s="0" t="s">
        <v>6244</v>
      </c>
      <c r="ADZ19" s="0" t="s">
        <v>2961</v>
      </c>
      <c r="AEC19" s="0" t="s">
        <v>23567</v>
      </c>
      <c r="AED19" s="0" t="s">
        <v>6246</v>
      </c>
      <c r="AEH19" s="0" t="s">
        <v>24231</v>
      </c>
      <c r="AEI19" s="0" t="s">
        <v>7275</v>
      </c>
      <c r="AES19" s="0" t="s">
        <v>25467</v>
      </c>
      <c r="AFI19" s="0" t="s">
        <v>13974</v>
      </c>
      <c r="AFK19" s="0" t="s">
        <v>2961</v>
      </c>
      <c r="AFV19" s="0" t="s">
        <v>6246</v>
      </c>
      <c r="AFZ19" s="0" t="s">
        <v>27396</v>
      </c>
      <c r="AGE19" s="0" t="s">
        <v>2600</v>
      </c>
      <c r="AGG19" s="0" t="s">
        <v>13974</v>
      </c>
      <c r="AGI19" s="0" t="s">
        <v>7358</v>
      </c>
      <c r="AGS19" s="0" t="s">
        <v>27870</v>
      </c>
      <c r="AHM19" s="0" t="s">
        <v>28199</v>
      </c>
      <c r="AHR19" s="0" t="s">
        <v>28270</v>
      </c>
      <c r="AID19" s="0" t="s">
        <v>28393</v>
      </c>
      <c r="AIL19" s="0" t="s">
        <v>5097</v>
      </c>
      <c r="AIW19" s="0" t="s">
        <v>28599</v>
      </c>
      <c r="AJC19" s="0" t="s">
        <v>28727</v>
      </c>
      <c r="AJM19" s="0" t="s">
        <v>28841</v>
      </c>
      <c r="AJS19" s="0" t="s">
        <v>28936</v>
      </c>
      <c r="AMR19" s="0" t="s">
        <v>25804</v>
      </c>
      <c r="AMU19" s="0" t="s">
        <v>2751</v>
      </c>
      <c r="AMX19" s="0" t="s">
        <v>2701</v>
      </c>
      <c r="ANA19" s="0" t="s">
        <v>2701</v>
      </c>
      <c r="AND19" s="0" t="s">
        <v>2651</v>
      </c>
      <c r="ANG19" s="0" t="s">
        <v>2651</v>
      </c>
      <c r="AOZ19" s="0" t="s">
        <v>31762</v>
      </c>
      <c r="AQV19" s="0" t="s">
        <v>3247</v>
      </c>
      <c r="ASM19" s="0" t="s">
        <v>32850</v>
      </c>
      <c r="ASO19" s="0" t="s">
        <v>32923</v>
      </c>
    </row>
    <row r="20" customFormat="false" ht="15" hidden="false" customHeight="false" outlineLevel="0" collapsed="false">
      <c r="I20" s="0" t="s">
        <v>1048</v>
      </c>
      <c r="M20" s="0" t="s">
        <v>2067</v>
      </c>
      <c r="Q20" s="0" t="s">
        <v>3101</v>
      </c>
      <c r="AP20" s="0" t="s">
        <v>3489</v>
      </c>
      <c r="AS20" s="0" t="s">
        <v>3925</v>
      </c>
      <c r="AV20" s="0" t="s">
        <v>1936</v>
      </c>
      <c r="BD20" s="0" t="s">
        <v>1520</v>
      </c>
      <c r="BG20" s="0" t="s">
        <v>2142</v>
      </c>
      <c r="BJ20" s="0" t="s">
        <v>5554</v>
      </c>
      <c r="BW20" s="0" t="s">
        <v>6131</v>
      </c>
      <c r="BX20" s="0" t="s">
        <v>6170</v>
      </c>
      <c r="CG20" s="0" t="s">
        <v>6257</v>
      </c>
      <c r="CY20" s="0" t="s">
        <v>3247</v>
      </c>
      <c r="CZ20" s="0" t="s">
        <v>1982</v>
      </c>
      <c r="DN20" s="0" t="s">
        <v>6669</v>
      </c>
      <c r="DV20" s="0" t="s">
        <v>6742</v>
      </c>
      <c r="DW20" s="0" t="s">
        <v>3317</v>
      </c>
      <c r="EG20" s="0" t="s">
        <v>2931</v>
      </c>
      <c r="FY20" s="0" t="s">
        <v>7827</v>
      </c>
      <c r="GE20" s="0" t="s">
        <v>8853</v>
      </c>
      <c r="GG20" s="0" t="s">
        <v>9195</v>
      </c>
      <c r="GI20" s="0" t="s">
        <v>7869</v>
      </c>
      <c r="GN20" s="0" t="s">
        <v>8199</v>
      </c>
      <c r="GX20" s="0" t="s">
        <v>7831</v>
      </c>
      <c r="HC20" s="0" t="s">
        <v>8188</v>
      </c>
      <c r="HI20" s="0" t="s">
        <v>7845</v>
      </c>
      <c r="HL20" s="0" t="s">
        <v>8699</v>
      </c>
      <c r="HM20" s="0" t="s">
        <v>7914</v>
      </c>
      <c r="HQ20" s="0" t="s">
        <v>11520</v>
      </c>
      <c r="HS20" s="0" t="s">
        <v>8060</v>
      </c>
      <c r="HX20" s="0" t="s">
        <v>7912</v>
      </c>
      <c r="HZ20" s="0" t="s">
        <v>11968</v>
      </c>
      <c r="ID20" s="0" t="s">
        <v>1213</v>
      </c>
      <c r="IE20" s="0" t="s">
        <v>12701</v>
      </c>
      <c r="II20" s="0" t="s">
        <v>12841</v>
      </c>
      <c r="IQ20" s="0" t="s">
        <v>12670</v>
      </c>
      <c r="IV20" s="0" t="s">
        <v>13214</v>
      </c>
      <c r="JA20" s="0" t="s">
        <v>13305</v>
      </c>
      <c r="JD20" s="0" t="s">
        <v>2067</v>
      </c>
      <c r="JN20" s="0" t="s">
        <v>7020</v>
      </c>
      <c r="JQ20" s="0" t="s">
        <v>14283</v>
      </c>
      <c r="JZ20" s="0" t="s">
        <v>13852</v>
      </c>
      <c r="KE20" s="0" t="s">
        <v>14575</v>
      </c>
      <c r="KP20" s="0" t="s">
        <v>14841</v>
      </c>
      <c r="KR20" s="0" t="s">
        <v>14811</v>
      </c>
      <c r="KS20" s="0" t="s">
        <v>15268</v>
      </c>
      <c r="KY20" s="0" t="s">
        <v>15433</v>
      </c>
      <c r="LJ20" s="0" t="s">
        <v>15611</v>
      </c>
      <c r="LQ20" s="0" t="s">
        <v>15782</v>
      </c>
      <c r="LY20" s="0" t="s">
        <v>15908</v>
      </c>
      <c r="MA20" s="0" t="s">
        <v>15959</v>
      </c>
      <c r="MF20" s="0" t="s">
        <v>2500</v>
      </c>
      <c r="MJ20" s="0" t="s">
        <v>14787</v>
      </c>
      <c r="ML20" s="0" t="s">
        <v>16534</v>
      </c>
      <c r="MO20" s="0" t="s">
        <v>16622</v>
      </c>
      <c r="MP20" s="0" t="s">
        <v>16758</v>
      </c>
      <c r="MT20" s="0" t="s">
        <v>16959</v>
      </c>
      <c r="MY20" s="0" t="s">
        <v>1954</v>
      </c>
      <c r="NA20" s="0" t="s">
        <v>17142</v>
      </c>
      <c r="ND20" s="0" t="s">
        <v>17360</v>
      </c>
      <c r="NG20" s="0" t="s">
        <v>2227</v>
      </c>
      <c r="NI20" s="0" t="s">
        <v>17715</v>
      </c>
      <c r="NM20" s="0" t="s">
        <v>17790</v>
      </c>
      <c r="NR20" s="0" t="s">
        <v>17936</v>
      </c>
      <c r="NW20" s="0" t="s">
        <v>18023</v>
      </c>
      <c r="OH20" s="0" t="s">
        <v>18259</v>
      </c>
      <c r="OJ20" s="0" t="s">
        <v>17200</v>
      </c>
      <c r="OO20" s="0" t="s">
        <v>18581</v>
      </c>
      <c r="OR20" s="0" t="s">
        <v>18709</v>
      </c>
      <c r="OY20" s="0" t="s">
        <v>18813</v>
      </c>
      <c r="PD20" s="0" t="s">
        <v>18991</v>
      </c>
      <c r="PE20" s="0" t="s">
        <v>17271</v>
      </c>
      <c r="PH20" s="0" t="s">
        <v>17268</v>
      </c>
      <c r="PN20" s="0" t="s">
        <v>19390</v>
      </c>
      <c r="QA20" s="0" t="s">
        <v>19542</v>
      </c>
      <c r="QE20" s="0" t="s">
        <v>19604</v>
      </c>
      <c r="QW20" s="0" t="s">
        <v>19777</v>
      </c>
      <c r="SB20" s="0" t="s">
        <v>20022</v>
      </c>
      <c r="SI20" s="0" t="s">
        <v>6396</v>
      </c>
      <c r="SL20" s="0" t="s">
        <v>20442</v>
      </c>
      <c r="SS20" s="0" t="s">
        <v>20508</v>
      </c>
      <c r="TK20" s="0" t="s">
        <v>14785</v>
      </c>
      <c r="UE20" s="0" t="s">
        <v>2941</v>
      </c>
      <c r="VH20" s="0" t="s">
        <v>21245</v>
      </c>
      <c r="WJ20" s="0" t="s">
        <v>21835</v>
      </c>
      <c r="WZ20" s="0" t="s">
        <v>21990</v>
      </c>
      <c r="XC20" s="0" t="s">
        <v>22128</v>
      </c>
      <c r="XI20" s="0" t="s">
        <v>22236</v>
      </c>
      <c r="XK20" s="0" t="s">
        <v>22262</v>
      </c>
      <c r="XL20" s="0" t="s">
        <v>22337</v>
      </c>
      <c r="XM20" s="0" t="s">
        <v>22420</v>
      </c>
      <c r="XT20" s="0" t="s">
        <v>22517</v>
      </c>
      <c r="XY20" s="0" t="s">
        <v>22793</v>
      </c>
      <c r="YG20" s="0" t="s">
        <v>22904</v>
      </c>
      <c r="ZC20" s="0" t="s">
        <v>23179</v>
      </c>
      <c r="ZK20" s="0" t="s">
        <v>23291</v>
      </c>
      <c r="ZV20" s="0" t="s">
        <v>23409</v>
      </c>
      <c r="AAI20" s="0" t="s">
        <v>23480</v>
      </c>
      <c r="AAN20" s="0" t="s">
        <v>23603</v>
      </c>
      <c r="AAT20" s="0" t="s">
        <v>23712</v>
      </c>
      <c r="ABF20" s="0" t="s">
        <v>23852</v>
      </c>
      <c r="ACR20" s="0" t="s">
        <v>734</v>
      </c>
      <c r="ACV20" s="0" t="s">
        <v>24465</v>
      </c>
      <c r="ACY20" s="0" t="s">
        <v>24564</v>
      </c>
      <c r="ADB20" s="0" t="s">
        <v>23173</v>
      </c>
      <c r="ADL20" s="0" t="s">
        <v>2162</v>
      </c>
      <c r="ADO20" s="0" t="s">
        <v>1048</v>
      </c>
      <c r="ADQ20" s="0" t="s">
        <v>25536</v>
      </c>
      <c r="ADR20" s="0" t="s">
        <v>2961</v>
      </c>
      <c r="ADT20" s="0" t="s">
        <v>25703</v>
      </c>
      <c r="ADV20" s="0" t="s">
        <v>3328</v>
      </c>
      <c r="ADZ20" s="0" t="s">
        <v>3011</v>
      </c>
      <c r="AED20" s="0" t="s">
        <v>7358</v>
      </c>
      <c r="AEH20" s="0" t="s">
        <v>26256</v>
      </c>
      <c r="AEI20" s="0" t="s">
        <v>2961</v>
      </c>
      <c r="AFK20" s="0" t="s">
        <v>13817</v>
      </c>
      <c r="AFV20" s="0" t="s">
        <v>7358</v>
      </c>
      <c r="AFZ20" s="0" t="s">
        <v>21725</v>
      </c>
      <c r="AGG20" s="0" t="s">
        <v>25703</v>
      </c>
      <c r="AGI20" s="0" t="s">
        <v>2911</v>
      </c>
      <c r="AGS20" s="0" t="s">
        <v>27872</v>
      </c>
      <c r="AHM20" s="0" t="s">
        <v>28201</v>
      </c>
      <c r="AHR20" s="0" t="s">
        <v>28272</v>
      </c>
      <c r="AID20" s="0" t="s">
        <v>28385</v>
      </c>
      <c r="AIL20" s="0" t="s">
        <v>3317</v>
      </c>
      <c r="AIW20" s="0" t="s">
        <v>28595</v>
      </c>
      <c r="AJC20" s="0" t="s">
        <v>28778</v>
      </c>
      <c r="AJM20" s="0" t="s">
        <v>28843</v>
      </c>
      <c r="AJS20" s="0" t="s">
        <v>28938</v>
      </c>
      <c r="AMR20" s="0" t="s">
        <v>2701</v>
      </c>
      <c r="AMU20" s="0" t="s">
        <v>2801</v>
      </c>
      <c r="AMX20" s="0" t="s">
        <v>11968</v>
      </c>
      <c r="ANA20" s="0" t="s">
        <v>11968</v>
      </c>
      <c r="AND20" s="0" t="s">
        <v>2701</v>
      </c>
      <c r="ANG20" s="0" t="s">
        <v>2701</v>
      </c>
      <c r="AOZ20" s="0" t="s">
        <v>31764</v>
      </c>
      <c r="AQV20" s="0" t="s">
        <v>13852</v>
      </c>
      <c r="ASM20" s="0" t="s">
        <v>32854</v>
      </c>
    </row>
    <row r="21" customFormat="false" ht="15" hidden="false" customHeight="false" outlineLevel="0" collapsed="false">
      <c r="I21" s="0" t="s">
        <v>1059</v>
      </c>
      <c r="M21" s="0" t="s">
        <v>2072</v>
      </c>
      <c r="Q21" s="0" t="s">
        <v>3111</v>
      </c>
      <c r="AP21" s="0" t="s">
        <v>2077</v>
      </c>
      <c r="AS21" s="0" t="s">
        <v>1004</v>
      </c>
      <c r="AV21" s="0" t="s">
        <v>4628</v>
      </c>
      <c r="BD21" s="0" t="s">
        <v>4925</v>
      </c>
      <c r="BG21" s="0" t="s">
        <v>5337</v>
      </c>
      <c r="BJ21" s="0" t="s">
        <v>5560</v>
      </c>
      <c r="BW21" s="0" t="s">
        <v>6139</v>
      </c>
      <c r="BX21" s="0" t="s">
        <v>6211</v>
      </c>
      <c r="CG21" s="0" t="s">
        <v>1733</v>
      </c>
      <c r="CZ21" s="0" t="s">
        <v>2002</v>
      </c>
      <c r="DV21" s="0" t="s">
        <v>2911</v>
      </c>
      <c r="EG21" s="0" t="s">
        <v>7275</v>
      </c>
      <c r="FY21" s="0" t="s">
        <v>7853</v>
      </c>
      <c r="GE21" s="0" t="s">
        <v>8188</v>
      </c>
      <c r="GI21" s="0" t="s">
        <v>7855</v>
      </c>
      <c r="GN21" s="0" t="s">
        <v>9832</v>
      </c>
      <c r="GX21" s="0" t="s">
        <v>7833</v>
      </c>
      <c r="HC21" s="0" t="s">
        <v>7912</v>
      </c>
      <c r="HI21" s="0" t="s">
        <v>7910</v>
      </c>
      <c r="HL21" s="0" t="s">
        <v>11320</v>
      </c>
      <c r="HM21" s="0" t="s">
        <v>8188</v>
      </c>
      <c r="HQ21" s="0" t="s">
        <v>11522</v>
      </c>
      <c r="HS21" s="0" t="s">
        <v>9166</v>
      </c>
      <c r="HX21" s="0" t="s">
        <v>8193</v>
      </c>
      <c r="HZ21" s="0" t="s">
        <v>2751</v>
      </c>
      <c r="ID21" s="0" t="s">
        <v>12748</v>
      </c>
      <c r="II21" s="0" t="s">
        <v>734</v>
      </c>
      <c r="IQ21" s="0" t="s">
        <v>12663</v>
      </c>
      <c r="IV21" s="0" t="s">
        <v>13166</v>
      </c>
      <c r="JD21" s="0" t="s">
        <v>2097</v>
      </c>
      <c r="JN21" s="0" t="s">
        <v>6723</v>
      </c>
      <c r="JQ21" s="0" t="s">
        <v>14285</v>
      </c>
      <c r="JZ21" s="0" t="s">
        <v>5097</v>
      </c>
      <c r="KE21" s="0" t="s">
        <v>14562</v>
      </c>
      <c r="KP21" s="0" t="s">
        <v>14843</v>
      </c>
      <c r="KR21" s="0" t="s">
        <v>14958</v>
      </c>
      <c r="KS21" s="0" t="s">
        <v>15266</v>
      </c>
      <c r="KY21" s="0" t="s">
        <v>15435</v>
      </c>
      <c r="LJ21" s="0" t="s">
        <v>15613</v>
      </c>
      <c r="LQ21" s="0" t="s">
        <v>15784</v>
      </c>
      <c r="LY21" s="0" t="s">
        <v>15915</v>
      </c>
      <c r="MA21" s="0" t="s">
        <v>15857</v>
      </c>
      <c r="MF21" s="0" t="s">
        <v>2540</v>
      </c>
      <c r="MJ21" s="0" t="s">
        <v>16227</v>
      </c>
      <c r="ML21" s="0" t="s">
        <v>16506</v>
      </c>
      <c r="MO21" s="0" t="s">
        <v>16626</v>
      </c>
      <c r="MP21" s="0" t="s">
        <v>16760</v>
      </c>
      <c r="MT21" s="0" t="s">
        <v>16969</v>
      </c>
      <c r="MY21" s="0" t="s">
        <v>17071</v>
      </c>
      <c r="NA21" s="0" t="s">
        <v>17144</v>
      </c>
      <c r="ND21" s="0" t="s">
        <v>17150</v>
      </c>
      <c r="NG21" s="0" t="s">
        <v>2309</v>
      </c>
      <c r="NI21" s="0" t="s">
        <v>13259</v>
      </c>
      <c r="NM21" s="0" t="s">
        <v>17792</v>
      </c>
      <c r="NR21" s="0" t="s">
        <v>17940</v>
      </c>
      <c r="NW21" s="0" t="s">
        <v>17249</v>
      </c>
      <c r="OH21" s="0" t="s">
        <v>18264</v>
      </c>
      <c r="OJ21" s="0" t="s">
        <v>18283</v>
      </c>
      <c r="OO21" s="0" t="s">
        <v>18579</v>
      </c>
      <c r="OR21" s="0" t="s">
        <v>18711</v>
      </c>
      <c r="OY21" s="0" t="s">
        <v>18816</v>
      </c>
      <c r="PD21" s="0" t="s">
        <v>18989</v>
      </c>
      <c r="PE21" s="0" t="s">
        <v>17281</v>
      </c>
      <c r="PH21" s="0" t="s">
        <v>17285</v>
      </c>
      <c r="PN21" s="0" t="s">
        <v>19314</v>
      </c>
      <c r="QA21" s="0" t="s">
        <v>19544</v>
      </c>
      <c r="QE21" s="0" t="s">
        <v>19606</v>
      </c>
      <c r="QW21" s="0" t="s">
        <v>19771</v>
      </c>
      <c r="SB21" s="0" t="s">
        <v>20065</v>
      </c>
      <c r="SI21" s="0" t="s">
        <v>841</v>
      </c>
      <c r="SL21" s="0" t="s">
        <v>20444</v>
      </c>
      <c r="TK21" s="0" t="s">
        <v>14787</v>
      </c>
      <c r="UE21" s="0" t="s">
        <v>20988</v>
      </c>
      <c r="VH21" s="0" t="s">
        <v>21247</v>
      </c>
      <c r="WJ21" s="0" t="s">
        <v>21837</v>
      </c>
      <c r="WZ21" s="0" t="s">
        <v>21986</v>
      </c>
      <c r="XC21" s="0" t="s">
        <v>22051</v>
      </c>
      <c r="XI21" s="0" t="s">
        <v>22238</v>
      </c>
      <c r="XK21" s="0" t="s">
        <v>22288</v>
      </c>
      <c r="XL21" s="0" t="s">
        <v>22339</v>
      </c>
      <c r="XM21" s="0" t="s">
        <v>22422</v>
      </c>
      <c r="XT21" s="0" t="s">
        <v>22519</v>
      </c>
      <c r="XY21" s="0" t="s">
        <v>22797</v>
      </c>
      <c r="YG21" s="0" t="s">
        <v>22906</v>
      </c>
      <c r="ZC21" s="0" t="s">
        <v>23181</v>
      </c>
      <c r="ZK21" s="0" t="s">
        <v>23293</v>
      </c>
      <c r="ZV21" s="0" t="s">
        <v>23359</v>
      </c>
      <c r="AAI21" s="0" t="s">
        <v>23474</v>
      </c>
      <c r="AAN21" s="0" t="s">
        <v>23662</v>
      </c>
      <c r="AAT21" s="0" t="s">
        <v>23714</v>
      </c>
      <c r="ABF21" s="0" t="s">
        <v>23850</v>
      </c>
      <c r="ACV21" s="0" t="s">
        <v>24485</v>
      </c>
      <c r="ACY21" s="0" t="s">
        <v>24621</v>
      </c>
      <c r="ADB21" s="0" t="s">
        <v>23177</v>
      </c>
      <c r="ADL21" s="0" t="s">
        <v>3675</v>
      </c>
      <c r="ADO21" s="0" t="s">
        <v>1103</v>
      </c>
      <c r="ADQ21" s="0" t="s">
        <v>25531</v>
      </c>
      <c r="ADR21" s="0" t="s">
        <v>13817</v>
      </c>
      <c r="ADT21" s="0" t="s">
        <v>24231</v>
      </c>
      <c r="ADV21" s="0" t="s">
        <v>5496</v>
      </c>
      <c r="AED21" s="0" t="s">
        <v>2911</v>
      </c>
      <c r="AEH21" s="0" t="s">
        <v>25531</v>
      </c>
      <c r="AEI21" s="0" t="s">
        <v>13817</v>
      </c>
      <c r="AFK21" s="0" t="s">
        <v>3011</v>
      </c>
      <c r="AFV21" s="0" t="s">
        <v>2911</v>
      </c>
      <c r="AFZ21" s="0" t="s">
        <v>27384</v>
      </c>
      <c r="AGG21" s="0" t="s">
        <v>24231</v>
      </c>
      <c r="AGI21" s="0" t="s">
        <v>7275</v>
      </c>
      <c r="AGS21" s="0" t="s">
        <v>27874</v>
      </c>
      <c r="AHM21" s="0" t="s">
        <v>28203</v>
      </c>
      <c r="AHR21" s="0" t="s">
        <v>28274</v>
      </c>
      <c r="AID21" s="0" t="s">
        <v>28395</v>
      </c>
      <c r="AIL21" s="0" t="s">
        <v>13774</v>
      </c>
      <c r="AIW21" s="0" t="s">
        <v>28597</v>
      </c>
      <c r="AJC21" s="0" t="s">
        <v>28776</v>
      </c>
      <c r="AJM21" s="0" t="s">
        <v>28845</v>
      </c>
      <c r="AJS21" s="0" t="s">
        <v>28940</v>
      </c>
      <c r="AMR21" s="0" t="s">
        <v>11968</v>
      </c>
      <c r="AMU21" s="0" t="s">
        <v>2851</v>
      </c>
      <c r="AMX21" s="0" t="s">
        <v>2751</v>
      </c>
      <c r="ANA21" s="0" t="s">
        <v>2751</v>
      </c>
      <c r="AND21" s="0" t="s">
        <v>11968</v>
      </c>
      <c r="ANG21" s="0" t="s">
        <v>11968</v>
      </c>
      <c r="AOZ21" s="0" t="s">
        <v>31766</v>
      </c>
      <c r="AQV21" s="0" t="s">
        <v>5097</v>
      </c>
      <c r="ASM21" s="0" t="s">
        <v>32872</v>
      </c>
    </row>
    <row r="22" customFormat="false" ht="15" hidden="false" customHeight="false" outlineLevel="0" collapsed="false">
      <c r="I22" s="0" t="s">
        <v>1070</v>
      </c>
      <c r="M22" s="0" t="s">
        <v>2077</v>
      </c>
      <c r="Q22" s="0" t="s">
        <v>3121</v>
      </c>
      <c r="AP22" s="0" t="s">
        <v>3504</v>
      </c>
      <c r="AS22" s="0" t="s">
        <v>3936</v>
      </c>
      <c r="AV22" s="0" t="s">
        <v>1954</v>
      </c>
      <c r="BD22" s="0" t="s">
        <v>1545</v>
      </c>
      <c r="BG22" s="0" t="s">
        <v>3637</v>
      </c>
      <c r="BJ22" s="0" t="s">
        <v>5566</v>
      </c>
      <c r="BW22" s="0" t="s">
        <v>6147</v>
      </c>
      <c r="BX22" s="0" t="s">
        <v>6214</v>
      </c>
      <c r="CG22" s="0" t="s">
        <v>3253</v>
      </c>
      <c r="CZ22" s="0" t="s">
        <v>2007</v>
      </c>
      <c r="DV22" s="0" t="s">
        <v>2961</v>
      </c>
      <c r="EG22" s="0" t="s">
        <v>2961</v>
      </c>
      <c r="FY22" s="0" t="s">
        <v>7869</v>
      </c>
      <c r="GE22" s="0" t="s">
        <v>7912</v>
      </c>
      <c r="GI22" s="0" t="s">
        <v>8255</v>
      </c>
      <c r="GN22" s="0" t="s">
        <v>8202</v>
      </c>
      <c r="GX22" s="0" t="s">
        <v>7862</v>
      </c>
      <c r="HC22" s="0" t="s">
        <v>10344</v>
      </c>
      <c r="HI22" s="0" t="s">
        <v>7827</v>
      </c>
      <c r="HL22" s="0" t="s">
        <v>11326</v>
      </c>
      <c r="HM22" s="0" t="s">
        <v>7912</v>
      </c>
      <c r="HQ22" s="0" t="s">
        <v>11434</v>
      </c>
      <c r="HX22" s="0" t="s">
        <v>7827</v>
      </c>
      <c r="HZ22" s="0" t="s">
        <v>2761</v>
      </c>
      <c r="ID22" s="0" t="s">
        <v>1268</v>
      </c>
      <c r="II22" s="0" t="s">
        <v>751</v>
      </c>
      <c r="IQ22" s="0" t="s">
        <v>12633</v>
      </c>
      <c r="IV22" s="0" t="s">
        <v>13191</v>
      </c>
      <c r="JD22" s="0" t="s">
        <v>5263</v>
      </c>
      <c r="JN22" s="0" t="s">
        <v>3317</v>
      </c>
      <c r="JQ22" s="0" t="s">
        <v>14287</v>
      </c>
      <c r="JZ22" s="0" t="s">
        <v>7020</v>
      </c>
      <c r="KE22" s="0" t="s">
        <v>14565</v>
      </c>
      <c r="KP22" s="0" t="s">
        <v>14845</v>
      </c>
      <c r="KR22" s="0" t="s">
        <v>14814</v>
      </c>
      <c r="KS22" s="0" t="s">
        <v>15272</v>
      </c>
      <c r="KY22" s="0" t="s">
        <v>15437</v>
      </c>
      <c r="LJ22" s="0" t="s">
        <v>15615</v>
      </c>
      <c r="LQ22" s="0" t="s">
        <v>15786</v>
      </c>
      <c r="LY22" s="0" t="s">
        <v>15932</v>
      </c>
      <c r="MA22" s="0" t="s">
        <v>15707</v>
      </c>
      <c r="MF22" s="0" t="s">
        <v>1733</v>
      </c>
      <c r="MJ22" s="0" t="s">
        <v>14790</v>
      </c>
      <c r="ML22" s="0" t="s">
        <v>16512</v>
      </c>
      <c r="MO22" s="0" t="s">
        <v>16667</v>
      </c>
      <c r="MP22" s="0" t="s">
        <v>16762</v>
      </c>
      <c r="MT22" s="0" t="s">
        <v>16978</v>
      </c>
      <c r="MY22" s="0" t="s">
        <v>6336</v>
      </c>
      <c r="NA22" s="0" t="s">
        <v>17146</v>
      </c>
      <c r="ND22" s="0" t="s">
        <v>17147</v>
      </c>
      <c r="NG22" s="0" t="s">
        <v>2400</v>
      </c>
      <c r="NI22" s="0" t="s">
        <v>17721</v>
      </c>
      <c r="NM22" s="0" t="s">
        <v>17795</v>
      </c>
      <c r="NW22" s="0" t="s">
        <v>17254</v>
      </c>
      <c r="OH22" s="0" t="s">
        <v>18268</v>
      </c>
      <c r="OJ22" s="0" t="s">
        <v>17215</v>
      </c>
      <c r="OO22" s="0" t="s">
        <v>18583</v>
      </c>
      <c r="OR22" s="0" t="s">
        <v>18713</v>
      </c>
      <c r="OY22" s="0" t="s">
        <v>18818</v>
      </c>
      <c r="PD22" s="0" t="s">
        <v>15449</v>
      </c>
      <c r="PE22" s="0" t="s">
        <v>17284</v>
      </c>
      <c r="PH22" s="0" t="s">
        <v>17282</v>
      </c>
      <c r="PN22" s="0" t="s">
        <v>18713</v>
      </c>
      <c r="QA22" s="0" t="s">
        <v>19546</v>
      </c>
      <c r="QW22" s="0" t="s">
        <v>19773</v>
      </c>
      <c r="SB22" s="0" t="s">
        <v>20029</v>
      </c>
      <c r="SI22" s="0" t="s">
        <v>6410</v>
      </c>
      <c r="TK22" s="0" t="s">
        <v>14790</v>
      </c>
      <c r="UE22" s="0" t="s">
        <v>2951</v>
      </c>
      <c r="VH22" s="0" t="s">
        <v>21326</v>
      </c>
      <c r="WJ22" s="0" t="s">
        <v>21839</v>
      </c>
      <c r="WZ22" s="0" t="s">
        <v>21976</v>
      </c>
      <c r="XC22" s="0" t="s">
        <v>22053</v>
      </c>
      <c r="XK22" s="0" t="s">
        <v>22264</v>
      </c>
      <c r="XL22" s="0" t="s">
        <v>22341</v>
      </c>
      <c r="XM22" s="0" t="s">
        <v>22424</v>
      </c>
      <c r="XT22" s="0" t="s">
        <v>22228</v>
      </c>
      <c r="XY22" s="0" t="s">
        <v>22799</v>
      </c>
      <c r="YG22" s="0" t="s">
        <v>22908</v>
      </c>
      <c r="ZC22" s="0" t="s">
        <v>23183</v>
      </c>
      <c r="ZK22" s="0" t="s">
        <v>23295</v>
      </c>
      <c r="ZV22" s="0" t="s">
        <v>23397</v>
      </c>
      <c r="AAI22" s="0" t="s">
        <v>23482</v>
      </c>
      <c r="AAN22" s="0" t="s">
        <v>22480</v>
      </c>
      <c r="AAT22" s="0" t="s">
        <v>23742</v>
      </c>
      <c r="ABF22" s="0" t="s">
        <v>23854</v>
      </c>
      <c r="ACV22" s="0" t="s">
        <v>24491</v>
      </c>
      <c r="ACY22" s="0" t="s">
        <v>24623</v>
      </c>
      <c r="ADB22" s="0" t="s">
        <v>24669</v>
      </c>
      <c r="ADL22" s="0" t="s">
        <v>2187</v>
      </c>
      <c r="ADO22" s="0" t="s">
        <v>1114</v>
      </c>
      <c r="ADQ22" s="0" t="s">
        <v>14034</v>
      </c>
      <c r="ADR22" s="0" t="s">
        <v>3011</v>
      </c>
      <c r="ADT22" s="0" t="s">
        <v>25536</v>
      </c>
      <c r="ADV22" s="0" t="s">
        <v>6246</v>
      </c>
      <c r="AED22" s="0" t="s">
        <v>7275</v>
      </c>
      <c r="AEH22" s="0" t="s">
        <v>25469</v>
      </c>
      <c r="AEI22" s="0" t="s">
        <v>3011</v>
      </c>
      <c r="AFK22" s="0" t="s">
        <v>7396</v>
      </c>
      <c r="AFV22" s="0" t="s">
        <v>7275</v>
      </c>
      <c r="AFZ22" s="0" t="s">
        <v>26277</v>
      </c>
      <c r="AGG22" s="0" t="s">
        <v>25536</v>
      </c>
      <c r="AGI22" s="0" t="s">
        <v>2961</v>
      </c>
      <c r="AGS22" s="0" t="s">
        <v>27876</v>
      </c>
      <c r="AHM22" s="0" t="s">
        <v>28205</v>
      </c>
      <c r="AHR22" s="0" t="s">
        <v>28264</v>
      </c>
      <c r="AIL22" s="0" t="s">
        <v>784</v>
      </c>
      <c r="AIW22" s="0" t="s">
        <v>28550</v>
      </c>
      <c r="AJC22" s="0" t="s">
        <v>28519</v>
      </c>
      <c r="AJS22" s="0" t="s">
        <v>28942</v>
      </c>
      <c r="AMR22" s="0" t="s">
        <v>2751</v>
      </c>
      <c r="AMU22" s="0" t="s">
        <v>2901</v>
      </c>
      <c r="AMX22" s="0" t="s">
        <v>2801</v>
      </c>
      <c r="ANA22" s="0" t="s">
        <v>2801</v>
      </c>
      <c r="AND22" s="0" t="s">
        <v>2751</v>
      </c>
      <c r="ANG22" s="0" t="s">
        <v>2751</v>
      </c>
      <c r="AOZ22" s="0" t="s">
        <v>31768</v>
      </c>
      <c r="AQV22" s="0" t="s">
        <v>7020</v>
      </c>
      <c r="ASM22" s="0" t="s">
        <v>32901</v>
      </c>
    </row>
    <row r="23" customFormat="false" ht="15" hidden="false" customHeight="false" outlineLevel="0" collapsed="false">
      <c r="I23" s="0" t="s">
        <v>1081</v>
      </c>
      <c r="M23" s="0" t="s">
        <v>2082</v>
      </c>
      <c r="Q23" s="0" t="s">
        <v>3131</v>
      </c>
      <c r="AP23" s="0" t="s">
        <v>3512</v>
      </c>
      <c r="AS23" s="0" t="s">
        <v>1037</v>
      </c>
      <c r="AV23" s="0" t="s">
        <v>4637</v>
      </c>
      <c r="BD23" s="0" t="s">
        <v>4292</v>
      </c>
      <c r="BG23" s="0" t="s">
        <v>5362</v>
      </c>
      <c r="BW23" s="0" t="s">
        <v>5666</v>
      </c>
      <c r="BX23" s="0" t="s">
        <v>6219</v>
      </c>
      <c r="CG23" s="0" t="s">
        <v>1852</v>
      </c>
      <c r="CZ23" s="0" t="s">
        <v>2022</v>
      </c>
      <c r="DV23" s="0" t="s">
        <v>3061</v>
      </c>
      <c r="EG23" s="0" t="s">
        <v>2981</v>
      </c>
      <c r="FY23" s="0" t="s">
        <v>7855</v>
      </c>
      <c r="GE23" s="0" t="s">
        <v>8193</v>
      </c>
      <c r="GI23" s="0" t="s">
        <v>7933</v>
      </c>
      <c r="GN23" s="0" t="s">
        <v>8205</v>
      </c>
      <c r="GX23" s="0" t="s">
        <v>7872</v>
      </c>
      <c r="HC23" s="0" t="s">
        <v>8193</v>
      </c>
      <c r="HI23" s="0" t="s">
        <v>7853</v>
      </c>
      <c r="HL23" s="0" t="s">
        <v>8055</v>
      </c>
      <c r="HM23" s="0" t="s">
        <v>8193</v>
      </c>
      <c r="HQ23" s="0" t="s">
        <v>11524</v>
      </c>
      <c r="HX23" s="0" t="s">
        <v>7853</v>
      </c>
      <c r="HZ23" s="0" t="s">
        <v>12223</v>
      </c>
      <c r="ID23" s="0" t="s">
        <v>1323</v>
      </c>
      <c r="IQ23" s="0" t="s">
        <v>12686</v>
      </c>
      <c r="IV23" s="0" t="s">
        <v>13236</v>
      </c>
      <c r="JD23" s="0" t="s">
        <v>2127</v>
      </c>
      <c r="JN23" s="0" t="s">
        <v>7061</v>
      </c>
      <c r="JQ23" s="0" t="s">
        <v>14269</v>
      </c>
      <c r="JZ23" s="0" t="s">
        <v>6723</v>
      </c>
      <c r="KE23" s="0" t="s">
        <v>14569</v>
      </c>
      <c r="KP23" s="0" t="s">
        <v>14847</v>
      </c>
      <c r="KR23" s="0" t="s">
        <v>14817</v>
      </c>
      <c r="KS23" s="0" t="s">
        <v>15270</v>
      </c>
      <c r="KY23" s="0" t="s">
        <v>15473</v>
      </c>
      <c r="LJ23" s="0" t="s">
        <v>15617</v>
      </c>
      <c r="LQ23" s="0" t="s">
        <v>15788</v>
      </c>
      <c r="LY23" s="0" t="s">
        <v>15935</v>
      </c>
      <c r="MA23" s="0" t="s">
        <v>15710</v>
      </c>
      <c r="MF23" s="0" t="s">
        <v>1768</v>
      </c>
      <c r="MJ23" s="0" t="s">
        <v>16234</v>
      </c>
      <c r="ML23" s="0" t="s">
        <v>16518</v>
      </c>
      <c r="MO23" s="0" t="s">
        <v>16671</v>
      </c>
      <c r="MP23" s="0" t="s">
        <v>16764</v>
      </c>
      <c r="MT23" s="0" t="s">
        <v>16988</v>
      </c>
      <c r="NA23" s="0" t="s">
        <v>17149</v>
      </c>
      <c r="ND23" s="0" t="s">
        <v>17324</v>
      </c>
      <c r="NG23" s="0" t="s">
        <v>2440</v>
      </c>
      <c r="NI23" s="0" t="s">
        <v>17723</v>
      </c>
      <c r="NM23" s="0" t="s">
        <v>17799</v>
      </c>
      <c r="NW23" s="0" t="s">
        <v>18027</v>
      </c>
      <c r="OH23" s="0" t="s">
        <v>18270</v>
      </c>
      <c r="OJ23" s="0" t="s">
        <v>17218</v>
      </c>
      <c r="OO23" s="0" t="s">
        <v>18587</v>
      </c>
      <c r="OR23" s="0" t="s">
        <v>18715</v>
      </c>
      <c r="OY23" s="0" t="s">
        <v>18820</v>
      </c>
      <c r="PD23" s="0" t="s">
        <v>19159</v>
      </c>
      <c r="PE23" s="0" t="s">
        <v>17299</v>
      </c>
      <c r="PH23" s="0" t="s">
        <v>17300</v>
      </c>
      <c r="PN23" s="0" t="s">
        <v>19350</v>
      </c>
      <c r="QA23" s="0" t="s">
        <v>19548</v>
      </c>
      <c r="QW23" s="0" t="s">
        <v>19767</v>
      </c>
      <c r="SB23" s="0" t="s">
        <v>20067</v>
      </c>
      <c r="SI23" s="0" t="s">
        <v>789</v>
      </c>
      <c r="TK23" s="0" t="s">
        <v>14792</v>
      </c>
      <c r="UE23" s="0" t="s">
        <v>2961</v>
      </c>
      <c r="VH23" s="0" t="s">
        <v>9003</v>
      </c>
      <c r="WJ23" s="0" t="s">
        <v>21841</v>
      </c>
      <c r="WZ23" s="0" t="s">
        <v>21978</v>
      </c>
      <c r="XC23" s="0" t="s">
        <v>22055</v>
      </c>
      <c r="XL23" s="0" t="s">
        <v>22343</v>
      </c>
      <c r="XM23" s="0" t="s">
        <v>22386</v>
      </c>
      <c r="XT23" s="0" t="s">
        <v>22231</v>
      </c>
      <c r="XY23" s="0" t="s">
        <v>22801</v>
      </c>
      <c r="YG23" s="0" t="s">
        <v>22910</v>
      </c>
      <c r="ZC23" s="0" t="s">
        <v>23091</v>
      </c>
      <c r="ZK23" s="0" t="s">
        <v>23297</v>
      </c>
      <c r="ZV23" s="0" t="s">
        <v>23405</v>
      </c>
      <c r="AAI23" s="0" t="s">
        <v>23519</v>
      </c>
      <c r="AAN23" s="0" t="s">
        <v>23665</v>
      </c>
      <c r="AAT23" s="0" t="s">
        <v>23730</v>
      </c>
      <c r="ABF23" s="0" t="s">
        <v>23856</v>
      </c>
      <c r="ACV23" s="0" t="s">
        <v>24493</v>
      </c>
      <c r="ACY23" s="0" t="s">
        <v>24570</v>
      </c>
      <c r="ADB23" s="0" t="s">
        <v>24671</v>
      </c>
      <c r="ADL23" s="0" t="s">
        <v>2227</v>
      </c>
      <c r="ADO23" s="0" t="s">
        <v>1158</v>
      </c>
      <c r="ADQ23" s="0" t="s">
        <v>25516</v>
      </c>
      <c r="ADR23" s="0" t="s">
        <v>7396</v>
      </c>
      <c r="ADT23" s="0" t="s">
        <v>25531</v>
      </c>
      <c r="ADV23" s="0" t="s">
        <v>7358</v>
      </c>
      <c r="AED23" s="0" t="s">
        <v>2961</v>
      </c>
      <c r="AEH23" s="0" t="s">
        <v>25467</v>
      </c>
      <c r="AEI23" s="0" t="s">
        <v>7396</v>
      </c>
      <c r="AFK23" s="0" t="s">
        <v>3061</v>
      </c>
      <c r="AFV23" s="0" t="s">
        <v>2961</v>
      </c>
      <c r="AFZ23" s="0" t="s">
        <v>27373</v>
      </c>
      <c r="AGG23" s="0" t="s">
        <v>26256</v>
      </c>
      <c r="AGI23" s="0" t="s">
        <v>13817</v>
      </c>
      <c r="AHM23" s="0" t="s">
        <v>28207</v>
      </c>
      <c r="AHR23" s="0" t="s">
        <v>28282</v>
      </c>
      <c r="AIL23" s="0" t="s">
        <v>6244</v>
      </c>
      <c r="AIW23" s="0" t="s">
        <v>28545</v>
      </c>
      <c r="AJC23" s="0" t="s">
        <v>28712</v>
      </c>
      <c r="AJS23" s="0" t="s">
        <v>28944</v>
      </c>
      <c r="AMR23" s="0" t="s">
        <v>2801</v>
      </c>
      <c r="AMU23" s="0" t="s">
        <v>883</v>
      </c>
      <c r="AMX23" s="0" t="s">
        <v>2851</v>
      </c>
      <c r="ANA23" s="0" t="s">
        <v>2851</v>
      </c>
      <c r="AND23" s="0" t="s">
        <v>2801</v>
      </c>
      <c r="ANG23" s="0" t="s">
        <v>2851</v>
      </c>
      <c r="AOZ23" s="0" t="s">
        <v>31709</v>
      </c>
      <c r="AQV23" s="0" t="s">
        <v>6723</v>
      </c>
      <c r="ASM23" s="0" t="s">
        <v>32904</v>
      </c>
    </row>
    <row r="24" customFormat="false" ht="15" hidden="false" customHeight="false" outlineLevel="0" collapsed="false">
      <c r="I24" s="0" t="s">
        <v>1092</v>
      </c>
      <c r="M24" s="0" t="s">
        <v>2087</v>
      </c>
      <c r="Q24" s="0" t="s">
        <v>3141</v>
      </c>
      <c r="AP24" s="0" t="s">
        <v>3520</v>
      </c>
      <c r="AS24" s="0" t="s">
        <v>3947</v>
      </c>
      <c r="AV24" s="0" t="s">
        <v>4642</v>
      </c>
      <c r="BD24" s="0" t="s">
        <v>1570</v>
      </c>
      <c r="BG24" s="0" t="s">
        <v>2162</v>
      </c>
      <c r="BW24" s="0" t="s">
        <v>5675</v>
      </c>
      <c r="BX24" s="0" t="s">
        <v>6222</v>
      </c>
      <c r="CG24" s="0" t="s">
        <v>6299</v>
      </c>
      <c r="CZ24" s="0" t="s">
        <v>2052</v>
      </c>
      <c r="DV24" s="0" t="s">
        <v>2600</v>
      </c>
      <c r="EG24" s="0" t="s">
        <v>3021</v>
      </c>
      <c r="FY24" s="0" t="s">
        <v>7933</v>
      </c>
      <c r="GE24" s="0" t="s">
        <v>8196</v>
      </c>
      <c r="GI24" s="0" t="s">
        <v>8263</v>
      </c>
      <c r="GN24" s="0" t="s">
        <v>7845</v>
      </c>
      <c r="GX24" s="0" t="s">
        <v>7866</v>
      </c>
      <c r="HC24" s="0" t="s">
        <v>10349</v>
      </c>
      <c r="HI24" s="0" t="s">
        <v>7869</v>
      </c>
      <c r="HL24" s="0" t="s">
        <v>11343</v>
      </c>
      <c r="HM24" s="0" t="s">
        <v>8196</v>
      </c>
      <c r="HQ24" s="0" t="s">
        <v>11526</v>
      </c>
      <c r="HX24" s="0" t="s">
        <v>7869</v>
      </c>
      <c r="HZ24" s="0" t="s">
        <v>2801</v>
      </c>
      <c r="ID24" s="0" t="s">
        <v>1378</v>
      </c>
      <c r="IQ24" s="0" t="s">
        <v>12690</v>
      </c>
      <c r="JD24" s="0" t="s">
        <v>2142</v>
      </c>
      <c r="JN24" s="0" t="s">
        <v>13774</v>
      </c>
      <c r="JQ24" s="0" t="s">
        <v>14271</v>
      </c>
      <c r="JZ24" s="0" t="s">
        <v>3317</v>
      </c>
      <c r="KE24" s="0" t="s">
        <v>8047</v>
      </c>
      <c r="KP24" s="0" t="s">
        <v>14849</v>
      </c>
      <c r="KR24" s="0" t="s">
        <v>14821</v>
      </c>
      <c r="KS24" s="0" t="s">
        <v>15274</v>
      </c>
      <c r="KY24" s="0" t="s">
        <v>15471</v>
      </c>
      <c r="LJ24" s="0" t="s">
        <v>15619</v>
      </c>
      <c r="LQ24" s="0" t="s">
        <v>15790</v>
      </c>
      <c r="LY24" s="0" t="s">
        <v>15938</v>
      </c>
      <c r="MA24" s="0" t="s">
        <v>16027</v>
      </c>
      <c r="MF24" s="0" t="s">
        <v>3253</v>
      </c>
      <c r="MJ24" s="0" t="s">
        <v>16420</v>
      </c>
      <c r="MO24" s="0" t="s">
        <v>16632</v>
      </c>
      <c r="MP24" s="0" t="s">
        <v>16766</v>
      </c>
      <c r="MT24" s="0" t="s">
        <v>16995</v>
      </c>
      <c r="NA24" s="0" t="s">
        <v>17153</v>
      </c>
      <c r="ND24" s="0" t="s">
        <v>17376</v>
      </c>
      <c r="NG24" s="0" t="s">
        <v>2540</v>
      </c>
      <c r="NI24" s="0" t="s">
        <v>17725</v>
      </c>
      <c r="NM24" s="0" t="s">
        <v>17801</v>
      </c>
      <c r="NW24" s="0" t="s">
        <v>18030</v>
      </c>
      <c r="OH24" s="0" t="s">
        <v>18272</v>
      </c>
      <c r="OJ24" s="0" t="s">
        <v>17239</v>
      </c>
      <c r="OO24" s="0" t="s">
        <v>18585</v>
      </c>
      <c r="OR24" s="0" t="s">
        <v>17137</v>
      </c>
      <c r="OY24" s="0" t="s">
        <v>18822</v>
      </c>
      <c r="PD24" s="0" t="s">
        <v>18994</v>
      </c>
      <c r="PE24" s="0" t="s">
        <v>18350</v>
      </c>
      <c r="PN24" s="0" t="s">
        <v>19354</v>
      </c>
      <c r="QA24" s="0" t="s">
        <v>19550</v>
      </c>
      <c r="QW24" s="0" t="s">
        <v>19769</v>
      </c>
      <c r="SB24" s="0" t="s">
        <v>20069</v>
      </c>
      <c r="SI24" s="0" t="s">
        <v>20239</v>
      </c>
      <c r="TK24" s="0" t="s">
        <v>14795</v>
      </c>
      <c r="UE24" s="0" t="s">
        <v>2971</v>
      </c>
      <c r="VH24" s="0" t="s">
        <v>21249</v>
      </c>
      <c r="WJ24" s="0" t="s">
        <v>21843</v>
      </c>
      <c r="WZ24" s="0" t="s">
        <v>21974</v>
      </c>
      <c r="XC24" s="0" t="s">
        <v>22057</v>
      </c>
      <c r="XL24" s="0" t="s">
        <v>22345</v>
      </c>
      <c r="XM24" s="0" t="s">
        <v>22388</v>
      </c>
      <c r="XT24" s="0" t="s">
        <v>22219</v>
      </c>
      <c r="XY24" s="0" t="s">
        <v>22803</v>
      </c>
      <c r="YG24" s="0" t="s">
        <v>22912</v>
      </c>
      <c r="ZC24" s="0" t="s">
        <v>23093</v>
      </c>
      <c r="ZK24" s="0" t="s">
        <v>23299</v>
      </c>
      <c r="ZV24" s="0" t="s">
        <v>23401</v>
      </c>
      <c r="AAI24" s="0" t="s">
        <v>23502</v>
      </c>
      <c r="AAN24" s="0" t="s">
        <v>23667</v>
      </c>
      <c r="ABF24" s="0" t="s">
        <v>23858</v>
      </c>
      <c r="ACV24" s="0" t="s">
        <v>24495</v>
      </c>
      <c r="ACY24" s="0" t="s">
        <v>24568</v>
      </c>
      <c r="ADB24" s="0" t="s">
        <v>24700</v>
      </c>
      <c r="ADL24" s="0" t="s">
        <v>2279</v>
      </c>
      <c r="ADO24" s="0" t="s">
        <v>25199</v>
      </c>
      <c r="ADQ24" s="0" t="s">
        <v>25469</v>
      </c>
      <c r="ADR24" s="0" t="s">
        <v>3061</v>
      </c>
      <c r="ADT24" s="0" t="s">
        <v>14034</v>
      </c>
      <c r="ADV24" s="0" t="s">
        <v>2911</v>
      </c>
      <c r="AED24" s="0" t="s">
        <v>13817</v>
      </c>
      <c r="AEH24" s="0" t="s">
        <v>25753</v>
      </c>
      <c r="AEI24" s="0" t="s">
        <v>3061</v>
      </c>
      <c r="AFK24" s="0" t="s">
        <v>11870</v>
      </c>
      <c r="AFV24" s="0" t="s">
        <v>3011</v>
      </c>
      <c r="AFZ24" s="0" t="s">
        <v>27394</v>
      </c>
      <c r="AGG24" s="0" t="s">
        <v>14034</v>
      </c>
      <c r="AGI24" s="0" t="s">
        <v>3011</v>
      </c>
      <c r="AHM24" s="0" t="s">
        <v>28209</v>
      </c>
      <c r="AHR24" s="0" t="s">
        <v>28284</v>
      </c>
      <c r="AIL24" s="0" t="s">
        <v>6246</v>
      </c>
      <c r="AIW24" s="0" t="s">
        <v>28548</v>
      </c>
      <c r="AJC24" s="0" t="s">
        <v>28714</v>
      </c>
      <c r="AJS24" s="0" t="s">
        <v>28946</v>
      </c>
      <c r="AMR24" s="0" t="s">
        <v>2851</v>
      </c>
      <c r="AMU24" s="0" t="s">
        <v>6497</v>
      </c>
      <c r="AMX24" s="0" t="s">
        <v>6497</v>
      </c>
      <c r="ANA24" s="0" t="s">
        <v>6497</v>
      </c>
      <c r="AND24" s="0" t="s">
        <v>2851</v>
      </c>
      <c r="ANG24" s="0" t="s">
        <v>6497</v>
      </c>
      <c r="AOZ24" s="0" t="s">
        <v>31712</v>
      </c>
      <c r="AQV24" s="0" t="s">
        <v>3317</v>
      </c>
      <c r="ASM24" s="0" t="s">
        <v>32910</v>
      </c>
    </row>
    <row r="25" customFormat="false" ht="15" hidden="false" customHeight="false" outlineLevel="0" collapsed="false">
      <c r="I25" s="0" t="s">
        <v>1103</v>
      </c>
      <c r="M25" s="0" t="s">
        <v>2092</v>
      </c>
      <c r="Q25" s="0" t="s">
        <v>3151</v>
      </c>
      <c r="AP25" s="0" t="s">
        <v>2092</v>
      </c>
      <c r="AS25" s="0" t="s">
        <v>1070</v>
      </c>
      <c r="AV25" s="0" t="s">
        <v>4647</v>
      </c>
      <c r="BD25" s="0" t="s">
        <v>4958</v>
      </c>
      <c r="BG25" s="0" t="s">
        <v>3675</v>
      </c>
      <c r="BW25" s="0" t="s">
        <v>5683</v>
      </c>
      <c r="CG25" s="0" t="s">
        <v>6301</v>
      </c>
      <c r="CZ25" s="0" t="s">
        <v>2082</v>
      </c>
      <c r="DV25" s="0" t="s">
        <v>2701</v>
      </c>
      <c r="EG25" s="0" t="s">
        <v>7396</v>
      </c>
      <c r="FY25" s="0" t="s">
        <v>7935</v>
      </c>
      <c r="GE25" s="0" t="s">
        <v>8199</v>
      </c>
      <c r="GI25" s="0" t="s">
        <v>7935</v>
      </c>
      <c r="GN25" s="0" t="s">
        <v>8210</v>
      </c>
      <c r="GX25" s="0" t="s">
        <v>7899</v>
      </c>
      <c r="HC25" s="0" t="s">
        <v>8196</v>
      </c>
      <c r="HI25" s="0" t="s">
        <v>7855</v>
      </c>
      <c r="HL25" s="0" t="s">
        <v>11345</v>
      </c>
      <c r="HM25" s="0" t="s">
        <v>7845</v>
      </c>
      <c r="HQ25" s="0" t="s">
        <v>11528</v>
      </c>
      <c r="HX25" s="0" t="s">
        <v>7829</v>
      </c>
      <c r="HZ25" s="0" t="s">
        <v>12101</v>
      </c>
      <c r="ID25" s="0" t="s">
        <v>4883</v>
      </c>
      <c r="IQ25" s="0" t="s">
        <v>12701</v>
      </c>
      <c r="JD25" s="0" t="s">
        <v>2162</v>
      </c>
      <c r="JN25" s="0" t="s">
        <v>6768</v>
      </c>
      <c r="JQ25" s="0" t="s">
        <v>14273</v>
      </c>
      <c r="JZ25" s="0" t="s">
        <v>7061</v>
      </c>
      <c r="KE25" s="0" t="s">
        <v>8158</v>
      </c>
      <c r="KP25" s="0" t="s">
        <v>14851</v>
      </c>
      <c r="KR25" s="0" t="s">
        <v>14823</v>
      </c>
      <c r="KS25" s="0" t="s">
        <v>15276</v>
      </c>
      <c r="KY25" s="0" t="s">
        <v>15395</v>
      </c>
      <c r="LJ25" s="0" t="s">
        <v>15621</v>
      </c>
      <c r="LQ25" s="0" t="s">
        <v>15792</v>
      </c>
      <c r="LY25" s="0" t="s">
        <v>15941</v>
      </c>
      <c r="MA25" s="0" t="s">
        <v>16008</v>
      </c>
      <c r="MF25" s="0" t="s">
        <v>13318</v>
      </c>
      <c r="MJ25" s="0" t="s">
        <v>16236</v>
      </c>
      <c r="MO25" s="0" t="s">
        <v>16634</v>
      </c>
      <c r="MP25" s="0" t="s">
        <v>16768</v>
      </c>
      <c r="MT25" s="0" t="s">
        <v>17000</v>
      </c>
      <c r="NA25" s="0" t="s">
        <v>17157</v>
      </c>
      <c r="ND25" s="0" t="s">
        <v>17373</v>
      </c>
      <c r="NG25" s="0" t="s">
        <v>1733</v>
      </c>
      <c r="NI25" s="0" t="s">
        <v>13262</v>
      </c>
      <c r="NM25" s="0" t="s">
        <v>17804</v>
      </c>
      <c r="NW25" s="0" t="s">
        <v>18032</v>
      </c>
      <c r="OH25" s="0" t="s">
        <v>18276</v>
      </c>
      <c r="OJ25" s="0" t="s">
        <v>17234</v>
      </c>
      <c r="OO25" s="0" t="s">
        <v>18589</v>
      </c>
      <c r="OR25" s="0" t="s">
        <v>17131</v>
      </c>
      <c r="OY25" s="0" t="s">
        <v>18824</v>
      </c>
      <c r="PD25" s="0" t="s">
        <v>19097</v>
      </c>
      <c r="PE25" s="0" t="s">
        <v>18357</v>
      </c>
      <c r="PN25" s="0" t="s">
        <v>19394</v>
      </c>
      <c r="SB25" s="0" t="s">
        <v>20071</v>
      </c>
      <c r="SI25" s="0" t="s">
        <v>20155</v>
      </c>
      <c r="TK25" s="0" t="s">
        <v>14797</v>
      </c>
      <c r="UE25" s="0" t="s">
        <v>2981</v>
      </c>
      <c r="VH25" s="0" t="s">
        <v>21251</v>
      </c>
      <c r="WJ25" s="0" t="s">
        <v>21845</v>
      </c>
      <c r="WZ25" s="0" t="s">
        <v>21982</v>
      </c>
      <c r="XC25" s="0" t="s">
        <v>22044</v>
      </c>
      <c r="XL25" s="0" t="s">
        <v>22347</v>
      </c>
      <c r="XM25" s="0" t="s">
        <v>22392</v>
      </c>
      <c r="XT25" s="0" t="s">
        <v>22222</v>
      </c>
      <c r="XY25" s="0" t="s">
        <v>22805</v>
      </c>
      <c r="YG25" s="0" t="s">
        <v>22914</v>
      </c>
      <c r="ZC25" s="0" t="s">
        <v>23095</v>
      </c>
      <c r="ZK25" s="0" t="s">
        <v>23301</v>
      </c>
      <c r="ZV25" s="0" t="s">
        <v>23395</v>
      </c>
      <c r="AAI25" s="0" t="s">
        <v>23504</v>
      </c>
      <c r="ABF25" s="0" t="s">
        <v>23862</v>
      </c>
      <c r="ACV25" s="0" t="s">
        <v>24469</v>
      </c>
      <c r="ACY25" s="0" t="s">
        <v>24574</v>
      </c>
      <c r="ADB25" s="0" t="s">
        <v>24698</v>
      </c>
      <c r="ADL25" s="0" t="s">
        <v>2297</v>
      </c>
      <c r="ADO25" s="0" t="s">
        <v>1213</v>
      </c>
      <c r="ADQ25" s="0" t="s">
        <v>25467</v>
      </c>
      <c r="ADR25" s="0" t="s">
        <v>11870</v>
      </c>
      <c r="ADT25" s="0" t="s">
        <v>25516</v>
      </c>
      <c r="ADV25" s="0" t="s">
        <v>7275</v>
      </c>
      <c r="AED25" s="0" t="s">
        <v>3011</v>
      </c>
      <c r="AEH25" s="0" t="s">
        <v>25464</v>
      </c>
      <c r="AEI25" s="0" t="s">
        <v>3111</v>
      </c>
      <c r="AFK25" s="0" t="s">
        <v>3111</v>
      </c>
      <c r="AFV25" s="0" t="s">
        <v>3061</v>
      </c>
      <c r="AFZ25" s="0" t="s">
        <v>27364</v>
      </c>
      <c r="AGG25" s="0" t="s">
        <v>25516</v>
      </c>
      <c r="AGI25" s="0" t="s">
        <v>7396</v>
      </c>
      <c r="AHM25" s="0" t="s">
        <v>28211</v>
      </c>
      <c r="AHR25" s="0" t="s">
        <v>28286</v>
      </c>
      <c r="AIW25" s="0" t="s">
        <v>28620</v>
      </c>
      <c r="AJC25" s="0" t="s">
        <v>28750</v>
      </c>
      <c r="AJS25" s="0" t="s">
        <v>28948</v>
      </c>
      <c r="AMR25" s="0" t="s">
        <v>6497</v>
      </c>
      <c r="AMU25" s="0" t="s">
        <v>938</v>
      </c>
      <c r="AMX25" s="0" t="s">
        <v>1048</v>
      </c>
      <c r="ANA25" s="0" t="s">
        <v>1048</v>
      </c>
      <c r="AND25" s="0" t="s">
        <v>6497</v>
      </c>
      <c r="ANG25" s="0" t="s">
        <v>1048</v>
      </c>
      <c r="AOZ25" s="0" t="s">
        <v>31714</v>
      </c>
      <c r="AQV25" s="0" t="s">
        <v>7061</v>
      </c>
      <c r="ASM25" s="0" t="s">
        <v>32914</v>
      </c>
    </row>
    <row r="26" customFormat="false" ht="15" hidden="false" customHeight="false" outlineLevel="0" collapsed="false">
      <c r="I26" s="0" t="s">
        <v>1114</v>
      </c>
      <c r="M26" s="0" t="s">
        <v>2097</v>
      </c>
      <c r="Q26" s="0" t="s">
        <v>2600</v>
      </c>
      <c r="AP26" s="0" t="s">
        <v>3535</v>
      </c>
      <c r="AS26" s="0" t="s">
        <v>3958</v>
      </c>
      <c r="AV26" s="0" t="s">
        <v>1966</v>
      </c>
      <c r="BD26" s="0" t="s">
        <v>1595</v>
      </c>
      <c r="BG26" s="0" t="s">
        <v>2177</v>
      </c>
      <c r="BW26" s="0" t="s">
        <v>5691</v>
      </c>
      <c r="CG26" s="0" t="s">
        <v>4614</v>
      </c>
      <c r="CZ26" s="0" t="s">
        <v>2097</v>
      </c>
      <c r="EG26" s="0" t="s">
        <v>3061</v>
      </c>
      <c r="FY26" s="0" t="s">
        <v>7927</v>
      </c>
      <c r="GE26" s="0" t="s">
        <v>8202</v>
      </c>
      <c r="GI26" s="0" t="s">
        <v>7927</v>
      </c>
      <c r="GN26" s="0" t="s">
        <v>7910</v>
      </c>
      <c r="GX26" s="0" t="s">
        <v>7875</v>
      </c>
      <c r="HC26" s="0" t="s">
        <v>8199</v>
      </c>
      <c r="HI26" s="0" t="s">
        <v>7933</v>
      </c>
      <c r="HL26" s="0" t="s">
        <v>8151</v>
      </c>
      <c r="HM26" s="0" t="s">
        <v>7827</v>
      </c>
      <c r="HQ26" s="0" t="s">
        <v>11488</v>
      </c>
      <c r="HX26" s="0" t="s">
        <v>7831</v>
      </c>
      <c r="HZ26" s="0" t="s">
        <v>2851</v>
      </c>
      <c r="ID26" s="0" t="s">
        <v>1495</v>
      </c>
      <c r="JD26" s="0" t="s">
        <v>2187</v>
      </c>
      <c r="JN26" s="0" t="s">
        <v>14008</v>
      </c>
      <c r="JQ26" s="0" t="s">
        <v>14275</v>
      </c>
      <c r="JZ26" s="0" t="s">
        <v>13774</v>
      </c>
      <c r="KE26" s="0" t="s">
        <v>9166</v>
      </c>
      <c r="KP26" s="0" t="s">
        <v>14853</v>
      </c>
      <c r="KR26" s="0" t="s">
        <v>14968</v>
      </c>
      <c r="KS26" s="0" t="s">
        <v>15278</v>
      </c>
      <c r="KY26" s="0" t="s">
        <v>15440</v>
      </c>
      <c r="LJ26" s="0" t="s">
        <v>15623</v>
      </c>
      <c r="LQ26" s="0" t="s">
        <v>15794</v>
      </c>
      <c r="LY26" s="0" t="s">
        <v>15943</v>
      </c>
      <c r="MA26" s="0" t="s">
        <v>15939</v>
      </c>
      <c r="MF26" s="0" t="s">
        <v>1881</v>
      </c>
      <c r="MJ26" s="0" t="s">
        <v>16242</v>
      </c>
      <c r="MO26" s="0" t="s">
        <v>16636</v>
      </c>
      <c r="MP26" s="0" t="s">
        <v>16770</v>
      </c>
      <c r="MT26" s="0" t="s">
        <v>16949</v>
      </c>
      <c r="NA26" s="0" t="s">
        <v>17163</v>
      </c>
      <c r="ND26" s="0" t="s">
        <v>17155</v>
      </c>
      <c r="NG26" s="0" t="s">
        <v>1881</v>
      </c>
      <c r="NI26" s="0" t="s">
        <v>17731</v>
      </c>
      <c r="NM26" s="0" t="s">
        <v>17811</v>
      </c>
      <c r="NW26" s="0" t="s">
        <v>18034</v>
      </c>
      <c r="OH26" s="0" t="s">
        <v>18280</v>
      </c>
      <c r="OJ26" s="0" t="s">
        <v>17255</v>
      </c>
      <c r="OO26" s="0" t="s">
        <v>18593</v>
      </c>
      <c r="OR26" s="0" t="s">
        <v>18719</v>
      </c>
      <c r="OY26" s="0" t="s">
        <v>18826</v>
      </c>
      <c r="PD26" s="0" t="s">
        <v>19099</v>
      </c>
      <c r="PE26" s="0" t="s">
        <v>18231</v>
      </c>
      <c r="PN26" s="0" t="s">
        <v>19398</v>
      </c>
      <c r="SB26" s="0" t="s">
        <v>20024</v>
      </c>
      <c r="SI26" s="0" t="s">
        <v>6418</v>
      </c>
      <c r="TK26" s="0" t="s">
        <v>14800</v>
      </c>
      <c r="UE26" s="0" t="s">
        <v>13817</v>
      </c>
      <c r="VH26" s="0" t="s">
        <v>21253</v>
      </c>
      <c r="WJ26" s="0" t="s">
        <v>21847</v>
      </c>
      <c r="WZ26" s="0" t="s">
        <v>21984</v>
      </c>
      <c r="XC26" s="0" t="s">
        <v>22047</v>
      </c>
      <c r="XL26" s="0" t="s">
        <v>22349</v>
      </c>
      <c r="XM26" s="0" t="s">
        <v>22390</v>
      </c>
      <c r="XT26" s="0" t="s">
        <v>22225</v>
      </c>
      <c r="XY26" s="0" t="s">
        <v>22813</v>
      </c>
      <c r="YG26" s="0" t="s">
        <v>22916</v>
      </c>
      <c r="ZC26" s="0" t="s">
        <v>23097</v>
      </c>
      <c r="AAI26" s="0" t="s">
        <v>23506</v>
      </c>
      <c r="ABF26" s="0" t="s">
        <v>23860</v>
      </c>
      <c r="ACV26" s="0" t="s">
        <v>24487</v>
      </c>
      <c r="ACY26" s="0" t="s">
        <v>24572</v>
      </c>
      <c r="ADB26" s="0" t="s">
        <v>24657</v>
      </c>
      <c r="ADL26" s="0" t="s">
        <v>2351</v>
      </c>
      <c r="ADO26" s="0" t="s">
        <v>4826</v>
      </c>
      <c r="ADQ26" s="0" t="s">
        <v>25464</v>
      </c>
      <c r="ADR26" s="0" t="s">
        <v>3111</v>
      </c>
      <c r="ADT26" s="0" t="s">
        <v>25753</v>
      </c>
      <c r="ADV26" s="0" t="s">
        <v>2961</v>
      </c>
      <c r="AED26" s="0" t="s">
        <v>7396</v>
      </c>
      <c r="AEH26" s="0" t="s">
        <v>25750</v>
      </c>
      <c r="AEI26" s="0" t="s">
        <v>2600</v>
      </c>
      <c r="AFK26" s="0" t="s">
        <v>12306</v>
      </c>
      <c r="AFV26" s="0" t="s">
        <v>3111</v>
      </c>
      <c r="AFZ26" s="0" t="s">
        <v>27359</v>
      </c>
      <c r="AGG26" s="0" t="s">
        <v>25469</v>
      </c>
      <c r="AGI26" s="0" t="s">
        <v>3061</v>
      </c>
      <c r="AHM26" s="0" t="s">
        <v>28213</v>
      </c>
      <c r="AHR26" s="0" t="s">
        <v>28288</v>
      </c>
      <c r="AIW26" s="0" t="s">
        <v>28616</v>
      </c>
      <c r="AJC26" s="0" t="s">
        <v>28752</v>
      </c>
      <c r="AJS26" s="0" t="s">
        <v>28950</v>
      </c>
      <c r="AMR26" s="0" t="s">
        <v>1048</v>
      </c>
      <c r="AMU26" s="0" t="s">
        <v>993</v>
      </c>
      <c r="AMX26" s="0" t="s">
        <v>3991</v>
      </c>
      <c r="ANA26" s="0" t="s">
        <v>3991</v>
      </c>
      <c r="AND26" s="0" t="s">
        <v>1048</v>
      </c>
      <c r="ANG26" s="0" t="s">
        <v>3991</v>
      </c>
      <c r="AOZ26" s="0" t="s">
        <v>31716</v>
      </c>
      <c r="AQV26" s="0" t="s">
        <v>13774</v>
      </c>
      <c r="ASM26" s="0" t="s">
        <v>32937</v>
      </c>
    </row>
    <row r="27" customFormat="false" ht="15" hidden="false" customHeight="false" outlineLevel="0" collapsed="false">
      <c r="I27" s="0" t="s">
        <v>1125</v>
      </c>
      <c r="M27" s="0" t="s">
        <v>2102</v>
      </c>
      <c r="Q27" s="0" t="s">
        <v>2611</v>
      </c>
      <c r="AP27" s="0" t="s">
        <v>3543</v>
      </c>
      <c r="AS27" s="0" t="s">
        <v>1103</v>
      </c>
      <c r="AV27" s="0" t="s">
        <v>4656</v>
      </c>
      <c r="BD27" s="0" t="s">
        <v>4975</v>
      </c>
      <c r="BG27" s="0" t="s">
        <v>2187</v>
      </c>
      <c r="BW27" s="0" t="s">
        <v>5699</v>
      </c>
      <c r="CG27" s="0" t="s">
        <v>1924</v>
      </c>
      <c r="CZ27" s="0" t="s">
        <v>2112</v>
      </c>
      <c r="EG27" s="0" t="s">
        <v>2701</v>
      </c>
      <c r="FY27" s="0" t="s">
        <v>7829</v>
      </c>
      <c r="GE27" s="0" t="s">
        <v>8205</v>
      </c>
      <c r="GI27" s="0" t="s">
        <v>8608</v>
      </c>
      <c r="GN27" s="0" t="s">
        <v>8185</v>
      </c>
      <c r="GX27" s="0" t="s">
        <v>7999</v>
      </c>
      <c r="HC27" s="0" t="s">
        <v>8202</v>
      </c>
      <c r="HI27" s="0" t="s">
        <v>7935</v>
      </c>
      <c r="HL27" s="0" t="s">
        <v>11358</v>
      </c>
      <c r="HM27" s="0" t="s">
        <v>7853</v>
      </c>
      <c r="HQ27" s="0" t="s">
        <v>11490</v>
      </c>
      <c r="HX27" s="0" t="s">
        <v>7946</v>
      </c>
      <c r="HZ27" s="0" t="s">
        <v>2881</v>
      </c>
      <c r="ID27" s="0" t="s">
        <v>1520</v>
      </c>
      <c r="JD27" s="0" t="s">
        <v>2227</v>
      </c>
      <c r="JN27" s="0" t="s">
        <v>784</v>
      </c>
      <c r="JQ27" s="0" t="s">
        <v>14277</v>
      </c>
      <c r="JZ27" s="0" t="s">
        <v>6768</v>
      </c>
      <c r="KE27" s="0" t="s">
        <v>8989</v>
      </c>
      <c r="KP27" s="0" t="s">
        <v>14888</v>
      </c>
      <c r="KR27" s="0" t="s">
        <v>14970</v>
      </c>
      <c r="KS27" s="0" t="s">
        <v>15309</v>
      </c>
      <c r="KY27" s="0" t="s">
        <v>15463</v>
      </c>
      <c r="LJ27" s="0" t="s">
        <v>15625</v>
      </c>
      <c r="LQ27" s="0" t="s">
        <v>15796</v>
      </c>
      <c r="LY27" s="0" t="s">
        <v>15947</v>
      </c>
      <c r="MA27" s="0" t="s">
        <v>15961</v>
      </c>
      <c r="MJ27" s="0" t="s">
        <v>14795</v>
      </c>
      <c r="MO27" s="0" t="s">
        <v>16638</v>
      </c>
      <c r="MP27" s="0" t="s">
        <v>16772</v>
      </c>
      <c r="MT27" s="0" t="s">
        <v>16967</v>
      </c>
      <c r="NA27" s="0" t="s">
        <v>17168</v>
      </c>
      <c r="ND27" s="0" t="s">
        <v>17158</v>
      </c>
      <c r="NG27" s="0" t="s">
        <v>17052</v>
      </c>
      <c r="NI27" s="0" t="s">
        <v>17733</v>
      </c>
      <c r="NM27" s="0" t="s">
        <v>17813</v>
      </c>
      <c r="NW27" s="0" t="s">
        <v>18036</v>
      </c>
      <c r="OH27" s="0" t="s">
        <v>18282</v>
      </c>
      <c r="OJ27" s="0" t="s">
        <v>17250</v>
      </c>
      <c r="OO27" s="0" t="s">
        <v>18591</v>
      </c>
      <c r="OR27" s="0" t="s">
        <v>18721</v>
      </c>
      <c r="OY27" s="0" t="s">
        <v>18781</v>
      </c>
      <c r="PD27" s="0" t="s">
        <v>18996</v>
      </c>
      <c r="PE27" s="0" t="s">
        <v>18235</v>
      </c>
      <c r="PN27" s="0" t="s">
        <v>19400</v>
      </c>
      <c r="SB27" s="0" t="s">
        <v>20073</v>
      </c>
      <c r="SI27" s="0" t="s">
        <v>716</v>
      </c>
      <c r="TK27" s="0" t="s">
        <v>20660</v>
      </c>
      <c r="UE27" s="0" t="s">
        <v>2991</v>
      </c>
      <c r="VH27" s="0" t="s">
        <v>21335</v>
      </c>
      <c r="WJ27" s="0" t="s">
        <v>21849</v>
      </c>
      <c r="WZ27" s="0" t="s">
        <v>21980</v>
      </c>
      <c r="XC27" s="0" t="s">
        <v>22049</v>
      </c>
      <c r="XL27" s="0" t="s">
        <v>22351</v>
      </c>
      <c r="XM27" s="0" t="s">
        <v>22394</v>
      </c>
      <c r="XT27" s="0" t="s">
        <v>22524</v>
      </c>
      <c r="XY27" s="0" t="s">
        <v>22807</v>
      </c>
      <c r="YG27" s="0" t="s">
        <v>22918</v>
      </c>
      <c r="ZC27" s="0" t="s">
        <v>23099</v>
      </c>
      <c r="AAI27" s="0" t="s">
        <v>23508</v>
      </c>
      <c r="ABF27" s="0" t="s">
        <v>23864</v>
      </c>
      <c r="ACV27" s="0" t="s">
        <v>24489</v>
      </c>
      <c r="ACY27" s="0" t="s">
        <v>24576</v>
      </c>
      <c r="ADB27" s="0" t="s">
        <v>24710</v>
      </c>
      <c r="ADL27" s="0" t="s">
        <v>2400</v>
      </c>
      <c r="ADO27" s="0" t="s">
        <v>1268</v>
      </c>
      <c r="ADQ27" s="0" t="s">
        <v>25548</v>
      </c>
      <c r="ADR27" s="0" t="s">
        <v>12306</v>
      </c>
      <c r="ADT27" s="0" t="s">
        <v>25750</v>
      </c>
      <c r="ADV27" s="0" t="s">
        <v>13817</v>
      </c>
      <c r="AED27" s="0" t="s">
        <v>3061</v>
      </c>
      <c r="AEH27" s="0" t="s">
        <v>25514</v>
      </c>
      <c r="AEI27" s="0" t="s">
        <v>2651</v>
      </c>
      <c r="AFK27" s="0" t="s">
        <v>2600</v>
      </c>
      <c r="AFV27" s="0" t="s">
        <v>2600</v>
      </c>
      <c r="AFZ27" s="0" t="s">
        <v>27368</v>
      </c>
      <c r="AGG27" s="0" t="s">
        <v>27685</v>
      </c>
      <c r="AGI27" s="0" t="s">
        <v>11870</v>
      </c>
      <c r="AHM27" s="0" t="s">
        <v>28215</v>
      </c>
      <c r="AHR27" s="0" t="s">
        <v>28290</v>
      </c>
      <c r="AIW27" s="0" t="s">
        <v>28618</v>
      </c>
      <c r="AJC27" s="0" t="s">
        <v>28754</v>
      </c>
      <c r="AJS27" s="0" t="s">
        <v>28952</v>
      </c>
      <c r="AMR27" s="0" t="s">
        <v>3991</v>
      </c>
      <c r="AMU27" s="0" t="s">
        <v>1048</v>
      </c>
      <c r="AMX27" s="0" t="s">
        <v>1323</v>
      </c>
      <c r="ANA27" s="0" t="s">
        <v>1323</v>
      </c>
      <c r="AND27" s="0" t="s">
        <v>3991</v>
      </c>
      <c r="ANG27" s="0" t="s">
        <v>1323</v>
      </c>
      <c r="AOZ27" s="0" t="s">
        <v>31718</v>
      </c>
      <c r="AQV27" s="0" t="s">
        <v>6768</v>
      </c>
    </row>
    <row r="28" customFormat="false" ht="15" hidden="false" customHeight="false" outlineLevel="0" collapsed="false">
      <c r="I28" s="0" t="s">
        <v>1136</v>
      </c>
      <c r="M28" s="0" t="s">
        <v>2107</v>
      </c>
      <c r="Q28" s="0" t="s">
        <v>2621</v>
      </c>
      <c r="AP28" s="0" t="s">
        <v>3551</v>
      </c>
      <c r="AS28" s="0" t="s">
        <v>3969</v>
      </c>
      <c r="AV28" s="0" t="s">
        <v>4661</v>
      </c>
      <c r="BD28" s="0" t="s">
        <v>1615</v>
      </c>
      <c r="BG28" s="0" t="s">
        <v>5423</v>
      </c>
      <c r="BW28" s="0" t="s">
        <v>5707</v>
      </c>
      <c r="CZ28" s="0" t="s">
        <v>5288</v>
      </c>
      <c r="FY28" s="0" t="s">
        <v>7831</v>
      </c>
      <c r="GE28" s="0" t="s">
        <v>7845</v>
      </c>
      <c r="GI28" s="0" t="s">
        <v>8610</v>
      </c>
      <c r="GN28" s="0" t="s">
        <v>9835</v>
      </c>
      <c r="GX28" s="0" t="s">
        <v>7985</v>
      </c>
      <c r="HC28" s="0" t="s">
        <v>7845</v>
      </c>
      <c r="HI28" s="0" t="s">
        <v>7927</v>
      </c>
      <c r="HL28" s="0" t="s">
        <v>11360</v>
      </c>
      <c r="HM28" s="0" t="s">
        <v>7869</v>
      </c>
      <c r="HQ28" s="0" t="s">
        <v>11492</v>
      </c>
      <c r="HX28" s="0" t="s">
        <v>7833</v>
      </c>
      <c r="HZ28" s="0" t="s">
        <v>12144</v>
      </c>
      <c r="ID28" s="0" t="s">
        <v>1545</v>
      </c>
      <c r="JD28" s="0" t="s">
        <v>6521</v>
      </c>
      <c r="JN28" s="0" t="s">
        <v>14083</v>
      </c>
      <c r="JQ28" s="0" t="s">
        <v>14279</v>
      </c>
      <c r="JZ28" s="0" t="s">
        <v>14008</v>
      </c>
      <c r="KE28" s="0" t="s">
        <v>14582</v>
      </c>
      <c r="KP28" s="0" t="s">
        <v>14890</v>
      </c>
      <c r="KR28" s="0" t="s">
        <v>14976</v>
      </c>
      <c r="KS28" s="0" t="s">
        <v>15311</v>
      </c>
      <c r="KY28" s="0" t="s">
        <v>15397</v>
      </c>
      <c r="LJ28" s="0" t="s">
        <v>15627</v>
      </c>
      <c r="LQ28" s="0" t="s">
        <v>15744</v>
      </c>
      <c r="LY28" s="0" t="s">
        <v>15952</v>
      </c>
      <c r="MA28" s="0" t="s">
        <v>16039</v>
      </c>
      <c r="MJ28" s="0" t="s">
        <v>14797</v>
      </c>
      <c r="MO28" s="0" t="s">
        <v>16543</v>
      </c>
      <c r="MP28" s="0" t="s">
        <v>16774</v>
      </c>
      <c r="MT28" s="0" t="s">
        <v>16976</v>
      </c>
      <c r="NA28" s="0" t="s">
        <v>17170</v>
      </c>
      <c r="ND28" s="0" t="s">
        <v>17329</v>
      </c>
      <c r="NI28" s="0" t="s">
        <v>17735</v>
      </c>
      <c r="NM28" s="0" t="s">
        <v>17815</v>
      </c>
      <c r="NW28" s="0" t="s">
        <v>18038</v>
      </c>
      <c r="OH28" s="0" t="s">
        <v>18285</v>
      </c>
      <c r="OJ28" s="0" t="s">
        <v>17272</v>
      </c>
      <c r="OO28" s="0" t="s">
        <v>18595</v>
      </c>
      <c r="OY28" s="0" t="s">
        <v>18783</v>
      </c>
      <c r="PD28" s="0" t="s">
        <v>19170</v>
      </c>
      <c r="PE28" s="0" t="s">
        <v>18243</v>
      </c>
      <c r="PN28" s="0" t="s">
        <v>19404</v>
      </c>
      <c r="SI28" s="0" t="s">
        <v>6740</v>
      </c>
      <c r="TK28" s="0" t="s">
        <v>14945</v>
      </c>
      <c r="UE28" s="0" t="s">
        <v>3001</v>
      </c>
      <c r="VH28" s="0" t="s">
        <v>21311</v>
      </c>
      <c r="WJ28" s="0" t="s">
        <v>21851</v>
      </c>
      <c r="WZ28" s="0" t="s">
        <v>21992</v>
      </c>
      <c r="XC28" s="0" t="s">
        <v>22138</v>
      </c>
      <c r="XL28" s="0" t="s">
        <v>22353</v>
      </c>
      <c r="XM28" s="0" t="s">
        <v>22396</v>
      </c>
      <c r="XT28" s="0" t="s">
        <v>22607</v>
      </c>
      <c r="XY28" s="0" t="s">
        <v>22809</v>
      </c>
      <c r="YG28" s="0" t="s">
        <v>22920</v>
      </c>
      <c r="ZC28" s="0" t="s">
        <v>23190</v>
      </c>
      <c r="AAI28" s="0" t="s">
        <v>23510</v>
      </c>
      <c r="ABF28" s="0" t="s">
        <v>23868</v>
      </c>
      <c r="ACV28" s="0" t="s">
        <v>24471</v>
      </c>
      <c r="ACY28" s="0" t="s">
        <v>24532</v>
      </c>
      <c r="ADB28" s="0" t="s">
        <v>24659</v>
      </c>
      <c r="ADL28" s="0" t="s">
        <v>1733</v>
      </c>
      <c r="ADO28" s="0" t="s">
        <v>6278</v>
      </c>
      <c r="ADQ28" s="0" t="s">
        <v>25514</v>
      </c>
      <c r="ADR28" s="0" t="s">
        <v>2600</v>
      </c>
      <c r="ADT28" s="0" t="s">
        <v>25548</v>
      </c>
      <c r="ADV28" s="0" t="s">
        <v>3011</v>
      </c>
      <c r="AED28" s="0" t="s">
        <v>11870</v>
      </c>
      <c r="AEH28" s="0" t="s">
        <v>25545</v>
      </c>
      <c r="AEI28" s="0" t="s">
        <v>2701</v>
      </c>
      <c r="AFK28" s="0" t="s">
        <v>2651</v>
      </c>
      <c r="AFV28" s="0" t="s">
        <v>2651</v>
      </c>
      <c r="AFZ28" s="0" t="s">
        <v>27382</v>
      </c>
      <c r="AGG28" s="0" t="s">
        <v>25467</v>
      </c>
      <c r="AGI28" s="0" t="s">
        <v>3111</v>
      </c>
      <c r="AHR28" s="0" t="s">
        <v>28276</v>
      </c>
      <c r="AIW28" s="0" t="s">
        <v>28580</v>
      </c>
      <c r="AJC28" s="0" t="s">
        <v>28716</v>
      </c>
      <c r="AJS28" s="0" t="s">
        <v>28906</v>
      </c>
      <c r="AMR28" s="0" t="s">
        <v>1323</v>
      </c>
      <c r="AMU28" s="0" t="s">
        <v>3991</v>
      </c>
      <c r="AMX28" s="0" t="s">
        <v>4883</v>
      </c>
      <c r="ANA28" s="0" t="s">
        <v>4883</v>
      </c>
      <c r="AND28" s="0" t="s">
        <v>1323</v>
      </c>
      <c r="ANG28" s="0" t="s">
        <v>4883</v>
      </c>
      <c r="AOZ28" s="0" t="s">
        <v>31720</v>
      </c>
      <c r="AQV28" s="0" t="s">
        <v>14008</v>
      </c>
    </row>
    <row r="29" customFormat="false" ht="15" hidden="false" customHeight="false" outlineLevel="0" collapsed="false">
      <c r="I29" s="0" t="s">
        <v>1147</v>
      </c>
      <c r="M29" s="0" t="s">
        <v>2112</v>
      </c>
      <c r="Q29" s="0" t="s">
        <v>2631</v>
      </c>
      <c r="AP29" s="0" t="s">
        <v>2112</v>
      </c>
      <c r="AS29" s="0" t="s">
        <v>1136</v>
      </c>
      <c r="AV29" s="0" t="s">
        <v>4666</v>
      </c>
      <c r="BD29" s="0" t="s">
        <v>4387</v>
      </c>
      <c r="BG29" s="0" t="s">
        <v>2227</v>
      </c>
      <c r="BW29" s="0" t="s">
        <v>5715</v>
      </c>
      <c r="CZ29" s="0" t="s">
        <v>2127</v>
      </c>
      <c r="FY29" s="0" t="s">
        <v>7944</v>
      </c>
      <c r="GE29" s="0" t="s">
        <v>8210</v>
      </c>
      <c r="GI29" s="0" t="s">
        <v>8612</v>
      </c>
      <c r="GN29" s="0" t="s">
        <v>9837</v>
      </c>
      <c r="HC29" s="0" t="s">
        <v>7827</v>
      </c>
      <c r="HI29" s="0" t="s">
        <v>8610</v>
      </c>
      <c r="HL29" s="0" t="s">
        <v>11367</v>
      </c>
      <c r="HM29" s="0" t="s">
        <v>7855</v>
      </c>
      <c r="HQ29" s="0" t="s">
        <v>11494</v>
      </c>
      <c r="HX29" s="0" t="s">
        <v>7881</v>
      </c>
      <c r="HZ29" s="0" t="s">
        <v>2901</v>
      </c>
      <c r="ID29" s="0" t="s">
        <v>1570</v>
      </c>
      <c r="JD29" s="0" t="s">
        <v>13437</v>
      </c>
      <c r="JN29" s="0" t="s">
        <v>6244</v>
      </c>
      <c r="JQ29" s="0" t="s">
        <v>14281</v>
      </c>
      <c r="JZ29" s="0" t="s">
        <v>784</v>
      </c>
      <c r="KE29" s="0" t="s">
        <v>14585</v>
      </c>
      <c r="KP29" s="0" t="s">
        <v>14892</v>
      </c>
      <c r="KR29" s="0" t="s">
        <v>14982</v>
      </c>
      <c r="KS29" s="0" t="s">
        <v>15313</v>
      </c>
      <c r="KY29" s="0" t="s">
        <v>15442</v>
      </c>
      <c r="LJ29" s="0" t="s">
        <v>15629</v>
      </c>
      <c r="LQ29" s="0" t="s">
        <v>15746</v>
      </c>
      <c r="LY29" s="0" t="s">
        <v>15955</v>
      </c>
      <c r="MA29" s="0" t="s">
        <v>15860</v>
      </c>
      <c r="MJ29" s="0" t="s">
        <v>16247</v>
      </c>
      <c r="MO29" s="0" t="s">
        <v>16641</v>
      </c>
      <c r="MP29" s="0" t="s">
        <v>16776</v>
      </c>
      <c r="MT29" s="0" t="s">
        <v>16986</v>
      </c>
      <c r="NA29" s="0" t="s">
        <v>17174</v>
      </c>
      <c r="ND29" s="0" t="s">
        <v>17175</v>
      </c>
      <c r="NI29" s="0" t="s">
        <v>13265</v>
      </c>
      <c r="NM29" s="0" t="s">
        <v>17818</v>
      </c>
      <c r="NW29" s="0" t="s">
        <v>18040</v>
      </c>
      <c r="OH29" s="0" t="s">
        <v>18289</v>
      </c>
      <c r="OJ29" s="0" t="s">
        <v>17268</v>
      </c>
      <c r="OO29" s="0" t="s">
        <v>18599</v>
      </c>
      <c r="OY29" s="0" t="s">
        <v>18785</v>
      </c>
      <c r="PD29" s="0" t="s">
        <v>18885</v>
      </c>
      <c r="PE29" s="0" t="s">
        <v>18247</v>
      </c>
      <c r="SI29" s="0" t="s">
        <v>2246</v>
      </c>
      <c r="TK29" s="0" t="s">
        <v>14803</v>
      </c>
      <c r="UE29" s="0" t="s">
        <v>3011</v>
      </c>
      <c r="VH29" s="0" t="s">
        <v>21255</v>
      </c>
      <c r="WJ29" s="0" t="s">
        <v>21853</v>
      </c>
      <c r="WZ29" s="0" t="s">
        <v>21994</v>
      </c>
      <c r="XC29" s="0" t="s">
        <v>22140</v>
      </c>
      <c r="XL29" s="0" t="s">
        <v>22355</v>
      </c>
      <c r="XM29" s="0" t="s">
        <v>22398</v>
      </c>
      <c r="XT29" s="0" t="s">
        <v>22240</v>
      </c>
      <c r="XY29" s="0" t="s">
        <v>22811</v>
      </c>
      <c r="YG29" s="0" t="s">
        <v>22922</v>
      </c>
      <c r="ZC29" s="0" t="s">
        <v>23192</v>
      </c>
      <c r="AAI29" s="0" t="s">
        <v>23514</v>
      </c>
      <c r="ABF29" s="0" t="s">
        <v>23866</v>
      </c>
      <c r="ACV29" s="0" t="s">
        <v>24497</v>
      </c>
      <c r="ACY29" s="0" t="s">
        <v>24579</v>
      </c>
      <c r="ADB29" s="0" t="s">
        <v>24713</v>
      </c>
      <c r="ADL29" s="0" t="s">
        <v>1881</v>
      </c>
      <c r="ADO29" s="0" t="s">
        <v>1323</v>
      </c>
      <c r="ADQ29" s="0" t="s">
        <v>25545</v>
      </c>
      <c r="ADR29" s="0" t="s">
        <v>2651</v>
      </c>
      <c r="ADT29" s="0" t="s">
        <v>21725</v>
      </c>
      <c r="ADV29" s="0" t="s">
        <v>7396</v>
      </c>
      <c r="AED29" s="0" t="s">
        <v>3111</v>
      </c>
      <c r="AEH29" s="0" t="s">
        <v>25512</v>
      </c>
      <c r="AEI29" s="0" t="s">
        <v>2751</v>
      </c>
      <c r="AFK29" s="0" t="s">
        <v>2701</v>
      </c>
      <c r="AFZ29" s="0" t="s">
        <v>23567</v>
      </c>
      <c r="AGG29" s="0" t="s">
        <v>25464</v>
      </c>
      <c r="AGI29" s="0" t="s">
        <v>12306</v>
      </c>
      <c r="AHR29" s="0" t="s">
        <v>28278</v>
      </c>
      <c r="AIW29" s="0" t="s">
        <v>28576</v>
      </c>
      <c r="AJC29" s="0" t="s">
        <v>28718</v>
      </c>
      <c r="AJS29" s="0" t="s">
        <v>28908</v>
      </c>
      <c r="AMR29" s="0" t="s">
        <v>4883</v>
      </c>
      <c r="AMU29" s="0" t="s">
        <v>1323</v>
      </c>
      <c r="AMX29" s="0" t="s">
        <v>1520</v>
      </c>
      <c r="ANA29" s="0" t="s">
        <v>1520</v>
      </c>
      <c r="AND29" s="0" t="s">
        <v>4883</v>
      </c>
      <c r="ANG29" s="0" t="s">
        <v>1520</v>
      </c>
      <c r="AOZ29" s="0" t="s">
        <v>31722</v>
      </c>
      <c r="AQV29" s="0" t="s">
        <v>784</v>
      </c>
    </row>
    <row r="30" customFormat="false" ht="15" hidden="false" customHeight="false" outlineLevel="0" collapsed="false">
      <c r="I30" s="0" t="s">
        <v>1158</v>
      </c>
      <c r="M30" s="0" t="s">
        <v>2117</v>
      </c>
      <c r="Q30" s="0" t="s">
        <v>2641</v>
      </c>
      <c r="AP30" s="0" t="s">
        <v>3566</v>
      </c>
      <c r="AS30" s="0" t="s">
        <v>3980</v>
      </c>
      <c r="AV30" s="0" t="s">
        <v>4671</v>
      </c>
      <c r="BD30" s="0" t="s">
        <v>1635</v>
      </c>
      <c r="BG30" s="0" t="s">
        <v>5448</v>
      </c>
      <c r="BW30" s="0" t="s">
        <v>5723</v>
      </c>
      <c r="CZ30" s="0" t="s">
        <v>2142</v>
      </c>
      <c r="FY30" s="0" t="s">
        <v>7946</v>
      </c>
      <c r="GE30" s="0" t="s">
        <v>7910</v>
      </c>
      <c r="GI30" s="0" t="s">
        <v>8868</v>
      </c>
      <c r="GN30" s="0" t="s">
        <v>9839</v>
      </c>
      <c r="HC30" s="0" t="s">
        <v>10382</v>
      </c>
      <c r="HI30" s="0" t="s">
        <v>7829</v>
      </c>
      <c r="HM30" s="0" t="s">
        <v>7933</v>
      </c>
      <c r="HQ30" s="0" t="s">
        <v>11530</v>
      </c>
      <c r="HX30" s="0" t="s">
        <v>7862</v>
      </c>
      <c r="HZ30" s="0" t="s">
        <v>12106</v>
      </c>
      <c r="ID30" s="0" t="s">
        <v>4975</v>
      </c>
      <c r="JD30" s="0" t="s">
        <v>2297</v>
      </c>
      <c r="JN30" s="0" t="s">
        <v>13781</v>
      </c>
      <c r="JQ30" s="0" t="s">
        <v>14262</v>
      </c>
      <c r="JZ30" s="0" t="s">
        <v>14083</v>
      </c>
      <c r="KE30" s="0" t="s">
        <v>14588</v>
      </c>
      <c r="KP30" s="0" t="s">
        <v>14861</v>
      </c>
      <c r="KS30" s="0" t="s">
        <v>15289</v>
      </c>
      <c r="KY30" s="0" t="s">
        <v>15444</v>
      </c>
      <c r="LJ30" s="0" t="s">
        <v>15631</v>
      </c>
      <c r="LQ30" s="0" t="s">
        <v>15748</v>
      </c>
      <c r="LY30" s="0" t="s">
        <v>15958</v>
      </c>
      <c r="MA30" s="0" t="s">
        <v>15525</v>
      </c>
      <c r="MJ30" s="0" t="s">
        <v>16249</v>
      </c>
      <c r="MO30" s="0" t="s">
        <v>16643</v>
      </c>
      <c r="MP30" s="0" t="s">
        <v>16778</v>
      </c>
      <c r="MT30" s="0" t="s">
        <v>16993</v>
      </c>
      <c r="NA30" s="0" t="s">
        <v>17177</v>
      </c>
      <c r="ND30" s="0" t="s">
        <v>17381</v>
      </c>
      <c r="NI30" s="0" t="s">
        <v>17739</v>
      </c>
      <c r="NM30" s="0" t="s">
        <v>17820</v>
      </c>
      <c r="NW30" s="0" t="s">
        <v>18042</v>
      </c>
      <c r="OH30" s="0" t="s">
        <v>18293</v>
      </c>
      <c r="OJ30" s="0" t="s">
        <v>17285</v>
      </c>
      <c r="OO30" s="0" t="s">
        <v>18597</v>
      </c>
      <c r="OY30" s="0" t="s">
        <v>18787</v>
      </c>
      <c r="PD30" s="0" t="s">
        <v>18889</v>
      </c>
      <c r="PE30" s="0" t="s">
        <v>18259</v>
      </c>
      <c r="SI30" s="0" t="s">
        <v>845</v>
      </c>
      <c r="TK30" s="0" t="s">
        <v>14806</v>
      </c>
      <c r="UE30" s="0" t="s">
        <v>3021</v>
      </c>
      <c r="VH30" s="0" t="s">
        <v>21339</v>
      </c>
      <c r="WJ30" s="0" t="s">
        <v>21855</v>
      </c>
      <c r="WZ30" s="0" t="s">
        <v>21996</v>
      </c>
      <c r="XC30" s="0" t="s">
        <v>22142</v>
      </c>
      <c r="XL30" s="0" t="s">
        <v>22357</v>
      </c>
      <c r="XM30" s="0" t="s">
        <v>22400</v>
      </c>
      <c r="XT30" s="0" t="s">
        <v>22242</v>
      </c>
      <c r="XY30" s="0" t="s">
        <v>22815</v>
      </c>
      <c r="YG30" s="0" t="s">
        <v>22924</v>
      </c>
      <c r="ZC30" s="0" t="s">
        <v>23194</v>
      </c>
      <c r="AAI30" s="0" t="s">
        <v>23512</v>
      </c>
      <c r="ABF30" s="0" t="s">
        <v>23870</v>
      </c>
      <c r="ACV30" s="0" t="s">
        <v>24499</v>
      </c>
      <c r="ACY30" s="0" t="s">
        <v>24581</v>
      </c>
      <c r="ADB30" s="0" t="s">
        <v>24724</v>
      </c>
      <c r="ADO30" s="0" t="s">
        <v>4083</v>
      </c>
      <c r="ADQ30" s="0" t="s">
        <v>25512</v>
      </c>
      <c r="ADR30" s="0" t="s">
        <v>2701</v>
      </c>
      <c r="ADT30" s="0" t="s">
        <v>23567</v>
      </c>
      <c r="ADV30" s="0" t="s">
        <v>3061</v>
      </c>
      <c r="AED30" s="0" t="s">
        <v>12306</v>
      </c>
      <c r="AEH30" s="0" t="s">
        <v>25375</v>
      </c>
      <c r="AEI30" s="0" t="s">
        <v>2801</v>
      </c>
      <c r="AFK30" s="0" t="s">
        <v>11968</v>
      </c>
      <c r="AGG30" s="0" t="s">
        <v>25548</v>
      </c>
      <c r="AHR30" s="0" t="s">
        <v>28280</v>
      </c>
      <c r="AIW30" s="0" t="s">
        <v>28586</v>
      </c>
      <c r="AJC30" s="0" t="s">
        <v>28757</v>
      </c>
      <c r="AJS30" s="0" t="s">
        <v>28910</v>
      </c>
      <c r="AMR30" s="0" t="s">
        <v>1520</v>
      </c>
      <c r="AMU30" s="0" t="s">
        <v>4883</v>
      </c>
      <c r="AND30" s="0" t="s">
        <v>1520</v>
      </c>
      <c r="AOZ30" s="0" t="s">
        <v>31724</v>
      </c>
      <c r="AQV30" s="0" t="s">
        <v>14083</v>
      </c>
    </row>
    <row r="31" customFormat="false" ht="15" hidden="false" customHeight="false" outlineLevel="0" collapsed="false">
      <c r="I31" s="0" t="s">
        <v>1169</v>
      </c>
      <c r="M31" s="0" t="s">
        <v>2122</v>
      </c>
      <c r="Q31" s="0" t="s">
        <v>2651</v>
      </c>
      <c r="AP31" s="0" t="s">
        <v>3574</v>
      </c>
      <c r="AS31" s="0" t="s">
        <v>1169</v>
      </c>
      <c r="BD31" s="0" t="s">
        <v>5008</v>
      </c>
      <c r="BG31" s="0" t="s">
        <v>2279</v>
      </c>
      <c r="BW31" s="0" t="s">
        <v>5731</v>
      </c>
      <c r="CZ31" s="0" t="s">
        <v>5337</v>
      </c>
      <c r="FY31" s="0" t="s">
        <v>7833</v>
      </c>
      <c r="GE31" s="0" t="s">
        <v>8185</v>
      </c>
      <c r="GI31" s="0" t="s">
        <v>8870</v>
      </c>
      <c r="GN31" s="0" t="s">
        <v>9841</v>
      </c>
      <c r="HC31" s="0" t="s">
        <v>7853</v>
      </c>
      <c r="HI31" s="0" t="s">
        <v>7831</v>
      </c>
      <c r="HM31" s="0" t="s">
        <v>8263</v>
      </c>
      <c r="HQ31" s="0" t="s">
        <v>11532</v>
      </c>
      <c r="HX31" s="0" t="s">
        <v>7872</v>
      </c>
      <c r="HZ31" s="0" t="s">
        <v>3881</v>
      </c>
      <c r="ID31" s="0" t="s">
        <v>1615</v>
      </c>
      <c r="JD31" s="0" t="s">
        <v>2351</v>
      </c>
      <c r="JN31" s="0" t="s">
        <v>6805</v>
      </c>
      <c r="JQ31" s="0" t="s">
        <v>14265</v>
      </c>
      <c r="JZ31" s="0" t="s">
        <v>6244</v>
      </c>
      <c r="KE31" s="0" t="s">
        <v>14590</v>
      </c>
      <c r="KP31" s="0" t="s">
        <v>14866</v>
      </c>
      <c r="KS31" s="0" t="s">
        <v>15286</v>
      </c>
      <c r="KY31" s="0" t="s">
        <v>15399</v>
      </c>
      <c r="LJ31" s="0" t="s">
        <v>15633</v>
      </c>
      <c r="LQ31" s="0" t="s">
        <v>15750</v>
      </c>
      <c r="LY31" s="0" t="s">
        <v>15554</v>
      </c>
      <c r="MA31" s="0" t="s">
        <v>16030</v>
      </c>
      <c r="MJ31" s="0" t="s">
        <v>16253</v>
      </c>
      <c r="MO31" s="0" t="s">
        <v>16645</v>
      </c>
      <c r="MP31" s="0" t="s">
        <v>16780</v>
      </c>
      <c r="MT31" s="0" t="s">
        <v>16997</v>
      </c>
      <c r="NA31" s="0" t="s">
        <v>17179</v>
      </c>
      <c r="ND31" s="0" t="s">
        <v>17180</v>
      </c>
      <c r="NI31" s="0" t="s">
        <v>17741</v>
      </c>
      <c r="NM31" s="0" t="s">
        <v>17822</v>
      </c>
      <c r="NW31" s="0" t="s">
        <v>18044</v>
      </c>
      <c r="OH31" s="0" t="s">
        <v>18295</v>
      </c>
      <c r="OJ31" s="0" t="s">
        <v>17282</v>
      </c>
      <c r="OO31" s="0" t="s">
        <v>18601</v>
      </c>
      <c r="OY31" s="0" t="s">
        <v>18789</v>
      </c>
      <c r="PD31" s="0" t="s">
        <v>18887</v>
      </c>
      <c r="PE31" s="0" t="s">
        <v>18264</v>
      </c>
      <c r="SI31" s="0" t="s">
        <v>20246</v>
      </c>
      <c r="TK31" s="0" t="s">
        <v>14808</v>
      </c>
      <c r="UE31" s="0" t="s">
        <v>3031</v>
      </c>
      <c r="VH31" s="0" t="s">
        <v>21257</v>
      </c>
      <c r="WZ31" s="0" t="s">
        <v>21998</v>
      </c>
      <c r="XC31" s="0" t="s">
        <v>22118</v>
      </c>
      <c r="XL31" s="0" t="s">
        <v>22359</v>
      </c>
      <c r="XM31" s="0" t="s">
        <v>22431</v>
      </c>
      <c r="XT31" s="0" t="s">
        <v>22234</v>
      </c>
      <c r="XY31" s="0" t="s">
        <v>22817</v>
      </c>
      <c r="YG31" s="0" t="s">
        <v>22926</v>
      </c>
      <c r="ZC31" s="0" t="s">
        <v>23196</v>
      </c>
      <c r="AAI31" s="0" t="s">
        <v>23521</v>
      </c>
      <c r="ABF31" s="0" t="s">
        <v>23878</v>
      </c>
      <c r="ACV31" s="0" t="s">
        <v>24501</v>
      </c>
      <c r="ACY31" s="0" t="s">
        <v>24534</v>
      </c>
      <c r="ADB31" s="0" t="s">
        <v>24675</v>
      </c>
      <c r="ADO31" s="0" t="s">
        <v>1378</v>
      </c>
      <c r="ADQ31" s="0" t="s">
        <v>25375</v>
      </c>
      <c r="ADR31" s="0" t="s">
        <v>2751</v>
      </c>
      <c r="ADV31" s="0" t="s">
        <v>11870</v>
      </c>
      <c r="AED31" s="0" t="s">
        <v>2600</v>
      </c>
      <c r="AEH31" s="0" t="s">
        <v>14419</v>
      </c>
      <c r="AEI31" s="0" t="s">
        <v>2851</v>
      </c>
      <c r="AFK31" s="0" t="s">
        <v>2751</v>
      </c>
      <c r="AGG31" s="0" t="s">
        <v>25514</v>
      </c>
      <c r="AHR31" s="0" t="s">
        <v>28295</v>
      </c>
      <c r="AIW31" s="0" t="s">
        <v>28578</v>
      </c>
      <c r="AJC31" s="0" t="s">
        <v>28759</v>
      </c>
      <c r="AJS31" s="0" t="s">
        <v>28892</v>
      </c>
      <c r="AMU31" s="0" t="s">
        <v>1520</v>
      </c>
      <c r="AQV31" s="0" t="s">
        <v>6244</v>
      </c>
    </row>
    <row r="32" customFormat="false" ht="15" hidden="false" customHeight="false" outlineLevel="0" collapsed="false">
      <c r="I32" s="0" t="s">
        <v>1180</v>
      </c>
      <c r="M32" s="0" t="s">
        <v>2127</v>
      </c>
      <c r="Q32" s="0" t="s">
        <v>2661</v>
      </c>
      <c r="AP32" s="0" t="s">
        <v>3582</v>
      </c>
      <c r="AS32" s="0" t="s">
        <v>3991</v>
      </c>
      <c r="BD32" s="0" t="s">
        <v>1655</v>
      </c>
      <c r="BG32" s="0" t="s">
        <v>5473</v>
      </c>
      <c r="BW32" s="0" t="s">
        <v>5739</v>
      </c>
      <c r="CZ32" s="0" t="s">
        <v>2162</v>
      </c>
      <c r="FY32" s="0" t="s">
        <v>7951</v>
      </c>
      <c r="GE32" s="0" t="s">
        <v>7827</v>
      </c>
      <c r="GI32" s="0" t="s">
        <v>8872</v>
      </c>
      <c r="GN32" s="0" t="s">
        <v>9843</v>
      </c>
      <c r="HC32" s="0" t="s">
        <v>10389</v>
      </c>
      <c r="HI32" s="0" t="s">
        <v>7944</v>
      </c>
      <c r="HM32" s="0" t="s">
        <v>7935</v>
      </c>
      <c r="HQ32" s="0" t="s">
        <v>11534</v>
      </c>
      <c r="HX32" s="0" t="s">
        <v>7895</v>
      </c>
      <c r="HZ32" s="0" t="s">
        <v>883</v>
      </c>
      <c r="ID32" s="0" t="s">
        <v>1635</v>
      </c>
      <c r="JD32" s="0" t="s">
        <v>2390</v>
      </c>
      <c r="JN32" s="0" t="s">
        <v>3328</v>
      </c>
      <c r="JQ32" s="0" t="s">
        <v>14267</v>
      </c>
      <c r="JZ32" s="0" t="s">
        <v>13781</v>
      </c>
      <c r="KE32" s="0" t="s">
        <v>8145</v>
      </c>
      <c r="KP32" s="0" t="s">
        <v>14870</v>
      </c>
      <c r="KS32" s="0" t="s">
        <v>15293</v>
      </c>
      <c r="KY32" s="0" t="s">
        <v>15446</v>
      </c>
      <c r="LJ32" s="0" t="s">
        <v>15635</v>
      </c>
      <c r="LQ32" s="0" t="s">
        <v>15752</v>
      </c>
      <c r="LY32" s="0" t="s">
        <v>15963</v>
      </c>
      <c r="MA32" s="0" t="s">
        <v>15964</v>
      </c>
      <c r="MJ32" s="0" t="s">
        <v>14800</v>
      </c>
      <c r="MO32" s="0" t="s">
        <v>16647</v>
      </c>
      <c r="MP32" s="0" t="s">
        <v>16782</v>
      </c>
      <c r="MT32" s="0" t="s">
        <v>17002</v>
      </c>
      <c r="NA32" s="0" t="s">
        <v>17185</v>
      </c>
      <c r="ND32" s="0" t="s">
        <v>17386</v>
      </c>
      <c r="NI32" s="0" t="s">
        <v>17743</v>
      </c>
      <c r="NM32" s="0" t="s">
        <v>17825</v>
      </c>
      <c r="NW32" s="0" t="s">
        <v>18046</v>
      </c>
      <c r="OH32" s="0" t="s">
        <v>18297</v>
      </c>
      <c r="OJ32" s="0" t="s">
        <v>17300</v>
      </c>
      <c r="OO32" s="0" t="s">
        <v>18605</v>
      </c>
      <c r="OY32" s="0" t="s">
        <v>18791</v>
      </c>
      <c r="PD32" s="0" t="s">
        <v>18891</v>
      </c>
      <c r="PE32" s="0" t="s">
        <v>18272</v>
      </c>
      <c r="SI32" s="0" t="s">
        <v>20161</v>
      </c>
      <c r="TK32" s="0" t="s">
        <v>14811</v>
      </c>
      <c r="UE32" s="0" t="s">
        <v>7396</v>
      </c>
      <c r="VH32" s="0" t="s">
        <v>21259</v>
      </c>
      <c r="WZ32" s="0" t="s">
        <v>22000</v>
      </c>
      <c r="XC32" s="0" t="s">
        <v>22146</v>
      </c>
      <c r="XL32" s="0" t="s">
        <v>22361</v>
      </c>
      <c r="XM32" s="0" t="s">
        <v>22433</v>
      </c>
      <c r="XT32" s="0" t="s">
        <v>22236</v>
      </c>
      <c r="XY32" s="0" t="s">
        <v>22819</v>
      </c>
      <c r="YG32" s="0" t="s">
        <v>22928</v>
      </c>
      <c r="ZC32" s="0" t="s">
        <v>23143</v>
      </c>
      <c r="AAI32" s="0" t="s">
        <v>23523</v>
      </c>
      <c r="ABF32" s="0" t="s">
        <v>23876</v>
      </c>
      <c r="ACV32" s="0" t="s">
        <v>24503</v>
      </c>
      <c r="ACY32" s="0" t="s">
        <v>24536</v>
      </c>
      <c r="ADB32" s="0" t="s">
        <v>24677</v>
      </c>
      <c r="ADO32" s="0" t="s">
        <v>4130</v>
      </c>
      <c r="ADQ32" s="0" t="s">
        <v>25523</v>
      </c>
      <c r="ADR32" s="0" t="s">
        <v>2801</v>
      </c>
      <c r="ADV32" s="0" t="s">
        <v>3111</v>
      </c>
      <c r="AED32" s="0" t="s">
        <v>2651</v>
      </c>
      <c r="AEH32" s="0" t="s">
        <v>26260</v>
      </c>
      <c r="AFK32" s="0" t="s">
        <v>2801</v>
      </c>
      <c r="AGG32" s="0" t="s">
        <v>25512</v>
      </c>
      <c r="AHR32" s="0" t="s">
        <v>28292</v>
      </c>
      <c r="AIW32" s="0" t="s">
        <v>28564</v>
      </c>
      <c r="AJC32" s="0" t="s">
        <v>28761</v>
      </c>
      <c r="AJS32" s="0" t="s">
        <v>28894</v>
      </c>
      <c r="AQV32" s="0" t="s">
        <v>13781</v>
      </c>
    </row>
    <row r="33" customFormat="false" ht="15" hidden="false" customHeight="false" outlineLevel="0" collapsed="false">
      <c r="I33" s="0" t="s">
        <v>1191</v>
      </c>
      <c r="M33" s="0" t="s">
        <v>2132</v>
      </c>
      <c r="Q33" s="0" t="s">
        <v>2671</v>
      </c>
      <c r="AP33" s="0" t="s">
        <v>2132</v>
      </c>
      <c r="AS33" s="0" t="s">
        <v>1202</v>
      </c>
      <c r="BD33" s="0" t="s">
        <v>5025</v>
      </c>
      <c r="BW33" s="0" t="s">
        <v>5747</v>
      </c>
      <c r="CZ33" s="0" t="s">
        <v>6510</v>
      </c>
      <c r="FY33" s="0" t="s">
        <v>7881</v>
      </c>
      <c r="GE33" s="0" t="s">
        <v>7853</v>
      </c>
      <c r="GI33" s="0" t="s">
        <v>8874</v>
      </c>
      <c r="GN33" s="0" t="s">
        <v>9845</v>
      </c>
      <c r="HC33" s="0" t="s">
        <v>7869</v>
      </c>
      <c r="HI33" s="0" t="s">
        <v>7946</v>
      </c>
      <c r="HM33" s="0" t="s">
        <v>7927</v>
      </c>
      <c r="HQ33" s="0" t="s">
        <v>11536</v>
      </c>
      <c r="HX33" s="0" t="s">
        <v>8035</v>
      </c>
      <c r="HZ33" s="0" t="s">
        <v>6497</v>
      </c>
      <c r="ID33" s="0" t="s">
        <v>1655</v>
      </c>
      <c r="JD33" s="0" t="s">
        <v>2400</v>
      </c>
      <c r="JN33" s="0" t="s">
        <v>6730</v>
      </c>
      <c r="JZ33" s="0" t="s">
        <v>6805</v>
      </c>
      <c r="KE33" s="0" t="s">
        <v>9045</v>
      </c>
      <c r="KP33" s="0" t="s">
        <v>14873</v>
      </c>
      <c r="KS33" s="0" t="s">
        <v>15291</v>
      </c>
      <c r="KY33" s="0" t="s">
        <v>15401</v>
      </c>
      <c r="LJ33" s="0" t="s">
        <v>15637</v>
      </c>
      <c r="LY33" s="0" t="s">
        <v>15966</v>
      </c>
      <c r="MA33" s="0" t="s">
        <v>15901</v>
      </c>
      <c r="MJ33" s="0" t="s">
        <v>16260</v>
      </c>
      <c r="MO33" s="0" t="s">
        <v>16649</v>
      </c>
      <c r="MP33" s="0" t="s">
        <v>16784</v>
      </c>
      <c r="MT33" s="0" t="s">
        <v>17006</v>
      </c>
      <c r="NA33" s="0" t="s">
        <v>17190</v>
      </c>
      <c r="ND33" s="0" t="s">
        <v>17195</v>
      </c>
      <c r="NI33" s="0" t="s">
        <v>17746</v>
      </c>
      <c r="NM33" s="0" t="s">
        <v>17827</v>
      </c>
      <c r="NW33" s="0" t="s">
        <v>18048</v>
      </c>
      <c r="OH33" s="0" t="s">
        <v>18301</v>
      </c>
      <c r="OJ33" s="0" t="s">
        <v>17106</v>
      </c>
      <c r="OO33" s="0" t="s">
        <v>18603</v>
      </c>
      <c r="OY33" s="0" t="s">
        <v>18793</v>
      </c>
      <c r="PD33" s="0" t="s">
        <v>19101</v>
      </c>
      <c r="PE33" s="0" t="s">
        <v>18276</v>
      </c>
      <c r="SI33" s="0" t="s">
        <v>20196</v>
      </c>
      <c r="TK33" s="0" t="s">
        <v>20681</v>
      </c>
      <c r="UE33" s="0" t="s">
        <v>3041</v>
      </c>
      <c r="VH33" s="0" t="s">
        <v>8045</v>
      </c>
      <c r="WZ33" s="0" t="s">
        <v>22002</v>
      </c>
      <c r="XC33" s="0" t="s">
        <v>22148</v>
      </c>
      <c r="XL33" s="0" t="s">
        <v>22363</v>
      </c>
      <c r="XM33" s="0" t="s">
        <v>22426</v>
      </c>
      <c r="XT33" s="0" t="s">
        <v>22238</v>
      </c>
      <c r="XY33" s="0" t="s">
        <v>22821</v>
      </c>
      <c r="YG33" s="0" t="s">
        <v>22930</v>
      </c>
      <c r="ZC33" s="0" t="s">
        <v>23145</v>
      </c>
      <c r="AAI33" s="0" t="s">
        <v>23525</v>
      </c>
      <c r="ABF33" s="0" t="s">
        <v>23880</v>
      </c>
      <c r="ACV33" s="0" t="s">
        <v>24505</v>
      </c>
      <c r="ACY33" s="0" t="s">
        <v>24583</v>
      </c>
      <c r="ADB33" s="0" t="s">
        <v>24679</v>
      </c>
      <c r="ADO33" s="0" t="s">
        <v>1433</v>
      </c>
      <c r="ADQ33" s="0" t="s">
        <v>25371</v>
      </c>
      <c r="ADR33" s="0" t="s">
        <v>2851</v>
      </c>
      <c r="ADV33" s="0" t="s">
        <v>2600</v>
      </c>
      <c r="AED33" s="0" t="s">
        <v>2701</v>
      </c>
      <c r="AEH33" s="0" t="s">
        <v>25371</v>
      </c>
      <c r="AFK33" s="0" t="s">
        <v>12101</v>
      </c>
      <c r="AGG33" s="0" t="s">
        <v>25375</v>
      </c>
      <c r="AIW33" s="0" t="s">
        <v>28566</v>
      </c>
      <c r="AJC33" s="0" t="s">
        <v>28763</v>
      </c>
      <c r="AJS33" s="0" t="s">
        <v>28898</v>
      </c>
      <c r="AQV33" s="0" t="s">
        <v>6805</v>
      </c>
    </row>
    <row r="34" customFormat="false" ht="15" hidden="false" customHeight="false" outlineLevel="0" collapsed="false">
      <c r="I34" s="0" t="s">
        <v>1202</v>
      </c>
      <c r="M34" s="0" t="s">
        <v>2137</v>
      </c>
      <c r="Q34" s="0" t="s">
        <v>2681</v>
      </c>
      <c r="AP34" s="0" t="s">
        <v>3597</v>
      </c>
      <c r="AS34" s="0" t="s">
        <v>4007</v>
      </c>
      <c r="BD34" s="0" t="s">
        <v>1670</v>
      </c>
      <c r="BW34" s="0" t="s">
        <v>5755</v>
      </c>
      <c r="CZ34" s="0" t="s">
        <v>6442</v>
      </c>
      <c r="FY34" s="0" t="s">
        <v>7989</v>
      </c>
      <c r="GE34" s="0" t="s">
        <v>7869</v>
      </c>
      <c r="GI34" s="0" t="s">
        <v>7829</v>
      </c>
      <c r="GN34" s="0" t="s">
        <v>9847</v>
      </c>
      <c r="HC34" s="0" t="s">
        <v>7855</v>
      </c>
      <c r="HI34" s="0" t="s">
        <v>7833</v>
      </c>
      <c r="HM34" s="0" t="s">
        <v>8610</v>
      </c>
      <c r="HQ34" s="0" t="s">
        <v>11448</v>
      </c>
      <c r="HX34" s="0" t="s">
        <v>7893</v>
      </c>
      <c r="HZ34" s="0" t="s">
        <v>916</v>
      </c>
      <c r="ID34" s="0" t="s">
        <v>1670</v>
      </c>
      <c r="JD34" s="0" t="s">
        <v>13443</v>
      </c>
      <c r="JN34" s="0" t="s">
        <v>13791</v>
      </c>
      <c r="JZ34" s="0" t="s">
        <v>3328</v>
      </c>
      <c r="KE34" s="0" t="s">
        <v>14596</v>
      </c>
      <c r="KP34" s="0" t="s">
        <v>14876</v>
      </c>
      <c r="KS34" s="0" t="s">
        <v>15297</v>
      </c>
      <c r="KY34" s="0" t="s">
        <v>15449</v>
      </c>
      <c r="LJ34" s="0" t="s">
        <v>15639</v>
      </c>
      <c r="LY34" s="0" t="s">
        <v>15969</v>
      </c>
      <c r="MA34" s="0" t="s">
        <v>16011</v>
      </c>
      <c r="MJ34" s="0" t="s">
        <v>14803</v>
      </c>
      <c r="MO34" s="0" t="s">
        <v>16651</v>
      </c>
      <c r="MP34" s="0" t="s">
        <v>16786</v>
      </c>
      <c r="MT34" s="0" t="s">
        <v>17010</v>
      </c>
      <c r="NA34" s="0" t="s">
        <v>17192</v>
      </c>
      <c r="ND34" s="0" t="s">
        <v>17200</v>
      </c>
      <c r="NI34" s="0" t="s">
        <v>17748</v>
      </c>
      <c r="NM34" s="0" t="s">
        <v>17829</v>
      </c>
      <c r="NW34" s="0" t="s">
        <v>18050</v>
      </c>
      <c r="OH34" s="0" t="s">
        <v>18306</v>
      </c>
      <c r="OO34" s="0" t="s">
        <v>18607</v>
      </c>
      <c r="OY34" s="0" t="s">
        <v>18800</v>
      </c>
      <c r="PD34" s="0" t="s">
        <v>19103</v>
      </c>
      <c r="PE34" s="0" t="s">
        <v>18285</v>
      </c>
      <c r="SI34" s="0" t="s">
        <v>847</v>
      </c>
      <c r="TK34" s="0" t="s">
        <v>20683</v>
      </c>
      <c r="UE34" s="0" t="s">
        <v>3051</v>
      </c>
      <c r="VH34" s="0" t="s">
        <v>21261</v>
      </c>
      <c r="WZ34" s="0" t="s">
        <v>22004</v>
      </c>
      <c r="XC34" s="0" t="s">
        <v>22144</v>
      </c>
      <c r="XM34" s="0" t="s">
        <v>22429</v>
      </c>
      <c r="XT34" s="0" t="s">
        <v>22531</v>
      </c>
      <c r="XY34" s="0" t="s">
        <v>22823</v>
      </c>
      <c r="YG34" s="0" t="s">
        <v>22932</v>
      </c>
      <c r="ZC34" s="0" t="s">
        <v>23147</v>
      </c>
      <c r="ABF34" s="0" t="s">
        <v>23884</v>
      </c>
      <c r="ACV34" s="0" t="s">
        <v>24507</v>
      </c>
      <c r="ACY34" s="0" t="s">
        <v>24540</v>
      </c>
      <c r="ADB34" s="0" t="s">
        <v>24681</v>
      </c>
      <c r="ADO34" s="0" t="s">
        <v>1470</v>
      </c>
      <c r="ADQ34" s="0" t="s">
        <v>25377</v>
      </c>
      <c r="ADV34" s="0" t="s">
        <v>12096</v>
      </c>
      <c r="AED34" s="0" t="s">
        <v>2751</v>
      </c>
      <c r="AEH34" s="0" t="s">
        <v>26262</v>
      </c>
      <c r="AFK34" s="0" t="s">
        <v>2851</v>
      </c>
      <c r="AGG34" s="0" t="s">
        <v>25371</v>
      </c>
      <c r="AIW34" s="0" t="s">
        <v>28568</v>
      </c>
      <c r="AJC34" s="0" t="s">
        <v>28765</v>
      </c>
      <c r="AJS34" s="0" t="s">
        <v>28896</v>
      </c>
      <c r="AQV34" s="0" t="s">
        <v>3328</v>
      </c>
    </row>
    <row r="35" customFormat="false" ht="15" hidden="false" customHeight="false" outlineLevel="0" collapsed="false">
      <c r="I35" s="0" t="s">
        <v>1213</v>
      </c>
      <c r="M35" s="0" t="s">
        <v>2142</v>
      </c>
      <c r="Q35" s="0" t="s">
        <v>2691</v>
      </c>
      <c r="AP35" s="0" t="s">
        <v>3605</v>
      </c>
      <c r="AS35" s="0" t="s">
        <v>1235</v>
      </c>
      <c r="BD35" s="0" t="s">
        <v>4482</v>
      </c>
      <c r="BW35" s="0" t="s">
        <v>5763</v>
      </c>
      <c r="CZ35" s="0" t="s">
        <v>2227</v>
      </c>
      <c r="FY35" s="0" t="s">
        <v>8050</v>
      </c>
      <c r="GE35" s="0" t="s">
        <v>7855</v>
      </c>
      <c r="GI35" s="0" t="s">
        <v>7831</v>
      </c>
      <c r="GN35" s="0" t="s">
        <v>7827</v>
      </c>
      <c r="HC35" s="0" t="s">
        <v>8255</v>
      </c>
      <c r="HI35" s="0" t="s">
        <v>8294</v>
      </c>
      <c r="HM35" s="0" t="s">
        <v>7829</v>
      </c>
      <c r="HQ35" s="0" t="s">
        <v>11450</v>
      </c>
      <c r="HX35" s="0" t="s">
        <v>7968</v>
      </c>
      <c r="HZ35" s="0" t="s">
        <v>938</v>
      </c>
      <c r="ID35" s="0" t="s">
        <v>1685</v>
      </c>
      <c r="JD35" s="0" t="s">
        <v>2440</v>
      </c>
      <c r="JN35" s="0" t="s">
        <v>5496</v>
      </c>
      <c r="JZ35" s="0" t="s">
        <v>6730</v>
      </c>
      <c r="KE35" s="0" t="s">
        <v>14598</v>
      </c>
      <c r="KP35" s="0" t="s">
        <v>14878</v>
      </c>
      <c r="KS35" s="0" t="s">
        <v>15295</v>
      </c>
      <c r="KY35" s="0" t="s">
        <v>15403</v>
      </c>
      <c r="LJ35" s="0" t="s">
        <v>15641</v>
      </c>
      <c r="LY35" s="0" t="s">
        <v>15829</v>
      </c>
      <c r="MA35" s="0" t="s">
        <v>16014</v>
      </c>
      <c r="MJ35" s="0" t="s">
        <v>14806</v>
      </c>
      <c r="MO35" s="0" t="s">
        <v>16653</v>
      </c>
      <c r="MP35" s="0" t="s">
        <v>16788</v>
      </c>
      <c r="MT35" s="0" t="s">
        <v>17014</v>
      </c>
      <c r="NA35" s="0" t="s">
        <v>17194</v>
      </c>
      <c r="ND35" s="0" t="s">
        <v>17334</v>
      </c>
      <c r="NI35" s="0" t="s">
        <v>17750</v>
      </c>
      <c r="NM35" s="0" t="s">
        <v>17832</v>
      </c>
      <c r="NW35" s="0" t="s">
        <v>18052</v>
      </c>
      <c r="OH35" s="0" t="s">
        <v>18308</v>
      </c>
      <c r="OO35" s="0" t="s">
        <v>18611</v>
      </c>
      <c r="OY35" s="0" t="s">
        <v>18802</v>
      </c>
      <c r="PD35" s="0" t="s">
        <v>19003</v>
      </c>
      <c r="PE35" s="0" t="s">
        <v>18289</v>
      </c>
      <c r="SI35" s="0" t="s">
        <v>20199</v>
      </c>
      <c r="TK35" s="0" t="s">
        <v>14958</v>
      </c>
      <c r="UE35" s="0" t="s">
        <v>3061</v>
      </c>
      <c r="VH35" s="0" t="s">
        <v>21342</v>
      </c>
      <c r="WZ35" s="0" t="s">
        <v>22008</v>
      </c>
      <c r="XC35" s="0" t="s">
        <v>22061</v>
      </c>
      <c r="XM35" s="0" t="s">
        <v>22435</v>
      </c>
      <c r="XT35" s="0" t="s">
        <v>22614</v>
      </c>
      <c r="XY35" s="0" t="s">
        <v>22825</v>
      </c>
      <c r="YG35" s="0" t="s">
        <v>22934</v>
      </c>
      <c r="ZC35" s="0" t="s">
        <v>23105</v>
      </c>
      <c r="ABF35" s="0" t="s">
        <v>23882</v>
      </c>
      <c r="ACV35" s="0" t="s">
        <v>24473</v>
      </c>
      <c r="ACY35" s="0" t="s">
        <v>24538</v>
      </c>
      <c r="ADB35" s="0" t="s">
        <v>24683</v>
      </c>
      <c r="ADO35" s="0" t="s">
        <v>4197</v>
      </c>
      <c r="ADQ35" s="0" t="s">
        <v>25474</v>
      </c>
      <c r="ADV35" s="0" t="s">
        <v>2651</v>
      </c>
      <c r="AED35" s="0" t="s">
        <v>2801</v>
      </c>
      <c r="AEH35" s="0" t="s">
        <v>21725</v>
      </c>
      <c r="AFK35" s="0" t="s">
        <v>2901</v>
      </c>
      <c r="AGG35" s="0" t="s">
        <v>27681</v>
      </c>
      <c r="AIW35" s="0" t="s">
        <v>28552</v>
      </c>
      <c r="AJS35" s="0" t="s">
        <v>28900</v>
      </c>
      <c r="AQV35" s="0" t="s">
        <v>6730</v>
      </c>
    </row>
    <row r="36" customFormat="false" ht="15" hidden="false" customHeight="false" outlineLevel="0" collapsed="false">
      <c r="I36" s="0" t="s">
        <v>1224</v>
      </c>
      <c r="M36" s="0" t="s">
        <v>2147</v>
      </c>
      <c r="Q36" s="0" t="s">
        <v>2701</v>
      </c>
      <c r="AP36" s="0" t="s">
        <v>3613</v>
      </c>
      <c r="AS36" s="0" t="s">
        <v>4026</v>
      </c>
      <c r="BD36" s="0" t="s">
        <v>1685</v>
      </c>
      <c r="BW36" s="0" t="s">
        <v>5771</v>
      </c>
      <c r="CZ36" s="0" t="s">
        <v>6521</v>
      </c>
      <c r="FY36" s="0" t="s">
        <v>8094</v>
      </c>
      <c r="GE36" s="0" t="s">
        <v>8255</v>
      </c>
      <c r="GI36" s="0" t="s">
        <v>7944</v>
      </c>
      <c r="GN36" s="0" t="s">
        <v>7853</v>
      </c>
      <c r="HC36" s="0" t="s">
        <v>7933</v>
      </c>
      <c r="HI36" s="0" t="s">
        <v>7951</v>
      </c>
      <c r="HM36" s="0" t="s">
        <v>7831</v>
      </c>
      <c r="HQ36" s="0" t="s">
        <v>11452</v>
      </c>
      <c r="HX36" s="0" t="s">
        <v>8379</v>
      </c>
      <c r="HZ36" s="0" t="s">
        <v>993</v>
      </c>
      <c r="ID36" s="0" t="s">
        <v>2002</v>
      </c>
      <c r="JD36" s="0" t="s">
        <v>2470</v>
      </c>
      <c r="JN36" s="0" t="s">
        <v>6246</v>
      </c>
      <c r="JZ36" s="0" t="s">
        <v>13791</v>
      </c>
      <c r="KE36" s="0" t="s">
        <v>14600</v>
      </c>
      <c r="KP36" s="0" t="s">
        <v>14880</v>
      </c>
      <c r="KS36" s="0" t="s">
        <v>15301</v>
      </c>
      <c r="KY36" s="0" t="s">
        <v>15452</v>
      </c>
      <c r="LJ36" s="0" t="s">
        <v>15643</v>
      </c>
      <c r="LY36" s="0" t="s">
        <v>15832</v>
      </c>
      <c r="MA36" s="0" t="s">
        <v>15944</v>
      </c>
      <c r="MJ36" s="0" t="s">
        <v>14808</v>
      </c>
      <c r="MO36" s="0" t="s">
        <v>16655</v>
      </c>
      <c r="MP36" s="0" t="s">
        <v>16790</v>
      </c>
      <c r="MT36" s="0" t="s">
        <v>17018</v>
      </c>
      <c r="NA36" s="0" t="s">
        <v>17197</v>
      </c>
      <c r="ND36" s="0" t="s">
        <v>17215</v>
      </c>
      <c r="NM36" s="0" t="s">
        <v>17834</v>
      </c>
      <c r="NW36" s="0" t="s">
        <v>18054</v>
      </c>
      <c r="OH36" s="0" t="s">
        <v>18310</v>
      </c>
      <c r="OO36" s="0" t="s">
        <v>18609</v>
      </c>
      <c r="OY36" s="0" t="s">
        <v>18804</v>
      </c>
      <c r="PD36" s="0" t="s">
        <v>13248</v>
      </c>
      <c r="PE36" s="0" t="s">
        <v>18297</v>
      </c>
      <c r="SI36" s="0" t="s">
        <v>719</v>
      </c>
      <c r="TK36" s="0" t="s">
        <v>14814</v>
      </c>
      <c r="UE36" s="0" t="s">
        <v>3071</v>
      </c>
      <c r="VH36" s="0" t="s">
        <v>21263</v>
      </c>
      <c r="WZ36" s="0" t="s">
        <v>22010</v>
      </c>
      <c r="XC36" s="0" t="s">
        <v>22092</v>
      </c>
      <c r="XM36" s="0" t="s">
        <v>22438</v>
      </c>
      <c r="XT36" s="0" t="s">
        <v>22558</v>
      </c>
      <c r="XY36" s="0" t="s">
        <v>22827</v>
      </c>
      <c r="YG36" s="0" t="s">
        <v>22936</v>
      </c>
      <c r="ZC36" s="0" t="s">
        <v>23107</v>
      </c>
      <c r="ABF36" s="0" t="s">
        <v>23892</v>
      </c>
      <c r="ACV36" s="0" t="s">
        <v>24475</v>
      </c>
      <c r="ACY36" s="0" t="s">
        <v>24544</v>
      </c>
      <c r="ADO36" s="0" t="s">
        <v>4908</v>
      </c>
      <c r="ADV36" s="0" t="s">
        <v>25804</v>
      </c>
      <c r="AED36" s="0" t="s">
        <v>2851</v>
      </c>
      <c r="AEH36" s="0" t="s">
        <v>26277</v>
      </c>
      <c r="AGG36" s="0" t="s">
        <v>26262</v>
      </c>
      <c r="AIW36" s="0" t="s">
        <v>28554</v>
      </c>
      <c r="AJS36" s="0" t="s">
        <v>28902</v>
      </c>
      <c r="AQV36" s="0" t="s">
        <v>13791</v>
      </c>
    </row>
    <row r="37" customFormat="false" ht="15" hidden="false" customHeight="false" outlineLevel="0" collapsed="false">
      <c r="I37" s="0" t="s">
        <v>1235</v>
      </c>
      <c r="M37" s="0" t="s">
        <v>2152</v>
      </c>
      <c r="Q37" s="0" t="s">
        <v>2711</v>
      </c>
      <c r="AP37" s="0" t="s">
        <v>3621</v>
      </c>
      <c r="AS37" s="0" t="s">
        <v>1268</v>
      </c>
      <c r="BD37" s="0" t="s">
        <v>5058</v>
      </c>
      <c r="BW37" s="0" t="s">
        <v>5779</v>
      </c>
      <c r="CZ37" s="0" t="s">
        <v>6513</v>
      </c>
      <c r="FY37" s="0" t="s">
        <v>7862</v>
      </c>
      <c r="GE37" s="0" t="s">
        <v>8258</v>
      </c>
      <c r="GI37" s="0" t="s">
        <v>7946</v>
      </c>
      <c r="GN37" s="0" t="s">
        <v>7869</v>
      </c>
      <c r="HC37" s="0" t="s">
        <v>8263</v>
      </c>
      <c r="HI37" s="0" t="s">
        <v>7881</v>
      </c>
      <c r="HM37" s="0" t="s">
        <v>7944</v>
      </c>
      <c r="HQ37" s="0" t="s">
        <v>11454</v>
      </c>
      <c r="HX37" s="0" t="s">
        <v>7866</v>
      </c>
      <c r="HZ37" s="0" t="s">
        <v>1048</v>
      </c>
      <c r="ID37" s="0" t="s">
        <v>5153</v>
      </c>
      <c r="JD37" s="0" t="s">
        <v>5593</v>
      </c>
      <c r="JN37" s="0" t="s">
        <v>14024</v>
      </c>
      <c r="JZ37" s="0" t="s">
        <v>5496</v>
      </c>
      <c r="KE37" s="0" t="s">
        <v>14602</v>
      </c>
      <c r="KP37" s="0" t="s">
        <v>14882</v>
      </c>
      <c r="KS37" s="0" t="s">
        <v>15299</v>
      </c>
      <c r="KY37" s="0" t="s">
        <v>15454</v>
      </c>
      <c r="LJ37" s="0" t="s">
        <v>15645</v>
      </c>
      <c r="LY37" s="0" t="s">
        <v>15834</v>
      </c>
      <c r="MA37" s="0" t="s">
        <v>15528</v>
      </c>
      <c r="MJ37" s="0" t="s">
        <v>16263</v>
      </c>
      <c r="MO37" s="0" t="s">
        <v>16657</v>
      </c>
      <c r="MP37" s="0" t="s">
        <v>16792</v>
      </c>
      <c r="MT37" s="0" t="s">
        <v>17022</v>
      </c>
      <c r="NA37" s="0" t="s">
        <v>17199</v>
      </c>
      <c r="ND37" s="0" t="s">
        <v>17218</v>
      </c>
      <c r="NW37" s="0" t="s">
        <v>18056</v>
      </c>
      <c r="OH37" s="0" t="s">
        <v>18314</v>
      </c>
      <c r="OO37" s="0" t="s">
        <v>18613</v>
      </c>
      <c r="OY37" s="0" t="s">
        <v>18807</v>
      </c>
      <c r="PD37" s="0" t="s">
        <v>18894</v>
      </c>
      <c r="PE37" s="0" t="s">
        <v>18301</v>
      </c>
      <c r="SI37" s="0" t="s">
        <v>20253</v>
      </c>
      <c r="TK37" s="0" t="s">
        <v>20689</v>
      </c>
      <c r="UE37" s="0" t="s">
        <v>3081</v>
      </c>
      <c r="VH37" s="0" t="s">
        <v>21265</v>
      </c>
      <c r="WZ37" s="0" t="s">
        <v>22006</v>
      </c>
      <c r="XC37" s="0" t="s">
        <v>22059</v>
      </c>
      <c r="XM37" s="0" t="s">
        <v>22440</v>
      </c>
      <c r="XT37" s="0" t="s">
        <v>22560</v>
      </c>
      <c r="XY37" s="0" t="s">
        <v>22829</v>
      </c>
      <c r="YG37" s="0" t="s">
        <v>22938</v>
      </c>
      <c r="ZC37" s="0" t="s">
        <v>23115</v>
      </c>
      <c r="ABF37" s="0" t="s">
        <v>23890</v>
      </c>
      <c r="ACV37" s="0" t="s">
        <v>24509</v>
      </c>
      <c r="ACY37" s="0" t="s">
        <v>24542</v>
      </c>
      <c r="ADO37" s="0" t="s">
        <v>1520</v>
      </c>
      <c r="ADV37" s="0" t="s">
        <v>2701</v>
      </c>
      <c r="AED37" s="0" t="s">
        <v>2901</v>
      </c>
      <c r="AEH37" s="0" t="s">
        <v>23567</v>
      </c>
      <c r="AGG37" s="0" t="s">
        <v>25377</v>
      </c>
      <c r="AIW37" s="0" t="s">
        <v>28556</v>
      </c>
      <c r="AJS37" s="0" t="s">
        <v>28904</v>
      </c>
      <c r="AQV37" s="0" t="s">
        <v>5496</v>
      </c>
    </row>
    <row r="38" customFormat="false" ht="15" hidden="false" customHeight="false" outlineLevel="0" collapsed="false">
      <c r="I38" s="0" t="s">
        <v>1246</v>
      </c>
      <c r="M38" s="0" t="s">
        <v>2157</v>
      </c>
      <c r="Q38" s="0" t="s">
        <v>2721</v>
      </c>
      <c r="AP38" s="0" t="s">
        <v>3629</v>
      </c>
      <c r="AS38" s="0" t="s">
        <v>4045</v>
      </c>
      <c r="BD38" s="0" t="s">
        <v>1982</v>
      </c>
      <c r="BW38" s="0" t="s">
        <v>5787</v>
      </c>
      <c r="CZ38" s="0" t="s">
        <v>2279</v>
      </c>
      <c r="FY38" s="0" t="s">
        <v>7864</v>
      </c>
      <c r="GE38" s="0" t="s">
        <v>7933</v>
      </c>
      <c r="GI38" s="0" t="s">
        <v>7833</v>
      </c>
      <c r="GN38" s="0" t="s">
        <v>7855</v>
      </c>
      <c r="HC38" s="0" t="s">
        <v>8610</v>
      </c>
      <c r="HI38" s="0" t="s">
        <v>7989</v>
      </c>
      <c r="HM38" s="0" t="s">
        <v>7946</v>
      </c>
      <c r="HQ38" s="0" t="s">
        <v>11456</v>
      </c>
      <c r="HX38" s="0" t="s">
        <v>7899</v>
      </c>
      <c r="HZ38" s="0" t="s">
        <v>1059</v>
      </c>
      <c r="ID38" s="0" t="s">
        <v>2067</v>
      </c>
      <c r="JD38" s="0" t="s">
        <v>2500</v>
      </c>
      <c r="JN38" s="0" t="s">
        <v>14100</v>
      </c>
      <c r="JZ38" s="0" t="s">
        <v>6246</v>
      </c>
      <c r="KE38" s="0" t="s">
        <v>14605</v>
      </c>
      <c r="KP38" s="0" t="s">
        <v>14884</v>
      </c>
      <c r="KS38" s="0" t="s">
        <v>15303</v>
      </c>
      <c r="KY38" s="0" t="s">
        <v>15456</v>
      </c>
      <c r="LJ38" s="0" t="s">
        <v>15570</v>
      </c>
      <c r="LY38" s="0" t="s">
        <v>15836</v>
      </c>
      <c r="MA38" s="0" t="s">
        <v>15967</v>
      </c>
      <c r="MJ38" s="0" t="s">
        <v>14811</v>
      </c>
      <c r="MO38" s="0" t="s">
        <v>16659</v>
      </c>
      <c r="MP38" s="0" t="s">
        <v>16794</v>
      </c>
      <c r="MT38" s="0" t="s">
        <v>17026</v>
      </c>
      <c r="NA38" s="0" t="s">
        <v>17205</v>
      </c>
      <c r="ND38" s="0" t="s">
        <v>17393</v>
      </c>
      <c r="NW38" s="0" t="s">
        <v>18059</v>
      </c>
      <c r="OH38" s="0" t="s">
        <v>18318</v>
      </c>
      <c r="OO38" s="0" t="s">
        <v>18615</v>
      </c>
      <c r="OY38" s="0" t="s">
        <v>18854</v>
      </c>
      <c r="PD38" s="0" t="s">
        <v>19174</v>
      </c>
      <c r="PE38" s="0" t="s">
        <v>18310</v>
      </c>
      <c r="SI38" s="0" t="s">
        <v>19305</v>
      </c>
      <c r="TK38" s="0" t="s">
        <v>16275</v>
      </c>
      <c r="UE38" s="0" t="s">
        <v>3091</v>
      </c>
      <c r="VH38" s="0" t="s">
        <v>21267</v>
      </c>
      <c r="WZ38" s="0" t="s">
        <v>22016</v>
      </c>
      <c r="XC38" s="0" t="s">
        <v>22124</v>
      </c>
      <c r="XM38" s="0" t="s">
        <v>22442</v>
      </c>
      <c r="XT38" s="0" t="s">
        <v>22562</v>
      </c>
      <c r="XY38" s="0" t="s">
        <v>22831</v>
      </c>
      <c r="YG38" s="0" t="s">
        <v>22940</v>
      </c>
      <c r="ZC38" s="0" t="s">
        <v>23117</v>
      </c>
      <c r="ABF38" s="0" t="s">
        <v>23894</v>
      </c>
      <c r="ACV38" s="0" t="s">
        <v>24511</v>
      </c>
      <c r="ACY38" s="0" t="s">
        <v>24548</v>
      </c>
      <c r="ADO38" s="0" t="s">
        <v>4254</v>
      </c>
      <c r="ADV38" s="0" t="s">
        <v>11968</v>
      </c>
      <c r="AED38" s="0" t="s">
        <v>883</v>
      </c>
      <c r="AGG38" s="0" t="s">
        <v>27679</v>
      </c>
      <c r="AIW38" s="0" t="s">
        <v>28558</v>
      </c>
      <c r="AJS38" s="0" t="s">
        <v>28920</v>
      </c>
      <c r="AQV38" s="0" t="s">
        <v>16910</v>
      </c>
    </row>
    <row r="39" customFormat="false" ht="15" hidden="false" customHeight="false" outlineLevel="0" collapsed="false">
      <c r="I39" s="0" t="s">
        <v>1257</v>
      </c>
      <c r="M39" s="0" t="s">
        <v>2162</v>
      </c>
      <c r="Q39" s="0" t="s">
        <v>2731</v>
      </c>
      <c r="AP39" s="0" t="s">
        <v>3637</v>
      </c>
      <c r="AS39" s="0" t="s">
        <v>1301</v>
      </c>
      <c r="BD39" s="0" t="s">
        <v>5075</v>
      </c>
      <c r="BW39" s="0" t="s">
        <v>5795</v>
      </c>
      <c r="CZ39" s="0" t="s">
        <v>2309</v>
      </c>
      <c r="FY39" s="0" t="s">
        <v>7961</v>
      </c>
      <c r="GE39" s="0" t="s">
        <v>8263</v>
      </c>
      <c r="GI39" s="0" t="s">
        <v>8294</v>
      </c>
      <c r="GN39" s="0" t="s">
        <v>9864</v>
      </c>
      <c r="HC39" s="0" t="s">
        <v>10360</v>
      </c>
      <c r="HI39" s="0" t="s">
        <v>8050</v>
      </c>
      <c r="HM39" s="0" t="s">
        <v>7833</v>
      </c>
      <c r="HQ39" s="0" t="s">
        <v>11458</v>
      </c>
      <c r="HX39" s="0" t="s">
        <v>7994</v>
      </c>
      <c r="HZ39" s="0" t="s">
        <v>1103</v>
      </c>
      <c r="ID39" s="0" t="s">
        <v>2082</v>
      </c>
      <c r="JD39" s="0" t="s">
        <v>2540</v>
      </c>
      <c r="JN39" s="0" t="s">
        <v>14216</v>
      </c>
      <c r="JZ39" s="0" t="s">
        <v>14024</v>
      </c>
      <c r="KE39" s="0" t="s">
        <v>9183</v>
      </c>
      <c r="KP39" s="0" t="s">
        <v>14886</v>
      </c>
      <c r="KS39" s="0" t="s">
        <v>15305</v>
      </c>
      <c r="LY39" s="0" t="s">
        <v>15838</v>
      </c>
      <c r="MA39" s="0" t="s">
        <v>15532</v>
      </c>
      <c r="MJ39" s="0" t="s">
        <v>16266</v>
      </c>
      <c r="MO39" s="0" t="s">
        <v>16661</v>
      </c>
      <c r="MP39" s="0" t="s">
        <v>16796</v>
      </c>
      <c r="MT39" s="0" t="s">
        <v>17004</v>
      </c>
      <c r="NA39" s="0" t="s">
        <v>17210</v>
      </c>
      <c r="ND39" s="0" t="s">
        <v>17339</v>
      </c>
      <c r="NW39" s="0" t="s">
        <v>18061</v>
      </c>
      <c r="OH39" s="0" t="s">
        <v>18320</v>
      </c>
      <c r="OO39" s="0" t="s">
        <v>18617</v>
      </c>
      <c r="OY39" s="0" t="s">
        <v>18856</v>
      </c>
      <c r="PD39" s="0" t="s">
        <v>19105</v>
      </c>
      <c r="PE39" s="0" t="s">
        <v>18314</v>
      </c>
      <c r="SI39" s="0" t="s">
        <v>707</v>
      </c>
      <c r="TK39" s="0" t="s">
        <v>14817</v>
      </c>
      <c r="UE39" s="0" t="s">
        <v>3101</v>
      </c>
      <c r="VH39" s="0" t="s">
        <v>21347</v>
      </c>
      <c r="WZ39" s="0" t="s">
        <v>22014</v>
      </c>
      <c r="XY39" s="0" t="s">
        <v>22833</v>
      </c>
      <c r="YG39" s="0" t="s">
        <v>22942</v>
      </c>
      <c r="ZC39" s="0" t="s">
        <v>23119</v>
      </c>
      <c r="ABF39" s="0" t="s">
        <v>23902</v>
      </c>
      <c r="ACV39" s="0" t="s">
        <v>24513</v>
      </c>
      <c r="ACY39" s="0" t="s">
        <v>24546</v>
      </c>
      <c r="ADO39" s="0" t="s">
        <v>4925</v>
      </c>
      <c r="ADV39" s="0" t="s">
        <v>2751</v>
      </c>
      <c r="AED39" s="0" t="s">
        <v>938</v>
      </c>
      <c r="AGG39" s="0" t="s">
        <v>25474</v>
      </c>
      <c r="AIW39" s="0" t="s">
        <v>28560</v>
      </c>
      <c r="AJS39" s="0" t="s">
        <v>28922</v>
      </c>
      <c r="AQV39" s="0" t="s">
        <v>6246</v>
      </c>
    </row>
    <row r="40" customFormat="false" ht="15" hidden="false" customHeight="false" outlineLevel="0" collapsed="false">
      <c r="I40" s="0" t="s">
        <v>1268</v>
      </c>
      <c r="M40" s="0" t="s">
        <v>2167</v>
      </c>
      <c r="Q40" s="0" t="s">
        <v>2741</v>
      </c>
      <c r="AP40" s="0" t="s">
        <v>3645</v>
      </c>
      <c r="AS40" s="0" t="s">
        <v>4064</v>
      </c>
      <c r="BW40" s="0" t="s">
        <v>5803</v>
      </c>
      <c r="CZ40" s="0" t="s">
        <v>6516</v>
      </c>
      <c r="FY40" s="0" t="s">
        <v>7872</v>
      </c>
      <c r="GE40" s="0" t="s">
        <v>7935</v>
      </c>
      <c r="GI40" s="0" t="s">
        <v>7951</v>
      </c>
      <c r="GN40" s="0" t="s">
        <v>8255</v>
      </c>
      <c r="HC40" s="0" t="s">
        <v>10363</v>
      </c>
      <c r="HI40" s="0" t="s">
        <v>8891</v>
      </c>
      <c r="HM40" s="0" t="s">
        <v>8294</v>
      </c>
      <c r="HQ40" s="0" t="s">
        <v>11460</v>
      </c>
      <c r="HX40" s="0" t="s">
        <v>7875</v>
      </c>
      <c r="HZ40" s="0" t="s">
        <v>1158</v>
      </c>
      <c r="ID40" s="0" t="s">
        <v>2097</v>
      </c>
      <c r="JD40" s="0" t="s">
        <v>1733</v>
      </c>
      <c r="JN40" s="0" t="s">
        <v>7358</v>
      </c>
      <c r="JZ40" s="0" t="s">
        <v>14100</v>
      </c>
      <c r="KE40" s="0" t="s">
        <v>14610</v>
      </c>
      <c r="KP40" s="0" t="s">
        <v>14915</v>
      </c>
      <c r="KS40" s="0" t="s">
        <v>15307</v>
      </c>
      <c r="LY40" s="0" t="s">
        <v>15840</v>
      </c>
      <c r="MA40" s="0" t="s">
        <v>15723</v>
      </c>
      <c r="MJ40" s="0" t="s">
        <v>14958</v>
      </c>
      <c r="MO40" s="0" t="s">
        <v>16663</v>
      </c>
      <c r="MP40" s="0" t="s">
        <v>16798</v>
      </c>
      <c r="MT40" s="0" t="s">
        <v>17008</v>
      </c>
      <c r="NA40" s="0" t="s">
        <v>17212</v>
      </c>
      <c r="ND40" s="0" t="s">
        <v>17239</v>
      </c>
      <c r="NW40" s="0" t="s">
        <v>18063</v>
      </c>
      <c r="OH40" s="0" t="s">
        <v>18322</v>
      </c>
      <c r="OO40" s="0" t="s">
        <v>18621</v>
      </c>
      <c r="OY40" s="0" t="s">
        <v>18852</v>
      </c>
      <c r="PD40" s="0" t="s">
        <v>18896</v>
      </c>
      <c r="PE40" s="0" t="s">
        <v>18322</v>
      </c>
      <c r="SI40" s="0" t="s">
        <v>20216</v>
      </c>
      <c r="TK40" s="0" t="s">
        <v>20696</v>
      </c>
      <c r="UE40" s="0" t="s">
        <v>3111</v>
      </c>
      <c r="VH40" s="0" t="s">
        <v>21269</v>
      </c>
      <c r="WZ40" s="0" t="s">
        <v>22012</v>
      </c>
      <c r="XY40" s="0" t="s">
        <v>22835</v>
      </c>
      <c r="YG40" s="0" t="s">
        <v>22944</v>
      </c>
      <c r="ZC40" s="0" t="s">
        <v>23121</v>
      </c>
      <c r="ABF40" s="0" t="s">
        <v>23898</v>
      </c>
      <c r="ACV40" s="0" t="s">
        <v>24515</v>
      </c>
      <c r="ACY40" s="0" t="s">
        <v>24552</v>
      </c>
      <c r="ADO40" s="0" t="s">
        <v>1540</v>
      </c>
      <c r="ADV40" s="0" t="s">
        <v>12223</v>
      </c>
      <c r="AED40" s="0" t="s">
        <v>993</v>
      </c>
      <c r="AGG40" s="0" t="s">
        <v>27695</v>
      </c>
      <c r="AIW40" s="0" t="s">
        <v>28562</v>
      </c>
      <c r="AJS40" s="0" t="s">
        <v>28954</v>
      </c>
      <c r="AQV40" s="0" t="s">
        <v>14024</v>
      </c>
    </row>
    <row r="41" customFormat="false" ht="15" hidden="false" customHeight="false" outlineLevel="0" collapsed="false">
      <c r="I41" s="0" t="s">
        <v>1279</v>
      </c>
      <c r="M41" s="0" t="s">
        <v>2172</v>
      </c>
      <c r="Q41" s="0" t="s">
        <v>2751</v>
      </c>
      <c r="AP41" s="0" t="s">
        <v>2152</v>
      </c>
      <c r="AS41" s="0" t="s">
        <v>1334</v>
      </c>
      <c r="BW41" s="0" t="s">
        <v>5811</v>
      </c>
      <c r="CZ41" s="0" t="s">
        <v>2369</v>
      </c>
      <c r="FY41" s="0" t="s">
        <v>7964</v>
      </c>
      <c r="GE41" s="0" t="s">
        <v>7927</v>
      </c>
      <c r="GI41" s="0" t="s">
        <v>7881</v>
      </c>
      <c r="GN41" s="0" t="s">
        <v>8258</v>
      </c>
      <c r="HC41" s="0" t="s">
        <v>10366</v>
      </c>
      <c r="HI41" s="0" t="s">
        <v>7862</v>
      </c>
      <c r="HM41" s="0" t="s">
        <v>7951</v>
      </c>
      <c r="HQ41" s="0" t="s">
        <v>11462</v>
      </c>
      <c r="HX41" s="0" t="s">
        <v>7999</v>
      </c>
      <c r="HZ41" s="0" t="s">
        <v>1191</v>
      </c>
      <c r="ID41" s="0" t="s">
        <v>2127</v>
      </c>
      <c r="JD41" s="0" t="s">
        <v>1768</v>
      </c>
      <c r="JN41" s="0" t="s">
        <v>13804</v>
      </c>
      <c r="JZ41" s="0" t="s">
        <v>14497</v>
      </c>
      <c r="KE41" s="0" t="s">
        <v>9193</v>
      </c>
      <c r="KP41" s="0" t="s">
        <v>14917</v>
      </c>
      <c r="KS41" s="0" t="s">
        <v>15340</v>
      </c>
      <c r="LY41" s="0" t="s">
        <v>15842</v>
      </c>
      <c r="MA41" s="0" t="s">
        <v>15948</v>
      </c>
      <c r="MJ41" s="0" t="s">
        <v>16269</v>
      </c>
      <c r="MO41" s="0" t="s">
        <v>16665</v>
      </c>
      <c r="MP41" s="0" t="s">
        <v>16800</v>
      </c>
      <c r="MT41" s="0" t="s">
        <v>17012</v>
      </c>
      <c r="NA41" s="0" t="s">
        <v>17214</v>
      </c>
      <c r="ND41" s="0" t="s">
        <v>17234</v>
      </c>
      <c r="NW41" s="0" t="s">
        <v>18065</v>
      </c>
      <c r="OH41" s="0" t="s">
        <v>18326</v>
      </c>
      <c r="OO41" s="0" t="s">
        <v>18619</v>
      </c>
      <c r="PD41" s="0" t="s">
        <v>19107</v>
      </c>
      <c r="PE41" s="0" t="s">
        <v>18326</v>
      </c>
      <c r="SI41" s="0" t="s">
        <v>5091</v>
      </c>
      <c r="TK41" s="0" t="s">
        <v>14821</v>
      </c>
      <c r="UE41" s="0" t="s">
        <v>6336</v>
      </c>
      <c r="VH41" s="0" t="s">
        <v>21271</v>
      </c>
      <c r="WZ41" s="0" t="s">
        <v>22020</v>
      </c>
      <c r="XY41" s="0" t="s">
        <v>22837</v>
      </c>
      <c r="YG41" s="0" t="s">
        <v>22946</v>
      </c>
      <c r="ZC41" s="0" t="s">
        <v>23123</v>
      </c>
      <c r="ABF41" s="0" t="s">
        <v>23896</v>
      </c>
      <c r="ACV41" s="0" t="s">
        <v>24517</v>
      </c>
      <c r="ACY41" s="0" t="s">
        <v>24550</v>
      </c>
      <c r="ADO41" s="0" t="s">
        <v>1545</v>
      </c>
      <c r="ADV41" s="0" t="s">
        <v>2801</v>
      </c>
      <c r="AED41" s="0" t="s">
        <v>1048</v>
      </c>
      <c r="AGG41" s="0" t="s">
        <v>27394</v>
      </c>
      <c r="AIW41" s="0" t="s">
        <v>28614</v>
      </c>
      <c r="AJS41" s="0" t="s">
        <v>28956</v>
      </c>
      <c r="AQV41" s="0" t="s">
        <v>14100</v>
      </c>
    </row>
    <row r="42" customFormat="false" ht="15" hidden="false" customHeight="false" outlineLevel="0" collapsed="false">
      <c r="I42" s="0" t="s">
        <v>1290</v>
      </c>
      <c r="M42" s="0" t="s">
        <v>2177</v>
      </c>
      <c r="Q42" s="0" t="s">
        <v>2761</v>
      </c>
      <c r="AP42" s="0" t="s">
        <v>3236</v>
      </c>
      <c r="AS42" s="0" t="s">
        <v>4083</v>
      </c>
      <c r="BW42" s="0" t="s">
        <v>5819</v>
      </c>
      <c r="CZ42" s="0" t="s">
        <v>2380</v>
      </c>
      <c r="FY42" s="0" t="s">
        <v>7895</v>
      </c>
      <c r="GE42" s="0" t="s">
        <v>8244</v>
      </c>
      <c r="GI42" s="0" t="s">
        <v>8623</v>
      </c>
      <c r="GN42" s="0" t="s">
        <v>7933</v>
      </c>
      <c r="HC42" s="0" t="s">
        <v>10369</v>
      </c>
      <c r="HI42" s="0" t="s">
        <v>7864</v>
      </c>
      <c r="HM42" s="0" t="s">
        <v>7881</v>
      </c>
      <c r="HQ42" s="0" t="s">
        <v>11464</v>
      </c>
      <c r="HX42" s="0" t="s">
        <v>7985</v>
      </c>
      <c r="HZ42" s="0" t="s">
        <v>1213</v>
      </c>
      <c r="ID42" s="0" t="s">
        <v>2142</v>
      </c>
      <c r="JD42" s="0" t="s">
        <v>13413</v>
      </c>
      <c r="JN42" s="0" t="s">
        <v>6742</v>
      </c>
      <c r="JZ42" s="0" t="s">
        <v>14216</v>
      </c>
      <c r="KE42" s="0" t="s">
        <v>14613</v>
      </c>
      <c r="KP42" s="0" t="s">
        <v>14919</v>
      </c>
      <c r="KS42" s="0" t="s">
        <v>15342</v>
      </c>
      <c r="LY42" s="0" t="s">
        <v>15844</v>
      </c>
      <c r="MA42" s="0" t="s">
        <v>15970</v>
      </c>
      <c r="MJ42" s="0" t="s">
        <v>16271</v>
      </c>
      <c r="MO42" s="0" t="s">
        <v>16669</v>
      </c>
      <c r="MP42" s="0" t="s">
        <v>16802</v>
      </c>
      <c r="MT42" s="0" t="s">
        <v>17016</v>
      </c>
      <c r="NA42" s="0" t="s">
        <v>17217</v>
      </c>
      <c r="ND42" s="0" t="s">
        <v>17344</v>
      </c>
      <c r="NW42" s="0" t="s">
        <v>18067</v>
      </c>
      <c r="OH42" s="0" t="s">
        <v>18330</v>
      </c>
      <c r="OO42" s="0" t="s">
        <v>18623</v>
      </c>
      <c r="PD42" s="0" t="s">
        <v>18898</v>
      </c>
      <c r="PE42" s="0" t="s">
        <v>18330</v>
      </c>
      <c r="SI42" s="0" t="s">
        <v>20219</v>
      </c>
      <c r="TK42" s="0" t="s">
        <v>14823</v>
      </c>
      <c r="VH42" s="0" t="s">
        <v>21273</v>
      </c>
      <c r="WZ42" s="0" t="s">
        <v>22022</v>
      </c>
      <c r="XY42" s="0" t="s">
        <v>22775</v>
      </c>
      <c r="YG42" s="0" t="s">
        <v>22948</v>
      </c>
      <c r="ZC42" s="0" t="s">
        <v>23125</v>
      </c>
      <c r="ABF42" s="0" t="s">
        <v>23900</v>
      </c>
      <c r="ACV42" s="0" t="s">
        <v>24519</v>
      </c>
      <c r="ACY42" s="0" t="s">
        <v>24595</v>
      </c>
      <c r="ADO42" s="0" t="s">
        <v>25065</v>
      </c>
      <c r="ADV42" s="0" t="s">
        <v>2851</v>
      </c>
      <c r="AGG42" s="0" t="s">
        <v>27691</v>
      </c>
      <c r="AIW42" s="0" t="s">
        <v>28610</v>
      </c>
      <c r="AQV42" s="0" t="s">
        <v>14497</v>
      </c>
    </row>
    <row r="43" customFormat="false" ht="15" hidden="false" customHeight="false" outlineLevel="0" collapsed="false">
      <c r="I43" s="0" t="s">
        <v>1301</v>
      </c>
      <c r="M43" s="0" t="s">
        <v>2182</v>
      </c>
      <c r="Q43" s="0" t="s">
        <v>2771</v>
      </c>
      <c r="AP43" s="0" t="s">
        <v>3667</v>
      </c>
      <c r="AS43" s="0" t="s">
        <v>1367</v>
      </c>
      <c r="BW43" s="0" t="s">
        <v>5827</v>
      </c>
      <c r="CZ43" s="0" t="s">
        <v>6492</v>
      </c>
      <c r="FY43" s="0" t="s">
        <v>8035</v>
      </c>
      <c r="GE43" s="0" t="s">
        <v>8608</v>
      </c>
      <c r="GI43" s="0" t="s">
        <v>7989</v>
      </c>
      <c r="GN43" s="0" t="s">
        <v>8263</v>
      </c>
      <c r="HC43" s="0" t="s">
        <v>10372</v>
      </c>
      <c r="HI43" s="0" t="s">
        <v>7961</v>
      </c>
      <c r="HM43" s="0" t="s">
        <v>7989</v>
      </c>
      <c r="HQ43" s="0" t="s">
        <v>11466</v>
      </c>
      <c r="HZ43" s="0" t="s">
        <v>1268</v>
      </c>
      <c r="ID43" s="0" t="s">
        <v>2187</v>
      </c>
      <c r="JD43" s="0" t="s">
        <v>3253</v>
      </c>
      <c r="JN43" s="0" t="s">
        <v>2911</v>
      </c>
      <c r="JZ43" s="0" t="s">
        <v>7358</v>
      </c>
      <c r="KE43" s="0" t="s">
        <v>14615</v>
      </c>
      <c r="KP43" s="0" t="s">
        <v>14894</v>
      </c>
      <c r="KS43" s="0" t="s">
        <v>15344</v>
      </c>
      <c r="LY43" s="0" t="s">
        <v>15846</v>
      </c>
      <c r="MA43" s="0" t="s">
        <v>15869</v>
      </c>
      <c r="MJ43" s="0" t="s">
        <v>16467</v>
      </c>
      <c r="MO43" s="0" t="s">
        <v>16577</v>
      </c>
      <c r="MP43" s="0" t="s">
        <v>16804</v>
      </c>
      <c r="MT43" s="0" t="s">
        <v>17020</v>
      </c>
      <c r="NA43" s="0" t="s">
        <v>17223</v>
      </c>
      <c r="ND43" s="0" t="s">
        <v>17255</v>
      </c>
      <c r="NW43" s="0" t="s">
        <v>18069</v>
      </c>
      <c r="OH43" s="0" t="s">
        <v>18333</v>
      </c>
      <c r="OO43" s="0" t="s">
        <v>18625</v>
      </c>
      <c r="PD43" s="0" t="s">
        <v>18900</v>
      </c>
      <c r="PE43" s="0" t="s">
        <v>18333</v>
      </c>
      <c r="SI43" s="0" t="s">
        <v>20221</v>
      </c>
      <c r="TK43" s="0" t="s">
        <v>20713</v>
      </c>
      <c r="VH43" s="0" t="s">
        <v>21352</v>
      </c>
      <c r="WZ43" s="0" t="s">
        <v>22018</v>
      </c>
      <c r="XY43" s="0" t="s">
        <v>22777</v>
      </c>
      <c r="YG43" s="0" t="s">
        <v>22950</v>
      </c>
      <c r="ZC43" s="0" t="s">
        <v>23101</v>
      </c>
      <c r="ABF43" s="0" t="s">
        <v>23912</v>
      </c>
      <c r="ACV43" s="0" t="s">
        <v>24521</v>
      </c>
      <c r="ACY43" s="0" t="s">
        <v>24593</v>
      </c>
      <c r="ADO43" s="0" t="s">
        <v>4292</v>
      </c>
      <c r="ADV43" s="0" t="s">
        <v>2901</v>
      </c>
      <c r="AGG43" s="0" t="s">
        <v>27689</v>
      </c>
      <c r="AIW43" s="0" t="s">
        <v>28612</v>
      </c>
      <c r="AQV43" s="0" t="s">
        <v>14216</v>
      </c>
    </row>
    <row r="44" customFormat="false" ht="15" hidden="false" customHeight="false" outlineLevel="0" collapsed="false">
      <c r="I44" s="0" t="s">
        <v>1312</v>
      </c>
      <c r="M44" s="0" t="s">
        <v>2187</v>
      </c>
      <c r="Q44" s="0" t="s">
        <v>2781</v>
      </c>
      <c r="AP44" s="0" t="s">
        <v>3675</v>
      </c>
      <c r="AS44" s="0" t="s">
        <v>1378</v>
      </c>
      <c r="BW44" s="0" t="s">
        <v>5835</v>
      </c>
      <c r="CZ44" s="0" t="s">
        <v>6494</v>
      </c>
      <c r="FY44" s="0" t="s">
        <v>8104</v>
      </c>
      <c r="GE44" s="0" t="s">
        <v>8610</v>
      </c>
      <c r="GI44" s="0" t="s">
        <v>8626</v>
      </c>
      <c r="GN44" s="0" t="s">
        <v>7927</v>
      </c>
      <c r="HC44" s="0" t="s">
        <v>10375</v>
      </c>
      <c r="HI44" s="0" t="s">
        <v>7872</v>
      </c>
      <c r="HM44" s="0" t="s">
        <v>7862</v>
      </c>
      <c r="HQ44" s="0" t="s">
        <v>11468</v>
      </c>
      <c r="HZ44" s="0" t="s">
        <v>6278</v>
      </c>
      <c r="ID44" s="0" t="s">
        <v>12772</v>
      </c>
      <c r="JD44" s="0" t="s">
        <v>13318</v>
      </c>
      <c r="JN44" s="0" t="s">
        <v>12064</v>
      </c>
      <c r="JZ44" s="0" t="s">
        <v>14417</v>
      </c>
      <c r="KE44" s="0" t="s">
        <v>14617</v>
      </c>
      <c r="KP44" s="0" t="s">
        <v>14897</v>
      </c>
      <c r="KS44" s="0" t="s">
        <v>15318</v>
      </c>
      <c r="LY44" s="0" t="s">
        <v>15848</v>
      </c>
      <c r="MA44" s="0" t="s">
        <v>15731</v>
      </c>
      <c r="MJ44" s="0" t="s">
        <v>16273</v>
      </c>
      <c r="MO44" s="0" t="s">
        <v>16579</v>
      </c>
      <c r="MP44" s="0" t="s">
        <v>16816</v>
      </c>
      <c r="MT44" s="0" t="s">
        <v>17024</v>
      </c>
      <c r="NA44" s="0" t="s">
        <v>17229</v>
      </c>
      <c r="ND44" s="0" t="s">
        <v>17250</v>
      </c>
      <c r="NW44" s="0" t="s">
        <v>18071</v>
      </c>
      <c r="OH44" s="0" t="s">
        <v>18336</v>
      </c>
      <c r="OO44" s="0" t="s">
        <v>18627</v>
      </c>
      <c r="PD44" s="0" t="s">
        <v>19109</v>
      </c>
      <c r="PE44" s="0" t="s">
        <v>18336</v>
      </c>
      <c r="SI44" s="0" t="s">
        <v>761</v>
      </c>
      <c r="VH44" s="0" t="s">
        <v>21275</v>
      </c>
      <c r="WZ44" s="0" t="s">
        <v>22024</v>
      </c>
      <c r="XY44" s="0" t="s">
        <v>22779</v>
      </c>
      <c r="YG44" s="0" t="s">
        <v>22952</v>
      </c>
      <c r="ZC44" s="0" t="s">
        <v>23127</v>
      </c>
      <c r="ABF44" s="0" t="s">
        <v>23910</v>
      </c>
      <c r="ADO44" s="0" t="s">
        <v>1570</v>
      </c>
      <c r="AGG44" s="0" t="s">
        <v>23567</v>
      </c>
      <c r="AIW44" s="0" t="s">
        <v>28574</v>
      </c>
      <c r="AQV44" s="0" t="s">
        <v>7358</v>
      </c>
    </row>
    <row r="45" customFormat="false" ht="15" hidden="false" customHeight="false" outlineLevel="0" collapsed="false">
      <c r="I45" s="0" t="s">
        <v>1323</v>
      </c>
      <c r="M45" s="0" t="s">
        <v>2192</v>
      </c>
      <c r="Q45" s="0" t="s">
        <v>2791</v>
      </c>
      <c r="AP45" s="0" t="s">
        <v>2172</v>
      </c>
      <c r="AS45" s="0" t="s">
        <v>4111</v>
      </c>
      <c r="BW45" s="0" t="s">
        <v>5843</v>
      </c>
      <c r="CZ45" s="0" t="s">
        <v>2480</v>
      </c>
      <c r="FY45" s="0" t="s">
        <v>7860</v>
      </c>
      <c r="GE45" s="0" t="s">
        <v>8612</v>
      </c>
      <c r="GI45" s="0" t="s">
        <v>8888</v>
      </c>
      <c r="GN45" s="0" t="s">
        <v>8244</v>
      </c>
      <c r="HC45" s="0" t="s">
        <v>7829</v>
      </c>
      <c r="HI45" s="0" t="s">
        <v>7964</v>
      </c>
      <c r="HM45" s="0" t="s">
        <v>7864</v>
      </c>
      <c r="HQ45" s="0" t="s">
        <v>11470</v>
      </c>
      <c r="HZ45" s="0" t="s">
        <v>1323</v>
      </c>
      <c r="ID45" s="0" t="s">
        <v>12774</v>
      </c>
      <c r="JD45" s="0" t="s">
        <v>5513</v>
      </c>
      <c r="JN45" s="0" t="s">
        <v>2931</v>
      </c>
      <c r="JZ45" s="0" t="s">
        <v>2911</v>
      </c>
      <c r="KE45" s="0" t="s">
        <v>14619</v>
      </c>
      <c r="KP45" s="0" t="s">
        <v>14899</v>
      </c>
      <c r="KS45" s="0" t="s">
        <v>15315</v>
      </c>
      <c r="LY45" s="0" t="s">
        <v>15874</v>
      </c>
      <c r="MA45" s="0" t="s">
        <v>15491</v>
      </c>
      <c r="MJ45" s="0" t="s">
        <v>16469</v>
      </c>
      <c r="MO45" s="0" t="s">
        <v>16559</v>
      </c>
      <c r="MP45" s="0" t="s">
        <v>16818</v>
      </c>
      <c r="MT45" s="0" t="s">
        <v>13312</v>
      </c>
      <c r="NA45" s="0" t="s">
        <v>17231</v>
      </c>
      <c r="ND45" s="0" t="s">
        <v>17398</v>
      </c>
      <c r="NW45" s="0" t="s">
        <v>18073</v>
      </c>
      <c r="OH45" s="0" t="s">
        <v>18338</v>
      </c>
      <c r="OO45" s="0" t="s">
        <v>18629</v>
      </c>
      <c r="PD45" s="0" t="s">
        <v>19005</v>
      </c>
      <c r="PE45" s="0" t="s">
        <v>18338</v>
      </c>
      <c r="SI45" s="0" t="s">
        <v>20224</v>
      </c>
      <c r="VH45" s="0" t="s">
        <v>21371</v>
      </c>
      <c r="WZ45" s="0" t="s">
        <v>21946</v>
      </c>
      <c r="YG45" s="0" t="s">
        <v>22954</v>
      </c>
      <c r="ZC45" s="0" t="s">
        <v>23129</v>
      </c>
      <c r="ABF45" s="0" t="s">
        <v>23914</v>
      </c>
      <c r="ADO45" s="0" t="s">
        <v>24936</v>
      </c>
      <c r="AIW45" s="0" t="s">
        <v>28570</v>
      </c>
      <c r="AQV45" s="0" t="s">
        <v>13804</v>
      </c>
    </row>
    <row r="46" customFormat="false" ht="15" hidden="false" customHeight="false" outlineLevel="0" collapsed="false">
      <c r="I46" s="0" t="s">
        <v>1334</v>
      </c>
      <c r="M46" s="0" t="s">
        <v>2197</v>
      </c>
      <c r="Q46" s="0" t="s">
        <v>2801</v>
      </c>
      <c r="AP46" s="0" t="s">
        <v>3690</v>
      </c>
      <c r="AS46" s="0" t="s">
        <v>1400</v>
      </c>
      <c r="BW46" s="0" t="s">
        <v>5851</v>
      </c>
      <c r="CZ46" s="0" t="s">
        <v>5593</v>
      </c>
      <c r="FY46" s="0" t="s">
        <v>7893</v>
      </c>
      <c r="GE46" s="0" t="s">
        <v>8868</v>
      </c>
      <c r="GI46" s="0" t="s">
        <v>8050</v>
      </c>
      <c r="GN46" s="0" t="s">
        <v>7829</v>
      </c>
      <c r="HC46" s="0" t="s">
        <v>10421</v>
      </c>
      <c r="HI46" s="0" t="s">
        <v>7895</v>
      </c>
      <c r="HM46" s="0" t="s">
        <v>7961</v>
      </c>
      <c r="HQ46" s="0" t="s">
        <v>11472</v>
      </c>
      <c r="HZ46" s="0" t="s">
        <v>1378</v>
      </c>
      <c r="ID46" s="0" t="s">
        <v>2227</v>
      </c>
      <c r="JD46" s="0" t="s">
        <v>1881</v>
      </c>
      <c r="JN46" s="0" t="s">
        <v>7275</v>
      </c>
      <c r="JZ46" s="0" t="s">
        <v>7275</v>
      </c>
      <c r="KE46" s="0" t="s">
        <v>14621</v>
      </c>
      <c r="KP46" s="0" t="s">
        <v>14901</v>
      </c>
      <c r="KS46" s="0" t="s">
        <v>15320</v>
      </c>
      <c r="LY46" s="0" t="s">
        <v>15876</v>
      </c>
      <c r="MA46" s="0" t="s">
        <v>15495</v>
      </c>
      <c r="MJ46" s="0" t="s">
        <v>16275</v>
      </c>
      <c r="MO46" s="0" t="s">
        <v>16561</v>
      </c>
      <c r="MP46" s="0" t="s">
        <v>16806</v>
      </c>
      <c r="MT46" s="0" t="s">
        <v>13409</v>
      </c>
      <c r="NA46" s="0" t="s">
        <v>17233</v>
      </c>
      <c r="ND46" s="0" t="s">
        <v>17401</v>
      </c>
      <c r="NW46" s="0" t="s">
        <v>18075</v>
      </c>
      <c r="OH46" s="0" t="s">
        <v>18428</v>
      </c>
      <c r="OO46" s="0" t="s">
        <v>18631</v>
      </c>
      <c r="PD46" s="0" t="s">
        <v>18902</v>
      </c>
      <c r="PE46" s="0" t="s">
        <v>19297</v>
      </c>
      <c r="SI46" s="0" t="s">
        <v>4761</v>
      </c>
      <c r="VH46" s="0" t="s">
        <v>21373</v>
      </c>
      <c r="YG46" s="0" t="s">
        <v>22956</v>
      </c>
      <c r="ZC46" s="0" t="s">
        <v>23131</v>
      </c>
      <c r="ABF46" s="0" t="s">
        <v>23916</v>
      </c>
      <c r="ADO46" s="0" t="s">
        <v>4958</v>
      </c>
      <c r="AIW46" s="0" t="s">
        <v>28572</v>
      </c>
      <c r="AQV46" s="0" t="s">
        <v>14417</v>
      </c>
    </row>
    <row r="47" customFormat="false" ht="15" hidden="false" customHeight="false" outlineLevel="0" collapsed="false">
      <c r="I47" s="0" t="s">
        <v>1345</v>
      </c>
      <c r="M47" s="0" t="s">
        <v>2202</v>
      </c>
      <c r="Q47" s="0" t="s">
        <v>2811</v>
      </c>
      <c r="AP47" s="0" t="s">
        <v>3698</v>
      </c>
      <c r="AS47" s="0" t="s">
        <v>4130</v>
      </c>
      <c r="BW47" s="0" t="s">
        <v>5859</v>
      </c>
      <c r="CZ47" s="0" t="s">
        <v>6446</v>
      </c>
      <c r="FY47" s="0" t="s">
        <v>7956</v>
      </c>
      <c r="GE47" s="0" t="s">
        <v>8870</v>
      </c>
      <c r="GI47" s="0" t="s">
        <v>8891</v>
      </c>
      <c r="GN47" s="0" t="s">
        <v>7831</v>
      </c>
      <c r="HC47" s="0" t="s">
        <v>7831</v>
      </c>
      <c r="HI47" s="0" t="s">
        <v>8035</v>
      </c>
      <c r="HM47" s="0" t="s">
        <v>7872</v>
      </c>
      <c r="HQ47" s="0" t="s">
        <v>11474</v>
      </c>
      <c r="HZ47" s="0" t="s">
        <v>4130</v>
      </c>
      <c r="ID47" s="0" t="s">
        <v>2297</v>
      </c>
      <c r="JD47" s="0" t="s">
        <v>1902</v>
      </c>
      <c r="JN47" s="0" t="s">
        <v>2961</v>
      </c>
      <c r="JZ47" s="0" t="s">
        <v>2961</v>
      </c>
      <c r="KE47" s="0" t="s">
        <v>14623</v>
      </c>
      <c r="KP47" s="0" t="s">
        <v>14903</v>
      </c>
      <c r="KS47" s="0" t="s">
        <v>15324</v>
      </c>
      <c r="LY47" s="0" t="s">
        <v>15878</v>
      </c>
      <c r="MA47" s="0" t="s">
        <v>15918</v>
      </c>
      <c r="MJ47" s="0" t="s">
        <v>16277</v>
      </c>
      <c r="MO47" s="0" t="s">
        <v>16563</v>
      </c>
      <c r="MP47" s="0" t="s">
        <v>16808</v>
      </c>
      <c r="MT47" s="0" t="s">
        <v>13567</v>
      </c>
      <c r="NA47" s="0" t="s">
        <v>17238</v>
      </c>
      <c r="ND47" s="0" t="s">
        <v>17272</v>
      </c>
      <c r="NW47" s="0" t="s">
        <v>18077</v>
      </c>
      <c r="OH47" s="0" t="s">
        <v>18433</v>
      </c>
      <c r="OO47" s="0" t="s">
        <v>18633</v>
      </c>
      <c r="PD47" s="0" t="s">
        <v>18904</v>
      </c>
      <c r="SI47" s="0" t="s">
        <v>20227</v>
      </c>
      <c r="VH47" s="0" t="s">
        <v>21277</v>
      </c>
      <c r="YG47" s="0" t="s">
        <v>22958</v>
      </c>
      <c r="ZC47" s="0" t="s">
        <v>23133</v>
      </c>
      <c r="ABF47" s="0" t="s">
        <v>23918</v>
      </c>
      <c r="ADO47" s="0" t="s">
        <v>1595</v>
      </c>
      <c r="AQV47" s="0" t="s">
        <v>6742</v>
      </c>
    </row>
    <row r="48" customFormat="false" ht="15" hidden="false" customHeight="false" outlineLevel="0" collapsed="false">
      <c r="I48" s="0" t="s">
        <v>1356</v>
      </c>
      <c r="M48" s="0" t="s">
        <v>2207</v>
      </c>
      <c r="Q48" s="0" t="s">
        <v>2821</v>
      </c>
      <c r="AP48" s="0" t="s">
        <v>2182</v>
      </c>
      <c r="AS48" s="0" t="s">
        <v>4140</v>
      </c>
      <c r="BW48" s="0" t="s">
        <v>5867</v>
      </c>
      <c r="FY48" s="0" t="s">
        <v>7891</v>
      </c>
      <c r="GE48" s="0" t="s">
        <v>8872</v>
      </c>
      <c r="GI48" s="0" t="s">
        <v>8094</v>
      </c>
      <c r="GN48" s="0" t="s">
        <v>7944</v>
      </c>
      <c r="HC48" s="0" t="s">
        <v>7944</v>
      </c>
      <c r="HI48" s="0" t="s">
        <v>8104</v>
      </c>
      <c r="HM48" s="0" t="s">
        <v>8349</v>
      </c>
      <c r="HQ48" s="0" t="s">
        <v>11476</v>
      </c>
      <c r="HZ48" s="0" t="s">
        <v>1433</v>
      </c>
      <c r="ID48" s="0" t="s">
        <v>2351</v>
      </c>
      <c r="JD48" s="0" t="s">
        <v>13522</v>
      </c>
      <c r="JN48" s="0" t="s">
        <v>2971</v>
      </c>
      <c r="JZ48" s="0" t="s">
        <v>13817</v>
      </c>
      <c r="KE48" s="0" t="s">
        <v>14625</v>
      </c>
      <c r="KP48" s="0" t="s">
        <v>14905</v>
      </c>
      <c r="KS48" s="0" t="s">
        <v>15322</v>
      </c>
      <c r="LY48" s="0" t="s">
        <v>15881</v>
      </c>
      <c r="MA48" s="0" t="s">
        <v>15927</v>
      </c>
      <c r="MJ48" s="0" t="s">
        <v>16279</v>
      </c>
      <c r="MO48" s="0" t="s">
        <v>16565</v>
      </c>
      <c r="MP48" s="0" t="s">
        <v>16810</v>
      </c>
      <c r="MT48" s="0" t="s">
        <v>13659</v>
      </c>
      <c r="NA48" s="0" t="s">
        <v>17244</v>
      </c>
      <c r="ND48" s="0" t="s">
        <v>17268</v>
      </c>
      <c r="NW48" s="0" t="s">
        <v>18079</v>
      </c>
      <c r="OH48" s="0" t="s">
        <v>18146</v>
      </c>
      <c r="OO48" s="0" t="s">
        <v>18635</v>
      </c>
      <c r="PD48" s="0" t="s">
        <v>19111</v>
      </c>
      <c r="SI48" s="0" t="s">
        <v>4721</v>
      </c>
      <c r="VH48" s="0" t="s">
        <v>21376</v>
      </c>
      <c r="YG48" s="0" t="s">
        <v>22960</v>
      </c>
      <c r="ZC48" s="0" t="s">
        <v>23135</v>
      </c>
      <c r="ABF48" s="0" t="s">
        <v>23920</v>
      </c>
      <c r="ADO48" s="0" t="s">
        <v>24899</v>
      </c>
      <c r="AQV48" s="0" t="s">
        <v>32311</v>
      </c>
    </row>
    <row r="49" customFormat="false" ht="15" hidden="false" customHeight="false" outlineLevel="0" collapsed="false">
      <c r="I49" s="0" t="s">
        <v>1367</v>
      </c>
      <c r="M49" s="0" t="s">
        <v>2212</v>
      </c>
      <c r="Q49" s="0" t="s">
        <v>2831</v>
      </c>
      <c r="AP49" s="0" t="s">
        <v>3240</v>
      </c>
      <c r="AS49" s="0" t="s">
        <v>1433</v>
      </c>
      <c r="BW49" s="0" t="s">
        <v>5875</v>
      </c>
      <c r="FY49" s="0" t="s">
        <v>7992</v>
      </c>
      <c r="GE49" s="0" t="s">
        <v>8874</v>
      </c>
      <c r="GI49" s="0" t="s">
        <v>7862</v>
      </c>
      <c r="GN49" s="0" t="s">
        <v>9870</v>
      </c>
      <c r="HC49" s="0" t="s">
        <v>7946</v>
      </c>
      <c r="HI49" s="0" t="s">
        <v>8761</v>
      </c>
      <c r="HM49" s="0" t="s">
        <v>7964</v>
      </c>
      <c r="HQ49" s="0" t="s">
        <v>11478</v>
      </c>
      <c r="HZ49" s="0" t="s">
        <v>4883</v>
      </c>
      <c r="ID49" s="0" t="s">
        <v>2369</v>
      </c>
      <c r="JD49" s="0" t="s">
        <v>1914</v>
      </c>
      <c r="JN49" s="0" t="s">
        <v>13817</v>
      </c>
      <c r="JZ49" s="0" t="s">
        <v>3011</v>
      </c>
      <c r="KE49" s="0" t="s">
        <v>14627</v>
      </c>
      <c r="KP49" s="0" t="s">
        <v>14907</v>
      </c>
      <c r="KS49" s="0" t="s">
        <v>15328</v>
      </c>
      <c r="LY49" s="0" t="s">
        <v>15883</v>
      </c>
      <c r="MA49" s="0" t="s">
        <v>15799</v>
      </c>
      <c r="MJ49" s="0" t="s">
        <v>14821</v>
      </c>
      <c r="MO49" s="0" t="s">
        <v>16567</v>
      </c>
      <c r="MP49" s="0" t="s">
        <v>16812</v>
      </c>
      <c r="NA49" s="0" t="s">
        <v>17249</v>
      </c>
      <c r="ND49" s="0" t="s">
        <v>17349</v>
      </c>
      <c r="NW49" s="0" t="s">
        <v>18081</v>
      </c>
      <c r="OH49" s="0" t="s">
        <v>18438</v>
      </c>
      <c r="OO49" s="0" t="s">
        <v>18637</v>
      </c>
      <c r="PD49" s="0" t="s">
        <v>19007</v>
      </c>
      <c r="SI49" s="0" t="s">
        <v>714</v>
      </c>
      <c r="VH49" s="0" t="s">
        <v>21378</v>
      </c>
      <c r="ZC49" s="0" t="s">
        <v>23137</v>
      </c>
      <c r="ABF49" s="0" t="s">
        <v>23922</v>
      </c>
      <c r="ADO49" s="0" t="s">
        <v>24938</v>
      </c>
      <c r="AQV49" s="0" t="s">
        <v>2911</v>
      </c>
    </row>
    <row r="50" customFormat="false" ht="15" hidden="false" customHeight="false" outlineLevel="0" collapsed="false">
      <c r="I50" s="0" t="s">
        <v>1378</v>
      </c>
      <c r="M50" s="0" t="s">
        <v>2217</v>
      </c>
      <c r="Q50" s="0" t="s">
        <v>2841</v>
      </c>
      <c r="AP50" s="0" t="s">
        <v>3720</v>
      </c>
      <c r="AS50" s="0" t="s">
        <v>4159</v>
      </c>
      <c r="BW50" s="0" t="s">
        <v>5883</v>
      </c>
      <c r="FY50" s="0" t="s">
        <v>8099</v>
      </c>
      <c r="GE50" s="0" t="s">
        <v>8473</v>
      </c>
      <c r="GI50" s="0" t="s">
        <v>7864</v>
      </c>
      <c r="GN50" s="0" t="s">
        <v>7946</v>
      </c>
      <c r="HC50" s="0" t="s">
        <v>7833</v>
      </c>
      <c r="HI50" s="0" t="s">
        <v>8763</v>
      </c>
      <c r="HM50" s="0" t="s">
        <v>7895</v>
      </c>
      <c r="HQ50" s="0" t="s">
        <v>11538</v>
      </c>
      <c r="HZ50" s="0" t="s">
        <v>1470</v>
      </c>
      <c r="ID50" s="0" t="s">
        <v>2400</v>
      </c>
      <c r="JD50" s="0" t="s">
        <v>5525</v>
      </c>
      <c r="JN50" s="0" t="s">
        <v>2991</v>
      </c>
      <c r="JZ50" s="0" t="s">
        <v>3021</v>
      </c>
      <c r="KE50" s="0" t="s">
        <v>14629</v>
      </c>
      <c r="KP50" s="0" t="s">
        <v>14909</v>
      </c>
      <c r="KS50" s="0" t="s">
        <v>15326</v>
      </c>
      <c r="LY50" s="0" t="s">
        <v>15885</v>
      </c>
      <c r="MA50" s="0" t="s">
        <v>15823</v>
      </c>
      <c r="MJ50" s="0" t="s">
        <v>14823</v>
      </c>
      <c r="MO50" s="0" t="s">
        <v>16569</v>
      </c>
      <c r="MP50" s="0" t="s">
        <v>16814</v>
      </c>
      <c r="NA50" s="0" t="s">
        <v>17254</v>
      </c>
      <c r="ND50" s="0" t="s">
        <v>17285</v>
      </c>
      <c r="NW50" s="0" t="s">
        <v>18083</v>
      </c>
      <c r="OH50" s="0" t="s">
        <v>18440</v>
      </c>
      <c r="OO50" s="0" t="s">
        <v>18639</v>
      </c>
      <c r="PD50" s="0" t="s">
        <v>18906</v>
      </c>
      <c r="SI50" s="0" t="s">
        <v>3833</v>
      </c>
      <c r="VH50" s="0" t="s">
        <v>9166</v>
      </c>
      <c r="ZC50" s="0" t="s">
        <v>23139</v>
      </c>
      <c r="ABF50" s="0" t="s">
        <v>23872</v>
      </c>
      <c r="ADO50" s="0" t="s">
        <v>4349</v>
      </c>
      <c r="AQV50" s="0" t="s">
        <v>7275</v>
      </c>
    </row>
    <row r="51" customFormat="false" ht="15" hidden="false" customHeight="false" outlineLevel="0" collapsed="false">
      <c r="I51" s="0" t="s">
        <v>1389</v>
      </c>
      <c r="M51" s="0" t="s">
        <v>2222</v>
      </c>
      <c r="Q51" s="0" t="s">
        <v>2851</v>
      </c>
      <c r="AP51" s="0" t="s">
        <v>2212</v>
      </c>
      <c r="AS51" s="0" t="s">
        <v>1460</v>
      </c>
      <c r="BW51" s="0" t="s">
        <v>5891</v>
      </c>
      <c r="FY51" s="0" t="s">
        <v>8101</v>
      </c>
      <c r="GE51" s="0" t="s">
        <v>7829</v>
      </c>
      <c r="GI51" s="0" t="s">
        <v>7961</v>
      </c>
      <c r="GN51" s="0" t="s">
        <v>8287</v>
      </c>
      <c r="HC51" s="0" t="s">
        <v>8294</v>
      </c>
      <c r="HI51" s="0" t="s">
        <v>7860</v>
      </c>
      <c r="HM51" s="0" t="s">
        <v>8646</v>
      </c>
      <c r="HQ51" s="0" t="s">
        <v>11540</v>
      </c>
      <c r="HZ51" s="0" t="s">
        <v>1475</v>
      </c>
      <c r="ID51" s="0" t="s">
        <v>2440</v>
      </c>
      <c r="JD51" s="0" t="s">
        <v>13525</v>
      </c>
      <c r="JN51" s="0" t="s">
        <v>3011</v>
      </c>
      <c r="JZ51" s="0" t="s">
        <v>7396</v>
      </c>
      <c r="KE51" s="0" t="s">
        <v>14631</v>
      </c>
      <c r="KP51" s="0" t="s">
        <v>14911</v>
      </c>
      <c r="KS51" s="0" t="s">
        <v>15330</v>
      </c>
      <c r="LY51" s="0" t="s">
        <v>15910</v>
      </c>
      <c r="MA51" s="0" t="s">
        <v>15483</v>
      </c>
      <c r="MJ51" s="0" t="s">
        <v>16283</v>
      </c>
      <c r="MO51" s="0" t="s">
        <v>16571</v>
      </c>
      <c r="MP51" s="0" t="s">
        <v>16844</v>
      </c>
      <c r="NA51" s="0" t="s">
        <v>17267</v>
      </c>
      <c r="ND51" s="0" t="s">
        <v>17404</v>
      </c>
      <c r="NW51" s="0" t="s">
        <v>18085</v>
      </c>
      <c r="OH51" s="0" t="s">
        <v>18361</v>
      </c>
      <c r="OO51" s="0" t="s">
        <v>18641</v>
      </c>
      <c r="PD51" s="0" t="s">
        <v>19009</v>
      </c>
      <c r="SI51" s="0" t="s">
        <v>5492</v>
      </c>
      <c r="VH51" s="0" t="s">
        <v>21381</v>
      </c>
      <c r="ZC51" s="0" t="s">
        <v>23141</v>
      </c>
      <c r="ABF51" s="0" t="s">
        <v>23874</v>
      </c>
      <c r="ADO51" s="0" t="s">
        <v>4975</v>
      </c>
      <c r="AQV51" s="0" t="s">
        <v>2951</v>
      </c>
    </row>
    <row r="52" customFormat="false" ht="15" hidden="false" customHeight="false" outlineLevel="0" collapsed="false">
      <c r="I52" s="0" t="s">
        <v>1400</v>
      </c>
      <c r="M52" s="0" t="s">
        <v>2227</v>
      </c>
      <c r="Q52" s="0" t="s">
        <v>2861</v>
      </c>
      <c r="AP52" s="0" t="s">
        <v>3729</v>
      </c>
      <c r="AS52" s="0" t="s">
        <v>4178</v>
      </c>
      <c r="BW52" s="0" t="s">
        <v>5899</v>
      </c>
      <c r="FY52" s="0" t="s">
        <v>8010</v>
      </c>
      <c r="GE52" s="0" t="s">
        <v>7831</v>
      </c>
      <c r="GI52" s="0" t="s">
        <v>7872</v>
      </c>
      <c r="GN52" s="0" t="s">
        <v>7833</v>
      </c>
      <c r="HC52" s="0" t="s">
        <v>7881</v>
      </c>
      <c r="HI52" s="0" t="s">
        <v>7893</v>
      </c>
      <c r="HM52" s="0" t="s">
        <v>8035</v>
      </c>
      <c r="HQ52" s="0" t="s">
        <v>11542</v>
      </c>
      <c r="HZ52" s="0" t="s">
        <v>4197</v>
      </c>
      <c r="ID52" s="0" t="s">
        <v>2470</v>
      </c>
      <c r="JD52" s="0" t="s">
        <v>4609</v>
      </c>
      <c r="JN52" s="0" t="s">
        <v>7396</v>
      </c>
      <c r="JZ52" s="0" t="s">
        <v>3061</v>
      </c>
      <c r="KE52" s="0" t="s">
        <v>14633</v>
      </c>
      <c r="KP52" s="0" t="s">
        <v>14913</v>
      </c>
      <c r="KS52" s="0" t="s">
        <v>15332</v>
      </c>
      <c r="LY52" s="0" t="s">
        <v>15913</v>
      </c>
      <c r="MA52" s="0" t="s">
        <v>15872</v>
      </c>
      <c r="MJ52" s="0" t="s">
        <v>16285</v>
      </c>
      <c r="MO52" s="0" t="s">
        <v>16573</v>
      </c>
      <c r="MP52" s="0" t="s">
        <v>16820</v>
      </c>
      <c r="NA52" s="0" t="s">
        <v>17271</v>
      </c>
      <c r="ND52" s="0" t="s">
        <v>17282</v>
      </c>
      <c r="NW52" s="0" t="s">
        <v>18087</v>
      </c>
      <c r="OH52" s="0" t="s">
        <v>18366</v>
      </c>
      <c r="OO52" s="0" t="s">
        <v>18643</v>
      </c>
      <c r="PD52" s="0" t="s">
        <v>18908</v>
      </c>
      <c r="SI52" s="0" t="s">
        <v>4000</v>
      </c>
      <c r="VH52" s="0" t="s">
        <v>9202</v>
      </c>
      <c r="ZC52" s="0" t="s">
        <v>23103</v>
      </c>
      <c r="ABF52" s="0" t="s">
        <v>23886</v>
      </c>
      <c r="ADO52" s="0" t="s">
        <v>1610</v>
      </c>
      <c r="AQV52" s="0" t="s">
        <v>2961</v>
      </c>
    </row>
    <row r="53" customFormat="false" ht="15" hidden="false" customHeight="false" outlineLevel="0" collapsed="false">
      <c r="I53" s="0" t="s">
        <v>1411</v>
      </c>
      <c r="M53" s="0" t="s">
        <v>2232</v>
      </c>
      <c r="Q53" s="0" t="s">
        <v>2871</v>
      </c>
      <c r="AP53" s="0" t="s">
        <v>3734</v>
      </c>
      <c r="AS53" s="0" t="s">
        <v>1475</v>
      </c>
      <c r="BW53" s="0" t="s">
        <v>5907</v>
      </c>
      <c r="FY53" s="0" t="s">
        <v>7968</v>
      </c>
      <c r="GE53" s="0" t="s">
        <v>7944</v>
      </c>
      <c r="GI53" s="0" t="s">
        <v>8349</v>
      </c>
      <c r="GN53" s="0" t="s">
        <v>8294</v>
      </c>
      <c r="HC53" s="0" t="s">
        <v>7989</v>
      </c>
      <c r="HI53" s="0" t="s">
        <v>8320</v>
      </c>
      <c r="HM53" s="0" t="s">
        <v>7860</v>
      </c>
      <c r="HQ53" s="0" t="s">
        <v>11544</v>
      </c>
      <c r="HZ53" s="0" t="s">
        <v>1495</v>
      </c>
      <c r="ID53" s="0" t="s">
        <v>2500</v>
      </c>
      <c r="JD53" s="0" t="s">
        <v>1924</v>
      </c>
      <c r="JN53" s="0" t="s">
        <v>3061</v>
      </c>
      <c r="JZ53" s="0" t="s">
        <v>3091</v>
      </c>
      <c r="KE53" s="0" t="s">
        <v>14635</v>
      </c>
      <c r="KP53" s="0" t="s">
        <v>14972</v>
      </c>
      <c r="KS53" s="0" t="s">
        <v>15334</v>
      </c>
      <c r="LY53" s="0" t="s">
        <v>15917</v>
      </c>
      <c r="MA53" s="0" t="s">
        <v>15504</v>
      </c>
      <c r="MJ53" s="0" t="s">
        <v>16287</v>
      </c>
      <c r="MO53" s="0" t="s">
        <v>16575</v>
      </c>
      <c r="MP53" s="0" t="s">
        <v>16846</v>
      </c>
      <c r="NA53" s="0" t="s">
        <v>17281</v>
      </c>
      <c r="ND53" s="0" t="s">
        <v>17300</v>
      </c>
      <c r="NW53" s="0" t="s">
        <v>18089</v>
      </c>
      <c r="OH53" s="0" t="s">
        <v>18371</v>
      </c>
      <c r="OO53" s="0" t="s">
        <v>18645</v>
      </c>
      <c r="PD53" s="0" t="s">
        <v>13251</v>
      </c>
      <c r="SI53" s="0" t="s">
        <v>6940</v>
      </c>
      <c r="VH53" s="0" t="s">
        <v>21383</v>
      </c>
      <c r="ZC53" s="0" t="s">
        <v>23109</v>
      </c>
      <c r="ABF53" s="0" t="s">
        <v>23888</v>
      </c>
      <c r="ADO53" s="0" t="s">
        <v>1615</v>
      </c>
      <c r="AQV53" s="0" t="s">
        <v>13817</v>
      </c>
    </row>
    <row r="54" customFormat="false" ht="15" hidden="false" customHeight="false" outlineLevel="0" collapsed="false">
      <c r="I54" s="0" t="s">
        <v>1422</v>
      </c>
      <c r="M54" s="0" t="s">
        <v>2237</v>
      </c>
      <c r="Q54" s="0" t="s">
        <v>2881</v>
      </c>
      <c r="AP54" s="0" t="s">
        <v>2227</v>
      </c>
      <c r="AS54" s="0" t="s">
        <v>4197</v>
      </c>
      <c r="BW54" s="0" t="s">
        <v>5915</v>
      </c>
      <c r="FY54" s="0" t="s">
        <v>7966</v>
      </c>
      <c r="GE54" s="0" t="s">
        <v>7946</v>
      </c>
      <c r="GI54" s="0" t="s">
        <v>7964</v>
      </c>
      <c r="GN54" s="0" t="s">
        <v>7881</v>
      </c>
      <c r="HC54" s="0" t="s">
        <v>10402</v>
      </c>
      <c r="HI54" s="0" t="s">
        <v>10634</v>
      </c>
      <c r="HM54" s="0" t="s">
        <v>8310</v>
      </c>
      <c r="HQ54" s="0" t="s">
        <v>11546</v>
      </c>
      <c r="HZ54" s="0" t="s">
        <v>1520</v>
      </c>
      <c r="ID54" s="0" t="s">
        <v>2540</v>
      </c>
      <c r="JD54" s="0" t="s">
        <v>13528</v>
      </c>
      <c r="JN54" s="0" t="s">
        <v>3101</v>
      </c>
      <c r="JZ54" s="0" t="s">
        <v>3111</v>
      </c>
      <c r="KE54" s="0" t="s">
        <v>14639</v>
      </c>
      <c r="KP54" s="0" t="s">
        <v>14978</v>
      </c>
      <c r="KS54" s="0" t="s">
        <v>15336</v>
      </c>
      <c r="LY54" s="0" t="s">
        <v>15920</v>
      </c>
      <c r="MA54" s="0" t="s">
        <v>15830</v>
      </c>
      <c r="MJ54" s="0" t="s">
        <v>16289</v>
      </c>
      <c r="MO54" s="0" t="s">
        <v>16599</v>
      </c>
      <c r="MP54" s="0" t="s">
        <v>16822</v>
      </c>
      <c r="NA54" s="0" t="s">
        <v>17284</v>
      </c>
      <c r="ND54" s="0" t="s">
        <v>17407</v>
      </c>
      <c r="NW54" s="0" t="s">
        <v>18091</v>
      </c>
      <c r="OH54" s="0" t="s">
        <v>18374</v>
      </c>
      <c r="OO54" s="0" t="s">
        <v>18651</v>
      </c>
      <c r="PD54" s="0" t="s">
        <v>19179</v>
      </c>
      <c r="SI54" s="0" t="s">
        <v>3247</v>
      </c>
      <c r="VH54" s="0" t="s">
        <v>21234</v>
      </c>
      <c r="ZC54" s="0" t="s">
        <v>23111</v>
      </c>
      <c r="ABF54" s="0" t="s">
        <v>23906</v>
      </c>
      <c r="ADO54" s="0" t="s">
        <v>24942</v>
      </c>
      <c r="AQV54" s="0" t="s">
        <v>3001</v>
      </c>
    </row>
    <row r="55" customFormat="false" ht="15" hidden="false" customHeight="false" outlineLevel="0" collapsed="false">
      <c r="I55" s="0" t="s">
        <v>1433</v>
      </c>
      <c r="M55" s="0" t="s">
        <v>2242</v>
      </c>
      <c r="Q55" s="0" t="s">
        <v>2891</v>
      </c>
      <c r="AP55" s="0" t="s">
        <v>3743</v>
      </c>
      <c r="AS55" s="0" t="s">
        <v>1490</v>
      </c>
      <c r="BW55" s="0" t="s">
        <v>5923</v>
      </c>
      <c r="FY55" s="0" t="s">
        <v>7866</v>
      </c>
      <c r="GE55" s="0" t="s">
        <v>8287</v>
      </c>
      <c r="GI55" s="0" t="s">
        <v>7895</v>
      </c>
      <c r="GN55" s="0" t="s">
        <v>8270</v>
      </c>
      <c r="HC55" s="0" t="s">
        <v>10405</v>
      </c>
      <c r="HI55" s="0" t="s">
        <v>7891</v>
      </c>
      <c r="HM55" s="0" t="s">
        <v>7893</v>
      </c>
      <c r="HQ55" s="0" t="s">
        <v>11548</v>
      </c>
      <c r="HZ55" s="0" t="s">
        <v>4925</v>
      </c>
      <c r="ID55" s="0" t="s">
        <v>1733</v>
      </c>
      <c r="JD55" s="0" t="s">
        <v>13577</v>
      </c>
      <c r="JN55" s="0" t="s">
        <v>3111</v>
      </c>
      <c r="JZ55" s="0" t="s">
        <v>12306</v>
      </c>
      <c r="KE55" s="0" t="s">
        <v>14637</v>
      </c>
      <c r="KP55" s="0" t="s">
        <v>14984</v>
      </c>
      <c r="KS55" s="0" t="s">
        <v>15338</v>
      </c>
      <c r="LY55" s="0" t="s">
        <v>15922</v>
      </c>
      <c r="MA55" s="0" t="s">
        <v>15879</v>
      </c>
      <c r="MJ55" s="0" t="s">
        <v>16291</v>
      </c>
      <c r="MO55" s="0" t="s">
        <v>16603</v>
      </c>
      <c r="MP55" s="0" t="s">
        <v>16824</v>
      </c>
      <c r="NA55" s="0" t="s">
        <v>17296</v>
      </c>
      <c r="ND55" s="0" t="s">
        <v>17297</v>
      </c>
      <c r="NW55" s="0" t="s">
        <v>18093</v>
      </c>
      <c r="OH55" s="0" t="s">
        <v>18377</v>
      </c>
      <c r="OO55" s="0" t="s">
        <v>18653</v>
      </c>
      <c r="PD55" s="0" t="s">
        <v>19113</v>
      </c>
      <c r="SI55" s="0" t="s">
        <v>13852</v>
      </c>
      <c r="VH55" s="0" t="s">
        <v>21385</v>
      </c>
      <c r="ZC55" s="0" t="s">
        <v>23113</v>
      </c>
      <c r="ABF55" s="0" t="s">
        <v>23904</v>
      </c>
      <c r="ADO55" s="0" t="s">
        <v>4387</v>
      </c>
      <c r="AQV55" s="0" t="s">
        <v>3011</v>
      </c>
    </row>
    <row r="56" customFormat="false" ht="15" hidden="false" customHeight="false" outlineLevel="0" collapsed="false">
      <c r="I56" s="0" t="s">
        <v>1444</v>
      </c>
      <c r="M56" s="0" t="s">
        <v>2249</v>
      </c>
      <c r="Q56" s="0" t="s">
        <v>2901</v>
      </c>
      <c r="AP56" s="0" t="s">
        <v>3748</v>
      </c>
      <c r="AS56" s="0" t="s">
        <v>4216</v>
      </c>
      <c r="BW56" s="0" t="s">
        <v>5931</v>
      </c>
      <c r="FY56" s="0" t="s">
        <v>8117</v>
      </c>
      <c r="GE56" s="0" t="s">
        <v>7833</v>
      </c>
      <c r="GI56" s="0" t="s">
        <v>8646</v>
      </c>
      <c r="GN56" s="0" t="s">
        <v>7862</v>
      </c>
      <c r="HC56" s="0" t="s">
        <v>10408</v>
      </c>
      <c r="HI56" s="0" t="s">
        <v>8636</v>
      </c>
      <c r="HM56" s="0" t="s">
        <v>7956</v>
      </c>
      <c r="HQ56" s="0" t="s">
        <v>11436</v>
      </c>
      <c r="HZ56" s="0" t="s">
        <v>1545</v>
      </c>
      <c r="ID56" s="0" t="s">
        <v>12612</v>
      </c>
      <c r="JD56" s="0" t="s">
        <v>1948</v>
      </c>
      <c r="JN56" s="0" t="s">
        <v>2600</v>
      </c>
      <c r="JZ56" s="0" t="s">
        <v>3151</v>
      </c>
      <c r="KE56" s="0" t="s">
        <v>14641</v>
      </c>
      <c r="KP56" s="0" t="s">
        <v>14986</v>
      </c>
      <c r="KS56" s="0" t="s">
        <v>15369</v>
      </c>
      <c r="LY56" s="0" t="s">
        <v>15924</v>
      </c>
      <c r="MA56" s="0" t="s">
        <v>15911</v>
      </c>
      <c r="MJ56" s="0" t="s">
        <v>16293</v>
      </c>
      <c r="MO56" s="0" t="s">
        <v>16581</v>
      </c>
      <c r="MP56" s="0" t="s">
        <v>16826</v>
      </c>
      <c r="NA56" s="0" t="s">
        <v>17299</v>
      </c>
      <c r="ND56" s="0" t="s">
        <v>17106</v>
      </c>
      <c r="NW56" s="0" t="s">
        <v>18095</v>
      </c>
      <c r="OH56" s="0" t="s">
        <v>18379</v>
      </c>
      <c r="OO56" s="0" t="s">
        <v>18647</v>
      </c>
      <c r="PD56" s="0" t="s">
        <v>18911</v>
      </c>
      <c r="SI56" s="0" t="s">
        <v>5097</v>
      </c>
      <c r="VH56" s="0" t="s">
        <v>21518</v>
      </c>
      <c r="ABF56" s="0" t="s">
        <v>23908</v>
      </c>
      <c r="ADO56" s="0" t="s">
        <v>1635</v>
      </c>
      <c r="AQV56" s="0" t="s">
        <v>7396</v>
      </c>
    </row>
    <row r="57" customFormat="false" ht="15" hidden="false" customHeight="false" outlineLevel="0" collapsed="false">
      <c r="I57" s="0" t="s">
        <v>1455</v>
      </c>
      <c r="M57" s="0" t="s">
        <v>2255</v>
      </c>
      <c r="AP57" s="0" t="s">
        <v>2261</v>
      </c>
      <c r="AS57" s="0" t="s">
        <v>1505</v>
      </c>
      <c r="BW57" s="0" t="s">
        <v>5939</v>
      </c>
      <c r="FY57" s="0" t="s">
        <v>7899</v>
      </c>
      <c r="GE57" s="0" t="s">
        <v>8294</v>
      </c>
      <c r="GI57" s="0" t="s">
        <v>8035</v>
      </c>
      <c r="GN57" s="0" t="s">
        <v>7864</v>
      </c>
      <c r="HC57" s="0" t="s">
        <v>10411</v>
      </c>
      <c r="HI57" s="0" t="s">
        <v>7992</v>
      </c>
      <c r="HM57" s="0" t="s">
        <v>7891</v>
      </c>
      <c r="HQ57" s="0" t="s">
        <v>11438</v>
      </c>
      <c r="HZ57" s="0" t="s">
        <v>11789</v>
      </c>
      <c r="ID57" s="0" t="s">
        <v>1768</v>
      </c>
      <c r="JD57" s="0" t="s">
        <v>13581</v>
      </c>
      <c r="JN57" s="0" t="s">
        <v>2651</v>
      </c>
      <c r="JZ57" s="0" t="s">
        <v>2600</v>
      </c>
      <c r="KE57" s="0" t="s">
        <v>14643</v>
      </c>
      <c r="KP57" s="0" t="s">
        <v>14988</v>
      </c>
      <c r="KS57" s="0" t="s">
        <v>15371</v>
      </c>
      <c r="LY57" s="0" t="s">
        <v>15926</v>
      </c>
      <c r="MA57" s="0" t="s">
        <v>15507</v>
      </c>
      <c r="MJ57" s="0" t="s">
        <v>16295</v>
      </c>
      <c r="MO57" s="0" t="s">
        <v>16583</v>
      </c>
      <c r="MP57" s="0" t="s">
        <v>16828</v>
      </c>
      <c r="NA57" s="0" t="s">
        <v>17104</v>
      </c>
      <c r="NW57" s="0" t="s">
        <v>18097</v>
      </c>
      <c r="OH57" s="0" t="s">
        <v>18382</v>
      </c>
      <c r="OO57" s="0" t="s">
        <v>18649</v>
      </c>
      <c r="PD57" s="0" t="s">
        <v>19011</v>
      </c>
      <c r="SI57" s="0" t="s">
        <v>7020</v>
      </c>
      <c r="VH57" s="0" t="s">
        <v>21236</v>
      </c>
      <c r="ADO57" s="0" t="s">
        <v>4406</v>
      </c>
      <c r="AQV57" s="0" t="s">
        <v>3051</v>
      </c>
    </row>
    <row r="58" customFormat="false" ht="15" hidden="false" customHeight="false" outlineLevel="0" collapsed="false">
      <c r="I58" s="0" t="s">
        <v>1460</v>
      </c>
      <c r="M58" s="0" t="s">
        <v>2261</v>
      </c>
      <c r="AP58" s="0" t="s">
        <v>3757</v>
      </c>
      <c r="AS58" s="0" t="s">
        <v>4235</v>
      </c>
      <c r="BW58" s="0" t="s">
        <v>5947</v>
      </c>
      <c r="FY58" s="0" t="s">
        <v>7994</v>
      </c>
      <c r="GE58" s="0" t="s">
        <v>7951</v>
      </c>
      <c r="GI58" s="0" t="s">
        <v>8104</v>
      </c>
      <c r="GN58" s="0" t="s">
        <v>9882</v>
      </c>
      <c r="HC58" s="0" t="s">
        <v>10414</v>
      </c>
      <c r="HI58" s="0" t="s">
        <v>8099</v>
      </c>
      <c r="HM58" s="0" t="s">
        <v>7992</v>
      </c>
      <c r="HQ58" s="0" t="s">
        <v>11440</v>
      </c>
      <c r="HZ58" s="0" t="s">
        <v>4292</v>
      </c>
      <c r="ID58" s="0" t="s">
        <v>3253</v>
      </c>
      <c r="JD58" s="0" t="s">
        <v>1954</v>
      </c>
      <c r="JN58" s="0" t="s">
        <v>2701</v>
      </c>
      <c r="JZ58" s="0" t="s">
        <v>2651</v>
      </c>
      <c r="KE58" s="0" t="s">
        <v>14645</v>
      </c>
      <c r="KP58" s="0" t="s">
        <v>14990</v>
      </c>
      <c r="KS58" s="0" t="s">
        <v>15373</v>
      </c>
      <c r="LY58" s="0" t="s">
        <v>15929</v>
      </c>
      <c r="MA58" s="0" t="s">
        <v>15487</v>
      </c>
      <c r="MJ58" s="0" t="s">
        <v>14968</v>
      </c>
      <c r="MO58" s="0" t="s">
        <v>16585</v>
      </c>
      <c r="MP58" s="0" t="s">
        <v>16830</v>
      </c>
      <c r="NA58" s="0" t="s">
        <v>17353</v>
      </c>
      <c r="NW58" s="0" t="s">
        <v>18099</v>
      </c>
      <c r="OH58" s="0" t="s">
        <v>18387</v>
      </c>
      <c r="OO58" s="0" t="s">
        <v>18659</v>
      </c>
      <c r="PD58" s="0" t="s">
        <v>19115</v>
      </c>
      <c r="SI58" s="0" t="s">
        <v>6723</v>
      </c>
      <c r="VH58" s="0" t="s">
        <v>21387</v>
      </c>
      <c r="ADO58" s="0" t="s">
        <v>5008</v>
      </c>
      <c r="AQV58" s="0" t="s">
        <v>3061</v>
      </c>
    </row>
    <row r="59" customFormat="false" ht="15" hidden="false" customHeight="false" outlineLevel="0" collapsed="false">
      <c r="I59" s="0" t="s">
        <v>1465</v>
      </c>
      <c r="M59" s="0" t="s">
        <v>2267</v>
      </c>
      <c r="AP59" s="0" t="s">
        <v>2291</v>
      </c>
      <c r="AS59" s="0" t="s">
        <v>1520</v>
      </c>
      <c r="BW59" s="0" t="s">
        <v>5963</v>
      </c>
      <c r="FY59" s="0" t="s">
        <v>8109</v>
      </c>
      <c r="GE59" s="0" t="s">
        <v>7881</v>
      </c>
      <c r="GI59" s="0" t="s">
        <v>8920</v>
      </c>
      <c r="GN59" s="0" t="s">
        <v>7961</v>
      </c>
      <c r="HC59" s="0" t="s">
        <v>7862</v>
      </c>
      <c r="HI59" s="0" t="s">
        <v>7968</v>
      </c>
      <c r="HM59" s="0" t="s">
        <v>8099</v>
      </c>
      <c r="HQ59" s="0" t="s">
        <v>11442</v>
      </c>
      <c r="HZ59" s="0" t="s">
        <v>1560</v>
      </c>
      <c r="ID59" s="0" t="s">
        <v>1802</v>
      </c>
      <c r="JD59" s="0" t="s">
        <v>13585</v>
      </c>
      <c r="JN59" s="0" t="s">
        <v>11968</v>
      </c>
      <c r="JZ59" s="0" t="s">
        <v>2701</v>
      </c>
      <c r="KE59" s="0" t="s">
        <v>14647</v>
      </c>
      <c r="KP59" s="0" t="s">
        <v>14992</v>
      </c>
      <c r="KS59" s="0" t="s">
        <v>15349</v>
      </c>
      <c r="LY59" s="0" t="s">
        <v>15950</v>
      </c>
      <c r="MA59" s="0" t="s">
        <v>15517</v>
      </c>
      <c r="MJ59" s="0" t="s">
        <v>16298</v>
      </c>
      <c r="MO59" s="0" t="s">
        <v>16587</v>
      </c>
      <c r="MP59" s="0" t="s">
        <v>16832</v>
      </c>
      <c r="NA59" s="0" t="s">
        <v>17356</v>
      </c>
      <c r="NW59" s="0" t="s">
        <v>18101</v>
      </c>
      <c r="OH59" s="0" t="s">
        <v>18390</v>
      </c>
      <c r="OO59" s="0" t="s">
        <v>18661</v>
      </c>
      <c r="PD59" s="0" t="s">
        <v>19013</v>
      </c>
      <c r="SI59" s="0" t="s">
        <v>3317</v>
      </c>
      <c r="VH59" s="0" t="s">
        <v>21505</v>
      </c>
      <c r="ADO59" s="0" t="s">
        <v>1655</v>
      </c>
      <c r="AQV59" s="0" t="s">
        <v>11870</v>
      </c>
    </row>
    <row r="60" customFormat="false" ht="15" hidden="false" customHeight="false" outlineLevel="0" collapsed="false">
      <c r="I60" s="0" t="s">
        <v>1470</v>
      </c>
      <c r="M60" s="0" t="s">
        <v>2273</v>
      </c>
      <c r="AP60" s="0" t="s">
        <v>3766</v>
      </c>
      <c r="AS60" s="0" t="s">
        <v>4254</v>
      </c>
      <c r="BW60" s="0" t="s">
        <v>5987</v>
      </c>
      <c r="FY60" s="0" t="s">
        <v>8017</v>
      </c>
      <c r="GE60" s="0" t="s">
        <v>8270</v>
      </c>
      <c r="GI60" s="0" t="s">
        <v>8761</v>
      </c>
      <c r="GN60" s="0" t="s">
        <v>8342</v>
      </c>
      <c r="HC60" s="0" t="s">
        <v>7864</v>
      </c>
      <c r="HI60" s="0" t="s">
        <v>8379</v>
      </c>
      <c r="HM60" s="0" t="s">
        <v>8908</v>
      </c>
      <c r="HQ60" s="0" t="s">
        <v>11444</v>
      </c>
      <c r="HZ60" s="0" t="s">
        <v>1570</v>
      </c>
      <c r="ID60" s="0" t="s">
        <v>5513</v>
      </c>
      <c r="JN60" s="0" t="s">
        <v>2801</v>
      </c>
      <c r="JZ60" s="0" t="s">
        <v>2801</v>
      </c>
      <c r="KE60" s="0" t="s">
        <v>14649</v>
      </c>
      <c r="KP60" s="0" t="s">
        <v>14994</v>
      </c>
      <c r="KS60" s="0" t="s">
        <v>15346</v>
      </c>
      <c r="LY60" s="0" t="s">
        <v>15822</v>
      </c>
      <c r="MA60" s="0" t="s">
        <v>15520</v>
      </c>
      <c r="MJ60" s="0" t="s">
        <v>16300</v>
      </c>
      <c r="MO60" s="0" t="s">
        <v>16589</v>
      </c>
      <c r="MP60" s="0" t="s">
        <v>16834</v>
      </c>
      <c r="NA60" s="0" t="s">
        <v>17359</v>
      </c>
      <c r="NW60" s="0" t="s">
        <v>18103</v>
      </c>
      <c r="OH60" s="0" t="s">
        <v>18393</v>
      </c>
      <c r="OO60" s="0" t="s">
        <v>18655</v>
      </c>
      <c r="PD60" s="0" t="s">
        <v>18913</v>
      </c>
      <c r="SI60" s="0" t="s">
        <v>7061</v>
      </c>
      <c r="VH60" s="0" t="s">
        <v>21468</v>
      </c>
      <c r="ADO60" s="0" t="s">
        <v>1660</v>
      </c>
      <c r="AQV60" s="0" t="s">
        <v>3101</v>
      </c>
    </row>
    <row r="61" customFormat="false" ht="15" hidden="false" customHeight="false" outlineLevel="0" collapsed="false">
      <c r="I61" s="0" t="s">
        <v>1475</v>
      </c>
      <c r="M61" s="0" t="s">
        <v>2279</v>
      </c>
      <c r="AP61" s="0" t="s">
        <v>3771</v>
      </c>
      <c r="AS61" s="0" t="s">
        <v>1535</v>
      </c>
      <c r="BW61" s="0" t="s">
        <v>5995</v>
      </c>
      <c r="FY61" s="0" t="s">
        <v>8112</v>
      </c>
      <c r="GE61" s="0" t="s">
        <v>8623</v>
      </c>
      <c r="GI61" s="0" t="s">
        <v>8923</v>
      </c>
      <c r="GN61" s="0" t="s">
        <v>7872</v>
      </c>
      <c r="HC61" s="0" t="s">
        <v>7961</v>
      </c>
      <c r="HI61" s="0" t="s">
        <v>7966</v>
      </c>
      <c r="HM61" s="0" t="s">
        <v>7968</v>
      </c>
      <c r="HQ61" s="0" t="s">
        <v>11446</v>
      </c>
      <c r="HZ61" s="0" t="s">
        <v>1580</v>
      </c>
      <c r="ID61" s="0" t="s">
        <v>1881</v>
      </c>
      <c r="JN61" s="0" t="s">
        <v>2851</v>
      </c>
      <c r="JZ61" s="0" t="s">
        <v>2841</v>
      </c>
      <c r="KE61" s="0" t="s">
        <v>14652</v>
      </c>
      <c r="KP61" s="0" t="s">
        <v>14921</v>
      </c>
      <c r="KS61" s="0" t="s">
        <v>15353</v>
      </c>
      <c r="LY61" s="0" t="s">
        <v>15871</v>
      </c>
      <c r="MA61" s="0" t="s">
        <v>15523</v>
      </c>
      <c r="MJ61" s="0" t="s">
        <v>16302</v>
      </c>
      <c r="MO61" s="0" t="s">
        <v>16591</v>
      </c>
      <c r="MP61" s="0" t="s">
        <v>16836</v>
      </c>
      <c r="NA61" s="0" t="s">
        <v>17362</v>
      </c>
      <c r="NW61" s="0" t="s">
        <v>18105</v>
      </c>
      <c r="OH61" s="0" t="s">
        <v>18396</v>
      </c>
      <c r="OO61" s="0" t="s">
        <v>18657</v>
      </c>
      <c r="PD61" s="0" t="s">
        <v>19117</v>
      </c>
      <c r="SI61" s="0" t="s">
        <v>13774</v>
      </c>
      <c r="VH61" s="0" t="s">
        <v>21508</v>
      </c>
      <c r="ADO61" s="0" t="s">
        <v>1670</v>
      </c>
      <c r="AQV61" s="0" t="s">
        <v>3111</v>
      </c>
    </row>
    <row r="62" customFormat="false" ht="15" hidden="false" customHeight="false" outlineLevel="0" collapsed="false">
      <c r="I62" s="0" t="s">
        <v>1480</v>
      </c>
      <c r="M62" s="0" t="s">
        <v>2285</v>
      </c>
      <c r="AP62" s="0" t="s">
        <v>3776</v>
      </c>
      <c r="AS62" s="0" t="s">
        <v>4273</v>
      </c>
      <c r="FY62" s="0" t="s">
        <v>8114</v>
      </c>
      <c r="GE62" s="0" t="s">
        <v>7989</v>
      </c>
      <c r="GI62" s="0" t="s">
        <v>8763</v>
      </c>
      <c r="GN62" s="0" t="s">
        <v>8349</v>
      </c>
      <c r="HC62" s="0" t="s">
        <v>7872</v>
      </c>
      <c r="HI62" s="0" t="s">
        <v>7866</v>
      </c>
      <c r="HM62" s="0" t="s">
        <v>8379</v>
      </c>
      <c r="HZ62" s="0" t="s">
        <v>4330</v>
      </c>
      <c r="ID62" s="0" t="s">
        <v>1902</v>
      </c>
      <c r="JN62" s="0" t="s">
        <v>2901</v>
      </c>
      <c r="JZ62" s="0" t="s">
        <v>2851</v>
      </c>
      <c r="KE62" s="0" t="s">
        <v>14655</v>
      </c>
      <c r="KP62" s="0" t="s">
        <v>14923</v>
      </c>
      <c r="KS62" s="0" t="s">
        <v>15351</v>
      </c>
      <c r="LY62" s="0" t="s">
        <v>15974</v>
      </c>
      <c r="MA62" s="0" t="s">
        <v>15930</v>
      </c>
      <c r="MJ62" s="0" t="s">
        <v>16304</v>
      </c>
      <c r="MO62" s="0" t="s">
        <v>16593</v>
      </c>
      <c r="MP62" s="0" t="s">
        <v>16838</v>
      </c>
      <c r="NA62" s="0" t="s">
        <v>17323</v>
      </c>
      <c r="NW62" s="0" t="s">
        <v>18107</v>
      </c>
      <c r="OH62" s="0" t="s">
        <v>18399</v>
      </c>
      <c r="OO62" s="0" t="s">
        <v>18671</v>
      </c>
      <c r="PD62" s="0" t="s">
        <v>18915</v>
      </c>
      <c r="SI62" s="0" t="s">
        <v>6768</v>
      </c>
      <c r="VH62" s="0" t="s">
        <v>21471</v>
      </c>
      <c r="ADO62" s="0" t="s">
        <v>1685</v>
      </c>
      <c r="AQV62" s="0" t="s">
        <v>12306</v>
      </c>
    </row>
    <row r="63" customFormat="false" ht="15" hidden="false" customHeight="false" outlineLevel="0" collapsed="false">
      <c r="I63" s="0" t="s">
        <v>1485</v>
      </c>
      <c r="M63" s="0" t="s">
        <v>2291</v>
      </c>
      <c r="AP63" s="0" t="s">
        <v>3781</v>
      </c>
      <c r="AS63" s="0" t="s">
        <v>1550</v>
      </c>
      <c r="FY63" s="0" t="s">
        <v>8148</v>
      </c>
      <c r="GE63" s="0" t="s">
        <v>8626</v>
      </c>
      <c r="GI63" s="0" t="s">
        <v>7860</v>
      </c>
      <c r="GN63" s="0" t="s">
        <v>7895</v>
      </c>
      <c r="HC63" s="0" t="s">
        <v>8349</v>
      </c>
      <c r="HI63" s="0" t="s">
        <v>8396</v>
      </c>
      <c r="HM63" s="0" t="s">
        <v>7966</v>
      </c>
      <c r="HZ63" s="0" t="s">
        <v>1595</v>
      </c>
      <c r="ID63" s="0" t="s">
        <v>1924</v>
      </c>
      <c r="JN63" s="0" t="s">
        <v>883</v>
      </c>
      <c r="JZ63" s="0" t="s">
        <v>2901</v>
      </c>
      <c r="KP63" s="0" t="s">
        <v>14926</v>
      </c>
      <c r="KS63" s="0" t="s">
        <v>15357</v>
      </c>
      <c r="LY63" s="0" t="s">
        <v>15976</v>
      </c>
      <c r="MA63" s="0" t="s">
        <v>15827</v>
      </c>
      <c r="MJ63" s="0" t="s">
        <v>16306</v>
      </c>
      <c r="MO63" s="0" t="s">
        <v>16595</v>
      </c>
      <c r="MP63" s="0" t="s">
        <v>16840</v>
      </c>
      <c r="NA63" s="0" t="s">
        <v>17326</v>
      </c>
      <c r="NW63" s="0" t="s">
        <v>18109</v>
      </c>
      <c r="OH63" s="0" t="s">
        <v>18402</v>
      </c>
      <c r="OO63" s="0" t="s">
        <v>18673</v>
      </c>
      <c r="PD63" s="0" t="s">
        <v>19119</v>
      </c>
      <c r="SI63" s="0" t="s">
        <v>14008</v>
      </c>
      <c r="VH63" s="0" t="s">
        <v>21510</v>
      </c>
      <c r="ADO63" s="0" t="s">
        <v>5058</v>
      </c>
      <c r="AQV63" s="0" t="s">
        <v>3151</v>
      </c>
    </row>
    <row r="64" customFormat="false" ht="15" hidden="false" customHeight="false" outlineLevel="0" collapsed="false">
      <c r="I64" s="0" t="s">
        <v>1490</v>
      </c>
      <c r="M64" s="0" t="s">
        <v>2297</v>
      </c>
      <c r="AP64" s="0" t="s">
        <v>3786</v>
      </c>
      <c r="AS64" s="0" t="s">
        <v>4292</v>
      </c>
      <c r="FY64" s="0" t="s">
        <v>8022</v>
      </c>
      <c r="GE64" s="0" t="s">
        <v>8888</v>
      </c>
      <c r="GI64" s="0" t="s">
        <v>8310</v>
      </c>
      <c r="GN64" s="0" t="s">
        <v>8329</v>
      </c>
      <c r="HC64" s="0" t="s">
        <v>10648</v>
      </c>
      <c r="HI64" s="0" t="s">
        <v>8117</v>
      </c>
      <c r="HM64" s="0" t="s">
        <v>7866</v>
      </c>
      <c r="HZ64" s="0" t="s">
        <v>4975</v>
      </c>
      <c r="JN64" s="0" t="s">
        <v>3892</v>
      </c>
      <c r="JZ64" s="0" t="s">
        <v>3881</v>
      </c>
      <c r="KP64" s="0" t="s">
        <v>14928</v>
      </c>
      <c r="KS64" s="0" t="s">
        <v>15355</v>
      </c>
      <c r="LY64" s="0" t="s">
        <v>15978</v>
      </c>
      <c r="MJ64" s="0" t="s">
        <v>16308</v>
      </c>
      <c r="MO64" s="0" t="s">
        <v>16597</v>
      </c>
      <c r="MP64" s="0" t="s">
        <v>16842</v>
      </c>
      <c r="NA64" s="0" t="s">
        <v>17328</v>
      </c>
      <c r="NW64" s="0" t="s">
        <v>18111</v>
      </c>
      <c r="OH64" s="0" t="s">
        <v>18405</v>
      </c>
      <c r="OO64" s="0" t="s">
        <v>18675</v>
      </c>
      <c r="PD64" s="0" t="s">
        <v>19121</v>
      </c>
      <c r="SI64" s="0" t="s">
        <v>784</v>
      </c>
      <c r="VH64" s="0" t="s">
        <v>21473</v>
      </c>
      <c r="ADO64" s="0" t="s">
        <v>1982</v>
      </c>
      <c r="AQV64" s="0" t="s">
        <v>2600</v>
      </c>
    </row>
    <row r="65" customFormat="false" ht="15" hidden="false" customHeight="false" outlineLevel="0" collapsed="false">
      <c r="I65" s="0" t="s">
        <v>1495</v>
      </c>
      <c r="M65" s="0" t="s">
        <v>2303</v>
      </c>
      <c r="AP65" s="0" t="s">
        <v>3791</v>
      </c>
      <c r="AS65" s="0" t="s">
        <v>1565</v>
      </c>
      <c r="FY65" s="0" t="s">
        <v>8119</v>
      </c>
      <c r="GE65" s="0" t="s">
        <v>8050</v>
      </c>
      <c r="GI65" s="0" t="s">
        <v>7893</v>
      </c>
      <c r="GN65" s="0" t="s">
        <v>7860</v>
      </c>
      <c r="HC65" s="0" t="s">
        <v>7895</v>
      </c>
      <c r="HI65" s="0" t="s">
        <v>8679</v>
      </c>
      <c r="HM65" s="0" t="s">
        <v>8396</v>
      </c>
      <c r="HZ65" s="0" t="s">
        <v>1615</v>
      </c>
      <c r="JN65" s="0" t="s">
        <v>6497</v>
      </c>
      <c r="JZ65" s="0" t="s">
        <v>883</v>
      </c>
      <c r="KP65" s="0" t="s">
        <v>14931</v>
      </c>
      <c r="KS65" s="0" t="s">
        <v>15361</v>
      </c>
      <c r="LY65" s="0" t="s">
        <v>15980</v>
      </c>
      <c r="MJ65" s="0" t="s">
        <v>16310</v>
      </c>
      <c r="MO65" s="0" t="s">
        <v>16601</v>
      </c>
      <c r="MP65" s="0" t="s">
        <v>16862</v>
      </c>
      <c r="NA65" s="0" t="s">
        <v>17331</v>
      </c>
      <c r="OH65" s="0" t="s">
        <v>18408</v>
      </c>
      <c r="OO65" s="0" t="s">
        <v>18677</v>
      </c>
      <c r="PD65" s="0" t="s">
        <v>19064</v>
      </c>
      <c r="SI65" s="0" t="s">
        <v>6246</v>
      </c>
      <c r="VH65" s="0" t="s">
        <v>21492</v>
      </c>
      <c r="ADO65" s="0" t="s">
        <v>2002</v>
      </c>
      <c r="AQV65" s="0" t="s">
        <v>12096</v>
      </c>
    </row>
    <row r="66" customFormat="false" ht="15" hidden="false" customHeight="false" outlineLevel="0" collapsed="false">
      <c r="I66" s="0" t="s">
        <v>1500</v>
      </c>
      <c r="M66" s="0" t="s">
        <v>2309</v>
      </c>
      <c r="AP66" s="0" t="s">
        <v>2339</v>
      </c>
      <c r="AS66" s="0" t="s">
        <v>4311</v>
      </c>
      <c r="FY66" s="0" t="s">
        <v>7977</v>
      </c>
      <c r="GE66" s="0" t="s">
        <v>8891</v>
      </c>
      <c r="GI66" s="0" t="s">
        <v>8320</v>
      </c>
      <c r="GN66" s="0" t="s">
        <v>9874</v>
      </c>
      <c r="HC66" s="0" t="s">
        <v>8646</v>
      </c>
      <c r="HI66" s="0" t="s">
        <v>7899</v>
      </c>
      <c r="HM66" s="0" t="s">
        <v>7899</v>
      </c>
      <c r="HZ66" s="0" t="s">
        <v>1635</v>
      </c>
      <c r="JN66" s="0" t="s">
        <v>916</v>
      </c>
      <c r="JZ66" s="0" t="s">
        <v>1048</v>
      </c>
      <c r="KP66" s="0" t="s">
        <v>14933</v>
      </c>
      <c r="KS66" s="0" t="s">
        <v>15359</v>
      </c>
      <c r="LY66" s="0" t="s">
        <v>15982</v>
      </c>
      <c r="MJ66" s="0" t="s">
        <v>16312</v>
      </c>
      <c r="MO66" s="0" t="s">
        <v>16691</v>
      </c>
      <c r="MP66" s="0" t="s">
        <v>16848</v>
      </c>
      <c r="NA66" s="0" t="s">
        <v>17333</v>
      </c>
      <c r="OH66" s="0" t="s">
        <v>18411</v>
      </c>
      <c r="OO66" s="0" t="s">
        <v>18663</v>
      </c>
      <c r="PD66" s="0" t="s">
        <v>18917</v>
      </c>
      <c r="VH66" s="0" t="s">
        <v>21512</v>
      </c>
      <c r="ADO66" s="0" t="s">
        <v>3366</v>
      </c>
      <c r="AQV66" s="0" t="s">
        <v>2641</v>
      </c>
    </row>
    <row r="67" customFormat="false" ht="15" hidden="false" customHeight="false" outlineLevel="0" collapsed="false">
      <c r="I67" s="0" t="s">
        <v>1505</v>
      </c>
      <c r="M67" s="0" t="s">
        <v>2315</v>
      </c>
      <c r="AP67" s="0" t="s">
        <v>2345</v>
      </c>
      <c r="AS67" s="0" t="s">
        <v>1580</v>
      </c>
      <c r="FY67" s="0" t="s">
        <v>8020</v>
      </c>
      <c r="GE67" s="0" t="s">
        <v>8094</v>
      </c>
      <c r="GI67" s="0" t="s">
        <v>7956</v>
      </c>
      <c r="GN67" s="0" t="s">
        <v>8310</v>
      </c>
      <c r="HC67" s="0" t="s">
        <v>8035</v>
      </c>
      <c r="HI67" s="0" t="s">
        <v>8672</v>
      </c>
      <c r="HM67" s="0" t="s">
        <v>7994</v>
      </c>
      <c r="HZ67" s="0" t="s">
        <v>1655</v>
      </c>
      <c r="JN67" s="0" t="s">
        <v>3903</v>
      </c>
      <c r="JZ67" s="0" t="s">
        <v>3947</v>
      </c>
      <c r="KP67" s="0" t="s">
        <v>14936</v>
      </c>
      <c r="KS67" s="0" t="s">
        <v>15363</v>
      </c>
      <c r="LY67" s="0" t="s">
        <v>15984</v>
      </c>
      <c r="MJ67" s="0" t="s">
        <v>14976</v>
      </c>
      <c r="MO67" s="0" t="s">
        <v>16693</v>
      </c>
      <c r="MP67" s="0" t="s">
        <v>16850</v>
      </c>
      <c r="NA67" s="0" t="s">
        <v>17336</v>
      </c>
      <c r="OH67" s="0" t="s">
        <v>18414</v>
      </c>
      <c r="OO67" s="0" t="s">
        <v>18665</v>
      </c>
      <c r="PD67" s="0" t="s">
        <v>18919</v>
      </c>
      <c r="VH67" s="0" t="s">
        <v>21475</v>
      </c>
      <c r="ADO67" s="0" t="s">
        <v>2017</v>
      </c>
      <c r="AQV67" s="0" t="s">
        <v>2651</v>
      </c>
    </row>
    <row r="68" customFormat="false" ht="15" hidden="false" customHeight="false" outlineLevel="0" collapsed="false">
      <c r="I68" s="0" t="s">
        <v>1510</v>
      </c>
      <c r="M68" s="0" t="s">
        <v>2321</v>
      </c>
      <c r="AP68" s="0" t="s">
        <v>3804</v>
      </c>
      <c r="AS68" s="0" t="s">
        <v>4330</v>
      </c>
      <c r="FY68" s="0" t="s">
        <v>7875</v>
      </c>
      <c r="GE68" s="0" t="s">
        <v>7862</v>
      </c>
      <c r="GI68" s="0" t="s">
        <v>7891</v>
      </c>
      <c r="GN68" s="0" t="s">
        <v>8313</v>
      </c>
      <c r="HC68" s="0" t="s">
        <v>7860</v>
      </c>
      <c r="HI68" s="0" t="s">
        <v>7994</v>
      </c>
      <c r="HM68" s="0" t="s">
        <v>8017</v>
      </c>
      <c r="HZ68" s="0" t="s">
        <v>5025</v>
      </c>
      <c r="JN68" s="0" t="s">
        <v>938</v>
      </c>
      <c r="JZ68" s="0" t="s">
        <v>1158</v>
      </c>
      <c r="KP68" s="0" t="s">
        <v>14938</v>
      </c>
      <c r="KS68" s="0" t="s">
        <v>15365</v>
      </c>
      <c r="LY68" s="0" t="s">
        <v>15986</v>
      </c>
      <c r="MJ68" s="0" t="s">
        <v>16315</v>
      </c>
      <c r="MO68" s="0" t="s">
        <v>16695</v>
      </c>
      <c r="MP68" s="0" t="s">
        <v>16852</v>
      </c>
      <c r="NA68" s="0" t="s">
        <v>17338</v>
      </c>
      <c r="OH68" s="0" t="s">
        <v>18417</v>
      </c>
      <c r="OO68" s="0" t="s">
        <v>18667</v>
      </c>
      <c r="PD68" s="0" t="s">
        <v>13253</v>
      </c>
      <c r="VH68" s="0" t="s">
        <v>9183</v>
      </c>
      <c r="ADO68" s="0" t="s">
        <v>3390</v>
      </c>
      <c r="AQV68" s="0" t="s">
        <v>25804</v>
      </c>
    </row>
    <row r="69" customFormat="false" ht="15" hidden="false" customHeight="false" outlineLevel="0" collapsed="false">
      <c r="I69" s="0" t="s">
        <v>1515</v>
      </c>
      <c r="M69" s="0" t="s">
        <v>2327</v>
      </c>
      <c r="AP69" s="0" t="s">
        <v>3809</v>
      </c>
      <c r="AS69" s="0" t="s">
        <v>1595</v>
      </c>
      <c r="FY69" s="0" t="s">
        <v>7999</v>
      </c>
      <c r="GE69" s="0" t="s">
        <v>7864</v>
      </c>
      <c r="GI69" s="0" t="s">
        <v>8636</v>
      </c>
      <c r="GN69" s="0" t="s">
        <v>7893</v>
      </c>
      <c r="HC69" s="0" t="s">
        <v>8310</v>
      </c>
      <c r="HI69" s="0" t="s">
        <v>8109</v>
      </c>
      <c r="HM69" s="0" t="s">
        <v>8114</v>
      </c>
      <c r="HZ69" s="0" t="s">
        <v>1670</v>
      </c>
      <c r="JN69" s="0" t="s">
        <v>993</v>
      </c>
      <c r="JZ69" s="0" t="s">
        <v>3991</v>
      </c>
      <c r="KP69" s="0" t="s">
        <v>14941</v>
      </c>
      <c r="KS69" s="0" t="s">
        <v>15367</v>
      </c>
      <c r="LY69" s="0" t="s">
        <v>15990</v>
      </c>
      <c r="MJ69" s="0" t="s">
        <v>16317</v>
      </c>
      <c r="MO69" s="0" t="s">
        <v>16673</v>
      </c>
      <c r="MP69" s="0" t="s">
        <v>16854</v>
      </c>
      <c r="NA69" s="0" t="s">
        <v>17341</v>
      </c>
      <c r="OH69" s="0" t="s">
        <v>18420</v>
      </c>
      <c r="OO69" s="0" t="s">
        <v>18669</v>
      </c>
      <c r="PD69" s="0" t="s">
        <v>18922</v>
      </c>
      <c r="VH69" s="0" t="s">
        <v>9207</v>
      </c>
      <c r="ADO69" s="0" t="s">
        <v>5128</v>
      </c>
      <c r="AQV69" s="0" t="s">
        <v>2701</v>
      </c>
    </row>
    <row r="70" customFormat="false" ht="15" hidden="false" customHeight="false" outlineLevel="0" collapsed="false">
      <c r="I70" s="0" t="s">
        <v>1520</v>
      </c>
      <c r="M70" s="0" t="s">
        <v>2333</v>
      </c>
      <c r="AS70" s="0" t="s">
        <v>4349</v>
      </c>
      <c r="FY70" s="0" t="s">
        <v>8058</v>
      </c>
      <c r="GE70" s="0" t="s">
        <v>7961</v>
      </c>
      <c r="GI70" s="0" t="s">
        <v>7992</v>
      </c>
      <c r="GN70" s="0" t="s">
        <v>8320</v>
      </c>
      <c r="HC70" s="0" t="s">
        <v>7893</v>
      </c>
      <c r="HI70" s="0" t="s">
        <v>8017</v>
      </c>
      <c r="HM70" s="0" t="s">
        <v>8401</v>
      </c>
      <c r="HZ70" s="0" t="s">
        <v>4482</v>
      </c>
      <c r="JN70" s="0" t="s">
        <v>1048</v>
      </c>
      <c r="JZ70" s="0" t="s">
        <v>1213</v>
      </c>
      <c r="KP70" s="0" t="s">
        <v>14943</v>
      </c>
      <c r="LY70" s="0" t="s">
        <v>15992</v>
      </c>
      <c r="MJ70" s="0" t="s">
        <v>16319</v>
      </c>
      <c r="MO70" s="0" t="s">
        <v>16675</v>
      </c>
      <c r="MP70" s="0" t="s">
        <v>16856</v>
      </c>
      <c r="NA70" s="0" t="s">
        <v>17343</v>
      </c>
      <c r="OH70" s="0" t="s">
        <v>18423</v>
      </c>
      <c r="OO70" s="0" t="s">
        <v>18683</v>
      </c>
      <c r="PD70" s="0" t="s">
        <v>19184</v>
      </c>
      <c r="VH70" s="0" t="s">
        <v>21358</v>
      </c>
      <c r="ADO70" s="0" t="s">
        <v>2022</v>
      </c>
      <c r="AQV70" s="0" t="s">
        <v>11968</v>
      </c>
    </row>
    <row r="71" customFormat="false" ht="15" hidden="false" customHeight="false" outlineLevel="0" collapsed="false">
      <c r="I71" s="0" t="s">
        <v>1525</v>
      </c>
      <c r="M71" s="0" t="s">
        <v>2339</v>
      </c>
      <c r="AS71" s="0" t="s">
        <v>1605</v>
      </c>
      <c r="FY71" s="0" t="s">
        <v>8060</v>
      </c>
      <c r="GE71" s="0" t="s">
        <v>8342</v>
      </c>
      <c r="GI71" s="0" t="s">
        <v>8099</v>
      </c>
      <c r="GN71" s="0" t="s">
        <v>7891</v>
      </c>
      <c r="HC71" s="0" t="s">
        <v>8320</v>
      </c>
      <c r="HI71" s="0" t="s">
        <v>8112</v>
      </c>
      <c r="HM71" s="0" t="s">
        <v>8020</v>
      </c>
      <c r="HZ71" s="0" t="s">
        <v>1685</v>
      </c>
      <c r="JN71" s="0" t="s">
        <v>4793</v>
      </c>
      <c r="JZ71" s="0" t="s">
        <v>1268</v>
      </c>
      <c r="KP71" s="0" t="s">
        <v>14947</v>
      </c>
      <c r="LY71" s="0" t="s">
        <v>15994</v>
      </c>
      <c r="MJ71" s="0" t="s">
        <v>16321</v>
      </c>
      <c r="MO71" s="0" t="s">
        <v>16677</v>
      </c>
      <c r="MP71" s="0" t="s">
        <v>16858</v>
      </c>
      <c r="NA71" s="0" t="s">
        <v>17346</v>
      </c>
      <c r="OH71" s="0" t="s">
        <v>18426</v>
      </c>
      <c r="OO71" s="0" t="s">
        <v>18685</v>
      </c>
      <c r="PD71" s="0" t="s">
        <v>18924</v>
      </c>
      <c r="VH71" s="0" t="s">
        <v>21408</v>
      </c>
      <c r="ADO71" s="0" t="s">
        <v>2032</v>
      </c>
      <c r="AQV71" s="0" t="s">
        <v>2751</v>
      </c>
    </row>
    <row r="72" customFormat="false" ht="15" hidden="false" customHeight="false" outlineLevel="0" collapsed="false">
      <c r="I72" s="0" t="s">
        <v>1530</v>
      </c>
      <c r="M72" s="0" t="s">
        <v>2345</v>
      </c>
      <c r="AS72" s="0" t="s">
        <v>4368</v>
      </c>
      <c r="FY72" s="0" t="s">
        <v>8152</v>
      </c>
      <c r="GE72" s="0" t="s">
        <v>7872</v>
      </c>
      <c r="GI72" s="0" t="s">
        <v>8905</v>
      </c>
      <c r="GN72" s="0" t="s">
        <v>8303</v>
      </c>
      <c r="HC72" s="0" t="s">
        <v>10634</v>
      </c>
      <c r="HI72" s="0" t="s">
        <v>8114</v>
      </c>
      <c r="HM72" s="0" t="s">
        <v>7875</v>
      </c>
      <c r="HZ72" s="0" t="s">
        <v>1690</v>
      </c>
      <c r="JN72" s="0" t="s">
        <v>1158</v>
      </c>
      <c r="JZ72" s="0" t="s">
        <v>1323</v>
      </c>
      <c r="KP72" s="0" t="s">
        <v>14949</v>
      </c>
      <c r="LY72" s="0" t="s">
        <v>15998</v>
      </c>
      <c r="MJ72" s="0" t="s">
        <v>16323</v>
      </c>
      <c r="MO72" s="0" t="s">
        <v>16679</v>
      </c>
      <c r="MP72" s="0" t="s">
        <v>16860</v>
      </c>
      <c r="NA72" s="0" t="s">
        <v>17348</v>
      </c>
      <c r="OH72" s="0" t="s">
        <v>18509</v>
      </c>
      <c r="OO72" s="0" t="s">
        <v>18679</v>
      </c>
      <c r="PD72" s="0" t="s">
        <v>19123</v>
      </c>
      <c r="VH72" s="0" t="s">
        <v>21495</v>
      </c>
      <c r="ADO72" s="0" t="s">
        <v>2037</v>
      </c>
      <c r="AQV72" s="0" t="s">
        <v>12223</v>
      </c>
    </row>
    <row r="73" customFormat="false" ht="15" hidden="false" customHeight="false" outlineLevel="0" collapsed="false">
      <c r="I73" s="0" t="s">
        <v>1535</v>
      </c>
      <c r="M73" s="0" t="s">
        <v>2351</v>
      </c>
      <c r="AS73" s="0" t="s">
        <v>1620</v>
      </c>
      <c r="FY73" s="0" t="s">
        <v>8062</v>
      </c>
      <c r="GE73" s="0" t="s">
        <v>8349</v>
      </c>
      <c r="GI73" s="0" t="s">
        <v>8750</v>
      </c>
      <c r="GN73" s="0" t="s">
        <v>9877</v>
      </c>
      <c r="HC73" s="0" t="s">
        <v>7891</v>
      </c>
      <c r="HI73" s="0" t="s">
        <v>8409</v>
      </c>
      <c r="HM73" s="0" t="s">
        <v>8580</v>
      </c>
      <c r="HZ73" s="0" t="s">
        <v>5058</v>
      </c>
      <c r="JN73" s="0" t="s">
        <v>1169</v>
      </c>
      <c r="JZ73" s="0" t="s">
        <v>1356</v>
      </c>
      <c r="KP73" s="0" t="s">
        <v>14955</v>
      </c>
      <c r="LY73" s="0" t="s">
        <v>16000</v>
      </c>
      <c r="MJ73" s="0" t="s">
        <v>16325</v>
      </c>
      <c r="MO73" s="0" t="s">
        <v>16681</v>
      </c>
      <c r="MP73" s="0" t="s">
        <v>16864</v>
      </c>
      <c r="NA73" s="0" t="s">
        <v>17351</v>
      </c>
      <c r="OH73" s="0" t="s">
        <v>18512</v>
      </c>
      <c r="OO73" s="0" t="s">
        <v>18681</v>
      </c>
      <c r="PD73" s="0" t="s">
        <v>18926</v>
      </c>
      <c r="VH73" s="0" t="s">
        <v>21497</v>
      </c>
      <c r="ADO73" s="0" t="s">
        <v>25218</v>
      </c>
      <c r="AQV73" s="0" t="s">
        <v>2801</v>
      </c>
    </row>
    <row r="74" customFormat="false" ht="15" hidden="false" customHeight="false" outlineLevel="0" collapsed="false">
      <c r="I74" s="0" t="s">
        <v>1540</v>
      </c>
      <c r="M74" s="0" t="s">
        <v>2357</v>
      </c>
      <c r="AS74" s="0" t="s">
        <v>4387</v>
      </c>
      <c r="FY74" s="0" t="s">
        <v>8064</v>
      </c>
      <c r="GE74" s="0" t="s">
        <v>7964</v>
      </c>
      <c r="GI74" s="0" t="s">
        <v>8908</v>
      </c>
      <c r="GN74" s="0" t="s">
        <v>8010</v>
      </c>
      <c r="HC74" s="0" t="s">
        <v>8636</v>
      </c>
      <c r="HI74" s="0" t="s">
        <v>8401</v>
      </c>
      <c r="HM74" s="0" t="s">
        <v>7999</v>
      </c>
      <c r="HZ74" s="0" t="s">
        <v>1982</v>
      </c>
      <c r="JN74" s="0" t="s">
        <v>1213</v>
      </c>
      <c r="JZ74" s="0" t="s">
        <v>1378</v>
      </c>
      <c r="KP74" s="0" t="s">
        <v>14957</v>
      </c>
      <c r="LY74" s="0" t="s">
        <v>15972</v>
      </c>
      <c r="MJ74" s="0" t="s">
        <v>14982</v>
      </c>
      <c r="MO74" s="0" t="s">
        <v>16683</v>
      </c>
      <c r="MP74" s="0" t="s">
        <v>16866</v>
      </c>
      <c r="NA74" s="0" t="s">
        <v>17409</v>
      </c>
      <c r="OH74" s="0" t="s">
        <v>18149</v>
      </c>
      <c r="PD74" s="0" t="s">
        <v>19016</v>
      </c>
      <c r="VH74" s="0" t="s">
        <v>21410</v>
      </c>
      <c r="ADO74" s="0" t="s">
        <v>3444</v>
      </c>
      <c r="AQV74" s="0" t="s">
        <v>12101</v>
      </c>
    </row>
    <row r="75" customFormat="false" ht="15" hidden="false" customHeight="false" outlineLevel="0" collapsed="false">
      <c r="I75" s="0" t="s">
        <v>1545</v>
      </c>
      <c r="M75" s="0" t="s">
        <v>2363</v>
      </c>
      <c r="AS75" s="0" t="s">
        <v>1630</v>
      </c>
      <c r="FY75" s="0" t="s">
        <v>8066</v>
      </c>
      <c r="GE75" s="0" t="s">
        <v>7895</v>
      </c>
      <c r="GI75" s="0" t="s">
        <v>8101</v>
      </c>
      <c r="GN75" s="0" t="s">
        <v>7968</v>
      </c>
      <c r="HC75" s="0" t="s">
        <v>7992</v>
      </c>
      <c r="HI75" s="0" t="s">
        <v>8119</v>
      </c>
      <c r="HM75" s="0" t="s">
        <v>8060</v>
      </c>
      <c r="HZ75" s="0" t="s">
        <v>2002</v>
      </c>
      <c r="JN75" s="0" t="s">
        <v>4826</v>
      </c>
      <c r="JZ75" s="0" t="s">
        <v>1433</v>
      </c>
      <c r="KP75" s="0" t="s">
        <v>14961</v>
      </c>
      <c r="LY75" s="0" t="s">
        <v>15988</v>
      </c>
      <c r="MJ75" s="0" t="s">
        <v>16328</v>
      </c>
      <c r="MO75" s="0" t="s">
        <v>16685</v>
      </c>
      <c r="MP75" s="0" t="s">
        <v>16898</v>
      </c>
      <c r="NA75" s="0" t="s">
        <v>17364</v>
      </c>
      <c r="OH75" s="0" t="s">
        <v>18519</v>
      </c>
      <c r="PD75" s="0" t="s">
        <v>18928</v>
      </c>
      <c r="VH75" s="0" t="s">
        <v>21549</v>
      </c>
      <c r="ADO75" s="0" t="s">
        <v>2052</v>
      </c>
      <c r="AQV75" s="0" t="s">
        <v>2851</v>
      </c>
    </row>
    <row r="76" customFormat="false" ht="15" hidden="false" customHeight="false" outlineLevel="0" collapsed="false">
      <c r="I76" s="0" t="s">
        <v>1550</v>
      </c>
      <c r="M76" s="0" t="s">
        <v>2369</v>
      </c>
      <c r="AS76" s="0" t="s">
        <v>4406</v>
      </c>
      <c r="FY76" s="0" t="s">
        <v>8133</v>
      </c>
      <c r="GE76" s="0" t="s">
        <v>8329</v>
      </c>
      <c r="GI76" s="0" t="s">
        <v>7968</v>
      </c>
      <c r="GN76" s="0" t="s">
        <v>8376</v>
      </c>
      <c r="HC76" s="0" t="s">
        <v>8099</v>
      </c>
      <c r="HI76" s="0" t="s">
        <v>8681</v>
      </c>
      <c r="HM76" s="0" t="s">
        <v>8152</v>
      </c>
      <c r="HZ76" s="0" t="s">
        <v>2022</v>
      </c>
      <c r="JN76" s="0" t="s">
        <v>1268</v>
      </c>
      <c r="JZ76" s="0" t="s">
        <v>1470</v>
      </c>
      <c r="KP76" s="0" t="s">
        <v>14963</v>
      </c>
      <c r="LY76" s="0" t="s">
        <v>15996</v>
      </c>
      <c r="MJ76" s="0" t="s">
        <v>16330</v>
      </c>
      <c r="MO76" s="0" t="s">
        <v>16687</v>
      </c>
      <c r="MP76" s="0" t="s">
        <v>16868</v>
      </c>
      <c r="NA76" s="0" t="s">
        <v>17367</v>
      </c>
      <c r="OH76" s="0" t="s">
        <v>18522</v>
      </c>
      <c r="PD76" s="0" t="s">
        <v>18930</v>
      </c>
      <c r="VH76" s="0" t="s">
        <v>21412</v>
      </c>
      <c r="ADO76" s="0" t="s">
        <v>3459</v>
      </c>
      <c r="AQV76" s="0" t="s">
        <v>12736</v>
      </c>
    </row>
    <row r="77" customFormat="false" ht="15" hidden="false" customHeight="false" outlineLevel="0" collapsed="false">
      <c r="I77" s="0" t="s">
        <v>1555</v>
      </c>
      <c r="M77" s="0" t="s">
        <v>2375</v>
      </c>
      <c r="AS77" s="0" t="s">
        <v>1640</v>
      </c>
      <c r="FY77" s="0" t="s">
        <v>7985</v>
      </c>
      <c r="GE77" s="0" t="s">
        <v>8646</v>
      </c>
      <c r="GI77" s="0" t="s">
        <v>8379</v>
      </c>
      <c r="GN77" s="0" t="s">
        <v>8379</v>
      </c>
      <c r="HC77" s="0" t="s">
        <v>7968</v>
      </c>
      <c r="HI77" s="0" t="s">
        <v>10682</v>
      </c>
      <c r="HM77" s="0" t="s">
        <v>7985</v>
      </c>
      <c r="HZ77" s="0" t="s">
        <v>5153</v>
      </c>
      <c r="JN77" s="0" t="s">
        <v>6278</v>
      </c>
      <c r="JZ77" s="0" t="s">
        <v>4908</v>
      </c>
      <c r="KP77" s="0" t="s">
        <v>14967</v>
      </c>
      <c r="LY77" s="0" t="s">
        <v>16016</v>
      </c>
      <c r="MJ77" s="0" t="s">
        <v>16332</v>
      </c>
      <c r="MO77" s="0" t="s">
        <v>16689</v>
      </c>
      <c r="MP77" s="0" t="s">
        <v>16870</v>
      </c>
      <c r="NA77" s="0" t="s">
        <v>17370</v>
      </c>
      <c r="OH77" s="0" t="s">
        <v>18445</v>
      </c>
      <c r="PD77" s="0" t="s">
        <v>18932</v>
      </c>
      <c r="VH77" s="0" t="s">
        <v>21414</v>
      </c>
      <c r="ADO77" s="0" t="s">
        <v>12271</v>
      </c>
      <c r="AQV77" s="0" t="s">
        <v>2901</v>
      </c>
    </row>
    <row r="78" customFormat="false" ht="15" hidden="false" customHeight="false" outlineLevel="0" collapsed="false">
      <c r="I78" s="0" t="s">
        <v>1560</v>
      </c>
      <c r="M78" s="0" t="s">
        <v>2380</v>
      </c>
      <c r="AS78" s="0" t="s">
        <v>4425</v>
      </c>
      <c r="FY78" s="0" t="s">
        <v>8075</v>
      </c>
      <c r="GE78" s="0" t="s">
        <v>8035</v>
      </c>
      <c r="GI78" s="0" t="s">
        <v>8382</v>
      </c>
      <c r="GN78" s="0" t="s">
        <v>8382</v>
      </c>
      <c r="HC78" s="0" t="s">
        <v>8379</v>
      </c>
      <c r="HI78" s="0" t="s">
        <v>10677</v>
      </c>
      <c r="HM78" s="0" t="s">
        <v>8077</v>
      </c>
      <c r="HZ78" s="0" t="s">
        <v>2052</v>
      </c>
      <c r="JN78" s="0" t="s">
        <v>1323</v>
      </c>
      <c r="JZ78" s="0" t="s">
        <v>1520</v>
      </c>
      <c r="KP78" s="0" t="s">
        <v>14975</v>
      </c>
      <c r="LY78" s="0" t="s">
        <v>16019</v>
      </c>
      <c r="MJ78" s="0" t="s">
        <v>16334</v>
      </c>
      <c r="MO78" s="0" t="s">
        <v>16717</v>
      </c>
      <c r="MP78" s="0" t="s">
        <v>16872</v>
      </c>
      <c r="NA78" s="0" t="s">
        <v>17372</v>
      </c>
      <c r="OH78" s="0" t="s">
        <v>18448</v>
      </c>
      <c r="PD78" s="0" t="s">
        <v>19125</v>
      </c>
      <c r="VH78" s="0" t="s">
        <v>21499</v>
      </c>
      <c r="ADO78" s="0" t="s">
        <v>2062</v>
      </c>
      <c r="AQV78" s="0" t="s">
        <v>3881</v>
      </c>
    </row>
    <row r="79" customFormat="false" ht="15" hidden="false" customHeight="false" outlineLevel="0" collapsed="false">
      <c r="I79" s="0" t="s">
        <v>1565</v>
      </c>
      <c r="M79" s="0" t="s">
        <v>2385</v>
      </c>
      <c r="AS79" s="0" t="s">
        <v>1655</v>
      </c>
      <c r="FY79" s="0" t="s">
        <v>8077</v>
      </c>
      <c r="GE79" s="0" t="s">
        <v>8104</v>
      </c>
      <c r="GI79" s="0" t="s">
        <v>8666</v>
      </c>
      <c r="GN79" s="0" t="s">
        <v>7966</v>
      </c>
      <c r="HC79" s="0" t="s">
        <v>8382</v>
      </c>
      <c r="HI79" s="0" t="s">
        <v>8020</v>
      </c>
      <c r="HM79" s="0" t="s">
        <v>8081</v>
      </c>
      <c r="HZ79" s="0" t="s">
        <v>12271</v>
      </c>
      <c r="JN79" s="0" t="s">
        <v>4083</v>
      </c>
      <c r="JZ79" s="0" t="s">
        <v>1570</v>
      </c>
      <c r="KP79" s="0" t="s">
        <v>14981</v>
      </c>
      <c r="LY79" s="0" t="s">
        <v>16002</v>
      </c>
      <c r="MJ79" s="0" t="s">
        <v>16336</v>
      </c>
      <c r="MO79" s="0" t="s">
        <v>16697</v>
      </c>
      <c r="MP79" s="0" t="s">
        <v>16874</v>
      </c>
      <c r="NA79" s="0" t="s">
        <v>17375</v>
      </c>
      <c r="OH79" s="0" t="s">
        <v>18451</v>
      </c>
      <c r="PD79" s="0" t="s">
        <v>18934</v>
      </c>
      <c r="VH79" s="0" t="s">
        <v>21501</v>
      </c>
      <c r="ADO79" s="0" t="s">
        <v>2067</v>
      </c>
      <c r="AQV79" s="0" t="s">
        <v>883</v>
      </c>
    </row>
    <row r="80" customFormat="false" ht="15" hidden="false" customHeight="false" outlineLevel="0" collapsed="false">
      <c r="I80" s="0" t="s">
        <v>1570</v>
      </c>
      <c r="M80" s="0" t="s">
        <v>2390</v>
      </c>
      <c r="AS80" s="0" t="s">
        <v>4444</v>
      </c>
      <c r="FY80" s="0" t="s">
        <v>8079</v>
      </c>
      <c r="GE80" s="0" t="s">
        <v>8920</v>
      </c>
      <c r="GI80" s="0" t="s">
        <v>7966</v>
      </c>
      <c r="GN80" s="0" t="s">
        <v>8371</v>
      </c>
      <c r="HC80" s="0" t="s">
        <v>10658</v>
      </c>
      <c r="HI80" s="0" t="s">
        <v>7875</v>
      </c>
      <c r="HM80" s="0" t="s">
        <v>8085</v>
      </c>
      <c r="HZ80" s="0" t="s">
        <v>2067</v>
      </c>
      <c r="JN80" s="0" t="s">
        <v>1378</v>
      </c>
      <c r="JZ80" s="0" t="s">
        <v>1635</v>
      </c>
      <c r="KP80" s="0" t="s">
        <v>15044</v>
      </c>
      <c r="LY80" s="0" t="s">
        <v>16005</v>
      </c>
      <c r="MJ80" s="0" t="s">
        <v>16338</v>
      </c>
      <c r="MO80" s="0" t="s">
        <v>16699</v>
      </c>
      <c r="MP80" s="0" t="s">
        <v>16876</v>
      </c>
      <c r="NA80" s="0" t="s">
        <v>17378</v>
      </c>
      <c r="OH80" s="0" t="s">
        <v>18454</v>
      </c>
      <c r="PD80" s="0" t="s">
        <v>13257</v>
      </c>
      <c r="VH80" s="0" t="s">
        <v>21552</v>
      </c>
      <c r="ADO80" s="0" t="s">
        <v>2072</v>
      </c>
      <c r="AQV80" s="0" t="s">
        <v>6497</v>
      </c>
    </row>
    <row r="81" customFormat="false" ht="15" hidden="false" customHeight="false" outlineLevel="0" collapsed="false">
      <c r="I81" s="0" t="s">
        <v>1575</v>
      </c>
      <c r="M81" s="0" t="s">
        <v>2395</v>
      </c>
      <c r="AS81" s="0" t="s">
        <v>1665</v>
      </c>
      <c r="FY81" s="0" t="s">
        <v>8081</v>
      </c>
      <c r="GE81" s="0" t="s">
        <v>8761</v>
      </c>
      <c r="GI81" s="0" t="s">
        <v>8657</v>
      </c>
      <c r="GN81" s="0" t="s">
        <v>8360</v>
      </c>
      <c r="HC81" s="0" t="s">
        <v>7966</v>
      </c>
      <c r="HI81" s="0" t="s">
        <v>8580</v>
      </c>
      <c r="HM81" s="0" t="s">
        <v>8089</v>
      </c>
      <c r="HZ81" s="0" t="s">
        <v>12274</v>
      </c>
      <c r="JN81" s="0" t="s">
        <v>4130</v>
      </c>
      <c r="JZ81" s="0" t="s">
        <v>1655</v>
      </c>
      <c r="KP81" s="0" t="s">
        <v>15048</v>
      </c>
      <c r="LY81" s="0" t="s">
        <v>16007</v>
      </c>
      <c r="MJ81" s="0" t="s">
        <v>16340</v>
      </c>
      <c r="MO81" s="0" t="s">
        <v>16701</v>
      </c>
      <c r="MP81" s="0" t="s">
        <v>16878</v>
      </c>
      <c r="NA81" s="0" t="s">
        <v>17380</v>
      </c>
      <c r="OH81" s="0" t="s">
        <v>18457</v>
      </c>
      <c r="PD81" s="0" t="s">
        <v>18937</v>
      </c>
      <c r="VH81" s="0" t="s">
        <v>21416</v>
      </c>
      <c r="ADO81" s="0" t="s">
        <v>2082</v>
      </c>
      <c r="AQV81" s="0" t="s">
        <v>938</v>
      </c>
    </row>
    <row r="82" customFormat="false" ht="15" hidden="false" customHeight="false" outlineLevel="0" collapsed="false">
      <c r="I82" s="0" t="s">
        <v>1580</v>
      </c>
      <c r="M82" s="0" t="s">
        <v>2400</v>
      </c>
      <c r="AS82" s="0" t="s">
        <v>4463</v>
      </c>
      <c r="FY82" s="0" t="s">
        <v>8154</v>
      </c>
      <c r="GE82" s="0" t="s">
        <v>8923</v>
      </c>
      <c r="GI82" s="0" t="s">
        <v>8659</v>
      </c>
      <c r="GN82" s="0" t="s">
        <v>8363</v>
      </c>
      <c r="HC82" s="0" t="s">
        <v>8657</v>
      </c>
      <c r="HI82" s="0" t="s">
        <v>7999</v>
      </c>
      <c r="HM82" s="0" t="s">
        <v>8047</v>
      </c>
      <c r="HZ82" s="0" t="s">
        <v>5214</v>
      </c>
      <c r="JN82" s="0" t="s">
        <v>1460</v>
      </c>
      <c r="JZ82" s="0" t="s">
        <v>1670</v>
      </c>
      <c r="KP82" s="0" t="s">
        <v>15052</v>
      </c>
      <c r="LY82" s="0" t="s">
        <v>16010</v>
      </c>
      <c r="MJ82" s="0" t="s">
        <v>16342</v>
      </c>
      <c r="MO82" s="0" t="s">
        <v>16703</v>
      </c>
      <c r="MP82" s="0" t="s">
        <v>16880</v>
      </c>
      <c r="NA82" s="0" t="s">
        <v>17383</v>
      </c>
      <c r="OH82" s="0" t="s">
        <v>18460</v>
      </c>
      <c r="PD82" s="0" t="s">
        <v>19188</v>
      </c>
      <c r="VH82" s="0" t="s">
        <v>21395</v>
      </c>
      <c r="ADO82" s="0" t="s">
        <v>25225</v>
      </c>
      <c r="AQV82" s="0" t="s">
        <v>13660</v>
      </c>
    </row>
    <row r="83" customFormat="false" ht="15" hidden="false" customHeight="false" outlineLevel="0" collapsed="false">
      <c r="I83" s="0" t="s">
        <v>1585</v>
      </c>
      <c r="M83" s="0" t="s">
        <v>2405</v>
      </c>
      <c r="AS83" s="0" t="s">
        <v>1675</v>
      </c>
      <c r="FY83" s="0" t="s">
        <v>8068</v>
      </c>
      <c r="GE83" s="0" t="s">
        <v>8763</v>
      </c>
      <c r="GI83" s="0" t="s">
        <v>8661</v>
      </c>
      <c r="GN83" s="0" t="s">
        <v>8366</v>
      </c>
      <c r="HC83" s="0" t="s">
        <v>8659</v>
      </c>
      <c r="HI83" s="0" t="s">
        <v>8058</v>
      </c>
      <c r="HM83" s="0" t="s">
        <v>8143</v>
      </c>
      <c r="HZ83" s="0" t="s">
        <v>2082</v>
      </c>
      <c r="JN83" s="0" t="s">
        <v>14170</v>
      </c>
      <c r="JZ83" s="0" t="s">
        <v>1685</v>
      </c>
      <c r="KP83" s="0" t="s">
        <v>15054</v>
      </c>
      <c r="LY83" s="0" t="s">
        <v>16013</v>
      </c>
      <c r="MJ83" s="0" t="s">
        <v>16344</v>
      </c>
      <c r="MO83" s="0" t="s">
        <v>16705</v>
      </c>
      <c r="MP83" s="0" t="s">
        <v>16882</v>
      </c>
      <c r="NA83" s="0" t="s">
        <v>17385</v>
      </c>
      <c r="OH83" s="0" t="s">
        <v>18463</v>
      </c>
      <c r="PD83" s="0" t="s">
        <v>18939</v>
      </c>
      <c r="VH83" s="0" t="s">
        <v>21397</v>
      </c>
      <c r="ADO83" s="0" t="s">
        <v>3520</v>
      </c>
      <c r="AQV83" s="0" t="s">
        <v>993</v>
      </c>
    </row>
    <row r="84" customFormat="false" ht="15" hidden="false" customHeight="false" outlineLevel="0" collapsed="false">
      <c r="I84" s="0" t="s">
        <v>1590</v>
      </c>
      <c r="M84" s="0" t="s">
        <v>2410</v>
      </c>
      <c r="AS84" s="0" t="s">
        <v>4482</v>
      </c>
      <c r="FY84" s="0" t="s">
        <v>8070</v>
      </c>
      <c r="GE84" s="0" t="s">
        <v>7860</v>
      </c>
      <c r="GI84" s="0" t="s">
        <v>8936</v>
      </c>
      <c r="GN84" s="0" t="s">
        <v>8354</v>
      </c>
      <c r="HC84" s="0" t="s">
        <v>8661</v>
      </c>
      <c r="HI84" s="0" t="s">
        <v>8060</v>
      </c>
      <c r="HZ84" s="0" t="s">
        <v>2097</v>
      </c>
      <c r="JN84" s="0" t="s">
        <v>1470</v>
      </c>
      <c r="JZ84" s="0" t="s">
        <v>1982</v>
      </c>
      <c r="KP84" s="0" t="s">
        <v>15056</v>
      </c>
      <c r="LY84" s="0" t="s">
        <v>16041</v>
      </c>
      <c r="MJ84" s="0" t="s">
        <v>16346</v>
      </c>
      <c r="MO84" s="0" t="s">
        <v>16707</v>
      </c>
      <c r="MP84" s="0" t="s">
        <v>16884</v>
      </c>
      <c r="NA84" s="0" t="s">
        <v>17388</v>
      </c>
      <c r="OH84" s="0" t="s">
        <v>18466</v>
      </c>
      <c r="PD84" s="0" t="s">
        <v>19127</v>
      </c>
      <c r="VH84" s="0" t="s">
        <v>21555</v>
      </c>
      <c r="ADO84" s="0" t="s">
        <v>2097</v>
      </c>
      <c r="AQV84" s="0" t="s">
        <v>3936</v>
      </c>
    </row>
    <row r="85" customFormat="false" ht="15" hidden="false" customHeight="false" outlineLevel="0" collapsed="false">
      <c r="I85" s="0" t="s">
        <v>1595</v>
      </c>
      <c r="M85" s="0" t="s">
        <v>2415</v>
      </c>
      <c r="AS85" s="0" t="s">
        <v>4492</v>
      </c>
      <c r="FY85" s="0" t="s">
        <v>8072</v>
      </c>
      <c r="GE85" s="0" t="s">
        <v>8310</v>
      </c>
      <c r="GI85" s="0" t="s">
        <v>8773</v>
      </c>
      <c r="GN85" s="0" t="s">
        <v>8357</v>
      </c>
      <c r="HC85" s="0" t="s">
        <v>7866</v>
      </c>
      <c r="HI85" s="0" t="s">
        <v>8152</v>
      </c>
      <c r="HZ85" s="0" t="s">
        <v>3551</v>
      </c>
      <c r="JN85" s="0" t="s">
        <v>14005</v>
      </c>
      <c r="JZ85" s="0" t="s">
        <v>2002</v>
      </c>
      <c r="KP85" s="0" t="s">
        <v>15058</v>
      </c>
      <c r="LY85" s="0" t="s">
        <v>16044</v>
      </c>
      <c r="MJ85" s="0" t="s">
        <v>16348</v>
      </c>
      <c r="MO85" s="0" t="s">
        <v>16709</v>
      </c>
      <c r="MP85" s="0" t="s">
        <v>16886</v>
      </c>
      <c r="NA85" s="0" t="s">
        <v>17390</v>
      </c>
      <c r="OH85" s="0" t="s">
        <v>18469</v>
      </c>
      <c r="PD85" s="0" t="s">
        <v>18941</v>
      </c>
      <c r="VH85" s="0" t="s">
        <v>21557</v>
      </c>
      <c r="ADO85" s="0" t="s">
        <v>5263</v>
      </c>
      <c r="AQV85" s="0" t="s">
        <v>1048</v>
      </c>
    </row>
    <row r="86" customFormat="false" ht="15" hidden="false" customHeight="false" outlineLevel="0" collapsed="false">
      <c r="I86" s="0" t="s">
        <v>1600</v>
      </c>
      <c r="M86" s="0" t="s">
        <v>2420</v>
      </c>
      <c r="AS86" s="0" t="s">
        <v>4502</v>
      </c>
      <c r="FY86" s="0" t="s">
        <v>8083</v>
      </c>
      <c r="GE86" s="0" t="s">
        <v>8313</v>
      </c>
      <c r="GI86" s="0" t="s">
        <v>8939</v>
      </c>
      <c r="GN86" s="0" t="s">
        <v>7866</v>
      </c>
      <c r="HC86" s="0" t="s">
        <v>8396</v>
      </c>
      <c r="HI86" s="0" t="s">
        <v>8987</v>
      </c>
      <c r="HZ86" s="0" t="s">
        <v>2112</v>
      </c>
      <c r="JN86" s="0" t="s">
        <v>4197</v>
      </c>
      <c r="JZ86" s="0" t="s">
        <v>2037</v>
      </c>
      <c r="KP86" s="0" t="s">
        <v>15060</v>
      </c>
      <c r="LY86" s="0" t="s">
        <v>16047</v>
      </c>
      <c r="MJ86" s="0" t="s">
        <v>16350</v>
      </c>
      <c r="MO86" s="0" t="s">
        <v>16711</v>
      </c>
      <c r="MP86" s="0" t="s">
        <v>16888</v>
      </c>
      <c r="NA86" s="0" t="s">
        <v>17392</v>
      </c>
      <c r="OH86" s="0" t="s">
        <v>18472</v>
      </c>
      <c r="PD86" s="0" t="s">
        <v>18943</v>
      </c>
      <c r="VH86" s="0" t="s">
        <v>21418</v>
      </c>
      <c r="ADO86" s="0" t="s">
        <v>2112</v>
      </c>
      <c r="AQV86" s="0" t="s">
        <v>4776</v>
      </c>
    </row>
    <row r="87" customFormat="false" ht="15" hidden="false" customHeight="false" outlineLevel="0" collapsed="false">
      <c r="I87" s="0" t="s">
        <v>1605</v>
      </c>
      <c r="M87" s="0" t="s">
        <v>2425</v>
      </c>
      <c r="AS87" s="0" t="s">
        <v>1690</v>
      </c>
      <c r="FY87" s="0" t="s">
        <v>8085</v>
      </c>
      <c r="GE87" s="0" t="s">
        <v>7893</v>
      </c>
      <c r="GI87" s="0" t="s">
        <v>8775</v>
      </c>
      <c r="GN87" s="0" t="s">
        <v>8396</v>
      </c>
      <c r="HC87" s="0" t="s">
        <v>8679</v>
      </c>
      <c r="HI87" s="0" t="s">
        <v>8062</v>
      </c>
      <c r="HZ87" s="0" t="s">
        <v>3566</v>
      </c>
      <c r="JN87" s="0" t="s">
        <v>1495</v>
      </c>
      <c r="JZ87" s="0" t="s">
        <v>12271</v>
      </c>
      <c r="KP87" s="0" t="s">
        <v>15062</v>
      </c>
      <c r="LY87" s="0" t="s">
        <v>16049</v>
      </c>
      <c r="MJ87" s="0" t="s">
        <v>16352</v>
      </c>
      <c r="MO87" s="0" t="s">
        <v>16713</v>
      </c>
      <c r="MP87" s="0" t="s">
        <v>16890</v>
      </c>
      <c r="NA87" s="0" t="s">
        <v>17395</v>
      </c>
      <c r="OH87" s="0" t="s">
        <v>18475</v>
      </c>
      <c r="PD87" s="0" t="s">
        <v>18945</v>
      </c>
      <c r="VH87" s="0" t="s">
        <v>21420</v>
      </c>
      <c r="ADO87" s="0" t="s">
        <v>5288</v>
      </c>
      <c r="AQV87" s="0" t="s">
        <v>1103</v>
      </c>
    </row>
    <row r="88" customFormat="false" ht="15" hidden="false" customHeight="false" outlineLevel="0" collapsed="false">
      <c r="I88" s="0" t="s">
        <v>1610</v>
      </c>
      <c r="M88" s="0" t="s">
        <v>2430</v>
      </c>
      <c r="AS88" s="0" t="s">
        <v>4521</v>
      </c>
      <c r="FY88" s="0" t="s">
        <v>8087</v>
      </c>
      <c r="GE88" s="0" t="s">
        <v>8320</v>
      </c>
      <c r="GI88" s="0" t="s">
        <v>7866</v>
      </c>
      <c r="GN88" s="0" t="s">
        <v>7899</v>
      </c>
      <c r="HC88" s="0" t="s">
        <v>7899</v>
      </c>
      <c r="HI88" s="0" t="s">
        <v>7985</v>
      </c>
      <c r="HZ88" s="0" t="s">
        <v>2122</v>
      </c>
      <c r="JN88" s="0" t="s">
        <v>1500</v>
      </c>
      <c r="JZ88" s="0" t="s">
        <v>2067</v>
      </c>
      <c r="KP88" s="0" t="s">
        <v>14996</v>
      </c>
      <c r="LY88" s="0" t="s">
        <v>16052</v>
      </c>
      <c r="MJ88" s="0" t="s">
        <v>16354</v>
      </c>
      <c r="MO88" s="0" t="s">
        <v>16715</v>
      </c>
      <c r="MP88" s="0" t="s">
        <v>16892</v>
      </c>
      <c r="NA88" s="0" t="s">
        <v>17397</v>
      </c>
      <c r="OH88" s="0" t="s">
        <v>18478</v>
      </c>
      <c r="PD88" s="0" t="s">
        <v>19074</v>
      </c>
      <c r="VH88" s="0" t="s">
        <v>21404</v>
      </c>
      <c r="ADO88" s="0" t="s">
        <v>3574</v>
      </c>
      <c r="AQV88" s="0" t="s">
        <v>4793</v>
      </c>
    </row>
    <row r="89" customFormat="false" ht="15" hidden="false" customHeight="false" outlineLevel="0" collapsed="false">
      <c r="I89" s="0" t="s">
        <v>1615</v>
      </c>
      <c r="M89" s="0" t="s">
        <v>2435</v>
      </c>
      <c r="AS89" s="0" t="s">
        <v>1982</v>
      </c>
      <c r="FY89" s="0" t="s">
        <v>8089</v>
      </c>
      <c r="GE89" s="0" t="s">
        <v>7956</v>
      </c>
      <c r="GI89" s="0" t="s">
        <v>8396</v>
      </c>
      <c r="GN89" s="0" t="s">
        <v>8389</v>
      </c>
      <c r="HC89" s="0" t="s">
        <v>8672</v>
      </c>
      <c r="HI89" s="0" t="s">
        <v>8077</v>
      </c>
      <c r="HZ89" s="0" t="s">
        <v>2127</v>
      </c>
      <c r="JN89" s="0" t="s">
        <v>1510</v>
      </c>
      <c r="JZ89" s="0" t="s">
        <v>5214</v>
      </c>
      <c r="KP89" s="0" t="s">
        <v>14998</v>
      </c>
      <c r="LY89" s="0" t="s">
        <v>16057</v>
      </c>
      <c r="MJ89" s="0" t="s">
        <v>16356</v>
      </c>
      <c r="MP89" s="0" t="s">
        <v>16894</v>
      </c>
      <c r="NA89" s="0" t="s">
        <v>17400</v>
      </c>
      <c r="OH89" s="0" t="s">
        <v>18481</v>
      </c>
      <c r="PD89" s="0" t="s">
        <v>18947</v>
      </c>
      <c r="VH89" s="0" t="s">
        <v>21477</v>
      </c>
      <c r="ADO89" s="0" t="s">
        <v>2122</v>
      </c>
      <c r="AQV89" s="0" t="s">
        <v>1158</v>
      </c>
    </row>
    <row r="90" customFormat="false" ht="15" hidden="false" customHeight="false" outlineLevel="0" collapsed="false">
      <c r="I90" s="0" t="s">
        <v>1620</v>
      </c>
      <c r="M90" s="0" t="s">
        <v>2440</v>
      </c>
      <c r="AS90" s="0" t="s">
        <v>4540</v>
      </c>
      <c r="FY90" s="0" t="s">
        <v>8137</v>
      </c>
      <c r="GE90" s="0" t="s">
        <v>7891</v>
      </c>
      <c r="GI90" s="0" t="s">
        <v>8117</v>
      </c>
      <c r="GN90" s="0" t="s">
        <v>8409</v>
      </c>
      <c r="HC90" s="0" t="s">
        <v>7994</v>
      </c>
      <c r="HI90" s="0" t="s">
        <v>8085</v>
      </c>
      <c r="HZ90" s="0" t="s">
        <v>2132</v>
      </c>
      <c r="JN90" s="0" t="s">
        <v>1520</v>
      </c>
      <c r="JZ90" s="0" t="s">
        <v>2142</v>
      </c>
      <c r="KP90" s="0" t="s">
        <v>15002</v>
      </c>
      <c r="LY90" s="0" t="s">
        <v>16060</v>
      </c>
      <c r="MJ90" s="0" t="s">
        <v>16358</v>
      </c>
      <c r="MP90" s="0" t="s">
        <v>16896</v>
      </c>
      <c r="NA90" s="0" t="s">
        <v>17403</v>
      </c>
      <c r="OH90" s="0" t="s">
        <v>18484</v>
      </c>
      <c r="PD90" s="0" t="s">
        <v>18949</v>
      </c>
      <c r="VH90" s="0" t="s">
        <v>21543</v>
      </c>
      <c r="ADO90" s="0" t="s">
        <v>2127</v>
      </c>
      <c r="AQV90" s="0" t="s">
        <v>3991</v>
      </c>
    </row>
    <row r="91" customFormat="false" ht="15" hidden="false" customHeight="false" outlineLevel="0" collapsed="false">
      <c r="I91" s="0" t="s">
        <v>1625</v>
      </c>
      <c r="M91" s="0" t="s">
        <v>2445</v>
      </c>
      <c r="FY91" s="0" t="s">
        <v>8045</v>
      </c>
      <c r="GE91" s="0" t="s">
        <v>8303</v>
      </c>
      <c r="GI91" s="0" t="s">
        <v>7899</v>
      </c>
      <c r="GN91" s="0" t="s">
        <v>8401</v>
      </c>
      <c r="HC91" s="0" t="s">
        <v>8109</v>
      </c>
      <c r="HZ91" s="0" t="s">
        <v>2142</v>
      </c>
      <c r="JN91" s="0" t="s">
        <v>14179</v>
      </c>
      <c r="JZ91" s="0" t="s">
        <v>3675</v>
      </c>
      <c r="KP91" s="0" t="s">
        <v>15004</v>
      </c>
      <c r="LY91" s="0" t="s">
        <v>16022</v>
      </c>
      <c r="MJ91" s="0" t="s">
        <v>16360</v>
      </c>
      <c r="NA91" s="0" t="s">
        <v>17406</v>
      </c>
      <c r="OH91" s="0" t="s">
        <v>18487</v>
      </c>
      <c r="PD91" s="0" t="s">
        <v>19129</v>
      </c>
      <c r="VH91" s="0" t="s">
        <v>21534</v>
      </c>
      <c r="ADO91" s="0" t="s">
        <v>2137</v>
      </c>
      <c r="AQV91" s="0" t="s">
        <v>1213</v>
      </c>
    </row>
    <row r="92" customFormat="false" ht="15" hidden="false" customHeight="false" outlineLevel="0" collapsed="false">
      <c r="I92" s="0" t="s">
        <v>1630</v>
      </c>
      <c r="M92" s="0" t="s">
        <v>2450</v>
      </c>
      <c r="FY92" s="0" t="s">
        <v>8047</v>
      </c>
      <c r="GE92" s="0" t="s">
        <v>8636</v>
      </c>
      <c r="GI92" s="0" t="s">
        <v>8672</v>
      </c>
      <c r="GN92" s="0" t="s">
        <v>8406</v>
      </c>
      <c r="HC92" s="0" t="s">
        <v>8950</v>
      </c>
      <c r="HZ92" s="0" t="s">
        <v>3637</v>
      </c>
      <c r="JN92" s="0" t="s">
        <v>1545</v>
      </c>
      <c r="JZ92" s="0" t="s">
        <v>2187</v>
      </c>
      <c r="KP92" s="0" t="s">
        <v>15007</v>
      </c>
      <c r="LY92" s="0" t="s">
        <v>16024</v>
      </c>
      <c r="MJ92" s="0" t="s">
        <v>16362</v>
      </c>
      <c r="OH92" s="0" t="s">
        <v>18490</v>
      </c>
      <c r="PD92" s="0" t="s">
        <v>18951</v>
      </c>
      <c r="VH92" s="0" t="s">
        <v>21536</v>
      </c>
      <c r="ADO92" s="0" t="s">
        <v>3597</v>
      </c>
      <c r="AQV92" s="0" t="s">
        <v>4826</v>
      </c>
    </row>
    <row r="93" customFormat="false" ht="15" hidden="false" customHeight="false" outlineLevel="0" collapsed="false">
      <c r="I93" s="0" t="s">
        <v>1635</v>
      </c>
      <c r="M93" s="0" t="s">
        <v>2455</v>
      </c>
      <c r="FY93" s="0" t="s">
        <v>8126</v>
      </c>
      <c r="GE93" s="0" t="s">
        <v>7992</v>
      </c>
      <c r="GI93" s="0" t="s">
        <v>7994</v>
      </c>
      <c r="GN93" s="0" t="s">
        <v>7875</v>
      </c>
      <c r="HC93" s="0" t="s">
        <v>8017</v>
      </c>
      <c r="HZ93" s="0" t="s">
        <v>12280</v>
      </c>
      <c r="JN93" s="0" t="s">
        <v>1570</v>
      </c>
      <c r="JZ93" s="0" t="s">
        <v>2227</v>
      </c>
      <c r="KP93" s="0" t="s">
        <v>15009</v>
      </c>
      <c r="LY93" s="0" t="s">
        <v>16026</v>
      </c>
      <c r="MJ93" s="0" t="s">
        <v>16364</v>
      </c>
      <c r="OH93" s="0" t="s">
        <v>18493</v>
      </c>
      <c r="PD93" s="0" t="s">
        <v>19020</v>
      </c>
      <c r="VH93" s="0" t="s">
        <v>21538</v>
      </c>
      <c r="ADO93" s="0" t="s">
        <v>2142</v>
      </c>
      <c r="AQV93" s="0" t="s">
        <v>1268</v>
      </c>
    </row>
    <row r="94" customFormat="false" ht="15" hidden="false" customHeight="false" outlineLevel="0" collapsed="false">
      <c r="I94" s="0" t="s">
        <v>1640</v>
      </c>
      <c r="M94" s="0" t="s">
        <v>2460</v>
      </c>
      <c r="FY94" s="0" t="s">
        <v>8158</v>
      </c>
      <c r="GE94" s="0" t="s">
        <v>8099</v>
      </c>
      <c r="GI94" s="0" t="s">
        <v>8109</v>
      </c>
      <c r="GN94" s="0" t="s">
        <v>8180</v>
      </c>
      <c r="HC94" s="0" t="s">
        <v>8112</v>
      </c>
      <c r="HZ94" s="0" t="s">
        <v>5362</v>
      </c>
      <c r="JN94" s="0" t="s">
        <v>4958</v>
      </c>
      <c r="JZ94" s="0" t="s">
        <v>12375</v>
      </c>
      <c r="KP94" s="0" t="s">
        <v>15012</v>
      </c>
      <c r="LY94" s="0" t="s">
        <v>16029</v>
      </c>
      <c r="MJ94" s="0" t="s">
        <v>16366</v>
      </c>
      <c r="OH94" s="0" t="s">
        <v>18496</v>
      </c>
      <c r="PD94" s="0" t="s">
        <v>18953</v>
      </c>
      <c r="VH94" s="0" t="s">
        <v>21540</v>
      </c>
      <c r="ADO94" s="0" t="s">
        <v>25092</v>
      </c>
      <c r="AQV94" s="0" t="s">
        <v>6278</v>
      </c>
    </row>
    <row r="95" customFormat="false" ht="15" hidden="false" customHeight="false" outlineLevel="0" collapsed="false">
      <c r="I95" s="0" t="s">
        <v>1645</v>
      </c>
      <c r="M95" s="0" t="s">
        <v>2465</v>
      </c>
      <c r="FY95" s="0" t="s">
        <v>8139</v>
      </c>
      <c r="GE95" s="0" t="s">
        <v>8905</v>
      </c>
      <c r="GI95" s="0" t="s">
        <v>8950</v>
      </c>
      <c r="GN95" s="0" t="s">
        <v>7999</v>
      </c>
      <c r="HC95" s="0" t="s">
        <v>8409</v>
      </c>
      <c r="HZ95" s="0" t="s">
        <v>2162</v>
      </c>
      <c r="JN95" s="0" t="s">
        <v>1595</v>
      </c>
      <c r="JZ95" s="0" t="s">
        <v>2297</v>
      </c>
      <c r="KP95" s="0" t="s">
        <v>15014</v>
      </c>
      <c r="LY95" s="0" t="s">
        <v>16032</v>
      </c>
      <c r="MJ95" s="0" t="s">
        <v>16373</v>
      </c>
      <c r="OH95" s="0" t="s">
        <v>18499</v>
      </c>
      <c r="PD95" s="0" t="s">
        <v>19079</v>
      </c>
      <c r="VH95" s="0" t="s">
        <v>21424</v>
      </c>
      <c r="ADO95" s="0" t="s">
        <v>5337</v>
      </c>
      <c r="AQV95" s="0" t="s">
        <v>1323</v>
      </c>
    </row>
    <row r="96" customFormat="false" ht="15" hidden="false" customHeight="false" outlineLevel="0" collapsed="false">
      <c r="I96" s="0" t="s">
        <v>1650</v>
      </c>
      <c r="M96" s="0" t="s">
        <v>2470</v>
      </c>
      <c r="FY96" s="0" t="s">
        <v>8141</v>
      </c>
      <c r="GE96" s="0" t="s">
        <v>8750</v>
      </c>
      <c r="GI96" s="0" t="s">
        <v>8017</v>
      </c>
      <c r="GN96" s="0" t="s">
        <v>8060</v>
      </c>
      <c r="HC96" s="0" t="s">
        <v>10689</v>
      </c>
      <c r="HZ96" s="0" t="s">
        <v>2177</v>
      </c>
      <c r="JN96" s="0" t="s">
        <v>4975</v>
      </c>
      <c r="JZ96" s="0" t="s">
        <v>2351</v>
      </c>
      <c r="KP96" s="0" t="s">
        <v>15017</v>
      </c>
      <c r="LY96" s="0" t="s">
        <v>16034</v>
      </c>
      <c r="MJ96" s="0" t="s">
        <v>16375</v>
      </c>
      <c r="OH96" s="0" t="s">
        <v>18502</v>
      </c>
      <c r="PD96" s="0" t="s">
        <v>19131</v>
      </c>
      <c r="VH96" s="0" t="s">
        <v>21426</v>
      </c>
      <c r="ADO96" s="0" t="s">
        <v>3637</v>
      </c>
      <c r="AQV96" s="0" t="s">
        <v>1520</v>
      </c>
    </row>
    <row r="97" customFormat="false" ht="15" hidden="false" customHeight="false" outlineLevel="0" collapsed="false">
      <c r="I97" s="0" t="s">
        <v>1655</v>
      </c>
      <c r="M97" s="0" t="s">
        <v>2475</v>
      </c>
      <c r="FY97" s="0" t="s">
        <v>8143</v>
      </c>
      <c r="GE97" s="0" t="s">
        <v>8908</v>
      </c>
      <c r="GI97" s="0" t="s">
        <v>8112</v>
      </c>
      <c r="GN97" s="0" t="s">
        <v>8987</v>
      </c>
      <c r="HC97" s="0" t="s">
        <v>8401</v>
      </c>
      <c r="HZ97" s="0" t="s">
        <v>12367</v>
      </c>
      <c r="JN97" s="0" t="s">
        <v>14187</v>
      </c>
      <c r="JZ97" s="0" t="s">
        <v>2440</v>
      </c>
      <c r="KP97" s="0" t="s">
        <v>15019</v>
      </c>
      <c r="LY97" s="0" t="s">
        <v>16036</v>
      </c>
      <c r="MJ97" s="0" t="s">
        <v>16377</v>
      </c>
      <c r="OH97" s="0" t="s">
        <v>18505</v>
      </c>
      <c r="PD97" s="0" t="s">
        <v>19022</v>
      </c>
      <c r="VH97" s="0" t="s">
        <v>21428</v>
      </c>
      <c r="ADO97" s="0" t="s">
        <v>5362</v>
      </c>
      <c r="AQV97" s="0" t="s">
        <v>2142</v>
      </c>
    </row>
    <row r="98" customFormat="false" ht="15" hidden="false" customHeight="false" outlineLevel="0" collapsed="false">
      <c r="I98" s="0" t="s">
        <v>1660</v>
      </c>
      <c r="M98" s="0" t="s">
        <v>2480</v>
      </c>
      <c r="FY98" s="0" t="s">
        <v>8145</v>
      </c>
      <c r="GE98" s="0" t="s">
        <v>8101</v>
      </c>
      <c r="GI98" s="0" t="s">
        <v>8114</v>
      </c>
      <c r="GN98" s="0" t="s">
        <v>8170</v>
      </c>
      <c r="HC98" s="0" t="s">
        <v>8691</v>
      </c>
      <c r="HZ98" s="0" t="s">
        <v>2182</v>
      </c>
      <c r="JN98" s="0" t="s">
        <v>1615</v>
      </c>
      <c r="JZ98" s="0" t="s">
        <v>1733</v>
      </c>
      <c r="KP98" s="0" t="s">
        <v>15022</v>
      </c>
      <c r="LY98" s="0" t="s">
        <v>16038</v>
      </c>
      <c r="MJ98" s="0" t="s">
        <v>16379</v>
      </c>
      <c r="OH98" s="0" t="s">
        <v>18507</v>
      </c>
      <c r="PD98" s="0" t="s">
        <v>18955</v>
      </c>
      <c r="VH98" s="0" t="s">
        <v>21430</v>
      </c>
      <c r="ADO98" s="0" t="s">
        <v>2162</v>
      </c>
    </row>
    <row r="99" customFormat="false" ht="15" hidden="false" customHeight="false" outlineLevel="0" collapsed="false">
      <c r="I99" s="0" t="s">
        <v>1665</v>
      </c>
      <c r="M99" s="0" t="s">
        <v>2485</v>
      </c>
      <c r="GE99" s="0" t="s">
        <v>7968</v>
      </c>
      <c r="GI99" s="0" t="s">
        <v>9052</v>
      </c>
      <c r="GN99" s="0" t="s">
        <v>8994</v>
      </c>
      <c r="HC99" s="0" t="s">
        <v>8022</v>
      </c>
      <c r="HZ99" s="0" t="s">
        <v>12470</v>
      </c>
      <c r="JN99" s="0" t="s">
        <v>1630</v>
      </c>
      <c r="JZ99" s="0" t="s">
        <v>1746</v>
      </c>
      <c r="KP99" s="0" t="s">
        <v>15024</v>
      </c>
      <c r="LY99" s="0" t="s">
        <v>16069</v>
      </c>
      <c r="MJ99" s="0" t="s">
        <v>16381</v>
      </c>
      <c r="OH99" s="0" t="s">
        <v>18515</v>
      </c>
      <c r="PD99" s="0" t="s">
        <v>19133</v>
      </c>
      <c r="VH99" s="0" t="s">
        <v>21432</v>
      </c>
      <c r="ADO99" s="0" t="s">
        <v>3675</v>
      </c>
    </row>
    <row r="100" customFormat="false" ht="15" hidden="false" customHeight="false" outlineLevel="0" collapsed="false">
      <c r="I100" s="0" t="s">
        <v>1670</v>
      </c>
      <c r="M100" s="0" t="s">
        <v>2490</v>
      </c>
      <c r="GE100" s="0" t="s">
        <v>8376</v>
      </c>
      <c r="GI100" s="0" t="s">
        <v>8148</v>
      </c>
      <c r="GN100" s="0" t="s">
        <v>8047</v>
      </c>
      <c r="HC100" s="0" t="s">
        <v>8694</v>
      </c>
      <c r="HZ100" s="0" t="s">
        <v>2187</v>
      </c>
      <c r="JN100" s="0" t="s">
        <v>1635</v>
      </c>
      <c r="KP100" s="0" t="s">
        <v>15030</v>
      </c>
      <c r="LY100" s="0" t="s">
        <v>16066</v>
      </c>
      <c r="MJ100" s="0" t="s">
        <v>16383</v>
      </c>
      <c r="OH100" s="0" t="s">
        <v>18443</v>
      </c>
      <c r="PD100" s="0" t="s">
        <v>19024</v>
      </c>
      <c r="VH100" s="0" t="s">
        <v>21434</v>
      </c>
      <c r="ADO100" s="0" t="s">
        <v>2177</v>
      </c>
    </row>
    <row r="101" customFormat="false" ht="15" hidden="false" customHeight="false" outlineLevel="0" collapsed="false">
      <c r="I101" s="0" t="s">
        <v>1675</v>
      </c>
      <c r="M101" s="0" t="s">
        <v>2495</v>
      </c>
      <c r="GE101" s="0" t="s">
        <v>8379</v>
      </c>
      <c r="GI101" s="0" t="s">
        <v>9055</v>
      </c>
      <c r="GN101" s="0" t="s">
        <v>8989</v>
      </c>
      <c r="HC101" s="0" t="s">
        <v>8973</v>
      </c>
      <c r="HZ101" s="0" t="s">
        <v>11740</v>
      </c>
      <c r="JN101" s="0" t="s">
        <v>1655</v>
      </c>
      <c r="KP101" s="0" t="s">
        <v>15032</v>
      </c>
      <c r="LY101" s="0" t="s">
        <v>16075</v>
      </c>
      <c r="MJ101" s="0" t="s">
        <v>16385</v>
      </c>
      <c r="PD101" s="0" t="s">
        <v>19193</v>
      </c>
      <c r="VH101" s="0" t="s">
        <v>21436</v>
      </c>
      <c r="ADO101" s="0" t="s">
        <v>2182</v>
      </c>
    </row>
    <row r="102" customFormat="false" ht="15" hidden="false" customHeight="false" outlineLevel="0" collapsed="false">
      <c r="I102" s="0" t="s">
        <v>1680</v>
      </c>
      <c r="M102" s="0" t="s">
        <v>2500</v>
      </c>
      <c r="GE102" s="0" t="s">
        <v>8382</v>
      </c>
      <c r="GI102" s="0" t="s">
        <v>8409</v>
      </c>
      <c r="GN102" s="0" t="s">
        <v>10083</v>
      </c>
      <c r="HC102" s="0" t="s">
        <v>8119</v>
      </c>
      <c r="HZ102" s="0" t="s">
        <v>2212</v>
      </c>
      <c r="JN102" s="0" t="s">
        <v>1670</v>
      </c>
      <c r="KP102" s="0" t="s">
        <v>15035</v>
      </c>
      <c r="LY102" s="0" t="s">
        <v>16077</v>
      </c>
      <c r="MJ102" s="0" t="s">
        <v>16387</v>
      </c>
      <c r="PD102" s="0" t="s">
        <v>13263</v>
      </c>
      <c r="VH102" s="0" t="s">
        <v>21438</v>
      </c>
      <c r="ADO102" s="0" t="s">
        <v>2187</v>
      </c>
    </row>
    <row r="103" customFormat="false" ht="15" hidden="false" customHeight="false" outlineLevel="0" collapsed="false">
      <c r="I103" s="0" t="s">
        <v>1685</v>
      </c>
      <c r="M103" s="0" t="s">
        <v>2505</v>
      </c>
      <c r="GE103" s="0" t="s">
        <v>8666</v>
      </c>
      <c r="GI103" s="0" t="s">
        <v>8697</v>
      </c>
      <c r="GN103" s="0" t="s">
        <v>10085</v>
      </c>
      <c r="HC103" s="0" t="s">
        <v>8976</v>
      </c>
      <c r="HZ103" s="0" t="s">
        <v>12371</v>
      </c>
      <c r="JN103" s="0" t="s">
        <v>14197</v>
      </c>
      <c r="KP103" s="0" t="s">
        <v>15037</v>
      </c>
      <c r="MJ103" s="0" t="s">
        <v>16389</v>
      </c>
      <c r="PD103" s="0" t="s">
        <v>18958</v>
      </c>
      <c r="VH103" s="0" t="s">
        <v>21440</v>
      </c>
      <c r="ADO103" s="0" t="s">
        <v>2192</v>
      </c>
    </row>
    <row r="104" customFormat="false" ht="15" hidden="false" customHeight="false" outlineLevel="0" collapsed="false">
      <c r="I104" s="0" t="s">
        <v>1690</v>
      </c>
      <c r="M104" s="0" t="s">
        <v>2510</v>
      </c>
      <c r="GE104" s="0" t="s">
        <v>7966</v>
      </c>
      <c r="GI104" s="0" t="s">
        <v>8401</v>
      </c>
      <c r="GN104" s="0" t="s">
        <v>9207</v>
      </c>
      <c r="HC104" s="0" t="s">
        <v>10682</v>
      </c>
      <c r="HZ104" s="0" t="s">
        <v>12287</v>
      </c>
      <c r="JN104" s="0" t="s">
        <v>4482</v>
      </c>
      <c r="KP104" s="0" t="s">
        <v>15041</v>
      </c>
      <c r="MJ104" s="0" t="s">
        <v>16391</v>
      </c>
      <c r="PD104" s="0" t="s">
        <v>19026</v>
      </c>
      <c r="VH104" s="0" t="s">
        <v>21422</v>
      </c>
      <c r="ADO104" s="0" t="s">
        <v>11740</v>
      </c>
    </row>
    <row r="105" customFormat="false" ht="15" hidden="false" customHeight="false" outlineLevel="0" collapsed="false">
      <c r="M105" s="0" t="s">
        <v>2515</v>
      </c>
      <c r="GE105" s="0" t="s">
        <v>8371</v>
      </c>
      <c r="GI105" s="0" t="s">
        <v>8691</v>
      </c>
      <c r="HC105" s="0" t="s">
        <v>10677</v>
      </c>
      <c r="HZ105" s="0" t="s">
        <v>2227</v>
      </c>
      <c r="JN105" s="0" t="s">
        <v>1685</v>
      </c>
      <c r="KP105" s="0" t="s">
        <v>15046</v>
      </c>
      <c r="MJ105" s="0" t="s">
        <v>16398</v>
      </c>
      <c r="PD105" s="0" t="s">
        <v>18960</v>
      </c>
      <c r="VH105" s="0" t="s">
        <v>21444</v>
      </c>
      <c r="ADO105" s="0" t="s">
        <v>2212</v>
      </c>
    </row>
    <row r="106" customFormat="false" ht="15" hidden="false" customHeight="false" outlineLevel="0" collapsed="false">
      <c r="M106" s="0" t="s">
        <v>2520</v>
      </c>
      <c r="GE106" s="0" t="s">
        <v>8657</v>
      </c>
      <c r="GI106" s="0" t="s">
        <v>8022</v>
      </c>
      <c r="HC106" s="0" t="s">
        <v>10730</v>
      </c>
      <c r="HZ106" s="0" t="s">
        <v>12375</v>
      </c>
      <c r="JN106" s="0" t="s">
        <v>1690</v>
      </c>
      <c r="KP106" s="0" t="s">
        <v>15050</v>
      </c>
      <c r="MJ106" s="0" t="s">
        <v>16400</v>
      </c>
      <c r="PD106" s="0" t="s">
        <v>18964</v>
      </c>
      <c r="VH106" s="0" t="s">
        <v>21446</v>
      </c>
      <c r="ADO106" s="0" t="s">
        <v>12287</v>
      </c>
    </row>
    <row r="107" customFormat="false" ht="15" hidden="false" customHeight="false" outlineLevel="0" collapsed="false">
      <c r="M107" s="0" t="s">
        <v>2525</v>
      </c>
      <c r="GE107" s="0" t="s">
        <v>8659</v>
      </c>
      <c r="GI107" s="0" t="s">
        <v>8694</v>
      </c>
      <c r="HC107" s="0" t="s">
        <v>8020</v>
      </c>
      <c r="HZ107" s="0" t="s">
        <v>5448</v>
      </c>
      <c r="JN107" s="0" t="s">
        <v>5058</v>
      </c>
      <c r="KP107" s="0" t="s">
        <v>15110</v>
      </c>
      <c r="MJ107" s="0" t="s">
        <v>16402</v>
      </c>
      <c r="PD107" s="0" t="s">
        <v>19139</v>
      </c>
      <c r="VH107" s="0" t="s">
        <v>21484</v>
      </c>
      <c r="ADO107" s="0" t="s">
        <v>2227</v>
      </c>
    </row>
    <row r="108" customFormat="false" ht="15" hidden="false" customHeight="false" outlineLevel="0" collapsed="false">
      <c r="M108" s="0" t="s">
        <v>2530</v>
      </c>
      <c r="GE108" s="0" t="s">
        <v>8661</v>
      </c>
      <c r="GI108" s="0" t="s">
        <v>8973</v>
      </c>
      <c r="HC108" s="0" t="s">
        <v>10680</v>
      </c>
      <c r="HZ108" s="0" t="s">
        <v>2261</v>
      </c>
      <c r="JN108" s="0" t="s">
        <v>1972</v>
      </c>
      <c r="KP108" s="0" t="s">
        <v>15114</v>
      </c>
      <c r="MJ108" s="0" t="s">
        <v>16404</v>
      </c>
      <c r="PD108" s="0" t="s">
        <v>13266</v>
      </c>
      <c r="VH108" s="0" t="s">
        <v>21482</v>
      </c>
      <c r="ADO108" s="0" t="s">
        <v>2242</v>
      </c>
    </row>
    <row r="109" customFormat="false" ht="15" hidden="false" customHeight="false" outlineLevel="0" collapsed="false">
      <c r="M109" s="0" t="s">
        <v>2535</v>
      </c>
      <c r="GE109" s="0" t="s">
        <v>8936</v>
      </c>
      <c r="GI109" s="0" t="s">
        <v>8119</v>
      </c>
      <c r="HC109" s="0" t="s">
        <v>10734</v>
      </c>
      <c r="HZ109" s="0" t="s">
        <v>2279</v>
      </c>
      <c r="JN109" s="0" t="s">
        <v>1982</v>
      </c>
      <c r="KP109" s="0" t="s">
        <v>15118</v>
      </c>
      <c r="MJ109" s="0" t="s">
        <v>16195</v>
      </c>
      <c r="PD109" s="0" t="s">
        <v>19196</v>
      </c>
      <c r="VH109" s="0" t="s">
        <v>21448</v>
      </c>
      <c r="ADO109" s="0" t="s">
        <v>5448</v>
      </c>
    </row>
    <row r="110" customFormat="false" ht="15" hidden="false" customHeight="false" outlineLevel="0" collapsed="false">
      <c r="M110" s="0" t="s">
        <v>2540</v>
      </c>
      <c r="GE110" s="0" t="s">
        <v>8773</v>
      </c>
      <c r="GI110" s="0" t="s">
        <v>8976</v>
      </c>
      <c r="HC110" s="0" t="s">
        <v>10736</v>
      </c>
      <c r="HZ110" s="0" t="s">
        <v>2297</v>
      </c>
      <c r="JN110" s="0" t="s">
        <v>5075</v>
      </c>
      <c r="KP110" s="0" t="s">
        <v>15120</v>
      </c>
      <c r="MJ110" s="0" t="s">
        <v>16198</v>
      </c>
      <c r="PD110" s="0" t="s">
        <v>19141</v>
      </c>
      <c r="VH110" s="0" t="s">
        <v>21450</v>
      </c>
      <c r="ADO110" s="0" t="s">
        <v>2261</v>
      </c>
    </row>
    <row r="111" customFormat="false" ht="15" hidden="false" customHeight="false" outlineLevel="0" collapsed="false">
      <c r="M111" s="0" t="s">
        <v>2546</v>
      </c>
      <c r="GE111" s="0" t="s">
        <v>8939</v>
      </c>
      <c r="GI111" s="0" t="s">
        <v>8978</v>
      </c>
      <c r="HC111" s="0" t="s">
        <v>10738</v>
      </c>
      <c r="HZ111" s="0" t="s">
        <v>2309</v>
      </c>
      <c r="JN111" s="0" t="s">
        <v>1997</v>
      </c>
      <c r="KP111" s="0" t="s">
        <v>15127</v>
      </c>
      <c r="MJ111" s="0" t="s">
        <v>16200</v>
      </c>
      <c r="PD111" s="0" t="s">
        <v>19029</v>
      </c>
      <c r="VH111" s="0" t="s">
        <v>21452</v>
      </c>
      <c r="ADO111" s="0" t="s">
        <v>2279</v>
      </c>
    </row>
    <row r="112" customFormat="false" ht="15" hidden="false" customHeight="false" outlineLevel="0" collapsed="false">
      <c r="M112" s="0" t="s">
        <v>2552</v>
      </c>
      <c r="GE112" s="0" t="s">
        <v>8775</v>
      </c>
      <c r="GI112" s="0" t="s">
        <v>9064</v>
      </c>
      <c r="HC112" s="0" t="s">
        <v>7875</v>
      </c>
      <c r="HZ112" s="0" t="s">
        <v>2339</v>
      </c>
      <c r="JN112" s="0" t="s">
        <v>2002</v>
      </c>
      <c r="KP112" s="0" t="s">
        <v>15129</v>
      </c>
      <c r="MJ112" s="0" t="s">
        <v>16208</v>
      </c>
      <c r="PD112" s="0" t="s">
        <v>18967</v>
      </c>
      <c r="VH112" s="0" t="s">
        <v>21563</v>
      </c>
      <c r="ADO112" s="0" t="s">
        <v>2297</v>
      </c>
    </row>
    <row r="113" customFormat="false" ht="15" hidden="false" customHeight="false" outlineLevel="0" collapsed="false">
      <c r="M113" s="0" t="s">
        <v>2558</v>
      </c>
      <c r="GE113" s="0" t="s">
        <v>8360</v>
      </c>
      <c r="GI113" s="0" t="s">
        <v>9066</v>
      </c>
      <c r="HC113" s="0" t="s">
        <v>8580</v>
      </c>
      <c r="HZ113" s="0" t="s">
        <v>2351</v>
      </c>
      <c r="JN113" s="0" t="s">
        <v>3366</v>
      </c>
      <c r="KP113" s="0" t="s">
        <v>15131</v>
      </c>
      <c r="MJ113" s="0" t="s">
        <v>16210</v>
      </c>
      <c r="PD113" s="0" t="s">
        <v>19147</v>
      </c>
      <c r="VH113" s="0" t="s">
        <v>21490</v>
      </c>
      <c r="ADO113" s="0" t="s">
        <v>6516</v>
      </c>
    </row>
    <row r="114" customFormat="false" ht="15" hidden="false" customHeight="false" outlineLevel="0" collapsed="false">
      <c r="M114" s="0" t="s">
        <v>1733</v>
      </c>
      <c r="GE114" s="0" t="s">
        <v>8363</v>
      </c>
      <c r="GI114" s="0" t="s">
        <v>9068</v>
      </c>
      <c r="HC114" s="0" t="s">
        <v>7999</v>
      </c>
      <c r="HZ114" s="0" t="s">
        <v>2363</v>
      </c>
      <c r="JN114" s="0" t="s">
        <v>2017</v>
      </c>
      <c r="KP114" s="0" t="s">
        <v>15133</v>
      </c>
      <c r="MJ114" s="0" t="s">
        <v>16212</v>
      </c>
      <c r="PD114" s="0" t="s">
        <v>19149</v>
      </c>
      <c r="VH114" s="0" t="s">
        <v>21486</v>
      </c>
      <c r="ADO114" s="0" t="s">
        <v>2351</v>
      </c>
    </row>
    <row r="115" customFormat="false" ht="15" hidden="false" customHeight="false" outlineLevel="0" collapsed="false">
      <c r="M115" s="0" t="s">
        <v>1740</v>
      </c>
      <c r="GE115" s="0" t="s">
        <v>8366</v>
      </c>
      <c r="GI115" s="0" t="s">
        <v>7977</v>
      </c>
      <c r="HC115" s="0" t="s">
        <v>8058</v>
      </c>
      <c r="HZ115" s="0" t="s">
        <v>2369</v>
      </c>
      <c r="JN115" s="0" t="s">
        <v>14210</v>
      </c>
      <c r="KP115" s="0" t="s">
        <v>15064</v>
      </c>
      <c r="MJ115" s="0" t="s">
        <v>16214</v>
      </c>
      <c r="PD115" s="0" t="s">
        <v>19031</v>
      </c>
      <c r="VH115" s="0" t="s">
        <v>21488</v>
      </c>
      <c r="ADO115" s="0" t="s">
        <v>2390</v>
      </c>
    </row>
    <row r="116" customFormat="false" ht="15" hidden="false" customHeight="false" outlineLevel="0" collapsed="false">
      <c r="M116" s="0" t="s">
        <v>1746</v>
      </c>
      <c r="GE116" s="0" t="s">
        <v>8354</v>
      </c>
      <c r="GI116" s="0" t="s">
        <v>8681</v>
      </c>
      <c r="HC116" s="0" t="s">
        <v>8801</v>
      </c>
      <c r="HZ116" s="0" t="s">
        <v>2390</v>
      </c>
      <c r="JN116" s="0" t="s">
        <v>2022</v>
      </c>
      <c r="KP116" s="0" t="s">
        <v>15066</v>
      </c>
      <c r="MJ116" s="0" t="s">
        <v>16219</v>
      </c>
      <c r="PD116" s="0" t="s">
        <v>18971</v>
      </c>
      <c r="VH116" s="0" t="s">
        <v>21454</v>
      </c>
      <c r="ADO116" s="0" t="s">
        <v>25273</v>
      </c>
    </row>
    <row r="117" customFormat="false" ht="15" hidden="false" customHeight="false" outlineLevel="0" collapsed="false">
      <c r="M117" s="0" t="s">
        <v>1752</v>
      </c>
      <c r="GE117" s="0" t="s">
        <v>8357</v>
      </c>
      <c r="GI117" s="0" t="s">
        <v>8683</v>
      </c>
      <c r="HC117" s="0" t="s">
        <v>8060</v>
      </c>
      <c r="HZ117" s="0" t="s">
        <v>2400</v>
      </c>
      <c r="JN117" s="0" t="s">
        <v>5153</v>
      </c>
      <c r="KP117" s="0" t="s">
        <v>15069</v>
      </c>
      <c r="MJ117" s="0" t="s">
        <v>16221</v>
      </c>
      <c r="PD117" s="0" t="s">
        <v>19199</v>
      </c>
      <c r="VH117" s="0" t="s">
        <v>21456</v>
      </c>
      <c r="ADO117" s="0" t="s">
        <v>2400</v>
      </c>
    </row>
    <row r="118" customFormat="false" ht="15" hidden="false" customHeight="false" outlineLevel="0" collapsed="false">
      <c r="M118" s="0" t="s">
        <v>1756</v>
      </c>
      <c r="GE118" s="0" t="s">
        <v>7866</v>
      </c>
      <c r="GI118" s="0" t="s">
        <v>8685</v>
      </c>
      <c r="HC118" s="0" t="s">
        <v>8804</v>
      </c>
      <c r="HZ118" s="0" t="s">
        <v>6291</v>
      </c>
      <c r="JN118" s="0" t="s">
        <v>2037</v>
      </c>
      <c r="KP118" s="0" t="s">
        <v>15071</v>
      </c>
      <c r="MJ118" s="0" t="s">
        <v>16223</v>
      </c>
      <c r="PD118" s="0" t="s">
        <v>19033</v>
      </c>
      <c r="VH118" s="0" t="s">
        <v>21458</v>
      </c>
      <c r="ADO118" s="0" t="s">
        <v>2410</v>
      </c>
    </row>
    <row r="119" customFormat="false" ht="15" hidden="false" customHeight="false" outlineLevel="0" collapsed="false">
      <c r="M119" s="0" t="s">
        <v>1760</v>
      </c>
      <c r="GE119" s="0" t="s">
        <v>8396</v>
      </c>
      <c r="GI119" s="0" t="s">
        <v>8687</v>
      </c>
      <c r="HC119" s="0" t="s">
        <v>8152</v>
      </c>
      <c r="HZ119" s="0" t="s">
        <v>2440</v>
      </c>
      <c r="JN119" s="0" t="s">
        <v>3444</v>
      </c>
      <c r="KP119" s="0" t="s">
        <v>15074</v>
      </c>
      <c r="MJ119" s="0" t="s">
        <v>16225</v>
      </c>
      <c r="PD119" s="0" t="s">
        <v>18973</v>
      </c>
      <c r="VH119" s="0" t="s">
        <v>21480</v>
      </c>
      <c r="ADO119" s="0" t="s">
        <v>2420</v>
      </c>
    </row>
    <row r="120" customFormat="false" ht="15" hidden="false" customHeight="false" outlineLevel="0" collapsed="false">
      <c r="M120" s="0" t="s">
        <v>1764</v>
      </c>
      <c r="GE120" s="0" t="s">
        <v>8117</v>
      </c>
      <c r="GI120" s="0" t="s">
        <v>8962</v>
      </c>
      <c r="HC120" s="0" t="s">
        <v>9111</v>
      </c>
      <c r="HZ120" s="0" t="s">
        <v>5587</v>
      </c>
      <c r="JN120" s="0" t="s">
        <v>2052</v>
      </c>
      <c r="KP120" s="0" t="s">
        <v>15076</v>
      </c>
      <c r="MJ120" s="0" t="s">
        <v>16230</v>
      </c>
      <c r="PD120" s="0" t="s">
        <v>18975</v>
      </c>
      <c r="VH120" s="0" t="s">
        <v>21442</v>
      </c>
      <c r="ADO120" s="0" t="s">
        <v>6291</v>
      </c>
    </row>
    <row r="121" customFormat="false" ht="15" hidden="false" customHeight="false" outlineLevel="0" collapsed="false">
      <c r="M121" s="0" t="s">
        <v>1768</v>
      </c>
      <c r="GE121" s="0" t="s">
        <v>8679</v>
      </c>
      <c r="GI121" s="0" t="s">
        <v>8792</v>
      </c>
      <c r="HC121" s="0" t="s">
        <v>8062</v>
      </c>
      <c r="HZ121" s="0" t="s">
        <v>2460</v>
      </c>
      <c r="JN121" s="0" t="s">
        <v>2067</v>
      </c>
      <c r="KP121" s="0" t="s">
        <v>15079</v>
      </c>
      <c r="MJ121" s="0" t="s">
        <v>16232</v>
      </c>
      <c r="PD121" s="0" t="s">
        <v>19035</v>
      </c>
      <c r="VH121" s="0" t="s">
        <v>21464</v>
      </c>
      <c r="ADO121" s="0" t="s">
        <v>2440</v>
      </c>
    </row>
    <row r="122" customFormat="false" ht="15" hidden="false" customHeight="false" outlineLevel="0" collapsed="false">
      <c r="M122" s="0" t="s">
        <v>1772</v>
      </c>
      <c r="GE122" s="0" t="s">
        <v>7899</v>
      </c>
      <c r="GI122" s="0" t="s">
        <v>8965</v>
      </c>
      <c r="HC122" s="0" t="s">
        <v>8064</v>
      </c>
      <c r="HZ122" s="0" t="s">
        <v>2470</v>
      </c>
      <c r="JN122" s="0" t="s">
        <v>5214</v>
      </c>
      <c r="KP122" s="0" t="s">
        <v>15081</v>
      </c>
      <c r="MJ122" s="0" t="s">
        <v>16238</v>
      </c>
      <c r="PD122" s="0" t="s">
        <v>18979</v>
      </c>
      <c r="VH122" s="0" t="s">
        <v>21466</v>
      </c>
      <c r="ADO122" s="0" t="s">
        <v>2500</v>
      </c>
    </row>
    <row r="123" customFormat="false" ht="15" hidden="false" customHeight="false" outlineLevel="0" collapsed="false">
      <c r="M123" s="0" t="s">
        <v>1776</v>
      </c>
      <c r="GE123" s="0" t="s">
        <v>8389</v>
      </c>
      <c r="GI123" s="0" t="s">
        <v>8794</v>
      </c>
      <c r="HC123" s="0" t="s">
        <v>8586</v>
      </c>
      <c r="HZ123" s="0" t="s">
        <v>2500</v>
      </c>
      <c r="JN123" s="0" t="s">
        <v>2082</v>
      </c>
      <c r="KP123" s="0" t="s">
        <v>15084</v>
      </c>
      <c r="MJ123" s="0" t="s">
        <v>16240</v>
      </c>
      <c r="PD123" s="0" t="s">
        <v>19037</v>
      </c>
      <c r="VH123" s="0" t="s">
        <v>21460</v>
      </c>
      <c r="ADO123" s="0" t="s">
        <v>25276</v>
      </c>
    </row>
    <row r="124" customFormat="false" ht="15" hidden="false" customHeight="false" outlineLevel="0" collapsed="false">
      <c r="M124" s="0" t="s">
        <v>1780</v>
      </c>
      <c r="GE124" s="0" t="s">
        <v>8672</v>
      </c>
      <c r="GI124" s="0" t="s">
        <v>7875</v>
      </c>
      <c r="HC124" s="0" t="s">
        <v>8810</v>
      </c>
      <c r="HZ124" s="0" t="s">
        <v>2510</v>
      </c>
      <c r="JN124" s="0" t="s">
        <v>2097</v>
      </c>
      <c r="KP124" s="0" t="s">
        <v>15086</v>
      </c>
      <c r="MJ124" s="0" t="s">
        <v>16245</v>
      </c>
      <c r="PD124" s="0" t="s">
        <v>19041</v>
      </c>
      <c r="VH124" s="0" t="s">
        <v>21462</v>
      </c>
      <c r="ADO124" s="0" t="s">
        <v>25278</v>
      </c>
    </row>
    <row r="125" customFormat="false" ht="15" hidden="false" customHeight="false" outlineLevel="0" collapsed="false">
      <c r="M125" s="0" t="s">
        <v>1784</v>
      </c>
      <c r="GE125" s="0" t="s">
        <v>7994</v>
      </c>
      <c r="GI125" s="0" t="s">
        <v>8580</v>
      </c>
      <c r="HC125" s="0" t="s">
        <v>8066</v>
      </c>
      <c r="HZ125" s="0" t="s">
        <v>2520</v>
      </c>
      <c r="JN125" s="0" t="s">
        <v>2112</v>
      </c>
      <c r="KP125" s="0" t="s">
        <v>15089</v>
      </c>
      <c r="MJ125" s="0" t="s">
        <v>16251</v>
      </c>
      <c r="PD125" s="0" t="s">
        <v>18983</v>
      </c>
      <c r="VH125" s="0" t="s">
        <v>21565</v>
      </c>
      <c r="ADO125" s="0" t="s">
        <v>1733</v>
      </c>
    </row>
    <row r="126" customFormat="false" ht="15" hidden="false" customHeight="false" outlineLevel="0" collapsed="false">
      <c r="M126" s="0" t="s">
        <v>1788</v>
      </c>
      <c r="GE126" s="0" t="s">
        <v>8109</v>
      </c>
      <c r="GI126" s="0" t="s">
        <v>7999</v>
      </c>
      <c r="HC126" s="0" t="s">
        <v>8813</v>
      </c>
      <c r="HZ126" s="0" t="s">
        <v>12304</v>
      </c>
      <c r="JN126" s="0" t="s">
        <v>2127</v>
      </c>
      <c r="KP126" s="0" t="s">
        <v>15091</v>
      </c>
      <c r="MJ126" s="0" t="s">
        <v>16256</v>
      </c>
      <c r="PD126" s="0" t="s">
        <v>19043</v>
      </c>
      <c r="ADO126" s="0" t="s">
        <v>1768</v>
      </c>
    </row>
    <row r="127" customFormat="false" ht="15" hidden="false" customHeight="false" outlineLevel="0" collapsed="false">
      <c r="M127" s="0" t="s">
        <v>1792</v>
      </c>
      <c r="GE127" s="0" t="s">
        <v>8950</v>
      </c>
      <c r="GI127" s="0" t="s">
        <v>8058</v>
      </c>
      <c r="HC127" s="0" t="s">
        <v>8719</v>
      </c>
      <c r="HZ127" s="0" t="s">
        <v>11807</v>
      </c>
      <c r="JN127" s="0" t="s">
        <v>2142</v>
      </c>
      <c r="KP127" s="0" t="s">
        <v>15096</v>
      </c>
      <c r="MJ127" s="0" t="s">
        <v>16258</v>
      </c>
      <c r="PD127" s="0" t="s">
        <v>19045</v>
      </c>
      <c r="ADO127" s="0" t="s">
        <v>25289</v>
      </c>
    </row>
    <row r="128" customFormat="false" ht="15" hidden="false" customHeight="false" outlineLevel="0" collapsed="false">
      <c r="M128" s="0" t="s">
        <v>1797</v>
      </c>
      <c r="GE128" s="0" t="s">
        <v>8017</v>
      </c>
      <c r="GI128" s="0" t="s">
        <v>8801</v>
      </c>
      <c r="HC128" s="0" t="s">
        <v>10777</v>
      </c>
      <c r="HZ128" s="0" t="s">
        <v>2540</v>
      </c>
      <c r="JN128" s="0" t="s">
        <v>2147</v>
      </c>
      <c r="KP128" s="0" t="s">
        <v>15098</v>
      </c>
      <c r="PD128" s="0" t="s">
        <v>18985</v>
      </c>
      <c r="ADO128" s="0" t="s">
        <v>3253</v>
      </c>
    </row>
    <row r="129" customFormat="false" ht="15" hidden="false" customHeight="false" outlineLevel="0" collapsed="false">
      <c r="M129" s="0" t="s">
        <v>1802</v>
      </c>
      <c r="GE129" s="0" t="s">
        <v>8112</v>
      </c>
      <c r="GI129" s="0" t="s">
        <v>8060</v>
      </c>
      <c r="HC129" s="0" t="s">
        <v>7985</v>
      </c>
      <c r="HZ129" s="0" t="s">
        <v>2546</v>
      </c>
      <c r="JN129" s="0" t="s">
        <v>3637</v>
      </c>
      <c r="KP129" s="0" t="s">
        <v>15101</v>
      </c>
      <c r="PD129" s="0" t="s">
        <v>19049</v>
      </c>
      <c r="ADO129" s="0" t="s">
        <v>1881</v>
      </c>
    </row>
    <row r="130" customFormat="false" ht="15" hidden="false" customHeight="false" outlineLevel="0" collapsed="false">
      <c r="M130" s="0" t="s">
        <v>1807</v>
      </c>
      <c r="GE130" s="0" t="s">
        <v>8114</v>
      </c>
      <c r="GI130" s="0" t="s">
        <v>8804</v>
      </c>
      <c r="HC130" s="0" t="s">
        <v>8075</v>
      </c>
      <c r="HZ130" s="0" t="s">
        <v>12496</v>
      </c>
      <c r="JN130" s="0" t="s">
        <v>14227</v>
      </c>
      <c r="KP130" s="0" t="s">
        <v>15103</v>
      </c>
      <c r="PD130" s="0" t="s">
        <v>19000</v>
      </c>
    </row>
    <row r="131" customFormat="false" ht="15" hidden="false" customHeight="false" outlineLevel="0" collapsed="false">
      <c r="M131" s="0" t="s">
        <v>1812</v>
      </c>
      <c r="GE131" s="0" t="s">
        <v>9052</v>
      </c>
      <c r="GI131" s="0" t="s">
        <v>8152</v>
      </c>
      <c r="HC131" s="0" t="s">
        <v>8824</v>
      </c>
      <c r="HZ131" s="0" t="s">
        <v>12498</v>
      </c>
      <c r="JN131" s="0" t="s">
        <v>5362</v>
      </c>
      <c r="KP131" s="0" t="s">
        <v>15107</v>
      </c>
      <c r="PD131" s="0" t="s">
        <v>18882</v>
      </c>
    </row>
    <row r="132" customFormat="false" ht="15" hidden="false" customHeight="false" outlineLevel="0" collapsed="false">
      <c r="M132" s="0" t="s">
        <v>1817</v>
      </c>
      <c r="GE132" s="0" t="s">
        <v>8148</v>
      </c>
      <c r="GI132" s="0" t="s">
        <v>9109</v>
      </c>
      <c r="HC132" s="0" t="s">
        <v>8077</v>
      </c>
      <c r="HZ132" s="0" t="s">
        <v>12500</v>
      </c>
      <c r="JN132" s="0" t="s">
        <v>2162</v>
      </c>
      <c r="KP132" s="0" t="s">
        <v>15112</v>
      </c>
    </row>
    <row r="133" customFormat="false" ht="15" hidden="false" customHeight="false" outlineLevel="0" collapsed="false">
      <c r="M133" s="0" t="s">
        <v>1822</v>
      </c>
      <c r="GE133" s="0" t="s">
        <v>9055</v>
      </c>
      <c r="GI133" s="0" t="s">
        <v>9111</v>
      </c>
      <c r="HC133" s="0" t="s">
        <v>8079</v>
      </c>
      <c r="HZ133" s="0" t="s">
        <v>1733</v>
      </c>
      <c r="JN133" s="0" t="s">
        <v>14230</v>
      </c>
      <c r="KP133" s="0" t="s">
        <v>15116</v>
      </c>
    </row>
    <row r="134" customFormat="false" ht="15" hidden="false" customHeight="false" outlineLevel="0" collapsed="false">
      <c r="M134" s="0" t="s">
        <v>1827</v>
      </c>
      <c r="GE134" s="0" t="s">
        <v>8409</v>
      </c>
      <c r="GI134" s="0" t="s">
        <v>8987</v>
      </c>
      <c r="HC134" s="0" t="s">
        <v>8081</v>
      </c>
      <c r="HZ134" s="0" t="s">
        <v>12208</v>
      </c>
      <c r="JN134" s="0" t="s">
        <v>2177</v>
      </c>
      <c r="KP134" s="0" t="s">
        <v>15183</v>
      </c>
    </row>
    <row r="135" customFormat="false" ht="15" hidden="false" customHeight="false" outlineLevel="0" collapsed="false">
      <c r="M135" s="0" t="s">
        <v>1832</v>
      </c>
      <c r="GE135" s="0" t="s">
        <v>8697</v>
      </c>
      <c r="GI135" s="0" t="s">
        <v>9003</v>
      </c>
      <c r="HC135" s="0" t="s">
        <v>9134</v>
      </c>
      <c r="HZ135" s="0" t="s">
        <v>12210</v>
      </c>
      <c r="JN135" s="0" t="s">
        <v>2182</v>
      </c>
      <c r="KP135" s="0" t="s">
        <v>15187</v>
      </c>
    </row>
    <row r="136" customFormat="false" ht="15" hidden="false" customHeight="false" outlineLevel="0" collapsed="false">
      <c r="M136" s="0" t="s">
        <v>1836</v>
      </c>
      <c r="GE136" s="0" t="s">
        <v>8401</v>
      </c>
      <c r="GI136" s="0" t="s">
        <v>9005</v>
      </c>
      <c r="HC136" s="0" t="s">
        <v>8068</v>
      </c>
      <c r="HZ136" s="0" t="s">
        <v>1740</v>
      </c>
      <c r="JN136" s="0" t="s">
        <v>2187</v>
      </c>
      <c r="KP136" s="0" t="s">
        <v>15191</v>
      </c>
    </row>
    <row r="137" customFormat="false" ht="15" hidden="false" customHeight="false" outlineLevel="0" collapsed="false">
      <c r="M137" s="0" t="s">
        <v>1840</v>
      </c>
      <c r="GE137" s="0" t="s">
        <v>8406</v>
      </c>
      <c r="GI137" s="0" t="s">
        <v>8062</v>
      </c>
      <c r="HC137" s="0" t="s">
        <v>8817</v>
      </c>
      <c r="HZ137" s="0" t="s">
        <v>1746</v>
      </c>
      <c r="JN137" s="0" t="s">
        <v>11740</v>
      </c>
      <c r="KP137" s="0" t="s">
        <v>15193</v>
      </c>
    </row>
    <row r="138" customFormat="false" ht="15" hidden="false" customHeight="false" outlineLevel="0" collapsed="false">
      <c r="M138" s="0" t="s">
        <v>1844</v>
      </c>
      <c r="GE138" s="0" t="s">
        <v>8691</v>
      </c>
      <c r="GI138" s="0" t="s">
        <v>8064</v>
      </c>
      <c r="HC138" s="0" t="s">
        <v>8070</v>
      </c>
      <c r="HZ138" s="0" t="s">
        <v>1752</v>
      </c>
      <c r="JN138" s="0" t="s">
        <v>2212</v>
      </c>
      <c r="KP138" s="0" t="s">
        <v>15195</v>
      </c>
    </row>
    <row r="139" customFormat="false" ht="15" hidden="false" customHeight="false" outlineLevel="0" collapsed="false">
      <c r="M139" s="0" t="s">
        <v>1848</v>
      </c>
      <c r="GE139" s="0" t="s">
        <v>8022</v>
      </c>
      <c r="GI139" s="0" t="s">
        <v>8586</v>
      </c>
      <c r="HC139" s="0" t="s">
        <v>8072</v>
      </c>
      <c r="HZ139" s="0" t="s">
        <v>1768</v>
      </c>
      <c r="JN139" s="0" t="s">
        <v>12287</v>
      </c>
      <c r="KP139" s="0" t="s">
        <v>15197</v>
      </c>
    </row>
    <row r="140" customFormat="false" ht="15" hidden="false" customHeight="false" outlineLevel="0" collapsed="false">
      <c r="M140" s="0" t="s">
        <v>1852</v>
      </c>
      <c r="GE140" s="0" t="s">
        <v>8694</v>
      </c>
      <c r="GI140" s="0" t="s">
        <v>8810</v>
      </c>
      <c r="HC140" s="0" t="s">
        <v>8723</v>
      </c>
      <c r="HZ140" s="0" t="s">
        <v>3253</v>
      </c>
      <c r="JN140" s="0" t="s">
        <v>13957</v>
      </c>
      <c r="KP140" s="0" t="s">
        <v>15199</v>
      </c>
    </row>
    <row r="141" customFormat="false" ht="15" hidden="false" customHeight="false" outlineLevel="0" collapsed="false">
      <c r="M141" s="0" t="s">
        <v>1856</v>
      </c>
      <c r="GE141" s="0" t="s">
        <v>8973</v>
      </c>
      <c r="GI141" s="0" t="s">
        <v>8066</v>
      </c>
      <c r="HC141" s="0" t="s">
        <v>9121</v>
      </c>
      <c r="HZ141" s="0" t="s">
        <v>1802</v>
      </c>
      <c r="JN141" s="0" t="s">
        <v>2227</v>
      </c>
      <c r="KP141" s="0" t="s">
        <v>15201</v>
      </c>
    </row>
    <row r="142" customFormat="false" ht="15" hidden="false" customHeight="false" outlineLevel="0" collapsed="false">
      <c r="M142" s="0" t="s">
        <v>1861</v>
      </c>
      <c r="GE142" s="0" t="s">
        <v>8119</v>
      </c>
      <c r="GI142" s="0" t="s">
        <v>8813</v>
      </c>
      <c r="HC142" s="0" t="s">
        <v>8829</v>
      </c>
      <c r="HZ142" s="0" t="s">
        <v>1807</v>
      </c>
      <c r="JN142" s="0" t="s">
        <v>5448</v>
      </c>
      <c r="KP142" s="0" t="s">
        <v>15135</v>
      </c>
    </row>
    <row r="143" customFormat="false" ht="15" hidden="false" customHeight="false" outlineLevel="0" collapsed="false">
      <c r="M143" s="0" t="s">
        <v>1866</v>
      </c>
      <c r="GE143" s="0" t="s">
        <v>8976</v>
      </c>
      <c r="GI143" s="0" t="s">
        <v>8719</v>
      </c>
      <c r="HC143" s="0" t="s">
        <v>8831</v>
      </c>
      <c r="HZ143" s="0" t="s">
        <v>11780</v>
      </c>
      <c r="JN143" s="0" t="s">
        <v>13960</v>
      </c>
      <c r="KP143" s="0" t="s">
        <v>15137</v>
      </c>
    </row>
    <row r="144" customFormat="false" ht="15" hidden="false" customHeight="false" outlineLevel="0" collapsed="false">
      <c r="M144" s="0" t="s">
        <v>1871</v>
      </c>
      <c r="GE144" s="0" t="s">
        <v>8978</v>
      </c>
      <c r="GI144" s="0" t="s">
        <v>7985</v>
      </c>
      <c r="HC144" s="0" t="s">
        <v>8083</v>
      </c>
      <c r="HZ144" s="0" t="s">
        <v>1817</v>
      </c>
      <c r="JN144" s="0" t="s">
        <v>2297</v>
      </c>
      <c r="KP144" s="0" t="s">
        <v>15141</v>
      </c>
    </row>
    <row r="145" customFormat="false" ht="15" hidden="false" customHeight="false" outlineLevel="0" collapsed="false">
      <c r="M145" s="0" t="s">
        <v>1876</v>
      </c>
      <c r="GE145" s="0" t="s">
        <v>9064</v>
      </c>
      <c r="GI145" s="0" t="s">
        <v>8075</v>
      </c>
      <c r="HC145" s="0" t="s">
        <v>8834</v>
      </c>
      <c r="HZ145" s="0" t="s">
        <v>1822</v>
      </c>
      <c r="JN145" s="0" t="s">
        <v>13963</v>
      </c>
      <c r="KP145" s="0" t="s">
        <v>15143</v>
      </c>
    </row>
    <row r="146" customFormat="false" ht="15" hidden="false" customHeight="false" outlineLevel="0" collapsed="false">
      <c r="M146" s="0" t="s">
        <v>1881</v>
      </c>
      <c r="GE146" s="0" t="s">
        <v>9066</v>
      </c>
      <c r="GI146" s="0" t="s">
        <v>8824</v>
      </c>
      <c r="HC146" s="0" t="s">
        <v>10796</v>
      </c>
      <c r="HZ146" s="0" t="s">
        <v>12219</v>
      </c>
      <c r="JN146" s="0" t="s">
        <v>2315</v>
      </c>
      <c r="KP146" s="0" t="s">
        <v>15146</v>
      </c>
    </row>
    <row r="147" customFormat="false" ht="15" hidden="false" customHeight="false" outlineLevel="0" collapsed="false">
      <c r="M147" s="0" t="s">
        <v>1886</v>
      </c>
      <c r="GE147" s="0" t="s">
        <v>9068</v>
      </c>
      <c r="GI147" s="0" t="s">
        <v>8077</v>
      </c>
      <c r="HC147" s="0" t="s">
        <v>10814</v>
      </c>
      <c r="HZ147" s="0" t="s">
        <v>5513</v>
      </c>
      <c r="JN147" s="0" t="s">
        <v>2327</v>
      </c>
      <c r="KP147" s="0" t="s">
        <v>15148</v>
      </c>
    </row>
    <row r="148" customFormat="false" ht="15" hidden="false" customHeight="false" outlineLevel="0" collapsed="false">
      <c r="M148" s="0" t="s">
        <v>1890</v>
      </c>
      <c r="GE148" s="0" t="s">
        <v>7977</v>
      </c>
      <c r="GI148" s="0" t="s">
        <v>8079</v>
      </c>
      <c r="HC148" s="0" t="s">
        <v>10816</v>
      </c>
      <c r="HZ148" s="0" t="s">
        <v>1866</v>
      </c>
      <c r="JN148" s="0" t="s">
        <v>2351</v>
      </c>
      <c r="KP148" s="0" t="s">
        <v>15151</v>
      </c>
    </row>
    <row r="149" customFormat="false" ht="15" hidden="false" customHeight="false" outlineLevel="0" collapsed="false">
      <c r="M149" s="0" t="s">
        <v>1894</v>
      </c>
      <c r="GE149" s="0" t="s">
        <v>8681</v>
      </c>
      <c r="GI149" s="0" t="s">
        <v>8081</v>
      </c>
      <c r="HC149" s="0" t="s">
        <v>8085</v>
      </c>
      <c r="HZ149" s="0" t="s">
        <v>1881</v>
      </c>
      <c r="JN149" s="0" t="s">
        <v>2363</v>
      </c>
      <c r="KP149" s="0" t="s">
        <v>15153</v>
      </c>
    </row>
    <row r="150" customFormat="false" ht="15" hidden="false" customHeight="false" outlineLevel="0" collapsed="false">
      <c r="M150" s="0" t="s">
        <v>1898</v>
      </c>
      <c r="GE150" s="0" t="s">
        <v>8683</v>
      </c>
      <c r="GI150" s="0" t="s">
        <v>9132</v>
      </c>
      <c r="HC150" s="0" t="s">
        <v>8087</v>
      </c>
      <c r="HZ150" s="0" t="s">
        <v>1894</v>
      </c>
      <c r="JN150" s="0" t="s">
        <v>2369</v>
      </c>
      <c r="KP150" s="0" t="s">
        <v>15156</v>
      </c>
    </row>
    <row r="151" customFormat="false" ht="15" hidden="false" customHeight="false" outlineLevel="0" collapsed="false">
      <c r="M151" s="0" t="s">
        <v>1902</v>
      </c>
      <c r="GE151" s="0" t="s">
        <v>8685</v>
      </c>
      <c r="GI151" s="0" t="s">
        <v>9134</v>
      </c>
      <c r="HC151" s="0" t="s">
        <v>8089</v>
      </c>
      <c r="HZ151" s="0" t="s">
        <v>11727</v>
      </c>
      <c r="JN151" s="0" t="s">
        <v>2380</v>
      </c>
      <c r="KP151" s="0" t="s">
        <v>15158</v>
      </c>
    </row>
    <row r="152" customFormat="false" ht="15" hidden="false" customHeight="false" outlineLevel="0" collapsed="false">
      <c r="M152" s="0" t="s">
        <v>1906</v>
      </c>
      <c r="GE152" s="0" t="s">
        <v>8687</v>
      </c>
      <c r="GI152" s="0" t="s">
        <v>8994</v>
      </c>
      <c r="HC152" s="0" t="s">
        <v>9142</v>
      </c>
      <c r="HZ152" s="0" t="s">
        <v>1902</v>
      </c>
      <c r="JN152" s="0" t="s">
        <v>2400</v>
      </c>
      <c r="KP152" s="0" t="s">
        <v>15161</v>
      </c>
    </row>
    <row r="153" customFormat="false" ht="15" hidden="false" customHeight="false" outlineLevel="0" collapsed="false">
      <c r="M153" s="0" t="s">
        <v>1910</v>
      </c>
      <c r="GE153" s="0" t="s">
        <v>8962</v>
      </c>
      <c r="GI153" s="0" t="s">
        <v>8154</v>
      </c>
      <c r="HC153" s="0" t="s">
        <v>9020</v>
      </c>
      <c r="HZ153" s="0" t="s">
        <v>12229</v>
      </c>
      <c r="JN153" s="0" t="s">
        <v>2440</v>
      </c>
      <c r="KP153" s="0" t="s">
        <v>15163</v>
      </c>
    </row>
    <row r="154" customFormat="false" ht="15" hidden="false" customHeight="false" outlineLevel="0" collapsed="false">
      <c r="M154" s="0" t="s">
        <v>1914</v>
      </c>
      <c r="GE154" s="0" t="s">
        <v>8792</v>
      </c>
      <c r="GI154" s="0" t="s">
        <v>9013</v>
      </c>
      <c r="HC154" s="0" t="s">
        <v>9022</v>
      </c>
      <c r="HZ154" s="0" t="s">
        <v>12413</v>
      </c>
      <c r="JN154" s="0" t="s">
        <v>5587</v>
      </c>
      <c r="KP154" s="0" t="s">
        <v>15169</v>
      </c>
    </row>
    <row r="155" customFormat="false" ht="15" hidden="false" customHeight="false" outlineLevel="0" collapsed="false">
      <c r="M155" s="0" t="s">
        <v>1918</v>
      </c>
      <c r="GE155" s="0" t="s">
        <v>8965</v>
      </c>
      <c r="GI155" s="0" t="s">
        <v>8068</v>
      </c>
      <c r="HC155" s="0" t="s">
        <v>8045</v>
      </c>
      <c r="HZ155" s="0" t="s">
        <v>1924</v>
      </c>
      <c r="JN155" s="0" t="s">
        <v>2460</v>
      </c>
      <c r="KP155" s="0" t="s">
        <v>15171</v>
      </c>
    </row>
    <row r="156" customFormat="false" ht="15" hidden="false" customHeight="false" outlineLevel="0" collapsed="false">
      <c r="M156" s="0" t="s">
        <v>1924</v>
      </c>
      <c r="GE156" s="0" t="s">
        <v>8794</v>
      </c>
      <c r="GI156" s="0" t="s">
        <v>8817</v>
      </c>
      <c r="HC156" s="0" t="s">
        <v>8840</v>
      </c>
      <c r="HZ156" s="0" t="s">
        <v>12237</v>
      </c>
      <c r="JN156" s="0" t="s">
        <v>2470</v>
      </c>
      <c r="KP156" s="0" t="s">
        <v>15174</v>
      </c>
    </row>
    <row r="157" customFormat="false" ht="15" hidden="false" customHeight="false" outlineLevel="0" collapsed="false">
      <c r="M157" s="0" t="s">
        <v>1930</v>
      </c>
      <c r="GE157" s="0" t="s">
        <v>7875</v>
      </c>
      <c r="GI157" s="0" t="s">
        <v>8070</v>
      </c>
      <c r="HC157" s="0" t="s">
        <v>9150</v>
      </c>
      <c r="HZ157" s="0" t="s">
        <v>12422</v>
      </c>
      <c r="JN157" s="0" t="s">
        <v>2500</v>
      </c>
      <c r="KP157" s="0" t="s">
        <v>15176</v>
      </c>
    </row>
    <row r="158" customFormat="false" ht="15" hidden="false" customHeight="false" outlineLevel="0" collapsed="false">
      <c r="M158" s="0" t="s">
        <v>1936</v>
      </c>
      <c r="GE158" s="0" t="s">
        <v>8180</v>
      </c>
      <c r="GI158" s="0" t="s">
        <v>8072</v>
      </c>
      <c r="HC158" s="0" t="s">
        <v>9028</v>
      </c>
      <c r="JN158" s="0" t="s">
        <v>2540</v>
      </c>
      <c r="KP158" s="0" t="s">
        <v>15180</v>
      </c>
    </row>
    <row r="159" customFormat="false" ht="15" hidden="false" customHeight="false" outlineLevel="0" collapsed="false">
      <c r="M159" s="0" t="s">
        <v>1942</v>
      </c>
      <c r="GE159" s="0" t="s">
        <v>8580</v>
      </c>
      <c r="GI159" s="0" t="s">
        <v>8723</v>
      </c>
      <c r="HC159" s="0" t="s">
        <v>9030</v>
      </c>
      <c r="JN159" s="0" t="s">
        <v>1733</v>
      </c>
      <c r="KP159" s="0" t="s">
        <v>15185</v>
      </c>
    </row>
    <row r="160" customFormat="false" ht="15" hidden="false" customHeight="false" outlineLevel="0" collapsed="false">
      <c r="M160" s="0" t="s">
        <v>1948</v>
      </c>
      <c r="GE160" s="0" t="s">
        <v>7999</v>
      </c>
      <c r="GI160" s="0" t="s">
        <v>9119</v>
      </c>
      <c r="HC160" s="0" t="s">
        <v>8047</v>
      </c>
      <c r="JN160" s="0" t="s">
        <v>12208</v>
      </c>
      <c r="KP160" s="0" t="s">
        <v>15189</v>
      </c>
    </row>
    <row r="161" customFormat="false" ht="15" hidden="false" customHeight="false" outlineLevel="0" collapsed="false">
      <c r="M161" s="0" t="s">
        <v>1954</v>
      </c>
      <c r="GE161" s="0" t="s">
        <v>8058</v>
      </c>
      <c r="GI161" s="0" t="s">
        <v>9121</v>
      </c>
      <c r="HC161" s="0" t="s">
        <v>9157</v>
      </c>
      <c r="JN161" s="0" t="s">
        <v>1740</v>
      </c>
    </row>
    <row r="162" customFormat="false" ht="15" hidden="false" customHeight="false" outlineLevel="0" collapsed="false">
      <c r="M162" s="0" t="s">
        <v>1960</v>
      </c>
      <c r="GE162" s="0" t="s">
        <v>8801</v>
      </c>
      <c r="GI162" s="0" t="s">
        <v>9123</v>
      </c>
      <c r="HC162" s="0" t="s">
        <v>9034</v>
      </c>
      <c r="JN162" s="0" t="s">
        <v>1746</v>
      </c>
    </row>
    <row r="163" customFormat="false" ht="15" hidden="false" customHeight="false" outlineLevel="0" collapsed="false">
      <c r="M163" s="0" t="s">
        <v>1966</v>
      </c>
      <c r="GE163" s="0" t="s">
        <v>8060</v>
      </c>
      <c r="GI163" s="0" t="s">
        <v>9125</v>
      </c>
      <c r="HC163" s="0" t="s">
        <v>9166</v>
      </c>
      <c r="JN163" s="0" t="s">
        <v>13944</v>
      </c>
    </row>
    <row r="164" customFormat="false" ht="15" hidden="false" customHeight="false" outlineLevel="0" collapsed="false">
      <c r="GE164" s="0" t="s">
        <v>8804</v>
      </c>
      <c r="GI164" s="0" t="s">
        <v>8829</v>
      </c>
      <c r="HC164" s="0" t="s">
        <v>9169</v>
      </c>
      <c r="JN164" s="0" t="s">
        <v>1881</v>
      </c>
    </row>
    <row r="165" customFormat="false" ht="15" hidden="false" customHeight="false" outlineLevel="0" collapsed="false">
      <c r="GE165" s="0" t="s">
        <v>8152</v>
      </c>
      <c r="GI165" s="0" t="s">
        <v>8831</v>
      </c>
      <c r="HC165" s="0" t="s">
        <v>8145</v>
      </c>
      <c r="JN165" s="0" t="s">
        <v>1894</v>
      </c>
    </row>
    <row r="166" customFormat="false" ht="15" hidden="false" customHeight="false" outlineLevel="0" collapsed="false">
      <c r="GE166" s="0" t="s">
        <v>9109</v>
      </c>
      <c r="GI166" s="0" t="s">
        <v>8083</v>
      </c>
      <c r="JN166" s="0" t="s">
        <v>4609</v>
      </c>
    </row>
    <row r="167" customFormat="false" ht="15" hidden="false" customHeight="false" outlineLevel="0" collapsed="false">
      <c r="GE167" s="0" t="s">
        <v>9111</v>
      </c>
      <c r="GI167" s="0" t="s">
        <v>8834</v>
      </c>
      <c r="JN167" s="0" t="s">
        <v>1924</v>
      </c>
    </row>
    <row r="168" customFormat="false" ht="15" hidden="false" customHeight="false" outlineLevel="0" collapsed="false">
      <c r="GE168" s="0" t="s">
        <v>8987</v>
      </c>
      <c r="GI168" s="0" t="s">
        <v>8085</v>
      </c>
      <c r="JN168" s="0" t="s">
        <v>1954</v>
      </c>
    </row>
    <row r="169" customFormat="false" ht="15" hidden="false" customHeight="false" outlineLevel="0" collapsed="false">
      <c r="GE169" s="0" t="s">
        <v>9003</v>
      </c>
      <c r="GI169" s="0" t="s">
        <v>8087</v>
      </c>
    </row>
    <row r="170" customFormat="false" ht="15" hidden="false" customHeight="false" outlineLevel="0" collapsed="false">
      <c r="GE170" s="0" t="s">
        <v>9005</v>
      </c>
      <c r="GI170" s="0" t="s">
        <v>8089</v>
      </c>
    </row>
    <row r="171" customFormat="false" ht="15" hidden="false" customHeight="false" outlineLevel="0" collapsed="false">
      <c r="GE171" s="0" t="s">
        <v>8170</v>
      </c>
      <c r="GI171" s="0" t="s">
        <v>8137</v>
      </c>
    </row>
    <row r="172" customFormat="false" ht="15" hidden="false" customHeight="false" outlineLevel="0" collapsed="false">
      <c r="GE172" s="0" t="s">
        <v>8062</v>
      </c>
      <c r="GI172" s="0" t="s">
        <v>9142</v>
      </c>
    </row>
    <row r="173" customFormat="false" ht="15" hidden="false" customHeight="false" outlineLevel="0" collapsed="false">
      <c r="GE173" s="0" t="s">
        <v>8064</v>
      </c>
      <c r="GI173" s="0" t="s">
        <v>9018</v>
      </c>
    </row>
    <row r="174" customFormat="false" ht="15" hidden="false" customHeight="false" outlineLevel="0" collapsed="false">
      <c r="GE174" s="0" t="s">
        <v>8586</v>
      </c>
      <c r="GI174" s="0" t="s">
        <v>9020</v>
      </c>
    </row>
    <row r="175" customFormat="false" ht="15" hidden="false" customHeight="false" outlineLevel="0" collapsed="false">
      <c r="GE175" s="0" t="s">
        <v>8810</v>
      </c>
      <c r="GI175" s="0" t="s">
        <v>9022</v>
      </c>
    </row>
    <row r="176" customFormat="false" ht="15" hidden="false" customHeight="false" outlineLevel="0" collapsed="false">
      <c r="GE176" s="0" t="s">
        <v>8066</v>
      </c>
      <c r="GI176" s="0" t="s">
        <v>9198</v>
      </c>
    </row>
    <row r="177" customFormat="false" ht="15" hidden="false" customHeight="false" outlineLevel="0" collapsed="false">
      <c r="GE177" s="0" t="s">
        <v>8813</v>
      </c>
      <c r="GI177" s="0" t="s">
        <v>9177</v>
      </c>
    </row>
    <row r="178" customFormat="false" ht="15" hidden="false" customHeight="false" outlineLevel="0" collapsed="false">
      <c r="GE178" s="0" t="s">
        <v>8719</v>
      </c>
      <c r="GI178" s="0" t="s">
        <v>8045</v>
      </c>
    </row>
    <row r="179" customFormat="false" ht="15" hidden="false" customHeight="false" outlineLevel="0" collapsed="false">
      <c r="GE179" s="0" t="s">
        <v>7985</v>
      </c>
      <c r="GI179" s="0" t="s">
        <v>8840</v>
      </c>
    </row>
    <row r="180" customFormat="false" ht="15" hidden="false" customHeight="false" outlineLevel="0" collapsed="false">
      <c r="GE180" s="0" t="s">
        <v>8075</v>
      </c>
      <c r="GI180" s="0" t="s">
        <v>9148</v>
      </c>
    </row>
    <row r="181" customFormat="false" ht="15" hidden="false" customHeight="false" outlineLevel="0" collapsed="false">
      <c r="GE181" s="0" t="s">
        <v>8824</v>
      </c>
      <c r="GI181" s="0" t="s">
        <v>9150</v>
      </c>
    </row>
    <row r="182" customFormat="false" ht="15" hidden="false" customHeight="false" outlineLevel="0" collapsed="false">
      <c r="GE182" s="0" t="s">
        <v>8077</v>
      </c>
      <c r="GI182" s="0" t="s">
        <v>9026</v>
      </c>
    </row>
    <row r="183" customFormat="false" ht="15" hidden="false" customHeight="false" outlineLevel="0" collapsed="false">
      <c r="GE183" s="0" t="s">
        <v>8079</v>
      </c>
      <c r="GI183" s="0" t="s">
        <v>9028</v>
      </c>
    </row>
    <row r="184" customFormat="false" ht="15" hidden="false" customHeight="false" outlineLevel="0" collapsed="false">
      <c r="GE184" s="0" t="s">
        <v>8081</v>
      </c>
      <c r="GI184" s="0" t="s">
        <v>9030</v>
      </c>
    </row>
    <row r="185" customFormat="false" ht="15" hidden="false" customHeight="false" outlineLevel="0" collapsed="false">
      <c r="GE185" s="0" t="s">
        <v>9132</v>
      </c>
      <c r="GI185" s="0" t="s">
        <v>8047</v>
      </c>
    </row>
    <row r="186" customFormat="false" ht="15" hidden="false" customHeight="false" outlineLevel="0" collapsed="false">
      <c r="GE186" s="0" t="s">
        <v>9134</v>
      </c>
      <c r="GI186" s="0" t="s">
        <v>9155</v>
      </c>
    </row>
    <row r="187" customFormat="false" ht="15" hidden="false" customHeight="false" outlineLevel="0" collapsed="false">
      <c r="GE187" s="0" t="s">
        <v>8994</v>
      </c>
      <c r="GI187" s="0" t="s">
        <v>9157</v>
      </c>
    </row>
    <row r="188" customFormat="false" ht="15" hidden="false" customHeight="false" outlineLevel="0" collapsed="false">
      <c r="GE188" s="0" t="s">
        <v>8154</v>
      </c>
      <c r="GI188" s="0" t="s">
        <v>8126</v>
      </c>
    </row>
    <row r="189" customFormat="false" ht="15" hidden="false" customHeight="false" outlineLevel="0" collapsed="false">
      <c r="GE189" s="0" t="s">
        <v>9013</v>
      </c>
      <c r="GI189" s="0" t="s">
        <v>9034</v>
      </c>
    </row>
    <row r="190" customFormat="false" ht="15" hidden="false" customHeight="false" outlineLevel="0" collapsed="false">
      <c r="GE190" s="0" t="s">
        <v>8068</v>
      </c>
      <c r="GI190" s="0" t="s">
        <v>9036</v>
      </c>
    </row>
    <row r="191" customFormat="false" ht="15" hidden="false" customHeight="false" outlineLevel="0" collapsed="false">
      <c r="GE191" s="0" t="s">
        <v>8817</v>
      </c>
      <c r="GI191" s="0" t="s">
        <v>9190</v>
      </c>
    </row>
    <row r="192" customFormat="false" ht="15" hidden="false" customHeight="false" outlineLevel="0" collapsed="false">
      <c r="GE192" s="0" t="s">
        <v>8070</v>
      </c>
      <c r="GI192" s="0" t="s">
        <v>8158</v>
      </c>
    </row>
    <row r="193" customFormat="false" ht="15" hidden="false" customHeight="false" outlineLevel="0" collapsed="false">
      <c r="GE193" s="0" t="s">
        <v>8072</v>
      </c>
      <c r="GI193" s="0" t="s">
        <v>8139</v>
      </c>
    </row>
    <row r="194" customFormat="false" ht="15" hidden="false" customHeight="false" outlineLevel="0" collapsed="false">
      <c r="GE194" s="0" t="s">
        <v>8723</v>
      </c>
      <c r="GI194" s="0" t="s">
        <v>9163</v>
      </c>
    </row>
    <row r="195" customFormat="false" ht="15" hidden="false" customHeight="false" outlineLevel="0" collapsed="false">
      <c r="GE195" s="0" t="s">
        <v>9119</v>
      </c>
      <c r="GI195" s="0" t="s">
        <v>8141</v>
      </c>
    </row>
    <row r="196" customFormat="false" ht="15" hidden="false" customHeight="false" outlineLevel="0" collapsed="false">
      <c r="GE196" s="0" t="s">
        <v>9121</v>
      </c>
      <c r="GI196" s="0" t="s">
        <v>9166</v>
      </c>
    </row>
    <row r="197" customFormat="false" ht="15" hidden="false" customHeight="false" outlineLevel="0" collapsed="false">
      <c r="GE197" s="0" t="s">
        <v>9123</v>
      </c>
      <c r="GI197" s="0" t="s">
        <v>9090</v>
      </c>
    </row>
    <row r="198" customFormat="false" ht="15" hidden="false" customHeight="false" outlineLevel="0" collapsed="false">
      <c r="GE198" s="0" t="s">
        <v>9125</v>
      </c>
      <c r="GI198" s="0" t="s">
        <v>9169</v>
      </c>
    </row>
    <row r="199" customFormat="false" ht="15" hidden="false" customHeight="false" outlineLevel="0" collapsed="false">
      <c r="GE199" s="0" t="s">
        <v>8829</v>
      </c>
      <c r="GI199" s="0" t="s">
        <v>9202</v>
      </c>
    </row>
    <row r="200" customFormat="false" ht="15" hidden="false" customHeight="false" outlineLevel="0" collapsed="false">
      <c r="GE200" s="0" t="s">
        <v>8831</v>
      </c>
      <c r="GI200" s="0" t="s">
        <v>8989</v>
      </c>
    </row>
    <row r="201" customFormat="false" ht="15" hidden="false" customHeight="false" outlineLevel="0" collapsed="false">
      <c r="GE201" s="0" t="s">
        <v>8083</v>
      </c>
      <c r="GI201" s="0" t="s">
        <v>8143</v>
      </c>
    </row>
    <row r="202" customFormat="false" ht="15" hidden="false" customHeight="false" outlineLevel="0" collapsed="false">
      <c r="GE202" s="0" t="s">
        <v>8834</v>
      </c>
      <c r="GI202" s="0" t="s">
        <v>9040</v>
      </c>
    </row>
    <row r="203" customFormat="false" ht="15" hidden="false" customHeight="false" outlineLevel="0" collapsed="false">
      <c r="GE203" s="0" t="s">
        <v>8085</v>
      </c>
      <c r="GI203" s="0" t="s">
        <v>8145</v>
      </c>
    </row>
    <row r="204" customFormat="false" ht="15" hidden="false" customHeight="false" outlineLevel="0" collapsed="false">
      <c r="GE204" s="0" t="s">
        <v>8087</v>
      </c>
      <c r="GI204" s="0" t="s">
        <v>9043</v>
      </c>
    </row>
    <row r="205" customFormat="false" ht="15" hidden="false" customHeight="false" outlineLevel="0" collapsed="false">
      <c r="GE205" s="0" t="s">
        <v>8089</v>
      </c>
      <c r="GI205" s="0" t="s">
        <v>9045</v>
      </c>
    </row>
    <row r="206" customFormat="false" ht="15" hidden="false" customHeight="false" outlineLevel="0" collapsed="false">
      <c r="GE206" s="0" t="s">
        <v>8137</v>
      </c>
      <c r="GI206" s="0" t="s">
        <v>9174</v>
      </c>
    </row>
    <row r="207" customFormat="false" ht="15" hidden="false" customHeight="false" outlineLevel="0" collapsed="false">
      <c r="GE207" s="0" t="s">
        <v>9142</v>
      </c>
      <c r="GI207" s="0" t="s">
        <v>9204</v>
      </c>
    </row>
    <row r="208" customFormat="false" ht="15" hidden="false" customHeight="false" outlineLevel="0" collapsed="false">
      <c r="GE208" s="0" t="s">
        <v>9018</v>
      </c>
      <c r="GI208" s="0" t="s">
        <v>9183</v>
      </c>
    </row>
    <row r="209" customFormat="false" ht="15" hidden="false" customHeight="false" outlineLevel="0" collapsed="false">
      <c r="GE209" s="0" t="s">
        <v>9020</v>
      </c>
      <c r="GI209" s="0" t="s">
        <v>9207</v>
      </c>
    </row>
    <row r="210" customFormat="false" ht="15" hidden="false" customHeight="false" outlineLevel="0" collapsed="false">
      <c r="GE210" s="0" t="s">
        <v>9022</v>
      </c>
      <c r="GI210" s="0" t="s">
        <v>9193</v>
      </c>
    </row>
    <row r="211" customFormat="false" ht="15" hidden="false" customHeight="false" outlineLevel="0" collapsed="false">
      <c r="GE211" s="0" t="s">
        <v>9198</v>
      </c>
    </row>
    <row r="212" customFormat="false" ht="15" hidden="false" customHeight="false" outlineLevel="0" collapsed="false">
      <c r="GE212" s="0" t="s">
        <v>9177</v>
      </c>
    </row>
    <row r="213" customFormat="false" ht="15" hidden="false" customHeight="false" outlineLevel="0" collapsed="false">
      <c r="GE213" s="0" t="s">
        <v>8045</v>
      </c>
    </row>
    <row r="214" customFormat="false" ht="15" hidden="false" customHeight="false" outlineLevel="0" collapsed="false">
      <c r="GE214" s="0" t="s">
        <v>8840</v>
      </c>
    </row>
    <row r="215" customFormat="false" ht="15" hidden="false" customHeight="false" outlineLevel="0" collapsed="false">
      <c r="GE215" s="0" t="s">
        <v>9148</v>
      </c>
    </row>
    <row r="216" customFormat="false" ht="15" hidden="false" customHeight="false" outlineLevel="0" collapsed="false">
      <c r="GE216" s="0" t="s">
        <v>9150</v>
      </c>
    </row>
    <row r="217" customFormat="false" ht="15" hidden="false" customHeight="false" outlineLevel="0" collapsed="false">
      <c r="GE217" s="0" t="s">
        <v>9026</v>
      </c>
    </row>
    <row r="218" customFormat="false" ht="15" hidden="false" customHeight="false" outlineLevel="0" collapsed="false">
      <c r="GE218" s="0" t="s">
        <v>9028</v>
      </c>
    </row>
    <row r="219" customFormat="false" ht="15" hidden="false" customHeight="false" outlineLevel="0" collapsed="false">
      <c r="GE219" s="0" t="s">
        <v>9030</v>
      </c>
    </row>
    <row r="220" customFormat="false" ht="15" hidden="false" customHeight="false" outlineLevel="0" collapsed="false">
      <c r="GE220" s="0" t="s">
        <v>8047</v>
      </c>
    </row>
    <row r="221" customFormat="false" ht="15" hidden="false" customHeight="false" outlineLevel="0" collapsed="false">
      <c r="GE221" s="0" t="s">
        <v>9155</v>
      </c>
    </row>
    <row r="222" customFormat="false" ht="15" hidden="false" customHeight="false" outlineLevel="0" collapsed="false">
      <c r="GE222" s="0" t="s">
        <v>9157</v>
      </c>
    </row>
    <row r="223" customFormat="false" ht="15" hidden="false" customHeight="false" outlineLevel="0" collapsed="false">
      <c r="GE223" s="0" t="s">
        <v>8126</v>
      </c>
    </row>
    <row r="224" customFormat="false" ht="15" hidden="false" customHeight="false" outlineLevel="0" collapsed="false">
      <c r="GE224" s="0" t="s">
        <v>9034</v>
      </c>
    </row>
    <row r="225" customFormat="false" ht="15" hidden="false" customHeight="false" outlineLevel="0" collapsed="false">
      <c r="GE225" s="0" t="s">
        <v>9036</v>
      </c>
    </row>
    <row r="226" customFormat="false" ht="15" hidden="false" customHeight="false" outlineLevel="0" collapsed="false">
      <c r="GE226" s="0" t="s">
        <v>9190</v>
      </c>
    </row>
    <row r="227" customFormat="false" ht="15" hidden="false" customHeight="false" outlineLevel="0" collapsed="false">
      <c r="GE227" s="0" t="s">
        <v>8158</v>
      </c>
    </row>
    <row r="228" customFormat="false" ht="15" hidden="false" customHeight="false" outlineLevel="0" collapsed="false">
      <c r="GE228" s="0" t="s">
        <v>8139</v>
      </c>
    </row>
    <row r="229" customFormat="false" ht="15" hidden="false" customHeight="false" outlineLevel="0" collapsed="false">
      <c r="GE229" s="0" t="s">
        <v>9163</v>
      </c>
    </row>
    <row r="230" customFormat="false" ht="15" hidden="false" customHeight="false" outlineLevel="0" collapsed="false">
      <c r="GE230" s="0" t="s">
        <v>8141</v>
      </c>
    </row>
    <row r="231" customFormat="false" ht="15" hidden="false" customHeight="false" outlineLevel="0" collapsed="false">
      <c r="GE231" s="0" t="s">
        <v>9166</v>
      </c>
    </row>
    <row r="232" customFormat="false" ht="15" hidden="false" customHeight="false" outlineLevel="0" collapsed="false">
      <c r="GE232" s="0" t="s">
        <v>9090</v>
      </c>
    </row>
    <row r="233" customFormat="false" ht="15" hidden="false" customHeight="false" outlineLevel="0" collapsed="false">
      <c r="GE233" s="0" t="s">
        <v>9169</v>
      </c>
    </row>
    <row r="234" customFormat="false" ht="15" hidden="false" customHeight="false" outlineLevel="0" collapsed="false">
      <c r="GE234" s="0" t="s">
        <v>9202</v>
      </c>
    </row>
    <row r="235" customFormat="false" ht="15" hidden="false" customHeight="false" outlineLevel="0" collapsed="false">
      <c r="GE235" s="0" t="s">
        <v>8989</v>
      </c>
    </row>
    <row r="236" customFormat="false" ht="15" hidden="false" customHeight="false" outlineLevel="0" collapsed="false">
      <c r="GE236" s="0" t="s">
        <v>8143</v>
      </c>
    </row>
    <row r="237" customFormat="false" ht="15" hidden="false" customHeight="false" outlineLevel="0" collapsed="false">
      <c r="GE237" s="0" t="s">
        <v>9040</v>
      </c>
    </row>
    <row r="238" customFormat="false" ht="15" hidden="false" customHeight="false" outlineLevel="0" collapsed="false">
      <c r="GE238" s="0" t="s">
        <v>8145</v>
      </c>
    </row>
    <row r="239" customFormat="false" ht="15" hidden="false" customHeight="false" outlineLevel="0" collapsed="false">
      <c r="GE239" s="0" t="s">
        <v>9043</v>
      </c>
    </row>
    <row r="240" customFormat="false" ht="15" hidden="false" customHeight="false" outlineLevel="0" collapsed="false">
      <c r="GE240" s="0" t="s">
        <v>9045</v>
      </c>
    </row>
    <row r="241" customFormat="false" ht="15" hidden="false" customHeight="false" outlineLevel="0" collapsed="false">
      <c r="GE241" s="0" t="s">
        <v>9174</v>
      </c>
    </row>
    <row r="242" customFormat="false" ht="15" hidden="false" customHeight="false" outlineLevel="0" collapsed="false">
      <c r="GE242" s="0" t="s">
        <v>9204</v>
      </c>
    </row>
    <row r="243" customFormat="false" ht="15" hidden="false" customHeight="false" outlineLevel="0" collapsed="false">
      <c r="GE243" s="0" t="s">
        <v>9183</v>
      </c>
    </row>
    <row r="244" customFormat="false" ht="15" hidden="false" customHeight="false" outlineLevel="0" collapsed="false">
      <c r="GE244" s="0" t="s">
        <v>9207</v>
      </c>
    </row>
    <row r="245" customFormat="false" ht="15" hidden="false" customHeight="false" outlineLevel="0" collapsed="false">
      <c r="GE245" s="0" t="s">
        <v>9193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LibreOffice/24.2.7.2$Linux_AARCH64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2026-09-28T15:14:30Z</dcterms:created>
  <dc:creator>openpyxl</dc:creator>
  <dc:description/>
  <dc:language>en-US</dc:language>
  <cp:lastModifiedBy/>
  <dcterms:modified xsi:type="dcterms:W3CDTF">2026-09-28T15:14:43Z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